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Novos" sheetId="1" r:id="rId5"/>
    <sheet state="visible" name="BTG" sheetId="2" r:id="rId6"/>
    <sheet state="visible" name="XP" sheetId="3" r:id="rId7"/>
    <sheet state="visible" name="Genial" sheetId="4" r:id="rId8"/>
    <sheet state="visible" name="Safra" sheetId="5" r:id="rId9"/>
    <sheet state="visible" name="Ágora" sheetId="6" r:id="rId10"/>
    <sheet state="visible" name="Órama" sheetId="7" r:id="rId11"/>
    <sheet state="visible" name="XP Internacional" sheetId="8" r:id="rId12"/>
    <sheet state="visible" name="Pershing" sheetId="9" r:id="rId13"/>
    <sheet state="visible" name="Interactive Brokers" sheetId="10" r:id="rId14"/>
    <sheet state="visible" name="Avenue" sheetId="11" r:id="rId15"/>
    <sheet state="visible" name="Guide Arquivo" sheetId="12" r:id="rId16"/>
    <sheet state="visible" name="XP Arquivo" sheetId="13" r:id="rId17"/>
    <sheet state="visible" name="PL TOTAL D0" sheetId="14" r:id="rId18"/>
    <sheet state="visible" name="Análise PL" sheetId="15" r:id="rId19"/>
    <sheet state="hidden" name="Dados" sheetId="16" r:id="rId20"/>
    <sheet state="hidden" name="BTG2" sheetId="17" r:id="rId21"/>
    <sheet state="hidden" name="Cadastro de assessores" sheetId="18" r:id="rId22"/>
    <sheet state="hidden" name="Saídas" sheetId="19" r:id="rId23"/>
  </sheets>
  <definedNames>
    <definedName hidden="1" localSheetId="4" name="Z_D1D59EAF_0D63_4FBE_B89F_57DAF6BA1C2D_.wvu.FilterData">Safra!$B$2:$AE$96</definedName>
    <definedName hidden="1" localSheetId="7" name="Z_D1D59EAF_0D63_4FBE_B89F_57DAF6BA1C2D_.wvu.FilterData">'XP Internacional'!$A$1:$AE$7</definedName>
    <definedName hidden="1" localSheetId="2" name="Z_D1D59EAF_0D63_4FBE_B89F_57DAF6BA1C2D_.wvu.FilterData">XP!$A$1:$AE$134</definedName>
    <definedName hidden="1" localSheetId="11" name="Z_D1D59EAF_0D63_4FBE_B89F_57DAF6BA1C2D_.wvu.FilterData">'Guide Arquivo'!$B$2:$BP$395</definedName>
    <definedName hidden="1" localSheetId="1" name="Z_D1D59EAF_0D63_4FBE_B89F_57DAF6BA1C2D_.wvu.FilterData">BTG!$A$1:$AQ$1282</definedName>
    <definedName hidden="1" localSheetId="7" name="Z_77048510_7681_471A_8ABA_CEF5057C5417_.wvu.FilterData">'XP Internacional'!$A$1:$AE$12</definedName>
    <definedName hidden="1" localSheetId="2" name="Z_77048510_7681_471A_8ABA_CEF5057C5417_.wvu.FilterData">XP!$A$1:$AE$139</definedName>
    <definedName hidden="1" localSheetId="1" name="Z_77048510_7681_471A_8ABA_CEF5057C5417_.wvu.FilterData">BTG!$A$1:$AU$1287</definedName>
    <definedName hidden="1" localSheetId="5" name="Z_8E23099A_352A_46B6_8EAF_566C415C9723_.wvu.FilterData">'Ágora'!$D$2:$F$26</definedName>
    <definedName hidden="1" localSheetId="7" name="Z_8E23099A_352A_46B6_8EAF_566C415C9723_.wvu.FilterData">'XP Internacional'!$D$2:$F$12</definedName>
    <definedName hidden="1" localSheetId="2" name="Z_8E23099A_352A_46B6_8EAF_566C415C9723_.wvu.FilterData">XP!$D$2:$F$139</definedName>
    <definedName hidden="1" localSheetId="1" name="Z_8E23099A_352A_46B6_8EAF_566C415C9723_.wvu.FilterData">BTG!$D$2:$F$1287</definedName>
    <definedName hidden="1" localSheetId="4" name="Z_0C67F5DA_14A5_47C5_91B5_988FF202FC69_.wvu.FilterData">Safra!$A$1:$AE$104</definedName>
    <definedName hidden="1" localSheetId="5" name="Z_0C67F5DA_14A5_47C5_91B5_988FF202FC69_.wvu.FilterData">'Ágora'!$D$2:$K$26</definedName>
    <definedName hidden="1" localSheetId="7" name="Z_0C67F5DA_14A5_47C5_91B5_988FF202FC69_.wvu.FilterData">'XP Internacional'!$D$2:$K$12</definedName>
    <definedName hidden="1" localSheetId="2" name="Z_0C67F5DA_14A5_47C5_91B5_988FF202FC69_.wvu.FilterData">XP!$D$2:$K$139</definedName>
    <definedName hidden="1" localSheetId="11" name="Z_0C67F5DA_14A5_47C5_91B5_988FF202FC69_.wvu.FilterData">'Guide Arquivo'!$A$1:$BY$403</definedName>
    <definedName hidden="1" localSheetId="1" name="Z_0C67F5DA_14A5_47C5_91B5_988FF202FC69_.wvu.FilterData">BTG!$D$2:$K$1287</definedName>
    <definedName hidden="1" localSheetId="7" name="Z_CF50F9BD_DAED_4762_A970_27959259F675_.wvu.FilterData">'XP Internacional'!$A$1:$AE$6</definedName>
    <definedName hidden="1" localSheetId="2" name="Z_CF50F9BD_DAED_4762_A970_27959259F675_.wvu.FilterData">XP!$A$1:$AE$132</definedName>
    <definedName hidden="1" localSheetId="1" name="Z_CF50F9BD_DAED_4762_A970_27959259F675_.wvu.FilterData">BTG!$A$1:$AU$1278</definedName>
    <definedName hidden="1" localSheetId="7" name="Z_065E01C9_57BE_450A_9C4A_C82F63BD101C_.wvu.FilterData">'XP Internacional'!$A$1:$AE$6</definedName>
    <definedName hidden="1" localSheetId="2" name="Z_065E01C9_57BE_450A_9C4A_C82F63BD101C_.wvu.FilterData">XP!$A$1:$AE$132</definedName>
    <definedName hidden="1" localSheetId="1" name="Z_065E01C9_57BE_450A_9C4A_C82F63BD101C_.wvu.FilterData">BTG!$A$1:$AU$1278</definedName>
    <definedName hidden="1" localSheetId="5" name="Z_00E60367_C557_4A9D_ABF1_08D0B4DFDFC8_.wvu.FilterData">'Ágora'!$B$2:$Q$18</definedName>
    <definedName hidden="1" localSheetId="7" name="Z_00E60367_C557_4A9D_ABF1_08D0B4DFDFC8_.wvu.FilterData">'XP Internacional'!$B$2:$Q$7</definedName>
    <definedName hidden="1" localSheetId="2" name="Z_00E60367_C557_4A9D_ABF1_08D0B4DFDFC8_.wvu.FilterData">XP!$B$2:$Q$134</definedName>
    <definedName hidden="1" localSheetId="1" name="Z_00E60367_C557_4A9D_ABF1_08D0B4DFDFC8_.wvu.FilterData">BTG!$B$2:$Q$1282</definedName>
    <definedName hidden="1" localSheetId="5" name="Z_98849F6F_DF55_434F_8EC1_0BF9B8DC5EE7_.wvu.FilterData">'Ágora'!$D$2:$F$26</definedName>
    <definedName hidden="1" localSheetId="7" name="Z_98849F6F_DF55_434F_8EC1_0BF9B8DC5EE7_.wvu.FilterData">'XP Internacional'!$D$2:$F$12</definedName>
    <definedName hidden="1" localSheetId="2" name="Z_98849F6F_DF55_434F_8EC1_0BF9B8DC5EE7_.wvu.FilterData">XP!$D$2:$F$139</definedName>
    <definedName hidden="1" localSheetId="1" name="Z_98849F6F_DF55_434F_8EC1_0BF9B8DC5EE7_.wvu.FilterData">BTG!$D$2:$F$1287</definedName>
    <definedName hidden="1" localSheetId="7" name="Z_F5354E08_B6E9_4CA3_B3EA_CD773B8ADACB_.wvu.FilterData">'XP Internacional'!$A$1:$AE$12</definedName>
    <definedName hidden="1" localSheetId="2" name="Z_F5354E08_B6E9_4CA3_B3EA_CD773B8ADACB_.wvu.FilterData">XP!$A$1:$AE$139</definedName>
    <definedName hidden="1" localSheetId="1" name="Z_F5354E08_B6E9_4CA3_B3EA_CD773B8ADACB_.wvu.FilterData">BTG!$A$1:$AR$1287</definedName>
    <definedName hidden="1" localSheetId="7" name="Z_2BED0996_212A_43D6_A5BB_6E4636AD45BE_.wvu.FilterData">'XP Internacional'!$A$1:$AE$6</definedName>
    <definedName hidden="1" localSheetId="2" name="Z_2BED0996_212A_43D6_A5BB_6E4636AD45BE_.wvu.FilterData">XP!$A$1:$AE$132</definedName>
    <definedName hidden="1" localSheetId="1" name="Z_2BED0996_212A_43D6_A5BB_6E4636AD45BE_.wvu.FilterData">BTG!$A$1:$AV$1278</definedName>
    <definedName hidden="1" localSheetId="7" name="Z_FFF8B650_CBF3_4052_87D6_A8C0A82089E5_.wvu.FilterData">'XP Internacional'!$A$2:$AE$6</definedName>
    <definedName hidden="1" localSheetId="2" name="Z_FFF8B650_CBF3_4052_87D6_A8C0A82089E5_.wvu.FilterData">XP!$A$2:$AE$132</definedName>
    <definedName hidden="1" localSheetId="1" name="Z_FFF8B650_CBF3_4052_87D6_A8C0A82089E5_.wvu.FilterData">BTG!$A$2:$AU$1278</definedName>
    <definedName hidden="1" localSheetId="7" name="Z_D9F720D9_5985_417C_9131_10AEE008595B_.wvu.FilterData">'XP Internacional'!$A$1:$AE$6</definedName>
    <definedName hidden="1" localSheetId="2" name="Z_D9F720D9_5985_417C_9131_10AEE008595B_.wvu.FilterData">XP!$A$1:$AE$132</definedName>
    <definedName hidden="1" localSheetId="1" name="Z_D9F720D9_5985_417C_9131_10AEE008595B_.wvu.FilterData">BTG!$A$1:$AU$1278</definedName>
    <definedName hidden="1" localSheetId="4" name="Z_722B78C8_FCD4_4998_92AC_C08554C3B012_.wvu.FilterData">Safra!$A$1:$AE$96</definedName>
    <definedName hidden="1" localSheetId="5" name="Z_722B78C8_FCD4_4998_92AC_C08554C3B012_.wvu.FilterData">'Ágora'!$D$2:$AI$26</definedName>
    <definedName hidden="1" localSheetId="7" name="Z_722B78C8_FCD4_4998_92AC_C08554C3B012_.wvu.FilterData">'XP Internacional'!$D$2:$AE$12</definedName>
    <definedName hidden="1" localSheetId="2" name="Z_722B78C8_FCD4_4998_92AC_C08554C3B012_.wvu.FilterData">XP!$D$2:$AE$139</definedName>
    <definedName hidden="1" localSheetId="11" name="Z_722B78C8_FCD4_4998_92AC_C08554C3B012_.wvu.FilterData">'Guide Arquivo'!$A$1:$CC$395</definedName>
    <definedName hidden="1" localSheetId="1" name="Z_722B78C8_FCD4_4998_92AC_C08554C3B012_.wvu.FilterData">BTG!$D$2:$AN$1287</definedName>
    <definedName hidden="1" localSheetId="7" name="Z_70B0536D_D383_4AAB_9558_2A0D578102A2_.wvu.FilterData">'XP Internacional'!$A$1:$AE$12</definedName>
    <definedName hidden="1" localSheetId="2" name="Z_70B0536D_D383_4AAB_9558_2A0D578102A2_.wvu.FilterData">XP!$A$1:$AE$139</definedName>
    <definedName hidden="1" localSheetId="1" name="Z_70B0536D_D383_4AAB_9558_2A0D578102A2_.wvu.FilterData">BTG!$A$1:$AR$1287</definedName>
    <definedName hidden="1" localSheetId="5" name="Z_654A5899_80B2_4C15_A2FD_0DB5CDC13F98_.wvu.FilterData">'Ágora'!$B$2:$AJ$26</definedName>
    <definedName hidden="1" localSheetId="7" name="Z_654A5899_80B2_4C15_A2FD_0DB5CDC13F98_.wvu.FilterData">'XP Internacional'!$B$2:$AE$12</definedName>
    <definedName hidden="1" localSheetId="2" name="Z_654A5899_80B2_4C15_A2FD_0DB5CDC13F98_.wvu.FilterData">XP!$B$2:$AE$139</definedName>
    <definedName hidden="1" localSheetId="1" name="Z_654A5899_80B2_4C15_A2FD_0DB5CDC13F98_.wvu.FilterData">BTG!$B$2:$AO$1287</definedName>
    <definedName hidden="1" localSheetId="7" name="Z_18305FC1_D259_4640_9665_7FBD61614DE9_.wvu.FilterData">'XP Internacional'!$A$1:$AE$7</definedName>
    <definedName hidden="1" localSheetId="2" name="Z_18305FC1_D259_4640_9665_7FBD61614DE9_.wvu.FilterData">XP!$A$1:$AE$134</definedName>
    <definedName hidden="1" localSheetId="1" name="Z_18305FC1_D259_4640_9665_7FBD61614DE9_.wvu.FilterData">BTG!$A$1:$AQ$1282</definedName>
    <definedName hidden="1" localSheetId="5" name="Z_E9EF4B04_EC2E_4866_A0D6_B498EEFB67F1_.wvu.FilterData">'Ágora'!$E$2:$F$26</definedName>
    <definedName hidden="1" localSheetId="7" name="Z_E9EF4B04_EC2E_4866_A0D6_B498EEFB67F1_.wvu.FilterData">'XP Internacional'!$E$2:$F$12</definedName>
    <definedName hidden="1" localSheetId="2" name="Z_E9EF4B04_EC2E_4866_A0D6_B498EEFB67F1_.wvu.FilterData">XP!$E$2:$F$139</definedName>
    <definedName hidden="1" localSheetId="1" name="Z_E9EF4B04_EC2E_4866_A0D6_B498EEFB67F1_.wvu.FilterData">BTG!$E$2:$F$1287</definedName>
    <definedName hidden="1" localSheetId="4" name="Z_06003629_F286_4216_A213_4AFE1E36A40B_.wvu.FilterData">Safra!$K$2:$K$104</definedName>
    <definedName hidden="1" localSheetId="7" name="Z_06003629_F286_4216_A213_4AFE1E36A40B_.wvu.FilterData">'XP Internacional'!$A$1:$AE$7</definedName>
    <definedName hidden="1" localSheetId="2" name="Z_06003629_F286_4216_A213_4AFE1E36A40B_.wvu.FilterData">XP!$A$1:$AE$134</definedName>
    <definedName hidden="1" localSheetId="11" name="Z_06003629_F286_4216_A213_4AFE1E36A40B_.wvu.FilterData">'Guide Arquivo'!$K$2:$K$403</definedName>
    <definedName hidden="1" localSheetId="1" name="Z_06003629_F286_4216_A213_4AFE1E36A40B_.wvu.FilterData">BTG!$A$1:$AQ$1282</definedName>
    <definedName hidden="1" localSheetId="7" name="Z_B0EBEE94_932C_4E01_8EA0_E4B52D8BC3D0_.wvu.FilterData">'XP Internacional'!$A$1:$AE$6</definedName>
    <definedName hidden="1" localSheetId="2" name="Z_B0EBEE94_932C_4E01_8EA0_E4B52D8BC3D0_.wvu.FilterData">XP!$A$1:$AE$132</definedName>
    <definedName hidden="1" localSheetId="1" name="Z_B0EBEE94_932C_4E01_8EA0_E4B52D8BC3D0_.wvu.FilterData">BTG!$A$1:$AV$1278</definedName>
    <definedName hidden="1" localSheetId="7" name="Z_C6AF0DFC_8C6B_4361_8E96_E27C127094D5_.wvu.FilterData">'XP Internacional'!$A$1:$AE$6</definedName>
    <definedName hidden="1" localSheetId="2" name="Z_C6AF0DFC_8C6B_4361_8E96_E27C127094D5_.wvu.FilterData">XP!$A$1:$AE$132</definedName>
    <definedName hidden="1" localSheetId="1" name="Z_C6AF0DFC_8C6B_4361_8E96_E27C127094D5_.wvu.FilterData">BTG!$A$1:$AU$1278</definedName>
    <definedName hidden="1" localSheetId="7" name="Z_6029AC19_417B_4102_AB04_0D587EB064E7_.wvu.FilterData">'XP Internacional'!$A$1:$AE$7</definedName>
    <definedName hidden="1" localSheetId="2" name="Z_6029AC19_417B_4102_AB04_0D587EB064E7_.wvu.FilterData">XP!$A$1:$AE$134</definedName>
    <definedName hidden="1" localSheetId="1" name="Z_6029AC19_417B_4102_AB04_0D587EB064E7_.wvu.FilterData">BTG!$A$1:$AQ$1282</definedName>
    <definedName hidden="1" localSheetId="7" name="Z_7995FA59_641A_41E1_A8E4_4E25098B6ECE_.wvu.FilterData">'XP Internacional'!$A$1:$AF$7</definedName>
    <definedName hidden="1" localSheetId="2" name="Z_7995FA59_641A_41E1_A8E4_4E25098B6ECE_.wvu.FilterData">XP!$A$1:$AN$134</definedName>
    <definedName hidden="1" localSheetId="1" name="Z_7995FA59_641A_41E1_A8E4_4E25098B6ECE_.wvu.FilterData">BTG!$A$1:$BM$1282</definedName>
    <definedName hidden="1" localSheetId="2" name="Z_1B07E80D_FBB4_4384_987D_9AD626C1FAAA_.wvu.FilterData">XP!$A$1:$AE$132</definedName>
    <definedName hidden="1" localSheetId="7" name="Z_1B07E80D_FBB4_4384_987D_9AD626C1FAAA_.wvu.FilterData">'XP Internacional'!$A$1:$AE$6</definedName>
    <definedName hidden="1" localSheetId="1" name="Z_1B07E80D_FBB4_4384_987D_9AD626C1FAAA_.wvu.FilterData">BTG!$A$1:$AW$1278</definedName>
    <definedName hidden="1" localSheetId="7" name="Z_782C1766_D366_4791_A229_466454E378AF_.wvu.FilterData">'XP Internacional'!$A$1:$AE$6</definedName>
    <definedName hidden="1" localSheetId="2" name="Z_782C1766_D366_4791_A229_466454E378AF_.wvu.FilterData">XP!$A$1:$AE$132</definedName>
    <definedName hidden="1" localSheetId="1" name="Z_782C1766_D366_4791_A229_466454E378AF_.wvu.FilterData">BTG!$A$1:$AS$1278</definedName>
    <definedName hidden="1" localSheetId="7" name="Z_451C6C33_BC1A_49FA_B291_60C00A458E45_.wvu.FilterData">'XP Internacional'!$D$2:$E$5</definedName>
    <definedName hidden="1" localSheetId="2" name="Z_451C6C33_BC1A_49FA_B291_60C00A458E45_.wvu.FilterData">XP!$D$2:$E$124</definedName>
    <definedName hidden="1" localSheetId="1" name="Z_451C6C33_BC1A_49FA_B291_60C00A458E45_.wvu.FilterData">BTG!$D$2:$E$1280</definedName>
    <definedName hidden="1" localSheetId="7" name="Z_70E57EE2_2FF1_4169_9A89_59FDF3A2B70F_.wvu.FilterData">'XP Internacional'!$A$1:$AE$6</definedName>
    <definedName hidden="1" localSheetId="2" name="Z_70E57EE2_2FF1_4169_9A89_59FDF3A2B70F_.wvu.FilterData">XP!$A$1:$AE$132</definedName>
    <definedName hidden="1" localSheetId="1" name="Z_70E57EE2_2FF1_4169_9A89_59FDF3A2B70F_.wvu.FilterData">BTG!$A$1:$AT$1278</definedName>
    <definedName hidden="1" localSheetId="4" name="Z_3AF03EB6_56CC_4410_8FFA_3735BC7F66A2_.wvu.FilterData">Safra!$B$2:$AE$96</definedName>
    <definedName hidden="1" localSheetId="5" name="Z_3AF03EB6_56CC_4410_8FFA_3735BC7F66A2_.wvu.FilterData">'Ágora'!$B$2:$AG$19</definedName>
    <definedName hidden="1" localSheetId="7" name="Z_3AF03EB6_56CC_4410_8FFA_3735BC7F66A2_.wvu.FilterData">'XP Internacional'!$B$2:$AE$7</definedName>
    <definedName hidden="1" localSheetId="2" name="Z_3AF03EB6_56CC_4410_8FFA_3735BC7F66A2_.wvu.FilterData">XP!$B$2:$AE$134</definedName>
    <definedName hidden="1" localSheetId="11" name="Z_3AF03EB6_56CC_4410_8FFA_3735BC7F66A2_.wvu.FilterData">'Guide Arquivo'!$B$2:$BQ$395</definedName>
    <definedName hidden="1" localSheetId="1" name="Z_3AF03EB6_56CC_4410_8FFA_3735BC7F66A2_.wvu.FilterData">BTG!$B$2:$AL$1282</definedName>
    <definedName hidden="1" localSheetId="4" name="Z_CE2411D1_E1EA_4B10_9A09_B64AA7454FEF_.wvu.FilterData">Safra!$K$2:$K$104</definedName>
    <definedName hidden="1" localSheetId="5" name="Z_CE2411D1_E1EA_4B10_9A09_B64AA7454FEF_.wvu.FilterData">'Ágora'!$B$2:$AI$19</definedName>
    <definedName hidden="1" localSheetId="7" name="Z_CE2411D1_E1EA_4B10_9A09_B64AA7454FEF_.wvu.FilterData">'XP Internacional'!$B$2:$AE$7</definedName>
    <definedName hidden="1" localSheetId="2" name="Z_CE2411D1_E1EA_4B10_9A09_B64AA7454FEF_.wvu.FilterData">XP!$B$2:$AE$134</definedName>
    <definedName hidden="1" localSheetId="11" name="Z_CE2411D1_E1EA_4B10_9A09_B64AA7454FEF_.wvu.FilterData">'Guide Arquivo'!$K$2:$K$403</definedName>
    <definedName hidden="1" localSheetId="1" name="Z_CE2411D1_E1EA_4B10_9A09_B64AA7454FEF_.wvu.FilterData">BTG!$B$2:$AN$1282</definedName>
    <definedName hidden="1" localSheetId="5" name="Z_BDEA0D28_6EB0_4544_8313_7877B5E9979F_.wvu.FilterData">'Ágora'!$B$2:$AJ$18</definedName>
    <definedName hidden="1" localSheetId="7" name="Z_BDEA0D28_6EB0_4544_8313_7877B5E9979F_.wvu.FilterData">'XP Internacional'!$B$2:$AE$7</definedName>
    <definedName hidden="1" localSheetId="2" name="Z_BDEA0D28_6EB0_4544_8313_7877B5E9979F_.wvu.FilterData">XP!$B$2:$AE$134</definedName>
    <definedName hidden="1" localSheetId="1" name="Z_BDEA0D28_6EB0_4544_8313_7877B5E9979F_.wvu.FilterData">BTG!$B$2:$AO$1282</definedName>
    <definedName hidden="1" localSheetId="5" name="Z_E80CA402_71E3_41A6_BCC8_EF9B79EFF256_.wvu.FilterData">'Ágora'!$B$2:$AJ$18</definedName>
    <definedName hidden="1" localSheetId="7" name="Z_E80CA402_71E3_41A6_BCC8_EF9B79EFF256_.wvu.FilterData">'XP Internacional'!$B$2:$AE$7</definedName>
    <definedName hidden="1" localSheetId="2" name="Z_E80CA402_71E3_41A6_BCC8_EF9B79EFF256_.wvu.FilterData">XP!$B$2:$AE$134</definedName>
    <definedName hidden="1" localSheetId="1" name="Z_E80CA402_71E3_41A6_BCC8_EF9B79EFF256_.wvu.FilterData">BTG!$B$2:$AO$1282</definedName>
    <definedName hidden="1" localSheetId="7" name="Z_8D0E9103_9A25_42C2_8CEF_4FE04634B0B7_.wvu.FilterData">'XP Internacional'!$A$1:$AE$7</definedName>
    <definedName hidden="1" localSheetId="2" name="Z_8D0E9103_9A25_42C2_8CEF_4FE04634B0B7_.wvu.FilterData">XP!$A$1:$AE$134</definedName>
    <definedName hidden="1" localSheetId="1" name="Z_8D0E9103_9A25_42C2_8CEF_4FE04634B0B7_.wvu.FilterData">BTG!$A$1:$AQ$1282</definedName>
    <definedName hidden="1" localSheetId="7" name="Z_80EACFF0_21DA_499B_A807_CBB674849A80_.wvu.FilterData">'XP Internacional'!$A$1:$AE$6</definedName>
    <definedName hidden="1" localSheetId="2" name="Z_80EACFF0_21DA_499B_A807_CBB674849A80_.wvu.FilterData">XP!$A$1:$AE$132</definedName>
    <definedName hidden="1" localSheetId="1" name="Z_80EACFF0_21DA_499B_A807_CBB674849A80_.wvu.FilterData">BTG!$A$1:$AW$1278</definedName>
    <definedName hidden="1" localSheetId="5" name="Z_B604FAC0_0919_4A33_B240_F21979965E15_.wvu.FilterData">'Ágora'!$B$2:$AJ$18</definedName>
    <definedName hidden="1" localSheetId="7" name="Z_B604FAC0_0919_4A33_B240_F21979965E15_.wvu.FilterData">'XP Internacional'!$B$2:$AE$7</definedName>
    <definedName hidden="1" localSheetId="2" name="Z_B604FAC0_0919_4A33_B240_F21979965E15_.wvu.FilterData">XP!$B$2:$AE$134</definedName>
    <definedName hidden="1" localSheetId="1" name="Z_B604FAC0_0919_4A33_B240_F21979965E15_.wvu.FilterData">BTG!$B$2:$AO$1282</definedName>
    <definedName hidden="1" localSheetId="4" name="Z_03F8594D_D81D_41D8_8166_E0E039D1D75A_.wvu.FilterData">Safra!$K$2:$K$104</definedName>
    <definedName hidden="1" localSheetId="11" name="Z_03F8594D_D81D_41D8_8166_E0E039D1D75A_.wvu.FilterData">'Guide Arquivo'!$K$2:$K$403</definedName>
    <definedName hidden="1" localSheetId="1" name="Z_03F8594D_D81D_41D8_8166_E0E039D1D75A_.wvu.FilterData">BTG!$AG$2:$AG$1287</definedName>
    <definedName hidden="1" localSheetId="7" name="Z_112F537C_77AF_4182_AB1C_99E1DCD0F91A_.wvu.FilterData">'XP Internacional'!$A$1:$AE$7</definedName>
    <definedName hidden="1" localSheetId="2" name="Z_112F537C_77AF_4182_AB1C_99E1DCD0F91A_.wvu.FilterData">XP!$A$1:$AE$134</definedName>
    <definedName hidden="1" localSheetId="1" name="Z_112F537C_77AF_4182_AB1C_99E1DCD0F91A_.wvu.FilterData">BTG!$A$1:$AQ$1282</definedName>
    <definedName hidden="1" localSheetId="4" name="Z_76811BFC_6AF1_42FD_933F_8DEF2DDC606B_.wvu.FilterData">Safra!$A$1:$AE$96</definedName>
    <definedName hidden="1" localSheetId="5" name="Z_76811BFC_6AF1_42FD_933F_8DEF2DDC606B_.wvu.FilterData">'Ágora'!$F$2:$F$26</definedName>
    <definedName hidden="1" localSheetId="7" name="Z_76811BFC_6AF1_42FD_933F_8DEF2DDC606B_.wvu.FilterData">'XP Internacional'!$F$2:$F$12</definedName>
    <definedName hidden="1" localSheetId="2" name="Z_76811BFC_6AF1_42FD_933F_8DEF2DDC606B_.wvu.FilterData">XP!$F$2:$F$139</definedName>
    <definedName hidden="1" localSheetId="11" name="Z_76811BFC_6AF1_42FD_933F_8DEF2DDC606B_.wvu.FilterData">'Guide Arquivo'!$A$1:$CA$395</definedName>
    <definedName hidden="1" localSheetId="1" name="Z_76811BFC_6AF1_42FD_933F_8DEF2DDC606B_.wvu.FilterData">BTG!$F$2:$F$1287</definedName>
    <definedName hidden="1" localSheetId="5" name="Z_C1CA0EF5_D163_4398_B2A2_BDDFC98F2FB3_.wvu.FilterData">'Ágora'!$D$2:$F$26</definedName>
    <definedName hidden="1" localSheetId="7" name="Z_C1CA0EF5_D163_4398_B2A2_BDDFC98F2FB3_.wvu.FilterData">'XP Internacional'!$D$2:$F$12</definedName>
    <definedName hidden="1" localSheetId="2" name="Z_C1CA0EF5_D163_4398_B2A2_BDDFC98F2FB3_.wvu.FilterData">XP!$D$2:$F$139</definedName>
    <definedName hidden="1" localSheetId="1" name="Z_C1CA0EF5_D163_4398_B2A2_BDDFC98F2FB3_.wvu.FilterData">BTG!$D$2:$F$1287</definedName>
    <definedName hidden="1" localSheetId="5" name="Z_4E06399B_CA7D_4E4D_A17E_E4B9B1AF63C4_.wvu.FilterData">'Ágora'!$B$2:$AJ$18</definedName>
    <definedName hidden="1" localSheetId="7" name="Z_4E06399B_CA7D_4E4D_A17E_E4B9B1AF63C4_.wvu.FilterData">'XP Internacional'!$B$2:$AE$7</definedName>
    <definedName hidden="1" localSheetId="2" name="Z_4E06399B_CA7D_4E4D_A17E_E4B9B1AF63C4_.wvu.FilterData">XP!$B$2:$AE$134</definedName>
    <definedName hidden="1" localSheetId="1" name="Z_4E06399B_CA7D_4E4D_A17E_E4B9B1AF63C4_.wvu.FilterData">BTG!$B$2:$AO$1282</definedName>
    <definedName hidden="1" localSheetId="5" name="Z_BC0B1DB1_8786_41B4_8FFF_B82431D10F35_.wvu.FilterData">'Ágora'!$B$2:$AJ$26</definedName>
    <definedName hidden="1" localSheetId="7" name="Z_BC0B1DB1_8786_41B4_8FFF_B82431D10F35_.wvu.FilterData">'XP Internacional'!$B$2:$AE$12</definedName>
    <definedName hidden="1" localSheetId="2" name="Z_BC0B1DB1_8786_41B4_8FFF_B82431D10F35_.wvu.FilterData">XP!$B$2:$AE$139</definedName>
    <definedName hidden="1" localSheetId="1" name="Z_BC0B1DB1_8786_41B4_8FFF_B82431D10F35_.wvu.FilterData">BTG!$B$2:$AO$1287</definedName>
    <definedName hidden="1" localSheetId="5" name="Z_4E961BEB_49AD_4B3A_B742_A30ADAC0D0C3_.wvu.FilterData">'Ágora'!$B$2:$AJ$18</definedName>
    <definedName hidden="1" localSheetId="7" name="Z_4E961BEB_49AD_4B3A_B742_A30ADAC0D0C3_.wvu.FilterData">'XP Internacional'!$B$2:$AE$7</definedName>
    <definedName hidden="1" localSheetId="2" name="Z_4E961BEB_49AD_4B3A_B742_A30ADAC0D0C3_.wvu.FilterData">XP!$B$2:$AE$134</definedName>
    <definedName hidden="1" localSheetId="1" name="Z_4E961BEB_49AD_4B3A_B742_A30ADAC0D0C3_.wvu.FilterData">BTG!$B$2:$AO$1282</definedName>
    <definedName hidden="1" localSheetId="4" name="Z_B40945C9_974D_43EF_AB93_58449A090935_.wvu.FilterData">Safra!$A$2:$AE$96</definedName>
    <definedName hidden="1" localSheetId="5" name="Z_B40945C9_974D_43EF_AB93_58449A090935_.wvu.FilterData">'Ágora'!$B$2:$AI$19</definedName>
    <definedName hidden="1" localSheetId="7" name="Z_B40945C9_974D_43EF_AB93_58449A090935_.wvu.FilterData">'XP Internacional'!$B$2:$AE$7</definedName>
    <definedName hidden="1" localSheetId="2" name="Z_B40945C9_974D_43EF_AB93_58449A090935_.wvu.FilterData">XP!$B$2:$AE$134</definedName>
    <definedName hidden="1" localSheetId="11" name="Z_B40945C9_974D_43EF_AB93_58449A090935_.wvu.FilterData">'Guide Arquivo'!$A$2:$BZ$395</definedName>
    <definedName hidden="1" localSheetId="1" name="Z_B40945C9_974D_43EF_AB93_58449A090935_.wvu.FilterData">BTG!$B$2:$AN$1282</definedName>
    <definedName hidden="1" localSheetId="7" name="Z_70F7446A_0DAC_4D27_A21A_B34FE380E0B8_.wvu.FilterData">'XP Internacional'!$A$1:$AE$7</definedName>
    <definedName hidden="1" localSheetId="2" name="Z_70F7446A_0DAC_4D27_A21A_B34FE380E0B8_.wvu.FilterData">XP!$A$1:$AE$134</definedName>
    <definedName hidden="1" localSheetId="1" name="Z_70F7446A_0DAC_4D27_A21A_B34FE380E0B8_.wvu.FilterData">BTG!$A$1:$AQ$1282</definedName>
    <definedName hidden="1" localSheetId="7" name="Z_BED19743_79B0_4CE0_8BB5_CC952BE87801_.wvu.FilterData">'XP Internacional'!$A$1:$AE$12</definedName>
    <definedName hidden="1" localSheetId="2" name="Z_BED19743_79B0_4CE0_8BB5_CC952BE87801_.wvu.FilterData">XP!$A$1:$AE$139</definedName>
    <definedName hidden="1" localSheetId="1" name="Z_BED19743_79B0_4CE0_8BB5_CC952BE87801_.wvu.FilterData">BTG!$A$1:$AT$1287</definedName>
    <definedName hidden="1" localSheetId="7" name="Z_89658390_5C37_4C7E_86DD_F1980A0E7F1E_.wvu.FilterData">'XP Internacional'!$A$2:$AE$6</definedName>
    <definedName hidden="1" localSheetId="2" name="Z_89658390_5C37_4C7E_86DD_F1980A0E7F1E_.wvu.FilterData">XP!$A$2:$AE$132</definedName>
    <definedName hidden="1" localSheetId="1" name="Z_89658390_5C37_4C7E_86DD_F1980A0E7F1E_.wvu.FilterData">BTG!$A$2:$AT$1278</definedName>
    <definedName hidden="1" localSheetId="7" name="Z_98958A95_4992_40C8_8E85_ED54A4B5623A_.wvu.FilterData">'XP Internacional'!$A$1:$AE$6</definedName>
    <definedName hidden="1" localSheetId="2" name="Z_98958A95_4992_40C8_8E85_ED54A4B5623A_.wvu.FilterData">XP!$A$1:$AE$132</definedName>
    <definedName hidden="1" localSheetId="1" name="Z_98958A95_4992_40C8_8E85_ED54A4B5623A_.wvu.FilterData">BTG!$A$1:$AT$1278</definedName>
    <definedName hidden="1" localSheetId="7" name="Z_1C90D351_8183_4CD8_8B10_7D7D43346581_.wvu.FilterData">'XP Internacional'!$A$1:$AE$6</definedName>
    <definedName hidden="1" localSheetId="2" name="Z_1C90D351_8183_4CD8_8B10_7D7D43346581_.wvu.FilterData">XP!$A$1:$AE$132</definedName>
    <definedName hidden="1" localSheetId="1" name="Z_1C90D351_8183_4CD8_8B10_7D7D43346581_.wvu.FilterData">BTG!$A$1:$AU$1278</definedName>
    <definedName hidden="1" localSheetId="7" name="Z_981F54B3_AD47_4881_8E48_9580C9672236_.wvu.FilterData">'XP Internacional'!$A$1:$AE$6</definedName>
    <definedName hidden="1" localSheetId="2" name="Z_981F54B3_AD47_4881_8E48_9580C9672236_.wvu.FilterData">XP!$A$1:$AE$132</definedName>
    <definedName hidden="1" localSheetId="1" name="Z_981F54B3_AD47_4881_8E48_9580C9672236_.wvu.FilterData">BTG!$A$1:$AT$1278</definedName>
    <definedName hidden="1" localSheetId="7" name="Z_0395DF53_412F_4E58_A92E_3DC69A727BB5_.wvu.FilterData">'XP Internacional'!$A$1:$AF$7</definedName>
    <definedName hidden="1" localSheetId="2" name="Z_0395DF53_412F_4E58_A92E_3DC69A727BB5_.wvu.FilterData">XP!$A$1:$AN$134</definedName>
    <definedName hidden="1" localSheetId="1" name="Z_0395DF53_412F_4E58_A92E_3DC69A727BB5_.wvu.FilterData">BTG!$A$1:$BM$1282</definedName>
    <definedName hidden="1" localSheetId="7" name="Z_E2D20005_B3FA_4B28_9FF1_464AED71BB3E_.wvu.FilterData">'XP Internacional'!$A$1:$AE$6</definedName>
    <definedName hidden="1" localSheetId="2" name="Z_E2D20005_B3FA_4B28_9FF1_464AED71BB3E_.wvu.FilterData">XP!$A$1:$AE$132</definedName>
    <definedName hidden="1" localSheetId="1" name="Z_E2D20005_B3FA_4B28_9FF1_464AED71BB3E_.wvu.FilterData">BTG!$A$1:$AW$1278</definedName>
    <definedName hidden="1" localSheetId="7" name="Z_3E797136_3B85_4512_BAFF_677FFB5D6710_.wvu.FilterData">'XP Internacional'!$A$1:$AE$6</definedName>
    <definedName hidden="1" localSheetId="2" name="Z_3E797136_3B85_4512_BAFF_677FFB5D6710_.wvu.FilterData">XP!$A$1:$AE$132</definedName>
    <definedName hidden="1" localSheetId="1" name="Z_3E797136_3B85_4512_BAFF_677FFB5D6710_.wvu.FilterData">BTG!$A$1:$AR$1278</definedName>
    <definedName hidden="1" localSheetId="5" name="Z_876BADF1_FCFF_4C45_A0CD_C6DF3171442D_.wvu.FilterData">'Ágora'!$B$2:$AJ$19</definedName>
    <definedName hidden="1" localSheetId="7" name="Z_876BADF1_FCFF_4C45_A0CD_C6DF3171442D_.wvu.FilterData">'XP Internacional'!$B$2:$AE$7</definedName>
    <definedName hidden="1" localSheetId="2" name="Z_876BADF1_FCFF_4C45_A0CD_C6DF3171442D_.wvu.FilterData">XP!$B$2:$AE$134</definedName>
    <definedName hidden="1" localSheetId="1" name="Z_876BADF1_FCFF_4C45_A0CD_C6DF3171442D_.wvu.FilterData">BTG!$B$2:$AO$1282</definedName>
    <definedName hidden="1" localSheetId="2" name="Z_B7695AD5_7545_4CED_8EDC_4FB5BC578C39_.wvu.FilterData">XP!$A$1:$AE$132</definedName>
    <definedName hidden="1" localSheetId="7" name="Z_B7695AD5_7545_4CED_8EDC_4FB5BC578C39_.wvu.FilterData">'XP Internacional'!$A$1:$AE$6</definedName>
    <definedName hidden="1" localSheetId="1" name="Z_B7695AD5_7545_4CED_8EDC_4FB5BC578C39_.wvu.FilterData">BTG!$A$1:$AV$1278</definedName>
    <definedName hidden="1" localSheetId="4" name="Z_D32BF63B_B2CA_4C3E_931C_80018C77A928_.wvu.FilterData">Safra!$K$2:$K$104</definedName>
    <definedName hidden="1" localSheetId="5" name="Z_D32BF63B_B2CA_4C3E_931C_80018C77A928_.wvu.FilterData">'Ágora'!$B$2:$AI$19</definedName>
    <definedName hidden="1" localSheetId="7" name="Z_D32BF63B_B2CA_4C3E_931C_80018C77A928_.wvu.FilterData">'XP Internacional'!$B$2:$AE$7</definedName>
    <definedName hidden="1" localSheetId="2" name="Z_D32BF63B_B2CA_4C3E_931C_80018C77A928_.wvu.FilterData">XP!$B$2:$AE$134</definedName>
    <definedName hidden="1" localSheetId="11" name="Z_D32BF63B_B2CA_4C3E_931C_80018C77A928_.wvu.FilterData">'Guide Arquivo'!$K$2:$K$403</definedName>
    <definedName hidden="1" localSheetId="1" name="Z_D32BF63B_B2CA_4C3E_931C_80018C77A928_.wvu.FilterData">BTG!$B$2:$AN$1282</definedName>
    <definedName hidden="1" localSheetId="7" name="Z_DBF97924_AD64_437D_8F5D_C0F6C70BE8D1_.wvu.FilterData">'XP Internacional'!$A$1:$AE$6</definedName>
    <definedName hidden="1" localSheetId="2" name="Z_DBF97924_AD64_437D_8F5D_C0F6C70BE8D1_.wvu.FilterData">XP!$A$1:$AE$132</definedName>
    <definedName hidden="1" localSheetId="1" name="Z_DBF97924_AD64_437D_8F5D_C0F6C70BE8D1_.wvu.FilterData">BTG!$A$1:$AW$1278</definedName>
    <definedName hidden="1" localSheetId="7" name="Z_0635E86D_97FE_4BEF_B100_0431664E8011_.wvu.FilterData">'XP Internacional'!$A$2:$AE$6</definedName>
    <definedName hidden="1" localSheetId="2" name="Z_0635E86D_97FE_4BEF_B100_0431664E8011_.wvu.FilterData">XP!$A$2:$AE$132</definedName>
    <definedName hidden="1" localSheetId="1" name="Z_0635E86D_97FE_4BEF_B100_0431664E8011_.wvu.FilterData">BTG!$A$2:$AS$1278</definedName>
    <definedName hidden="1" localSheetId="4" name="Z_97ED08F8_0902_4DF2_B169_6E35A244D709_.wvu.FilterData">Safra!$K$2:$P$104</definedName>
    <definedName hidden="1" localSheetId="5" name="Z_97ED08F8_0902_4DF2_B169_6E35A244D709_.wvu.FilterData">'Ágora'!$B$2:$AG$19</definedName>
    <definedName hidden="1" localSheetId="7" name="Z_97ED08F8_0902_4DF2_B169_6E35A244D709_.wvu.FilterData">'XP Internacional'!$B$2:$AE$7</definedName>
    <definedName hidden="1" localSheetId="2" name="Z_97ED08F8_0902_4DF2_B169_6E35A244D709_.wvu.FilterData">XP!$B$2:$AE$134</definedName>
    <definedName hidden="1" localSheetId="11" name="Z_97ED08F8_0902_4DF2_B169_6E35A244D709_.wvu.FilterData">'Guide Arquivo'!$K$2:$P$403</definedName>
    <definedName hidden="1" localSheetId="1" name="Z_97ED08F8_0902_4DF2_B169_6E35A244D709_.wvu.FilterData">BTG!$B$2:$AL$1282</definedName>
    <definedName hidden="1" localSheetId="5" name="Z_E9BF6AF0_BC32_4F88_8BD2_3FA7A1B4D5AB_.wvu.FilterData">'Ágora'!$K$2:$K$26</definedName>
    <definedName hidden="1" localSheetId="7" name="Z_E9BF6AF0_BC32_4F88_8BD2_3FA7A1B4D5AB_.wvu.FilterData">'XP Internacional'!$K$2:$K$12</definedName>
    <definedName hidden="1" localSheetId="2" name="Z_E9BF6AF0_BC32_4F88_8BD2_3FA7A1B4D5AB_.wvu.FilterData">XP!$K$2:$K$139</definedName>
    <definedName hidden="1" localSheetId="1" name="Z_E9BF6AF0_BC32_4F88_8BD2_3FA7A1B4D5AB_.wvu.FilterData">BTG!$K$2:$K$1287</definedName>
    <definedName hidden="1" localSheetId="5" name="Z_0D6E73C6_3261_43FB_A2C9_4B9A53AC06CB_.wvu.FilterData">'Ágora'!$B$2:$AJ$18</definedName>
    <definedName hidden="1" localSheetId="7" name="Z_0D6E73C6_3261_43FB_A2C9_4B9A53AC06CB_.wvu.FilterData">'XP Internacional'!$B$2:$AE$7</definedName>
    <definedName hidden="1" localSheetId="2" name="Z_0D6E73C6_3261_43FB_A2C9_4B9A53AC06CB_.wvu.FilterData">XP!$B$2:$AE$134</definedName>
    <definedName hidden="1" localSheetId="1" name="Z_0D6E73C6_3261_43FB_A2C9_4B9A53AC06CB_.wvu.FilterData">BTG!$B$2:$AO$1282</definedName>
    <definedName hidden="1" localSheetId="7" name="Z_03FF394B_A3CC_412E_AC3C_43FCE662566C_.wvu.FilterData">'XP Internacional'!$A$1:$AE$12</definedName>
    <definedName hidden="1" localSheetId="2" name="Z_03FF394B_A3CC_412E_AC3C_43FCE662566C_.wvu.FilterData">XP!$A$1:$AE$139</definedName>
    <definedName hidden="1" localSheetId="1" name="Z_03FF394B_A3CC_412E_AC3C_43FCE662566C_.wvu.FilterData">BTG!$A$1:$AR$1287</definedName>
    <definedName hidden="1" localSheetId="7" name="Z_3F7281AE_855A_4F16_9462_FB365670BAD2_.wvu.FilterData">'XP Internacional'!$A$1:$AE$7</definedName>
    <definedName hidden="1" localSheetId="2" name="Z_3F7281AE_855A_4F16_9462_FB365670BAD2_.wvu.FilterData">XP!$A$1:$AE$134</definedName>
    <definedName hidden="1" localSheetId="1" name="Z_3F7281AE_855A_4F16_9462_FB365670BAD2_.wvu.FilterData">BTG!$A$1:$AQ$1282</definedName>
    <definedName hidden="1" localSheetId="4" name="Z_CAA79F67_A6A3_4ED0_A1B0_0DAAC59C98FC_.wvu.FilterData">Safra!$K$2:$K$104</definedName>
    <definedName hidden="1" localSheetId="5" name="Z_CAA79F67_A6A3_4ED0_A1B0_0DAAC59C98FC_.wvu.FilterData">'Ágora'!$B$2:$AG$19</definedName>
    <definedName hidden="1" localSheetId="7" name="Z_CAA79F67_A6A3_4ED0_A1B0_0DAAC59C98FC_.wvu.FilterData">'XP Internacional'!$B$2:$AE$7</definedName>
    <definedName hidden="1" localSheetId="2" name="Z_CAA79F67_A6A3_4ED0_A1B0_0DAAC59C98FC_.wvu.FilterData">XP!$B$2:$AE$134</definedName>
    <definedName hidden="1" localSheetId="11" name="Z_CAA79F67_A6A3_4ED0_A1B0_0DAAC59C98FC_.wvu.FilterData">'Guide Arquivo'!$K$2:$K$403</definedName>
    <definedName hidden="1" localSheetId="1" name="Z_CAA79F67_A6A3_4ED0_A1B0_0DAAC59C98FC_.wvu.FilterData">BTG!$B$2:$AL$1282</definedName>
    <definedName hidden="1" localSheetId="7" name="Z_69A2FE61_06A8_43F0_9BB6_CA53305A03F9_.wvu.FilterData">'XP Internacional'!$A$1:$AE$6</definedName>
    <definedName hidden="1" localSheetId="2" name="Z_69A2FE61_06A8_43F0_9BB6_CA53305A03F9_.wvu.FilterData">XP!$A$1:$AE$132</definedName>
    <definedName hidden="1" localSheetId="1" name="Z_69A2FE61_06A8_43F0_9BB6_CA53305A03F9_.wvu.FilterData">BTG!$A$1:$AU$1278</definedName>
    <definedName hidden="1" localSheetId="7" name="Z_1FC13B34_835E_47A1_85A4_01FE60642626_.wvu.FilterData">'XP Internacional'!$A$1:$AE$6</definedName>
    <definedName hidden="1" localSheetId="2" name="Z_1FC13B34_835E_47A1_85A4_01FE60642626_.wvu.FilterData">XP!$A$1:$AE$132</definedName>
    <definedName hidden="1" localSheetId="1" name="Z_1FC13B34_835E_47A1_85A4_01FE60642626_.wvu.FilterData">BTG!$A$1:$AV$1278</definedName>
    <definedName hidden="1" localSheetId="7" name="Z_538FDDD0_78A9_40B0_A279_3A97BDFBD764_.wvu.FilterData">'XP Internacional'!$A$2:$AE$6</definedName>
    <definedName hidden="1" localSheetId="2" name="Z_538FDDD0_78A9_40B0_A279_3A97BDFBD764_.wvu.FilterData">XP!$A$2:$AE$132</definedName>
    <definedName hidden="1" localSheetId="1" name="Z_538FDDD0_78A9_40B0_A279_3A97BDFBD764_.wvu.FilterData">BTG!$A$2:$AW$1278</definedName>
    <definedName hidden="1" localSheetId="7" name="Z_A5110C8F_A3C9_4498_9128_3D1BCD33EAD6_.wvu.FilterData">'XP Internacional'!$A$1:$AE$7</definedName>
    <definedName hidden="1" localSheetId="2" name="Z_A5110C8F_A3C9_4498_9128_3D1BCD33EAD6_.wvu.FilterData">XP!$A$1:$AE$134</definedName>
    <definedName hidden="1" localSheetId="1" name="Z_A5110C8F_A3C9_4498_9128_3D1BCD33EAD6_.wvu.FilterData">BTG!$A$1:$AR$1282</definedName>
    <definedName hidden="1" localSheetId="7" name="Z_F68FA5A8_97B1_4212_8002_48B0E2190285_.wvu.FilterData">'XP Internacional'!$A$2:$AE$7</definedName>
    <definedName hidden="1" localSheetId="2" name="Z_F68FA5A8_97B1_4212_8002_48B0E2190285_.wvu.FilterData">XP!$A$2:$AE$134</definedName>
    <definedName hidden="1" localSheetId="1" name="Z_F68FA5A8_97B1_4212_8002_48B0E2190285_.wvu.FilterData">BTG!$A$2:$AQ$1282</definedName>
    <definedName hidden="1" localSheetId="7" name="Z_EE3A4244_611E_4446_9499_9903DB4304D2_.wvu.FilterData">'XP Internacional'!$A$2:$AE$6</definedName>
    <definedName hidden="1" localSheetId="2" name="Z_EE3A4244_611E_4446_9499_9903DB4304D2_.wvu.FilterData">XP!$A$2:$AE$132</definedName>
    <definedName hidden="1" localSheetId="1" name="Z_EE3A4244_611E_4446_9499_9903DB4304D2_.wvu.FilterData">BTG!$A$2:$AV$1278</definedName>
    <definedName hidden="1" localSheetId="0" name="Z_B2B469ED_065E_487B_B6B9_536EFFBE72EB_.wvu.FilterData">'Clientes Novos'!$B$1:$S$1</definedName>
    <definedName hidden="1" localSheetId="4" name="Z_B2B469ED_065E_487B_B6B9_536EFFBE72EB_.wvu.FilterData">Safra!$K$2:$K$104</definedName>
    <definedName hidden="1" localSheetId="7" name="Z_B2B469ED_065E_487B_B6B9_536EFFBE72EB_.wvu.FilterData">'XP Internacional'!$A$2:$AE$7</definedName>
    <definedName hidden="1" localSheetId="2" name="Z_B2B469ED_065E_487B_B6B9_536EFFBE72EB_.wvu.FilterData">XP!$A$2:$AE$134</definedName>
    <definedName hidden="1" localSheetId="11" name="Z_B2B469ED_065E_487B_B6B9_536EFFBE72EB_.wvu.FilterData">'Guide Arquivo'!$K$2:$K$403</definedName>
    <definedName hidden="1" localSheetId="1" name="Z_B2B469ED_065E_487B_B6B9_536EFFBE72EB_.wvu.FilterData">BTG!$A$2:$AQ$1282</definedName>
    <definedName hidden="1" localSheetId="5" name="Z_7206ACFF_4CDC_43A8_9D17_70E44C8BA13D_.wvu.FilterData">'Ágora'!$D$2:$F$26</definedName>
    <definedName hidden="1" localSheetId="7" name="Z_7206ACFF_4CDC_43A8_9D17_70E44C8BA13D_.wvu.FilterData">'XP Internacional'!$D$2:$F$12</definedName>
    <definedName hidden="1" localSheetId="2" name="Z_7206ACFF_4CDC_43A8_9D17_70E44C8BA13D_.wvu.FilterData">XP!$D$2:$F$139</definedName>
    <definedName hidden="1" localSheetId="1" name="Z_7206ACFF_4CDC_43A8_9D17_70E44C8BA13D_.wvu.FilterData">BTG!$D$2:$F$1287</definedName>
    <definedName hidden="1" localSheetId="5" name="Z_1E462D75_8D74_420B_A407_97545AE355DA_.wvu.FilterData">'Ágora'!$B$2:$AJ$18</definedName>
    <definedName hidden="1" localSheetId="7" name="Z_1E462D75_8D74_420B_A407_97545AE355DA_.wvu.FilterData">'XP Internacional'!$B$2:$AE$7</definedName>
    <definedName hidden="1" localSheetId="2" name="Z_1E462D75_8D74_420B_A407_97545AE355DA_.wvu.FilterData">XP!$B$2:$AE$134</definedName>
    <definedName hidden="1" localSheetId="1" name="Z_1E462D75_8D74_420B_A407_97545AE355DA_.wvu.FilterData">BTG!$B$2:$AO$1282</definedName>
    <definedName hidden="1" localSheetId="4" name="Z_9651023E_7900_4EB4_B4B6_58306FA6EAD7_.wvu.FilterData">Safra!$K$2:$K$104</definedName>
    <definedName hidden="1" localSheetId="11" name="Z_9651023E_7900_4EB4_B4B6_58306FA6EAD7_.wvu.FilterData">'Guide Arquivo'!$K$2:$K$403</definedName>
    <definedName hidden="1" localSheetId="1" name="Z_9651023E_7900_4EB4_B4B6_58306FA6EAD7_.wvu.FilterData">BTG!$AH$2:$AH$1287</definedName>
    <definedName hidden="1" localSheetId="7" name="Z_F891595F_A274_4CEA_9DDC_4053E320D873_.wvu.FilterData">'XP Internacional'!$A$2:$AE$6</definedName>
    <definedName hidden="1" localSheetId="2" name="Z_F891595F_A274_4CEA_9DDC_4053E320D873_.wvu.FilterData">XP!$A$2:$AE$132</definedName>
    <definedName hidden="1" localSheetId="1" name="Z_F891595F_A274_4CEA_9DDC_4053E320D873_.wvu.FilterData">BTG!$A$2:$AV$1278</definedName>
    <definedName hidden="1" localSheetId="1" name="Z_B62B8A34_5F4F_464F_8899_497992CDF1BB_.wvu.FilterData">BTG!$AW$13:$AW$1274</definedName>
    <definedName hidden="1" localSheetId="4" name="Z_2689B0F3_C848_484D_8837_E91813906F10_.wvu.FilterData">Safra!$A$1:$AE$96</definedName>
    <definedName hidden="1" localSheetId="7" name="Z_2689B0F3_C848_484D_8837_E91813906F10_.wvu.FilterData">'XP Internacional'!$A$1:$AE$7</definedName>
    <definedName hidden="1" localSheetId="2" name="Z_2689B0F3_C848_484D_8837_E91813906F10_.wvu.FilterData">XP!$A$1:$AE$134</definedName>
    <definedName hidden="1" localSheetId="11" name="Z_2689B0F3_C848_484D_8837_E91813906F10_.wvu.FilterData">'Guide Arquivo'!$A$1:$CC$395</definedName>
    <definedName hidden="1" localSheetId="1" name="Z_2689B0F3_C848_484D_8837_E91813906F10_.wvu.FilterData">BTG!$A$1:$AQ$1282</definedName>
    <definedName hidden="1" localSheetId="5" name="Z_22EAFBDC_F786_4265_98F2_E728CC4DB199_.wvu.FilterData">'Ágora'!$B$2:$AJ$18</definedName>
    <definedName hidden="1" localSheetId="7" name="Z_22EAFBDC_F786_4265_98F2_E728CC4DB199_.wvu.FilterData">'XP Internacional'!$B$2:$AE$7</definedName>
    <definedName hidden="1" localSheetId="2" name="Z_22EAFBDC_F786_4265_98F2_E728CC4DB199_.wvu.FilterData">XP!$B$2:$AE$134</definedName>
    <definedName hidden="1" localSheetId="1" name="Z_22EAFBDC_F786_4265_98F2_E728CC4DB199_.wvu.FilterData">BTG!$B$2:$AO$1282</definedName>
    <definedName hidden="1" localSheetId="5" name="Z_3222D8C9_292D_42A9_9FB9_C02C74427E3B_.wvu.FilterData">'Ágora'!$B$2:$AJ$18</definedName>
    <definedName hidden="1" localSheetId="7" name="Z_3222D8C9_292D_42A9_9FB9_C02C74427E3B_.wvu.FilterData">'XP Internacional'!$B$2:$AE$7</definedName>
    <definedName hidden="1" localSheetId="2" name="Z_3222D8C9_292D_42A9_9FB9_C02C74427E3B_.wvu.FilterData">XP!$B$2:$AE$134</definedName>
    <definedName hidden="1" localSheetId="1" name="Z_3222D8C9_292D_42A9_9FB9_C02C74427E3B_.wvu.FilterData">BTG!$B$2:$AO$1282</definedName>
    <definedName hidden="1" localSheetId="2" name="Z_CC8A7891_EB49_4940_A740_FC8BDC1AB592_.wvu.FilterData">XP!$A$1:$AE$132</definedName>
    <definedName hidden="1" localSheetId="7" name="Z_CC8A7891_EB49_4940_A740_FC8BDC1AB592_.wvu.FilterData">'XP Internacional'!$A$1:$AE$6</definedName>
    <definedName hidden="1" localSheetId="1" name="Z_CC8A7891_EB49_4940_A740_FC8BDC1AB592_.wvu.FilterData">BTG!$A$1:$AU$1278</definedName>
    <definedName hidden="1" localSheetId="7" name="Z_44DF447E_19F1_4EC8_8BEF_6D48B5598A57_.wvu.FilterData">'XP Internacional'!$A$2:$AE$6</definedName>
    <definedName hidden="1" localSheetId="2" name="Z_44DF447E_19F1_4EC8_8BEF_6D48B5598A57_.wvu.FilterData">XP!$A$2:$AE$132</definedName>
    <definedName hidden="1" localSheetId="1" name="Z_44DF447E_19F1_4EC8_8BEF_6D48B5598A57_.wvu.FilterData">BTG!$A$2:$AW$1278</definedName>
    <definedName hidden="1" localSheetId="2" name="Z_7241ABC4_7A48_45ED_A7DF_BA2A467779A1_.wvu.FilterData">XP!$A$2:$AE$132</definedName>
    <definedName hidden="1" localSheetId="7" name="Z_7241ABC4_7A48_45ED_A7DF_BA2A467779A1_.wvu.FilterData">'XP Internacional'!$A$2:$AE$6</definedName>
    <definedName hidden="1" localSheetId="1" name="Z_7241ABC4_7A48_45ED_A7DF_BA2A467779A1_.wvu.FilterData">BTG!$A$2:$AV$1278</definedName>
    <definedName hidden="1" localSheetId="7" name="Z_AC58E428_8995_4215_A75A_AD2C96080690_.wvu.FilterData">'XP Internacional'!$H$1:$I$5</definedName>
    <definedName hidden="1" localSheetId="2" name="Z_AC58E428_8995_4215_A75A_AD2C96080690_.wvu.FilterData">XP!$H$1:$I$132</definedName>
    <definedName hidden="1" localSheetId="1" name="Z_AC58E428_8995_4215_A75A_AD2C96080690_.wvu.FilterData">BTG!$H$1:$I$1280</definedName>
    <definedName hidden="1" localSheetId="7" name="Z_65680E02_236A_4088_A637_2526A6F5A73E_.wvu.FilterData">'XP Internacional'!$A$1:$AE$7</definedName>
    <definedName hidden="1" localSheetId="2" name="Z_65680E02_236A_4088_A637_2526A6F5A73E_.wvu.FilterData">XP!$A$1:$AE$134</definedName>
    <definedName hidden="1" localSheetId="1" name="Z_65680E02_236A_4088_A637_2526A6F5A73E_.wvu.FilterData">BTG!$A$1:$AQ$1282</definedName>
    <definedName hidden="1" localSheetId="4" name="Z_8D8D3085_AB50_4CBA_97BF_5552334D2C30_.wvu.FilterData">Safra!$B$2:$AE$104</definedName>
    <definedName hidden="1" localSheetId="5" name="Z_8D8D3085_AB50_4CBA_97BF_5552334D2C30_.wvu.FilterData">'Ágora'!$F$2:$F$26</definedName>
    <definedName hidden="1" localSheetId="7" name="Z_8D8D3085_AB50_4CBA_97BF_5552334D2C30_.wvu.FilterData">'XP Internacional'!$F$2:$F$12</definedName>
    <definedName hidden="1" localSheetId="2" name="Z_8D8D3085_AB50_4CBA_97BF_5552334D2C30_.wvu.FilterData">XP!$F$2:$F$139</definedName>
    <definedName hidden="1" localSheetId="11" name="Z_8D8D3085_AB50_4CBA_97BF_5552334D2C30_.wvu.FilterData">'Guide Arquivo'!$B$2:$BS$403</definedName>
    <definedName hidden="1" localSheetId="1" name="Z_8D8D3085_AB50_4CBA_97BF_5552334D2C30_.wvu.FilterData">BTG!$F$2:$F$1287</definedName>
    <definedName hidden="1" localSheetId="7" name="Z_8FF0F0BD_2ABF_4564_9B1A_9F23E317D8DE_.wvu.FilterData">'XP Internacional'!$A$2:$AE$6</definedName>
    <definedName hidden="1" localSheetId="2" name="Z_8FF0F0BD_2ABF_4564_9B1A_9F23E317D8DE_.wvu.FilterData">XP!$A$2:$AE$132</definedName>
    <definedName hidden="1" localSheetId="1" name="Z_8FF0F0BD_2ABF_4564_9B1A_9F23E317D8DE_.wvu.FilterData">BTG!$A$2:$AU$1278</definedName>
    <definedName hidden="1" localSheetId="4" name="Z_3D9A4475_5E5C_4472_A129_35E6A30C6B54_.wvu.FilterData">Safra!$K$2:$K$104</definedName>
    <definedName hidden="1" localSheetId="5" name="Z_3D9A4475_5E5C_4472_A129_35E6A30C6B54_.wvu.FilterData">'Ágora'!$K$2:$K$26</definedName>
    <definedName hidden="1" localSheetId="7" name="Z_3D9A4475_5E5C_4472_A129_35E6A30C6B54_.wvu.FilterData">'XP Internacional'!$K$2:$K$12</definedName>
    <definedName hidden="1" localSheetId="2" name="Z_3D9A4475_5E5C_4472_A129_35E6A30C6B54_.wvu.FilterData">XP!$K$2:$K$139</definedName>
    <definedName hidden="1" localSheetId="11" name="Z_3D9A4475_5E5C_4472_A129_35E6A30C6B54_.wvu.FilterData">'Guide Arquivo'!$K$2:$K$403</definedName>
    <definedName hidden="1" localSheetId="1" name="Z_3D9A4475_5E5C_4472_A129_35E6A30C6B54_.wvu.FilterData">BTG!$K$2:$K$1287</definedName>
    <definedName hidden="1" localSheetId="2" name="Z_0BD3746B_3FD0_468C_ABAC_538913C42215_.wvu.FilterData">XP!$A$1:$AE$138</definedName>
    <definedName hidden="1" localSheetId="7" name="Z_0BD3746B_3FD0_468C_ABAC_538913C42215_.wvu.FilterData">'XP Internacional'!$A$1:$AE$11</definedName>
    <definedName hidden="1" localSheetId="1" name="Z_0BD3746B_3FD0_468C_ABAC_538913C42215_.wvu.FilterData">BTG!$A$1:$AR$1287</definedName>
    <definedName hidden="1" localSheetId="7" name="Z_5AE5DDB4_0A42_4F43_9F28_CD5785369358_.wvu.FilterData">'XP Internacional'!$A$1:$AE$6</definedName>
    <definedName hidden="1" localSheetId="2" name="Z_5AE5DDB4_0A42_4F43_9F28_CD5785369358_.wvu.FilterData">XP!$A$1:$AE$132</definedName>
    <definedName hidden="1" localSheetId="1" name="Z_5AE5DDB4_0A42_4F43_9F28_CD5785369358_.wvu.FilterData">BTG!$A$1:$AW$1278</definedName>
    <definedName hidden="1" localSheetId="4" name="Z_E32AB26C_4D14_444C_AB57_6F022BBBD03C_.wvu.FilterData">Safra!$A$1:$AE$96</definedName>
    <definedName hidden="1" localSheetId="5" name="Z_E32AB26C_4D14_444C_AB57_6F022BBBD03C_.wvu.FilterData">'Ágora'!$AI$2:$AI$26</definedName>
    <definedName hidden="1" localSheetId="11" name="Z_E32AB26C_4D14_444C_AB57_6F022BBBD03C_.wvu.FilterData">'Guide Arquivo'!$A$1:$CA$395</definedName>
    <definedName hidden="1" localSheetId="1" name="Z_E32AB26C_4D14_444C_AB57_6F022BBBD03C_.wvu.FilterData">BTG!$AN$2:$AN$1287</definedName>
    <definedName hidden="1" localSheetId="2" name="Z_7811813C_14A1_4A80_B350_9619658DA978_.wvu.FilterData">XP!$A$1:$AE$134</definedName>
    <definedName hidden="1" localSheetId="7" name="Z_7811813C_14A1_4A80_B350_9619658DA978_.wvu.FilterData">'XP Internacional'!$A$1:$AE$7</definedName>
    <definedName hidden="1" localSheetId="1" name="Z_7811813C_14A1_4A80_B350_9619658DA978_.wvu.FilterData">BTG!$A$1:$AQ$1282</definedName>
    <definedName hidden="1" localSheetId="7" name="Z_9E44EB80_D057_49A3_B0D2_F7DA7E7CE002_.wvu.FilterData">'XP Internacional'!$A$1:$AE$6</definedName>
    <definedName hidden="1" localSheetId="2" name="Z_9E44EB80_D057_49A3_B0D2_F7DA7E7CE002_.wvu.FilterData">XP!$A$1:$AE$132</definedName>
    <definedName hidden="1" localSheetId="1" name="Z_9E44EB80_D057_49A3_B0D2_F7DA7E7CE002_.wvu.FilterData">BTG!$A$1:$AU$1278</definedName>
    <definedName hidden="1" localSheetId="5" name="Z_ABBBA665_4775_4A10_A798_C01BBFABA2EF_.wvu.FilterData">'Ágora'!$K$2:$K$26</definedName>
    <definedName hidden="1" localSheetId="7" name="Z_ABBBA665_4775_4A10_A798_C01BBFABA2EF_.wvu.FilterData">'XP Internacional'!$K$2:$K$12</definedName>
    <definedName hidden="1" localSheetId="2" name="Z_ABBBA665_4775_4A10_A798_C01BBFABA2EF_.wvu.FilterData">XP!$K$2:$K$139</definedName>
    <definedName hidden="1" localSheetId="1" name="Z_ABBBA665_4775_4A10_A798_C01BBFABA2EF_.wvu.FilterData">BTG!$K$2:$K$1287</definedName>
    <definedName hidden="1" localSheetId="7" name="Z_171F7247_BE81_48D0_A26A_F63427616EBA_.wvu.FilterData">'XP Internacional'!$A$1:$AE$6</definedName>
    <definedName hidden="1" localSheetId="2" name="Z_171F7247_BE81_48D0_A26A_F63427616EBA_.wvu.FilterData">XP!$A$1:$AE$132</definedName>
    <definedName hidden="1" localSheetId="1" name="Z_171F7247_BE81_48D0_A26A_F63427616EBA_.wvu.FilterData">BTG!$A$1:$AU$1278</definedName>
    <definedName hidden="1" localSheetId="7" name="Z_466D5FAB_D655_4B18_90D2_28C25ECFE9B0_.wvu.FilterData">'XP Internacional'!$A$2:$AE$6</definedName>
    <definedName hidden="1" localSheetId="2" name="Z_466D5FAB_D655_4B18_90D2_28C25ECFE9B0_.wvu.FilterData">XP!$A$2:$AE$132</definedName>
    <definedName hidden="1" localSheetId="1" name="Z_466D5FAB_D655_4B18_90D2_28C25ECFE9B0_.wvu.FilterData">BTG!$A$2:$AU$1278</definedName>
    <definedName hidden="1" localSheetId="5" name="Z_B7EA2B43_FFDE_4C9E_B072_96B56F96CE37_.wvu.FilterData">'Ágora'!$B$2:$AI$19</definedName>
    <definedName hidden="1" localSheetId="7" name="Z_B7EA2B43_FFDE_4C9E_B072_96B56F96CE37_.wvu.FilterData">'XP Internacional'!$B$2:$AE$7</definedName>
    <definedName hidden="1" localSheetId="2" name="Z_B7EA2B43_FFDE_4C9E_B072_96B56F96CE37_.wvu.FilterData">XP!$B$2:$AE$134</definedName>
    <definedName hidden="1" localSheetId="1" name="Z_B7EA2B43_FFDE_4C9E_B072_96B56F96CE37_.wvu.FilterData">BTG!$B$2:$AN$1282</definedName>
    <definedName hidden="1" localSheetId="7" name="Z_D72A8D76_4C52_45A1_B03B_AA69964DED90_.wvu.FilterData">'XP Internacional'!$A$1:$AE$12</definedName>
    <definedName hidden="1" localSheetId="2" name="Z_D72A8D76_4C52_45A1_B03B_AA69964DED90_.wvu.FilterData">XP!$A$1:$AE$139</definedName>
    <definedName hidden="1" localSheetId="1" name="Z_D72A8D76_4C52_45A1_B03B_AA69964DED90_.wvu.FilterData">BTG!$A$1:$AQ$1287</definedName>
    <definedName hidden="1" localSheetId="7" name="Z_51A8D2F4_8D86_4679_86B1_EA64A0EE4A10_.wvu.FilterData">'XP Internacional'!$A$1:$AE$6</definedName>
    <definedName hidden="1" localSheetId="2" name="Z_51A8D2F4_8D86_4679_86B1_EA64A0EE4A10_.wvu.FilterData">XP!$A$1:$AE$132</definedName>
    <definedName hidden="1" localSheetId="1" name="Z_51A8D2F4_8D86_4679_86B1_EA64A0EE4A10_.wvu.FilterData">BTG!$A$1:$AU$1278</definedName>
    <definedName hidden="1" localSheetId="5" name="Z_D2CEFE79_E609_463C_AA33_4D88E759492B_.wvu.FilterData">'Ágora'!$F$2:$F$26</definedName>
    <definedName hidden="1" localSheetId="7" name="Z_D2CEFE79_E609_463C_AA33_4D88E759492B_.wvu.FilterData">'XP Internacional'!$F$2:$F$12</definedName>
    <definedName hidden="1" localSheetId="2" name="Z_D2CEFE79_E609_463C_AA33_4D88E759492B_.wvu.FilterData">XP!$F$2:$F$139</definedName>
    <definedName hidden="1" localSheetId="1" name="Z_D2CEFE79_E609_463C_AA33_4D88E759492B_.wvu.FilterData">BTG!$F$2:$F$1287</definedName>
    <definedName hidden="1" localSheetId="7" name="Z_428C49DB_A299_4126_9E22_27159D3140B5_.wvu.FilterData">'XP Internacional'!$A$2:$AE$6</definedName>
    <definedName hidden="1" localSheetId="2" name="Z_428C49DB_A299_4126_9E22_27159D3140B5_.wvu.FilterData">XP!$A$2:$AE$132</definedName>
    <definedName hidden="1" localSheetId="1" name="Z_428C49DB_A299_4126_9E22_27159D3140B5_.wvu.FilterData">BTG!$A$2:$AU$1278</definedName>
    <definedName hidden="1" localSheetId="7" name="Z_A22650EC_12B2_4768_B2BE_5B4E4FD4134F_.wvu.FilterData">'XP Internacional'!$A$2:$AE$6</definedName>
    <definedName hidden="1" localSheetId="2" name="Z_A22650EC_12B2_4768_B2BE_5B4E4FD4134F_.wvu.FilterData">XP!$A$2:$AE$132</definedName>
    <definedName hidden="1" localSheetId="1" name="Z_A22650EC_12B2_4768_B2BE_5B4E4FD4134F_.wvu.FilterData">BTG!$A$2:$AW$1278</definedName>
    <definedName hidden="1" localSheetId="7" name="Z_902577D3_573C_4441_9717_39868E3B5A0E_.wvu.FilterData">'XP Internacional'!$A$2:$AE$6</definedName>
    <definedName hidden="1" localSheetId="2" name="Z_902577D3_573C_4441_9717_39868E3B5A0E_.wvu.FilterData">XP!$A$2:$AE$132</definedName>
    <definedName hidden="1" localSheetId="1" name="Z_902577D3_573C_4441_9717_39868E3B5A0E_.wvu.FilterData">BTG!$A$2:$AV$1278</definedName>
    <definedName hidden="1" localSheetId="7" name="Z_281EB145_47F3_4262_92E2_5389E42992B6_.wvu.FilterData">'XP Internacional'!$A$1:$AE$6</definedName>
    <definedName hidden="1" localSheetId="2" name="Z_281EB145_47F3_4262_92E2_5389E42992B6_.wvu.FilterData">XP!$A$1:$AE$132</definedName>
    <definedName hidden="1" localSheetId="1" name="Z_281EB145_47F3_4262_92E2_5389E42992B6_.wvu.FilterData">BTG!$A$1:$AW$1278</definedName>
    <definedName hidden="1" localSheetId="5" name="Z_31E47E3C_FDA0_4B26_8783_ED349E6494F7_.wvu.FilterData">'Ágora'!$B$2:$AJ$18</definedName>
    <definedName hidden="1" localSheetId="7" name="Z_31E47E3C_FDA0_4B26_8783_ED349E6494F7_.wvu.FilterData">'XP Internacional'!$B$2:$AE$7</definedName>
    <definedName hidden="1" localSheetId="2" name="Z_31E47E3C_FDA0_4B26_8783_ED349E6494F7_.wvu.FilterData">XP!$B$2:$AE$134</definedName>
    <definedName hidden="1" localSheetId="1" name="Z_31E47E3C_FDA0_4B26_8783_ED349E6494F7_.wvu.FilterData">BTG!$B$2:$AO$1282</definedName>
    <definedName hidden="1" localSheetId="5" name="Z_21B7878B_52E2_4788_B095_9054A5981802_.wvu.FilterData">'Ágora'!$K$2:$K$26</definedName>
    <definedName hidden="1" localSheetId="7" name="Z_21B7878B_52E2_4788_B095_9054A5981802_.wvu.FilterData">'XP Internacional'!$K$2:$K$12</definedName>
    <definedName hidden="1" localSheetId="2" name="Z_21B7878B_52E2_4788_B095_9054A5981802_.wvu.FilterData">XP!$K$2:$K$139</definedName>
    <definedName hidden="1" localSheetId="1" name="Z_21B7878B_52E2_4788_B095_9054A5981802_.wvu.FilterData">BTG!$K$2:$K$1287</definedName>
    <definedName hidden="1" localSheetId="5" name="Z_C47A8014_6FA4_42E4_9F12_F1011B9C099B_.wvu.FilterData">'Ágora'!$B$2:$AG$19</definedName>
    <definedName hidden="1" localSheetId="4" name="Z_C47A8014_6FA4_42E4_9F12_F1011B9C099B_.wvu.FilterData">Safra!$B$2:$P$104</definedName>
    <definedName hidden="1" localSheetId="7" name="Z_C47A8014_6FA4_42E4_9F12_F1011B9C099B_.wvu.FilterData">'XP Internacional'!$B$2:$AE$7</definedName>
    <definedName hidden="1" localSheetId="2" name="Z_C47A8014_6FA4_42E4_9F12_F1011B9C099B_.wvu.FilterData">XP!$B$2:$AE$134</definedName>
    <definedName hidden="1" localSheetId="11" name="Z_C47A8014_6FA4_42E4_9F12_F1011B9C099B_.wvu.FilterData">'Guide Arquivo'!$B$2:$P$403</definedName>
    <definedName hidden="1" localSheetId="1" name="Z_C47A8014_6FA4_42E4_9F12_F1011B9C099B_.wvu.FilterData">BTG!$B$2:$AL$1282</definedName>
    <definedName hidden="1" localSheetId="7" name="Z_F93CDEF9_2774_4CF9_AD7F_8B246521D3B8_.wvu.FilterData">'XP Internacional'!$A$1:$AE$6</definedName>
    <definedName hidden="1" localSheetId="2" name="Z_F93CDEF9_2774_4CF9_AD7F_8B246521D3B8_.wvu.FilterData">XP!$A$1:$AE$132</definedName>
    <definedName hidden="1" localSheetId="1" name="Z_F93CDEF9_2774_4CF9_AD7F_8B246521D3B8_.wvu.FilterData">BTG!$A$1:$AT$1278</definedName>
    <definedName hidden="1" localSheetId="7" name="Z_04FF9915_DD3B_4396_A7AF_B26F880882B9_.wvu.FilterData">'XP Internacional'!$A$1:$AE$12</definedName>
    <definedName hidden="1" localSheetId="2" name="Z_04FF9915_DD3B_4396_A7AF_B26F880882B9_.wvu.FilterData">XP!$A$1:$AE$139</definedName>
    <definedName hidden="1" localSheetId="1" name="Z_04FF9915_DD3B_4396_A7AF_B26F880882B9_.wvu.FilterData">BTG!$A$1:$AS$1287</definedName>
    <definedName hidden="1" localSheetId="4" name="Z_A0B95A44_8FE9_47B9_8B52_DE67E8D5CD4F_.wvu.FilterData">Safra!$A$1:$AE$96</definedName>
    <definedName hidden="1" localSheetId="5" name="Z_A0B95A44_8FE9_47B9_8B52_DE67E8D5CD4F_.wvu.FilterData">'Ágora'!$B$2:$AI$19</definedName>
    <definedName hidden="1" localSheetId="7" name="Z_A0B95A44_8FE9_47B9_8B52_DE67E8D5CD4F_.wvu.FilterData">'XP Internacional'!$B$2:$AE$7</definedName>
    <definedName hidden="1" localSheetId="2" name="Z_A0B95A44_8FE9_47B9_8B52_DE67E8D5CD4F_.wvu.FilterData">XP!$B$2:$AE$134</definedName>
    <definedName hidden="1" localSheetId="11" name="Z_A0B95A44_8FE9_47B9_8B52_DE67E8D5CD4F_.wvu.FilterData">'Guide Arquivo'!$A$1:$CC$395</definedName>
    <definedName hidden="1" localSheetId="1" name="Z_A0B95A44_8FE9_47B9_8B52_DE67E8D5CD4F_.wvu.FilterData">BTG!$B$2:$AN$1282</definedName>
    <definedName hidden="1" localSheetId="7" name="Z_8CF65A8E_5474_475B_B455_24393DDEE9FA_.wvu.FilterData">'XP Internacional'!$A$1:$AE$6</definedName>
    <definedName hidden="1" localSheetId="2" name="Z_8CF65A8E_5474_475B_B455_24393DDEE9FA_.wvu.FilterData">XP!$A$1:$AE$132</definedName>
    <definedName hidden="1" localSheetId="1" name="Z_8CF65A8E_5474_475B_B455_24393DDEE9FA_.wvu.FilterData">BTG!$A$1:$AT$1278</definedName>
    <definedName hidden="1" localSheetId="4" name="Z_7228C4C0_6366_410B_999F_F4ED1D860199_.wvu.FilterData">Safra!$A$2:$AE$96</definedName>
    <definedName hidden="1" localSheetId="5" name="Z_7228C4C0_6366_410B_999F_F4ED1D860199_.wvu.FilterData">'Ágora'!$F$2:$F$26</definedName>
    <definedName hidden="1" localSheetId="7" name="Z_7228C4C0_6366_410B_999F_F4ED1D860199_.wvu.FilterData">'XP Internacional'!$F$2:$F$12</definedName>
    <definedName hidden="1" localSheetId="2" name="Z_7228C4C0_6366_410B_999F_F4ED1D860199_.wvu.FilterData">XP!$F$2:$F$139</definedName>
    <definedName hidden="1" localSheetId="11" name="Z_7228C4C0_6366_410B_999F_F4ED1D860199_.wvu.FilterData">'Guide Arquivo'!$A$2:$BZ$395</definedName>
    <definedName hidden="1" localSheetId="1" name="Z_7228C4C0_6366_410B_999F_F4ED1D860199_.wvu.FilterData">BTG!$F$2:$F$1287</definedName>
    <definedName hidden="1" localSheetId="7" name="Z_F6C2467A_F0F2_4A7D_B977_32245C4F1613_.wvu.FilterData">'XP Internacional'!$A$1:$AE$6</definedName>
    <definedName hidden="1" localSheetId="2" name="Z_F6C2467A_F0F2_4A7D_B977_32245C4F1613_.wvu.FilterData">XP!$A$1:$AE$132</definedName>
    <definedName hidden="1" localSheetId="1" name="Z_F6C2467A_F0F2_4A7D_B977_32245C4F1613_.wvu.FilterData">BTG!$A$1:$AV$1278</definedName>
    <definedName hidden="1" localSheetId="0" name="Z_2F696A84_E0A2_4357_AFCA_01998AF33B79_.wvu.FilterData">'Clientes Novos'!$A$1:$A$11</definedName>
    <definedName hidden="1" localSheetId="4" name="Z_2F696A84_E0A2_4357_AFCA_01998AF33B79_.wvu.FilterData">Safra!$B$2:$AE$96</definedName>
    <definedName hidden="1" localSheetId="5" name="Z_2F696A84_E0A2_4357_AFCA_01998AF33B79_.wvu.FilterData">'Ágora'!$B$2:$AG$19</definedName>
    <definedName hidden="1" localSheetId="7" name="Z_2F696A84_E0A2_4357_AFCA_01998AF33B79_.wvu.FilterData">'XP Internacional'!$B$2:$AE$7</definedName>
    <definedName hidden="1" localSheetId="2" name="Z_2F696A84_E0A2_4357_AFCA_01998AF33B79_.wvu.FilterData">XP!$B$2:$AE$134</definedName>
    <definedName hidden="1" localSheetId="11" name="Z_2F696A84_E0A2_4357_AFCA_01998AF33B79_.wvu.FilterData">'Guide Arquivo'!$B$2:$BP$395</definedName>
    <definedName hidden="1" localSheetId="1" name="Z_2F696A84_E0A2_4357_AFCA_01998AF33B79_.wvu.FilterData">BTG!$B$2:$AL$1282</definedName>
    <definedName hidden="1" localSheetId="4" name="Z_67C01C50_489A_43C6_898D_F58DB0C2FE7C_.wvu.FilterData">Safra!$B$2:$AE$96</definedName>
    <definedName hidden="1" localSheetId="5" name="Z_67C01C50_489A_43C6_898D_F58DB0C2FE7C_.wvu.FilterData">'Ágora'!$K$2:$K$26</definedName>
    <definedName hidden="1" localSheetId="7" name="Z_67C01C50_489A_43C6_898D_F58DB0C2FE7C_.wvu.FilterData">'XP Internacional'!$K$2:$K$12</definedName>
    <definedName hidden="1" localSheetId="2" name="Z_67C01C50_489A_43C6_898D_F58DB0C2FE7C_.wvu.FilterData">XP!$K$2:$K$139</definedName>
    <definedName hidden="1" localSheetId="11" name="Z_67C01C50_489A_43C6_898D_F58DB0C2FE7C_.wvu.FilterData">'Guide Arquivo'!$B$2:$BU$395</definedName>
    <definedName hidden="1" localSheetId="1" name="Z_67C01C50_489A_43C6_898D_F58DB0C2FE7C_.wvu.FilterData">BTG!$K$2:$K$1287</definedName>
    <definedName hidden="1" localSheetId="5" name="Z_A03660A7_9D48_49DA_BC0E_ED8F769D2A1C_.wvu.FilterData">'Ágora'!$B$2:$AI$19</definedName>
    <definedName hidden="1" localSheetId="7" name="Z_A03660A7_9D48_49DA_BC0E_ED8F769D2A1C_.wvu.FilterData">'XP Internacional'!$B$2:$AE$7</definedName>
    <definedName hidden="1" localSheetId="2" name="Z_A03660A7_9D48_49DA_BC0E_ED8F769D2A1C_.wvu.FilterData">XP!$B$2:$AE$134</definedName>
    <definedName hidden="1" localSheetId="1" name="Z_A03660A7_9D48_49DA_BC0E_ED8F769D2A1C_.wvu.FilterData">BTG!$B$2:$AN$1282</definedName>
    <definedName hidden="1" localSheetId="7" name="Z_8A3172FC_4096_49AA_9413_180E1AFFE242_.wvu.FilterData">'XP Internacional'!$A$1:$AE$7</definedName>
    <definedName hidden="1" localSheetId="2" name="Z_8A3172FC_4096_49AA_9413_180E1AFFE242_.wvu.FilterData">XP!$A$1:$AE$134</definedName>
    <definedName hidden="1" localSheetId="1" name="Z_8A3172FC_4096_49AA_9413_180E1AFFE242_.wvu.FilterData">BTG!$A$1:$AQ$1282</definedName>
    <definedName hidden="1" localSheetId="7" name="Z_5C84BDDA_ECA1_49A6_AA70_22484C035470_.wvu.FilterData">'XP Internacional'!$J$1:$P$5</definedName>
    <definedName hidden="1" localSheetId="2" name="Z_5C84BDDA_ECA1_49A6_AA70_22484C035470_.wvu.FilterData">XP!$J$1:$P$132</definedName>
    <definedName hidden="1" localSheetId="1" name="Z_5C84BDDA_ECA1_49A6_AA70_22484C035470_.wvu.FilterData">BTG!$J$1:$P$1276</definedName>
    <definedName hidden="1" localSheetId="0" name="Z_F2EF48BC_2DE2_4EAE_9B39_DF0524B366C9_.wvu.FilterData">'Clientes Novos'!$B$1:$S$1</definedName>
    <definedName hidden="1" localSheetId="4" name="Z_F2EF48BC_2DE2_4EAE_9B39_DF0524B366C9_.wvu.FilterData">Safra!$K$2:$K$104</definedName>
    <definedName hidden="1" localSheetId="7" name="Z_F2EF48BC_2DE2_4EAE_9B39_DF0524B366C9_.wvu.FilterData">'XP Internacional'!$B$2:$AE$7</definedName>
    <definedName hidden="1" localSheetId="2" name="Z_F2EF48BC_2DE2_4EAE_9B39_DF0524B366C9_.wvu.FilterData">XP!$B$2:$AE$134</definedName>
    <definedName hidden="1" localSheetId="11" name="Z_F2EF48BC_2DE2_4EAE_9B39_DF0524B366C9_.wvu.FilterData">'Guide Arquivo'!$K$2:$K$403</definedName>
    <definedName hidden="1" localSheetId="1" name="Z_F2EF48BC_2DE2_4EAE_9B39_DF0524B366C9_.wvu.FilterData">BTG!$B$2:$AP$1282</definedName>
    <definedName hidden="1" localSheetId="7" name="Z_90494278_C593_4FBA_B90B_FB914FDE88CA_.wvu.FilterData">'XP Internacional'!$A$1:$AE$6</definedName>
    <definedName hidden="1" localSheetId="2" name="Z_90494278_C593_4FBA_B90B_FB914FDE88CA_.wvu.FilterData">XP!$A$1:$AE$132</definedName>
    <definedName hidden="1" localSheetId="1" name="Z_90494278_C593_4FBA_B90B_FB914FDE88CA_.wvu.FilterData">BTG!$A$1:$AU$1278</definedName>
    <definedName hidden="1" localSheetId="7" name="Z_290A7CAD_8498_49F2_ACC3_7E165D752B61_.wvu.FilterData">'XP Internacional'!$A$1:$AE$6</definedName>
    <definedName hidden="1" localSheetId="2" name="Z_290A7CAD_8498_49F2_ACC3_7E165D752B61_.wvu.FilterData">XP!$A$1:$AE$132</definedName>
    <definedName hidden="1" localSheetId="1" name="Z_290A7CAD_8498_49F2_ACC3_7E165D752B61_.wvu.FilterData">BTG!$A$1:$AW$1278</definedName>
    <definedName hidden="1" localSheetId="7" name="Z_9B73345C_F33C_41C8_B12C_AF426AF28CF2_.wvu.FilterData">'XP Internacional'!$A$1:$AE$11</definedName>
    <definedName hidden="1" localSheetId="2" name="Z_9B73345C_F33C_41C8_B12C_AF426AF28CF2_.wvu.FilterData">XP!$A$1:$AE$138</definedName>
    <definedName hidden="1" localSheetId="1" name="Z_9B73345C_F33C_41C8_B12C_AF426AF28CF2_.wvu.FilterData">BTG!$A$1:$AR$1287</definedName>
    <definedName hidden="1" localSheetId="7" name="Z_B6B1CE0E_38E0_4906_A76E_D306BEA256D4_.wvu.FilterData">'XP Internacional'!$A$1:$AE$6</definedName>
    <definedName hidden="1" localSheetId="2" name="Z_B6B1CE0E_38E0_4906_A76E_D306BEA256D4_.wvu.FilterData">XP!$A$1:$AE$132</definedName>
    <definedName hidden="1" localSheetId="1" name="Z_B6B1CE0E_38E0_4906_A76E_D306BEA256D4_.wvu.FilterData">BTG!$A$1:$AU$1278</definedName>
    <definedName hidden="1" localSheetId="2" name="Z_69049776_CFDF_4D0B_A26F_F2D5FB0083D2_.wvu.FilterData">XP!$A$1:$AE$132</definedName>
    <definedName hidden="1" localSheetId="7" name="Z_69049776_CFDF_4D0B_A26F_F2D5FB0083D2_.wvu.FilterData">'XP Internacional'!$A$1:$AE$6</definedName>
    <definedName hidden="1" localSheetId="1" name="Z_69049776_CFDF_4D0B_A26F_F2D5FB0083D2_.wvu.FilterData">BTG!$A$1:$AU$1278</definedName>
    <definedName hidden="1" localSheetId="5" name="Z_7F6EBB9D_4C6B_4F0A_9736_FC94E3B466E1_.wvu.FilterData">'Ágora'!$M$2:$O$26</definedName>
    <definedName hidden="1" localSheetId="7" name="Z_7F6EBB9D_4C6B_4F0A_9736_FC94E3B466E1_.wvu.FilterData">'XP Internacional'!$M$2:$O$12</definedName>
    <definedName hidden="1" localSheetId="2" name="Z_7F6EBB9D_4C6B_4F0A_9736_FC94E3B466E1_.wvu.FilterData">XP!$M$2:$O$139</definedName>
    <definedName hidden="1" localSheetId="1" name="Z_7F6EBB9D_4C6B_4F0A_9736_FC94E3B466E1_.wvu.FilterData">BTG!$M$2:$O$1287</definedName>
    <definedName hidden="1" localSheetId="2" name="Z_867688F4_DA77_491A_BC2D_EE63B05CD8C6_.wvu.FilterData">XP!$A$1:$AE$134</definedName>
    <definedName hidden="1" localSheetId="7" name="Z_867688F4_DA77_491A_BC2D_EE63B05CD8C6_.wvu.FilterData">'XP Internacional'!$A$1:$AE$7</definedName>
    <definedName hidden="1" localSheetId="1" name="Z_867688F4_DA77_491A_BC2D_EE63B05CD8C6_.wvu.FilterData">BTG!$A$1:$AR$1282</definedName>
    <definedName hidden="1" localSheetId="7" name="Z_660A2834_41D4_4E6F_9572_4A1EE6F73E5A_.wvu.FilterData">'XP Internacional'!$A$1:$AE$6</definedName>
    <definedName hidden="1" localSheetId="2" name="Z_660A2834_41D4_4E6F_9572_4A1EE6F73E5A_.wvu.FilterData">XP!$A$1:$AE$132</definedName>
    <definedName hidden="1" localSheetId="1" name="Z_660A2834_41D4_4E6F_9572_4A1EE6F73E5A_.wvu.FilterData">BTG!$A$1:$AU$1278</definedName>
    <definedName hidden="1" localSheetId="4" name="Z_C22C274A_8351_4552_955C_17C75AF11B50_.wvu.FilterData">Safra!$A$2:$AE$96</definedName>
    <definedName hidden="1" localSheetId="5" name="Z_C22C274A_8351_4552_955C_17C75AF11B50_.wvu.FilterData">'Ágora'!$D$2:$AI$26</definedName>
    <definedName hidden="1" localSheetId="7" name="Z_C22C274A_8351_4552_955C_17C75AF11B50_.wvu.FilterData">'XP Internacional'!$D$2:$AE$12</definedName>
    <definedName hidden="1" localSheetId="2" name="Z_C22C274A_8351_4552_955C_17C75AF11B50_.wvu.FilterData">XP!$D$2:$AE$139</definedName>
    <definedName hidden="1" localSheetId="11" name="Z_C22C274A_8351_4552_955C_17C75AF11B50_.wvu.FilterData">'Guide Arquivo'!$A$2:$CA$395</definedName>
    <definedName hidden="1" localSheetId="1" name="Z_C22C274A_8351_4552_955C_17C75AF11B50_.wvu.FilterData">BTG!$D$2:$AN$1287</definedName>
    <definedName hidden="1" localSheetId="4" name="Z_65EDCAC3_8E22_4FB8_922B_0B495E11E5DB_.wvu.FilterData">Safra!$A$2:$AE$96</definedName>
    <definedName hidden="1" localSheetId="5" name="Z_65EDCAC3_8E22_4FB8_922B_0B495E11E5DB_.wvu.FilterData">'Ágora'!$AH$2:$AH$26</definedName>
    <definedName hidden="1" localSheetId="11" name="Z_65EDCAC3_8E22_4FB8_922B_0B495E11E5DB_.wvu.FilterData">'Guide Arquivo'!$A$2:$CB$395</definedName>
    <definedName hidden="1" localSheetId="1" name="Z_65EDCAC3_8E22_4FB8_922B_0B495E11E5DB_.wvu.FilterData">BTG!$AM$2:$AM$1287</definedName>
    <definedName hidden="1" localSheetId="7" name="Z_0410CE2D_75BD_465E_9E8C_279627BB2044_.wvu.FilterData">'XP Internacional'!$A$1:$AE$12</definedName>
    <definedName hidden="1" localSheetId="2" name="Z_0410CE2D_75BD_465E_9E8C_279627BB2044_.wvu.FilterData">XP!$A$1:$AE$139</definedName>
    <definedName hidden="1" localSheetId="1" name="Z_0410CE2D_75BD_465E_9E8C_279627BB2044_.wvu.FilterData">BTG!$A$1:$AR$1287</definedName>
    <definedName hidden="1" localSheetId="7" name="Z_DB8907F8_5CF4_4338_A86D_37428C1ED7D2_.wvu.FilterData">'XP Internacional'!$A$1:$AE$6</definedName>
    <definedName hidden="1" localSheetId="2" name="Z_DB8907F8_5CF4_4338_A86D_37428C1ED7D2_.wvu.FilterData">XP!$A$1:$AE$132</definedName>
    <definedName hidden="1" localSheetId="1" name="Z_DB8907F8_5CF4_4338_A86D_37428C1ED7D2_.wvu.FilterData">BTG!$A$1:$AU$1278</definedName>
    <definedName hidden="1" localSheetId="4" name="Z_2B799362_B7B1_4E34_BAF1_CA385A7DA9EA_.wvu.FilterData">Safra!$B$2:$AE$96</definedName>
    <definedName hidden="1" localSheetId="5" name="Z_2B799362_B7B1_4E34_BAF1_CA385A7DA9EA_.wvu.FilterData">'Ágora'!$B$2:$AI$19</definedName>
    <definedName hidden="1" localSheetId="7" name="Z_2B799362_B7B1_4E34_BAF1_CA385A7DA9EA_.wvu.FilterData">'XP Internacional'!$B$2:$AE$7</definedName>
    <definedName hidden="1" localSheetId="2" name="Z_2B799362_B7B1_4E34_BAF1_CA385A7DA9EA_.wvu.FilterData">XP!$B$2:$AE$134</definedName>
    <definedName hidden="1" localSheetId="11" name="Z_2B799362_B7B1_4E34_BAF1_CA385A7DA9EA_.wvu.FilterData">'Guide Arquivo'!$B$2:$BQ$395</definedName>
    <definedName hidden="1" localSheetId="1" name="Z_2B799362_B7B1_4E34_BAF1_CA385A7DA9EA_.wvu.FilterData">BTG!$B$2:$AN$1282</definedName>
    <definedName hidden="1" localSheetId="5" name="Z_72FF36C8_C906_4432_A46B_8345044630C1_.wvu.FilterData">'Ágora'!$AJ$2:$AJ$26</definedName>
    <definedName hidden="1" localSheetId="1" name="Z_72FF36C8_C906_4432_A46B_8345044630C1_.wvu.FilterData">BTG!$AO$2:$AO$1287</definedName>
    <definedName hidden="1" localSheetId="7" name="Z_2351D5E5_F8AC_4E80_BACB_97F4DC969D91_.wvu.FilterData">'XP Internacional'!$A$1:$AE$6</definedName>
    <definedName hidden="1" localSheetId="2" name="Z_2351D5E5_F8AC_4E80_BACB_97F4DC969D91_.wvu.FilterData">XP!$A$1:$AE$132</definedName>
    <definedName hidden="1" localSheetId="1" name="Z_2351D5E5_F8AC_4E80_BACB_97F4DC969D91_.wvu.FilterData">BTG!$A$1:$AT$1278</definedName>
    <definedName hidden="1" localSheetId="7" name="Z_1378EEFE_F08B_4D31_8374_BF3463E0C9B2_.wvu.FilterData">'XP Internacional'!$A$1:$AE$6</definedName>
    <definedName hidden="1" localSheetId="2" name="Z_1378EEFE_F08B_4D31_8374_BF3463E0C9B2_.wvu.FilterData">XP!$A$1:$AE$132</definedName>
    <definedName hidden="1" localSheetId="1" name="Z_1378EEFE_F08B_4D31_8374_BF3463E0C9B2_.wvu.FilterData">BTG!$A$1:$AU$1278</definedName>
    <definedName hidden="1" localSheetId="7" name="Z_5CA085AB_9F04_4C5E_A250_EB57A3DB8059_.wvu.FilterData">'XP Internacional'!$A$2:$AE$6</definedName>
    <definedName hidden="1" localSheetId="2" name="Z_5CA085AB_9F04_4C5E_A250_EB57A3DB8059_.wvu.FilterData">XP!$A$2:$AE$132</definedName>
    <definedName hidden="1" localSheetId="1" name="Z_5CA085AB_9F04_4C5E_A250_EB57A3DB8059_.wvu.FilterData">BTG!$A$2:$AU$1278</definedName>
    <definedName hidden="1" localSheetId="7" name="Z_D4A6E9C6_7410_45D4_B7C4_015122FEDC4D_.wvu.FilterData">'XP Internacional'!$A$1:$AE$7</definedName>
    <definedName hidden="1" localSheetId="2" name="Z_D4A6E9C6_7410_45D4_B7C4_015122FEDC4D_.wvu.FilterData">XP!$A$1:$AE$134</definedName>
    <definedName hidden="1" localSheetId="1" name="Z_D4A6E9C6_7410_45D4_B7C4_015122FEDC4D_.wvu.FilterData">BTG!$A$1:$AQ$1282</definedName>
    <definedName hidden="1" localSheetId="7" name="Z_49DFE820_1C93_4C02_A5DC_F8D6F0A2587A_.wvu.FilterData">'XP Internacional'!$A$1:$AE$6</definedName>
    <definedName hidden="1" localSheetId="2" name="Z_49DFE820_1C93_4C02_A5DC_F8D6F0A2587A_.wvu.FilterData">XP!$A$1:$AE$132</definedName>
    <definedName hidden="1" localSheetId="1" name="Z_49DFE820_1C93_4C02_A5DC_F8D6F0A2587A_.wvu.FilterData">BTG!$A$1:$AW$1278</definedName>
    <definedName hidden="1" localSheetId="4" name="Z_7B595886_3679_4CE5_8338_C329E3005A7E_.wvu.FilterData">Safra!$A$2:$AE$96</definedName>
    <definedName hidden="1" localSheetId="5" name="Z_7B595886_3679_4CE5_8338_C329E3005A7E_.wvu.FilterData">'Ágora'!$F$2:$AI$26</definedName>
    <definedName hidden="1" localSheetId="7" name="Z_7B595886_3679_4CE5_8338_C329E3005A7E_.wvu.FilterData">'XP Internacional'!$F$2:$AE$12</definedName>
    <definedName hidden="1" localSheetId="2" name="Z_7B595886_3679_4CE5_8338_C329E3005A7E_.wvu.FilterData">XP!$F$2:$AE$139</definedName>
    <definedName hidden="1" localSheetId="11" name="Z_7B595886_3679_4CE5_8338_C329E3005A7E_.wvu.FilterData">'Guide Arquivo'!$A$2:$CB$395</definedName>
    <definedName hidden="1" localSheetId="1" name="Z_7B595886_3679_4CE5_8338_C329E3005A7E_.wvu.FilterData">BTG!$F$2:$AN$1287</definedName>
    <definedName hidden="1" localSheetId="7" name="Z_F6337007_513B_42BB_BB5C_E4B29034F3A9_.wvu.FilterData">'XP Internacional'!$A$2:$AE$6</definedName>
    <definedName hidden="1" localSheetId="2" name="Z_F6337007_513B_42BB_BB5C_E4B29034F3A9_.wvu.FilterData">XP!$A$2:$AE$132</definedName>
    <definedName hidden="1" localSheetId="1" name="Z_F6337007_513B_42BB_BB5C_E4B29034F3A9_.wvu.FilterData">BTG!$A$2:$AW$1278</definedName>
    <definedName hidden="1" localSheetId="7" name="Z_AC585C66_5314_4E46_945A_ACB6A5C6C665_.wvu.FilterData">'XP Internacional'!$A$1:$AE$7</definedName>
    <definedName hidden="1" localSheetId="2" name="Z_AC585C66_5314_4E46_945A_ACB6A5C6C665_.wvu.FilterData">XP!$A$1:$AE$134</definedName>
    <definedName hidden="1" localSheetId="1" name="Z_AC585C66_5314_4E46_945A_ACB6A5C6C665_.wvu.FilterData">BTG!$A$1:$AW$1282</definedName>
    <definedName hidden="1" localSheetId="7" name="Z_3E31C90A_3057_42E9_B92F_76D1CB60C81E_.wvu.FilterData">'XP Internacional'!$A$2:$AE$6</definedName>
    <definedName hidden="1" localSheetId="2" name="Z_3E31C90A_3057_42E9_B92F_76D1CB60C81E_.wvu.FilterData">XP!$A$2:$AE$132</definedName>
    <definedName hidden="1" localSheetId="1" name="Z_3E31C90A_3057_42E9_B92F_76D1CB60C81E_.wvu.FilterData">BTG!$A$2:$AW$1278</definedName>
    <definedName hidden="1" localSheetId="7" name="Z_9C32ABC4_642F_4A73_8F3D_FD161726996C_.wvu.FilterData">'XP Internacional'!$A$1:$AE$6</definedName>
    <definedName hidden="1" localSheetId="2" name="Z_9C32ABC4_642F_4A73_8F3D_FD161726996C_.wvu.FilterData">XP!$A$1:$AE$132</definedName>
    <definedName hidden="1" localSheetId="1" name="Z_9C32ABC4_642F_4A73_8F3D_FD161726996C_.wvu.FilterData">BTG!$A$1:$AW$1278</definedName>
    <definedName hidden="1" localSheetId="7" name="Z_1CB918E4_DFB3_4EDB_9A6F_2EB78141C963_.wvu.FilterData">'XP Internacional'!$A$1:$AE$6</definedName>
    <definedName hidden="1" localSheetId="2" name="Z_1CB918E4_DFB3_4EDB_9A6F_2EB78141C963_.wvu.FilterData">XP!$A$1:$AE$132</definedName>
    <definedName hidden="1" localSheetId="1" name="Z_1CB918E4_DFB3_4EDB_9A6F_2EB78141C963_.wvu.FilterData">BTG!$A$1:$AV$1278</definedName>
    <definedName hidden="1" localSheetId="7" name="Z_53A3823D_765D_4290_A114_7121374C6831_.wvu.FilterData">'XP Internacional'!$A$1:$AE$6</definedName>
    <definedName hidden="1" localSheetId="2" name="Z_53A3823D_765D_4290_A114_7121374C6831_.wvu.FilterData">XP!$A$1:$AE$132</definedName>
    <definedName hidden="1" localSheetId="1" name="Z_53A3823D_765D_4290_A114_7121374C6831_.wvu.FilterData">BTG!$A$1:$AU$1278</definedName>
    <definedName hidden="1" localSheetId="7" name="Z_5A18E0C5_1738_42D5_B301_46BE58627A66_.wvu.FilterData">'XP Internacional'!$A$1:$AE$6</definedName>
    <definedName hidden="1" localSheetId="2" name="Z_5A18E0C5_1738_42D5_B301_46BE58627A66_.wvu.FilterData">XP!$A$1:$AE$132</definedName>
    <definedName hidden="1" localSheetId="1" name="Z_5A18E0C5_1738_42D5_B301_46BE58627A66_.wvu.FilterData">BTG!$A$1:$AU$1278</definedName>
    <definedName hidden="1" localSheetId="7" name="Z_D9530DEF_0123_43FC_A161_4BC7736CB274_.wvu.FilterData">'XP Internacional'!$A$2:$AE$6</definedName>
    <definedName hidden="1" localSheetId="2" name="Z_D9530DEF_0123_43FC_A161_4BC7736CB274_.wvu.FilterData">XP!$A$2:$AE$132</definedName>
    <definedName hidden="1" localSheetId="1" name="Z_D9530DEF_0123_43FC_A161_4BC7736CB274_.wvu.FilterData">BTG!$A$2:$AV$1278</definedName>
    <definedName hidden="1" localSheetId="7" name="Z_0C1020D9_8109_496F_9ED6_28A7ED1A2AB7_.wvu.FilterData">'XP Internacional'!$A$2:$AE$6</definedName>
    <definedName hidden="1" localSheetId="2" name="Z_0C1020D9_8109_496F_9ED6_28A7ED1A2AB7_.wvu.FilterData">XP!$A$2:$AE$132</definedName>
    <definedName hidden="1" localSheetId="1" name="Z_0C1020D9_8109_496F_9ED6_28A7ED1A2AB7_.wvu.FilterData">BTG!$A$2:$AW$1278</definedName>
    <definedName hidden="1" localSheetId="7" name="Z_23BBB91E_E8AC_4A5C_A03A_F7CA7D1A1FA0_.wvu.FilterData">'XP Internacional'!$A$1:$AE$12</definedName>
    <definedName hidden="1" localSheetId="2" name="Z_23BBB91E_E8AC_4A5C_A03A_F7CA7D1A1FA0_.wvu.FilterData">XP!$A$1:$AE$139</definedName>
    <definedName hidden="1" localSheetId="1" name="Z_23BBB91E_E8AC_4A5C_A03A_F7CA7D1A1FA0_.wvu.FilterData">BTG!$A$1:$AR$1287</definedName>
    <definedName hidden="1" localSheetId="0" name="Z_FBD4E7F3_FBBA_4389_B8DB_C6E19298F85D_.wvu.FilterData">'Clientes Novos'!$B$1:$I$1</definedName>
    <definedName hidden="1" localSheetId="3" name="Z_FBD4E7F3_FBBA_4389_B8DB_C6E19298F85D_.wvu.FilterData">Genial!$A$2:$CF$33</definedName>
    <definedName hidden="1" localSheetId="4" name="Z_FBD4E7F3_FBBA_4389_B8DB_C6E19298F85D_.wvu.FilterData">Safra!$K$2:$P$56</definedName>
    <definedName hidden="1" localSheetId="5" name="Z_FBD4E7F3_FBBA_4389_B8DB_C6E19298F85D_.wvu.FilterData">'Ágora'!$K$2:$L$26</definedName>
    <definedName hidden="1" localSheetId="7" name="Z_FBD4E7F3_FBBA_4389_B8DB_C6E19298F85D_.wvu.FilterData">'XP Internacional'!$K$2:$L$12</definedName>
    <definedName hidden="1" localSheetId="2" name="Z_FBD4E7F3_FBBA_4389_B8DB_C6E19298F85D_.wvu.FilterData">XP!$K$2:$L$139</definedName>
    <definedName hidden="1" localSheetId="11" name="Z_FBD4E7F3_FBBA_4389_B8DB_C6E19298F85D_.wvu.FilterData">'Guide Arquivo'!$K$2:$P$241</definedName>
    <definedName hidden="1" localSheetId="12" name="Z_FBD4E7F3_FBBA_4389_B8DB_C6E19298F85D_.wvu.FilterData">'XP Arquivo'!$C$1:$BS$543</definedName>
    <definedName hidden="1" localSheetId="1" name="Z_FBD4E7F3_FBBA_4389_B8DB_C6E19298F85D_.wvu.FilterData">BTG!$K$2:$L$1287</definedName>
    <definedName hidden="1" localSheetId="5" name="Z_49814561_BE66_479A_BDCA_0D34ADCEB727_.wvu.FilterData">'Ágora'!$AJ$2:$AJ$26</definedName>
    <definedName hidden="1" localSheetId="1" name="Z_49814561_BE66_479A_BDCA_0D34ADCEB727_.wvu.FilterData">BTG!$AO$2:$AO$1287</definedName>
    <definedName hidden="1" localSheetId="5" name="Z_CB45C91D_37D9_452E_AFFE_508EB217137F_.wvu.FilterData">'Ágora'!$F$2:$F$26</definedName>
    <definedName hidden="1" localSheetId="7" name="Z_CB45C91D_37D9_452E_AFFE_508EB217137F_.wvu.FilterData">'XP Internacional'!$F$2:$F$12</definedName>
    <definedName hidden="1" localSheetId="2" name="Z_CB45C91D_37D9_452E_AFFE_508EB217137F_.wvu.FilterData">XP!$F$2:$F$139</definedName>
    <definedName hidden="1" localSheetId="1" name="Z_CB45C91D_37D9_452E_AFFE_508EB217137F_.wvu.FilterData">BTG!$F$2:$F$1287</definedName>
    <definedName hidden="1" localSheetId="7" name="Z_0E8B470D_7ADE_40FE_B97D_D07FC82360BD_.wvu.FilterData">'XP Internacional'!$A$2:$AE$6</definedName>
    <definedName hidden="1" localSheetId="2" name="Z_0E8B470D_7ADE_40FE_B97D_D07FC82360BD_.wvu.FilterData">XP!$A$2:$AE$132</definedName>
    <definedName hidden="1" localSheetId="1" name="Z_0E8B470D_7ADE_40FE_B97D_D07FC82360BD_.wvu.FilterData">BTG!$A$2:$AT$1278</definedName>
    <definedName hidden="1" localSheetId="4" name="Z_C62C338D_6DD7_4E1D_BD83_DBDE22838042_.wvu.FilterData">Safra!$B$2:$P$104</definedName>
    <definedName hidden="1" localSheetId="5" name="Z_C62C338D_6DD7_4E1D_BD83_DBDE22838042_.wvu.FilterData">'Ágora'!$K$2:$K$26</definedName>
    <definedName hidden="1" localSheetId="7" name="Z_C62C338D_6DD7_4E1D_BD83_DBDE22838042_.wvu.FilterData">'XP Internacional'!$K$2:$K$12</definedName>
    <definedName hidden="1" localSheetId="2" name="Z_C62C338D_6DD7_4E1D_BD83_DBDE22838042_.wvu.FilterData">XP!$K$2:$K$139</definedName>
    <definedName hidden="1" localSheetId="11" name="Z_C62C338D_6DD7_4E1D_BD83_DBDE22838042_.wvu.FilterData">'Guide Arquivo'!$B$2:$P$403</definedName>
    <definedName hidden="1" localSheetId="1" name="Z_C62C338D_6DD7_4E1D_BD83_DBDE22838042_.wvu.FilterData">BTG!$K$2:$K$1287</definedName>
    <definedName hidden="1" localSheetId="7" name="Z_D657000B_DB7E_4866_89BA_EE41C00F8715_.wvu.FilterData">'XP Internacional'!$A$2:$AE$6</definedName>
    <definedName hidden="1" localSheetId="2" name="Z_D657000B_DB7E_4866_89BA_EE41C00F8715_.wvu.FilterData">XP!$A$2:$AE$132</definedName>
    <definedName hidden="1" localSheetId="1" name="Z_D657000B_DB7E_4866_89BA_EE41C00F8715_.wvu.FilterData">BTG!$A$2:$AV$1278</definedName>
    <definedName hidden="1" localSheetId="4" name="Z_B720098B_70F4_44B5_833C_52F5E38957BF_.wvu.FilterData">Safra!$B$2:$P$104</definedName>
    <definedName hidden="1" localSheetId="5" name="Z_B720098B_70F4_44B5_833C_52F5E38957BF_.wvu.FilterData">'Ágora'!$B$2:$AG$19</definedName>
    <definedName hidden="1" localSheetId="2" name="Z_B720098B_70F4_44B5_833C_52F5E38957BF_.wvu.FilterData">XP!$B$2:$AE$134</definedName>
    <definedName hidden="1" localSheetId="7" name="Z_B720098B_70F4_44B5_833C_52F5E38957BF_.wvu.FilterData">'XP Internacional'!$B$2:$AE$7</definedName>
    <definedName hidden="1" localSheetId="11" name="Z_B720098B_70F4_44B5_833C_52F5E38957BF_.wvu.FilterData">'Guide Arquivo'!$B$2:$P$403</definedName>
    <definedName hidden="1" localSheetId="1" name="Z_B720098B_70F4_44B5_833C_52F5E38957BF_.wvu.FilterData">BTG!$B$2:$AL$1282</definedName>
    <definedName hidden="1" localSheetId="4" name="Z_D231C3E6_8F34_4669_BD4B_6375A5FD1A7D_.wvu.FilterData">Safra!$A$1:$AE$96</definedName>
    <definedName hidden="1" localSheetId="5" name="Z_D231C3E6_8F34_4669_BD4B_6375A5FD1A7D_.wvu.FilterData">'Ágora'!$B$2:$AI$26</definedName>
    <definedName hidden="1" localSheetId="7" name="Z_D231C3E6_8F34_4669_BD4B_6375A5FD1A7D_.wvu.FilterData">'XP Internacional'!$B$2:$AE$12</definedName>
    <definedName hidden="1" localSheetId="2" name="Z_D231C3E6_8F34_4669_BD4B_6375A5FD1A7D_.wvu.FilterData">XP!$B$2:$AE$139</definedName>
    <definedName hidden="1" localSheetId="11" name="Z_D231C3E6_8F34_4669_BD4B_6375A5FD1A7D_.wvu.FilterData">'Guide Arquivo'!$A$1:$BZ$395</definedName>
    <definedName hidden="1" localSheetId="1" name="Z_D231C3E6_8F34_4669_BD4B_6375A5FD1A7D_.wvu.FilterData">BTG!$B$2:$AN$1287</definedName>
    <definedName hidden="1" localSheetId="7" name="Z_1A5CB954_232D_4D49_A5F7_C09A85AC5DA3_.wvu.FilterData">'XP Internacional'!$A$1:$AE$6</definedName>
    <definedName hidden="1" localSheetId="2" name="Z_1A5CB954_232D_4D49_A5F7_C09A85AC5DA3_.wvu.FilterData">XP!$A$1:$AE$132</definedName>
    <definedName hidden="1" localSheetId="1" name="Z_1A5CB954_232D_4D49_A5F7_C09A85AC5DA3_.wvu.FilterData">BTG!$A$1:$AT$1278</definedName>
    <definedName hidden="1" localSheetId="5" name="Z_08F7F748_3961_4A6D_B19F_B00BB1F86BAE_.wvu.FilterData">'Ágora'!$D$2:$F$26</definedName>
    <definedName hidden="1" localSheetId="7" name="Z_08F7F748_3961_4A6D_B19F_B00BB1F86BAE_.wvu.FilterData">'XP Internacional'!$D$2:$F$12</definedName>
    <definedName hidden="1" localSheetId="2" name="Z_08F7F748_3961_4A6D_B19F_B00BB1F86BAE_.wvu.FilterData">XP!$D$2:$F$139</definedName>
    <definedName hidden="1" localSheetId="1" name="Z_08F7F748_3961_4A6D_B19F_B00BB1F86BAE_.wvu.FilterData">BTG!$D$2:$F$1287</definedName>
    <definedName hidden="1" localSheetId="5" name="Z_181C22BD_9FB8_4211_B38F_92D0B2C9BC50_.wvu.FilterData">'Ágora'!$B$2:$AJ$18</definedName>
    <definedName hidden="1" localSheetId="7" name="Z_181C22BD_9FB8_4211_B38F_92D0B2C9BC50_.wvu.FilterData">'XP Internacional'!$B$2:$AE$7</definedName>
    <definedName hidden="1" localSheetId="2" name="Z_181C22BD_9FB8_4211_B38F_92D0B2C9BC50_.wvu.FilterData">XP!$B$2:$AE$134</definedName>
    <definedName hidden="1" localSheetId="1" name="Z_181C22BD_9FB8_4211_B38F_92D0B2C9BC50_.wvu.FilterData">BTG!$B$2:$AO$1282</definedName>
    <definedName hidden="1" localSheetId="4" name="Z_60066A11_447C_4650_AEF7_9FE005963B06_.wvu.FilterData">Safra!$B$2:$AE$96</definedName>
    <definedName hidden="1" localSheetId="7" name="Z_60066A11_447C_4650_AEF7_9FE005963B06_.wvu.FilterData">'XP Internacional'!$A$1:$AE$7</definedName>
    <definedName hidden="1" localSheetId="2" name="Z_60066A11_447C_4650_AEF7_9FE005963B06_.wvu.FilterData">XP!$A$1:$AE$134</definedName>
    <definedName hidden="1" localSheetId="11" name="Z_60066A11_447C_4650_AEF7_9FE005963B06_.wvu.FilterData">'Guide Arquivo'!$B$2:$BQ$395</definedName>
    <definedName hidden="1" localSheetId="1" name="Z_60066A11_447C_4650_AEF7_9FE005963B06_.wvu.FilterData">BTG!$A$1:$AQ$1282</definedName>
    <definedName hidden="1" localSheetId="7" name="Z_6584D975_877B_45B6_93A9_51B70EB0018E_.wvu.FilterData">'XP Internacional'!$A$1:$AE$7</definedName>
    <definedName hidden="1" localSheetId="2" name="Z_6584D975_877B_45B6_93A9_51B70EB0018E_.wvu.FilterData">XP!$A$1:$AE$134</definedName>
    <definedName hidden="1" localSheetId="1" name="Z_6584D975_877B_45B6_93A9_51B70EB0018E_.wvu.FilterData">BTG!$A$1:$AW$1282</definedName>
    <definedName hidden="1" localSheetId="7" name="Z_1E1E7651_8A79_4640_8C04_6985941B1A23_.wvu.FilterData">'XP Internacional'!$A$1:$AE$6</definedName>
    <definedName hidden="1" localSheetId="2" name="Z_1E1E7651_8A79_4640_8C04_6985941B1A23_.wvu.FilterData">XP!$A$1:$AE$132</definedName>
    <definedName hidden="1" localSheetId="1" name="Z_1E1E7651_8A79_4640_8C04_6985941B1A23_.wvu.FilterData">BTG!$A$1:$AW$1278</definedName>
    <definedName hidden="1" localSheetId="7" name="Z_7908B5B3_622B_49DE_9EE9_800AD2280514_.wvu.FilterData">'XP Internacional'!$A$1:$AE$6</definedName>
    <definedName hidden="1" localSheetId="2" name="Z_7908B5B3_622B_49DE_9EE9_800AD2280514_.wvu.FilterData">XP!$A$1:$AE$132</definedName>
    <definedName hidden="1" localSheetId="1" name="Z_7908B5B3_622B_49DE_9EE9_800AD2280514_.wvu.FilterData">BTG!$A$1:$AU$1278</definedName>
    <definedName hidden="1" localSheetId="5" name="Z_F74C4763_B110_4317_BA48_93E15369D235_.wvu.FilterData">'Ágora'!$Q$2:$Q$26</definedName>
    <definedName hidden="1" localSheetId="7" name="Z_F74C4763_B110_4317_BA48_93E15369D235_.wvu.FilterData">'XP Internacional'!$Q$2:$Q$12</definedName>
    <definedName hidden="1" localSheetId="2" name="Z_F74C4763_B110_4317_BA48_93E15369D235_.wvu.FilterData">XP!$Q$2:$Q$139</definedName>
    <definedName hidden="1" localSheetId="1" name="Z_F74C4763_B110_4317_BA48_93E15369D235_.wvu.FilterData">BTG!$Q$2:$Q$1287</definedName>
    <definedName hidden="1" localSheetId="0" name="Z_A214FC91_2926_4021_8CFF_EA2F61021101_.wvu.FilterData">'Clientes Novos'!$B$1:$S$1</definedName>
    <definedName hidden="1" localSheetId="3" name="Z_A214FC91_2926_4021_8CFF_EA2F61021101_.wvu.FilterData">Genial!$A$1:$CC$41</definedName>
    <definedName hidden="1" localSheetId="4" name="Z_A214FC91_2926_4021_8CFF_EA2F61021101_.wvu.FilterData">Safra!$L$2:$L$104</definedName>
    <definedName hidden="1" localSheetId="5" name="Z_A214FC91_2926_4021_8CFF_EA2F61021101_.wvu.FilterData">'Ágora'!$B$2:$AK$18</definedName>
    <definedName hidden="1" localSheetId="7" name="Z_A214FC91_2926_4021_8CFF_EA2F61021101_.wvu.FilterData">'XP Internacional'!$B$2:$AE$7</definedName>
    <definedName hidden="1" localSheetId="2" name="Z_A214FC91_2926_4021_8CFF_EA2F61021101_.wvu.FilterData">XP!$B$2:$AE$134</definedName>
    <definedName hidden="1" localSheetId="9" name="Z_A214FC91_2926_4021_8CFF_EA2F61021101_.wvu.FilterData">'Interactive Brokers'!$B$2:$AF$21</definedName>
    <definedName hidden="1" localSheetId="8" name="Z_A214FC91_2926_4021_8CFF_EA2F61021101_.wvu.FilterData">Pershing!$B$2:$AM$38</definedName>
    <definedName hidden="1" localSheetId="11" name="Z_A214FC91_2926_4021_8CFF_EA2F61021101_.wvu.FilterData">'Guide Arquivo'!$L$2:$L$403</definedName>
    <definedName hidden="1" localSheetId="12" name="Z_A214FC91_2926_4021_8CFF_EA2F61021101_.wvu.FilterData">'XP Arquivo'!$C$1:$BN$543</definedName>
    <definedName hidden="1" localSheetId="18" name="Z_A214FC91_2926_4021_8CFF_EA2F61021101_.wvu.FilterData">'Saídas'!$A$2:$K$798</definedName>
    <definedName hidden="1" localSheetId="1" name="Z_A214FC91_2926_4021_8CFF_EA2F61021101_.wvu.FilterData">BTG!$B$2:$AP$1282</definedName>
    <definedName hidden="1" localSheetId="5" name="Z_0341D29D_7608_4A0E_B511_8874684203B9_.wvu.FilterData">'Ágora'!$B$2:$AI$26</definedName>
    <definedName hidden="1" localSheetId="2" name="Z_0341D29D_7608_4A0E_B511_8874684203B9_.wvu.FilterData">XP!$B$2:$AE$139</definedName>
    <definedName hidden="1" localSheetId="7" name="Z_0341D29D_7608_4A0E_B511_8874684203B9_.wvu.FilterData">'XP Internacional'!$B$2:$AE$12</definedName>
    <definedName hidden="1" localSheetId="1" name="Z_0341D29D_7608_4A0E_B511_8874684203B9_.wvu.FilterData">BTG!$B$2:$AN$1287</definedName>
    <definedName hidden="1" localSheetId="5" name="Z_B9CAED52_F68F_46DC_BC9D_365E252014AF_.wvu.FilterData">'Ágora'!$F$2:$M$26</definedName>
    <definedName hidden="1" localSheetId="7" name="Z_B9CAED52_F68F_46DC_BC9D_365E252014AF_.wvu.FilterData">'XP Internacional'!$F$2:$M$12</definedName>
    <definedName hidden="1" localSheetId="2" name="Z_B9CAED52_F68F_46DC_BC9D_365E252014AF_.wvu.FilterData">XP!$F$2:$M$139</definedName>
    <definedName hidden="1" localSheetId="1" name="Z_B9CAED52_F68F_46DC_BC9D_365E252014AF_.wvu.FilterData">BTG!$F$2:$M$1287</definedName>
    <definedName hidden="1" localSheetId="7" name="Z_AD03D55C_02EC_4A45_85EF_6E94354AF395_.wvu.FilterData">'XP Internacional'!$A$1:$AE$12</definedName>
    <definedName hidden="1" localSheetId="2" name="Z_AD03D55C_02EC_4A45_85EF_6E94354AF395_.wvu.FilterData">XP!$A$1:$AE$139</definedName>
    <definedName hidden="1" localSheetId="1" name="Z_AD03D55C_02EC_4A45_85EF_6E94354AF395_.wvu.FilterData">BTG!$A$1:$AR$1287</definedName>
    <definedName hidden="1" localSheetId="7" name="Z_4E09A950_F52E_442B_8DC3_BD654493555F_.wvu.FilterData">'XP Internacional'!$A$1:$AE$6</definedName>
    <definedName hidden="1" localSheetId="2" name="Z_4E09A950_F52E_442B_8DC3_BD654493555F_.wvu.FilterData">XP!$A$1:$AE$132</definedName>
    <definedName hidden="1" localSheetId="1" name="Z_4E09A950_F52E_442B_8DC3_BD654493555F_.wvu.FilterData">BTG!$A$1:$AV$1278</definedName>
    <definedName hidden="1" localSheetId="7" name="Z_68DA9D9B_2BB9_4E03_B61D_259411CE2611_.wvu.FilterData">'XP Internacional'!$A$1:$AE$7</definedName>
    <definedName hidden="1" localSheetId="2" name="Z_68DA9D9B_2BB9_4E03_B61D_259411CE2611_.wvu.FilterData">XP!$A$1:$AE$134</definedName>
    <definedName hidden="1" localSheetId="1" name="Z_68DA9D9B_2BB9_4E03_B61D_259411CE2611_.wvu.FilterData">BTG!$A$1:$AQ$1282</definedName>
    <definedName hidden="1" localSheetId="7" name="Z_298F1453_B650_4D68_9A4F_A9E86BD56A4D_.wvu.FilterData">'XP Internacional'!$A$2:$AE$6</definedName>
    <definedName hidden="1" localSheetId="2" name="Z_298F1453_B650_4D68_9A4F_A9E86BD56A4D_.wvu.FilterData">XP!$A$2:$AE$132</definedName>
    <definedName hidden="1" localSheetId="1" name="Z_298F1453_B650_4D68_9A4F_A9E86BD56A4D_.wvu.FilterData">BTG!$A$2:$AW$1278</definedName>
    <definedName hidden="1" localSheetId="7" name="Z_D383AB68_0115_4D3B_B6BE_207AECE317EE_.wvu.FilterData">'XP Internacional'!$A$1:$AE$6</definedName>
    <definedName hidden="1" localSheetId="2" name="Z_D383AB68_0115_4D3B_B6BE_207AECE317EE_.wvu.FilterData">XP!$A$1:$AE$132</definedName>
    <definedName hidden="1" localSheetId="1" name="Z_D383AB68_0115_4D3B_B6BE_207AECE317EE_.wvu.FilterData">BTG!$A$1:$AU$1278</definedName>
    <definedName hidden="1" localSheetId="5" name="Z_CFC6ADAB_EA49_4F10_AB39_1F497DAF85D3_.wvu.FilterData">'Ágora'!$F$2:$F$26</definedName>
    <definedName hidden="1" localSheetId="7" name="Z_CFC6ADAB_EA49_4F10_AB39_1F497DAF85D3_.wvu.FilterData">'XP Internacional'!$F$2:$F$12</definedName>
    <definedName hidden="1" localSheetId="2" name="Z_CFC6ADAB_EA49_4F10_AB39_1F497DAF85D3_.wvu.FilterData">XP!$F$2:$F$139</definedName>
    <definedName hidden="1" localSheetId="1" name="Z_CFC6ADAB_EA49_4F10_AB39_1F497DAF85D3_.wvu.FilterData">BTG!$F$2:$F$1287</definedName>
    <definedName hidden="1" localSheetId="7" name="Z_DF1A3CB9_3C9E_40AC_BF2C_102973F9E739_.wvu.FilterData">'XP Internacional'!$A$1:$AE$6</definedName>
    <definedName hidden="1" localSheetId="2" name="Z_DF1A3CB9_3C9E_40AC_BF2C_102973F9E739_.wvu.FilterData">XP!$A$1:$AE$132</definedName>
    <definedName hidden="1" localSheetId="1" name="Z_DF1A3CB9_3C9E_40AC_BF2C_102973F9E739_.wvu.FilterData">BTG!$A$1:$AV$1278</definedName>
    <definedName hidden="1" localSheetId="7" name="Z_9D3DEFCC_A924_4E8D_9CE6_778E89A63856_.wvu.FilterData">'XP Internacional'!$A$1:$F$5</definedName>
    <definedName hidden="1" localSheetId="2" name="Z_9D3DEFCC_A924_4E8D_9CE6_778E89A63856_.wvu.FilterData">XP!$A$1:$F$132</definedName>
    <definedName hidden="1" localSheetId="1" name="Z_9D3DEFCC_A924_4E8D_9CE6_778E89A63856_.wvu.FilterData">BTG!$A$1:$F$1278</definedName>
    <definedName hidden="1" localSheetId="2" name="Z_CA9CE70D_C062_42B7_A5AF_9E10E753649D_.wvu.FilterData">XP!$A$1:$AE$134</definedName>
    <definedName hidden="1" localSheetId="7" name="Z_CA9CE70D_C062_42B7_A5AF_9E10E753649D_.wvu.FilterData">'XP Internacional'!$A$1:$AE$7</definedName>
    <definedName hidden="1" localSheetId="1" name="Z_CA9CE70D_C062_42B7_A5AF_9E10E753649D_.wvu.FilterData">BTG!$A$1:$AQ$1282</definedName>
    <definedName hidden="1" localSheetId="7" name="Z_CCB54C7E_993A_4B2D_ACB8_60B4B8B158D0_.wvu.FilterData">'XP Internacional'!$A$2:$AE$6</definedName>
    <definedName hidden="1" localSheetId="2" name="Z_CCB54C7E_993A_4B2D_ACB8_60B4B8B158D0_.wvu.FilterData">XP!$A$2:$AE$132</definedName>
    <definedName hidden="1" localSheetId="1" name="Z_CCB54C7E_993A_4B2D_ACB8_60B4B8B158D0_.wvu.FilterData">BTG!$A$2:$AW$1278</definedName>
    <definedName hidden="1" localSheetId="7" name="Z_2259A80A_0B36_4E70_A4A9_9EEA18E02BB8_.wvu.FilterData">'XP Internacional'!$A$1:$AE$6</definedName>
    <definedName hidden="1" localSheetId="2" name="Z_2259A80A_0B36_4E70_A4A9_9EEA18E02BB8_.wvu.FilterData">XP!$A$1:$AE$132</definedName>
    <definedName hidden="1" localSheetId="1" name="Z_2259A80A_0B36_4E70_A4A9_9EEA18E02BB8_.wvu.FilterData">BTG!$A$1:$AW$1278</definedName>
    <definedName hidden="1" localSheetId="7" name="Z_C0B03341_4AEF_4BF7_A18B_DDC8CBEE8AA1_.wvu.FilterData">'XP Internacional'!$A$2:$AE$6</definedName>
    <definedName hidden="1" localSheetId="2" name="Z_C0B03341_4AEF_4BF7_A18B_DDC8CBEE8AA1_.wvu.FilterData">XP!$A$2:$AE$132</definedName>
    <definedName hidden="1" localSheetId="1" name="Z_C0B03341_4AEF_4BF7_A18B_DDC8CBEE8AA1_.wvu.FilterData">BTG!$A$2:$AV$1278</definedName>
    <definedName hidden="1" localSheetId="4" name="Z_5D99C391_A582_4147_B89C_A2E2E90FF18D_.wvu.FilterData">Safra!$K$2:$P$104</definedName>
    <definedName hidden="1" localSheetId="5" name="Z_5D99C391_A582_4147_B89C_A2E2E90FF18D_.wvu.FilterData">'Ágora'!$B$2:$AG$19</definedName>
    <definedName hidden="1" localSheetId="7" name="Z_5D99C391_A582_4147_B89C_A2E2E90FF18D_.wvu.FilterData">'XP Internacional'!$B$2:$AE$7</definedName>
    <definedName hidden="1" localSheetId="2" name="Z_5D99C391_A582_4147_B89C_A2E2E90FF18D_.wvu.FilterData">XP!$B$2:$AE$134</definedName>
    <definedName hidden="1" localSheetId="11" name="Z_5D99C391_A582_4147_B89C_A2E2E90FF18D_.wvu.FilterData">'Guide Arquivo'!$K$2:$P$403</definedName>
    <definedName hidden="1" localSheetId="1" name="Z_5D99C391_A582_4147_B89C_A2E2E90FF18D_.wvu.FilterData">BTG!$B$2:$AL$1282</definedName>
    <definedName hidden="1" localSheetId="5" name="Z_F54AB606_0A02_4CDB_B6E2_C5D4DD633C39_.wvu.FilterData">'Ágora'!$M$2:$M$26</definedName>
    <definedName hidden="1" localSheetId="7" name="Z_F54AB606_0A02_4CDB_B6E2_C5D4DD633C39_.wvu.FilterData">'XP Internacional'!$M$2:$M$12</definedName>
    <definedName hidden="1" localSheetId="2" name="Z_F54AB606_0A02_4CDB_B6E2_C5D4DD633C39_.wvu.FilterData">XP!$M$2:$M$139</definedName>
    <definedName hidden="1" localSheetId="1" name="Z_F54AB606_0A02_4CDB_B6E2_C5D4DD633C39_.wvu.FilterData">BTG!$M$2:$M$1287</definedName>
  </definedNames>
  <calcPr/>
  <customWorkbookViews>
    <customWorkbookView activeSheetId="0" maximized="1" windowHeight="0" windowWidth="0" guid="{D1D59EAF-0D63-4FBE-B89F-57DAF6BA1C2D}" name="Filtro 6"/>
    <customWorkbookView activeSheetId="0" maximized="1" windowHeight="0" windowWidth="0" guid="{77048510-7681-471A-8ABA-CEF5057C5417}" name="Filtro 112"/>
    <customWorkbookView activeSheetId="0" maximized="1" windowHeight="0" windowWidth="0" guid="{8E23099A-352A-46B6-8EAF-566C415C9723}" name="Filtro 43"/>
    <customWorkbookView activeSheetId="0" maximized="1" windowHeight="0" windowWidth="0" guid="{0C67F5DA-14A5-47C5-91B5-988FF202FC69}" name="Filtro 21"/>
    <customWorkbookView activeSheetId="0" maximized="1" windowHeight="0" windowWidth="0" guid="{CF50F9BD-DAED-4762-A970-27959259F675}" name="Filtro 127"/>
    <customWorkbookView activeSheetId="0" maximized="1" windowHeight="0" windowWidth="0" guid="{065E01C9-57BE-450A-9C4A-C82F63BD101C}" name="Filtro 121"/>
    <customWorkbookView activeSheetId="0" maximized="1" windowHeight="0" windowWidth="0" guid="{00E60367-C557-4A9D-ABF1-08D0B4DFDFC8}" name="Filtro 64"/>
    <customWorkbookView activeSheetId="0" maximized="1" windowHeight="0" windowWidth="0" guid="{98849F6F-DF55-434F-8EC1-0BF9B8DC5EE7}" name="Filtro 36"/>
    <customWorkbookView activeSheetId="0" maximized="1" windowHeight="0" windowWidth="0" guid="{F5354E08-B6E9-4CA3-B3EA-CD773B8ADACB}" name="Filtro 96"/>
    <customWorkbookView activeSheetId="0" maximized="1" windowHeight="0" windowWidth="0" guid="{2BED0996-212A-43D6-A5BB-6E4636AD45BE}" name="Filtro 144"/>
    <customWorkbookView activeSheetId="0" maximized="1" windowHeight="0" windowWidth="0" guid="{FFF8B650-CBF3-4052-87D6-A8C0A82089E5}" name="Filtro 126"/>
    <customWorkbookView activeSheetId="0" maximized="1" windowHeight="0" windowWidth="0" guid="{D9F720D9-5985-417C-9131-10AEE008595B}" name="Filtro 119"/>
    <customWorkbookView activeSheetId="0" maximized="1" windowHeight="0" windowWidth="0" guid="{722B78C8-FCD4-4998-92AC-C08554C3B012}" name="Filtro 33"/>
    <customWorkbookView activeSheetId="0" maximized="1" windowHeight="0" windowWidth="0" guid="{70B0536D-D383-4AAB-9558-2A0D578102A2}" name="Filtro 95"/>
    <customWorkbookView activeSheetId="0" maximized="1" windowHeight="0" windowWidth="0" guid="{654A5899-80B2-4C15-A2FD-0DB5CDC13F98}" name="Filtro 48"/>
    <customWorkbookView activeSheetId="0" maximized="1" windowHeight="0" windowWidth="0" guid="{18305FC1-D259-4640-9665-7FBD61614DE9}" name="Filtro 81"/>
    <customWorkbookView activeSheetId="0" maximized="1" windowHeight="0" windowWidth="0" guid="{E9EF4B04-EC2E-4866-A0D6-B498EEFB67F1}" name="Filtro 45"/>
    <customWorkbookView activeSheetId="0" maximized="1" windowHeight="0" windowWidth="0" guid="{06003629-F286-4216-A213-4AFE1E36A40B}" name="Filtro 18"/>
    <customWorkbookView activeSheetId="0" maximized="1" windowHeight="0" windowWidth="0" guid="{B0EBEE94-932C-4E01-8EA0-E4B52D8BC3D0}" name="Filtro 150"/>
    <customWorkbookView activeSheetId="0" maximized="1" windowHeight="0" windowWidth="0" guid="{C6AF0DFC-8C6B-4361-8E96-E27C127094D5}" name="Filtro 122"/>
    <customWorkbookView activeSheetId="0" maximized="1" windowHeight="0" windowWidth="0" guid="{6029AC19-417B-4102-AB04-0D587EB064E7}" name="Filtro 85"/>
    <customWorkbookView activeSheetId="0" maximized="1" windowHeight="0" windowWidth="0" guid="{7995FA59-641A-41E1-A8E4-4E25098B6ECE}" name="Filtro 176"/>
    <customWorkbookView activeSheetId="0" maximized="1" windowHeight="0" windowWidth="0" guid="{1B07E80D-FBB4-4384-987D-9AD626C1FAAA}" name="Filtro 159"/>
    <customWorkbookView activeSheetId="0" maximized="1" windowHeight="0" windowWidth="0" guid="{782C1766-D366-4791-A229-466454E378AF}" name="Filtro 99"/>
    <customWorkbookView activeSheetId="0" maximized="1" windowHeight="0" windowWidth="0" guid="{451C6C33-BC1A-49FA-B291-60C00A458E45}" name="Filtro 141"/>
    <customWorkbookView activeSheetId="0" maximized="1" windowHeight="0" windowWidth="0" guid="{70E57EE2-2FF1-4169-9A89-59FDF3A2B70F}" name="Filtro 101"/>
    <customWorkbookView activeSheetId="0" maximized="1" windowHeight="0" windowWidth="0" guid="{3AF03EB6-56CC-4410-8FFA-3735BC7F66A2}" name="Filtro 14"/>
    <customWorkbookView activeSheetId="0" maximized="1" windowHeight="0" windowWidth="0" guid="{CE2411D1-E1EA-4B10-9A09-B64AA7454FEF}" name="Filtro 15"/>
    <customWorkbookView activeSheetId="0" maximized="1" windowHeight="0" windowWidth="0" guid="{BDEA0D28-6EB0-4544-8313-7877B5E9979F}" name="Filtro 61"/>
    <customWorkbookView activeSheetId="0" maximized="1" windowHeight="0" windowWidth="0" guid="{E80CA402-71E3-41A6-BCC8-EF9B79EFF256}" name="Filtro 66"/>
    <customWorkbookView activeSheetId="0" maximized="1" windowHeight="0" windowWidth="0" guid="{8D0E9103-9A25-42C2-8CEF-4FE04634B0B7}" name="Filtro 77"/>
    <customWorkbookView activeSheetId="0" maximized="1" windowHeight="0" windowWidth="0" guid="{80EACFF0-21DA-499B-A807-CBB674849A80}" name="Filtro 170"/>
    <customWorkbookView activeSheetId="0" maximized="1" windowHeight="0" windowWidth="0" guid="{B604FAC0-0919-4A33-B240-F21979965E15}" name="Filtro 65"/>
    <customWorkbookView activeSheetId="0" maximized="1" windowHeight="0" windowWidth="0" guid="{03F8594D-D81D-41D8-8166-E0E039D1D75A}" name="Filtro 24"/>
    <customWorkbookView activeSheetId="0" maximized="1" windowHeight="0" windowWidth="0" guid="{112F537C-77AF-4182-AB1C-99E1DCD0F91A}" name="Filtro 62"/>
    <customWorkbookView activeSheetId="0" maximized="1" windowHeight="0" windowWidth="0" guid="{76811BFC-6AF1-42FD-933F-8DEF2DDC606B}" name="Filtro 30"/>
    <customWorkbookView activeSheetId="0" maximized="1" windowHeight="0" windowWidth="0" guid="{C1CA0EF5-D163-4398-B2A2-BDDFC98F2FB3}" name="Filtro 42"/>
    <customWorkbookView activeSheetId="0" maximized="1" windowHeight="0" windowWidth="0" guid="{4E06399B-CA7D-4E4D-A17E-E4B9B1AF63C4}" name="Filtro 67"/>
    <customWorkbookView activeSheetId="0" maximized="1" windowHeight="0" windowWidth="0" guid="{BC0B1DB1-8786-41B4-8FFF-B82431D10F35}" name="Filtro 54"/>
    <customWorkbookView activeSheetId="0" maximized="1" windowHeight="0" windowWidth="0" guid="{4E961BEB-49AD-4B3A-B742-A30ADAC0D0C3}" name="Filtro 60"/>
    <customWorkbookView activeSheetId="0" maximized="1" windowHeight="0" windowWidth="0" guid="{B40945C9-974D-43EF-AB93-58449A090935}" name="Filtro 27"/>
    <customWorkbookView activeSheetId="0" maximized="1" windowHeight="0" windowWidth="0" guid="{70F7446A-0DAC-4D27-A21A-B34FE380E0B8}" name="Filtro 57"/>
    <customWorkbookView activeSheetId="0" maximized="1" windowHeight="0" windowWidth="0" guid="{BED19743-79B0-4CE0-8BB5-CC952BE87801}" name="Filtro 102"/>
    <customWorkbookView activeSheetId="0" maximized="1" windowHeight="0" windowWidth="0" guid="{89658390-5C37-4C7E-86DD-F1980A0E7F1E}" name="Filtro 110"/>
    <customWorkbookView activeSheetId="0" maximized="1" windowHeight="0" windowWidth="0" guid="{98958A95-4992-40C8-8E85-ED54A4B5623A}" name="Filtro 104"/>
    <customWorkbookView activeSheetId="0" maximized="1" windowHeight="0" windowWidth="0" guid="{1C90D351-8183-4CD8-8B10-7D7D43346581}" name="Filtro 134"/>
    <customWorkbookView activeSheetId="0" maximized="1" windowHeight="0" windowWidth="0" guid="{981F54B3-AD47-4881-8E48-9580C9672236}" name="Filtro 108"/>
    <customWorkbookView activeSheetId="0" maximized="1" windowHeight="0" windowWidth="0" guid="{0395DF53-412F-4E58-A92E-3DC69A727BB5}" name="Filtro 178"/>
    <customWorkbookView activeSheetId="0" maximized="1" windowHeight="0" windowWidth="0" guid="{E2D20005-B3FA-4B28-9FF1-464AED71BB3E}" name="Filtro 169"/>
    <customWorkbookView activeSheetId="0" maximized="1" windowHeight="0" windowWidth="0" guid="{3E797136-3B85-4512-BAFF-677FFB5D6710}" name="Filtro 94"/>
    <customWorkbookView activeSheetId="0" maximized="1" windowHeight="0" windowWidth="0" guid="{876BADF1-FCFF-4C45-A0CD-C6DF3171442D}" name="Filtro 51"/>
    <customWorkbookView activeSheetId="0" maximized="1" windowHeight="0" windowWidth="0" guid="{B7695AD5-7545-4CED-8EDC-4FB5BC578C39}" name="Filtro 145"/>
    <customWorkbookView activeSheetId="0" maximized="1" windowHeight="0" windowWidth="0" guid="{D32BF63B-B2CA-4C3E-931C-80018C77A928}" name="Filtro 17"/>
    <customWorkbookView activeSheetId="0" maximized="1" windowHeight="0" windowWidth="0" guid="{DBF97924-AD64-437D-8F5D-C0F6C70BE8D1}" name="Filtro 173"/>
    <customWorkbookView activeSheetId="0" maximized="1" windowHeight="0" windowWidth="0" guid="{0635E86D-97FE-4BEF-B100-0431664E8011}" name="Filtro 100"/>
    <customWorkbookView activeSheetId="0" maximized="1" windowHeight="0" windowWidth="0" guid="{97ED08F8-0902-4DF2-B169-6E35A244D709}" name="Filtro 12"/>
    <customWorkbookView activeSheetId="0" maximized="1" windowHeight="0" windowWidth="0" guid="{E9BF6AF0-BC32-4F88-8BD2-3FA7A1B4D5AB}" name="Filtro 55"/>
    <customWorkbookView activeSheetId="0" maximized="1" windowHeight="0" windowWidth="0" guid="{0D6E73C6-3261-43FB-A2C9-4B9A53AC06CB}" name="Filtro 68"/>
    <customWorkbookView activeSheetId="0" maximized="1" windowHeight="0" windowWidth="0" guid="{03FF394B-A3CC-412E-AC3C-43FCE662566C}" name="Filtro 97"/>
    <customWorkbookView activeSheetId="0" maximized="1" windowHeight="0" windowWidth="0" guid="{3F7281AE-855A-4F16-9462-FB365670BAD2}" name="Filtro 84"/>
    <customWorkbookView activeSheetId="0" maximized="1" windowHeight="0" windowWidth="0" guid="{CAA79F67-A6A3-4ED0-A1B0-0DAAC59C98FC}" name="Filtro 9"/>
    <customWorkbookView activeSheetId="0" maximized="1" windowHeight="0" windowWidth="0" guid="{69A2FE61-06A8-43F0-9BB6-CA53305A03F9}" name="Filtro 117"/>
    <customWorkbookView activeSheetId="0" maximized="1" windowHeight="0" windowWidth="0" guid="{1FC13B34-835E-47A1-85A4-01FE60642626}" name="Filtro 147"/>
    <customWorkbookView activeSheetId="0" maximized="1" windowHeight="0" windowWidth="0" guid="{538FDDD0-78A9-40B0-A279-3A97BDFBD764}" name="Filtro 156"/>
    <customWorkbookView activeSheetId="0" maximized="1" windowHeight="0" windowWidth="0" guid="{A5110C8F-A3C9-4498-9128-3D1BCD33EAD6}" name="Filtro 86"/>
    <customWorkbookView activeSheetId="0" maximized="1" windowHeight="0" windowWidth="0" guid="{F68FA5A8-97B1-4212-8002-48B0E2190285}" name="Filtro 78"/>
    <customWorkbookView activeSheetId="0" maximized="1" windowHeight="0" windowWidth="0" guid="{EE3A4244-611E-4446-9499-9903DB4304D2}" name="Filtro 148"/>
    <customWorkbookView activeSheetId="0" maximized="1" windowHeight="0" windowWidth="0" guid="{B2B469ED-065E-487B-B6B9-536EFFBE72EB}" name="Filtro 5"/>
    <customWorkbookView activeSheetId="0" maximized="1" windowHeight="0" windowWidth="0" guid="{7206ACFF-4CDC-43A8-9D17-70E44C8BA13D}" name="Filtro 46"/>
    <customWorkbookView activeSheetId="0" maximized="1" windowHeight="0" windowWidth="0" guid="{1E462D75-8D74-420B-A407-97545AE355DA}" name="Filtro 69"/>
    <customWorkbookView activeSheetId="0" maximized="1" windowHeight="0" windowWidth="0" guid="{9651023E-7900-4EB4-B4B6-58306FA6EAD7}" name="Filtro 23"/>
    <customWorkbookView activeSheetId="0" maximized="1" windowHeight="0" windowWidth="0" guid="{F891595F-A274-4CEA-9DDC-4053E320D873}" name="Filtro 151"/>
    <customWorkbookView activeSheetId="0" maximized="1" windowHeight="0" windowWidth="0" guid="{B62B8A34-5F4F-464F-8899-497992CDF1BB}" name="Filtro 160"/>
    <customWorkbookView activeSheetId="0" maximized="1" windowHeight="0" windowWidth="0" guid="{2689B0F3-C848-484D-8837-E91813906F10}" name="Filtro 35"/>
    <customWorkbookView activeSheetId="0" maximized="1" windowHeight="0" windowWidth="0" guid="{22EAFBDC-F786-4265-98F2-E728CC4DB199}" name="Filtro 73"/>
    <customWorkbookView activeSheetId="0" maximized="1" windowHeight="0" windowWidth="0" guid="{3222D8C9-292D-42A9-9FB9-C02C74427E3B}" name="Filtro 71"/>
    <customWorkbookView activeSheetId="0" maximized="1" windowHeight="0" windowWidth="0" guid="{CC8A7891-EB49-4940-A740-FC8BDC1AB592}" name="Filtro 128"/>
    <customWorkbookView activeSheetId="0" maximized="1" windowHeight="0" windowWidth="0" guid="{44DF447E-19F1-4EC8-8BEF-6D48B5598A57}" name="Filtro 161"/>
    <customWorkbookView activeSheetId="0" maximized="1" windowHeight="0" windowWidth="0" guid="{7241ABC4-7A48-45ED-A7DF-BA2A467779A1}" name="Filtro 146"/>
    <customWorkbookView activeSheetId="0" maximized="1" windowHeight="0" windowWidth="0" guid="{AC58E428-8995-4215-A75A-AD2C96080690}" name="Filtro 177"/>
    <customWorkbookView activeSheetId="0" maximized="1" windowHeight="0" windowWidth="0" guid="{65680E02-236A-4088-A637-2526A6F5A73E}" name="Filtro 82"/>
    <customWorkbookView activeSheetId="0" maximized="1" windowHeight="0" windowWidth="0" guid="{8D8D3085-AB50-4CBA-97BF-5552334D2C30}" name="Filtro 22"/>
    <customWorkbookView activeSheetId="0" maximized="1" windowHeight="0" windowWidth="0" guid="{8FF0F0BD-2ABF-4564-9B1A-9F23E317D8DE}" name="Filtro 136"/>
    <customWorkbookView activeSheetId="0" maximized="1" windowHeight="0" windowWidth="0" guid="{3D9A4475-5E5C-4472-A129-35E6A30C6B54}" name="Filtro 16"/>
    <customWorkbookView activeSheetId="0" maximized="1" windowHeight="0" windowWidth="0" guid="{0BD3746B-3FD0-468C-ABAC-538913C42215}" name="Filtro 90"/>
    <customWorkbookView activeSheetId="0" maximized="1" windowHeight="0" windowWidth="0" guid="{5AE5DDB4-0A42-4F43-9F28-CD5785369358}" name="Filtro 157"/>
    <customWorkbookView activeSheetId="0" maximized="1" windowHeight="0" windowWidth="0" guid="{E32AB26C-4D14-444C-AB57-6F022BBBD03C}" name="Filtro 28"/>
    <customWorkbookView activeSheetId="0" maximized="1" windowHeight="0" windowWidth="0" guid="{7811813C-14A1-4A80-B350-9619658DA978}" name="Filtro 79"/>
    <customWorkbookView activeSheetId="0" maximized="1" windowHeight="0" windowWidth="0" guid="{9E44EB80-D057-49A3-B0D2-F7DA7E7CE002}" name="Filtro 129"/>
    <customWorkbookView activeSheetId="0" maximized="1" windowHeight="0" windowWidth="0" guid="{ABBBA665-4775-4A10-A798-C01BBFABA2EF}" name="Filtro 52"/>
    <customWorkbookView activeSheetId="0" maximized="1" windowHeight="0" windowWidth="0" guid="{171F7247-BE81-48D0-A26A-F63427616EBA}" name="Filtro 133"/>
    <customWorkbookView activeSheetId="0" maximized="1" windowHeight="0" windowWidth="0" guid="{466D5FAB-D655-4B18-90D2-28C25ECFE9B0}" name="Filtro 113"/>
    <customWorkbookView activeSheetId="0" maximized="1" windowHeight="0" windowWidth="0" guid="{B7EA2B43-FFDE-4C9E-B072-96B56F96CE37}" name="Filtro 40"/>
    <customWorkbookView activeSheetId="0" maximized="1" windowHeight="0" windowWidth="0" guid="{D72A8D76-4C52-45A1-B03B-AA69964DED90}" name="Filtro 83"/>
    <customWorkbookView activeSheetId="0" maximized="1" windowHeight="0" windowWidth="0" guid="{51A8D2F4-8D86-4679-86B1-EA64A0EE4A10}" name="Filtro 115"/>
    <customWorkbookView activeSheetId="0" maximized="1" windowHeight="0" windowWidth="0" guid="{D2CEFE79-E609-463C-AA33-4D88E759492B}" name="Filtro 58"/>
    <customWorkbookView activeSheetId="0" maximized="1" windowHeight="0" windowWidth="0" guid="{428C49DB-A299-4126-9E22-27159D3140B5}" name="Filtro 132"/>
    <customWorkbookView activeSheetId="0" maximized="1" windowHeight="0" windowWidth="0" guid="{A22650EC-12B2-4768-B2BE-5B4E4FD4134F}" name="Filtro 163"/>
    <customWorkbookView activeSheetId="0" maximized="1" windowHeight="0" windowWidth="0" guid="{902577D3-573C-4441-9717-39868E3B5A0E}" name="Filtro 149"/>
    <customWorkbookView activeSheetId="0" maximized="1" windowHeight="0" windowWidth="0" guid="{281EB145-47F3-4262-92E2-5389E42992B6}" name="Filtro 171"/>
    <customWorkbookView activeSheetId="0" maximized="1" windowHeight="0" windowWidth="0" guid="{31E47E3C-FDA0-4B26-8783-ED349E6494F7}" name="Filtro 72"/>
    <customWorkbookView activeSheetId="0" maximized="1" windowHeight="0" windowWidth="0" guid="{21B7878B-52E2-4788-B095-9054A5981802}" name="Filtro 56"/>
    <customWorkbookView activeSheetId="0" maximized="1" windowHeight="0" windowWidth="0" guid="{C47A8014-6FA4-42E4-9F12-F1011B9C099B}" name="Filtro 11"/>
    <customWorkbookView activeSheetId="0" maximized="1" windowHeight="0" windowWidth="0" guid="{F93CDEF9-2774-4CF9-AD7F-8B246521D3B8}" name="Filtro 106"/>
    <customWorkbookView activeSheetId="0" maximized="1" windowHeight="0" windowWidth="0" guid="{04FF9915-DD3B-4396-A7AF-B26F880882B9}" name="Filtro 98"/>
    <customWorkbookView activeSheetId="0" maximized="1" windowHeight="0" windowWidth="0" guid="{A0B95A44-8FE9-47B9-8B52-DE67E8D5CD4F}" name="Filtro 34"/>
    <customWorkbookView activeSheetId="0" maximized="1" windowHeight="0" windowWidth="0" guid="{8CF65A8E-5474-475B-B455-24393DDEE9FA}" name="Filtro 109"/>
    <customWorkbookView activeSheetId="0" maximized="1" windowHeight="0" windowWidth="0" guid="{7228C4C0-6366-410B-999F-F4ED1D860199}" name="Filtro 26"/>
    <customWorkbookView activeSheetId="0" maximized="1" windowHeight="0" windowWidth="0" guid="{F6C2467A-F0F2-4A7D-B977-32245C4F1613}" name="Filtro 140"/>
    <customWorkbookView activeSheetId="0" maximized="1" windowHeight="0" windowWidth="0" guid="{2F696A84-E0A2-4357-AFCA-01998AF33B79}" name="Filtro 4"/>
    <customWorkbookView activeSheetId="0" maximized="1" windowHeight="0" windowWidth="0" guid="{67C01C50-489A-43C6-898D-F58DB0C2FE7C}" name="Filtro 20"/>
    <customWorkbookView activeSheetId="0" maximized="1" windowHeight="0" windowWidth="0" guid="{A03660A7-9D48-49DA-BC0E-ED8F769D2A1C}" name="Filtro 39"/>
    <customWorkbookView activeSheetId="0" maximized="1" windowHeight="0" windowWidth="0" guid="{8A3172FC-4096-49AA-9413-180E1AFFE242}" name="Filtro 80"/>
    <customWorkbookView activeSheetId="0" maximized="1" windowHeight="0" windowWidth="0" guid="{5C84BDDA-ECA1-49A6-AA70-22484C035470}" name="Filtro 89"/>
    <customWorkbookView activeSheetId="0" maximized="1" windowHeight="0" windowWidth="0" guid="{F2EF48BC-2DE2-4EAE-9B39-DF0524B366C9}" name="Filtro 3"/>
    <customWorkbookView activeSheetId="0" maximized="1" windowHeight="0" windowWidth="0" guid="{90494278-C593-4FBA-B90B-FB914FDE88CA}" name="Filtro 116"/>
    <customWorkbookView activeSheetId="0" maximized="1" windowHeight="0" windowWidth="0" guid="{290A7CAD-8498-49F2-ACC3-7E165D752B61}" name="Filtro 158"/>
    <customWorkbookView activeSheetId="0" maximized="1" windowHeight="0" windowWidth="0" guid="{9B73345C-F33C-41C8-B12C-AF426AF28CF2}" name="Filtro 88"/>
    <customWorkbookView activeSheetId="0" maximized="1" windowHeight="0" windowWidth="0" guid="{B6B1CE0E-38E0-4906-A76E-D306BEA256D4}" name="Filtro 135"/>
    <customWorkbookView activeSheetId="0" maximized="1" windowHeight="0" windowWidth="0" guid="{69049776-CFDF-4D0B-A26F-F2D5FB0083D2}" name="Filtro 120"/>
    <customWorkbookView activeSheetId="0" maximized="1" windowHeight="0" windowWidth="0" guid="{7F6EBB9D-4C6B-4F0A-9736-FC94E3B466E1}" name="Filtro 59"/>
    <customWorkbookView activeSheetId="0" maximized="1" windowHeight="0" windowWidth="0" guid="{867688F4-DA77-491A-BC2D-EE63B05CD8C6}" name="Filtro 87"/>
    <customWorkbookView activeSheetId="0" maximized="1" windowHeight="0" windowWidth="0" guid="{660A2834-41D4-4E6F-9572-4A1EE6F73E5A}" name="Filtro 118"/>
    <customWorkbookView activeSheetId="0" maximized="1" windowHeight="0" windowWidth="0" guid="{C22C274A-8351-4552-955C-17C75AF11B50}" name="Filtro 29"/>
    <customWorkbookView activeSheetId="0" maximized="1" windowHeight="0" windowWidth="0" guid="{65EDCAC3-8E22-4FB8-922B-0B495E11E5DB}" name="Filtro 32"/>
    <customWorkbookView activeSheetId="0" maximized="1" windowHeight="0" windowWidth="0" guid="{0410CE2D-75BD-465E-9E8C-279627BB2044}" name="Filtro 93"/>
    <customWorkbookView activeSheetId="0" maximized="1" windowHeight="0" windowWidth="0" guid="{DB8907F8-5CF4-4338-A86D-37428C1ED7D2}" name="Filtro 125"/>
    <customWorkbookView activeSheetId="0" maximized="1" windowHeight="0" windowWidth="0" guid="{2B799362-B7B1-4E34-BAF1-CA385A7DA9EA}" name="Filtro 19"/>
    <customWorkbookView activeSheetId="0" maximized="1" windowHeight="0" windowWidth="0" guid="{72FF36C8-C906-4432-A46B-8345044630C1}" name="Filtro 53"/>
    <customWorkbookView activeSheetId="0" maximized="1" windowHeight="0" windowWidth="0" guid="{2351D5E5-F8AC-4E80-BACB-97F4DC969D91}" name="Filtro 103"/>
    <customWorkbookView activeSheetId="0" maximized="1" windowHeight="0" windowWidth="0" guid="{1378EEFE-F08B-4D31-8374-BF3463E0C9B2}" name="Filtro 124"/>
    <customWorkbookView activeSheetId="0" maximized="1" windowHeight="0" windowWidth="0" guid="{5CA085AB-9F04-4C5E-A250-EB57A3DB8059}" name="Filtro 130"/>
    <customWorkbookView activeSheetId="0" maximized="1" windowHeight="0" windowWidth="0" guid="{D4A6E9C6-7410-45D4-B7C4-015122FEDC4D}" name="Filtro 63"/>
    <customWorkbookView activeSheetId="0" maximized="1" windowHeight="0" windowWidth="0" guid="{49DFE820-1C93-4C02-A5DC-F8D6F0A2587A}" name="Filtro 164"/>
    <customWorkbookView activeSheetId="0" maximized="1" windowHeight="0" windowWidth="0" guid="{7B595886-3679-4CE5-8338-C329E3005A7E}" name="Filtro 31"/>
    <customWorkbookView activeSheetId="0" maximized="1" windowHeight="0" windowWidth="0" guid="{F6337007-513B-42BB-BB5C-E4B29034F3A9}" name="Filtro 165"/>
    <customWorkbookView activeSheetId="0" maximized="1" windowHeight="0" windowWidth="0" guid="{AC585C66-5314-4E46-945A-ACB6A5C6C665}" name="Filtro 174"/>
    <customWorkbookView activeSheetId="0" maximized="1" windowHeight="0" windowWidth="0" guid="{3E31C90A-3057-42E9-B92F-76D1CB60C81E}" name="Filtro 162"/>
    <customWorkbookView activeSheetId="0" maximized="1" windowHeight="0" windowWidth="0" guid="{9C32ABC4-642F-4A73-8F3D-FD161726996C}" name="Filtro 172"/>
    <customWorkbookView activeSheetId="0" maximized="1" windowHeight="0" windowWidth="0" guid="{1CB918E4-DFB3-4EDB-9A6F-2EB78141C963}" name="Filtro 138"/>
    <customWorkbookView activeSheetId="0" maximized="1" windowHeight="0" windowWidth="0" guid="{53A3823D-765D-4290-A114-7121374C6831}" name="Filtro 131"/>
    <customWorkbookView activeSheetId="0" maximized="1" windowHeight="0" windowWidth="0" guid="{5A18E0C5-1738-42D5-B301-46BE58627A66}" name="Filtro 114"/>
    <customWorkbookView activeSheetId="0" maximized="1" windowHeight="0" windowWidth="0" guid="{D9530DEF-0123-43FC-A161-4BC7736CB274}" name="Filtro 153"/>
    <customWorkbookView activeSheetId="0" maximized="1" windowHeight="0" windowWidth="0" guid="{0C1020D9-8109-496F-9ED6-28A7ED1A2AB7}" name="Filtro 168"/>
    <customWorkbookView activeSheetId="0" maximized="1" windowHeight="0" windowWidth="0" guid="{23BBB91E-E8AC-4A5C-A03A-F7CA7D1A1FA0}" name="Filtro 92"/>
    <customWorkbookView activeSheetId="0" maximized="1" windowHeight="0" windowWidth="0" guid="{FBD4E7F3-FBBA-4389-B8DB-C6E19298F85D}" name="Filtro 2"/>
    <customWorkbookView activeSheetId="0" maximized="1" windowHeight="0" windowWidth="0" guid="{49814561-BE66-479A-BDCA-0D34ADCEB727}" name="Filtro 47"/>
    <customWorkbookView activeSheetId="0" maximized="1" windowHeight="0" windowWidth="0" guid="{CB45C91D-37D9-452E-AFFE-508EB217137F}" name="Filtro 50"/>
    <customWorkbookView activeSheetId="0" maximized="1" windowHeight="0" windowWidth="0" guid="{0E8B470D-7ADE-40FE-B97D-D07FC82360BD}" name="Filtro 107"/>
    <customWorkbookView activeSheetId="0" maximized="1" windowHeight="0" windowWidth="0" guid="{C62C338D-6DD7-4E1D-BD83-DBDE22838042}" name="Filtro 10"/>
    <customWorkbookView activeSheetId="0" maximized="1" windowHeight="0" windowWidth="0" guid="{D657000B-DB7E-4866-89BA-EE41C00F8715}" name="Filtro 142"/>
    <customWorkbookView activeSheetId="0" maximized="1" windowHeight="0" windowWidth="0" guid="{B720098B-70F4-44B5-833C-52F5E38957BF}" name="Filtro 7"/>
    <customWorkbookView activeSheetId="0" maximized="1" windowHeight="0" windowWidth="0" guid="{D231C3E6-8F34-4669-BD4B-6375A5FD1A7D}" name="Filtro 25"/>
    <customWorkbookView activeSheetId="0" maximized="1" windowHeight="0" windowWidth="0" guid="{1A5CB954-232D-4D49-A5F7-C09A85AC5DA3}" name="Filtro 105"/>
    <customWorkbookView activeSheetId="0" maximized="1" windowHeight="0" windowWidth="0" guid="{08F7F748-3961-4A6D-B19F-B00BB1F86BAE}" name="Filtro 37"/>
    <customWorkbookView activeSheetId="0" maximized="1" windowHeight="0" windowWidth="0" guid="{181C22BD-9FB8-4211-B38F-92D0B2C9BC50}" name="Filtro 74"/>
    <customWorkbookView activeSheetId="0" maximized="1" windowHeight="0" windowWidth="0" guid="{60066A11-447C-4650-AEF7-9FE005963B06}" name="Filtro 8"/>
    <customWorkbookView activeSheetId="0" maximized="1" windowHeight="0" windowWidth="0" guid="{6584D975-877B-45B6-93A9-51B70EB0018E}" name="Filtro 175"/>
    <customWorkbookView activeSheetId="0" maximized="1" windowHeight="0" windowWidth="0" guid="{1E1E7651-8A79-4640-8C04-6985941B1A23}" name="Filtro 154"/>
    <customWorkbookView activeSheetId="0" maximized="1" windowHeight="0" windowWidth="0" guid="{7908B5B3-622B-49DE-9EE9-800AD2280514}" name="Filtro 111"/>
    <customWorkbookView activeSheetId="0" maximized="1" windowHeight="0" windowWidth="0" guid="{F74C4763-B110-4317-BA48-93E15369D235}" name="Filtro 70"/>
    <customWorkbookView activeSheetId="0" maximized="1" windowHeight="0" windowWidth="0" guid="{A214FC91-2926-4021-8CFF-EA2F61021101}" name="Filtro 1"/>
    <customWorkbookView activeSheetId="0" maximized="1" windowHeight="0" windowWidth="0" guid="{0341D29D-7608-4A0E-B511-8874684203B9}" name="Filtro 38"/>
    <customWorkbookView activeSheetId="0" maximized="1" windowHeight="0" windowWidth="0" guid="{B9CAED52-F68F-46DC-BC9D-365E252014AF}" name="Filtro 49"/>
    <customWorkbookView activeSheetId="0" maximized="1" windowHeight="0" windowWidth="0" guid="{AD03D55C-02EC-4A45-85EF-6E94354AF395}" name="Filtro 91"/>
    <customWorkbookView activeSheetId="0" maximized="1" windowHeight="0" windowWidth="0" guid="{4E09A950-F52E-442B-8DC3-BD654493555F}" name="Filtro 137"/>
    <customWorkbookView activeSheetId="0" maximized="1" windowHeight="0" windowWidth="0" guid="{68DA9D9B-2BB9-4E03-B61D-259411CE2611}" name="Filtro 76"/>
    <customWorkbookView activeSheetId="0" maximized="1" windowHeight="0" windowWidth="0" guid="{298F1453-B650-4D68-9A4F-A9E86BD56A4D}" name="Filtro 155"/>
    <customWorkbookView activeSheetId="0" maximized="1" windowHeight="0" windowWidth="0" guid="{D383AB68-0115-4D3B-B6BE-207AECE317EE}" name="Filtro 123"/>
    <customWorkbookView activeSheetId="0" maximized="1" windowHeight="0" windowWidth="0" guid="{CFC6ADAB-EA49-4F10-AB39-1F497DAF85D3}" name="Filtro 44"/>
    <customWorkbookView activeSheetId="0" maximized="1" windowHeight="0" windowWidth="0" guid="{DF1A3CB9-3C9E-40AC-BF2C-102973F9E739}" name="Filtro 139"/>
    <customWorkbookView activeSheetId="0" maximized="1" windowHeight="0" windowWidth="0" guid="{9D3DEFCC-A924-4E8D-9CE6-778E89A63856}" name="Filtro 152"/>
    <customWorkbookView activeSheetId="0" maximized="1" windowHeight="0" windowWidth="0" guid="{CA9CE70D-C062-42B7-A5AF-9E10E753649D}" name="Filtro 75"/>
    <customWorkbookView activeSheetId="0" maximized="1" windowHeight="0" windowWidth="0" guid="{CCB54C7E-993A-4B2D-ACB8-60B4B8B158D0}" name="Filtro 167"/>
    <customWorkbookView activeSheetId="0" maximized="1" windowHeight="0" windowWidth="0" guid="{2259A80A-0B36-4E70-A4A9-9EEA18E02BB8}" name="Filtro 166"/>
    <customWorkbookView activeSheetId="0" maximized="1" windowHeight="0" windowWidth="0" guid="{C0B03341-4AEF-4BF7-A18B-DDC8CBEE8AA1}" name="Filtro 143"/>
    <customWorkbookView activeSheetId="0" maximized="1" windowHeight="0" windowWidth="0" guid="{5D99C391-A582-4147-B89C-A2E2E90FF18D}" name="Filtro 13"/>
    <customWorkbookView activeSheetId="0" maximized="1" windowHeight="0" windowWidth="0" guid="{F54AB606-0A02-4CDB-B6E2-C5D4DD633C39}" name="Filtro 4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tc={02eea0b1-81a8-403a-9361-8bc50c7389c6}</author>
    <author>tc={034c2e42-438f-4b9f-867c-b1760e5c2c58}</author>
    <author>tc={0a33e12e-c64d-45a8-ab3d-b52a875ed649}</author>
    <author>tc={0d919ed7-84d1-43b5-a49b-2fd69409199b}</author>
    <author>tc={0d96f61b-12a0-49df-9d3a-276c8574fa1f}</author>
    <author>tc={0f96f3c6-c46a-46c0-816a-f372688f4577}</author>
    <author>tc={1508c025-a22f-4917-9219-3e7387f915ed}</author>
    <author>tc={1e87ba41-6b86-411c-b4f3-677ba9ad20fe}</author>
    <author>tc={20748578-e2a6-4577-8b7f-508f6aa4e29c}</author>
    <author>tc={2e9f1f61-4abb-4096-9672-a3b456e1427b}</author>
    <author>tc={3c0dbc24-2bb2-4b3b-96e9-8019694c7d78}</author>
    <author>tc={3fa2559c-f359-4f76-894d-947df206a5bf}</author>
    <author>tc={471f00e2-2d8b-420d-98fb-57706c8b992a}</author>
    <author>tc={4dc07c2a-c89d-47b3-8e4e-1349dce79089}</author>
    <author>tc={52f194fd-549c-4e2d-bb1b-cec3b1441b34}</author>
    <author>tc={61b05771-219f-4e59-9465-c254a87c99fb}</author>
    <author>tc={694adb55-19ef-4770-ae85-caddf8891cc8}</author>
    <author>tc={6a9816dd-3355-432c-9f0e-7d12b7bdf2fb}</author>
    <author>tc={73814364-05c7-4635-8300-d7fce5467db0}</author>
    <author>tc={77390403-5ebd-4502-9a0b-96c86e3c13f8}</author>
    <author>tc={788ade73-5071-4ae6-a9da-ea202878feae}</author>
    <author>tc={81f7516a-9114-4533-a68a-d74fc5036cad}</author>
    <author>tc={86c844ae-571c-495f-b69d-8928c384cbdd}</author>
    <author>tc={893d5e27-1568-425d-8e47-30f14be098a0}</author>
    <author>tc={8cdf586a-5c94-4555-bfde-1f63f295c4f1}</author>
    <author>tc={a3f4eb66-f5d8-4f81-b8e2-0b11ee314e57}</author>
    <author>tc={a673500c-b611-4acc-984a-229c1d5be8e6}</author>
    <author>tc={a897942a-4514-401a-867e-9b82b6f5a0da}</author>
    <author>tc={a95714d7-791c-4fb9-8b21-5c3b57e92a35}</author>
    <author>tc={bc07c802-a1bc-4c82-8472-ba31bb920bcd}</author>
    <author>tc={bf9ed9d8-c77c-44b8-a38c-ac5eff1e56c8}</author>
    <author>tc={c1c86cdd-c2ed-4443-9538-8880ac8018e7}</author>
    <author>tc={c23dd7c4-33a2-4f86-845f-117c1b71e239}</author>
    <author>tc={c3d2d957-7903-4222-8b09-09e09b48fd04}</author>
    <author>tc={c4eb7e1d-f9e0-4ce8-9e2f-84cf2299281a}</author>
    <author>tc={ce3c83af-fdd4-44c9-bf51-4c2731e08186}</author>
    <author>tc={d44c910a-d66a-40c3-8eac-d71fabbd1ec2}</author>
    <author>tc={d8db9d49-971c-47ee-bcc0-4606e42da56f}</author>
    <author>tc={e5da7ff4-0ecb-44b0-b204-31059d5db8cb}</author>
    <author>tc={e8be9af7-e864-4868-9955-db1adab0b0d0}</author>
    <author>tc={ec63b2a4-20e8-4544-868a-7669c24db1a6}</author>
    <author>tc={f4a2aa7d-f953-412c-8539-80dbbf5f1035}</author>
    <author>tc={f60ec058-671c-420b-9b16-7fd30e3b219c}</author>
  </authors>
  <commentList>
    <comment authorId="0" xr:uid="{02eea0b1-81a8-403a-9361-8bc50c7389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regularização do portal
</t>
      </text>
    </comment>
    <comment authorId="1" xr:uid="{034c2e42-438f-4b9f-867c-b1760e5c2c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comprovante de resid
</t>
      </text>
    </comment>
    <comment authorId="2" xr:uid="{0a33e12e-c64d-45a8-ab3d-b52a875ed6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ajuste no portal admin
</t>
      </text>
    </comment>
    <comment authorId="3" xr:uid="{0d919ed7-84d1-43b5-a49b-2fd6940919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contrato para assinatura
</t>
      </text>
    </comment>
    <comment authorId="4" xr:uid="{0d96f61b-12a0-49df-9d3a-276c8574fa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informações
</t>
      </text>
    </comment>
    <comment authorId="5" xr:uid="{0f96f3c6-c46a-46c0-816a-f372688f45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Abrir subconta segunda
</t>
      </text>
    </comment>
    <comment authorId="6" xr:uid="{1508c025-a22f-4917-9219-3e7387f915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Documentos reenviados para assinatura
</t>
      </text>
    </comment>
    <comment authorId="7" xr:uid="{1e87ba41-6b86-411c-b4f3-677ba9ad20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assinado. Aguardando o cliente profile
</t>
      </text>
    </comment>
    <comment authorId="8" xr:uid="{20748578-e2a6-4577-8b7f-508f6aa4e2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e-mail da cliente
</t>
      </text>
    </comment>
    <comment authorId="9" xr:uid="{2e9f1f61-4abb-4096-9672-a3b456e142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Baixar contrato assinado
</t>
      </text>
    </comment>
    <comment authorId="10" xr:uid="{3c0dbc24-2bb2-4b3b-96e9-8019694c7d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Cancelar assinatura amanhã (30 dias)
</t>
      </text>
    </comment>
    <comment authorId="11" xr:uid="{3fa2559c-f359-4f76-894d-947df206a5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vinculação - Thiago
</t>
      </text>
    </comment>
    <comment authorId="12" xr:uid="{471f00e2-2d8b-420d-98fb-57706c8b99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assinado. Aguardando o cliente profile
</t>
      </text>
    </comment>
    <comment authorId="13" xr:uid="{4dc07c2a-c89d-47b3-8e4e-1349dce7908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abertura de conta, BTG está com erro. baixar contrato assinado
</t>
      </text>
    </comment>
    <comment authorId="14" xr:uid="{52f194fd-549c-4e2d-bb1b-cec3b1441b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Protege+ Ativo
</t>
      </text>
    </comment>
    <comment authorId="15" xr:uid="{61b05771-219f-4e59-9465-c254a87c99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Reeviar documentação para assinatura, mas aguardar o thiago solicitar o envio
</t>
      </text>
    </comment>
    <comment authorId="16" xr:uid="{694adb55-19ef-4770-ae85-caddf8891c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regularização do portal admin
</t>
      </text>
    </comment>
    <comment authorId="17" xr:uid="{6a9816dd-3355-432c-9f0e-7d12b7bdf2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o ticket minimo para carteira CON com assessor
</t>
      </text>
    </comment>
    <comment authorId="18" xr:uid="{73814364-05c7-4635-8300-d7fce5467db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Documento vencido
</t>
      </text>
    </comment>
    <comment authorId="19" xr:uid="{77390403-5ebd-4502-9a0b-96c86e3c13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assinatura do client profile
</t>
      </text>
    </comment>
    <comment authorId="20" xr:uid="{788ade73-5071-4ae6-a9da-ea202878fe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Baixar contrato assinado
</t>
      </text>
    </comment>
    <comment authorId="21" xr:uid="{81f7516a-9114-4533-a68a-d74fc5036c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Abrir conta no BTG
</t>
      </text>
    </comment>
    <comment authorId="22" xr:uid="{86c844ae-571c-495f-b69d-8928c384cbdd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Email errado
</t>
      </text>
    </comment>
    <comment authorId="23" xr:uid="{893d5e27-1568-425d-8e47-30f14be098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 cliente na planilha do pipe
</t>
      </text>
    </comment>
    <comment authorId="24" xr:uid="{8cdf586a-5c94-4555-bfde-1f63f295c4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Reprovada
</t>
      </text>
    </comment>
    <comment authorId="25" xr:uid="{a3f4eb66-f5d8-4f81-b8e2-0b11ee314e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abertura de conta, BTG está com erro.
</t>
      </text>
    </comment>
    <comment authorId="26" xr:uid="{a673500c-b611-4acc-984a-229c1d5be8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Push enviado no BTG
</t>
      </text>
    </comment>
    <comment authorId="27" xr:uid="{a897942a-4514-401a-867e-9b82b6f5a0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o aceite de um push para enviar outro
</t>
      </text>
    </comment>
    <comment authorId="28" xr:uid="{a95714d7-791c-4fb9-8b21-5c3b57e92a3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assinatura do client profile
</t>
      </text>
    </comment>
    <comment authorId="29" xr:uid="{bc07c802-a1bc-4c82-8472-ba31bb920b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o preenchimento do client profile
</t>
      </text>
    </comment>
    <comment authorId="30" xr:uid="{bf9ed9d8-c77c-44b8-a38c-ac5eff1e56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CEP COM ERRO
</t>
      </text>
    </comment>
    <comment authorId="31" xr:uid="{c1c86cdd-c2ed-4443-9538-8880ac8018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na PL do BTG
</t>
      </text>
    </comment>
    <comment authorId="32" xr:uid="{c23dd7c4-33a2-4f86-845f-117c1b71e2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Suitability Andriana
</t>
      </text>
    </comment>
    <comment authorId="33" xr:uid="{c3d2d957-7903-4222-8b09-09e09b48fd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documentos
</t>
      </text>
    </comment>
    <comment authorId="34" xr:uid="{c4eb7e1d-f9e0-4ce8-9e2f-84cf229928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reprovada
</t>
      </text>
    </comment>
    <comment authorId="35" xr:uid="{ce3c83af-fdd4-44c9-bf51-4c2731e081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Reprovada
</t>
      </text>
    </comment>
    <comment authorId="36" xr:uid="{d44c910a-d66a-40c3-8eac-d71fabbd1e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na planiilha de cancelados
</t>
      </text>
    </comment>
    <comment authorId="37" xr:uid="{d8db9d49-971c-47ee-bcc0-4606e42da5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assinatura do Client Profile
</t>
      </text>
    </comment>
    <comment authorId="38" xr:uid="{e5da7ff4-0ecb-44b0-b204-31059d5db8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assinatura do client profile
</t>
      </text>
    </comment>
    <comment authorId="39" xr:uid="{e8be9af7-e864-4868-9955-db1adab0b0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na Pl da XP
</t>
      </text>
    </comment>
    <comment authorId="40" xr:uid="{ec63b2a4-20e8-4544-868a-7669c24db1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Suitability cotitular
</t>
      </text>
    </comment>
    <comment authorId="41" xr:uid="{f4a2aa7d-f953-412c-8539-80dbbf5f103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 BR vinculada, verificar com thiago a conta INT
</t>
      </text>
    </comment>
    <comment authorId="42" xr:uid="{f60ec058-671c-420b-9b16-7fd30e3b21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na planilha do PIpEFY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</commentList>
</comments>
</file>

<file path=xl/sharedStrings.xml><?xml version="1.0" encoding="utf-8"?>
<sst xmlns="http://schemas.openxmlformats.org/spreadsheetml/2006/main" count="53033" uniqueCount="9842">
  <si>
    <t>Backoffice</t>
  </si>
  <si>
    <t>Nome</t>
  </si>
  <si>
    <t>Conta</t>
  </si>
  <si>
    <t>Mesa de Operação</t>
  </si>
  <si>
    <t>Escritório</t>
  </si>
  <si>
    <t>UF</t>
  </si>
  <si>
    <t>Backoffice/ Mesa</t>
  </si>
  <si>
    <t>Assessor</t>
  </si>
  <si>
    <t>APP</t>
  </si>
  <si>
    <t>Observações</t>
  </si>
  <si>
    <t xml:space="preserve">Mesa de Operação </t>
  </si>
  <si>
    <t xml:space="preserve">Backoffice </t>
  </si>
  <si>
    <t>Carteira</t>
  </si>
  <si>
    <t>Anbima</t>
  </si>
  <si>
    <t>TX. de Gestão</t>
  </si>
  <si>
    <t xml:space="preserve">Benchmark </t>
  </si>
  <si>
    <t>TX. Perf.</t>
  </si>
  <si>
    <t>CPF/CNPJ</t>
  </si>
  <si>
    <t>Financeiro</t>
  </si>
  <si>
    <t>Telefone</t>
  </si>
  <si>
    <t>E-mail</t>
  </si>
  <si>
    <t>Aniversário</t>
  </si>
  <si>
    <t>UF cliente</t>
  </si>
  <si>
    <t>Suitability</t>
  </si>
  <si>
    <t>BTG</t>
  </si>
  <si>
    <t>Franklin Silva de Novais</t>
  </si>
  <si>
    <t>004826721</t>
  </si>
  <si>
    <t>Investeseg</t>
  </si>
  <si>
    <t>BA</t>
  </si>
  <si>
    <t>Murilo Silva</t>
  </si>
  <si>
    <t>PIPE</t>
  </si>
  <si>
    <t>Corretora</t>
  </si>
  <si>
    <t>Aguardando FA</t>
  </si>
  <si>
    <t>Cliente</t>
  </si>
  <si>
    <t>CON</t>
  </si>
  <si>
    <t>CDI</t>
  </si>
  <si>
    <t>Operador</t>
  </si>
  <si>
    <t>Status</t>
  </si>
  <si>
    <t>Situação</t>
  </si>
  <si>
    <t>Exceção</t>
  </si>
  <si>
    <t>017.737.005-02</t>
  </si>
  <si>
    <t>Início da Gestão</t>
  </si>
  <si>
    <t>Data distrato</t>
  </si>
  <si>
    <t xml:space="preserve">71 99907-7741 </t>
  </si>
  <si>
    <t>franknovais@hotmail.com</t>
  </si>
  <si>
    <t>Taxa de Gestão</t>
  </si>
  <si>
    <t>Benchmark TX. Perf.</t>
  </si>
  <si>
    <t>Moderado</t>
  </si>
  <si>
    <t>Observações Backoffice</t>
  </si>
  <si>
    <t>TEM OBS</t>
  </si>
  <si>
    <t>PF/ PJ</t>
  </si>
  <si>
    <t>Andre Albuquerque Villas</t>
  </si>
  <si>
    <t>003537823</t>
  </si>
  <si>
    <t>Expert</t>
  </si>
  <si>
    <t>GO</t>
  </si>
  <si>
    <t>Felipe Ouriveis</t>
  </si>
  <si>
    <t>Status Anbima</t>
  </si>
  <si>
    <t>Perfil de risco da carteira</t>
  </si>
  <si>
    <t>Perfil de risco do investidor</t>
  </si>
  <si>
    <t>Aguardando Vinculação de conta</t>
  </si>
  <si>
    <t>Classificação do Investidor</t>
  </si>
  <si>
    <t>INC</t>
  </si>
  <si>
    <t>Grupo Econômico (Região)</t>
  </si>
  <si>
    <t>Data Primeiro Aporte</t>
  </si>
  <si>
    <t>Código Anbima</t>
  </si>
  <si>
    <t>29/11/2024</t>
  </si>
  <si>
    <t>------</t>
  </si>
  <si>
    <t>31/12/2024</t>
  </si>
  <si>
    <t>31/01/2025</t>
  </si>
  <si>
    <t>761.414.111-34</t>
  </si>
  <si>
    <t>28/02/2025</t>
  </si>
  <si>
    <t>67 99982-4900</t>
  </si>
  <si>
    <t>31/03/2025</t>
  </si>
  <si>
    <t>aavillas75@gmail.com</t>
  </si>
  <si>
    <t>30/04/2025</t>
  </si>
  <si>
    <t>30/05/2025</t>
  </si>
  <si>
    <t>30/06/2025</t>
  </si>
  <si>
    <t>MS</t>
  </si>
  <si>
    <t>31/07/2025</t>
  </si>
  <si>
    <t>31/08/2025</t>
  </si>
  <si>
    <t>Manter 30% em liquidez, por enquanto.</t>
  </si>
  <si>
    <t>30/09/2025</t>
  </si>
  <si>
    <t>31/10/2025</t>
  </si>
  <si>
    <t>Ana Paula Herrero</t>
  </si>
  <si>
    <t>30/11/2025</t>
  </si>
  <si>
    <t>31/12/2025</t>
  </si>
  <si>
    <t>008475532</t>
  </si>
  <si>
    <t>31/01/2026</t>
  </si>
  <si>
    <t>28/02/2026</t>
  </si>
  <si>
    <t>Miura</t>
  </si>
  <si>
    <t>31/03/2026</t>
  </si>
  <si>
    <t>SUL</t>
  </si>
  <si>
    <t>30/04/2026</t>
  </si>
  <si>
    <t>Victor</t>
  </si>
  <si>
    <t>31/05/2026</t>
  </si>
  <si>
    <t>30/06/2026</t>
  </si>
  <si>
    <t>Aguardando Cobrança de Taxas</t>
  </si>
  <si>
    <t>Julho  (D-1)</t>
  </si>
  <si>
    <t>XP</t>
  </si>
  <si>
    <t>Adilton Jose Nunes</t>
  </si>
  <si>
    <t>(43) 99922-6163</t>
  </si>
  <si>
    <t>anapaula_herrero@hotmail.com</t>
  </si>
  <si>
    <t>31/10/2019</t>
  </si>
  <si>
    <t>30/11/2019</t>
  </si>
  <si>
    <t>31/12/2019</t>
  </si>
  <si>
    <t>31/01/2020</t>
  </si>
  <si>
    <t>31/10/2022</t>
  </si>
  <si>
    <t>Conservador</t>
  </si>
  <si>
    <t>29/02/2020</t>
  </si>
  <si>
    <t>30/11/2022</t>
  </si>
  <si>
    <t>31/03/2020</t>
  </si>
  <si>
    <t>Pershing</t>
  </si>
  <si>
    <t>30/12/2022</t>
  </si>
  <si>
    <t>30/04/2020</t>
  </si>
  <si>
    <t>Rubens Dias da Costa Neto Souza</t>
  </si>
  <si>
    <t>31/01/2023</t>
  </si>
  <si>
    <t>31/05/2020</t>
  </si>
  <si>
    <t>xxxxxxx</t>
  </si>
  <si>
    <t>28/02/2023</t>
  </si>
  <si>
    <t>30/06/2020</t>
  </si>
  <si>
    <t>Bluemetrix</t>
  </si>
  <si>
    <t>31/03/2023</t>
  </si>
  <si>
    <t>30/07/2020</t>
  </si>
  <si>
    <t>28/04/2023</t>
  </si>
  <si>
    <t>31/08/2020</t>
  </si>
  <si>
    <t>Felipe Rios</t>
  </si>
  <si>
    <t>31/05/2023</t>
  </si>
  <si>
    <t>30/06/2023</t>
  </si>
  <si>
    <t>31/07/2023</t>
  </si>
  <si>
    <t>31/09/2020</t>
  </si>
  <si>
    <t>31/08/2023</t>
  </si>
  <si>
    <t>31/10/2020</t>
  </si>
  <si>
    <t>29/09/2023</t>
  </si>
  <si>
    <t>Em Análise pela Corretora</t>
  </si>
  <si>
    <t>31/11/2020</t>
  </si>
  <si>
    <t>31/10/2023</t>
  </si>
  <si>
    <t>INT</t>
  </si>
  <si>
    <t>31/12/2020</t>
  </si>
  <si>
    <t>30/11/2023</t>
  </si>
  <si>
    <t>31/01/2021</t>
  </si>
  <si>
    <t>29/12/2023</t>
  </si>
  <si>
    <t>28/02/2021</t>
  </si>
  <si>
    <t>VcInvest</t>
  </si>
  <si>
    <t>31/01/2024</t>
  </si>
  <si>
    <t>10/03/2021</t>
  </si>
  <si>
    <t>31/03/2021</t>
  </si>
  <si>
    <t>29/02/2024</t>
  </si>
  <si>
    <t>28/04/2021</t>
  </si>
  <si>
    <t>755.745.001-91</t>
  </si>
  <si>
    <t>28/03/2024</t>
  </si>
  <si>
    <t>30/04/2021</t>
  </si>
  <si>
    <t>27/05/2021</t>
  </si>
  <si>
    <t>62 99845-8856</t>
  </si>
  <si>
    <t>30/04/2024</t>
  </si>
  <si>
    <t>30/06/2021</t>
  </si>
  <si>
    <t>rubensdnetos@gmail.com</t>
  </si>
  <si>
    <t>31/07/2021</t>
  </si>
  <si>
    <t>31/05/2024</t>
  </si>
  <si>
    <t>Bruno Ribeiro</t>
  </si>
  <si>
    <t>31/08/2021</t>
  </si>
  <si>
    <t>30/09/2021</t>
  </si>
  <si>
    <t>28/06/2024</t>
  </si>
  <si>
    <t>31/10/2021</t>
  </si>
  <si>
    <t>31/07/2024</t>
  </si>
  <si>
    <t>30/11/2021</t>
  </si>
  <si>
    <t>Arrojado</t>
  </si>
  <si>
    <t>30/08/2024</t>
  </si>
  <si>
    <t>31/12/2021</t>
  </si>
  <si>
    <t>30/09/2024</t>
  </si>
  <si>
    <t>31/01/2022</t>
  </si>
  <si>
    <t>25/02/2022</t>
  </si>
  <si>
    <t>31/10/2024</t>
  </si>
  <si>
    <t>Cardiointerv S/S</t>
  </si>
  <si>
    <t>29/04/2022</t>
  </si>
  <si>
    <t>31/05/2022</t>
  </si>
  <si>
    <t>30/06/2022</t>
  </si>
  <si>
    <t>29/07/2022</t>
  </si>
  <si>
    <t>31/08/2022</t>
  </si>
  <si>
    <t>Bruno</t>
  </si>
  <si>
    <t>30/09/2022</t>
  </si>
  <si>
    <t>13.552.357/0001-24</t>
  </si>
  <si>
    <t>62 98115-0222</t>
  </si>
  <si>
    <t>afreitasjr@msn.com</t>
  </si>
  <si>
    <t>Ativo</t>
  </si>
  <si>
    <t>Julho (D-1)</t>
  </si>
  <si>
    <t>Desistiu</t>
  </si>
  <si>
    <t>Adao Baum Penha</t>
  </si>
  <si>
    <t>ARGIO SERVICOS LTDA</t>
  </si>
  <si>
    <t>026476960</t>
  </si>
  <si>
    <t>felipe</t>
  </si>
  <si>
    <t>54.744.253/0001-07</t>
  </si>
  <si>
    <t>62 98285-8250</t>
  </si>
  <si>
    <t>Argioservicos@gmail.com</t>
  </si>
  <si>
    <t>Lucas Zambrin</t>
  </si>
  <si>
    <t>PF</t>
  </si>
  <si>
    <t>Aline Kanyo De Queiroz e/ou Rafael Crispim Gonçalves</t>
  </si>
  <si>
    <t>291.691.191-04</t>
  </si>
  <si>
    <t>(62) - 996986126</t>
  </si>
  <si>
    <t>adiltonj2010@hotmail.com</t>
  </si>
  <si>
    <t>DF</t>
  </si>
  <si>
    <t>Thiago</t>
  </si>
  <si>
    <t>MONT</t>
  </si>
  <si>
    <t>Genial</t>
  </si>
  <si>
    <t>001.773.141-09</t>
  </si>
  <si>
    <t>A4 Empreendimentos Imobiliários</t>
  </si>
  <si>
    <t>alinekanyo@gmail.com</t>
  </si>
  <si>
    <t xml:space="preserve"> 901743</t>
  </si>
  <si>
    <t>Ágora</t>
  </si>
  <si>
    <t>Ricardo Roberto Arquitetura LTDA</t>
  </si>
  <si>
    <t>MOD</t>
  </si>
  <si>
    <t>MI Smart</t>
  </si>
  <si>
    <t>Mariana</t>
  </si>
  <si>
    <t>Gustavo Amorim</t>
  </si>
  <si>
    <t>CORP</t>
  </si>
  <si>
    <t>29.450.428/0001-18</t>
  </si>
  <si>
    <t>61 99413-7963</t>
  </si>
  <si>
    <t>ricardo.roberto.df@gmail.com</t>
  </si>
  <si>
    <t>086.751.079-00</t>
  </si>
  <si>
    <t>43 99962-0426</t>
  </si>
  <si>
    <t>adaobaum@gmail.com</t>
  </si>
  <si>
    <t xml:space="preserve">Deixar tudo em liquidez </t>
  </si>
  <si>
    <t>PR</t>
  </si>
  <si>
    <t>Adriana Carneiro Macedo</t>
  </si>
  <si>
    <t>19831186</t>
  </si>
  <si>
    <t>Encerrado</t>
  </si>
  <si>
    <t>Pendente de Aceite do Termo</t>
  </si>
  <si>
    <t>940.673.765-53</t>
  </si>
  <si>
    <t>11 99732-6602</t>
  </si>
  <si>
    <t>adrimacedo@hotmail.com</t>
  </si>
  <si>
    <t>Interactive Brokers</t>
  </si>
  <si>
    <t>Wellington Coelho de Souza Junior</t>
  </si>
  <si>
    <t>EQT</t>
  </si>
  <si>
    <t>Pendente assinaturas</t>
  </si>
  <si>
    <t>IBOVESPA</t>
  </si>
  <si>
    <t>PJ</t>
  </si>
  <si>
    <t>730.614.501-06</t>
  </si>
  <si>
    <t>04.570.022/0001-48</t>
  </si>
  <si>
    <t>67 99256-9156</t>
  </si>
  <si>
    <t>wellingtoncsjr@hotmail.com</t>
  </si>
  <si>
    <t>Daniel Francisco dos Santos e Silva</t>
  </si>
  <si>
    <t>005275706</t>
  </si>
  <si>
    <t>904.565.561-68</t>
  </si>
  <si>
    <t>61 98250-8228</t>
  </si>
  <si>
    <t>danisilv@gmail.com</t>
  </si>
  <si>
    <t>Não Qualificado</t>
  </si>
  <si>
    <t>Fabiano Cury Rodrigues</t>
  </si>
  <si>
    <t>Adriana Princhak Teixeira Pinto</t>
  </si>
  <si>
    <t>877.730.071-87</t>
  </si>
  <si>
    <t>62 99219-7777</t>
  </si>
  <si>
    <t>Poupinvista</t>
  </si>
  <si>
    <t>fabianocr@gmail.com</t>
  </si>
  <si>
    <t>Bruno Rodrigues</t>
  </si>
  <si>
    <t>Adele Rossi Heusi</t>
  </si>
  <si>
    <t>20 a 30% de liquidez mais rápida, prazo máximo de 2 anos em ativos da carteira</t>
  </si>
  <si>
    <t>004575632</t>
  </si>
  <si>
    <t>Voga</t>
  </si>
  <si>
    <t>Leandro Augusto De Araujo Cunha T Bueno e/ou Naiara Cunha Teixeira Bueno</t>
  </si>
  <si>
    <t>Theo Ramos Moutinho</t>
  </si>
  <si>
    <t>40k PGBL (27/05/2026).</t>
  </si>
  <si>
    <t>016.900.761-86</t>
  </si>
  <si>
    <t>61 98121-7104</t>
  </si>
  <si>
    <t>adrianaprinchak@gmail.com</t>
  </si>
  <si>
    <t>342.258.488 92</t>
  </si>
  <si>
    <t>Cliente solicitou troca de assessoria (08/08/2024)</t>
  </si>
  <si>
    <t>Vencido</t>
  </si>
  <si>
    <t>Marcos Roberto Grimm</t>
  </si>
  <si>
    <t>334.053.601-53</t>
  </si>
  <si>
    <t>004109781</t>
  </si>
  <si>
    <t/>
  </si>
  <si>
    <t>Qualificado</t>
  </si>
  <si>
    <t>404.497.001-78</t>
  </si>
  <si>
    <t>67 99901-9497</t>
  </si>
  <si>
    <t>marcosgrimm.mg@gmail.com</t>
  </si>
  <si>
    <t>A &amp; R Sinalização E Comunicação Visual Eireli</t>
  </si>
  <si>
    <t>Manter 50% da carteira em liquidez D0 ou D+1, por enquanto e trabalhar com ativos mais curtos.</t>
  </si>
  <si>
    <t>Mariana Rocha</t>
  </si>
  <si>
    <t>Sergio Alberto Ramos e/ou Elisa Kioko Matsumoto Ramos</t>
  </si>
  <si>
    <t>056.674.278-00</t>
  </si>
  <si>
    <t>67 98425-2820</t>
  </si>
  <si>
    <t>sar.ramos@hotmail.com</t>
  </si>
  <si>
    <t>10.909.603/0001-64</t>
  </si>
  <si>
    <t>(61) - 33997458</t>
  </si>
  <si>
    <t>renato@lasersign.com.br</t>
  </si>
  <si>
    <t>Ethel Ferreira Poll</t>
  </si>
  <si>
    <t>Carol</t>
  </si>
  <si>
    <t>Ana Beatriz Dupré Silva</t>
  </si>
  <si>
    <t>3052087</t>
  </si>
  <si>
    <t>585.217.470-04</t>
  </si>
  <si>
    <t>71 99965-3709</t>
  </si>
  <si>
    <t>ethelpoll@hotmail.com</t>
  </si>
  <si>
    <t>Thiago Canabrava</t>
  </si>
  <si>
    <t>Afrisio de Souza Vieira Lima Filho</t>
  </si>
  <si>
    <t>OLIVEIRA COMERCIO DO VESTUARIO LTDA</t>
  </si>
  <si>
    <t>Adriana Amorin Monteiro</t>
  </si>
  <si>
    <t>002471066</t>
  </si>
  <si>
    <t>Inativo</t>
  </si>
  <si>
    <t>STVM Saída</t>
  </si>
  <si>
    <t>Fabricio</t>
  </si>
  <si>
    <t>152.774.535-04</t>
  </si>
  <si>
    <t>27.265.200/0001-22</t>
  </si>
  <si>
    <t>(61) - 999811812</t>
  </si>
  <si>
    <t>62 98244-9400</t>
  </si>
  <si>
    <t>afrisio.lima@gmail.com</t>
  </si>
  <si>
    <t>dellufitness@gmail.com</t>
  </si>
  <si>
    <t>Inicio da STVM para BTG 18/01/2024</t>
  </si>
  <si>
    <t>316.535.961-04</t>
  </si>
  <si>
    <t>622.372.763-15</t>
  </si>
  <si>
    <t>(63) 99911-5995</t>
  </si>
  <si>
    <t>81 98900-0164</t>
  </si>
  <si>
    <t>drikas.amorim@gmail.com</t>
  </si>
  <si>
    <t>beatriz.dupre@gmail.com</t>
  </si>
  <si>
    <t>PE</t>
  </si>
  <si>
    <t>TO</t>
  </si>
  <si>
    <t>Ailton Cabral Moraes</t>
  </si>
  <si>
    <t>200K D+0 (28/03/2025)</t>
  </si>
  <si>
    <t xml:space="preserve"> </t>
  </si>
  <si>
    <t>797.611.191-49</t>
  </si>
  <si>
    <t>(61) - 999803078</t>
  </si>
  <si>
    <t>ailtoncabral.moraes@gmail.com</t>
  </si>
  <si>
    <t>Adriana Dos Santos Alcantara</t>
  </si>
  <si>
    <t>026362731</t>
  </si>
  <si>
    <t>540.112.301-97</t>
  </si>
  <si>
    <t>61 98116-7402</t>
  </si>
  <si>
    <t>Alden Mangueira De Oliveira</t>
  </si>
  <si>
    <t>Adriana.Alcantara2020@outlook.com</t>
  </si>
  <si>
    <t>24/11/0170</t>
  </si>
  <si>
    <t>100K D+0 (28/03/2025)</t>
  </si>
  <si>
    <t>843.999.297-15</t>
  </si>
  <si>
    <t>(61) - 992745523</t>
  </si>
  <si>
    <t>alden.mangueira@gmail.com</t>
  </si>
  <si>
    <t>Ana Márcia Iune Salles Gaudard</t>
  </si>
  <si>
    <t>288683</t>
  </si>
  <si>
    <t>Bluemetrix Asset</t>
  </si>
  <si>
    <t>036660678</t>
  </si>
  <si>
    <t>Alessandra Carneiro Macedo</t>
  </si>
  <si>
    <t>Pode Operar</t>
  </si>
  <si>
    <t>496.945.296-20</t>
  </si>
  <si>
    <t>(61) 98402-0527</t>
  </si>
  <si>
    <t>marciagaudard@gmail.com</t>
  </si>
  <si>
    <t>Mínimo 80% em RF, até 10% em Ações e até 10% em FIIs (04/08/2026)</t>
  </si>
  <si>
    <t>873.300.835-34</t>
  </si>
  <si>
    <t>71 99139-1066</t>
  </si>
  <si>
    <t>sanmacedo@hotmail.com</t>
  </si>
  <si>
    <t>Alessandra Sado</t>
  </si>
  <si>
    <t>Adriana Garcia Rosa</t>
  </si>
  <si>
    <t>005715733</t>
  </si>
  <si>
    <t>100K D+0 (25/09/2025)</t>
  </si>
  <si>
    <t>788.043.611-15</t>
  </si>
  <si>
    <t>Vivian</t>
  </si>
  <si>
    <t>(62) - 981390612</t>
  </si>
  <si>
    <t>alessandrasado@gmail.com</t>
  </si>
  <si>
    <t>Distrato Unilateral</t>
  </si>
  <si>
    <t>778.127.601-97</t>
  </si>
  <si>
    <t>R$ 146.590,48</t>
  </si>
  <si>
    <t>Alessandra Gomes Moreira</t>
  </si>
  <si>
    <t>Andre Vinicius Silva Pinto</t>
  </si>
  <si>
    <t>1832250</t>
  </si>
  <si>
    <t>Israel</t>
  </si>
  <si>
    <t>017.663.181-00</t>
  </si>
  <si>
    <t>(62) - 98114-3812</t>
  </si>
  <si>
    <t>ales232009@hotmail.com</t>
  </si>
  <si>
    <t>ARR</t>
  </si>
  <si>
    <t>Arrojada até 40%</t>
  </si>
  <si>
    <t>Adriana Sobral Lourenco</t>
  </si>
  <si>
    <t>004240400</t>
  </si>
  <si>
    <t>Altum</t>
  </si>
  <si>
    <t>037.102.181-28</t>
  </si>
  <si>
    <t>(61) 99220-5536</t>
  </si>
  <si>
    <t>Alexandre Xavier</t>
  </si>
  <si>
    <t>andrevini57@gmail.com</t>
  </si>
  <si>
    <t>Alisson Juliani</t>
  </si>
  <si>
    <t>607.674.302-63</t>
  </si>
  <si>
    <t>drisobrallourenco@gmail.com</t>
  </si>
  <si>
    <t>80K D+0 (28/03/2025)</t>
  </si>
  <si>
    <t>047.370.621-03</t>
  </si>
  <si>
    <t>(61) - 999885741</t>
  </si>
  <si>
    <t>alissonjuliani@yahoo.com.br</t>
  </si>
  <si>
    <t xml:space="preserve"> -</t>
  </si>
  <si>
    <t>Amanda Borges Campos</t>
  </si>
  <si>
    <t>Rafael Vilela</t>
  </si>
  <si>
    <t>Adriano Antônio Alves</t>
  </si>
  <si>
    <t>004451996</t>
  </si>
  <si>
    <t>Sem Saldo</t>
  </si>
  <si>
    <t>044.333.031-00</t>
  </si>
  <si>
    <t>548.976.961-00</t>
  </si>
  <si>
    <t>adriano@orais.com.br</t>
  </si>
  <si>
    <t>Anselmo de Sá Ribeiro Filho</t>
  </si>
  <si>
    <t>1713498</t>
  </si>
  <si>
    <t>Norton Fritzsche</t>
  </si>
  <si>
    <t>Amanda Costa Da Silva Vitorino</t>
  </si>
  <si>
    <t>FUND</t>
  </si>
  <si>
    <t>Alocar vencimentos em LIQUIDEZ DIÁRIA (30/01/2026)</t>
  </si>
  <si>
    <t>004.588.807-87</t>
  </si>
  <si>
    <t>(61) 99988-0033</t>
  </si>
  <si>
    <t>andreasatyro@globo.com</t>
  </si>
  <si>
    <t>074.060.546-10</t>
  </si>
  <si>
    <t>(0)0</t>
  </si>
  <si>
    <t>RJ</t>
  </si>
  <si>
    <t>amandacsv14@gmail.com</t>
  </si>
  <si>
    <t>Adriano Carvalho Costa</t>
  </si>
  <si>
    <t>Ana Lydia De Araujo Nabuth</t>
  </si>
  <si>
    <t>Paula Bonfim</t>
  </si>
  <si>
    <t>003916735</t>
  </si>
  <si>
    <t>030.604.661-06</t>
  </si>
  <si>
    <t>(62) - 981794495</t>
  </si>
  <si>
    <t>analydianabuth@gmail.com</t>
  </si>
  <si>
    <t>006.352.131-84</t>
  </si>
  <si>
    <t>didasgyn@gmail.com</t>
  </si>
  <si>
    <t>Andre Gustavo Fleury de Melo</t>
  </si>
  <si>
    <t>Bianca Faria e Rocha</t>
  </si>
  <si>
    <t>2445589</t>
  </si>
  <si>
    <t>Vencimentos em D+0 (05/12/2025)</t>
  </si>
  <si>
    <t>607.434.331-49</t>
  </si>
  <si>
    <t>(62) - 984118004</t>
  </si>
  <si>
    <t>andrefleury2@hotmail.com</t>
  </si>
  <si>
    <t>Adriano de Moraes Arantes</t>
  </si>
  <si>
    <t>003039255</t>
  </si>
  <si>
    <t>Moderado para Arrojada (03/06)</t>
  </si>
  <si>
    <t>224.541.818-27</t>
  </si>
  <si>
    <t>(61) 98130-3088</t>
  </si>
  <si>
    <t>bianca03021980@gmail.com</t>
  </si>
  <si>
    <t>784.374.231-04</t>
  </si>
  <si>
    <t>62 99980-8750</t>
  </si>
  <si>
    <t>arantesadriano@hotmail.com</t>
  </si>
  <si>
    <t>Anselmo Jose Guimaraes da Silva</t>
  </si>
  <si>
    <t>030.307.477-94</t>
  </si>
  <si>
    <t>Augusto Rolim Da Silva Neto</t>
  </si>
  <si>
    <t>Resgate Total</t>
  </si>
  <si>
    <t>Adriano Marcio de Oliveira Flausino Filho</t>
  </si>
  <si>
    <t>004231371</t>
  </si>
  <si>
    <t>50K D+0 (08/05/2026)</t>
  </si>
  <si>
    <t>Bruno Henrique</t>
  </si>
  <si>
    <t>055.220.961-95</t>
  </si>
  <si>
    <t>augusto95.rolim@gmail.com</t>
  </si>
  <si>
    <t>009.594.841-40</t>
  </si>
  <si>
    <t>amoffilho@gmail.com</t>
  </si>
  <si>
    <t>Bruna Satyro Sa Ribeiro Fritzsche</t>
  </si>
  <si>
    <t>Bruno Cesar Pesquero Ponce Jaime</t>
  </si>
  <si>
    <t>1692385</t>
  </si>
  <si>
    <t>Renan Silva</t>
  </si>
  <si>
    <t>058.788.991-83</t>
  </si>
  <si>
    <t>(61) - 986025150</t>
  </si>
  <si>
    <t>brunasatyro@gmail.com</t>
  </si>
  <si>
    <t xml:space="preserve">Adson Rodrigues de Souza       </t>
  </si>
  <si>
    <t>004404342</t>
  </si>
  <si>
    <t>704.624.371-91</t>
  </si>
  <si>
    <t>Bruno Henrique Borges Silva</t>
  </si>
  <si>
    <t>Monitoramento</t>
  </si>
  <si>
    <t>bruno@furtadoejaime.com.br</t>
  </si>
  <si>
    <t>375.046.571-15</t>
  </si>
  <si>
    <t>052.062.741-51</t>
  </si>
  <si>
    <t>(61) - 982666915</t>
  </si>
  <si>
    <t>brunoh.borgess@gmail.com</t>
  </si>
  <si>
    <t>Bruno Ribeiro Abreu</t>
  </si>
  <si>
    <t>Máx 10% CrPr (29/11/2024)</t>
  </si>
  <si>
    <t>804.326.701-49</t>
  </si>
  <si>
    <t>(62) - 34348150</t>
  </si>
  <si>
    <t>bruno@voceinvest.com.br</t>
  </si>
  <si>
    <t>Safra</t>
  </si>
  <si>
    <t>Adriana Gomes Martinez</t>
  </si>
  <si>
    <t xml:space="preserve">Aécio Araújo Barros </t>
  </si>
  <si>
    <t>016322281</t>
  </si>
  <si>
    <t>Camila Amanda Barboza Taveira</t>
  </si>
  <si>
    <t>006.320.061-96</t>
  </si>
  <si>
    <t>61 98542-0349</t>
  </si>
  <si>
    <t>aeciohsf@gmail.com</t>
  </si>
  <si>
    <t>698.360.009-68</t>
  </si>
  <si>
    <t>(43) 998042070</t>
  </si>
  <si>
    <t>duduhgm@hotmail.com</t>
  </si>
  <si>
    <t>Bruno Santin Ferreira</t>
  </si>
  <si>
    <t>2192427</t>
  </si>
  <si>
    <t>Não vender ações do Itaú. (Qnt: 70.000), migrar vencimentos para o BTG (25/07/2025)</t>
  </si>
  <si>
    <t>347.172.368-40</t>
  </si>
  <si>
    <t>(12) - 981173842</t>
  </si>
  <si>
    <t>fabioecamilataveira@gmail.com</t>
  </si>
  <si>
    <t>SP</t>
  </si>
  <si>
    <t>Agostinho Nunes do Couto Neto</t>
  </si>
  <si>
    <t>036.036.741-03</t>
  </si>
  <si>
    <t>(61) 98123-9794</t>
  </si>
  <si>
    <t>bruno.santin@bsfadv.com</t>
  </si>
  <si>
    <t>Camila Silva Fracalacci</t>
  </si>
  <si>
    <t>Troca de assessor 01/12/2023 Rodger (Conquest ) para Matheus Vilar</t>
  </si>
  <si>
    <t>803.224.171-04</t>
  </si>
  <si>
    <t>Aguinaldo Figueiredo de Freitas Junior</t>
  </si>
  <si>
    <t>(61) 984220938</t>
  </si>
  <si>
    <t>005645211</t>
  </si>
  <si>
    <t>agostinhoncn@gmail.com.br</t>
  </si>
  <si>
    <t>383.515.408-70</t>
  </si>
  <si>
    <t>(11) - 993845423</t>
  </si>
  <si>
    <t>camilasfracalacci@gmail.com</t>
  </si>
  <si>
    <t>817.848.051-49</t>
  </si>
  <si>
    <t>Alessandro Lourenco Januario</t>
  </si>
  <si>
    <t>Moderada até 20%</t>
  </si>
  <si>
    <t>536.900.951-15</t>
  </si>
  <si>
    <t>(61) 999827980</t>
  </si>
  <si>
    <t>januarioal@gmail.com</t>
  </si>
  <si>
    <t>Cecilia Brasseiro Moreira Bove</t>
  </si>
  <si>
    <t>Thanira Moreira</t>
  </si>
  <si>
    <t>995.073.401-06</t>
  </si>
  <si>
    <t>61 98140-0320</t>
  </si>
  <si>
    <t>Alexandre Fuckner Artiaga</t>
  </si>
  <si>
    <t>cissabrasseiro@hotmail.com</t>
  </si>
  <si>
    <t>Norton Jr</t>
  </si>
  <si>
    <t>020.449.251-33</t>
  </si>
  <si>
    <t>(61) 984810458</t>
  </si>
  <si>
    <t>a.f.artiga@gmail.com</t>
  </si>
  <si>
    <t>Cesar Augusto Angeli de Lima</t>
  </si>
  <si>
    <t>André de Queiroz Coelho</t>
  </si>
  <si>
    <t>Claudia Pereira Brandão</t>
  </si>
  <si>
    <t>005662526</t>
  </si>
  <si>
    <t>2956150</t>
  </si>
  <si>
    <t>Alteração de carteira finalizada (18/12/2025)</t>
  </si>
  <si>
    <t>422.256.202-53</t>
  </si>
  <si>
    <t>(69) - 992252325</t>
  </si>
  <si>
    <t>EQT/ COADM</t>
  </si>
  <si>
    <t>cesar.angeli@yahoo.com.br</t>
  </si>
  <si>
    <t>RO</t>
  </si>
  <si>
    <t>343.417.651-91</t>
  </si>
  <si>
    <t>(61) 99531-6464</t>
  </si>
  <si>
    <t>claudiapbrandao@gmail.com</t>
  </si>
  <si>
    <t>Alexandre Lopes Figueiredo</t>
  </si>
  <si>
    <t>Rodrigo Milanez</t>
  </si>
  <si>
    <t>Claudio Lima Camara</t>
  </si>
  <si>
    <t>841.104.149-20</t>
  </si>
  <si>
    <t>(43) 988281735</t>
  </si>
  <si>
    <t>alfgf22@gmail.com</t>
  </si>
  <si>
    <t>300K D+0 (10/04/2025)</t>
  </si>
  <si>
    <t>152.979.931-72</t>
  </si>
  <si>
    <t>(61) - 992896324</t>
  </si>
  <si>
    <t>bykraw@gmail.com</t>
  </si>
  <si>
    <t>Ana Carolina Peixoto de Castro Martins</t>
  </si>
  <si>
    <t>809.511.121-04</t>
  </si>
  <si>
    <t>(61) 992820344</t>
  </si>
  <si>
    <t>carol.casro76@gmail.com</t>
  </si>
  <si>
    <t>Ahmad Taha Comercio De Moveis LTDA</t>
  </si>
  <si>
    <t>Claudio Queiroz Mundim</t>
  </si>
  <si>
    <t>004368468</t>
  </si>
  <si>
    <t>MOD / GR</t>
  </si>
  <si>
    <t>199.124.716-87</t>
  </si>
  <si>
    <t>62 98286-0550</t>
  </si>
  <si>
    <t>karen.neves.edwards@gmail.com</t>
  </si>
  <si>
    <t>Investimentos seguem a Sharia, Lei islamica. Investimentos Halal. ETF de Referência, ISWD.</t>
  </si>
  <si>
    <t xml:space="preserve">Cliente identificado como monitoramento por restrição devido a religião </t>
  </si>
  <si>
    <t>10.574.646/0001-36</t>
  </si>
  <si>
    <t>Cláudio Teixeira da Silva</t>
  </si>
  <si>
    <t>8978046</t>
  </si>
  <si>
    <t>diretoria@todeschinisumare.com.br</t>
  </si>
  <si>
    <t>Ana Lucia Falavigna Guilherme</t>
  </si>
  <si>
    <t>Fernando Amaro</t>
  </si>
  <si>
    <t>Cristovam da Silva Pinheiro</t>
  </si>
  <si>
    <t>Equities para arrojada 06/01/2022 / Solicitou STVM para BTG - 10/04/23</t>
  </si>
  <si>
    <t>457.916.601-97</t>
  </si>
  <si>
    <t>(61) 99139-4368</t>
  </si>
  <si>
    <t>530.206.939-34</t>
  </si>
  <si>
    <t>(44) 999926511</t>
  </si>
  <si>
    <t>zazaa245@gmail.com</t>
  </si>
  <si>
    <t>alfalavignauem@gmail.com</t>
  </si>
  <si>
    <t>PREV CON</t>
  </si>
  <si>
    <t>073.539.795-34</t>
  </si>
  <si>
    <t>71 99125-3703</t>
  </si>
  <si>
    <t>cspinheiro64@gmail.com</t>
  </si>
  <si>
    <t xml:space="preserve">Ana Maria Costa Campos </t>
  </si>
  <si>
    <t>Alan Mosele Tonin e/ou Laís Salgueiro Ribeiro</t>
  </si>
  <si>
    <t>Não</t>
  </si>
  <si>
    <t>005312963</t>
  </si>
  <si>
    <t>Daniela Ferreira Salomão Pontes</t>
  </si>
  <si>
    <t>548.566.399-00</t>
  </si>
  <si>
    <t>(43) 996462444</t>
  </si>
  <si>
    <t>CON/ GR</t>
  </si>
  <si>
    <t>31costacampos@gmail.com</t>
  </si>
  <si>
    <t>Sem RV (15/05/2026)</t>
  </si>
  <si>
    <t>026.921.410-08</t>
  </si>
  <si>
    <t>526.535.956-72</t>
  </si>
  <si>
    <t>(61) - 984233355</t>
  </si>
  <si>
    <t>danielasalomaobsb@gmail.com</t>
  </si>
  <si>
    <t>tonin.alan@gmail.com</t>
  </si>
  <si>
    <t>Ana Maria Falavigna Silva</t>
  </si>
  <si>
    <t>Monitorar agio DEB para venda</t>
  </si>
  <si>
    <t>Eduardo Saraiva Leão Júnior</t>
  </si>
  <si>
    <t>2369769</t>
  </si>
  <si>
    <t>445.239.639-91</t>
  </si>
  <si>
    <t>(43) 999353031</t>
  </si>
  <si>
    <t>Danielle Borges Siqueira Rodrigues</t>
  </si>
  <si>
    <t>manoana@sercomtel.com.br</t>
  </si>
  <si>
    <t>Não começou</t>
  </si>
  <si>
    <t>480.395.781-91</t>
  </si>
  <si>
    <t>50K D+0/ Manter fundo Kinea Alpes (24/03/2025)</t>
  </si>
  <si>
    <t>Alana Abreu Coimbra</t>
  </si>
  <si>
    <t>001.924.551-33</t>
  </si>
  <si>
    <t>005994117</t>
  </si>
  <si>
    <t>(61) - 991192492</t>
  </si>
  <si>
    <t>daniellebsiqueira@gmail.com</t>
  </si>
  <si>
    <t>Ana Paula Liogi</t>
  </si>
  <si>
    <t>R$ 229.321,34</t>
  </si>
  <si>
    <t>R$ 233.521,47</t>
  </si>
  <si>
    <t>R$ 238.335,75</t>
  </si>
  <si>
    <t>Aportes e vencimentos em D+0 (18/03/2026).</t>
  </si>
  <si>
    <t>R$ 243.126,65</t>
  </si>
  <si>
    <t>R$ 207.530,08</t>
  </si>
  <si>
    <t>R$ 80.376,55</t>
  </si>
  <si>
    <t>R$ 83.763,47</t>
  </si>
  <si>
    <t>344.229.001-53</t>
  </si>
  <si>
    <t>R$ 85.649,80</t>
  </si>
  <si>
    <t>alanacoimbra@gmail.com</t>
  </si>
  <si>
    <t>207.051.798-50</t>
  </si>
  <si>
    <t>(11) 999999999</t>
  </si>
  <si>
    <t>analiogi@hotmail.com</t>
  </si>
  <si>
    <t>Davi Amaral Lopes</t>
  </si>
  <si>
    <t>Alcivana Marques</t>
  </si>
  <si>
    <t>Antonio Carlos Resende e Silva</t>
  </si>
  <si>
    <t>Distrato unilateral</t>
  </si>
  <si>
    <t>042.582.051-33</t>
  </si>
  <si>
    <t>62 98335-6701</t>
  </si>
  <si>
    <t>daviamarallopes@outlook.com</t>
  </si>
  <si>
    <t>Arrojada para Moderado 11/06/2021/ STVM para BTG  04/04/23</t>
  </si>
  <si>
    <t>848.310.308-72</t>
  </si>
  <si>
    <t>(43) 991159010</t>
  </si>
  <si>
    <t>silvianatonioc@yahoo.com.br</t>
  </si>
  <si>
    <t>MG</t>
  </si>
  <si>
    <t>Alberto Carlos de Aguiar Rodrigues</t>
  </si>
  <si>
    <t>004376853</t>
  </si>
  <si>
    <t>Aylla Pires Alves Pinto</t>
  </si>
  <si>
    <t>BH</t>
  </si>
  <si>
    <t>Felipe Estevam</t>
  </si>
  <si>
    <t>David Tae Hwan Kim</t>
  </si>
  <si>
    <t>Fabrício Massula Dutra</t>
  </si>
  <si>
    <t>10798352</t>
  </si>
  <si>
    <t>Não aumentar posição de RV.  Sem CrPr e Aplicações com vencimento até 01/10/2027 (30/04/2026)
Histórico</t>
  </si>
  <si>
    <t>Victor Caldeira</t>
  </si>
  <si>
    <t>359.321.801-10</t>
  </si>
  <si>
    <t>alberto@ctecnet.com.br</t>
  </si>
  <si>
    <t>222.781.897-27</t>
  </si>
  <si>
    <t>50K D+0 (28/03/2025)</t>
  </si>
  <si>
    <t>021.648.571-19</t>
  </si>
  <si>
    <t>(61) - 991016516</t>
  </si>
  <si>
    <t>Não Operar</t>
  </si>
  <si>
    <t>davidkim63@gmail.com</t>
  </si>
  <si>
    <t>Taxa autorizada pelo Norton</t>
  </si>
  <si>
    <t>016.282.226-03</t>
  </si>
  <si>
    <t>(31) 99986-3578</t>
  </si>
  <si>
    <t>fabricio@massula.com.br</t>
  </si>
  <si>
    <t>Bernardo Fortuna Magalhaes</t>
  </si>
  <si>
    <t>Troca de assessor 01/12/2023 Rafael (Conquest) para Gustavo Amorim</t>
  </si>
  <si>
    <t>Diana Maria Nunes</t>
  </si>
  <si>
    <t>159.455.227-40</t>
  </si>
  <si>
    <t>(21) 979639697</t>
  </si>
  <si>
    <t>befrmagalhaes@gmail..com</t>
  </si>
  <si>
    <t>440.599.733-00</t>
  </si>
  <si>
    <t>(61) - 981765788</t>
  </si>
  <si>
    <t>Cecilia Jose Bittencourt de Andrade</t>
  </si>
  <si>
    <t>dianan@mpf.mp.br</t>
  </si>
  <si>
    <t>Alberto de Oliveira Faleiro Neto</t>
  </si>
  <si>
    <t>005142592</t>
  </si>
  <si>
    <t>451.088.629-20</t>
  </si>
  <si>
    <t>(43) 999934004</t>
  </si>
  <si>
    <t>rodolfo_andrade@icloud.com</t>
  </si>
  <si>
    <t>Carteira Monitoramento Especial para Fundos (SPMG FII criado pelo cliente) (04/10/2024)</t>
  </si>
  <si>
    <t>898.277.406-87</t>
  </si>
  <si>
    <t>Domingos Jose Arantes</t>
  </si>
  <si>
    <t>alberto@construtoraatrium.com.br</t>
  </si>
  <si>
    <t>Cintia Tais Polizer Zanin</t>
  </si>
  <si>
    <t>060.268.181-20</t>
  </si>
  <si>
    <t>(62) - 999808750</t>
  </si>
  <si>
    <t>domingosd.arantes@gmail.com</t>
  </si>
  <si>
    <t>026.385.969-06</t>
  </si>
  <si>
    <t>(43) 996991717</t>
  </si>
  <si>
    <t>ctpolizer@yahoo.com.br</t>
  </si>
  <si>
    <t>Felipe Peçanha Vento</t>
  </si>
  <si>
    <t>2683544</t>
  </si>
  <si>
    <t>Conquest</t>
  </si>
  <si>
    <t>Edna Cândida Vasconcelos</t>
  </si>
  <si>
    <t>Clay Brites</t>
  </si>
  <si>
    <t>690.015.291-00</t>
  </si>
  <si>
    <t>(85) 99988-2211</t>
  </si>
  <si>
    <t>Alberto Vilar Trindade</t>
  </si>
  <si>
    <t>felipevento@hotmail.com</t>
  </si>
  <si>
    <t>004480970</t>
  </si>
  <si>
    <t>Matheus Vilar</t>
  </si>
  <si>
    <t>Cliente faleceu, em processo de inventario</t>
  </si>
  <si>
    <t>783.140.898-34</t>
  </si>
  <si>
    <t>979.696.489-91</t>
  </si>
  <si>
    <t>11 94014-2366</t>
  </si>
  <si>
    <t>hedna_sp@yahoo.com.br</t>
  </si>
  <si>
    <t>(43) 991281618</t>
  </si>
  <si>
    <t>claybrites@gmail.com</t>
  </si>
  <si>
    <t>191.136.174-00</t>
  </si>
  <si>
    <t>Debora Maria Rodrigues Cruz</t>
  </si>
  <si>
    <t>Edna Souza Bulc</t>
  </si>
  <si>
    <t>Não comprar RV (02/09/2024)</t>
  </si>
  <si>
    <t>Troca de assessor 01/12/2023 Rodger (Conquest) para Gustavo Amorim / Troca de assessor 07/06/2024 Gustavo Amorim para Bruno Henrique</t>
  </si>
  <si>
    <t>306.027.931-49</t>
  </si>
  <si>
    <t>Flavio Silva</t>
  </si>
  <si>
    <t>(61) 984113797</t>
  </si>
  <si>
    <t>cruzdebora13@gmail.com</t>
  </si>
  <si>
    <t>Distrato</t>
  </si>
  <si>
    <t>040.531.396-94</t>
  </si>
  <si>
    <t>61 98124-2354</t>
  </si>
  <si>
    <t>EDNA.BULC@gmail.com</t>
  </si>
  <si>
    <t>Denise Yendo Inada</t>
  </si>
  <si>
    <t>Juliana Farias</t>
  </si>
  <si>
    <t>Não é mais a conta 846369</t>
  </si>
  <si>
    <t>028.476.669-07</t>
  </si>
  <si>
    <t>(43) 988031590</t>
  </si>
  <si>
    <t>deniseinada@hotmail.com</t>
  </si>
  <si>
    <t>Alessandra Andrade Vieira</t>
  </si>
  <si>
    <t>005993550</t>
  </si>
  <si>
    <t>Edson Juliano Dias Braga</t>
  </si>
  <si>
    <t>Jorge Luiz Braga de Carvalho</t>
  </si>
  <si>
    <t>João Carlos Guerra Alves Pina Ferreira</t>
  </si>
  <si>
    <t>4687255</t>
  </si>
  <si>
    <t>Dilson Satoshi Ishikura</t>
  </si>
  <si>
    <t>Alteração de carteira finalizada (17/12/2024)</t>
  </si>
  <si>
    <t>009.847.439-10</t>
  </si>
  <si>
    <t>864.270.919-72</t>
  </si>
  <si>
    <t>(41) - 35981347</t>
  </si>
  <si>
    <t>personal_edson@hotmail.com</t>
  </si>
  <si>
    <t>INC/ COADM</t>
  </si>
  <si>
    <t>080.631.888-02</t>
  </si>
  <si>
    <t>(43) 999873567</t>
  </si>
  <si>
    <t>ishikuradilson@gmail.com</t>
  </si>
  <si>
    <t>760.159.474-20</t>
  </si>
  <si>
    <t>83 99904-0404</t>
  </si>
  <si>
    <t>pinafer@gmail.com</t>
  </si>
  <si>
    <t>Elton Barroso Rodrigues</t>
  </si>
  <si>
    <t>PB</t>
  </si>
  <si>
    <t>Eudemara de Alcantara Ferreira</t>
  </si>
  <si>
    <t>40k em liquidez</t>
  </si>
  <si>
    <t>450.954.772-20</t>
  </si>
  <si>
    <t>61 99849-9552</t>
  </si>
  <si>
    <t>501.006.299-20</t>
  </si>
  <si>
    <t>elton2arq@gmail.com</t>
  </si>
  <si>
    <t>(43) 996714114</t>
  </si>
  <si>
    <t>eudemaraaf@hotmail.com</t>
  </si>
  <si>
    <t>Alessandra Charbel Janiques Rebouças</t>
  </si>
  <si>
    <t>004713953</t>
  </si>
  <si>
    <t>Eugenio Silva de Oliveira Junior</t>
  </si>
  <si>
    <t>Engel Cristina de Carvalho Sociedade Individual De Advocacia</t>
  </si>
  <si>
    <t>539.413.301-87</t>
  </si>
  <si>
    <t>acjreboucas@gmail.com</t>
  </si>
  <si>
    <t>471.453.151-49</t>
  </si>
  <si>
    <t>(61) 984129781</t>
  </si>
  <si>
    <t>eugenio.oliveirajr@gmail.com</t>
  </si>
  <si>
    <t>29.812.654/0001-00</t>
  </si>
  <si>
    <t>(61) - 984879649</t>
  </si>
  <si>
    <t>engelccarvalho@gmail.com</t>
  </si>
  <si>
    <t>Pediu pra vender toda RV (aplicar RF) falar com Renan</t>
  </si>
  <si>
    <t>João Carmelino dos Santos Filho</t>
  </si>
  <si>
    <t>2928245</t>
  </si>
  <si>
    <t>Erika Verediana Ferreira</t>
  </si>
  <si>
    <t>Euler Nunes de Oliveira</t>
  </si>
  <si>
    <t>Alessandra Charbel Janiques Rebouças e/ou André Airton de Macedo Rebouças</t>
  </si>
  <si>
    <t>005312576</t>
  </si>
  <si>
    <t>006.838.071-29</t>
  </si>
  <si>
    <t>(61) 998666361</t>
  </si>
  <si>
    <t>euler_nunes@yahoo.com.br</t>
  </si>
  <si>
    <t>178.071.233-20</t>
  </si>
  <si>
    <t>Bloqueado</t>
  </si>
  <si>
    <t>(61) 99938-5566</t>
  </si>
  <si>
    <t>carmelinofilho@uol.com.br</t>
  </si>
  <si>
    <t>768.096.251-00</t>
  </si>
  <si>
    <t>62 99974-0447</t>
  </si>
  <si>
    <t>erikavf@gmail.com</t>
  </si>
  <si>
    <t>Fabiane Ferreira Monteiro</t>
  </si>
  <si>
    <t>Fabiola Araujo Cordeiro</t>
  </si>
  <si>
    <t>053.443.199-24</t>
  </si>
  <si>
    <t>(43) 984743313</t>
  </si>
  <si>
    <t>fabiane.saviolli@hotmail.com</t>
  </si>
  <si>
    <t>70K D+0 (28/03/2025)</t>
  </si>
  <si>
    <t>893.233.787-04</t>
  </si>
  <si>
    <t>(21) - 995596510</t>
  </si>
  <si>
    <t>fabiola_cordeiro@yahoo.com.br</t>
  </si>
  <si>
    <t>Alessandra Daibert Couri</t>
  </si>
  <si>
    <t>004872395</t>
  </si>
  <si>
    <t>Fatima Cristina Silva Barreto Franco</t>
  </si>
  <si>
    <t>MOD/ PREV MOD</t>
  </si>
  <si>
    <t>030.345.906-95</t>
  </si>
  <si>
    <t>João Otávio Fidanza Frota</t>
  </si>
  <si>
    <t>2217713</t>
  </si>
  <si>
    <t>João</t>
  </si>
  <si>
    <t>Resgates mensais 2.500,00 (09/06/2026).</t>
  </si>
  <si>
    <t>658.970.565-87</t>
  </si>
  <si>
    <t>73 99122-1138</t>
  </si>
  <si>
    <t>laisfranco.agro@yahoo.com.br</t>
  </si>
  <si>
    <t>025.498.641-23</t>
  </si>
  <si>
    <t>(61) 99293-2389</t>
  </si>
  <si>
    <t>joaotavio@gmail.com</t>
  </si>
  <si>
    <t>Fernanda Bruno Ferreira</t>
  </si>
  <si>
    <t>734.011.101-87</t>
  </si>
  <si>
    <t>Alessandra Nazare Crispim Goncalves</t>
  </si>
  <si>
    <t>005749972</t>
  </si>
  <si>
    <t>Fabiano Luis de Oliveira</t>
  </si>
  <si>
    <t>712.174.601-87</t>
  </si>
  <si>
    <t>alessacrispim@gmail.com</t>
  </si>
  <si>
    <t>Fernanda Nunes Alvarenga</t>
  </si>
  <si>
    <t>012.195.191-03</t>
  </si>
  <si>
    <t>(61) - 996612008</t>
  </si>
  <si>
    <t>fernanda.alvarengab@gmail.com</t>
  </si>
  <si>
    <t>STVM para a BTG  concluída dia 17/07/2023</t>
  </si>
  <si>
    <t>908.334.739-72</t>
  </si>
  <si>
    <t>(43) 996096972</t>
  </si>
  <si>
    <t>fabiano.oliveira.adv@hotmail.com</t>
  </si>
  <si>
    <t>Leonardo Fernandes de Oliveira</t>
  </si>
  <si>
    <t>1689899</t>
  </si>
  <si>
    <t>Bruno Jaime</t>
  </si>
  <si>
    <t>Gabriela Delvaux Maia</t>
  </si>
  <si>
    <t>Alessandra Padilha Valle Kanitz</t>
  </si>
  <si>
    <t>004946542</t>
  </si>
  <si>
    <t>634.697.071-20</t>
  </si>
  <si>
    <t>(61) - 993039181</t>
  </si>
  <si>
    <t>gabidelvaux@gmail.com</t>
  </si>
  <si>
    <t>Fabio Henrique Golas e/ou Aline de Paula Jardim</t>
  </si>
  <si>
    <t>Arrojada 40 para Income em 25/01/2023</t>
  </si>
  <si>
    <t>30k D+0 (29/09/2025)</t>
  </si>
  <si>
    <t>830.651.131-04</t>
  </si>
  <si>
    <t>(61) 98175-6612</t>
  </si>
  <si>
    <t>610.888.701-04</t>
  </si>
  <si>
    <t>leonardofoliveira@gmail.com</t>
  </si>
  <si>
    <t>alepvk@gmail.com</t>
  </si>
  <si>
    <t>Cliente solicita cotações mensais de resgate para sair da Guide (26/03/2024)</t>
  </si>
  <si>
    <t>Solicitou Resgate Total (20/09/2023)</t>
  </si>
  <si>
    <t>Glaucy Martins Cananeia Miranda</t>
  </si>
  <si>
    <t>823.954.899-72</t>
  </si>
  <si>
    <t>(43) 988022038</t>
  </si>
  <si>
    <t>fabiogolas@hotmail.com</t>
  </si>
  <si>
    <t>70K D+0 (05/08/2025)</t>
  </si>
  <si>
    <t>024.034.771-41</t>
  </si>
  <si>
    <t>(62) - 991129999</t>
  </si>
  <si>
    <t>atendimento@terroircerrado.com.br</t>
  </si>
  <si>
    <t>020016028</t>
  </si>
  <si>
    <t>Gabriel</t>
  </si>
  <si>
    <t>Gleuber Lucas Alves</t>
  </si>
  <si>
    <t>Fabricio Parra Garcia</t>
  </si>
  <si>
    <t>62 98139-0612</t>
  </si>
  <si>
    <t>743.818.907-44</t>
  </si>
  <si>
    <t>(62) - 981174320</t>
  </si>
  <si>
    <t>gleuber.alves@gmail.com</t>
  </si>
  <si>
    <t>878.657.859-68</t>
  </si>
  <si>
    <t>(43) 999950224</t>
  </si>
  <si>
    <t>fp_garcia@hotmail.com</t>
  </si>
  <si>
    <t>Leonardo Luís de Barros Rodrigues</t>
  </si>
  <si>
    <t>2770005</t>
  </si>
  <si>
    <t>Guilherme Sales</t>
  </si>
  <si>
    <t>Grasielle Rodrigues Santana</t>
  </si>
  <si>
    <t>031.313.421-96</t>
  </si>
  <si>
    <t>(61) 98133-5022</t>
  </si>
  <si>
    <t>leobaldolbr@gmail.com</t>
  </si>
  <si>
    <t>097.553.326-69</t>
  </si>
  <si>
    <t>(34) 99175-2088</t>
  </si>
  <si>
    <t>grasirsantana@gmail.com</t>
  </si>
  <si>
    <t>Flavia Valone Gorini Jacob e/ou Ademir Junior Souto Jacob</t>
  </si>
  <si>
    <t>Alessandro Alcantara Correira</t>
  </si>
  <si>
    <t>008032597</t>
  </si>
  <si>
    <t>Guilherme Rebello Rocha Mangueira</t>
  </si>
  <si>
    <t>40K até D+1 (17/10/2024)</t>
  </si>
  <si>
    <t>092.878.271-92</t>
  </si>
  <si>
    <t>alessandrocorreira@gmail.com</t>
  </si>
  <si>
    <t>STVM para BTG concluída</t>
  </si>
  <si>
    <t>078.239.569-42</t>
  </si>
  <si>
    <t>(43) 991792669</t>
  </si>
  <si>
    <t>flagorini@yahoo.com.br</t>
  </si>
  <si>
    <t>036.493.901-08</t>
  </si>
  <si>
    <t>(61) - 999330230</t>
  </si>
  <si>
    <t>guilhermereb@gmail.com</t>
  </si>
  <si>
    <t>Gustavo Mendonça Nunes de Oliveira</t>
  </si>
  <si>
    <t>MULT PRIV/ COADM</t>
  </si>
  <si>
    <t>Lera Comercio e Serviços LTDA</t>
  </si>
  <si>
    <t>Flavio Costa Bezerra Filho</t>
  </si>
  <si>
    <t>94340347</t>
  </si>
  <si>
    <t>693.814.881-34</t>
  </si>
  <si>
    <t>008569831</t>
  </si>
  <si>
    <t>(61) - 981753061</t>
  </si>
  <si>
    <t>drgmendonca@gmail.com</t>
  </si>
  <si>
    <t>200k D+0 (04/07/2025)</t>
  </si>
  <si>
    <t>147.616.207-73</t>
  </si>
  <si>
    <t>41.594.518/0001-88</t>
  </si>
  <si>
    <t>(62) 99971-7000</t>
  </si>
  <si>
    <t>leonardo@leobatistaadvogados.com.br</t>
  </si>
  <si>
    <t>(21) 996873343</t>
  </si>
  <si>
    <t>flaviocostabf@gmail.com</t>
  </si>
  <si>
    <t>Gustavo Rassi Nader</t>
  </si>
  <si>
    <t>813.771.001-97</t>
  </si>
  <si>
    <t>(62) - 39542136</t>
  </si>
  <si>
    <t>grnader@hotmail.com</t>
  </si>
  <si>
    <t>Frederico de Avila Miguel</t>
  </si>
  <si>
    <t>Flavio Miguel</t>
  </si>
  <si>
    <t>(600K D+0 p/ Imóvel) mais 100k D+0 (03/05/2024)</t>
  </si>
  <si>
    <t>145.975.338-00</t>
  </si>
  <si>
    <t>(14) 997029785</t>
  </si>
  <si>
    <t>fredavilamiguel@gmail.com</t>
  </si>
  <si>
    <t>Alessandro Luis Almeida Bacelar Gama</t>
  </si>
  <si>
    <t>004252768</t>
  </si>
  <si>
    <t>João Victor de Moura Beze</t>
  </si>
  <si>
    <t>Helaine Taia Silveira</t>
  </si>
  <si>
    <t>030.523.481-16</t>
  </si>
  <si>
    <t>Guilherme de Souza Kraus</t>
  </si>
  <si>
    <t>30K D+0 (07/05/2025)</t>
  </si>
  <si>
    <t>316.386.271-34</t>
  </si>
  <si>
    <t>(62) - 991112888</t>
  </si>
  <si>
    <t>helainets@hotmail.com</t>
  </si>
  <si>
    <t>Cliente solicitou resgate total 11/04/2024</t>
  </si>
  <si>
    <t>436.403.692-70</t>
  </si>
  <si>
    <t>(41) 999127057</t>
  </si>
  <si>
    <t>guilherme.s.krauss@gmail.com</t>
  </si>
  <si>
    <t>Luciana Pacheco de Brito</t>
  </si>
  <si>
    <t>1822017</t>
  </si>
  <si>
    <t>Breno</t>
  </si>
  <si>
    <t>Gustavo Rodrigues Queiroz e/ou Aline Tramontini Zanluchi</t>
  </si>
  <si>
    <t>Helder Quadros Santos</t>
  </si>
  <si>
    <t>Caroline Cichello</t>
  </si>
  <si>
    <t>STVM para BTG dia 25/07/2023</t>
  </si>
  <si>
    <t>025.299.419-12</t>
  </si>
  <si>
    <t>(43) 99161109</t>
  </si>
  <si>
    <t>gustaroque@hotmail.com</t>
  </si>
  <si>
    <t>198.626.441-68</t>
  </si>
  <si>
    <t>(62) 99908-5571</t>
  </si>
  <si>
    <t>lupbrito@gmail.com</t>
  </si>
  <si>
    <t>40% D+0 (03/08/2026)</t>
  </si>
  <si>
    <t>Alessandro Pasqualinotti</t>
  </si>
  <si>
    <t>022511372</t>
  </si>
  <si>
    <t>651.853.405-25</t>
  </si>
  <si>
    <t>71 99900-9012</t>
  </si>
  <si>
    <t>hquadros@pobox.com</t>
  </si>
  <si>
    <t>Heloisa Trevisan Hata</t>
  </si>
  <si>
    <t>865.989.029-91</t>
  </si>
  <si>
    <t>43 99149-0648</t>
  </si>
  <si>
    <t>comercial@jplembalagens.com.br</t>
  </si>
  <si>
    <t>STVM para BTG 03/04/2023</t>
  </si>
  <si>
    <t>006.838.539-02</t>
  </si>
  <si>
    <t>(43) 99955128</t>
  </si>
  <si>
    <t>heloisath@gmail.com</t>
  </si>
  <si>
    <t>Henny Wilson Bahmad Scalon Botosso</t>
  </si>
  <si>
    <t>Alocar em liquidez diária, até ordem do assessor (12/02/2026).</t>
  </si>
  <si>
    <t>001.223.211-46</t>
  </si>
  <si>
    <t>61 98136-7471</t>
  </si>
  <si>
    <t>henny_fisio@hotmail.com</t>
  </si>
  <si>
    <t>Henrique Figueiredo Marquezine</t>
  </si>
  <si>
    <t>35% em títulos prefixados c/ vencimentos máx. de até 90 dias (e-mail Milanez)</t>
  </si>
  <si>
    <t>Taxa autorizada pelo Renan</t>
  </si>
  <si>
    <t>029.066.709-79</t>
  </si>
  <si>
    <t>(43) 991620049</t>
  </si>
  <si>
    <t>hmarqueza@gmail.com</t>
  </si>
  <si>
    <t>Ilton Luis Guimaraes De Siqueira</t>
  </si>
  <si>
    <t>Alexandre Cardoso Barreto Santana</t>
  </si>
  <si>
    <t>005823200</t>
  </si>
  <si>
    <t>Henrique Tomazoni</t>
  </si>
  <si>
    <t>378.213.426-53</t>
  </si>
  <si>
    <t>(62) - 981790243</t>
  </si>
  <si>
    <t>iltonluis52@gmail.com</t>
  </si>
  <si>
    <t>058.833.099-09</t>
  </si>
  <si>
    <t>(43) 996284973</t>
  </si>
  <si>
    <t>henriquetomazoni_adv@hotmail.com</t>
  </si>
  <si>
    <t>Maria Claudiomar Fernandes Bezerra</t>
  </si>
  <si>
    <t>784.038.805-10</t>
  </si>
  <si>
    <t>1597650</t>
  </si>
  <si>
    <t>71 98884-7559</t>
  </si>
  <si>
    <t>alexandre.ucsal@hotmail.com</t>
  </si>
  <si>
    <t>Iracema Matias Morris</t>
  </si>
  <si>
    <t>Ivone Aparecida Vaccaro</t>
  </si>
  <si>
    <t>563.749.091-00</t>
  </si>
  <si>
    <t>Troca de assessor 01/12/2023  Rodger (Conquest) para Luca Bueno</t>
  </si>
  <si>
    <t>977.113.571-68</t>
  </si>
  <si>
    <t>(61) 998193003</t>
  </si>
  <si>
    <t>iracemamorris@gmail.com</t>
  </si>
  <si>
    <t>652.174.629-49</t>
  </si>
  <si>
    <t>(62) - 981449594</t>
  </si>
  <si>
    <t>ivonevaccaro3@gmail.com</t>
  </si>
  <si>
    <t>Alexandre De Paula Trindade</t>
  </si>
  <si>
    <t>026366781</t>
  </si>
  <si>
    <t>Janilson Sampaio De Oliveira</t>
  </si>
  <si>
    <t>551.349.399-34</t>
  </si>
  <si>
    <t>43 99614-0505</t>
  </si>
  <si>
    <t>alexpt.uniware@gmail.com</t>
  </si>
  <si>
    <t>644.424.112-04</t>
  </si>
  <si>
    <t>(91) - 987356593</t>
  </si>
  <si>
    <t>jsampaiopa@gmail.com</t>
  </si>
  <si>
    <t>PA</t>
  </si>
  <si>
    <t>Jairo Augusto Marques de Carvalho</t>
  </si>
  <si>
    <t>Marli Melo Santana Rodrigues</t>
  </si>
  <si>
    <t>1965390</t>
  </si>
  <si>
    <t>559.112.939-00</t>
  </si>
  <si>
    <t>(43) 991480403</t>
  </si>
  <si>
    <t>jairoamcarvalho@hotmail.com</t>
  </si>
  <si>
    <t>Jennifer do Carmo Souza Pinheiro</t>
  </si>
  <si>
    <t>493.954.081-20</t>
  </si>
  <si>
    <t>(62) 98143-6061</t>
  </si>
  <si>
    <t>ojrfilho@hotmail.com</t>
  </si>
  <si>
    <t>004520100</t>
  </si>
  <si>
    <t>100k D+0 (22/07/2026)</t>
  </si>
  <si>
    <t>Jeronymo Nery do Amaral</t>
  </si>
  <si>
    <t>963.419.805-82</t>
  </si>
  <si>
    <t>71 99131-5505</t>
  </si>
  <si>
    <t>jey_souza@hotmail.com</t>
  </si>
  <si>
    <t>R$ 113.429,14</t>
  </si>
  <si>
    <t>R$ 114.183,64</t>
  </si>
  <si>
    <t>100% D+0</t>
  </si>
  <si>
    <t>R$ 116.025,40</t>
  </si>
  <si>
    <t>159.693.567-78</t>
  </si>
  <si>
    <t>(21) 979191811</t>
  </si>
  <si>
    <t>jeronymonery@yahoo.com</t>
  </si>
  <si>
    <t>R$ 120.449,44</t>
  </si>
  <si>
    <t>R$ 118.215,01</t>
  </si>
  <si>
    <t>R$ 110.918,46</t>
  </si>
  <si>
    <t>R$ 112.836,59</t>
  </si>
  <si>
    <t>R$ 113.344,23</t>
  </si>
  <si>
    <t xml:space="preserve">STVM de entrada da Guide finalizada (10/09/2023) </t>
  </si>
  <si>
    <t>R$ 114.851,90</t>
  </si>
  <si>
    <t>R$ 116.332,45</t>
  </si>
  <si>
    <t>R$ 115.083,02</t>
  </si>
  <si>
    <t>43 98828-1735</t>
  </si>
  <si>
    <t>R$ 111.436,03</t>
  </si>
  <si>
    <t>R$ 111.487,89</t>
  </si>
  <si>
    <t>Joanice De Moraes Arantes</t>
  </si>
  <si>
    <t>R$ 117.878,87</t>
  </si>
  <si>
    <t>R$ 120.028,19</t>
  </si>
  <si>
    <t>R$ 117.399,70</t>
  </si>
  <si>
    <t>R$ 114.686,01</t>
  </si>
  <si>
    <t>R$ 114.911,14</t>
  </si>
  <si>
    <t>Joao Alberto Hannuch Nascif</t>
  </si>
  <si>
    <t>R$ 119.113,19</t>
  </si>
  <si>
    <t>R$ 117.414,43</t>
  </si>
  <si>
    <t>R$ 117.587,57</t>
  </si>
  <si>
    <t>R$ 118.989,72</t>
  </si>
  <si>
    <t>R$ 15.658,02</t>
  </si>
  <si>
    <t>R$ 15.299,08</t>
  </si>
  <si>
    <t>R$ 15.155,73</t>
  </si>
  <si>
    <t>R$ 15.062,54</t>
  </si>
  <si>
    <t>R$ 14.965,88</t>
  </si>
  <si>
    <t>R$ 14.889,51</t>
  </si>
  <si>
    <t>R$ 14.785,25</t>
  </si>
  <si>
    <t>R$ 15.774,74</t>
  </si>
  <si>
    <t>R$ 15.972,00</t>
  </si>
  <si>
    <t>R$ 15.571,30</t>
  </si>
  <si>
    <t>044.032.839-00</t>
  </si>
  <si>
    <t>895.761.521-00</t>
  </si>
  <si>
    <t>R$ 16.038,10</t>
  </si>
  <si>
    <t>(11) 972620910</t>
  </si>
  <si>
    <t>(62) - 999788043</t>
  </si>
  <si>
    <t>R$ 15.512,52</t>
  </si>
  <si>
    <t>nicearantes@hotmail.com</t>
  </si>
  <si>
    <t>jhannuch@hotmail.com</t>
  </si>
  <si>
    <t>R$ 16.269,78</t>
  </si>
  <si>
    <t>R$ 16.522,15</t>
  </si>
  <si>
    <t>R$ 16.808,72</t>
  </si>
  <si>
    <t>R$ 17.115,54</t>
  </si>
  <si>
    <t>R$ 16.819,46</t>
  </si>
  <si>
    <t>R$ 16.740,76</t>
  </si>
  <si>
    <t>R$ 17.199,86</t>
  </si>
  <si>
    <t>R$ 17.031,63</t>
  </si>
  <si>
    <t>R$ 0,00</t>
  </si>
  <si>
    <t>R$ 12.051,21</t>
  </si>
  <si>
    <t>R$ 11.886,05</t>
  </si>
  <si>
    <t>R$ 11.967,45</t>
  </si>
  <si>
    <t>Joao Paulo Fernandes Guerreiro</t>
  </si>
  <si>
    <t>R$ 12.090,71</t>
  </si>
  <si>
    <t>R$ 12.401,26</t>
  </si>
  <si>
    <t>R$ 12.303,14</t>
  </si>
  <si>
    <t>R$ 19.495,20</t>
  </si>
  <si>
    <t>R$ 19.310,07</t>
  </si>
  <si>
    <t>R$ 16.264,87</t>
  </si>
  <si>
    <t>R$ 19.491,17</t>
  </si>
  <si>
    <t>R$ 19.492,58</t>
  </si>
  <si>
    <t>R$ 19.360,24</t>
  </si>
  <si>
    <t>R$ 19.530,33</t>
  </si>
  <si>
    <t>Joao Vitor Cabral de Morais</t>
  </si>
  <si>
    <t>R$ 19.620,32</t>
  </si>
  <si>
    <t>R$ 19.728,42</t>
  </si>
  <si>
    <t>R$ 19.598,08</t>
  </si>
  <si>
    <t>R$ 6.428,50</t>
  </si>
  <si>
    <t>NÂO OPERAR</t>
  </si>
  <si>
    <t>Alexandre Ramos Vieira</t>
  </si>
  <si>
    <t>305.150.118-27</t>
  </si>
  <si>
    <t>005558076</t>
  </si>
  <si>
    <t>(43) 999700063</t>
  </si>
  <si>
    <t>joaoguerreiro39@yahoo.com.br</t>
  </si>
  <si>
    <t>Paula Lemos</t>
  </si>
  <si>
    <t>Mauro Schenekenberg Guedes</t>
  </si>
  <si>
    <t>1909422</t>
  </si>
  <si>
    <t>038.144.411-25</t>
  </si>
  <si>
    <t>joaovitorcabral94@gmail.com</t>
  </si>
  <si>
    <t>120.779.681-68</t>
  </si>
  <si>
    <t>alexvieira22071@gmail.com</t>
  </si>
  <si>
    <t>316.493.431-91</t>
  </si>
  <si>
    <t>(61) 99214-2331</t>
  </si>
  <si>
    <t>mauro@msvistoria.com.br</t>
  </si>
  <si>
    <t>Jose Valmir Paulino Dias</t>
  </si>
  <si>
    <t>Joao Rodrigo Santos Milanez</t>
  </si>
  <si>
    <t>João Moreira</t>
  </si>
  <si>
    <t>072.914.933-15</t>
  </si>
  <si>
    <t>61 98175-4138</t>
  </si>
  <si>
    <t>valmir1001@gmail.com</t>
  </si>
  <si>
    <t>516.707.981-00</t>
  </si>
  <si>
    <t>(43) 988038846</t>
  </si>
  <si>
    <t>joao@usinadeideias.com.br</t>
  </si>
  <si>
    <t>Alexandre Strauch Pereira Coutinho</t>
  </si>
  <si>
    <t>Juliana Fontes de Melo</t>
  </si>
  <si>
    <t>Jose Washington de Carvalho Novaes</t>
  </si>
  <si>
    <t>Matrice</t>
  </si>
  <si>
    <t>005022526</t>
  </si>
  <si>
    <t>000.536.271-72</t>
  </si>
  <si>
    <t>(61) 999894554</t>
  </si>
  <si>
    <t>105.750.447-56</t>
  </si>
  <si>
    <t>josewashington277@gmail.com</t>
  </si>
  <si>
    <t>21 98871-2533</t>
  </si>
  <si>
    <t>Cliente vai resgatar sozinho/ Troca de Assessoria de Thiago Canbrava para Matheus Vilar</t>
  </si>
  <si>
    <t>jufontes.jf@gmail.com</t>
  </si>
  <si>
    <t>028.189.781-65</t>
  </si>
  <si>
    <t>Norton De Andrade Vieira Fritzsche Jr</t>
  </si>
  <si>
    <t>2336810</t>
  </si>
  <si>
    <t>Norton Jr.</t>
  </si>
  <si>
    <t>Jovino Locatelli</t>
  </si>
  <si>
    <t>Juliana Gomes Falleiros Cavalheiro</t>
  </si>
  <si>
    <t>Guilherme Marques</t>
  </si>
  <si>
    <t>Moderada p/ income 14/04/2022</t>
  </si>
  <si>
    <t>345.940.519-87</t>
  </si>
  <si>
    <t>(43) 991393583</t>
  </si>
  <si>
    <t>jovino@planetatenis.com.br</t>
  </si>
  <si>
    <t>Taxa de gestão aSULovada</t>
  </si>
  <si>
    <t>219.105.138-30</t>
  </si>
  <si>
    <t>(61) - 991772687</t>
  </si>
  <si>
    <t>043.065.121-00</t>
  </si>
  <si>
    <t>julianafalleiros@yahoo.com.br</t>
  </si>
  <si>
    <t>(61) 98111-8833</t>
  </si>
  <si>
    <t>norton.vieira@gmail.com</t>
  </si>
  <si>
    <t>005019925</t>
  </si>
  <si>
    <t>Lara Falavigna Guilherme Nacruth</t>
  </si>
  <si>
    <t>Juliano Falleiros Cavalheiro</t>
  </si>
  <si>
    <t>Aguardando resposta do FA / Troca de Assessoria de Thiago Canbrava para Matheus Vilar</t>
  </si>
  <si>
    <t>alexandre.strauch@hotmail.com</t>
  </si>
  <si>
    <t>Equities para arrojada 06/01/2022 (Fazendo STVM - nao comprar ações)</t>
  </si>
  <si>
    <t>054.619.689-61</t>
  </si>
  <si>
    <t>(44) 999847582</t>
  </si>
  <si>
    <t>lara_falavigna@hotmail.com</t>
  </si>
  <si>
    <t>268.878.568-08</t>
  </si>
  <si>
    <t>(11) - 995965703</t>
  </si>
  <si>
    <t>cavalheiro.juliano@gmail.com</t>
  </si>
  <si>
    <t>Arrojada para moderada 06/01/2022</t>
  </si>
  <si>
    <t>Karen Neves Edwards</t>
  </si>
  <si>
    <t>Olívio de Oliveira Penteado</t>
  </si>
  <si>
    <t>1922798</t>
  </si>
  <si>
    <t>005028018</t>
  </si>
  <si>
    <t>Roberly</t>
  </si>
  <si>
    <t>728.488.042-20</t>
  </si>
  <si>
    <t>FII</t>
  </si>
  <si>
    <t>IFIX</t>
  </si>
  <si>
    <t>Troca de Assessoria de Thiago Canbrava para Matheus Vilar</t>
  </si>
  <si>
    <t>Leonardo Leopoldino Gonçalves</t>
  </si>
  <si>
    <t>Ainda consta na base</t>
  </si>
  <si>
    <t>374.289.699-72</t>
  </si>
  <si>
    <t>Leonardo Jardim</t>
  </si>
  <si>
    <t>(61) 98510-2204</t>
  </si>
  <si>
    <t>penteadotopo@hotmail.com</t>
  </si>
  <si>
    <t>Lailson da Silva Oliveira</t>
  </si>
  <si>
    <t>027.053.421-09</t>
  </si>
  <si>
    <t>(61) 981088720</t>
  </si>
  <si>
    <t>leonardo.logon@gmail.com</t>
  </si>
  <si>
    <t>036.079.621-46</t>
  </si>
  <si>
    <t>63 99915-9000</t>
  </si>
  <si>
    <t>lailson.oliveira.01@gmail.com</t>
  </si>
  <si>
    <t>MA</t>
  </si>
  <si>
    <t>Lylle Maria Leite Pugliese</t>
  </si>
  <si>
    <t xml:space="preserve">Alexandre Zanin Neto </t>
  </si>
  <si>
    <t>005024046</t>
  </si>
  <si>
    <t>Lais Barreto Franco</t>
  </si>
  <si>
    <t>550.915.127-72</t>
  </si>
  <si>
    <t>(61) 993686182</t>
  </si>
  <si>
    <t>luanabailao@gmail.com</t>
  </si>
  <si>
    <t>STVM de entrada da Guide finalizada (06/11/2023) / Alteração de carteira finalizada (05/08/2024)</t>
  </si>
  <si>
    <t>020.252.419-17</t>
  </si>
  <si>
    <t>nin00@trf4.jus.br</t>
  </si>
  <si>
    <t>031.050.455-46</t>
  </si>
  <si>
    <t>71 99122-1138</t>
  </si>
  <si>
    <t>Pedro de Assunção Cruz</t>
  </si>
  <si>
    <t>SE</t>
  </si>
  <si>
    <t>4610671</t>
  </si>
  <si>
    <t>Pedro Ferreira</t>
  </si>
  <si>
    <t>Luana Bailão</t>
  </si>
  <si>
    <t>Avisar ao cliente todas as vezes que tiver venda para que ele possa assionar o seu contador pessoal</t>
  </si>
  <si>
    <t>Moderado para Arrojada 60 (15/09/2020)/ Troca de assessor 01/12/2023 Rodger (Conquest) para Thiago Canabrava / Troca de assessor de Thiago Canabrava para Guilherme dos Santos</t>
  </si>
  <si>
    <t>796.850.991-20</t>
  </si>
  <si>
    <t>131.190.857-90</t>
  </si>
  <si>
    <t>Layla Achkar Magalhaes Torres</t>
  </si>
  <si>
    <t>004890599</t>
  </si>
  <si>
    <t>100% D+0 (07/04/2025)</t>
  </si>
  <si>
    <t>Moderado para Arrojada 60 (15/09/2020)/ Troca de Assessoria de Thiago Canabrava para Guilherme dos Santos</t>
  </si>
  <si>
    <t>Alteração de carteira finalizada (17/06/2025)</t>
  </si>
  <si>
    <t>100.573.857-26</t>
  </si>
  <si>
    <t>(61) - 996276478</t>
  </si>
  <si>
    <t>laylachkar@gmail.com</t>
  </si>
  <si>
    <t>Lucas Daniel Chaves de Freitas e/ou Luísa Nunes de C Anabuki</t>
  </si>
  <si>
    <t>Troca de assessor 01/12/2023 Rafael (Conquest ) para Matheus Vilar</t>
  </si>
  <si>
    <t>067.331.544-47</t>
  </si>
  <si>
    <t>Leandro Araujo Lobo</t>
  </si>
  <si>
    <t>Raíssa Castilho Martins Ferreira</t>
  </si>
  <si>
    <t>1884055</t>
  </si>
  <si>
    <t>Luciano Souza Fonseca</t>
  </si>
  <si>
    <t>052.033.347-06</t>
  </si>
  <si>
    <t>(21) - 999496066</t>
  </si>
  <si>
    <t>lelelobo@gmail.com</t>
  </si>
  <si>
    <t>Moderado para Arrojada (20/12)</t>
  </si>
  <si>
    <t>Alexia Satyro Sá Ribeiro Fritzsche</t>
  </si>
  <si>
    <t>717.733.206-53</t>
  </si>
  <si>
    <t>350.392.248-26</t>
  </si>
  <si>
    <t>61 98104-1268</t>
  </si>
  <si>
    <t>008227566</t>
  </si>
  <si>
    <t>(61) 99688-0038</t>
  </si>
  <si>
    <t>fonseca.luciano@gmail.com</t>
  </si>
  <si>
    <t>raissa_cnm@hotmail.com</t>
  </si>
  <si>
    <t>058.796.871-04</t>
  </si>
  <si>
    <t>alexiasatyrof@gmail.com</t>
  </si>
  <si>
    <t>Leandro Augusto de Araujo Cunha Teixeira Bueno</t>
  </si>
  <si>
    <t>Marcelo de Lima Castro Diniz</t>
  </si>
  <si>
    <t>805.479.409-63</t>
  </si>
  <si>
    <t>342.258.488-92</t>
  </si>
  <si>
    <t>(61) - 981303300</t>
  </si>
  <si>
    <t>cunhabueno.law@gmail.com</t>
  </si>
  <si>
    <t>Marcelo Lara Camargos</t>
  </si>
  <si>
    <t>Leonardo Araujo Laperche</t>
  </si>
  <si>
    <t>156.740.106-68</t>
  </si>
  <si>
    <t>(31) 999826849</t>
  </si>
  <si>
    <t>marcelolara682@gmail.com</t>
  </si>
  <si>
    <t>Ricardo Russo</t>
  </si>
  <si>
    <t>1586968</t>
  </si>
  <si>
    <t>Alice Barros De Souza</t>
  </si>
  <si>
    <t>041.266.381-30</t>
  </si>
  <si>
    <t>62 99134-8995</t>
  </si>
  <si>
    <t>leolaperche@gmail.com</t>
  </si>
  <si>
    <t>005374394</t>
  </si>
  <si>
    <t>Marcelo Reinecken de Araújo</t>
  </si>
  <si>
    <t>Rodger</t>
  </si>
  <si>
    <t>059.074.958-71</t>
  </si>
  <si>
    <t>(61) 9993-8681</t>
  </si>
  <si>
    <t>ricardorussobsb@gmail.com</t>
  </si>
  <si>
    <t>093.777.699-81</t>
  </si>
  <si>
    <t>43 99846-0540</t>
  </si>
  <si>
    <t>776.057.051-15</t>
  </si>
  <si>
    <t>(61) 981250102</t>
  </si>
  <si>
    <t>alicebarrossouza@icloud.com</t>
  </si>
  <si>
    <t>marcelo.reinecken@veirano.com.br</t>
  </si>
  <si>
    <t>Levi Silva Filho</t>
  </si>
  <si>
    <t>00/01/1900</t>
  </si>
  <si>
    <t>Marcelo Seiji Nisioka</t>
  </si>
  <si>
    <t>154.536.691-87</t>
  </si>
  <si>
    <t>(62) - 996887440</t>
  </si>
  <si>
    <t>levisilvafilho@yahoo.com.br</t>
  </si>
  <si>
    <t>550k em liquidez</t>
  </si>
  <si>
    <t>878.578.719-15</t>
  </si>
  <si>
    <t>(43) 984050055</t>
  </si>
  <si>
    <t>mnisioka@gmail.com</t>
  </si>
  <si>
    <t>Lidyane Marques De Paula Gomide</t>
  </si>
  <si>
    <t>Rodrigo Luís de Barros Rodrigues</t>
  </si>
  <si>
    <t>Marcus Aurelio Liogi</t>
  </si>
  <si>
    <t>2765044</t>
  </si>
  <si>
    <t>Alice Daia Naves</t>
  </si>
  <si>
    <t>012.062.941-08</t>
  </si>
  <si>
    <t>005370995</t>
  </si>
  <si>
    <t>(63) - 32553271</t>
  </si>
  <si>
    <t>lidyanegomide@hotmail.com</t>
  </si>
  <si>
    <t>M Wealth</t>
  </si>
  <si>
    <t>993.665.689-04</t>
  </si>
  <si>
    <t>031.313.441-30</t>
  </si>
  <si>
    <t>(61) 98133-5052</t>
  </si>
  <si>
    <t>rodrigorod1023@gmail.com</t>
  </si>
  <si>
    <t>CONSUL M Wealth</t>
  </si>
  <si>
    <t>Lilia Rosa de Sousa</t>
  </si>
  <si>
    <t>Maria Beatriz Roldão e Alvares</t>
  </si>
  <si>
    <t>168.574.596-22</t>
  </si>
  <si>
    <t>(34)99937-3775</t>
  </si>
  <si>
    <t>fabriciofnaves@yahoo.com.br</t>
  </si>
  <si>
    <t>426.590.601-00</t>
  </si>
  <si>
    <t>Troca de assessor 01/12/2023 Rodger (Conquest) para Gustavo Amorim</t>
  </si>
  <si>
    <t>62 99986-6039</t>
  </si>
  <si>
    <t>310.271.481-15</t>
  </si>
  <si>
    <t>liliarosavascon75@gmail.com</t>
  </si>
  <si>
    <t>(61) 984026036</t>
  </si>
  <si>
    <t>battinha@hotmail.com</t>
  </si>
  <si>
    <t>Maria de Fátima Nunes Franco</t>
  </si>
  <si>
    <t>150.297.861-04</t>
  </si>
  <si>
    <t>(61) 984098444</t>
  </si>
  <si>
    <t>fatimaflorescer@gmail.com</t>
  </si>
  <si>
    <t>Rubem Soares de Oliveira Lima</t>
  </si>
  <si>
    <t>2066065</t>
  </si>
  <si>
    <t>Manter ETF HashDex (10/03/2025)</t>
  </si>
  <si>
    <t>Alice Lunardelli Canavezi</t>
  </si>
  <si>
    <t>805.255.631-72</t>
  </si>
  <si>
    <t>008671097</t>
  </si>
  <si>
    <t>(61) 99298-6092</t>
  </si>
  <si>
    <t>Mariana Ruiz de Avila Miguel</t>
  </si>
  <si>
    <t>hs.rubem@gmail.com</t>
  </si>
  <si>
    <t>(61) - 993686182</t>
  </si>
  <si>
    <t>435.010.688-08</t>
  </si>
  <si>
    <t>Marta Maria Prado de Souza Coe</t>
  </si>
  <si>
    <t>147.825.949-33</t>
  </si>
  <si>
    <t>43 99156-1938</t>
  </si>
  <si>
    <t>Lucas Henrique Inácio Santos</t>
  </si>
  <si>
    <t>drelunardelli@hotmail.com</t>
  </si>
  <si>
    <t>584.201.771-72</t>
  </si>
  <si>
    <t>(61) 998270505</t>
  </si>
  <si>
    <t>martamaria0505@hotmail.com</t>
  </si>
  <si>
    <t>011.123.731-95</t>
  </si>
  <si>
    <t>(61) - 995596584</t>
  </si>
  <si>
    <t>lucastempo@gmail.com</t>
  </si>
  <si>
    <t>Mateus Argolo Lopes Camargos</t>
  </si>
  <si>
    <t>Washington Leonardo Guanaes Bonini</t>
  </si>
  <si>
    <t>2245369</t>
  </si>
  <si>
    <t>Luciana Ariki Hiromoto</t>
  </si>
  <si>
    <t>Thais Helena</t>
  </si>
  <si>
    <t>055.349.616-60</t>
  </si>
  <si>
    <t>(31) 988178276</t>
  </si>
  <si>
    <t>mateuscamargos@hotmail.com</t>
  </si>
  <si>
    <t>Alina Coimbra Castelo Branco Vasconcelos Stoenica</t>
  </si>
  <si>
    <t>005596494</t>
  </si>
  <si>
    <t>Ações para Arrojada 11/03/2021</t>
  </si>
  <si>
    <t>Caroline Facó Ehlers</t>
  </si>
  <si>
    <t>278.602.338-60</t>
  </si>
  <si>
    <t>286.809.168-70</t>
  </si>
  <si>
    <t>(61) 3263-4982</t>
  </si>
  <si>
    <t>(15) - 981502445</t>
  </si>
  <si>
    <t>wasbonini@gmail.com</t>
  </si>
  <si>
    <t>luciana.ariki@gmail.com</t>
  </si>
  <si>
    <t>065.969.811-00</t>
  </si>
  <si>
    <t>alinavasconcelos@hotmail.com</t>
  </si>
  <si>
    <t>Natalia Falavigna Silva</t>
  </si>
  <si>
    <t>Aguardando portabilidade de previdência para BTG (26/03/2024)</t>
  </si>
  <si>
    <t>Luis Daniel Bonfim Fernandes</t>
  </si>
  <si>
    <t>041.324.989-13</t>
  </si>
  <si>
    <t>(11) 987434473</t>
  </si>
  <si>
    <t>natalia_falavigna@hotmail.com</t>
  </si>
  <si>
    <t>Não movimentar carteira (27/11/2024)</t>
  </si>
  <si>
    <t>031.861.946-60</t>
  </si>
  <si>
    <t>(61) - 981291257</t>
  </si>
  <si>
    <t>bonfimluis@yahoo.com.br</t>
  </si>
  <si>
    <t xml:space="preserve">Natalia Falavigna Silva   </t>
  </si>
  <si>
    <t>Luisa Lemos Pimentel</t>
  </si>
  <si>
    <t>100k D+0 e 100k aplic. de 6 meses (15/09/2025)</t>
  </si>
  <si>
    <t>Aline Cristina de Souza Reis</t>
  </si>
  <si>
    <t>001669540</t>
  </si>
  <si>
    <t>027.177.281-63</t>
  </si>
  <si>
    <t>61 98146-8178</t>
  </si>
  <si>
    <t>Patricia Soares Assad Andrade</t>
  </si>
  <si>
    <t>lpimentel.luisa@gmail.com</t>
  </si>
  <si>
    <t>Vitor Mafra</t>
  </si>
  <si>
    <t>798.719.846-34</t>
  </si>
  <si>
    <t>(35) 988320510</t>
  </si>
  <si>
    <t>patyaand@hotmail.com</t>
  </si>
  <si>
    <t>033.032.517-54</t>
  </si>
  <si>
    <t>62 98111-8766</t>
  </si>
  <si>
    <t>alinecsr3@gmail.com</t>
  </si>
  <si>
    <t>Luiza Amelia Marques Vinhal De Carvalho</t>
  </si>
  <si>
    <t>Paula Falavigna Silva</t>
  </si>
  <si>
    <t>INC CP</t>
  </si>
  <si>
    <t>055.981.101-21</t>
  </si>
  <si>
    <t>(61) - 991979440</t>
  </si>
  <si>
    <t>luizamvinhal@gmail.com</t>
  </si>
  <si>
    <t>Contas Ativas</t>
  </si>
  <si>
    <t>006.340.719-12</t>
  </si>
  <si>
    <t>pala.falavigna10@gmail.com</t>
  </si>
  <si>
    <t>Paula Renata Ruiz de Avila Miguel</t>
  </si>
  <si>
    <t>Luzinildes Maria Santana Ramos</t>
  </si>
  <si>
    <t>Nexco</t>
  </si>
  <si>
    <t>Italo Teles</t>
  </si>
  <si>
    <t>MULT PRIV</t>
  </si>
  <si>
    <t xml:space="preserve">IPCA +7% </t>
  </si>
  <si>
    <t>Aplicar em fundo DI todo caixa que surgir por vencimento de papéis (cliente vai precisar do recurso)</t>
  </si>
  <si>
    <t>316.526.378-77</t>
  </si>
  <si>
    <t>295.919.021-15</t>
  </si>
  <si>
    <t>61 98433-1682</t>
  </si>
  <si>
    <t>nildeslu@hotmail.com</t>
  </si>
  <si>
    <t>Aline Lordes Saliba</t>
  </si>
  <si>
    <t>005009992</t>
  </si>
  <si>
    <t>Yasmin Maia Muniz Xavier</t>
  </si>
  <si>
    <t>Contas Invativas</t>
  </si>
  <si>
    <t>Marcelo Moreira da Silva</t>
  </si>
  <si>
    <t>015.243.891-29</t>
  </si>
  <si>
    <t>18795350</t>
  </si>
  <si>
    <t>dra.saliba@gmail.com</t>
  </si>
  <si>
    <t>013.491.756-17</t>
  </si>
  <si>
    <t>61 98333-6162</t>
  </si>
  <si>
    <t>marceloms_med@yahoo.com.br</t>
  </si>
  <si>
    <t>Paulo Fernando Ulian</t>
  </si>
  <si>
    <t>Maria Alba Sá</t>
  </si>
  <si>
    <t>351.327.281-20</t>
  </si>
  <si>
    <t>(61) 999813977</t>
  </si>
  <si>
    <t>paulo@p21sistemas.com.br</t>
  </si>
  <si>
    <t>Manter 51k Fundo Riza Lotus (15/09/2025)</t>
  </si>
  <si>
    <t>224.618.849-00</t>
  </si>
  <si>
    <t>(48) - 999826712</t>
  </si>
  <si>
    <t>maria.alba.sa12@gmail.com</t>
  </si>
  <si>
    <t>SC</t>
  </si>
  <si>
    <t xml:space="preserve">Paulo Fernando Ulian	</t>
  </si>
  <si>
    <t>Alta liquidez, falar com Renan</t>
  </si>
  <si>
    <t>Maria de Fatima Rabelo Jacomo</t>
  </si>
  <si>
    <t>Alinne Bezerra Campos do Vale</t>
  </si>
  <si>
    <t>004381194</t>
  </si>
  <si>
    <t>Hugo Motta</t>
  </si>
  <si>
    <t>Próximos vencimentos D+0 (04/06/2025)</t>
  </si>
  <si>
    <t>166.328.851-87</t>
  </si>
  <si>
    <t>(62) - 982218585</t>
  </si>
  <si>
    <t>jacomo@jacomo.com.br</t>
  </si>
  <si>
    <t>Paulo Henrique de Moraes Mendes</t>
  </si>
  <si>
    <t>Guilherme dos Santos</t>
  </si>
  <si>
    <t>009.571.921-00</t>
  </si>
  <si>
    <t>jpaulo.mv@gmail.com</t>
  </si>
  <si>
    <t>Monitorar proventos de 31/12/999</t>
  </si>
  <si>
    <t>020.234.221-24</t>
  </si>
  <si>
    <t>(61) 999866070</t>
  </si>
  <si>
    <t>phmendess@hotmail.com</t>
  </si>
  <si>
    <t>Maria Do Carmo Pereira De Souza</t>
  </si>
  <si>
    <t>Contas Encerradas</t>
  </si>
  <si>
    <t>375.329.521-34</t>
  </si>
  <si>
    <t>Pedro Afonso Rezende Posso</t>
  </si>
  <si>
    <t>(0) - 0</t>
  </si>
  <si>
    <t>mariadcarmo63@hotmail.com</t>
  </si>
  <si>
    <t>074.892.199-06</t>
  </si>
  <si>
    <t>(62) 998349442</t>
  </si>
  <si>
    <t>pedro.posso24@gmail.com</t>
  </si>
  <si>
    <t>Mariana Lima de Oliveira</t>
  </si>
  <si>
    <t>Pedro de Mello Vianna Pedrosa Galvão</t>
  </si>
  <si>
    <t>R$ 1.000.000,00 D+0 para envio para o exterior (05/01/2025)</t>
  </si>
  <si>
    <t>958.285.161-91</t>
  </si>
  <si>
    <t>(62) - 992234225</t>
  </si>
  <si>
    <t>mariana@energoato.com.br</t>
  </si>
  <si>
    <t>Aloisio Oliveira Nassau</t>
  </si>
  <si>
    <t>151.073.857-61</t>
  </si>
  <si>
    <t>005870700</t>
  </si>
  <si>
    <t>(21) 996407180</t>
  </si>
  <si>
    <t>pedromvpgalvao92@gmail.com</t>
  </si>
  <si>
    <t>Contas Pode Operar</t>
  </si>
  <si>
    <t>369.493.536-34</t>
  </si>
  <si>
    <t>Marlene Bonfim Pereira</t>
  </si>
  <si>
    <t>526.577.601-04</t>
  </si>
  <si>
    <t>(62) - 984210238</t>
  </si>
  <si>
    <t>marlene-pitanga@uol.com.br</t>
  </si>
  <si>
    <t>Pedro Rocha Junior</t>
  </si>
  <si>
    <t>Mateus Fernandes Carvalho</t>
  </si>
  <si>
    <t>004.242.451-83</t>
  </si>
  <si>
    <t>(62) - 999184089</t>
  </si>
  <si>
    <t>mateusfernandescarvalho@gmail.com</t>
  </si>
  <si>
    <t>775.954.327-15</t>
  </si>
  <si>
    <t>Alphasitio Incorporacoes Ltda</t>
  </si>
  <si>
    <t>(21) 979970024</t>
  </si>
  <si>
    <t>005305448</t>
  </si>
  <si>
    <t>nadia@fastmail.fm</t>
  </si>
  <si>
    <t>Mauricio Tutida Iryoda</t>
  </si>
  <si>
    <t>CON/ COADM</t>
  </si>
  <si>
    <t>Alteração de carteira finalizada (24/03/2025)</t>
  </si>
  <si>
    <t>717.045.311-87</t>
  </si>
  <si>
    <t>(61) - 981737773</t>
  </si>
  <si>
    <t>mauricio.tutida@gmail.com</t>
  </si>
  <si>
    <t> 01/07/1981</t>
  </si>
  <si>
    <t>Cliente solicitou troca de assessoria</t>
  </si>
  <si>
    <t>04.229.856/0001-94</t>
  </si>
  <si>
    <t>Philipe Ferreira da Silva Lima</t>
  </si>
  <si>
    <t>Milene Lacerda Macedo Falcao Hora</t>
  </si>
  <si>
    <t>Moderado para Arrojada 60 (15/09/2020)/ Troca de assessor 01/12/2023 Rafael (Conquest) para Thiago Canabrava / Troca de assessor de Thiago Canabrava para Guilherme dos Santos</t>
  </si>
  <si>
    <t>028.767.421-52</t>
  </si>
  <si>
    <t>(61) 981381593</t>
  </si>
  <si>
    <t>philipe2210@hotmail.com</t>
  </si>
  <si>
    <t>026.246.774-70</t>
  </si>
  <si>
    <t>(61) - 985766996</t>
  </si>
  <si>
    <t>milenemacedoneuro@gmail.com</t>
  </si>
  <si>
    <t>Pollyanna de Oliveira Rocha</t>
  </si>
  <si>
    <t>017.642.421-06</t>
  </si>
  <si>
    <t>(61) 992201670</t>
  </si>
  <si>
    <t>pollyrocha@gmail.com</t>
  </si>
  <si>
    <t>Milla Cerdeira Bernat</t>
  </si>
  <si>
    <t>Raquel de Oliveira Alves</t>
  </si>
  <si>
    <t>Solicitou resgate com intuito de distato</t>
  </si>
  <si>
    <t>012.999.731-59</t>
  </si>
  <si>
    <t>006.462.091-32</t>
  </si>
  <si>
    <t>(61) 982319130</t>
  </si>
  <si>
    <t>kell408@gmail.com</t>
  </si>
  <si>
    <t>(61) - 996587422</t>
  </si>
  <si>
    <t>millabernat@yahoo.com.br</t>
  </si>
  <si>
    <t>Alraha Alhanna</t>
  </si>
  <si>
    <t>022322002</t>
  </si>
  <si>
    <t>Raquel Fagundes Braga Ferreira</t>
  </si>
  <si>
    <t>705.476.741-12</t>
  </si>
  <si>
    <t>61 98144-3230</t>
  </si>
  <si>
    <t>alraha.gov.uae@gmail.com</t>
  </si>
  <si>
    <t>Murilo Ribeiro Silva</t>
  </si>
  <si>
    <t>505.577.691-91</t>
  </si>
  <si>
    <t>(61) 981117430</t>
  </si>
  <si>
    <t>raquelfbf@gmail.com</t>
  </si>
  <si>
    <t>839.737.615-15</t>
  </si>
  <si>
    <t>71 99983-8144</t>
  </si>
  <si>
    <t>murilo.musk09@gmail.com</t>
  </si>
  <si>
    <t>Orlando Machado Filho</t>
  </si>
  <si>
    <t>Aluisio Ferreira Coelho</t>
  </si>
  <si>
    <t>Daniel Melhado</t>
  </si>
  <si>
    <t>Rejane Elizabeth Maria Jaqueto</t>
  </si>
  <si>
    <t>008510608</t>
  </si>
  <si>
    <t>454.567.631-68</t>
  </si>
  <si>
    <t>62 99972-0152</t>
  </si>
  <si>
    <t>ormafilho@gmail.com</t>
  </si>
  <si>
    <t>Não operar, está fazendo STVM pro BTG (004550605) 19/05/2023</t>
  </si>
  <si>
    <t>110.842.898-30</t>
  </si>
  <si>
    <t>(43) 991780698</t>
  </si>
  <si>
    <t>rejanejaqueto@hotmail.com</t>
  </si>
  <si>
    <t>153.689.041-34</t>
  </si>
  <si>
    <t>aluisiofcoelho@yahoo.com.br</t>
  </si>
  <si>
    <t>Ricardo Alves Matheus</t>
  </si>
  <si>
    <t>Paolla Fonseca De Lima Silva</t>
  </si>
  <si>
    <t>021.174.719-00</t>
  </si>
  <si>
    <t>20K D+0 (28/03/2025)</t>
  </si>
  <si>
    <t>125.782.846-01</t>
  </si>
  <si>
    <t>(27) - 988459432</t>
  </si>
  <si>
    <t>paollaflsilva@gmail.com</t>
  </si>
  <si>
    <t>ES</t>
  </si>
  <si>
    <t>Paschoal Guido Junior</t>
  </si>
  <si>
    <t>Ama Patrimonial Ltda</t>
  </si>
  <si>
    <t>022854384</t>
  </si>
  <si>
    <t>15K D+0 (28/03/2025)</t>
  </si>
  <si>
    <t>977.514.641-00</t>
  </si>
  <si>
    <t>(61) - 981322397</t>
  </si>
  <si>
    <t>pgj.unb@gmail.com</t>
  </si>
  <si>
    <t>64.019.118/0001-44</t>
  </si>
  <si>
    <t>61 98220-7887</t>
  </si>
  <si>
    <t>ama.patrimonial@hotmail.com</t>
  </si>
  <si>
    <t>Todo mês de dezembro o cliente irá fazer resgate</t>
  </si>
  <si>
    <t>Patricia Maria Pizzo Reis</t>
  </si>
  <si>
    <t>Rodolfo Cesar Azevedo Palma</t>
  </si>
  <si>
    <t>886.287.871-00</t>
  </si>
  <si>
    <t>(61) - 983484228</t>
  </si>
  <si>
    <t>pmpreis@hotmail.com</t>
  </si>
  <si>
    <t>087.147.339-94</t>
  </si>
  <si>
    <t>(43) 999368050</t>
  </si>
  <si>
    <t>rcpalma@ymail.com</t>
  </si>
  <si>
    <t>Rodolfo Cesar Azevedo Palma e/ou Poliana Camurca da Silva</t>
  </si>
  <si>
    <t>Julho (D-0)</t>
  </si>
  <si>
    <t>Paulo Venancio Barbosa Freitas</t>
  </si>
  <si>
    <t>Aplicações máx 1 ano (15/01/2025)</t>
  </si>
  <si>
    <t>Alteração de carteira finalizada (30/01/2026)</t>
  </si>
  <si>
    <t>268.514.568-00</t>
  </si>
  <si>
    <t>(62) - 996642040</t>
  </si>
  <si>
    <t>freitas.pvbf@outlook.com</t>
  </si>
  <si>
    <t>Amado da Costa e Silva e/ou Helena Maria Machado da Costa e Silva</t>
  </si>
  <si>
    <t>004204255</t>
  </si>
  <si>
    <t>Rodrigo Felipe Marques</t>
  </si>
  <si>
    <t>Lucio Guimaraes Moscareli</t>
  </si>
  <si>
    <t>Pedro de Almeida Prado Sassi</t>
  </si>
  <si>
    <t>023.972.977-36</t>
  </si>
  <si>
    <t>(61) 981960080</t>
  </si>
  <si>
    <t>rodrigofelipe08@gmai.com</t>
  </si>
  <si>
    <t>377.012.237-20</t>
  </si>
  <si>
    <t>407.076.308-27</t>
  </si>
  <si>
    <t>(11) - 996580582</t>
  </si>
  <si>
    <t>acossil51@gmail.com</t>
  </si>
  <si>
    <t>pesassi@hotmail.com</t>
  </si>
  <si>
    <t>Tatiana Lima Carvalho</t>
  </si>
  <si>
    <t>Priscilla de Araújo Bezerra</t>
  </si>
  <si>
    <t>634.698.471-34</t>
  </si>
  <si>
    <t>(61) 992798981</t>
  </si>
  <si>
    <t>tatiana.lima.c@gmail.com</t>
  </si>
  <si>
    <t>013.601.351-11</t>
  </si>
  <si>
    <t>(61) - 985266727</t>
  </si>
  <si>
    <t>Ampiezza Clinicas Integradas LTDA</t>
  </si>
  <si>
    <t>priscilladearaujob@gmail.com</t>
  </si>
  <si>
    <t>Valmir Augusto Jasckstet</t>
  </si>
  <si>
    <t>13.888.605/0001-02</t>
  </si>
  <si>
    <t>005198093</t>
  </si>
  <si>
    <t>(61) - 31420244</t>
  </si>
  <si>
    <t>thaysa.ampiezza@gmail.com</t>
  </si>
  <si>
    <t>STVM dia 10/04/23</t>
  </si>
  <si>
    <t>366.690.599-49</t>
  </si>
  <si>
    <t>(43) 991246073</t>
  </si>
  <si>
    <t>valmirjascks@gmail.com</t>
  </si>
  <si>
    <t>Rafaela Souza Santos</t>
  </si>
  <si>
    <t>Rafaela Souza</t>
  </si>
  <si>
    <t>Associacao Dos Formandos De Medicina Unesa Vista Carioca 2029.2</t>
  </si>
  <si>
    <t>026.493.361-37</t>
  </si>
  <si>
    <t>Walesca Assad Andrade</t>
  </si>
  <si>
    <t>63.198.065/0001-03</t>
  </si>
  <si>
    <t>(21) 3169-3189</t>
  </si>
  <si>
    <t>CONTATO@OUTTAX.COM.BR</t>
  </si>
  <si>
    <t>125.616.016-41</t>
  </si>
  <si>
    <t>(35) 999772163</t>
  </si>
  <si>
    <t>walescaandrade@hotmail.com</t>
  </si>
  <si>
    <t>Rejane Pasquali</t>
  </si>
  <si>
    <t>Ana Beatriz Eloi Placido</t>
  </si>
  <si>
    <t>005612639</t>
  </si>
  <si>
    <t xml:space="preserve">Bruno Cesar Pesquero Ponce Jaime </t>
  </si>
  <si>
    <t>Wesley Edmir de Andrade</t>
  </si>
  <si>
    <t>Vitor Pedrazzi</t>
  </si>
  <si>
    <t>824.489.301-04</t>
  </si>
  <si>
    <t>(65) 98119-5622</t>
  </si>
  <si>
    <t>rejanepasquali18@gmail.com</t>
  </si>
  <si>
    <t>MT</t>
  </si>
  <si>
    <t>041.544.081-51</t>
  </si>
  <si>
    <t>Alocar títulos vencidos em liquidez diária para adequação de carteira nos 60%</t>
  </si>
  <si>
    <t>anabplacido2002@gmail.com</t>
  </si>
  <si>
    <t>(61) 982170011</t>
  </si>
  <si>
    <t>545.275.976-04</t>
  </si>
  <si>
    <t>Renato Almeida Lopes</t>
  </si>
  <si>
    <t>William Sorgi Jabur</t>
  </si>
  <si>
    <t>Claudia Dias Prado</t>
  </si>
  <si>
    <t>Ana Carolina Domingues Vieira</t>
  </si>
  <si>
    <t>008043885</t>
  </si>
  <si>
    <t>536.894.961-87</t>
  </si>
  <si>
    <t>77 99852-1002</t>
  </si>
  <si>
    <t>claudiadiasprado@gmail.com</t>
  </si>
  <si>
    <t>766.543.891-15</t>
  </si>
  <si>
    <t>Conta está com bloqueio judicial</t>
  </si>
  <si>
    <t>(61) - 992180076</t>
  </si>
  <si>
    <t>renatolopes.bsb@gmail.com</t>
  </si>
  <si>
    <t>060.276.829-22</t>
  </si>
  <si>
    <t>(43) 999776872</t>
  </si>
  <si>
    <t>administracao@drpaulo.com.br</t>
  </si>
  <si>
    <t>Não comprar RV (09/06/2026)</t>
  </si>
  <si>
    <t>367.484.628-43</t>
  </si>
  <si>
    <t>anadominguesadv@hotmail.com</t>
  </si>
  <si>
    <t>Yuri David Lechinewski</t>
  </si>
  <si>
    <t>Ricardo Heli Rondinel Cornejo</t>
  </si>
  <si>
    <t>IMC Construções LTDA</t>
  </si>
  <si>
    <t>11230050</t>
  </si>
  <si>
    <t>352.683.360-53</t>
  </si>
  <si>
    <t>(55) - 33117197</t>
  </si>
  <si>
    <t>505.802.791-70</t>
  </si>
  <si>
    <t>ricardorondinel73@hotmail.com</t>
  </si>
  <si>
    <t>(43) 988039119</t>
  </si>
  <si>
    <t>dryuridavid@hotmail.com</t>
  </si>
  <si>
    <t>RS</t>
  </si>
  <si>
    <t>28/081985</t>
  </si>
  <si>
    <t>72.586.993/0001-36</t>
  </si>
  <si>
    <t>imcltda@hotmail.com</t>
  </si>
  <si>
    <t>Ana Carolina Peixoto de Castro Martins e/ou Marcos Barroso Martins</t>
  </si>
  <si>
    <t>Rita Aparecida Passos Villar</t>
  </si>
  <si>
    <t>019711183</t>
  </si>
  <si>
    <t>759.753.788-34</t>
  </si>
  <si>
    <t>61 99282-0344</t>
  </si>
  <si>
    <t>carol.castro76@gmail.com</t>
  </si>
  <si>
    <t xml:space="preserve">J &amp; M Consultoria Empresarial LTDA  </t>
  </si>
  <si>
    <t>José Henrique</t>
  </si>
  <si>
    <t>Rita de Cassia Ribeiro Costa</t>
  </si>
  <si>
    <t>47.757.311/0001-63</t>
  </si>
  <si>
    <t>(31) 973086388</t>
  </si>
  <si>
    <t>giovanicsantos12@gmail.com</t>
  </si>
  <si>
    <t>494.855.471-53</t>
  </si>
  <si>
    <t>61 99227-9090</t>
  </si>
  <si>
    <t>ritadecassiaribeirocosta@gmail.com</t>
  </si>
  <si>
    <t>Ana Carolina Rabelo Soares</t>
  </si>
  <si>
    <t>018962431</t>
  </si>
  <si>
    <t>Alexia Satyro</t>
  </si>
  <si>
    <t>Roberto Lemos de Freitas Oliveira</t>
  </si>
  <si>
    <t>Contas Inativa</t>
  </si>
  <si>
    <t>Juarez Mariano Machado</t>
  </si>
  <si>
    <t>053.361.071-07</t>
  </si>
  <si>
    <t>61 98510-1821</t>
  </si>
  <si>
    <t>carolinarabelotv@gmail.com</t>
  </si>
  <si>
    <t>312.428.468-24</t>
  </si>
  <si>
    <t>(62) - 999456876</t>
  </si>
  <si>
    <t>eng.robertolemos@hotmail.com</t>
  </si>
  <si>
    <t>001.668.636-53</t>
  </si>
  <si>
    <t>(31) 999234763</t>
  </si>
  <si>
    <t>juarezmariano1936@gmail.com</t>
  </si>
  <si>
    <t>Roberto Dultra Pugliesi</t>
  </si>
  <si>
    <t>Luis Fernando Leite Sabino de Oliveira</t>
  </si>
  <si>
    <t>790.640.435-15</t>
  </si>
  <si>
    <t>71 99212-1223</t>
  </si>
  <si>
    <t>Guilherme Rios Guercio</t>
  </si>
  <si>
    <t>roberto_pugliesi@yahoo.com.br</t>
  </si>
  <si>
    <t>Ana Carolina Rodeguer Ruiz</t>
  </si>
  <si>
    <t>Manter somente BBSE3, ITUB4, VALE3 E VIVT3 na parte de RV</t>
  </si>
  <si>
    <t>003107135</t>
  </si>
  <si>
    <t>434.124.406-04</t>
  </si>
  <si>
    <t>Solution For Life</t>
  </si>
  <si>
    <t>(19) 991138333</t>
  </si>
  <si>
    <t>lfsabino@gmail.com</t>
  </si>
  <si>
    <t>Marcelo Franciscon</t>
  </si>
  <si>
    <t>Sandra Silveira Ramos</t>
  </si>
  <si>
    <t>293.652.378-82</t>
  </si>
  <si>
    <t>659.472.741-91</t>
  </si>
  <si>
    <t>(61) - 999894909</t>
  </si>
  <si>
    <t>sandrasilveria@hotmail.com</t>
  </si>
  <si>
    <t>Marcelo Jaime Ferreira</t>
  </si>
  <si>
    <t>Sergio Chastinet Marcondes Ferraz</t>
  </si>
  <si>
    <t>665.079.791-04</t>
  </si>
  <si>
    <t>(61) 999897353</t>
  </si>
  <si>
    <t>marcelo@marcelojaime.adv.br</t>
  </si>
  <si>
    <t>MOD/ GR</t>
  </si>
  <si>
    <t xml:space="preserve">Ana Clara Costa Alves     </t>
  </si>
  <si>
    <t>004267119</t>
  </si>
  <si>
    <t>296.964.027-91</t>
  </si>
  <si>
    <t>71 98129-5557</t>
  </si>
  <si>
    <t>ferrazsm@terra.com.br</t>
  </si>
  <si>
    <t>Distrato unilatera</t>
  </si>
  <si>
    <t>039.630.741-83</t>
  </si>
  <si>
    <t>Silvia Herculiani Trad</t>
  </si>
  <si>
    <t>Não aplicar em D+0 (12/02/2026).</t>
  </si>
  <si>
    <t>492.562.201-30</t>
  </si>
  <si>
    <t>(62) - 34320671</t>
  </si>
  <si>
    <t>tradsilvia@gmail.com</t>
  </si>
  <si>
    <t>Inicio de STVM  p/BTG dia 07/02/2024 - Fim 24/02/2024</t>
  </si>
  <si>
    <t>Ana Clara Montanini Rezende</t>
  </si>
  <si>
    <t>005110894</t>
  </si>
  <si>
    <t>Silvio Fontana Velludo</t>
  </si>
  <si>
    <t>Grupo Mowe</t>
  </si>
  <si>
    <t>Lucas Moraes</t>
  </si>
  <si>
    <t>TEMÁTICA</t>
  </si>
  <si>
    <t>026.399.361-23</t>
  </si>
  <si>
    <t>claramontanini@hotmail.com</t>
  </si>
  <si>
    <t>321.132.078-42</t>
  </si>
  <si>
    <t>11 97444-2224</t>
  </si>
  <si>
    <t>SILVIO_FV@YAHOO.COM.BR</t>
  </si>
  <si>
    <t>Márcia Carvalho Gazeta</t>
  </si>
  <si>
    <t>Solomar Martins Marques</t>
  </si>
  <si>
    <t>Sem CrPr (30/04/2026)</t>
  </si>
  <si>
    <t>473.382.611-72</t>
  </si>
  <si>
    <t>(61) 999966638</t>
  </si>
  <si>
    <t>marcia.gazeta@hotmail.com</t>
  </si>
  <si>
    <t>377.652.721-87</t>
  </si>
  <si>
    <t>62 99975-4780</t>
  </si>
  <si>
    <t>solomar_marques_martins@ufg.br</t>
  </si>
  <si>
    <t>Ana Clara Ramos Fischer</t>
  </si>
  <si>
    <t>005340051</t>
  </si>
  <si>
    <t>Suyene Riether Arakaki</t>
  </si>
  <si>
    <t>196.586.447-32</t>
  </si>
  <si>
    <t>300K D+0 (28/03/2025)</t>
  </si>
  <si>
    <t>636.276.121-91</t>
  </si>
  <si>
    <t>(61) - 981168008</t>
  </si>
  <si>
    <t>suyenearakaki@gmail.com</t>
  </si>
  <si>
    <t>Márcia Maria Moreira Borges</t>
  </si>
  <si>
    <t>10989041</t>
  </si>
  <si>
    <t>Não alocar em nada, cliente fará STVM</t>
  </si>
  <si>
    <t>416.459.871-91</t>
  </si>
  <si>
    <t>(61) 999722507</t>
  </si>
  <si>
    <t>marciammborges@gmail.com</t>
  </si>
  <si>
    <t>Tatiana Pimentel Grell</t>
  </si>
  <si>
    <t>Ana Claudia de Souza Morais</t>
  </si>
  <si>
    <t>011319423</t>
  </si>
  <si>
    <t>100k D+0, Venc. Máx 02/2028 (05/03/2026)</t>
  </si>
  <si>
    <t>730.464.421-49</t>
  </si>
  <si>
    <t>62 99298-0004</t>
  </si>
  <si>
    <t>anaclaudiamorais@outlook.com</t>
  </si>
  <si>
    <t>281.627.208-71</t>
  </si>
  <si>
    <t>Otávio Alves Forte</t>
  </si>
  <si>
    <t>Não vender ativos fora da estratégia. Montagem de posição Smallcaps para Subconta</t>
  </si>
  <si>
    <t>849.839.811-87</t>
  </si>
  <si>
    <t>(62) 984129992</t>
  </si>
  <si>
    <t>otavio@forteadvogados.com.br</t>
  </si>
  <si>
    <t>#N/D</t>
  </si>
  <si>
    <t>Tiago Das Chagas Martins</t>
  </si>
  <si>
    <t>Ana Cristina Cardeal Pereira</t>
  </si>
  <si>
    <t>005032151</t>
  </si>
  <si>
    <t>012.324.351-39</t>
  </si>
  <si>
    <t>(61) - 981124387</t>
  </si>
  <si>
    <t>Sergio Lincoln de Matos Arruda</t>
  </si>
  <si>
    <t>tiagocm1@hotmail.com</t>
  </si>
  <si>
    <t>072.640.228-11</t>
  </si>
  <si>
    <t>221.381.701-44</t>
  </si>
  <si>
    <t>(61) 999842729</t>
  </si>
  <si>
    <t>sergioma3@yahoo.com.br</t>
  </si>
  <si>
    <t>Thais Carvalho Francescantonio Menezes</t>
  </si>
  <si>
    <t>026.287.001-07</t>
  </si>
  <si>
    <t>(62) - 999227657</t>
  </si>
  <si>
    <t>tcmenezesf@gmail.com</t>
  </si>
  <si>
    <t>R$ 112.238,00</t>
  </si>
  <si>
    <t>Ana de Moura Jorge</t>
  </si>
  <si>
    <t>Silede Satyro de Sá Ribeiro</t>
  </si>
  <si>
    <t>002480985</t>
  </si>
  <si>
    <t>Theo Rodrigues Costa</t>
  </si>
  <si>
    <t>Saída gradativa de RV sem exceder 20k/mês até virar incomefix</t>
  </si>
  <si>
    <t>010.545.787-61</t>
  </si>
  <si>
    <t>(21) 973948228</t>
  </si>
  <si>
    <t>bulova97@hotmail.com</t>
  </si>
  <si>
    <t>805.334.421-68</t>
  </si>
  <si>
    <t>(62) - 34343873</t>
  </si>
  <si>
    <t>trcosta53@hotmail.com</t>
  </si>
  <si>
    <t>Cliente sumiu da base</t>
  </si>
  <si>
    <t>053.492.086-16</t>
  </si>
  <si>
    <t>Thiago Falcao Hora</t>
  </si>
  <si>
    <t>021.543.464-13</t>
  </si>
  <si>
    <t>(61) - 981279477</t>
  </si>
  <si>
    <t>thiagoneuro@gmail.com</t>
  </si>
  <si>
    <t>Thiago Noleto de Paiva</t>
  </si>
  <si>
    <t>Ana Ferreira dos Santos Correia</t>
  </si>
  <si>
    <t>008012870</t>
  </si>
  <si>
    <t>041.485.111-08</t>
  </si>
  <si>
    <t>62 98159-4110</t>
  </si>
  <si>
    <t>thiago.n.depaiva@gmail.com</t>
  </si>
  <si>
    <t>Carteira Monitoramento Especial para Fundos (SPMG II FII criado pelo cliente)</t>
  </si>
  <si>
    <t>852.587.336-53</t>
  </si>
  <si>
    <t>anaferreirasantoscorreia@gmail.com</t>
  </si>
  <si>
    <t>Todos Serviços De Arquitetura LTDA</t>
  </si>
  <si>
    <t>13.098.153/0001-65</t>
  </si>
  <si>
    <t>Ana Lucia Dos Santos Nakadomari</t>
  </si>
  <si>
    <t>Veronica Candido De Freitas Marchiori</t>
  </si>
  <si>
    <t>005165116</t>
  </si>
  <si>
    <t>849.214.391-68</t>
  </si>
  <si>
    <t>(62) - 981419509</t>
  </si>
  <si>
    <t>veronicacfmarchiori@yahoo.com.br</t>
  </si>
  <si>
    <t>19k D+0 (15/12/2025)</t>
  </si>
  <si>
    <t>STVM de entrada da Guide finalizada (03/01/2024)</t>
  </si>
  <si>
    <t>572.215.459-87</t>
  </si>
  <si>
    <t>Veronica Nunes Alvarenga</t>
  </si>
  <si>
    <t>analucia.sn73@gmail.com</t>
  </si>
  <si>
    <t>036.233.961-92</t>
  </si>
  <si>
    <t>(21) - 998792131</t>
  </si>
  <si>
    <t>veronica.alvarenga@gmail.com</t>
  </si>
  <si>
    <t>Vinicius Cerdeira Bernat</t>
  </si>
  <si>
    <t>711.326.861-72</t>
  </si>
  <si>
    <t>(61) - 984061665</t>
  </si>
  <si>
    <t>vcbernat@gmail.com</t>
  </si>
  <si>
    <t>004479287</t>
  </si>
  <si>
    <t>Vinicius Da Costa De Souza</t>
  </si>
  <si>
    <t>994.183.711-20</t>
  </si>
  <si>
    <t>(61) - 92607130</t>
  </si>
  <si>
    <t>vcsouza@gmail.com</t>
  </si>
  <si>
    <t>Alteração de C.A</t>
  </si>
  <si>
    <t>004444164</t>
  </si>
  <si>
    <t>Vitor Amaral Pedrazzi</t>
  </si>
  <si>
    <t>077.957.451-64</t>
  </si>
  <si>
    <t>(61) - 991777137</t>
  </si>
  <si>
    <t>vitorpedrazzi28@gmail.com</t>
  </si>
  <si>
    <t>Waldete Cabral Moraes</t>
  </si>
  <si>
    <t>001.441.261-68</t>
  </si>
  <si>
    <t>(61) - 995594467</t>
  </si>
  <si>
    <t>marinicecmoraes@gmail.com</t>
  </si>
  <si>
    <t>Ana Lucia Garcia Spironelli Quintiliano</t>
  </si>
  <si>
    <t>004467884</t>
  </si>
  <si>
    <t>Alteração de carteira finalizada (17/01/2024)</t>
  </si>
  <si>
    <t>274.136.108-84</t>
  </si>
  <si>
    <t>analucia@spironelli.com.br</t>
  </si>
  <si>
    <t>Xtratégia Tecnologia da Informação LTDA ME</t>
  </si>
  <si>
    <t>Cliente está migrando para conta PF</t>
  </si>
  <si>
    <t>72.637.911/0001-35</t>
  </si>
  <si>
    <t xml:space="preserve">Ana Luisa Araújo Barbosa       </t>
  </si>
  <si>
    <t>004346742</t>
  </si>
  <si>
    <t xml:space="preserve">Possivel retorno futuro. </t>
  </si>
  <si>
    <t>026.116.221-75</t>
  </si>
  <si>
    <t>ana.bia.barbosa@hotmail.com</t>
  </si>
  <si>
    <t>Yuri Do Amaral Nobre Maia</t>
  </si>
  <si>
    <t>Benchmark TX. Perf</t>
  </si>
  <si>
    <t xml:space="preserve">Observações Mesa de Operação </t>
  </si>
  <si>
    <t>Grupo Econômico</t>
  </si>
  <si>
    <t>036.668.951-74</t>
  </si>
  <si>
    <t>(13) - 997812935</t>
  </si>
  <si>
    <t>gryver@gmail.com</t>
  </si>
  <si>
    <t>Órama</t>
  </si>
  <si>
    <t>Paulo Coelho Avila</t>
  </si>
  <si>
    <t>226762</t>
  </si>
  <si>
    <t>Ana Maria Costa Campos</t>
  </si>
  <si>
    <t>005009922</t>
  </si>
  <si>
    <t>STVM de entrada da Guide finalizada (10/10/2023)</t>
  </si>
  <si>
    <t>Zenilda Clea de Paula</t>
  </si>
  <si>
    <t>071.502.101-04</t>
  </si>
  <si>
    <t>(61) - 981772713</t>
  </si>
  <si>
    <t>clealerta@gmail.com</t>
  </si>
  <si>
    <t>Ana Maria De Araujo Gouveia</t>
  </si>
  <si>
    <t>004261201</t>
  </si>
  <si>
    <t xml:space="preserve">10% D+0 (08/11/2024)
</t>
  </si>
  <si>
    <t>530.235.448-91</t>
  </si>
  <si>
    <t>anamaria.gouveia28@gmail.com</t>
  </si>
  <si>
    <t>343.378.651-87</t>
  </si>
  <si>
    <t>XP INT</t>
  </si>
  <si>
    <t>004432579</t>
  </si>
  <si>
    <t>300K D+0 (27/09/2024)</t>
  </si>
  <si>
    <t>Vera Lucia Elias de Oliveira</t>
  </si>
  <si>
    <t>35K Dol em D+0</t>
  </si>
  <si>
    <t>Ana Maria Pacheco Keremian</t>
  </si>
  <si>
    <t>000989247</t>
  </si>
  <si>
    <t>Cliente trocou de INC para MOD dia 15/08/2023</t>
  </si>
  <si>
    <t>STVM interna finalizada (08/01/2024) / Conta será encerrada após valor em trânsito cair</t>
  </si>
  <si>
    <t>410.422.128-72</t>
  </si>
  <si>
    <t>282.221.721-15</t>
  </si>
  <si>
    <t>62 99341-2365</t>
  </si>
  <si>
    <t xml:space="preserve"> 62 98159-4110</t>
  </si>
  <si>
    <t>Ana Maria Pacheco Keremian e/ou Theo Keremian</t>
  </si>
  <si>
    <t>005190138</t>
  </si>
  <si>
    <t>Cliente solicitou troca de assessoria (17/07/2024)</t>
  </si>
  <si>
    <t>Victor Hugo Laurentino</t>
  </si>
  <si>
    <t>Não comprar papeis do varejo e agro (06/03/2025)</t>
  </si>
  <si>
    <t>066.346.839-64</t>
  </si>
  <si>
    <t>Ana Paula Liogi Fidell</t>
  </si>
  <si>
    <t>013773494</t>
  </si>
  <si>
    <t>020.705.179-85</t>
  </si>
  <si>
    <t>1 310-569-2236</t>
  </si>
  <si>
    <t>Ana Paula Villas Boas</t>
  </si>
  <si>
    <t>004210959</t>
  </si>
  <si>
    <t xml:space="preserve">60K D+0 (29/11/2024)
</t>
  </si>
  <si>
    <t>700.200.191-49</t>
  </si>
  <si>
    <t>anapaulavb@gmail.com</t>
  </si>
  <si>
    <t>Anderson Costa Parra</t>
  </si>
  <si>
    <t>005195353</t>
  </si>
  <si>
    <t>Fabrício Bonfim</t>
  </si>
  <si>
    <t>357.986.318-50</t>
  </si>
  <si>
    <t>64 99997-6003</t>
  </si>
  <si>
    <t>andersoncparra@gmail.com</t>
  </si>
  <si>
    <t>André Airton de Macedo Rebouças</t>
  </si>
  <si>
    <t>005192625</t>
  </si>
  <si>
    <t>504.683.671-87</t>
  </si>
  <si>
    <t>aamreboucas@gmail.com</t>
  </si>
  <si>
    <t>André Augusto Gastaldon Rios</t>
  </si>
  <si>
    <t>005040864</t>
  </si>
  <si>
    <t>017.317.371-30</t>
  </si>
  <si>
    <t>andreriosadv@gmail.com</t>
  </si>
  <si>
    <t>Andre Bobroff Canavezi</t>
  </si>
  <si>
    <t>008670974</t>
  </si>
  <si>
    <t>200k para novembro (08/05/2026).</t>
  </si>
  <si>
    <t>030.014.379-60</t>
  </si>
  <si>
    <t>Andre Luis Macedo Pinheiro</t>
  </si>
  <si>
    <t>035479708</t>
  </si>
  <si>
    <t>015.701.435-52</t>
  </si>
  <si>
    <t>71 99222-0181</t>
  </si>
  <si>
    <t>andrefte@hotmail.com</t>
  </si>
  <si>
    <t>André Reichert da Silva Godoy</t>
  </si>
  <si>
    <t>005003629</t>
  </si>
  <si>
    <t>MULT PRIV/ CO ADM</t>
  </si>
  <si>
    <t>086.938.327-27</t>
  </si>
  <si>
    <t>004392055</t>
  </si>
  <si>
    <t xml:space="preserve">André Reichert da Silva Godoy      </t>
  </si>
  <si>
    <t>004384131</t>
  </si>
  <si>
    <t>Cliente sofreu tentativa de fraude - qualquer alteração em seu cadastro ou movimentação na conta entrar em contato com o FA/Cliente para confirmação.</t>
  </si>
  <si>
    <t>André Terra Mendonça</t>
  </si>
  <si>
    <t>005639781</t>
  </si>
  <si>
    <t>Luca Bueno</t>
  </si>
  <si>
    <t>005.729.521-20</t>
  </si>
  <si>
    <t xml:space="preserve">Andre Yoshio Itiyama </t>
  </si>
  <si>
    <t>004514241</t>
  </si>
  <si>
    <t>STVM de entrada da Guide finalizada (30/08/2023)</t>
  </si>
  <si>
    <t>880.001.339-20</t>
  </si>
  <si>
    <t>andreitiyamalda@gmail.com</t>
  </si>
  <si>
    <t>Andrea Aparecida Borges Silva</t>
  </si>
  <si>
    <t>003894173</t>
  </si>
  <si>
    <t>Alteração de carteira finalizada (17/07/2025)</t>
  </si>
  <si>
    <t>505.182.241-04</t>
  </si>
  <si>
    <t>andrea.borges38@gmail.com</t>
  </si>
  <si>
    <t>005186167</t>
  </si>
  <si>
    <t xml:space="preserve">Monitoramento  p/ envio de ativos da conta principal que estão fora da estrategia  </t>
  </si>
  <si>
    <t>Andrea de Moura Ferrandini e/ou Walter Germano de Oliveira</t>
  </si>
  <si>
    <t>005719200</t>
  </si>
  <si>
    <t xml:space="preserve">50K D+0 (08/11/2024)
</t>
  </si>
  <si>
    <t>351.864.531-53</t>
  </si>
  <si>
    <t>andreaferrandini@gmail.com</t>
  </si>
  <si>
    <t>Andrea Moreira Minossi</t>
  </si>
  <si>
    <t>014307003</t>
  </si>
  <si>
    <t>419.697.901-72</t>
  </si>
  <si>
    <t>65 99981-5371</t>
  </si>
  <si>
    <t>andrea.minossi@gmail.com</t>
  </si>
  <si>
    <t>BPS203748</t>
  </si>
  <si>
    <t>Andrea Ribas Silva de Azevedo</t>
  </si>
  <si>
    <t>004272577</t>
  </si>
  <si>
    <t>Vcinvest</t>
  </si>
  <si>
    <t>Aplicar em D+0 aportes e vencimentos. (17/07/2026)</t>
  </si>
  <si>
    <t>368.891.801-00</t>
  </si>
  <si>
    <t>61 98150-0383</t>
  </si>
  <si>
    <t>ribas.andrea@gmail.com</t>
  </si>
  <si>
    <t>Andrea Satyro Sa Ribeiro Fritzsche</t>
  </si>
  <si>
    <t>004181486</t>
  </si>
  <si>
    <t>90% Ações (04/09/2025)</t>
  </si>
  <si>
    <t>875.628.047-53</t>
  </si>
  <si>
    <t>asatyrof@gmail.com</t>
  </si>
  <si>
    <t>Angela Chopard Bonilauri</t>
  </si>
  <si>
    <t>025897992</t>
  </si>
  <si>
    <t>075.644.627-95</t>
  </si>
  <si>
    <t>61 99655-9211</t>
  </si>
  <si>
    <t>angelcbonilauri@gmail.com</t>
  </si>
  <si>
    <t>Akag Investments LLC</t>
  </si>
  <si>
    <t>BPS402191</t>
  </si>
  <si>
    <t>Bullside</t>
  </si>
  <si>
    <t>Guilherme Sahadi</t>
  </si>
  <si>
    <t>Angela Maria Gazetta de Frias</t>
  </si>
  <si>
    <t>008420491</t>
  </si>
  <si>
    <t>120.241.201-72</t>
  </si>
  <si>
    <t>amgazetta@gmail.com</t>
  </si>
  <si>
    <t>L22000164597</t>
  </si>
  <si>
    <t>Angela Maria Sebastiani Van Lieshout</t>
  </si>
  <si>
    <t>008069255</t>
  </si>
  <si>
    <t>578.293.220-15</t>
  </si>
  <si>
    <t>asvl1@hotmail.com</t>
  </si>
  <si>
    <t>BPS202971</t>
  </si>
  <si>
    <t>Ângela Pegoraro Dias Menarim</t>
  </si>
  <si>
    <t>024946576</t>
  </si>
  <si>
    <t>120.142.368-60</t>
  </si>
  <si>
    <t>43 99994-7422</t>
  </si>
  <si>
    <t>angelamenarim@yahoo.com.br</t>
  </si>
  <si>
    <t xml:space="preserve">Angela Teixeira Lira    </t>
  </si>
  <si>
    <t>004377415</t>
  </si>
  <si>
    <t>317.377.061-72</t>
  </si>
  <si>
    <t>tlira.angela@gmail.com</t>
  </si>
  <si>
    <t>Alexandre de Almeida Marques e/ou Flavia de Moraes Arantes</t>
  </si>
  <si>
    <t>BPS301104</t>
  </si>
  <si>
    <t xml:space="preserve">Angelica Rocha de Madalena Motta </t>
  </si>
  <si>
    <t>004207374</t>
  </si>
  <si>
    <t>134.489.538-73</t>
  </si>
  <si>
    <t>598.825.731-34</t>
  </si>
  <si>
    <t>marcondesmottajunior@gmail.com</t>
  </si>
  <si>
    <t>FL</t>
  </si>
  <si>
    <t xml:space="preserve">Anibal Teles de Freitas </t>
  </si>
  <si>
    <t>004380501</t>
  </si>
  <si>
    <t>Almeri Cesar Naldi Ruiz</t>
  </si>
  <si>
    <t>BPS203557</t>
  </si>
  <si>
    <t>Cliente solicitou o distrato dia 30/08/2023</t>
  </si>
  <si>
    <t>721.820.751-00</t>
  </si>
  <si>
    <t>069.258.548-62</t>
  </si>
  <si>
    <t xml:space="preserve">Anilson Alves de Sousa Junior     </t>
  </si>
  <si>
    <t>004385806</t>
  </si>
  <si>
    <t>Alteração de carteira finalizada (04/11/2024)</t>
  </si>
  <si>
    <t>004.959.431-18</t>
  </si>
  <si>
    <t>contabil_asj@hotmail.com</t>
  </si>
  <si>
    <t>Antonio Daud Junior e/ou Fabiola Fagundes dos Santos Daud</t>
  </si>
  <si>
    <t>BPS301005</t>
  </si>
  <si>
    <t>Anilson Alves De Sousa Junior</t>
  </si>
  <si>
    <t>009066065</t>
  </si>
  <si>
    <t>054.978.816-61</t>
  </si>
  <si>
    <t>Anna Carla Severino de Araújo</t>
  </si>
  <si>
    <t>004691225</t>
  </si>
  <si>
    <t>Bento Rodrigo Fernandes Bueno</t>
  </si>
  <si>
    <t>BPS202385</t>
  </si>
  <si>
    <t>020.303.531-32</t>
  </si>
  <si>
    <t>008.740.541-50</t>
  </si>
  <si>
    <t>Anna Carolina Moura Cambiaghi</t>
  </si>
  <si>
    <t>005660036</t>
  </si>
  <si>
    <t>849.282.981-87</t>
  </si>
  <si>
    <t>carolcambiaghi@outlook.com</t>
  </si>
  <si>
    <t>BINARY TECHNOLOGIES LLC</t>
  </si>
  <si>
    <t>BPS402183</t>
  </si>
  <si>
    <t>46.483.294/0001-50</t>
  </si>
  <si>
    <t>Anna Carolina Rocha Gama</t>
  </si>
  <si>
    <t>004328511</t>
  </si>
  <si>
    <t>40% D+0 (11/06/2025)</t>
  </si>
  <si>
    <t>045.693.911-33</t>
  </si>
  <si>
    <t>annacrgama@gmail.com</t>
  </si>
  <si>
    <t>Anna de Castro e Dantas</t>
  </si>
  <si>
    <t>Calitop S.A</t>
  </si>
  <si>
    <t>005441780</t>
  </si>
  <si>
    <t>BPS402621</t>
  </si>
  <si>
    <t>006.395.771-05</t>
  </si>
  <si>
    <t>62 99115-1919</t>
  </si>
  <si>
    <t>anna@castroedantas.com.br</t>
  </si>
  <si>
    <t>Anne Louise Santos Beltrão</t>
  </si>
  <si>
    <t>008270541</t>
  </si>
  <si>
    <t>083.265.231-86</t>
  </si>
  <si>
    <t>BPS203862</t>
  </si>
  <si>
    <t>Antonio Carlos Dos Santos Mendes</t>
  </si>
  <si>
    <t>005000645</t>
  </si>
  <si>
    <t>Vencimentos D+0 (30/10/2024)</t>
  </si>
  <si>
    <t>183.128.101-53</t>
  </si>
  <si>
    <t>antoniocarlos56@gmail.com</t>
  </si>
  <si>
    <t>Cleria Lucia Abreu De Siqueira</t>
  </si>
  <si>
    <t>BPS203888</t>
  </si>
  <si>
    <t>60% RF / 40% RV</t>
  </si>
  <si>
    <t>269.083.791-91</t>
  </si>
  <si>
    <t>62 98111-1798</t>
  </si>
  <si>
    <t>cleriasiq@hotmail.com</t>
  </si>
  <si>
    <t>Antonio Carlos Gomes</t>
  </si>
  <si>
    <t>021644505</t>
  </si>
  <si>
    <t>321.545.691-53</t>
  </si>
  <si>
    <t>43 99991-4050</t>
  </si>
  <si>
    <t>a.c.gom@me.com</t>
  </si>
  <si>
    <t>BPS203649</t>
  </si>
  <si>
    <t>004451978</t>
  </si>
  <si>
    <t>Alteração de carteira finalizada (26/11/2024)</t>
  </si>
  <si>
    <t>silva.antonioc@yahoo.com.br</t>
  </si>
  <si>
    <t>005380854</t>
  </si>
  <si>
    <t>STVM Entrada</t>
  </si>
  <si>
    <t>Diogo Salomão Pontes</t>
  </si>
  <si>
    <t>BPS203813</t>
  </si>
  <si>
    <t>Antonio Daud Junior</t>
  </si>
  <si>
    <t>035.737.851-23</t>
  </si>
  <si>
    <t>004241147</t>
  </si>
  <si>
    <t>adaudj@yahoo.com.br</t>
  </si>
  <si>
    <t>Douglas Arantes</t>
  </si>
  <si>
    <t>BPS203847</t>
  </si>
  <si>
    <t>Antônio Vieira Lima Gava Galletti</t>
  </si>
  <si>
    <t>009241625</t>
  </si>
  <si>
    <t>128.616.341-20</t>
  </si>
  <si>
    <t>135.508.725-26</t>
  </si>
  <si>
    <t>61 99265-9900</t>
  </si>
  <si>
    <t>carollinagalletti@gmail.com</t>
  </si>
  <si>
    <t>Edmundo Starling Loureiro Franca</t>
  </si>
  <si>
    <t>BPS203169</t>
  </si>
  <si>
    <t>Anuar Michel Matni</t>
  </si>
  <si>
    <t>004582648</t>
  </si>
  <si>
    <t>054.146.687-95</t>
  </si>
  <si>
    <t>002.725.749-53</t>
  </si>
  <si>
    <t>anuarmatni@gmail.com</t>
  </si>
  <si>
    <t>Eveline De Almeida Ferreira Gonçalves</t>
  </si>
  <si>
    <t>BPS203805</t>
  </si>
  <si>
    <t>Ari Barbosa Toledo Junior</t>
  </si>
  <si>
    <t>008115927</t>
  </si>
  <si>
    <t>231.459.603-00</t>
  </si>
  <si>
    <t>694.183.491-91</t>
  </si>
  <si>
    <t>U15463542</t>
  </si>
  <si>
    <t>Global Chain Technologies LLC</t>
  </si>
  <si>
    <t>BPS402225</t>
  </si>
  <si>
    <t>Arthur Salomão Pontes</t>
  </si>
  <si>
    <t>008336728</t>
  </si>
  <si>
    <t>46.483.295/0001-03</t>
  </si>
  <si>
    <t>038.764.181-51</t>
  </si>
  <si>
    <t>arthurspontes@outlook.com</t>
  </si>
  <si>
    <t>BONDS &amp; EQT</t>
  </si>
  <si>
    <t>Asiel Henrique de Sousa</t>
  </si>
  <si>
    <t>004995535</t>
  </si>
  <si>
    <t>Alexandre Teixeira Campos</t>
  </si>
  <si>
    <t>GP&amp;F Holding LLC</t>
  </si>
  <si>
    <t>BPS402217</t>
  </si>
  <si>
    <t>Não vender MCMV18, sem CrPr e sem RF ativo (05/03/2026).</t>
  </si>
  <si>
    <t>093.874.473-91</t>
  </si>
  <si>
    <t>asielhenrique@gmail.com</t>
  </si>
  <si>
    <t>Profissional</t>
  </si>
  <si>
    <t>L22000164364</t>
  </si>
  <si>
    <t>U23519277</t>
  </si>
  <si>
    <t>ASPA Participações</t>
  </si>
  <si>
    <t>004724018</t>
  </si>
  <si>
    <t>Guilherme de Macedo Soares</t>
  </si>
  <si>
    <t>BPS203912</t>
  </si>
  <si>
    <t>02.839.831/0001-87</t>
  </si>
  <si>
    <t>Bonds &amp; EQT</t>
  </si>
  <si>
    <t>732.395.691-91</t>
  </si>
  <si>
    <t>61 98246-8989</t>
  </si>
  <si>
    <t>gmslaw13@gmail.com</t>
  </si>
  <si>
    <t>Clotilde Maria Magalhães da Cunha Costa</t>
  </si>
  <si>
    <t>U10479265</t>
  </si>
  <si>
    <t>Atilei De Oliveira Joaquim</t>
  </si>
  <si>
    <t>026662767</t>
  </si>
  <si>
    <t>050.850.889-48</t>
  </si>
  <si>
    <t>43 98838-5832</t>
  </si>
  <si>
    <t>atl.oliveira@gmail.com</t>
  </si>
  <si>
    <t>A conta foi encerrada pela IB devido à permanência sem saldo por um período de 90 dias</t>
  </si>
  <si>
    <t>119.691.991-72</t>
  </si>
  <si>
    <t>Irani Antonio Longhi</t>
  </si>
  <si>
    <t>BPS203433</t>
  </si>
  <si>
    <t>Assako Utsumi Okada</t>
  </si>
  <si>
    <t>004450724</t>
  </si>
  <si>
    <t>394.839.919-00</t>
  </si>
  <si>
    <t>800K D+0/ Máx. 10% RV (13/03/2025)</t>
  </si>
  <si>
    <t>542.303.579-15</t>
  </si>
  <si>
    <t>assako.okada@gmail.com</t>
  </si>
  <si>
    <t>(61) 9 9982-9317</t>
  </si>
  <si>
    <t>elianacunhacosta@yahoo.com.br</t>
  </si>
  <si>
    <t>004958578</t>
  </si>
  <si>
    <t>Jose Adorno</t>
  </si>
  <si>
    <t>BPS203789</t>
  </si>
  <si>
    <t>STVM de entrada da Guide finalizada (02/10/2023)</t>
  </si>
  <si>
    <t>145.380.591-53</t>
  </si>
  <si>
    <t>Deborah Lissa Kobayashi Jabur Barbante</t>
  </si>
  <si>
    <t>U23585707</t>
  </si>
  <si>
    <t>004890544</t>
  </si>
  <si>
    <t>INT/ COADM</t>
  </si>
  <si>
    <t>082.601.239-67</t>
  </si>
  <si>
    <t>11 99553-6282</t>
  </si>
  <si>
    <t>deborahlkobayashi@hotmail.com</t>
  </si>
  <si>
    <t>Jose Maurilio Coelho Rios</t>
  </si>
  <si>
    <t>BPS203680</t>
  </si>
  <si>
    <t>Assistigas Assistência e Comércio em Equipamentos a Gás LTDA</t>
  </si>
  <si>
    <t>004461526</t>
  </si>
  <si>
    <t>26.761.478/0001-28</t>
  </si>
  <si>
    <t>Frederico Costa Nacruth</t>
  </si>
  <si>
    <t>U200029A11</t>
  </si>
  <si>
    <t>049.106.487-04</t>
  </si>
  <si>
    <t>007.909.941-60</t>
  </si>
  <si>
    <t>62 99980-2005</t>
  </si>
  <si>
    <t>fredericonacruth@gmail.com</t>
  </si>
  <si>
    <t>Associação de Educação e Cultura do Norte Paulista</t>
  </si>
  <si>
    <t>004279859</t>
  </si>
  <si>
    <t>Gabriel BJ Comstock</t>
  </si>
  <si>
    <t>U23574892</t>
  </si>
  <si>
    <t>57.713.281/0001-47</t>
  </si>
  <si>
    <t>X</t>
  </si>
  <si>
    <t>521-41-0489</t>
  </si>
  <si>
    <t>1 319-329-5446</t>
  </si>
  <si>
    <t>gabe.comstock@icloud.com</t>
  </si>
  <si>
    <t>EUA</t>
  </si>
  <si>
    <t>Kenia Mendes Cruz</t>
  </si>
  <si>
    <t>BPS203821</t>
  </si>
  <si>
    <t>Audrey Alessandra Silva</t>
  </si>
  <si>
    <t>032809311</t>
  </si>
  <si>
    <t>Guilherme Magalhães da Cunha Costa</t>
  </si>
  <si>
    <t>U8503431</t>
  </si>
  <si>
    <t>783.625.981-15</t>
  </si>
  <si>
    <t>84k em D+0 (03/07/2026).</t>
  </si>
  <si>
    <t>080.312.246-25</t>
  </si>
  <si>
    <t>61 99588-2546</t>
  </si>
  <si>
    <t>audrey.xux@gmail.com</t>
  </si>
  <si>
    <t>Faleceu</t>
  </si>
  <si>
    <t>Cliente Faleceu</t>
  </si>
  <si>
    <t>494.933.021-72</t>
  </si>
  <si>
    <t>Augusto Abramo Machado</t>
  </si>
  <si>
    <t>024378580</t>
  </si>
  <si>
    <t>U24971301</t>
  </si>
  <si>
    <t>61 98175-3061</t>
  </si>
  <si>
    <t>Leticia Guimaraes Oka</t>
  </si>
  <si>
    <t>BPS203797</t>
  </si>
  <si>
    <t>715.385.501-72</t>
  </si>
  <si>
    <t>62 98320-0550</t>
  </si>
  <si>
    <t>augustoamachado99@gmail.com</t>
  </si>
  <si>
    <t>Italo Fonseca Teles</t>
  </si>
  <si>
    <t>U21640230</t>
  </si>
  <si>
    <t>039.880.551-23</t>
  </si>
  <si>
    <t>70%/30%</t>
  </si>
  <si>
    <t>737.475.991-68</t>
  </si>
  <si>
    <t>Aurélio da Cunha Matos e Silva</t>
  </si>
  <si>
    <t>004357848</t>
  </si>
  <si>
    <t>907.323.591-04</t>
  </si>
  <si>
    <t>U25455450</t>
  </si>
  <si>
    <t>PoupInvista</t>
  </si>
  <si>
    <t>61 98130-3300</t>
  </si>
  <si>
    <t>Luana Bailao</t>
  </si>
  <si>
    <t>BPS203318</t>
  </si>
  <si>
    <t>Leandro Garcia Algarte Assunção</t>
  </si>
  <si>
    <t>U24450278</t>
  </si>
  <si>
    <t xml:space="preserve">Ayrton Sales Miranda Goulart        </t>
  </si>
  <si>
    <t>001000882</t>
  </si>
  <si>
    <t>007.063.779-23</t>
  </si>
  <si>
    <t>41 99647-9999</t>
  </si>
  <si>
    <t>lg_assuncao@hotmail.com</t>
  </si>
  <si>
    <t>29/7/0979</t>
  </si>
  <si>
    <t>702.004.551-09</t>
  </si>
  <si>
    <t>U26929487</t>
  </si>
  <si>
    <t>Ayrton Sales Miranda Goulart e/ou Gabriela Girade</t>
  </si>
  <si>
    <t>008563701</t>
  </si>
  <si>
    <t>Norton De Andrade Vieira Fritzsche e/ou Raphael Fritzsche Celano</t>
  </si>
  <si>
    <t>U25095613</t>
  </si>
  <si>
    <t>Laura Furst Arantes</t>
  </si>
  <si>
    <t>BPS203839</t>
  </si>
  <si>
    <t>748.626.007-78</t>
  </si>
  <si>
    <t>norton@bluemetrixasset.com</t>
  </si>
  <si>
    <t>252.652.611-68</t>
  </si>
  <si>
    <t>LOA</t>
  </si>
  <si>
    <t>POA</t>
  </si>
  <si>
    <t>Rafael Crispim Goncalves</t>
  </si>
  <si>
    <t>U20914958</t>
  </si>
  <si>
    <t>Baltasar Domingues de Araújo Neto</t>
  </si>
  <si>
    <t>004994036</t>
  </si>
  <si>
    <t>CPF</t>
  </si>
  <si>
    <t>023.080.651-17</t>
  </si>
  <si>
    <t>100% BONDS</t>
  </si>
  <si>
    <t>Avenue</t>
  </si>
  <si>
    <t xml:space="preserve">Antonio Daud Junior </t>
  </si>
  <si>
    <t>xxxxx-x</t>
  </si>
  <si>
    <t>Marco Rafael dos Remedios Evangelista</t>
  </si>
  <si>
    <t>BPS203425</t>
  </si>
  <si>
    <t>Barbara Teixeira Virginio</t>
  </si>
  <si>
    <t>015786429</t>
  </si>
  <si>
    <t>Ricardo Benvenhu</t>
  </si>
  <si>
    <t>U24455507</t>
  </si>
  <si>
    <t>050.022.121-90</t>
  </si>
  <si>
    <t>61 99123-5738</t>
  </si>
  <si>
    <t>barbarateixeiracont@gmail.com</t>
  </si>
  <si>
    <t>955.931.521-87</t>
  </si>
  <si>
    <t>007.448.719-13</t>
  </si>
  <si>
    <t>(43)999125571</t>
  </si>
  <si>
    <t>rbenvenhu@yahoo.com.br</t>
  </si>
  <si>
    <t>Bartira Donato Amaral Pedrazzi</t>
  </si>
  <si>
    <t>005346331</t>
  </si>
  <si>
    <t>6AH68133</t>
  </si>
  <si>
    <t>604.655.491-87</t>
  </si>
  <si>
    <t>bartira0206@gmail.com</t>
  </si>
  <si>
    <t>Tatiane Cavalcante Trindade Junkes e/ou Jaime Silva Junkes</t>
  </si>
  <si>
    <t>U20450641</t>
  </si>
  <si>
    <t>BPS203870</t>
  </si>
  <si>
    <t>Luis Guilherme Maciel</t>
  </si>
  <si>
    <t>6AK30371</t>
  </si>
  <si>
    <t>Base Indústrias Reunidas LTDA</t>
  </si>
  <si>
    <t>299.825.728-30</t>
  </si>
  <si>
    <t>000938440</t>
  </si>
  <si>
    <t>taticaval@hotmail.com</t>
  </si>
  <si>
    <t>Short Bonds ETF's</t>
  </si>
  <si>
    <t>047.597.249-07</t>
  </si>
  <si>
    <t>31 98817-8276</t>
  </si>
  <si>
    <t>37.393.196/0001-31</t>
  </si>
  <si>
    <t>marcelobiflex@gmail.com</t>
  </si>
  <si>
    <t>U25625815</t>
  </si>
  <si>
    <t>62 99922-7657</t>
  </si>
  <si>
    <t>tcmenezesf@hotmail.com</t>
  </si>
  <si>
    <t>Thiago Saba</t>
  </si>
  <si>
    <t>U24498524</t>
  </si>
  <si>
    <t>Beatriz Ayumi Martiolli Sudo</t>
  </si>
  <si>
    <t>004958539</t>
  </si>
  <si>
    <t>STVM de saída para XP finalizada (04/09/2023)</t>
  </si>
  <si>
    <t>Paola Nicole Bolognesi</t>
  </si>
  <si>
    <t>088.737.489-10</t>
  </si>
  <si>
    <t>BPS203458</t>
  </si>
  <si>
    <t>009.541.191-77</t>
  </si>
  <si>
    <t>( 62 ) 98262-5149</t>
  </si>
  <si>
    <t>thiagosaba.eng@gmail.com</t>
  </si>
  <si>
    <t>Lais Filgueira</t>
  </si>
  <si>
    <t>BONDS</t>
  </si>
  <si>
    <t>105.868.611-90</t>
  </si>
  <si>
    <t>61 9664-6877</t>
  </si>
  <si>
    <t>paolabolognesi@hotmail.com</t>
  </si>
  <si>
    <t>004956636</t>
  </si>
  <si>
    <t>005020439</t>
  </si>
  <si>
    <t>BPS203508</t>
  </si>
  <si>
    <t>Beatriz Luíza Machado Vaz</t>
  </si>
  <si>
    <t>005331090</t>
  </si>
  <si>
    <t>116.763.991-00</t>
  </si>
  <si>
    <t>luizarms@hotmail.com</t>
  </si>
  <si>
    <t>Pedro Henrique Guimaraes D Oliveira Nobre</t>
  </si>
  <si>
    <t>BPS203516</t>
  </si>
  <si>
    <t>Beatriz Petroni Rhinow</t>
  </si>
  <si>
    <t>005530489</t>
  </si>
  <si>
    <t>018.078.391-25</t>
  </si>
  <si>
    <t>423.388.868-79</t>
  </si>
  <si>
    <t>alexandre.rhinow@gmail.com</t>
  </si>
  <si>
    <t>Código Bluemetrix Assessor</t>
  </si>
  <si>
    <t>Contato Comercial</t>
  </si>
  <si>
    <t>Status ANBIMA</t>
  </si>
  <si>
    <t>Primeiro aporte</t>
  </si>
  <si>
    <t>Beatriz Pires Ramos</t>
  </si>
  <si>
    <t>005232007</t>
  </si>
  <si>
    <t>BPS203177</t>
  </si>
  <si>
    <t>Observação</t>
  </si>
  <si>
    <t>Resgate</t>
  </si>
  <si>
    <t>Tipo de investidor</t>
  </si>
  <si>
    <t>PF ou PJ</t>
  </si>
  <si>
    <t>Localização</t>
  </si>
  <si>
    <t>104.187.829-03</t>
  </si>
  <si>
    <t>ferossiramos@hotmail.com</t>
  </si>
  <si>
    <t>658.533.421-34</t>
  </si>
  <si>
    <t>Beatriz Roveri de Abreu</t>
  </si>
  <si>
    <t>PL D+0 (02/10/2024)</t>
  </si>
  <si>
    <t>005046790</t>
  </si>
  <si>
    <t>050.732.811-60</t>
  </si>
  <si>
    <t>Achilles Cappellesso Junior</t>
  </si>
  <si>
    <t>Alteração de carteira finalizada (14/04/2025)</t>
  </si>
  <si>
    <t>098.330.119-00</t>
  </si>
  <si>
    <t>arqui.biaroveri@gmail.com</t>
  </si>
  <si>
    <t>Sem Patrimônio</t>
  </si>
  <si>
    <t>Arrojada</t>
  </si>
  <si>
    <t>S&amp;G Corp Inc.</t>
  </si>
  <si>
    <t>BPS401821</t>
  </si>
  <si>
    <t>Luziânia</t>
  </si>
  <si>
    <t>31/07/2020</t>
  </si>
  <si>
    <t>30/09/2020</t>
  </si>
  <si>
    <t>30/11/2020</t>
  </si>
  <si>
    <t>Benedito de Almeida Neto</t>
  </si>
  <si>
    <t>002458288</t>
  </si>
  <si>
    <t>Pedro Vinicius Pereira De Andrade</t>
  </si>
  <si>
    <t>Cliente solicitou que a conta ficasse inativa para verificar a situação da conta 30/01/2024</t>
  </si>
  <si>
    <t>23/04/2021</t>
  </si>
  <si>
    <t>31/05/2021</t>
  </si>
  <si>
    <t>580.364.748-91</t>
  </si>
  <si>
    <t>30/12/2021</t>
  </si>
  <si>
    <t>28/02/2022</t>
  </si>
  <si>
    <t>31/03/2022</t>
  </si>
  <si>
    <t>28/12/2022</t>
  </si>
  <si>
    <t>706.442.171-20</t>
  </si>
  <si>
    <t>Adriana Ferrari Pimentel</t>
  </si>
  <si>
    <t>Gil/Victor Caldeira</t>
  </si>
  <si>
    <t>Encerrada</t>
  </si>
  <si>
    <t>Moderada</t>
  </si>
  <si>
    <t>Solicitou distrato 17/09/2021</t>
  </si>
  <si>
    <t>Asa Sul</t>
  </si>
  <si>
    <t>R$ -</t>
  </si>
  <si>
    <t>Summit Capital Investments Inc</t>
  </si>
  <si>
    <t>Guide</t>
  </si>
  <si>
    <t>BPS402662</t>
  </si>
  <si>
    <t>Acacio Zuniga Leite</t>
  </si>
  <si>
    <t>Pedro Castro</t>
  </si>
  <si>
    <t xml:space="preserve">Bento Rodrigo Fernandes Bueno       </t>
  </si>
  <si>
    <t>004200433</t>
  </si>
  <si>
    <t xml:space="preserve">Distrato unilateral </t>
  </si>
  <si>
    <t>539.651.161-34</t>
  </si>
  <si>
    <t>Adriana Laus de Aquino</t>
  </si>
  <si>
    <t>Gil/Luciano Vilanova</t>
  </si>
  <si>
    <t>Income</t>
  </si>
  <si>
    <t>Núcleo Bandeirante</t>
  </si>
  <si>
    <t>Conservador para Moderado (31/07/2019) / Solicitou resgate total 03/02/2022</t>
  </si>
  <si>
    <t>223.361.758-43</t>
  </si>
  <si>
    <t>004259659</t>
  </si>
  <si>
    <t>Sérgio Ferreira Vargas e/ou Luciana Aparecida Zago de Andrade</t>
  </si>
  <si>
    <t>BPS203250</t>
  </si>
  <si>
    <t>Adson Rodrigues de Souza</t>
  </si>
  <si>
    <t>SMLL</t>
  </si>
  <si>
    <t>Conservadora</t>
  </si>
  <si>
    <t>10% em renda variável | Aplicar os resgates de fundos em renda fixa</t>
  </si>
  <si>
    <t>584.358.911-00</t>
  </si>
  <si>
    <t>004259649</t>
  </si>
  <si>
    <t>858.753.846-20</t>
  </si>
  <si>
    <t>Afonso Franklin Meireles de Araujo</t>
  </si>
  <si>
    <t>PREV ARR</t>
  </si>
  <si>
    <t>Equities</t>
  </si>
  <si>
    <t>Resgate total 20/04/2022</t>
  </si>
  <si>
    <t>Asa Norte</t>
  </si>
  <si>
    <t>R$ 236.736,13</t>
  </si>
  <si>
    <t>R$ 235.415,61</t>
  </si>
  <si>
    <t>R$ 262.765,30</t>
  </si>
  <si>
    <t>Suzy Roriz dos Santos</t>
  </si>
  <si>
    <t>BPS203086</t>
  </si>
  <si>
    <t>004259650</t>
  </si>
  <si>
    <t>416.720.971-34</t>
  </si>
  <si>
    <t>Troca de assessor Alexandre Fontennele p/ Thiago Canabrava em 08/11/2022</t>
  </si>
  <si>
    <t>Lago Sul</t>
  </si>
  <si>
    <t>R$ 348.481,58</t>
  </si>
  <si>
    <t>R$ 347.148,96</t>
  </si>
  <si>
    <t>R$ 356.443,37</t>
  </si>
  <si>
    <t>Adriano Gonçalves Barbosa de Castro</t>
  </si>
  <si>
    <t>Rafael</t>
  </si>
  <si>
    <t>373.542.051-68</t>
  </si>
  <si>
    <t>004259657</t>
  </si>
  <si>
    <t>22.940.015/0001-72</t>
  </si>
  <si>
    <t>Agroindústria de Alimentos Avesui LTDA</t>
  </si>
  <si>
    <t>Rodolfo Gomes</t>
  </si>
  <si>
    <t>Bernardo Pitaluga Peret Antunes</t>
  </si>
  <si>
    <t>005262440</t>
  </si>
  <si>
    <t>Adriele de Paula Jardim Lazaro</t>
  </si>
  <si>
    <t>Solicitou resgate total 24/02/2023</t>
  </si>
  <si>
    <t>066.495.119-86</t>
  </si>
  <si>
    <t>038.109.721-85</t>
  </si>
  <si>
    <t>Sem taxa de performance autorizado pelo Guilherme</t>
  </si>
  <si>
    <t>Guará</t>
  </si>
  <si>
    <t>Agnes Louize Moura de Santana</t>
  </si>
  <si>
    <t>Bhruna Gabriely da Silva Balardim</t>
  </si>
  <si>
    <t>005295509</t>
  </si>
  <si>
    <t>Solicitou resgate total (sem deságio) 25/11/2021</t>
  </si>
  <si>
    <t>103.878.975-34</t>
  </si>
  <si>
    <t>286.358.171-68</t>
  </si>
  <si>
    <t>Aldo Aguirre Aristimunho</t>
  </si>
  <si>
    <t>062.506.061-06</t>
  </si>
  <si>
    <t>bballardim@gmail.com</t>
  </si>
  <si>
    <t>Solicitou distrato 04/10/2021</t>
  </si>
  <si>
    <t>Campo Grande</t>
  </si>
  <si>
    <t>008616994</t>
  </si>
  <si>
    <t>461.277.201-68</t>
  </si>
  <si>
    <t>Alessandra Lepesqueur Brochado</t>
  </si>
  <si>
    <t>Solicitou distrato 19/07/2021</t>
  </si>
  <si>
    <t>Lago Norte</t>
  </si>
  <si>
    <t>R$ 99.209,93</t>
  </si>
  <si>
    <t>R$ 98.419,32</t>
  </si>
  <si>
    <t>R$ 100.677,61</t>
  </si>
  <si>
    <t>005429528</t>
  </si>
  <si>
    <t>635.777.041-87</t>
  </si>
  <si>
    <t>Alexandre Alves e Souza</t>
  </si>
  <si>
    <t>STVM para XP (12/02/2021)</t>
  </si>
  <si>
    <t>BTG (D-1)</t>
  </si>
  <si>
    <t>Bloco Construções e Comércio LTDA</t>
  </si>
  <si>
    <t>004364200</t>
  </si>
  <si>
    <t>Ágora (D-0)</t>
  </si>
  <si>
    <t>XP (D-1)</t>
  </si>
  <si>
    <t>Safra (D-30)</t>
  </si>
  <si>
    <t>Genial (D-30)</t>
  </si>
  <si>
    <t>10.251.198/0001-30</t>
  </si>
  <si>
    <t>151.538.048-36</t>
  </si>
  <si>
    <t>Alexandre Rodrigues da Silva</t>
  </si>
  <si>
    <t>Valor</t>
  </si>
  <si>
    <t>Atualizado:</t>
  </si>
  <si>
    <t>E-mail assessora 11/5/22 - Sair da exposição em RV. 100% RF</t>
  </si>
  <si>
    <t>Goiania</t>
  </si>
  <si>
    <t>022660724</t>
  </si>
  <si>
    <t>Instituto</t>
  </si>
  <si>
    <t>Alberto Rodrigues de Sousa Junior</t>
  </si>
  <si>
    <t>Bluemetrix Gestão de Ativos S.A</t>
  </si>
  <si>
    <t>001761119</t>
  </si>
  <si>
    <t>Assako</t>
  </si>
  <si>
    <t>PL Total</t>
  </si>
  <si>
    <t xml:space="preserve">Conservador para Moderado 16/06/2021 </t>
  </si>
  <si>
    <t>012.396.466-07</t>
  </si>
  <si>
    <t>97.227.35/0001-01</t>
  </si>
  <si>
    <t>norton@bluemetrix.com.br</t>
  </si>
  <si>
    <t>004147762</t>
  </si>
  <si>
    <t>Silvana</t>
  </si>
  <si>
    <t>Imobiliária</t>
  </si>
  <si>
    <t>004212438</t>
  </si>
  <si>
    <t>Kenia</t>
  </si>
  <si>
    <t>Antonio</t>
  </si>
  <si>
    <t>PL BTG</t>
  </si>
  <si>
    <t>Bluepar Participações LTDA</t>
  </si>
  <si>
    <t>008898874</t>
  </si>
  <si>
    <t>008837107</t>
  </si>
  <si>
    <t>Claudio</t>
  </si>
  <si>
    <t>PL ÁGORA</t>
  </si>
  <si>
    <t>37.827.759/0001-52</t>
  </si>
  <si>
    <t>004581431</t>
  </si>
  <si>
    <t>Ledif</t>
  </si>
  <si>
    <t>PL XP</t>
  </si>
  <si>
    <t>095.188.546-45</t>
  </si>
  <si>
    <t>Alexis Beraldo de Morais</t>
  </si>
  <si>
    <t>003301389</t>
  </si>
  <si>
    <t>Edmundo</t>
  </si>
  <si>
    <t>PL SAFRA</t>
  </si>
  <si>
    <t>Solicitou distrato 13/04/2022</t>
  </si>
  <si>
    <t>004808000</t>
  </si>
  <si>
    <t>Paulo</t>
  </si>
  <si>
    <t>PL GENIAL</t>
  </si>
  <si>
    <t>Belo Horizonte</t>
  </si>
  <si>
    <t>004368628</t>
  </si>
  <si>
    <t>Camila</t>
  </si>
  <si>
    <t>Brasfort Empresa de Segurança LTDA</t>
  </si>
  <si>
    <t>004352384</t>
  </si>
  <si>
    <t>013958806</t>
  </si>
  <si>
    <t>Otavio</t>
  </si>
  <si>
    <t>Brasfort</t>
  </si>
  <si>
    <t>03.497.401/0001-97</t>
  </si>
  <si>
    <t>black_hawk_6996@protonmail.com</t>
  </si>
  <si>
    <t>004575139</t>
  </si>
  <si>
    <t>Fidelcino</t>
  </si>
  <si>
    <t>005404153</t>
  </si>
  <si>
    <t>Renato</t>
  </si>
  <si>
    <t>Yasmin Muniz</t>
  </si>
  <si>
    <t>009191511</t>
  </si>
  <si>
    <t>Marcia</t>
  </si>
  <si>
    <t>Resgate 5K</t>
  </si>
  <si>
    <t>004222784</t>
  </si>
  <si>
    <t>Sobradinho</t>
  </si>
  <si>
    <t>023572514</t>
  </si>
  <si>
    <t>Canaa</t>
  </si>
  <si>
    <t>Alexandre Aparizi</t>
  </si>
  <si>
    <t>001175998</t>
  </si>
  <si>
    <t>Sindicato</t>
  </si>
  <si>
    <t>Brenner Participações Ltda</t>
  </si>
  <si>
    <t>003808169</t>
  </si>
  <si>
    <t>005135105</t>
  </si>
  <si>
    <t>Ferdinando</t>
  </si>
  <si>
    <t>Arrojada para Conservador (20/03/2020) / Solicitou distrato 09/11/2021</t>
  </si>
  <si>
    <t>004452912</t>
  </si>
  <si>
    <t>09.571.921-00</t>
  </si>
  <si>
    <t xml:space="preserve">Alinne Bezerra Campos do Vale </t>
  </si>
  <si>
    <t>305.211.448-41</t>
  </si>
  <si>
    <t>39.958.387/0001-29</t>
  </si>
  <si>
    <t>004751770</t>
  </si>
  <si>
    <t>Dilson</t>
  </si>
  <si>
    <t>004001621</t>
  </si>
  <si>
    <t>Daniela</t>
  </si>
  <si>
    <t>004813166</t>
  </si>
  <si>
    <t>Venia</t>
  </si>
  <si>
    <t>001959557</t>
  </si>
  <si>
    <t>Priscilla</t>
  </si>
  <si>
    <t>Aguinaldo</t>
  </si>
  <si>
    <t>004479463</t>
  </si>
  <si>
    <t>Henrique</t>
  </si>
  <si>
    <t>004387250</t>
  </si>
  <si>
    <t>Monica</t>
  </si>
  <si>
    <t>Breno Augusto Abdala Goya</t>
  </si>
  <si>
    <t>008121053</t>
  </si>
  <si>
    <t>015103641</t>
  </si>
  <si>
    <t>004813088</t>
  </si>
  <si>
    <t>Juliana</t>
  </si>
  <si>
    <t>Amado da Costa e Silva</t>
  </si>
  <si>
    <t>060.638.466-97</t>
  </si>
  <si>
    <t>008054285</t>
  </si>
  <si>
    <t>Lucio Moscareli</t>
  </si>
  <si>
    <t>breno.goya@gmail.com</t>
  </si>
  <si>
    <t>Igor</t>
  </si>
  <si>
    <t>004813423</t>
  </si>
  <si>
    <t>Juliano</t>
  </si>
  <si>
    <t>Alexandre de Sousa Carvalho Gouveia</t>
  </si>
  <si>
    <t>012255170</t>
  </si>
  <si>
    <t>Cintia</t>
  </si>
  <si>
    <t>004948033</t>
  </si>
  <si>
    <t>Guilherme</t>
  </si>
  <si>
    <t>004480134</t>
  </si>
  <si>
    <t>Jose</t>
  </si>
  <si>
    <t>004525587</t>
  </si>
  <si>
    <t>004252546</t>
  </si>
  <si>
    <t>Marcos</t>
  </si>
  <si>
    <t>R$ 15.276,27</t>
  </si>
  <si>
    <t>008364883</t>
  </si>
  <si>
    <t>006.377.601-40</t>
  </si>
  <si>
    <t>R$ 95.553,26</t>
  </si>
  <si>
    <t>Matheus</t>
  </si>
  <si>
    <t>Breno Garcia Lemes</t>
  </si>
  <si>
    <t>023147291</t>
  </si>
  <si>
    <t>005341184</t>
  </si>
  <si>
    <t>Iolivan</t>
  </si>
  <si>
    <t>002697806</t>
  </si>
  <si>
    <t>Claudia</t>
  </si>
  <si>
    <t>Anuar</t>
  </si>
  <si>
    <t>004488571</t>
  </si>
  <si>
    <t>Carlos</t>
  </si>
  <si>
    <t>065.826.761-21</t>
  </si>
  <si>
    <t>041.313.671-06</t>
  </si>
  <si>
    <t>brenogarcialemes@gmail.com</t>
  </si>
  <si>
    <t>Amanda Gabriele do Nascimento Vidal</t>
  </si>
  <si>
    <t>004915243</t>
  </si>
  <si>
    <t>Polo</t>
  </si>
  <si>
    <t>005206566</t>
  </si>
  <si>
    <t>Levi</t>
  </si>
  <si>
    <t>005660459</t>
  </si>
  <si>
    <t>Conta bloqueada para operação</t>
  </si>
  <si>
    <t>Moacir</t>
  </si>
  <si>
    <t>Gama</t>
  </si>
  <si>
    <t>001898765</t>
  </si>
  <si>
    <t>Leni</t>
  </si>
  <si>
    <t>004466342</t>
  </si>
  <si>
    <t>Tatyana</t>
  </si>
  <si>
    <t>008407512</t>
  </si>
  <si>
    <t>Mauricio</t>
  </si>
  <si>
    <t>Breno Nery Mourao</t>
  </si>
  <si>
    <t>028269686</t>
  </si>
  <si>
    <t>004322421</t>
  </si>
  <si>
    <t>004216401</t>
  </si>
  <si>
    <t>Suely</t>
  </si>
  <si>
    <t>Alessandra</t>
  </si>
  <si>
    <t>116.380.871-72</t>
  </si>
  <si>
    <t>Ana Alice da Costa Silva</t>
  </si>
  <si>
    <t>023028350</t>
  </si>
  <si>
    <t>Gabriel Raydan</t>
  </si>
  <si>
    <t>Marcelo</t>
  </si>
  <si>
    <t>466.498.081-72</t>
  </si>
  <si>
    <t>67 99930-0588</t>
  </si>
  <si>
    <t>brenomourao@uol.com.br</t>
  </si>
  <si>
    <t>1510/1967</t>
  </si>
  <si>
    <t>005639338</t>
  </si>
  <si>
    <t>Clotilde</t>
  </si>
  <si>
    <t>004363260</t>
  </si>
  <si>
    <t>Larissa</t>
  </si>
  <si>
    <t>Resgate Total /  Troca de Assessoria de Tiago Alvim para Gabriel Raydan em 30/01</t>
  </si>
  <si>
    <t>004474776</t>
  </si>
  <si>
    <t>Gilson</t>
  </si>
  <si>
    <t>001651617</t>
  </si>
  <si>
    <t>Mirella</t>
  </si>
  <si>
    <t>021573928</t>
  </si>
  <si>
    <t>004213929</t>
  </si>
  <si>
    <t>Rodolfo</t>
  </si>
  <si>
    <t>R$ 245.903,79</t>
  </si>
  <si>
    <t>R$ 244.453,73</t>
  </si>
  <si>
    <t>R$ 256.284,76</t>
  </si>
  <si>
    <t>003553997</t>
  </si>
  <si>
    <t>018886713</t>
  </si>
  <si>
    <t>004212476</t>
  </si>
  <si>
    <t>Maria</t>
  </si>
  <si>
    <t>004503374</t>
  </si>
  <si>
    <t>Paula</t>
  </si>
  <si>
    <t>Anna</t>
  </si>
  <si>
    <t>004359408</t>
  </si>
  <si>
    <t>Hepta</t>
  </si>
  <si>
    <t>004552021</t>
  </si>
  <si>
    <t>016267437</t>
  </si>
  <si>
    <t>Tag</t>
  </si>
  <si>
    <t>003630513</t>
  </si>
  <si>
    <t>004935287</t>
  </si>
  <si>
    <t>Odilon</t>
  </si>
  <si>
    <t>09.511.121-04</t>
  </si>
  <si>
    <t>Ana Carolina de Castro Peixoto Martins</t>
  </si>
  <si>
    <t>016124117</t>
  </si>
  <si>
    <t>Deborah</t>
  </si>
  <si>
    <t>004503381</t>
  </si>
  <si>
    <t>Frederico</t>
  </si>
  <si>
    <t>Bruna Thomé Rassi e/ou Leiser Franco de Moares Filho</t>
  </si>
  <si>
    <t>004223502</t>
  </si>
  <si>
    <t>004490955</t>
  </si>
  <si>
    <t>Lucia</t>
  </si>
  <si>
    <t>013952072</t>
  </si>
  <si>
    <t>10k em hash11</t>
  </si>
  <si>
    <t>004756981</t>
  </si>
  <si>
    <t>Mateus</t>
  </si>
  <si>
    <t>005599726</t>
  </si>
  <si>
    <t>Jorge</t>
  </si>
  <si>
    <t>971.922.281-68</t>
  </si>
  <si>
    <t>brunatrassi@gmail.com</t>
  </si>
  <si>
    <t>005135532</t>
  </si>
  <si>
    <t>Felipe</t>
  </si>
  <si>
    <t>003836514</t>
  </si>
  <si>
    <t>004454491</t>
  </si>
  <si>
    <t>Marco</t>
  </si>
  <si>
    <t>004415557</t>
  </si>
  <si>
    <t>Filipe</t>
  </si>
  <si>
    <t>004752494</t>
  </si>
  <si>
    <t>Sergio</t>
  </si>
  <si>
    <t>002912475</t>
  </si>
  <si>
    <t>Pedro</t>
  </si>
  <si>
    <t>005255637</t>
  </si>
  <si>
    <t>Patricia</t>
  </si>
  <si>
    <t>026720185</t>
  </si>
  <si>
    <t>Valdemir</t>
  </si>
  <si>
    <t>Atilei</t>
  </si>
  <si>
    <t>004482102</t>
  </si>
  <si>
    <t>Natalia</t>
  </si>
  <si>
    <t>023684343</t>
  </si>
  <si>
    <t>Luciano</t>
  </si>
  <si>
    <t>005547703</t>
  </si>
  <si>
    <t>Silvia</t>
  </si>
  <si>
    <t>026126821</t>
  </si>
  <si>
    <t>Elisabete</t>
  </si>
  <si>
    <t>009035135</t>
  </si>
  <si>
    <t>Denise</t>
  </si>
  <si>
    <t>004895776</t>
  </si>
  <si>
    <t>Fernando</t>
  </si>
  <si>
    <t>005921983</t>
  </si>
  <si>
    <t>Solange</t>
  </si>
  <si>
    <t>024985038</t>
  </si>
  <si>
    <t>Coimbra</t>
  </si>
  <si>
    <t>342.680.301-15</t>
  </si>
  <si>
    <t>Ana Luisa Cunha Campos Dieguez</t>
  </si>
  <si>
    <t>024050288</t>
  </si>
  <si>
    <t>Lucas Lôbo Ataide</t>
  </si>
  <si>
    <t>005277762</t>
  </si>
  <si>
    <t>Nivaldo</t>
  </si>
  <si>
    <t>008197302</t>
  </si>
  <si>
    <t>Silvio</t>
  </si>
  <si>
    <t>004444380</t>
  </si>
  <si>
    <t>004458563</t>
  </si>
  <si>
    <t>Luiz</t>
  </si>
  <si>
    <t>005726697</t>
  </si>
  <si>
    <t xml:space="preserve">Solicitou troca de perfil 16/03/2022 </t>
  </si>
  <si>
    <t>Adao</t>
  </si>
  <si>
    <t>004384167</t>
  </si>
  <si>
    <t>Douglas</t>
  </si>
  <si>
    <t>Ana</t>
  </si>
  <si>
    <t>008565812</t>
  </si>
  <si>
    <t>Mayara</t>
  </si>
  <si>
    <t>004550415</t>
  </si>
  <si>
    <t>Diogo</t>
  </si>
  <si>
    <t>004475395</t>
  </si>
  <si>
    <t>David</t>
  </si>
  <si>
    <t>008007764</t>
  </si>
  <si>
    <t>Luis</t>
  </si>
  <si>
    <t>028445203</t>
  </si>
  <si>
    <t>004458624</t>
  </si>
  <si>
    <t>004556974</t>
  </si>
  <si>
    <t>Kelly</t>
  </si>
  <si>
    <t>008188457</t>
  </si>
  <si>
    <t>Rubens</t>
  </si>
  <si>
    <t>008153800</t>
  </si>
  <si>
    <t>Ricardo</t>
  </si>
  <si>
    <t>004224284</t>
  </si>
  <si>
    <t>005985265</t>
  </si>
  <si>
    <t>Kaio</t>
  </si>
  <si>
    <t>013215520</t>
  </si>
  <si>
    <t>Alexandre Matias Morris</t>
  </si>
  <si>
    <t>002758096</t>
  </si>
  <si>
    <t>Lucas</t>
  </si>
  <si>
    <t>005967015</t>
  </si>
  <si>
    <t>Heidi</t>
  </si>
  <si>
    <t>008712353</t>
  </si>
  <si>
    <t>004329030</t>
  </si>
  <si>
    <t>005547702</t>
  </si>
  <si>
    <t>Nathalia</t>
  </si>
  <si>
    <t>Resgate total 14/03/2022</t>
  </si>
  <si>
    <t>724.228.401-59</t>
  </si>
  <si>
    <t>004855960</t>
  </si>
  <si>
    <t>Cleria</t>
  </si>
  <si>
    <t>Bruno Agonilha Marquezine</t>
  </si>
  <si>
    <t>620.498.011-49</t>
  </si>
  <si>
    <t>Ananda Cabral Lelis</t>
  </si>
  <si>
    <t>003582542</t>
  </si>
  <si>
    <t>005313179</t>
  </si>
  <si>
    <t>Maira</t>
  </si>
  <si>
    <t>André Castro</t>
  </si>
  <si>
    <t>008002057</t>
  </si>
  <si>
    <t>Luciene</t>
  </si>
  <si>
    <t>008405339</t>
  </si>
  <si>
    <t>Falavigna</t>
  </si>
  <si>
    <t>098.917.719-03</t>
  </si>
  <si>
    <t>005619108</t>
  </si>
  <si>
    <t>43 99933-2424</t>
  </si>
  <si>
    <t>Laura</t>
  </si>
  <si>
    <t>asamarq@gmail.com</t>
  </si>
  <si>
    <t>024281248</t>
  </si>
  <si>
    <t>Olga</t>
  </si>
  <si>
    <t>008030888</t>
  </si>
  <si>
    <t>Sonia</t>
  </si>
  <si>
    <t>Income/FIIs</t>
  </si>
  <si>
    <t>Taxa autorizada pelo Guilherme</t>
  </si>
  <si>
    <t>024917650</t>
  </si>
  <si>
    <t>Nadia</t>
  </si>
  <si>
    <t>Andre</t>
  </si>
  <si>
    <t>005696595</t>
  </si>
  <si>
    <t>Clube</t>
  </si>
  <si>
    <t>009068371</t>
  </si>
  <si>
    <t>004332103</t>
  </si>
  <si>
    <t>005725431</t>
  </si>
  <si>
    <t>005103059</t>
  </si>
  <si>
    <t>Walquiria</t>
  </si>
  <si>
    <t>012399572</t>
  </si>
  <si>
    <t>Eric</t>
  </si>
  <si>
    <t>004238436</t>
  </si>
  <si>
    <t>Diego</t>
  </si>
  <si>
    <t>008218514</t>
  </si>
  <si>
    <t>Yuri</t>
  </si>
  <si>
    <t>004211807</t>
  </si>
  <si>
    <t>Edinardo</t>
  </si>
  <si>
    <t>004239624</t>
  </si>
  <si>
    <t>Nina</t>
  </si>
  <si>
    <t>031277262</t>
  </si>
  <si>
    <t>61 98217-0011</t>
  </si>
  <si>
    <t>005604917</t>
  </si>
  <si>
    <t>Joao</t>
  </si>
  <si>
    <t>004017326</t>
  </si>
  <si>
    <t>Alexandre Zanin Neto</t>
  </si>
  <si>
    <t>004453132</t>
  </si>
  <si>
    <t>Alberto</t>
  </si>
  <si>
    <t>026366492</t>
  </si>
  <si>
    <t>Ercules</t>
  </si>
  <si>
    <t>001887548</t>
  </si>
  <si>
    <t>Eduardo</t>
  </si>
  <si>
    <t>004515341</t>
  </si>
  <si>
    <t>033.886.261-70</t>
  </si>
  <si>
    <t>André Dantas Maranhão de Souza</t>
  </si>
  <si>
    <t>Bruno de Azevedo Oliveira</t>
  </si>
  <si>
    <t>004584982</t>
  </si>
  <si>
    <t>Aecio</t>
  </si>
  <si>
    <t>Andrea</t>
  </si>
  <si>
    <t>005631648</t>
  </si>
  <si>
    <t>Gleyserson</t>
  </si>
  <si>
    <t>026543850</t>
  </si>
  <si>
    <t>Liliana</t>
  </si>
  <si>
    <t>533.174.910-00</t>
  </si>
  <si>
    <t>correiodobrunoazevedo@hotmail.com</t>
  </si>
  <si>
    <t>004380749</t>
  </si>
  <si>
    <t>Eleuse</t>
  </si>
  <si>
    <t>004452597</t>
  </si>
  <si>
    <t>Lara</t>
  </si>
  <si>
    <t>005142661</t>
  </si>
  <si>
    <t>Sabrina</t>
  </si>
  <si>
    <t>005720146</t>
  </si>
  <si>
    <t>Jordanna</t>
  </si>
  <si>
    <t>021256987</t>
  </si>
  <si>
    <t>004453157</t>
  </si>
  <si>
    <t>001148186</t>
  </si>
  <si>
    <t>008588044</t>
  </si>
  <si>
    <t>Alice Mol de Freitas Alves Pinho</t>
  </si>
  <si>
    <t>000739156</t>
  </si>
  <si>
    <t>Ivana</t>
  </si>
  <si>
    <t>Bruno Eduardo Ventriglia Cichello</t>
  </si>
  <si>
    <t>005611045</t>
  </si>
  <si>
    <t>005002390</t>
  </si>
  <si>
    <t>020325064</t>
  </si>
  <si>
    <t>299.717.798-70</t>
  </si>
  <si>
    <t>Trocou de assessoria sem nos avisar</t>
  </si>
  <si>
    <t>13 98111-0131</t>
  </si>
  <si>
    <t>contato@vc.adv.br</t>
  </si>
  <si>
    <t>149.046.996-61</t>
  </si>
  <si>
    <t>005304669</t>
  </si>
  <si>
    <t>Emilson</t>
  </si>
  <si>
    <t>005002457</t>
  </si>
  <si>
    <t>Rosangela</t>
  </si>
  <si>
    <t>024154114</t>
  </si>
  <si>
    <t>Georgia</t>
  </si>
  <si>
    <t>014841621</t>
  </si>
  <si>
    <t>Emilly</t>
  </si>
  <si>
    <t>017704511</t>
  </si>
  <si>
    <t>004630773</t>
  </si>
  <si>
    <t>Nabor</t>
  </si>
  <si>
    <t>017180118</t>
  </si>
  <si>
    <t>004589819</t>
  </si>
  <si>
    <t>Boldrim</t>
  </si>
  <si>
    <t>004499920</t>
  </si>
  <si>
    <t>Fabiano</t>
  </si>
  <si>
    <t>005171652</t>
  </si>
  <si>
    <t>004866753</t>
  </si>
  <si>
    <t>Genesi</t>
  </si>
  <si>
    <t>004332783</t>
  </si>
  <si>
    <t>Iron</t>
  </si>
  <si>
    <t>Alysson Fagundes Braga</t>
  </si>
  <si>
    <t>005314853</t>
  </si>
  <si>
    <t>060.103.496-13</t>
  </si>
  <si>
    <t>Gleuber</t>
  </si>
  <si>
    <t>Andre de Oliveira Pereira Pawlowski</t>
  </si>
  <si>
    <t>005169142</t>
  </si>
  <si>
    <t>005535788</t>
  </si>
  <si>
    <t>Emilia</t>
  </si>
  <si>
    <t>005683532</t>
  </si>
  <si>
    <t>Sylverson</t>
  </si>
  <si>
    <t>033.611.716-79</t>
  </si>
  <si>
    <t>005142624</t>
  </si>
  <si>
    <t>Rodrigo</t>
  </si>
  <si>
    <t>021574538</t>
  </si>
  <si>
    <t>Thais</t>
  </si>
  <si>
    <t>005133039</t>
  </si>
  <si>
    <t>005379541</t>
  </si>
  <si>
    <t>São Paulo</t>
  </si>
  <si>
    <t>025944950</t>
  </si>
  <si>
    <t>RMSP</t>
  </si>
  <si>
    <t>004395314</t>
  </si>
  <si>
    <t>003398766</t>
  </si>
  <si>
    <t>Orlando</t>
  </si>
  <si>
    <t>003489079</t>
  </si>
  <si>
    <t>004404248</t>
  </si>
  <si>
    <t>005381719</t>
  </si>
  <si>
    <t>008716830</t>
  </si>
  <si>
    <t>Fernao</t>
  </si>
  <si>
    <t>016237695</t>
  </si>
  <si>
    <t>Valdemar</t>
  </si>
  <si>
    <t>024855090</t>
  </si>
  <si>
    <t>005696533</t>
  </si>
  <si>
    <t>005607508</t>
  </si>
  <si>
    <t>Alessandro</t>
  </si>
  <si>
    <t>000330949</t>
  </si>
  <si>
    <t>021576517</t>
  </si>
  <si>
    <t>Mauro</t>
  </si>
  <si>
    <t>218.522.678-95</t>
  </si>
  <si>
    <t>Andre Luis Fernandes Gouveia</t>
  </si>
  <si>
    <t>022294292</t>
  </si>
  <si>
    <t>Marlos</t>
  </si>
  <si>
    <t>008692116</t>
  </si>
  <si>
    <t>Bruno Menezes Karner</t>
  </si>
  <si>
    <t>005061124</t>
  </si>
  <si>
    <t>022330435</t>
  </si>
  <si>
    <t>Facilita</t>
  </si>
  <si>
    <t>005079311</t>
  </si>
  <si>
    <t>Jovino</t>
  </si>
  <si>
    <t>Solicitou distrato 03/09/2021</t>
  </si>
  <si>
    <t>004384258</t>
  </si>
  <si>
    <t>008762622</t>
  </si>
  <si>
    <t>000678704</t>
  </si>
  <si>
    <t>Ludmila</t>
  </si>
  <si>
    <t>025.075.079-18</t>
  </si>
  <si>
    <t>bmkarner@hotmail.com</t>
  </si>
  <si>
    <t>004459461</t>
  </si>
  <si>
    <t>Interlagos</t>
  </si>
  <si>
    <t>004565108</t>
  </si>
  <si>
    <t>Gustavo</t>
  </si>
  <si>
    <t>008458289</t>
  </si>
  <si>
    <t>Tatiane</t>
  </si>
  <si>
    <t>004335144</t>
  </si>
  <si>
    <t>Ahmad</t>
  </si>
  <si>
    <t>Adriana</t>
  </si>
  <si>
    <t>005152037</t>
  </si>
  <si>
    <t>025193509</t>
  </si>
  <si>
    <t>Erica</t>
  </si>
  <si>
    <t>005608744</t>
  </si>
  <si>
    <t>528.721.571-15</t>
  </si>
  <si>
    <t>Andre Luiz Souza da Silveira</t>
  </si>
  <si>
    <t>008939571</t>
  </si>
  <si>
    <t>Klayvison</t>
  </si>
  <si>
    <t>Antonio Carlos</t>
  </si>
  <si>
    <t>024461659</t>
  </si>
  <si>
    <t>Mrpaiva</t>
  </si>
  <si>
    <t>008195717</t>
  </si>
  <si>
    <t>Oscar</t>
  </si>
  <si>
    <t>Bruno Montenegro Sacani</t>
  </si>
  <si>
    <t>Ana Lucia dos Santos Nakadomari</t>
  </si>
  <si>
    <t>004332207</t>
  </si>
  <si>
    <t>Iracy</t>
  </si>
  <si>
    <t>Colocar data</t>
  </si>
  <si>
    <t>004565146</t>
  </si>
  <si>
    <t>Solicitou distrato ?</t>
  </si>
  <si>
    <t>002075217</t>
  </si>
  <si>
    <t>Leandro</t>
  </si>
  <si>
    <t>879.453.399-72</t>
  </si>
  <si>
    <t>brunom@sacani.adv.br</t>
  </si>
  <si>
    <t>005348011</t>
  </si>
  <si>
    <t>Tatiana</t>
  </si>
  <si>
    <t>005949170</t>
  </si>
  <si>
    <t>004468717</t>
  </si>
  <si>
    <t>Heloisa</t>
  </si>
  <si>
    <t>005531186</t>
  </si>
  <si>
    <t>004268684</t>
  </si>
  <si>
    <t>020844601</t>
  </si>
  <si>
    <t>Moacyr</t>
  </si>
  <si>
    <t>Aluisio</t>
  </si>
  <si>
    <t>004517080</t>
  </si>
  <si>
    <t>299.037.346-20</t>
  </si>
  <si>
    <t>Andrea Mourao Bahia</t>
  </si>
  <si>
    <t>Alexandre</t>
  </si>
  <si>
    <t>Bruno Rafael Silva Favaron</t>
  </si>
  <si>
    <t>004563237</t>
  </si>
  <si>
    <t>005654122</t>
  </si>
  <si>
    <t>Eliane</t>
  </si>
  <si>
    <t>005105172</t>
  </si>
  <si>
    <t>Valdivino</t>
  </si>
  <si>
    <t>008519963</t>
  </si>
  <si>
    <t>279.818.348-05</t>
  </si>
  <si>
    <t>Isabelle</t>
  </si>
  <si>
    <t>bfavaron@hotmail.com</t>
  </si>
  <si>
    <t>004508526</t>
  </si>
  <si>
    <t>Cassio</t>
  </si>
  <si>
    <t>004924222</t>
  </si>
  <si>
    <t>Rosane</t>
  </si>
  <si>
    <t>008364902</t>
  </si>
  <si>
    <t>Marcio</t>
  </si>
  <si>
    <t>002687737</t>
  </si>
  <si>
    <t>008026942</t>
  </si>
  <si>
    <t>Thomas</t>
  </si>
  <si>
    <t>033476854</t>
  </si>
  <si>
    <t>Bianca</t>
  </si>
  <si>
    <t>002973105</t>
  </si>
  <si>
    <t>Darlan</t>
  </si>
  <si>
    <t>Aline</t>
  </si>
  <si>
    <t>004755083</t>
  </si>
  <si>
    <t>Evaldo</t>
  </si>
  <si>
    <t>008558899</t>
  </si>
  <si>
    <t>Andréa Satyro Sá Ribeiro Fritzsche</t>
  </si>
  <si>
    <t>008371468</t>
  </si>
  <si>
    <t>Bruno Sacani Sobrinho</t>
  </si>
  <si>
    <t>Testa</t>
  </si>
  <si>
    <t>021373139</t>
  </si>
  <si>
    <t>Noemia</t>
  </si>
  <si>
    <t>024866279</t>
  </si>
  <si>
    <t>004207641</t>
  </si>
  <si>
    <t>Magali</t>
  </si>
  <si>
    <t>004452476</t>
  </si>
  <si>
    <t>Ana Lucia Garcia Spironelli Quitiliano</t>
  </si>
  <si>
    <t>Ivone</t>
  </si>
  <si>
    <t>Enviar aas notas de corretagem via email para o cliente após todas operações (10/04/2026).</t>
  </si>
  <si>
    <t>STVM de entrada da Guide finalizada (08/09/2023)</t>
  </si>
  <si>
    <t>Alana</t>
  </si>
  <si>
    <t>356.263.991-00</t>
  </si>
  <si>
    <t>bruno@sacani.adv.br</t>
  </si>
  <si>
    <t>004342617</t>
  </si>
  <si>
    <t>Juraci</t>
  </si>
  <si>
    <t>005077648</t>
  </si>
  <si>
    <t>Dunas</t>
  </si>
  <si>
    <t>008004835</t>
  </si>
  <si>
    <t>Resgate Total 29/09/2022</t>
  </si>
  <si>
    <t>004813134</t>
  </si>
  <si>
    <t>004240014</t>
  </si>
  <si>
    <t>Isabele</t>
  </si>
  <si>
    <t>003641655</t>
  </si>
  <si>
    <t>008171590</t>
  </si>
  <si>
    <t>002636063</t>
  </si>
  <si>
    <t>Leda</t>
  </si>
  <si>
    <t>005092207</t>
  </si>
  <si>
    <t>009028014</t>
  </si>
  <si>
    <t>004432935</t>
  </si>
  <si>
    <t>008831393</t>
  </si>
  <si>
    <t>Wilson</t>
  </si>
  <si>
    <t>STVM de entrada finalizada (28/05/2024)</t>
  </si>
  <si>
    <t>021460639</t>
  </si>
  <si>
    <t>Lilian</t>
  </si>
  <si>
    <t>016748790</t>
  </si>
  <si>
    <t>030147821</t>
  </si>
  <si>
    <t>Glenda</t>
  </si>
  <si>
    <t>004693349</t>
  </si>
  <si>
    <t>339.079.007-15</t>
  </si>
  <si>
    <t>Catarine</t>
  </si>
  <si>
    <t>Angela Luiza Dantas Leite</t>
  </si>
  <si>
    <t>004216657</t>
  </si>
  <si>
    <t>004368994</t>
  </si>
  <si>
    <t>Cristina</t>
  </si>
  <si>
    <t>016618803</t>
  </si>
  <si>
    <t>Nunca aportou</t>
  </si>
  <si>
    <t>005170415</t>
  </si>
  <si>
    <t>SEM DINHEIRO - Base iniciada em 11/5/22</t>
  </si>
  <si>
    <t>008610229</t>
  </si>
  <si>
    <t>Bruno Tedesco Rosa</t>
  </si>
  <si>
    <t>004754056</t>
  </si>
  <si>
    <t>004360431</t>
  </si>
  <si>
    <t>002939792</t>
  </si>
  <si>
    <t>024038432</t>
  </si>
  <si>
    <t>Wesley</t>
  </si>
  <si>
    <t>539.821.429-20</t>
  </si>
  <si>
    <t>brunorosa30@outlook.com</t>
  </si>
  <si>
    <t>004584517</t>
  </si>
  <si>
    <t>Caio</t>
  </si>
  <si>
    <t>004467016</t>
  </si>
  <si>
    <t>Isabel</t>
  </si>
  <si>
    <t>004806286</t>
  </si>
  <si>
    <t>Vera</t>
  </si>
  <si>
    <t>008598562</t>
  </si>
  <si>
    <t>Bartira</t>
  </si>
  <si>
    <t>008004822</t>
  </si>
  <si>
    <t>Luciana</t>
  </si>
  <si>
    <t>005698866</t>
  </si>
  <si>
    <t>Helio</t>
  </si>
  <si>
    <t>008514508</t>
  </si>
  <si>
    <t>003175155</t>
  </si>
  <si>
    <t>Gabriela</t>
  </si>
  <si>
    <t>008001858</t>
  </si>
  <si>
    <t>Angela Teixeira Lira</t>
  </si>
  <si>
    <t>024796997</t>
  </si>
  <si>
    <t>004500087</t>
  </si>
  <si>
    <t>Janne</t>
  </si>
  <si>
    <t>021696513</t>
  </si>
  <si>
    <t>Roger</t>
  </si>
  <si>
    <t>004471893</t>
  </si>
  <si>
    <t>005681354</t>
  </si>
  <si>
    <t>Troca de assessor de Fernando Amaro para Luca Bueno em 12/12/2022</t>
  </si>
  <si>
    <t>008323468</t>
  </si>
  <si>
    <t>004463586</t>
  </si>
  <si>
    <t>004482090</t>
  </si>
  <si>
    <t>Cezar</t>
  </si>
  <si>
    <t>024155673</t>
  </si>
  <si>
    <t>Hugo</t>
  </si>
  <si>
    <t>021573506</t>
  </si>
  <si>
    <t>R$ 247.185,15</t>
  </si>
  <si>
    <t>R$ 245.013,93</t>
  </si>
  <si>
    <t>R$ 249.978,17</t>
  </si>
  <si>
    <t>Beatriz</t>
  </si>
  <si>
    <t>004527606</t>
  </si>
  <si>
    <t>005637820</t>
  </si>
  <si>
    <t>005121919</t>
  </si>
  <si>
    <t>019888924</t>
  </si>
  <si>
    <t>Fabio</t>
  </si>
  <si>
    <t>004827315</t>
  </si>
  <si>
    <t>Gilton</t>
  </si>
  <si>
    <t>004216504</t>
  </si>
  <si>
    <t>Wander</t>
  </si>
  <si>
    <t>004383268</t>
  </si>
  <si>
    <t>Canaa Agronegocios Ltda</t>
  </si>
  <si>
    <t>004886366</t>
  </si>
  <si>
    <t>004207184</t>
  </si>
  <si>
    <t>002606448</t>
  </si>
  <si>
    <t>Marcus</t>
  </si>
  <si>
    <t>023659360</t>
  </si>
  <si>
    <t>William</t>
  </si>
  <si>
    <t>008887532</t>
  </si>
  <si>
    <t>004971783</t>
  </si>
  <si>
    <t>Erika</t>
  </si>
  <si>
    <t>Angelica Rocha Madalena Motta</t>
  </si>
  <si>
    <t>004214460</t>
  </si>
  <si>
    <t>004452790</t>
  </si>
  <si>
    <t>008328934</t>
  </si>
  <si>
    <t>Cecilia</t>
  </si>
  <si>
    <t>005428871</t>
  </si>
  <si>
    <t>031272214</t>
  </si>
  <si>
    <t>Giovanna</t>
  </si>
  <si>
    <t>020964698</t>
  </si>
  <si>
    <t>Gabriella</t>
  </si>
  <si>
    <t>014429278</t>
  </si>
  <si>
    <t>Yaeko</t>
  </si>
  <si>
    <t>43.463.894/0001-69</t>
  </si>
  <si>
    <t>(34) 99687-5003</t>
  </si>
  <si>
    <t>025787060</t>
  </si>
  <si>
    <t>Águas Lindas de Goiás</t>
  </si>
  <si>
    <t>elianecmr65@gmail.com</t>
  </si>
  <si>
    <t>004876654</t>
  </si>
  <si>
    <t>023601677</t>
  </si>
  <si>
    <t>004421636</t>
  </si>
  <si>
    <t>004204242</t>
  </si>
  <si>
    <t>Adriano</t>
  </si>
  <si>
    <t>008083039</t>
  </si>
  <si>
    <t>024707945</t>
  </si>
  <si>
    <t>005332650</t>
  </si>
  <si>
    <t>008447728</t>
  </si>
  <si>
    <t>018675611</t>
  </si>
  <si>
    <t>004202332</t>
  </si>
  <si>
    <t>04.959.431-18</t>
  </si>
  <si>
    <t>004381359</t>
  </si>
  <si>
    <t>004444605</t>
  </si>
  <si>
    <t>004165515</t>
  </si>
  <si>
    <t>005437764</t>
  </si>
  <si>
    <t>Eva</t>
  </si>
  <si>
    <t>004515548</t>
  </si>
  <si>
    <t>Flavia</t>
  </si>
  <si>
    <t>004935866</t>
  </si>
  <si>
    <t>Debora</t>
  </si>
  <si>
    <t>008857042</t>
  </si>
  <si>
    <t>022514426</t>
  </si>
  <si>
    <t>008671021</t>
  </si>
  <si>
    <t>Luana</t>
  </si>
  <si>
    <t>008671080</t>
  </si>
  <si>
    <t>Clara</t>
  </si>
  <si>
    <t>Alice</t>
  </si>
  <si>
    <t>005624274</t>
  </si>
  <si>
    <t>Clayton</t>
  </si>
  <si>
    <t>004232060</t>
  </si>
  <si>
    <t>Marli</t>
  </si>
  <si>
    <t>005073033</t>
  </si>
  <si>
    <t>Nilborn</t>
  </si>
  <si>
    <t>023546070</t>
  </si>
  <si>
    <t>Daniel</t>
  </si>
  <si>
    <t>Caio Augusto Costa Campos e/ou Leticia Castello Branco Nascimento</t>
  </si>
  <si>
    <t>008197156</t>
  </si>
  <si>
    <t>023890072</t>
  </si>
  <si>
    <t>004805273</t>
  </si>
  <si>
    <t>Clisia</t>
  </si>
  <si>
    <t>008110684</t>
  </si>
  <si>
    <t>Edval</t>
  </si>
  <si>
    <t>18890</t>
  </si>
  <si>
    <t>Andre Reichert da Silva Godoy</t>
  </si>
  <si>
    <t>024069494</t>
  </si>
  <si>
    <t>Alan</t>
  </si>
  <si>
    <t>Enviar saldo para BTG</t>
  </si>
  <si>
    <t>020559753</t>
  </si>
  <si>
    <t>Cleber</t>
  </si>
  <si>
    <t>004511696</t>
  </si>
  <si>
    <t>Kryscia</t>
  </si>
  <si>
    <t>004981655</t>
  </si>
  <si>
    <t>005324840</t>
  </si>
  <si>
    <t>021967500</t>
  </si>
  <si>
    <t>Deu início na STVM</t>
  </si>
  <si>
    <t>Gsl</t>
  </si>
  <si>
    <t>044.109.619-00</t>
  </si>
  <si>
    <t>004455356</t>
  </si>
  <si>
    <t>caioaccampos@gmail.com</t>
  </si>
  <si>
    <t>020408993</t>
  </si>
  <si>
    <t>Luci</t>
  </si>
  <si>
    <t>004940699</t>
  </si>
  <si>
    <t>Rachel</t>
  </si>
  <si>
    <t>005440756</t>
  </si>
  <si>
    <t>Valeria</t>
  </si>
  <si>
    <t>001.958.046-00</t>
  </si>
  <si>
    <t>015231285</t>
  </si>
  <si>
    <t>Anna Maria de Almeida Carneiro</t>
  </si>
  <si>
    <t>Dhiego</t>
  </si>
  <si>
    <t>004473829</t>
  </si>
  <si>
    <t>008115273</t>
  </si>
  <si>
    <t>Nilson</t>
  </si>
  <si>
    <t>029643707</t>
  </si>
  <si>
    <t>Murilo</t>
  </si>
  <si>
    <t>017085325</t>
  </si>
  <si>
    <t>Lahis</t>
  </si>
  <si>
    <t>009076161</t>
  </si>
  <si>
    <t>Fernanda</t>
  </si>
  <si>
    <t>Prev. Conservadora</t>
  </si>
  <si>
    <t>004334158</t>
  </si>
  <si>
    <t>Leone</t>
  </si>
  <si>
    <t>Solicitou distrato 04/10/2022</t>
  </si>
  <si>
    <t>004211911</t>
  </si>
  <si>
    <t>Zenilda</t>
  </si>
  <si>
    <t>008893798</t>
  </si>
  <si>
    <t>Sydney</t>
  </si>
  <si>
    <t>008899027</t>
  </si>
  <si>
    <t>005224125</t>
  </si>
  <si>
    <t>Jairo</t>
  </si>
  <si>
    <t>André Yoshio Itiyama</t>
  </si>
  <si>
    <t>004425261</t>
  </si>
  <si>
    <t>Thaysa</t>
  </si>
  <si>
    <t>005040712</t>
  </si>
  <si>
    <t>R$ 1.004.235,67</t>
  </si>
  <si>
    <t>008328831</t>
  </si>
  <si>
    <t>004278212</t>
  </si>
  <si>
    <t>Leonardo</t>
  </si>
  <si>
    <t>004216434</t>
  </si>
  <si>
    <t>Jaime</t>
  </si>
  <si>
    <t>004504449</t>
  </si>
  <si>
    <t>Kelma</t>
  </si>
  <si>
    <t>Caio Cesar Damitto Rosa</t>
  </si>
  <si>
    <t>004512434</t>
  </si>
  <si>
    <t>008149996</t>
  </si>
  <si>
    <t>20.794.839/0001-56</t>
  </si>
  <si>
    <t>Antera Construtora Eireli</t>
  </si>
  <si>
    <t>016247942</t>
  </si>
  <si>
    <t>005273382</t>
  </si>
  <si>
    <t>Mvfc</t>
  </si>
  <si>
    <t>004224405</t>
  </si>
  <si>
    <t>Mila</t>
  </si>
  <si>
    <t>014519086</t>
  </si>
  <si>
    <t>Feijão &amp; Feijão Projetos e Construções</t>
  </si>
  <si>
    <t>Anderson</t>
  </si>
  <si>
    <t>Alteração de carteira finalizada (23/10/2023)</t>
  </si>
  <si>
    <t>009101398</t>
  </si>
  <si>
    <t>317.633.668-39</t>
  </si>
  <si>
    <t>Rafaela</t>
  </si>
  <si>
    <t>034152264</t>
  </si>
  <si>
    <t>R$ 95.063,92</t>
  </si>
  <si>
    <t>008119302</t>
  </si>
  <si>
    <t>R$ 94.243,82</t>
  </si>
  <si>
    <t>Vitor</t>
  </si>
  <si>
    <t>R$ 104.871,63</t>
  </si>
  <si>
    <t>004920447</t>
  </si>
  <si>
    <t>Marilia</t>
  </si>
  <si>
    <t>008365179</t>
  </si>
  <si>
    <t>Giovana</t>
  </si>
  <si>
    <t>005043894</t>
  </si>
  <si>
    <t>Naiara</t>
  </si>
  <si>
    <t>005907474</t>
  </si>
  <si>
    <t>Keila</t>
  </si>
  <si>
    <t>005046919</t>
  </si>
  <si>
    <t>004265173</t>
  </si>
  <si>
    <t>Julia</t>
  </si>
  <si>
    <t>STVM para XP (24/04/2021)</t>
  </si>
  <si>
    <t>005018038</t>
  </si>
  <si>
    <t>Elaine</t>
  </si>
  <si>
    <t>001009920</t>
  </si>
  <si>
    <t>Luccas</t>
  </si>
  <si>
    <t>004332544</t>
  </si>
  <si>
    <t>Celia</t>
  </si>
  <si>
    <t>582.529.836-34</t>
  </si>
  <si>
    <t>Antonio Carlos de Paula Costa</t>
  </si>
  <si>
    <t>004497825</t>
  </si>
  <si>
    <t>004460487</t>
  </si>
  <si>
    <t>020441135</t>
  </si>
  <si>
    <t>003748746</t>
  </si>
  <si>
    <t>005173958</t>
  </si>
  <si>
    <t>005878792</t>
  </si>
  <si>
    <t>Junio</t>
  </si>
  <si>
    <t xml:space="preserve">Caio de Almeida Leite </t>
  </si>
  <si>
    <t>008713089</t>
  </si>
  <si>
    <t>Clarice</t>
  </si>
  <si>
    <t>004972351</t>
  </si>
  <si>
    <t>008732520</t>
  </si>
  <si>
    <t>Aplicar SOMENTE EM ATIVOS COM CARÊNCIA ATÉ 01/2023.</t>
  </si>
  <si>
    <t>Angela</t>
  </si>
  <si>
    <t>Ama</t>
  </si>
  <si>
    <t>008762237</t>
  </si>
  <si>
    <t>008311690</t>
  </si>
  <si>
    <t>Celso</t>
  </si>
  <si>
    <t>539.371.391-68</t>
  </si>
  <si>
    <t>021819073</t>
  </si>
  <si>
    <t>009118696</t>
  </si>
  <si>
    <t>013882576</t>
  </si>
  <si>
    <t>005920340</t>
  </si>
  <si>
    <t>008526206</t>
  </si>
  <si>
    <t>004413523</t>
  </si>
  <si>
    <t>004398174</t>
  </si>
  <si>
    <t>Daniele</t>
  </si>
  <si>
    <t>004207278</t>
  </si>
  <si>
    <t>Cesar</t>
  </si>
  <si>
    <t>005009026</t>
  </si>
  <si>
    <t>Edmur</t>
  </si>
  <si>
    <t>004498022</t>
  </si>
  <si>
    <t>020202800</t>
  </si>
  <si>
    <t>Jennifer</t>
  </si>
  <si>
    <t>002064834</t>
  </si>
  <si>
    <t>005044389</t>
  </si>
  <si>
    <t>001879977</t>
  </si>
  <si>
    <t>Thaissa</t>
  </si>
  <si>
    <t>Jardim Botânico</t>
  </si>
  <si>
    <t>Caio Fernandes Fulgencio</t>
  </si>
  <si>
    <t>014021661</t>
  </si>
  <si>
    <t>004335031</t>
  </si>
  <si>
    <t>017429556</t>
  </si>
  <si>
    <t>Juliene</t>
  </si>
  <si>
    <t>008858739</t>
  </si>
  <si>
    <t>008144040</t>
  </si>
  <si>
    <t>Luca</t>
  </si>
  <si>
    <t>008848596</t>
  </si>
  <si>
    <t>004491730</t>
  </si>
  <si>
    <t>106.195.726-80</t>
  </si>
  <si>
    <t>34 99987-2717</t>
  </si>
  <si>
    <t>caioffulgencio@hotmail.com</t>
  </si>
  <si>
    <t>004204344</t>
  </si>
  <si>
    <t>Clineo</t>
  </si>
  <si>
    <t>008002502</t>
  </si>
  <si>
    <t>Jorgeana</t>
  </si>
  <si>
    <t>Andreia de Andrade Taborda</t>
  </si>
  <si>
    <t>021490289</t>
  </si>
  <si>
    <t>Tais</t>
  </si>
  <si>
    <t>004220059</t>
  </si>
  <si>
    <t>Barbara</t>
  </si>
  <si>
    <t>939.285.991-00</t>
  </si>
  <si>
    <t>Ariene Maria Vimieiro Saabor</t>
  </si>
  <si>
    <t>021679071</t>
  </si>
  <si>
    <t>Eder</t>
  </si>
  <si>
    <t>024097883</t>
  </si>
  <si>
    <t>Celio</t>
  </si>
  <si>
    <t>023805443</t>
  </si>
  <si>
    <t>022738561</t>
  </si>
  <si>
    <t>012.596.881-78</t>
  </si>
  <si>
    <t>033081696</t>
  </si>
  <si>
    <t>Itallo</t>
  </si>
  <si>
    <t>024567802</t>
  </si>
  <si>
    <t>Bruna</t>
  </si>
  <si>
    <t>023140668</t>
  </si>
  <si>
    <t>025100165</t>
  </si>
  <si>
    <t>Cleyton</t>
  </si>
  <si>
    <t>-</t>
  </si>
  <si>
    <t>Caio Manabu Dias Yoshida</t>
  </si>
  <si>
    <t>004213139</t>
  </si>
  <si>
    <t>025348467</t>
  </si>
  <si>
    <t>Audrey</t>
  </si>
  <si>
    <t>025267063</t>
  </si>
  <si>
    <t>Duralex</t>
  </si>
  <si>
    <t>004498637</t>
  </si>
  <si>
    <t>Tiago</t>
  </si>
  <si>
    <t>002786022</t>
  </si>
  <si>
    <t>047.368.061-09</t>
  </si>
  <si>
    <t>62 98147-2525</t>
  </si>
  <si>
    <t>005883672</t>
  </si>
  <si>
    <t>Flk</t>
  </si>
  <si>
    <t>CAIOMDY@GMAIL.COM</t>
  </si>
  <si>
    <t>005055226</t>
  </si>
  <si>
    <t>Danilo</t>
  </si>
  <si>
    <t>152.474.301-15</t>
  </si>
  <si>
    <t>Arilma Marçal de Brito</t>
  </si>
  <si>
    <t>009113972</t>
  </si>
  <si>
    <t>021575196</t>
  </si>
  <si>
    <t>Rhuslan</t>
  </si>
  <si>
    <t>004164584</t>
  </si>
  <si>
    <t>Romulo</t>
  </si>
  <si>
    <t>Anelsino Rosa dos Santos</t>
  </si>
  <si>
    <t>Augusto</t>
  </si>
  <si>
    <t>011725850</t>
  </si>
  <si>
    <t>Ema</t>
  </si>
  <si>
    <t>Resgate de 50K/ Vender até 20k mês e não comprar ações</t>
  </si>
  <si>
    <t>004946997</t>
  </si>
  <si>
    <t>Sudoeste</t>
  </si>
  <si>
    <t>023078561</t>
  </si>
  <si>
    <t>Portabilizou todos os ativos sem avisar</t>
  </si>
  <si>
    <t>005009947</t>
  </si>
  <si>
    <t>Veranice</t>
  </si>
  <si>
    <t>169.037.901-44</t>
  </si>
  <si>
    <t>004452946</t>
  </si>
  <si>
    <t>009008080</t>
  </si>
  <si>
    <t>Raimundo</t>
  </si>
  <si>
    <t>005232019</t>
  </si>
  <si>
    <t>Caio Tocchio Aleixo</t>
  </si>
  <si>
    <t>005140608</t>
  </si>
  <si>
    <t>027169788</t>
  </si>
  <si>
    <t>008418454</t>
  </si>
  <si>
    <t>017936782</t>
  </si>
  <si>
    <t>Francielle</t>
  </si>
  <si>
    <t>005761337</t>
  </si>
  <si>
    <t>Michele</t>
  </si>
  <si>
    <t>225.499.351-87</t>
  </si>
  <si>
    <t>008336332</t>
  </si>
  <si>
    <t>Ariosvaldo Ferreira Nunes</t>
  </si>
  <si>
    <t>076.463.851-31</t>
  </si>
  <si>
    <t>005981575</t>
  </si>
  <si>
    <t>Glauciane</t>
  </si>
  <si>
    <t>luanatocchio@gmail.com</t>
  </si>
  <si>
    <t>002828327</t>
  </si>
  <si>
    <t>Renan</t>
  </si>
  <si>
    <t>017384165</t>
  </si>
  <si>
    <t>025256314</t>
  </si>
  <si>
    <t>Thurid</t>
  </si>
  <si>
    <t>Arrojada para conservadora 25/02/2022. Solicitou distrato 29/04/2022</t>
  </si>
  <si>
    <t>008420189</t>
  </si>
  <si>
    <t>Styphany</t>
  </si>
  <si>
    <t>Águas Claras</t>
  </si>
  <si>
    <t>004539779</t>
  </si>
  <si>
    <t>004570632</t>
  </si>
  <si>
    <t>004567880</t>
  </si>
  <si>
    <t>004377713</t>
  </si>
  <si>
    <t>Danieli</t>
  </si>
  <si>
    <t>005000656</t>
  </si>
  <si>
    <t>022572887</t>
  </si>
  <si>
    <t>Triade</t>
  </si>
  <si>
    <t>017973520</t>
  </si>
  <si>
    <t>Julio</t>
  </si>
  <si>
    <t>Anna Clara Monteiro da Rosa Maia</t>
  </si>
  <si>
    <t>005135281</t>
  </si>
  <si>
    <t>008032257</t>
  </si>
  <si>
    <t>Sara</t>
  </si>
  <si>
    <t>004556150</t>
  </si>
  <si>
    <t>Marina</t>
  </si>
  <si>
    <t>005685089</t>
  </si>
  <si>
    <t>Carneiro</t>
  </si>
  <si>
    <t>013.603.236-27</t>
  </si>
  <si>
    <t>004419765</t>
  </si>
  <si>
    <t>Walter</t>
  </si>
  <si>
    <t>Armando Silveira Martins</t>
  </si>
  <si>
    <t>151.211.657-22</t>
  </si>
  <si>
    <t>Cairo Carlos Cary Silva</t>
  </si>
  <si>
    <t>005905737</t>
  </si>
  <si>
    <t>004425965</t>
  </si>
  <si>
    <t>Carollina</t>
  </si>
  <si>
    <t>019528835</t>
  </si>
  <si>
    <t>025093667</t>
  </si>
  <si>
    <t>000640405</t>
  </si>
  <si>
    <t>Roberta</t>
  </si>
  <si>
    <t>Resgate total 04/04/2022</t>
  </si>
  <si>
    <t>628.300.401-63</t>
  </si>
  <si>
    <t>009072027</t>
  </si>
  <si>
    <t>013837034</t>
  </si>
  <si>
    <t>005690206</t>
  </si>
  <si>
    <t>Kauanne</t>
  </si>
  <si>
    <t>004340223</t>
  </si>
  <si>
    <t>008131506</t>
  </si>
  <si>
    <t>Evandro</t>
  </si>
  <si>
    <t>018926030</t>
  </si>
  <si>
    <t>008733105</t>
  </si>
  <si>
    <t>Tania</t>
  </si>
  <si>
    <t>004382902</t>
  </si>
  <si>
    <t>Leila</t>
  </si>
  <si>
    <t>008072033</t>
  </si>
  <si>
    <t>Leticia</t>
  </si>
  <si>
    <t>004267044</t>
  </si>
  <si>
    <t>004399832</t>
  </si>
  <si>
    <t>Euler</t>
  </si>
  <si>
    <t>012373627</t>
  </si>
  <si>
    <t>008834329</t>
  </si>
  <si>
    <t>008037529</t>
  </si>
  <si>
    <t>Melissa</t>
  </si>
  <si>
    <t>Anne Lobo Filho</t>
  </si>
  <si>
    <t>004272426</t>
  </si>
  <si>
    <t>Calidad III Consultoria Imobiliaria LTDA</t>
  </si>
  <si>
    <t>005708197</t>
  </si>
  <si>
    <t>015.152.591-96</t>
  </si>
  <si>
    <t>Arthur Caires Maia</t>
  </si>
  <si>
    <t>004426743</t>
  </si>
  <si>
    <t>Gabrielle</t>
  </si>
  <si>
    <t>008320280</t>
  </si>
  <si>
    <t>017459769</t>
  </si>
  <si>
    <t>Vesta</t>
  </si>
  <si>
    <t>39.982.559/0001-08</t>
  </si>
  <si>
    <t>386.357.121-53</t>
  </si>
  <si>
    <t>022851885</t>
  </si>
  <si>
    <t>Gilda</t>
  </si>
  <si>
    <t>005274028</t>
  </si>
  <si>
    <t>003175828</t>
  </si>
  <si>
    <t>Lorena</t>
  </si>
  <si>
    <t>008335202</t>
  </si>
  <si>
    <t>008328804</t>
  </si>
  <si>
    <t>Alexia</t>
  </si>
  <si>
    <t>005886225</t>
  </si>
  <si>
    <t>Vinicius</t>
  </si>
  <si>
    <t>008711062</t>
  </si>
  <si>
    <t>Bhruna</t>
  </si>
  <si>
    <t>004452507</t>
  </si>
  <si>
    <t>008.236.917-80</t>
  </si>
  <si>
    <t>Arthur Lanna Appelt</t>
  </si>
  <si>
    <t>005140667</t>
  </si>
  <si>
    <t>005890232</t>
  </si>
  <si>
    <t>Tayla</t>
  </si>
  <si>
    <t>021330964</t>
  </si>
  <si>
    <t>Equities 80</t>
  </si>
  <si>
    <t>004472760</t>
  </si>
  <si>
    <t>Sandra</t>
  </si>
  <si>
    <t>Solicitou distrato 30/07/2020</t>
  </si>
  <si>
    <t>008620188</t>
  </si>
  <si>
    <t>Não vender ações do Itaú. (Qnt: 70.000), (25/07/2025)</t>
  </si>
  <si>
    <t>009174932</t>
  </si>
  <si>
    <t>017012279</t>
  </si>
  <si>
    <t>Anselmo de Sa Ribeiro Filho</t>
  </si>
  <si>
    <t>R$ 352.194,97</t>
  </si>
  <si>
    <t>005905713</t>
  </si>
  <si>
    <t>Neila</t>
  </si>
  <si>
    <t>R$ 335.988,71</t>
  </si>
  <si>
    <t>004340036</t>
  </si>
  <si>
    <t>R$ 290.921,08</t>
  </si>
  <si>
    <t>R$ 301.673,01</t>
  </si>
  <si>
    <t>R$ 169.787,61</t>
  </si>
  <si>
    <t>021981964</t>
  </si>
  <si>
    <t>Joel</t>
  </si>
  <si>
    <t>008615111</t>
  </si>
  <si>
    <t>003581689</t>
  </si>
  <si>
    <t>004260002</t>
  </si>
  <si>
    <t>009045586</t>
  </si>
  <si>
    <t>018511501</t>
  </si>
  <si>
    <t xml:space="preserve">26.761.478/0001-28 </t>
  </si>
  <si>
    <t>005141215</t>
  </si>
  <si>
    <t>Assistgas Assistência e Comércio em Equipamentos a Gás LTDA</t>
  </si>
  <si>
    <t>Karina</t>
  </si>
  <si>
    <t>Anilson</t>
  </si>
  <si>
    <t>003512801</t>
  </si>
  <si>
    <t>Lais</t>
  </si>
  <si>
    <t>Camila Bueno Barbosa</t>
  </si>
  <si>
    <t>001583205</t>
  </si>
  <si>
    <t>Carolina</t>
  </si>
  <si>
    <t>023688500</t>
  </si>
  <si>
    <t>008402868</t>
  </si>
  <si>
    <t>40K D+0 (19/11/2024)</t>
  </si>
  <si>
    <t>005079458</t>
  </si>
  <si>
    <t>003.071.121-52</t>
  </si>
  <si>
    <t>Jonas</t>
  </si>
  <si>
    <t>camilabuenobarbosa@gmail.com</t>
  </si>
  <si>
    <t>004460707</t>
  </si>
  <si>
    <t>018770297</t>
  </si>
  <si>
    <t>004563252</t>
  </si>
  <si>
    <t>008123677</t>
  </si>
  <si>
    <t>005996374</t>
  </si>
  <si>
    <t>Antonio Carlos Petrus</t>
  </si>
  <si>
    <t>011660107</t>
  </si>
  <si>
    <t>075.824.508-41</t>
  </si>
  <si>
    <t>Atilio Rulli</t>
  </si>
  <si>
    <t>000806386</t>
  </si>
  <si>
    <t>Lorenzo Rulli</t>
  </si>
  <si>
    <t>005616259</t>
  </si>
  <si>
    <t>005543305</t>
  </si>
  <si>
    <t>004994004</t>
  </si>
  <si>
    <t>323.355.049-91</t>
  </si>
  <si>
    <t>032310617</t>
  </si>
  <si>
    <t>Joana</t>
  </si>
  <si>
    <t>005332720</t>
  </si>
  <si>
    <t>005685353</t>
  </si>
  <si>
    <t>R$ 147.663,34</t>
  </si>
  <si>
    <t>R$ 144.213,99</t>
  </si>
  <si>
    <t>004335251</t>
  </si>
  <si>
    <t>R$ 243.076,25</t>
  </si>
  <si>
    <t>R$ 255.292,90</t>
  </si>
  <si>
    <t xml:space="preserve">Camilla Pedrosa Vieira Lima	</t>
  </si>
  <si>
    <t>004388490</t>
  </si>
  <si>
    <t>004588677</t>
  </si>
  <si>
    <t>013737887</t>
  </si>
  <si>
    <t>004718691</t>
  </si>
  <si>
    <t>004475136</t>
  </si>
  <si>
    <t>Matheo</t>
  </si>
  <si>
    <t>004474935</t>
  </si>
  <si>
    <t>002.880.001-02</t>
  </si>
  <si>
    <t>camilla.vieiralima@hotmail.com</t>
  </si>
  <si>
    <t>008622778</t>
  </si>
  <si>
    <t>008351535</t>
  </si>
  <si>
    <t>702.259.826-68</t>
  </si>
  <si>
    <t>023382773</t>
  </si>
  <si>
    <t xml:space="preserve">Augusto Sette Camara Valente </t>
  </si>
  <si>
    <t>008839082</t>
  </si>
  <si>
    <t>Jakeline</t>
  </si>
  <si>
    <t>008455488</t>
  </si>
  <si>
    <t>Bernardo</t>
  </si>
  <si>
    <t>008013889</t>
  </si>
  <si>
    <t>004877741</t>
  </si>
  <si>
    <t>Arthur</t>
  </si>
  <si>
    <t>004477785</t>
  </si>
  <si>
    <t>Niete</t>
  </si>
  <si>
    <t>004536602</t>
  </si>
  <si>
    <t>Tatiany</t>
  </si>
  <si>
    <t>004796246</t>
  </si>
  <si>
    <t>019381490</t>
  </si>
  <si>
    <t>018221127</t>
  </si>
  <si>
    <t>Karla</t>
  </si>
  <si>
    <t>005270025</t>
  </si>
  <si>
    <t>Denize</t>
  </si>
  <si>
    <t>030.540.221-88</t>
  </si>
  <si>
    <t>Barbara Alves Marquez de Morais</t>
  </si>
  <si>
    <t>Roberto</t>
  </si>
  <si>
    <t>Natal</t>
  </si>
  <si>
    <t xml:space="preserve">Carla Ameloti Galvão </t>
  </si>
  <si>
    <t>004643153</t>
  </si>
  <si>
    <t>Nayara</t>
  </si>
  <si>
    <t>Isabella</t>
  </si>
  <si>
    <t>R$ 189.655,70</t>
  </si>
  <si>
    <t>R$ 188.532,59</t>
  </si>
  <si>
    <t>R$ 212.581,12</t>
  </si>
  <si>
    <t>Flavio</t>
  </si>
  <si>
    <t>128.539.628-65</t>
  </si>
  <si>
    <t>Casmarinho</t>
  </si>
  <si>
    <t>985.458.681-20</t>
  </si>
  <si>
    <t xml:space="preserve">Barbara Mitchele Martins Leão </t>
  </si>
  <si>
    <t>Jalison</t>
  </si>
  <si>
    <t>Rejane</t>
  </si>
  <si>
    <t>Antonio de Queiroz Noleto</t>
  </si>
  <si>
    <t>Solicitou distrato 29/12/2021</t>
  </si>
  <si>
    <t>Goiânia</t>
  </si>
  <si>
    <t>Wagner</t>
  </si>
  <si>
    <t>Distrato solicitado 28/04/2021</t>
  </si>
  <si>
    <t>Franklin</t>
  </si>
  <si>
    <t>266.361.231-68</t>
  </si>
  <si>
    <t>Norman</t>
  </si>
  <si>
    <t>Carla de Barros e Azevedo Chastinet</t>
  </si>
  <si>
    <t>004806244</t>
  </si>
  <si>
    <t>Clovis</t>
  </si>
  <si>
    <t>013.068.496-16</t>
  </si>
  <si>
    <t>Bernardo Maciel Vilela</t>
  </si>
  <si>
    <t>Simone</t>
  </si>
  <si>
    <t>356.850.775-72</t>
  </si>
  <si>
    <t>Solicitou distrato 19/05/2022</t>
  </si>
  <si>
    <t>Julian</t>
  </si>
  <si>
    <t>Vr</t>
  </si>
  <si>
    <t>Antonio Marcos da Silva</t>
  </si>
  <si>
    <t>157.582.575-91</t>
  </si>
  <si>
    <t>Bertha Lins Pellegrino</t>
  </si>
  <si>
    <t>Daniel Cambraia</t>
  </si>
  <si>
    <t>Silvania</t>
  </si>
  <si>
    <t>Carla Emrich Oliveira</t>
  </si>
  <si>
    <t>005547467</t>
  </si>
  <si>
    <t>Wellenjane</t>
  </si>
  <si>
    <t>Rejane Machado Souza</t>
  </si>
  <si>
    <t>Solicitou distrato 05/08/2021</t>
  </si>
  <si>
    <t>713.882.309-68</t>
  </si>
  <si>
    <t>468.908.826-87</t>
  </si>
  <si>
    <t>Percio</t>
  </si>
  <si>
    <t>R$ 190.373,20</t>
  </si>
  <si>
    <t>R$ 199.454,03</t>
  </si>
  <si>
    <t>Lago</t>
  </si>
  <si>
    <t>Fabiana</t>
  </si>
  <si>
    <t>F</t>
  </si>
  <si>
    <t xml:space="preserve">10.251.198/0001-30 </t>
  </si>
  <si>
    <t>Rosana</t>
  </si>
  <si>
    <t>Norton</t>
  </si>
  <si>
    <t>Elena</t>
  </si>
  <si>
    <t xml:space="preserve">Carlos Alberto de Carvalho     </t>
  </si>
  <si>
    <t>004211922</t>
  </si>
  <si>
    <t>Hebert</t>
  </si>
  <si>
    <t>Alinne</t>
  </si>
  <si>
    <t>Base</t>
  </si>
  <si>
    <t>Alaercio</t>
  </si>
  <si>
    <t>478.990.931-04</t>
  </si>
  <si>
    <t>carcamano6@hotmail.com</t>
  </si>
  <si>
    <t>Angelica</t>
  </si>
  <si>
    <t>Clarissa</t>
  </si>
  <si>
    <t>Charles</t>
  </si>
  <si>
    <t>Unnidos</t>
  </si>
  <si>
    <t>Helber</t>
  </si>
  <si>
    <t>Arrojada 80</t>
  </si>
  <si>
    <t>Dig</t>
  </si>
  <si>
    <t>E3</t>
  </si>
  <si>
    <t>Zona Industrial</t>
  </si>
  <si>
    <t>Erik</t>
  </si>
  <si>
    <t>Elizabeth</t>
  </si>
  <si>
    <t>Carlos Alexandre Da Costa De Gouveia Teixeira e/ou Shirlei Cassiano Da Silva Teixeira</t>
  </si>
  <si>
    <t>R$ 851.508,33</t>
  </si>
  <si>
    <t>Arlete Ferreira Farias</t>
  </si>
  <si>
    <t>R$ 1.933.082,12</t>
  </si>
  <si>
    <t>Tayson</t>
  </si>
  <si>
    <t>Moderada p/ conservadora 08/03/22 / Conservadora p/ income em 15/08/22 / Solicitou distrato 08/09/2022</t>
  </si>
  <si>
    <t>786.528.719-49</t>
  </si>
  <si>
    <t>Yeshua</t>
  </si>
  <si>
    <t>334.957.408-48</t>
  </si>
  <si>
    <t>carlosalexandregt@hotmail.com</t>
  </si>
  <si>
    <t xml:space="preserve">Bruna Thome Rassi </t>
  </si>
  <si>
    <t xml:space="preserve">Pedro Paulo Alves  </t>
  </si>
  <si>
    <t>Ir reduzindo RV, falar com Renan</t>
  </si>
  <si>
    <t>143.436.816-53</t>
  </si>
  <si>
    <t>Bruno Albanese Cezarini Tavares</t>
  </si>
  <si>
    <t>Solicitou distrato 06/04/2022</t>
  </si>
  <si>
    <t>Carlos Andre de Barros e Azevedo Chastinet</t>
  </si>
  <si>
    <t>004752534</t>
  </si>
  <si>
    <t>Auto Posto Vale do Reno LTDA</t>
  </si>
  <si>
    <t>292.097.575-72</t>
  </si>
  <si>
    <t>11.909.849/0001-07</t>
  </si>
  <si>
    <t>Carlos Andre De Barros E Azevedo Chastinet</t>
  </si>
  <si>
    <t>005685291</t>
  </si>
  <si>
    <t>812.197.501-82</t>
  </si>
  <si>
    <t>Bruno Reis Rosa</t>
  </si>
  <si>
    <t>MONT/ COADM</t>
  </si>
  <si>
    <t>717.902.251-91</t>
  </si>
  <si>
    <t>Bruno Sartório Silva</t>
  </si>
  <si>
    <t>Octogonal</t>
  </si>
  <si>
    <t>R$ 98.524,63</t>
  </si>
  <si>
    <t>R$ 96.544,09</t>
  </si>
  <si>
    <t>Carlos Augusto de Bastos Rios</t>
  </si>
  <si>
    <t>R$ 88.476,05</t>
  </si>
  <si>
    <t>R$ 89.572,07</t>
  </si>
  <si>
    <t>R$ 90.324,19</t>
  </si>
  <si>
    <t>R$ 92.113,66</t>
  </si>
  <si>
    <t>R$ 94.350,47</t>
  </si>
  <si>
    <t>R$ 92.195,88</t>
  </si>
  <si>
    <t>R$ 90.021,14</t>
  </si>
  <si>
    <t>R$ 89.883,02</t>
  </si>
  <si>
    <t>R$ 95.847,36</t>
  </si>
  <si>
    <t>213.658.491-04</t>
  </si>
  <si>
    <t>drcarlosrios1@gmail.com</t>
  </si>
  <si>
    <t>Ayrton de Souza Ferreira Júnior</t>
  </si>
  <si>
    <t>701.257.401-15</t>
  </si>
  <si>
    <t>Bruno Silva de Medeiros</t>
  </si>
  <si>
    <t>046.704.096-24</t>
  </si>
  <si>
    <t>Solicitou distrato 24/11/2021</t>
  </si>
  <si>
    <t>Fortaleza</t>
  </si>
  <si>
    <t>CE</t>
  </si>
  <si>
    <t>Carlos Augusto Rodrigues de Oliveira</t>
  </si>
  <si>
    <t>469.876.651-68</t>
  </si>
  <si>
    <t>carlosaugustogyn@uol.com.br</t>
  </si>
  <si>
    <t>Barbara Oliveira Souza</t>
  </si>
  <si>
    <t>070.785.796-15</t>
  </si>
  <si>
    <t>Caio Cesar Boschi</t>
  </si>
  <si>
    <t>726.665.521-87</t>
  </si>
  <si>
    <t>Arrojada 70</t>
  </si>
  <si>
    <t>Carlos Augusto Simonian Dos Santos</t>
  </si>
  <si>
    <t>004587511</t>
  </si>
  <si>
    <t>783.182.038-87</t>
  </si>
  <si>
    <t>casimoniansantos@gmail.com</t>
  </si>
  <si>
    <t>Prev. Moderada</t>
  </si>
  <si>
    <t xml:space="preserve">Carlos Edebrando Martini    </t>
  </si>
  <si>
    <t>35K Fundo RF Ativo (21/05/2024)</t>
  </si>
  <si>
    <t>026.304.569-27</t>
  </si>
  <si>
    <t>martiniprojetos@yahoo.com.br</t>
  </si>
  <si>
    <t>Troca de perfil de Moderada para Income em 03/01/2023 - Solicitou STVM para BTG 12/05</t>
  </si>
  <si>
    <t>Londrina</t>
  </si>
  <si>
    <t>379.243.538-10</t>
  </si>
  <si>
    <t>Caio Chaves Morau</t>
  </si>
  <si>
    <t>Carlos Henrique Vieira</t>
  </si>
  <si>
    <t>Conservadora/FIIs</t>
  </si>
  <si>
    <t>706.649.356-72</t>
  </si>
  <si>
    <t>caiquevieira2004@hotmail.com</t>
  </si>
  <si>
    <t>074.952.038-89</t>
  </si>
  <si>
    <t>Caioco Sakuragui</t>
  </si>
  <si>
    <t>Small Caps</t>
  </si>
  <si>
    <t>São José dos Campos</t>
  </si>
  <si>
    <t>Carlos Humberto Fauaze Filho</t>
  </si>
  <si>
    <t>004386464</t>
  </si>
  <si>
    <t>Pediu pra vender toda RV</t>
  </si>
  <si>
    <t>STVM de saída para BTG finalizada (29/02/2024) /Troca de assessor 01/12/2023  Rafael (Conquest) para Luca Bueno</t>
  </si>
  <si>
    <t>896.626.285-68</t>
  </si>
  <si>
    <t>014.648.101-17</t>
  </si>
  <si>
    <t>Camila Veloso Araujo Frelat</t>
  </si>
  <si>
    <t>Solicitou distrato 10/08/2021</t>
  </si>
  <si>
    <t>Carlos Humberto Miguel</t>
  </si>
  <si>
    <t>538.553.378-53</t>
  </si>
  <si>
    <t>chmiguel@uol.com.br</t>
  </si>
  <si>
    <t>032.745.761-90</t>
  </si>
  <si>
    <t>Camilla Ernesto Pereira</t>
  </si>
  <si>
    <t>Bruna Rosolen de Faria</t>
  </si>
  <si>
    <t>Solicitou resgate total e distrato 17/03/2022</t>
  </si>
  <si>
    <t>111.220.757-07</t>
  </si>
  <si>
    <t>Carlos José Sabino Costa e/ou Cynthia Gatto Sabino</t>
  </si>
  <si>
    <t>50K D+0 (06/06/2024)</t>
  </si>
  <si>
    <t>059.869.824-87</t>
  </si>
  <si>
    <t>csabinocosta@gmail.com</t>
  </si>
  <si>
    <t>Brunno Gomes Rocha</t>
  </si>
  <si>
    <t>Carneiro Silva e Oliveira LTDA</t>
  </si>
  <si>
    <t>100% D+0 (05/03/2026)</t>
  </si>
  <si>
    <t>05.278.592/0001-21</t>
  </si>
  <si>
    <t>darlan.marcia.carneiro@gmail.com</t>
  </si>
  <si>
    <t>001.913.753-22</t>
  </si>
  <si>
    <t>CAMILLA PEDROSA VIEIRA LIMA</t>
  </si>
  <si>
    <t>Moderada 1% a.a s/ performance, conta herdada, falar com Canabrava na hora de operar | Troca de assessor de Thiago Canabrava para Luca Bueno em 11/01/2023</t>
  </si>
  <si>
    <t>Carolina Camargos De Toledo Faleiro</t>
  </si>
  <si>
    <t>005660155</t>
  </si>
  <si>
    <t>029.046.316-58</t>
  </si>
  <si>
    <t>Carla Ameloti Galvão</t>
  </si>
  <si>
    <t>Carolina Caribé Negócios Digitais LTDA</t>
  </si>
  <si>
    <t>004215217</t>
  </si>
  <si>
    <t>39.676.212/0001-29</t>
  </si>
  <si>
    <t>carolinacaribe.arquitetura@gmail.com</t>
  </si>
  <si>
    <t>STVM para XP 19/04/2021</t>
  </si>
  <si>
    <t>266.471.728-66</t>
  </si>
  <si>
    <t>Carla Cristinne Inoue Skalinski</t>
  </si>
  <si>
    <t>Carolina Goulart Modesto Guimaraes</t>
  </si>
  <si>
    <t>038.645.426-42</t>
  </si>
  <si>
    <t>carolina@castellarguimaraes.com</t>
  </si>
  <si>
    <t>R$ 113.047,29</t>
  </si>
  <si>
    <t>Carolina Junqueira</t>
  </si>
  <si>
    <t>100K D+0 (18/06/2026)</t>
  </si>
  <si>
    <t>017.638.641-62</t>
  </si>
  <si>
    <t>67 99284-8434</t>
  </si>
  <si>
    <t>caroljunq_16@hotmail.com</t>
  </si>
  <si>
    <t>001.751.961-68</t>
  </si>
  <si>
    <t>Carlos Alberto Cardozo</t>
  </si>
  <si>
    <t>TOTAL</t>
  </si>
  <si>
    <t>STVM para XP</t>
  </si>
  <si>
    <t>Carolina Petroni Rhinow</t>
  </si>
  <si>
    <t>005530256</t>
  </si>
  <si>
    <t>423.390.968-47</t>
  </si>
  <si>
    <t>carolprhinow@gmail.com</t>
  </si>
  <si>
    <t>Carlos Alberto de Carvalho</t>
  </si>
  <si>
    <t xml:space="preserve">Caroline Bastos de Souza </t>
  </si>
  <si>
    <t>004221638</t>
  </si>
  <si>
    <t>STVM para BTG  15/06/23</t>
  </si>
  <si>
    <t>523.435.291-91</t>
  </si>
  <si>
    <t>Carlos Alberto Ferreira Rodriguez</t>
  </si>
  <si>
    <t>50% D+0 (23/07/2025)</t>
  </si>
  <si>
    <t>702.269.201-78</t>
  </si>
  <si>
    <t>carolinebastos92@gmail.com</t>
  </si>
  <si>
    <t>Carollina Pedrosa Vieira Lima</t>
  </si>
  <si>
    <t>548.849.505-34</t>
  </si>
  <si>
    <t>Carlos Everton Santos Santana</t>
  </si>
  <si>
    <t>Troca de Assessoria de Thiago Canabrava para Matheus Vilar</t>
  </si>
  <si>
    <t>002.844.951-74</t>
  </si>
  <si>
    <t>carollinapedrosa@hotmail.com</t>
  </si>
  <si>
    <t>Bruno Machado Teles Walter</t>
  </si>
  <si>
    <t>Solicitou distrato 04/08/2021</t>
  </si>
  <si>
    <t>Salvador</t>
  </si>
  <si>
    <t>R$ 253.884,75</t>
  </si>
  <si>
    <t>371.537.301-68</t>
  </si>
  <si>
    <t>Casmarinho Med LTDA</t>
  </si>
  <si>
    <t>008239123</t>
  </si>
  <si>
    <t>46.758.463/0001-18</t>
  </si>
  <si>
    <t>drapatriciamarinho@gmail.com</t>
  </si>
  <si>
    <t>075.422.006-07</t>
  </si>
  <si>
    <t xml:space="preserve">Carlos Henrique de Souza </t>
  </si>
  <si>
    <t>Cassio Kaminagakura</t>
  </si>
  <si>
    <t>STVM de entrada da Guide finalizada (02/10/2023) / Alteração de carteira finalizada (15/09/2023)</t>
  </si>
  <si>
    <t>029.284.649-56</t>
  </si>
  <si>
    <t>cassiokaminagakura@hotmail.com</t>
  </si>
  <si>
    <t>642.724.008-00</t>
  </si>
  <si>
    <t>Carlos Roberto Cestari</t>
  </si>
  <si>
    <t>Catarine Tempest Calijuri</t>
  </si>
  <si>
    <t>Solicitou distrato 09/04/2021</t>
  </si>
  <si>
    <t xml:space="preserve">70K D+0 (12/01/2026) </t>
  </si>
  <si>
    <t>344.289.428-00</t>
  </si>
  <si>
    <t>cat.arq@gmail.com</t>
  </si>
  <si>
    <t>R$ 300.000,00</t>
  </si>
  <si>
    <t>004751154</t>
  </si>
  <si>
    <t>098.707.611-60</t>
  </si>
  <si>
    <t>Carolina Isabel Cruz Errazuriz</t>
  </si>
  <si>
    <t>Rio de Janeiro</t>
  </si>
  <si>
    <t>Cecilia Jose Bittencourt De Andrade</t>
  </si>
  <si>
    <t>003.562.639-91</t>
  </si>
  <si>
    <t>72K D+0 (18/08/2025)</t>
  </si>
  <si>
    <t>pribandrade@yahoo.com.br</t>
  </si>
  <si>
    <t>Caroline Bastos de Souza</t>
  </si>
  <si>
    <t>Apenas 50k em liquidez (LFT). O resto pode alocar em títulos de maior rentabilidade.</t>
  </si>
  <si>
    <t>Cecília Tocchio Aleixo</t>
  </si>
  <si>
    <t>005140580</t>
  </si>
  <si>
    <t>093.529.171-70</t>
  </si>
  <si>
    <t>STVM para a BTG (004515341) 19/05/2023</t>
  </si>
  <si>
    <t>Célia Maria Marinho Martins Amaral de Souza</t>
  </si>
  <si>
    <t>004974089</t>
  </si>
  <si>
    <t>685.648.806-87</t>
  </si>
  <si>
    <t>celia3mas@gmail.com</t>
  </si>
  <si>
    <t>645.486.511-87</t>
  </si>
  <si>
    <t xml:space="preserve">Célia Rios Guercio    </t>
  </si>
  <si>
    <t xml:space="preserve">Célia Rios Guercio   </t>
  </si>
  <si>
    <t>grgbsb@gmail.com</t>
  </si>
  <si>
    <t>070.874.466-49</t>
  </si>
  <si>
    <t>Celso Eduardo Lopes de Oliveira</t>
  </si>
  <si>
    <t>Solicitou distrato 07/04/2022</t>
  </si>
  <si>
    <t>Célio de Sousa Ramos Júnior</t>
  </si>
  <si>
    <t>GG participações</t>
  </si>
  <si>
    <t>Gustavo Costa</t>
  </si>
  <si>
    <t>841.918.801-87</t>
  </si>
  <si>
    <t>62 98117-0514</t>
  </si>
  <si>
    <t>cjrsousa@hotmail.com</t>
  </si>
  <si>
    <t>Celso Sebastião Garboza</t>
  </si>
  <si>
    <t>730.840.939-20</t>
  </si>
  <si>
    <t>43 98435-1059</t>
  </si>
  <si>
    <t>csgarboza@yahoo.com.br</t>
  </si>
  <si>
    <t>Caio Hannuch Nascif</t>
  </si>
  <si>
    <t>001.830.561-08</t>
  </si>
  <si>
    <t>Celso Flavio Baldotto Covre</t>
  </si>
  <si>
    <t>Neyla Abrantes</t>
  </si>
  <si>
    <t>044.027.509-11</t>
  </si>
  <si>
    <t>Cesar Augusto Gastaldon Rios</t>
  </si>
  <si>
    <t>7K D+0 (28/08/2024)</t>
  </si>
  <si>
    <t>017.317.531-79</t>
  </si>
  <si>
    <t>cesargastaldon@gmail.com</t>
  </si>
  <si>
    <t>R$ 950.876,64</t>
  </si>
  <si>
    <t>R$ 1.263.657,13</t>
  </si>
  <si>
    <t>R$ 1.298.355,70</t>
  </si>
  <si>
    <t>641.199.476-53</t>
  </si>
  <si>
    <t>Celso Jose Cardoso Dilascio</t>
  </si>
  <si>
    <t>Cesar Eduardo Castro Ferreira Martins</t>
  </si>
  <si>
    <t>004570869</t>
  </si>
  <si>
    <t>Camilla El Haje Lobo Borges</t>
  </si>
  <si>
    <t>Solicitou distrato 28/06/2022</t>
  </si>
  <si>
    <t>279.502.268-03</t>
  </si>
  <si>
    <t>Solicitou resgate total (sem deságio) 18/11/2021</t>
  </si>
  <si>
    <t>000.035.461-95</t>
  </si>
  <si>
    <t>Cesar Eduardo Castro Ferreira Martins e/ou Leticia Navarro Gordan Ferreira Martins</t>
  </si>
  <si>
    <t>352.299.426-49</t>
  </si>
  <si>
    <t>004862746</t>
  </si>
  <si>
    <t>Celso Marcus Alvarenga de Castro</t>
  </si>
  <si>
    <t>Rogério Magalhães</t>
  </si>
  <si>
    <t>STVM de entrada da Guide finalizada (10/09/2023)</t>
  </si>
  <si>
    <t>drcesarmartins@hotmail.com</t>
  </si>
  <si>
    <t>Camilo Molino Guidoni</t>
  </si>
  <si>
    <t>095.974.007-40</t>
  </si>
  <si>
    <t>Cezar Falavigna Silva</t>
  </si>
  <si>
    <t>72.585.805/0001-55</t>
  </si>
  <si>
    <t>Centro Olimpico de Ensino LTDA</t>
  </si>
  <si>
    <t>João Victor Beze</t>
  </si>
  <si>
    <t>067.511.249-45</t>
  </si>
  <si>
    <t>cezfalasilva@gmail.com</t>
  </si>
  <si>
    <t>Solicitou distrato 03/03/2023</t>
  </si>
  <si>
    <t>Planaltina</t>
  </si>
  <si>
    <t>R$ 292.086,35</t>
  </si>
  <si>
    <t>R$ 307.436,62</t>
  </si>
  <si>
    <t>Cezar Falavigna Silva e/ou Ana Maria Falavigna Silva</t>
  </si>
  <si>
    <t>004479395</t>
  </si>
  <si>
    <t>186.049.378-54</t>
  </si>
  <si>
    <t>César Augusto da Silva</t>
  </si>
  <si>
    <t>Troca de assessor de Valdesson para Rafael Vilela em 01/12/2022</t>
  </si>
  <si>
    <t>Assessor divergente</t>
  </si>
  <si>
    <t>Anápolis</t>
  </si>
  <si>
    <t>Charles Douglas Silva Araujo</t>
  </si>
  <si>
    <t>009262271</t>
  </si>
  <si>
    <t>50k D+0 (27/08/2025)</t>
  </si>
  <si>
    <t>658.542.251-15</t>
  </si>
  <si>
    <t>61 99632-7832</t>
  </si>
  <si>
    <t>charles.araujoadvocacia@gmail.com</t>
  </si>
  <si>
    <t>079.589.851-34</t>
  </si>
  <si>
    <t xml:space="preserve">Christian Kleber Rosa Lisboa    </t>
  </si>
  <si>
    <t>004420763</t>
  </si>
  <si>
    <t>80% RF E 20% RV | Data limite das aplicações 31/12/2024</t>
  </si>
  <si>
    <t>Alteração de carteira finalizada (05/03/2024)</t>
  </si>
  <si>
    <t>779.589.851-34</t>
  </si>
  <si>
    <t>christian@gap.edu.br</t>
  </si>
  <si>
    <t>Carlos Edebrando Martini</t>
  </si>
  <si>
    <t>906.171.261-00</t>
  </si>
  <si>
    <t xml:space="preserve">Cinthya Ribeiro Biagini de Sousa </t>
  </si>
  <si>
    <t>Cinco Dois Apoio Administrativo</t>
  </si>
  <si>
    <t>004581652</t>
  </si>
  <si>
    <t>STVM para BTG 10/04/23</t>
  </si>
  <si>
    <t>263.045.692-70</t>
  </si>
  <si>
    <t>Solicitou distrato 11/06/2022</t>
  </si>
  <si>
    <t>40.057.293/0001-68</t>
  </si>
  <si>
    <t>004862804</t>
  </si>
  <si>
    <t>Carlos Eduardo Pelarim e/ou Carvalho Grade e/ou Lilian Suzana Ko</t>
  </si>
  <si>
    <t>710.627.341-49</t>
  </si>
  <si>
    <t>Cintia Uchida Rodrigues</t>
  </si>
  <si>
    <t>E-mail assessora em 17/01/23 - Não operar a conta</t>
  </si>
  <si>
    <t>Taxa autorizada pelo Renan (Resgate Total dia 07/07/2022)</t>
  </si>
  <si>
    <t>954.437.389-68</t>
  </si>
  <si>
    <t>Cintia Prado Vargas Denser</t>
  </si>
  <si>
    <t>303.803.278-64</t>
  </si>
  <si>
    <t>971 50 236 3307</t>
  </si>
  <si>
    <t>pradovargas@gmail.com</t>
  </si>
  <si>
    <t>UAE</t>
  </si>
  <si>
    <t>013.661.026-90</t>
  </si>
  <si>
    <t>Ciria Coelho Ribeiro</t>
  </si>
  <si>
    <t>Vender menos de 20k por mês para cliente não pagar IR</t>
  </si>
  <si>
    <t>Cintia Resende</t>
  </si>
  <si>
    <t>031.697.386-66</t>
  </si>
  <si>
    <t>cintiaresende25@gmail.com</t>
  </si>
  <si>
    <t>Carlos Fernando Matias Morris</t>
  </si>
  <si>
    <t>Cintia Taís Polizer Zanin</t>
  </si>
  <si>
    <t>004927044</t>
  </si>
  <si>
    <t>012.411.341-97</t>
  </si>
  <si>
    <t>052.308.156-12</t>
  </si>
  <si>
    <t>Clarissa Araujo Silva</t>
  </si>
  <si>
    <t>STVM de entrada da Guide finalizada (13/09/2023) / Alteração de carteira finalizada (22/12/2023)</t>
  </si>
  <si>
    <t>008328987</t>
  </si>
  <si>
    <t>719.020.821-68</t>
  </si>
  <si>
    <t>Clarissa Costa de Barros</t>
  </si>
  <si>
    <t>Moderado para Ações Plus</t>
  </si>
  <si>
    <t xml:space="preserve">Cintia Uchida Rodrigues     </t>
  </si>
  <si>
    <t>004336585</t>
  </si>
  <si>
    <t>469.561.906-72</t>
  </si>
  <si>
    <t>Claudia Naves Inneco</t>
  </si>
  <si>
    <t>Solicitou distrato 30/03/2022</t>
  </si>
  <si>
    <t>Nova Lima</t>
  </si>
  <si>
    <t>004482163</t>
  </si>
  <si>
    <t>978.580.806-87</t>
  </si>
  <si>
    <t>Cláudia Velloso Portella Teles</t>
  </si>
  <si>
    <t>Victor Caldeira/Eduardo Leopoldino</t>
  </si>
  <si>
    <t>Carlos Wellington Cesar de Oliveira</t>
  </si>
  <si>
    <t>Resgate Total | Solicitou distrato 08/08/2022</t>
  </si>
  <si>
    <t>Clara Lunardelli Canavezi</t>
  </si>
  <si>
    <t>129.916.689-03</t>
  </si>
  <si>
    <t>034.375.441-01</t>
  </si>
  <si>
    <t>507.020.681-87</t>
  </si>
  <si>
    <t>Clarice de Meneses Costa Moura Lagares</t>
  </si>
  <si>
    <t>Claudio Marcos de Oliveira</t>
  </si>
  <si>
    <t>004589311</t>
  </si>
  <si>
    <t>Cliente saiu da base</t>
  </si>
  <si>
    <t>834.137.313-00</t>
  </si>
  <si>
    <t>Conservadora para Income (18/11/2021) | Troca de assessor de Thiago Brum para Gustavo Amorim em 12/12/2022</t>
  </si>
  <si>
    <t>Alocar tudo em liquidez</t>
  </si>
  <si>
    <t>Claudia de Barros e Azevedo Ramos</t>
  </si>
  <si>
    <t>004693697</t>
  </si>
  <si>
    <t>INC/ PREV MOD</t>
  </si>
  <si>
    <t>812.954.567-53</t>
  </si>
  <si>
    <t>334.074.011-91</t>
  </si>
  <si>
    <t>Cláudio Martinelli Franca</t>
  </si>
  <si>
    <t>Rejane Machado</t>
  </si>
  <si>
    <t xml:space="preserve">10% em liquidez </t>
  </si>
  <si>
    <t>Clarice de Oliveira Pinheiro</t>
  </si>
  <si>
    <t>R$ 250.292,44</t>
  </si>
  <si>
    <t>R$ 316.658,81</t>
  </si>
  <si>
    <t>520.122.981-68</t>
  </si>
  <si>
    <t>luizcarlospinheirofiorano@gmail.com</t>
  </si>
  <si>
    <t>Clarissa Franco Coelho LTDA</t>
  </si>
  <si>
    <t>008960460</t>
  </si>
  <si>
    <t>49.599.746/0001-52</t>
  </si>
  <si>
    <t>financeiro@castormad.com.br</t>
  </si>
  <si>
    <t>PL BLuemetrix 2025 - Brasil</t>
  </si>
  <si>
    <t>Não operar, o cliente realizou portabilidade para Genial</t>
  </si>
  <si>
    <t>Janeiro</t>
  </si>
  <si>
    <t>Fevereiro</t>
  </si>
  <si>
    <t>R$ 321.448,13</t>
  </si>
  <si>
    <t>Março</t>
  </si>
  <si>
    <t>R$ 318.990,96</t>
  </si>
  <si>
    <t>R$ 326.255,67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</si>
  <si>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</si>
  <si>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</si>
  <si>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</si>
  <si>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</si>
  <si>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</si>
  <si>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</si>
  <si>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</si>
  <si>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</si>
  <si>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</si>
  <si>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599.476.161-34</t>
  </si>
  <si>
    <t>Clenio Eduardo Souza</t>
  </si>
  <si>
    <t>Foi acordado com o cliente e a assessora do cliente que devíamos liquidar toda a posição dele (exceto os COEs) e enviar o saldo para a nova conta - Taxa autorizada pelo Guilherme | Solicitou distrato em 23/08/2022</t>
  </si>
  <si>
    <t xml:space="preserve">Claudia Dias Prado	</t>
  </si>
  <si>
    <t xml:space="preserve">50K D+0 (30/05/2025) </t>
  </si>
  <si>
    <t xml:space="preserve">Claudia Marques de Barros Rodrigues	</t>
  </si>
  <si>
    <t>004413537</t>
  </si>
  <si>
    <t>Alteração de carteira finalizada (02/04/2024)</t>
  </si>
  <si>
    <t>291.434.891-68</t>
  </si>
  <si>
    <t>Moderada sendo 20% EQTs. 10% Small e 10% BDRs | Solicitou distrato em 23/08/2022</t>
  </si>
  <si>
    <t>Cheila Rodrigues Wobido</t>
  </si>
  <si>
    <t>Claudia Regina Yamaguti Mashuda</t>
  </si>
  <si>
    <t>630.376.455-04</t>
  </si>
  <si>
    <t>512.267.237-72</t>
  </si>
  <si>
    <t>120.955.808-42</t>
  </si>
  <si>
    <t>Cleumy Braga da Gama</t>
  </si>
  <si>
    <t>gatlond47@hotmail.com</t>
  </si>
  <si>
    <t>Solicitou distrato 30/08/2022</t>
  </si>
  <si>
    <t>João Pessoa</t>
  </si>
  <si>
    <t>Claudio Humberto de Ameida Gomes</t>
  </si>
  <si>
    <t>004465263</t>
  </si>
  <si>
    <t>Rafael Pagnan</t>
  </si>
  <si>
    <t>435.600.401-91</t>
  </si>
  <si>
    <t>35.980.510/0001-57</t>
  </si>
  <si>
    <t>Clube de Investimento IVI Equities Quant</t>
  </si>
  <si>
    <t>CLUBE</t>
  </si>
  <si>
    <t>Não operar sem autorização do comitê do clube | Solicitou distrato 04/08/2022</t>
  </si>
  <si>
    <t>Clube De Investimentos</t>
  </si>
  <si>
    <t>R$ 2.493.281,21</t>
  </si>
  <si>
    <t>Claudio Humberto Nogueira Do Amaral</t>
  </si>
  <si>
    <t>008035153</t>
  </si>
  <si>
    <t>Carteira Monitoramento Especial para Fundos (SPMG II FII criado pelo cliente) (09/10/2024)</t>
  </si>
  <si>
    <t>R$ 4.362.813,71</t>
  </si>
  <si>
    <t>277.473.286-72</t>
  </si>
  <si>
    <t>claudiohnamaral@gmail.com</t>
  </si>
  <si>
    <t>009.578.420-90</t>
  </si>
  <si>
    <t>Conrado da Silveira Frezza</t>
  </si>
  <si>
    <t>Alexandre Fontenelle</t>
  </si>
  <si>
    <t>Claudio Joao Ziller e/ou Rossana Castro De Faria Ziller</t>
  </si>
  <si>
    <t>R$ 189.282,86</t>
  </si>
  <si>
    <t>R$ 187.515,88</t>
  </si>
  <si>
    <t>Cláudia Aparecida Carneiro</t>
  </si>
  <si>
    <t>R$ 212.089,36</t>
  </si>
  <si>
    <t>Vai passar para moderada. (17/07/2026)</t>
  </si>
  <si>
    <t>101.862.551-87</t>
  </si>
  <si>
    <t>claudiojziller@gmail.com</t>
  </si>
  <si>
    <t>591.692.656-15</t>
  </si>
  <si>
    <t>Total</t>
  </si>
  <si>
    <t>04.568.271/0001-07</t>
  </si>
  <si>
    <t>Contabilidade São José LTDA EPP</t>
  </si>
  <si>
    <t>Arthur Puccinelli</t>
  </si>
  <si>
    <t>Clayson Augusto Marques Fernandes</t>
  </si>
  <si>
    <t>014266845</t>
  </si>
  <si>
    <t>Dólar Price</t>
  </si>
  <si>
    <t>690.830.701-82</t>
  </si>
  <si>
    <t>61 98116-5110</t>
  </si>
  <si>
    <t>claysonaugusto@terra.com.br</t>
  </si>
  <si>
    <t>Mobiliária para Income 27/04/2022. Solicitou distrato 29/04/2022</t>
  </si>
  <si>
    <t>PL BLuemetrix 2025 - Internacional</t>
  </si>
  <si>
    <t>Taubaté</t>
  </si>
  <si>
    <t>Clayton de Souza Pontes</t>
  </si>
  <si>
    <t>308.111.711-91</t>
  </si>
  <si>
    <t>Cristiane Borja Rodrigues da Silva</t>
  </si>
  <si>
    <t>151.627.021-53</t>
  </si>
  <si>
    <t>claytonspontes@gmail.com</t>
  </si>
  <si>
    <t>Solicitou distrato 26/02/2021</t>
  </si>
  <si>
    <t>XP Internacional</t>
  </si>
  <si>
    <t>Cleber Rodrigo Chaves</t>
  </si>
  <si>
    <t>Cleber Carvalho Maciel</t>
  </si>
  <si>
    <t>772.483.411-34</t>
  </si>
  <si>
    <t>059.069.159-74</t>
  </si>
  <si>
    <t>65 99915-5584</t>
  </si>
  <si>
    <t>Cristina Vieira Araújo</t>
  </si>
  <si>
    <t>cleber.sstmt@gmail.com</t>
  </si>
  <si>
    <t>Gil/Gustavo Amorim</t>
  </si>
  <si>
    <t>913.816.301-20</t>
  </si>
  <si>
    <t>Conservadora para Income 05/10/2021 | Solicitou distrato 04/01/2023</t>
  </si>
  <si>
    <t>Total em R$</t>
  </si>
  <si>
    <t>R$ 153.056,05</t>
  </si>
  <si>
    <t>R$ 152.618,62</t>
  </si>
  <si>
    <t>R$ 155.318,86</t>
  </si>
  <si>
    <t>Cléria Lúcia Abreu de Siqueira</t>
  </si>
  <si>
    <t>PL BLuemetrix 2025 - CONSOLIDADO</t>
  </si>
  <si>
    <t>Troca de Assessoria de Thiago Canbrava para Guilherme dos Santos</t>
  </si>
  <si>
    <t>Cleyverton Garcia Lima</t>
  </si>
  <si>
    <t>021.580.967-05</t>
  </si>
  <si>
    <t>TODAS</t>
  </si>
  <si>
    <t>Cristina Vieira de Souza</t>
  </si>
  <si>
    <t>857.382.711-49</t>
  </si>
  <si>
    <t>Moderada para conservadora 04/03/2022</t>
  </si>
  <si>
    <t>PL BLuemetrix 2024 - Fundo (PL Incluso nas Carteiras Adm)</t>
  </si>
  <si>
    <t>Fundo</t>
  </si>
  <si>
    <t>Cleyton Cruz do Espirito Santo</t>
  </si>
  <si>
    <t>R$ 198.313,87</t>
  </si>
  <si>
    <t>R$ 208.271,75</t>
  </si>
  <si>
    <t>Novembro</t>
  </si>
  <si>
    <t>Dezembro</t>
  </si>
  <si>
    <t>Fundo RF Ativo</t>
  </si>
  <si>
    <t>008.101.143-13</t>
  </si>
  <si>
    <t>98 98327-2800</t>
  </si>
  <si>
    <t>cleyton04@hotmail.com</t>
  </si>
  <si>
    <t>R$ 21.304.632,94</t>
  </si>
  <si>
    <t>PL BLuemetrix 2025 - Fundo (PL Incluso nas Carteiras Adm)</t>
  </si>
  <si>
    <t>Clineo Monteiro Franca Bisneto</t>
  </si>
  <si>
    <t>Clisia Mara Carreira</t>
  </si>
  <si>
    <t>50% do valor líquido aplicar em ativos de no max 1 ano (06/06/2024)</t>
  </si>
  <si>
    <t>010.732.568-39</t>
  </si>
  <si>
    <t>clineo.franca@gmail.com</t>
  </si>
  <si>
    <t>244.000.492-80</t>
  </si>
  <si>
    <t>Multi Macro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</si>
  <si>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</si>
  <si>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</si>
  <si>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</si>
  <si>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</si>
  <si>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</si>
  <si>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</si>
  <si>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</si>
  <si>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</si>
  <si>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</si>
  <si>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</si>
  <si>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</si>
  <si>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Porcentagem</t>
  </si>
  <si>
    <t>PL por gênero</t>
  </si>
  <si>
    <t>STVM de entrada da Guide finalizada (04/09/2023)</t>
  </si>
  <si>
    <t>PL médio</t>
  </si>
  <si>
    <t>024.400.049-28</t>
  </si>
  <si>
    <t>AGNES LOUIZE MOURA DE SANTANA</t>
  </si>
  <si>
    <t>clisiamc@hotmail.com</t>
  </si>
  <si>
    <t>Administradora</t>
  </si>
  <si>
    <t>Masculino</t>
  </si>
  <si>
    <t>113.271.621-72</t>
  </si>
  <si>
    <t xml:space="preserve">Daisy Eni Morais dos Santos       </t>
  </si>
  <si>
    <t>Cecilia Arcoverde</t>
  </si>
  <si>
    <t>AGOSTINHO NUNES DO COUTO NETO</t>
  </si>
  <si>
    <t>004805269</t>
  </si>
  <si>
    <t>Clovis Tadeu Rodrigues</t>
  </si>
  <si>
    <t>Dentista</t>
  </si>
  <si>
    <t>Feminino</t>
  </si>
  <si>
    <t>A carteira dele tem FIIs, não vender; Não aplicar 10k</t>
  </si>
  <si>
    <t>STVM de entrada da Guide finalizada (13/09/2023) / Alteração de carteira finalizada (01/03/2024)</t>
  </si>
  <si>
    <t>760.634.108-72</t>
  </si>
  <si>
    <t>ALBERTO RODRIGUES DE SOUSA JUNIOR</t>
  </si>
  <si>
    <t>364.862.721-04</t>
  </si>
  <si>
    <t>Dalmo Dias Ribeiro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</si>
  <si>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</si>
  <si>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</si>
  <si>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</si>
  <si>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</si>
  <si>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</si>
  <si>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</si>
  <si>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</si>
  <si>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</si>
  <si>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</si>
  <si>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</si>
  <si>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Clube de Investimentos Métrica</t>
  </si>
  <si>
    <t>004486097</t>
  </si>
  <si>
    <t>ANDRÉA SATYRO SÁ RIBEIRO FRITZSCHE</t>
  </si>
  <si>
    <t>30.035.431/0001-54</t>
  </si>
  <si>
    <t>Arquiteta</t>
  </si>
  <si>
    <t>40-50</t>
  </si>
  <si>
    <t>ANDREIA DE ANDRADE TABORDA</t>
  </si>
  <si>
    <t>Funcionária Pública</t>
  </si>
  <si>
    <t>50-60</t>
  </si>
  <si>
    <t>Conceicao Jesus de Almeida Barrozo</t>
  </si>
  <si>
    <t>004486000</t>
  </si>
  <si>
    <t>365.591.809-72</t>
  </si>
  <si>
    <t>ANNE LOBO FILHO</t>
  </si>
  <si>
    <t>787.439.073-34</t>
  </si>
  <si>
    <t>Daniel Barros Bastos</t>
  </si>
  <si>
    <t>Engenheira</t>
  </si>
  <si>
    <t>BeCapital Life</t>
  </si>
  <si>
    <t>60-70</t>
  </si>
  <si>
    <t>Calebe</t>
  </si>
  <si>
    <t>ANSELMO DE SÁ RIBEIRO FILHO</t>
  </si>
  <si>
    <t>Aposentado</t>
  </si>
  <si>
    <t>Não comprar PETR4 e BRKM5. *Atenção* | Soliticou distrato 01/08/2022</t>
  </si>
  <si>
    <t>Rio de Janeiro - RJ</t>
  </si>
  <si>
    <t>70-80</t>
  </si>
  <si>
    <t>Controller Assessoria Contabil S/S</t>
  </si>
  <si>
    <t>Clovis Tadeu Rodrigues e/ou Miriam Cristina Da Silva</t>
  </si>
  <si>
    <t>004971448</t>
  </si>
  <si>
    <t>04.779.668/0001-30</t>
  </si>
  <si>
    <t>STVM de entrada da Guide finalizada (30/10/2023) / Alteração de carteira finalizada (14/06/2024)</t>
  </si>
  <si>
    <t>ANTONIO DE QUEIROZ NOLETO</t>
  </si>
  <si>
    <t>xepadasilva@hotmail.com</t>
  </si>
  <si>
    <t>80-90</t>
  </si>
  <si>
    <t>AYRTON DE SOUZA FERREIRA JÚNIOR</t>
  </si>
  <si>
    <t>Clube de Golfe de Brasília</t>
  </si>
  <si>
    <t>Controller Servicos Contabeis Digital LTDA</t>
  </si>
  <si>
    <t>Não comprar PETR4 e BRKM5. *Atenção* | Soliticou distrato 08/07/2022</t>
  </si>
  <si>
    <t>BARBARA OLIVEIRA SOUZA</t>
  </si>
  <si>
    <t xml:space="preserve">Cliente retornou para a base </t>
  </si>
  <si>
    <t>01.661.693/0001-26</t>
  </si>
  <si>
    <t>BRUNA ROSOLEN DE FARIA</t>
  </si>
  <si>
    <t>PL por SULofissão</t>
  </si>
  <si>
    <t>BRUNNO GOMES ROCHA</t>
  </si>
  <si>
    <t>Médico</t>
  </si>
  <si>
    <t>104.129.406-98</t>
  </si>
  <si>
    <t>Daniel Cambraia Danzig</t>
  </si>
  <si>
    <t>COIMBRA CRUZ PARTICIPACOES LTDA</t>
  </si>
  <si>
    <t>Cristhiane Bertan Ribeiro Liogi</t>
  </si>
  <si>
    <t>50.440.834/0001-96</t>
  </si>
  <si>
    <t>BRUNO MACHADO TELES WALTER</t>
  </si>
  <si>
    <t>88 99708-5446</t>
  </si>
  <si>
    <t>joseenetoocruzz@gmail.com</t>
  </si>
  <si>
    <t>035.626.939-66</t>
  </si>
  <si>
    <t>Engenheiro</t>
  </si>
  <si>
    <t>R$ 288.671,67</t>
  </si>
  <si>
    <t>BRUNO CESAR PESQUERO PONCE JAIME</t>
  </si>
  <si>
    <t>Contel Obras e Serviços LTDA</t>
  </si>
  <si>
    <t>004589191</t>
  </si>
  <si>
    <t>Em processo de STVM</t>
  </si>
  <si>
    <t>02.554.665/0001-72</t>
  </si>
  <si>
    <t>828.641.871-91</t>
  </si>
  <si>
    <t xml:space="preserve">Daniel Costa Rodrigues </t>
  </si>
  <si>
    <t>Cristina Freire Lima Carvalho</t>
  </si>
  <si>
    <t>CAMILLA EL HAJE LOBO BORGES</t>
  </si>
  <si>
    <t>Médica</t>
  </si>
  <si>
    <t>Solicitou resgate total e distrato em 30/05/2022.</t>
  </si>
  <si>
    <t>Cliente solicitou distrato (12/07/2024)</t>
  </si>
  <si>
    <t>Cristiano Augusto Andrade de Resende</t>
  </si>
  <si>
    <t>004940560</t>
  </si>
  <si>
    <t>291.482.191-34</t>
  </si>
  <si>
    <t>CARLOS ALBERTO FERREIRA RODRIGUEZ</t>
  </si>
  <si>
    <t>035.887.726-18</t>
  </si>
  <si>
    <t>Administrador</t>
  </si>
  <si>
    <t>CARLOS WELLINGTON CESAR DE OLIVEIRA</t>
  </si>
  <si>
    <t>Adminstrador</t>
  </si>
  <si>
    <t>Cristina Cervigni Marques</t>
  </si>
  <si>
    <t>018.831.751-19</t>
  </si>
  <si>
    <t>Daniel Esteves Fonseca Franco</t>
  </si>
  <si>
    <t>Cássio Mello</t>
  </si>
  <si>
    <t>984.590.581-15</t>
  </si>
  <si>
    <t>CHEILA RODRIGUES WOBIDO</t>
  </si>
  <si>
    <t>DAP - Diagnostico Em Anatomia Patologica e Biologia Molecula</t>
  </si>
  <si>
    <t>cristina.cv.marques@gmail.com</t>
  </si>
  <si>
    <t>19.653.081/0001-57</t>
  </si>
  <si>
    <t>CLÁUDIA APARECIDA CARNEIRO</t>
  </si>
  <si>
    <t>Psicóloga</t>
  </si>
  <si>
    <t>Cristina Flavia Silva Andrada Batista</t>
  </si>
  <si>
    <t>CLEYVERTON GARCIA LIMA</t>
  </si>
  <si>
    <t>004853901</t>
  </si>
  <si>
    <t>059.640.806-42</t>
  </si>
  <si>
    <t>Daniel Silva Boia</t>
  </si>
  <si>
    <t>Autônomo</t>
  </si>
  <si>
    <t>019.608.214-58</t>
  </si>
  <si>
    <t>Solicitou resgate total e distrato 21/03/2022</t>
  </si>
  <si>
    <t>CRISTINA FREIRE LIMA CARVALHO</t>
  </si>
  <si>
    <t>Outros</t>
  </si>
  <si>
    <t>DANIELA REVOLLO RIBEIRO DA SILVA</t>
  </si>
  <si>
    <t>041.634.901-32</t>
  </si>
  <si>
    <t>Daniel Sindeaux Braga</t>
  </si>
  <si>
    <t>crisvds71@gmail.com</t>
  </si>
  <si>
    <t>Delvair Batista Lemonie</t>
  </si>
  <si>
    <r>
      <rPr>
        <rFont val="Times New Roman"/>
        <color rgb="FF000000"/>
      </rPr>
      <t xml:space="preserve">Troca de assessor de André Luiz para Thiago Canabrava em 12/12/2022 </t>
    </r>
    <r>
      <rPr>
        <rFont val="Times New Roman"/>
        <b/>
        <color rgb="FF000000"/>
      </rPr>
      <t>(NÃO OPERAR)</t>
    </r>
  </si>
  <si>
    <t>Danilo Di Rezende</t>
  </si>
  <si>
    <t>DEBORA MARIA RODRIGUES CRUZ</t>
  </si>
  <si>
    <t>Solicitou resgate total</t>
  </si>
  <si>
    <t>031.734.119-78</t>
  </si>
  <si>
    <t>ELISABETH MENDES GUIMARÃES</t>
  </si>
  <si>
    <t>Aposentada</t>
  </si>
  <si>
    <t>Cristina Zuim Basani</t>
  </si>
  <si>
    <t>008007759</t>
  </si>
  <si>
    <t>EUGÊNIO SILVA DO OLIVEIRA JÚNIOR</t>
  </si>
  <si>
    <t>008.393.396-40</t>
  </si>
  <si>
    <t>Daniela Almeida Teixeira Toccafondo</t>
  </si>
  <si>
    <t>308.260.998-82</t>
  </si>
  <si>
    <t>EURIBERTO DE ARAUJO SANTANA</t>
  </si>
  <si>
    <t>Diminuir renda variável e aplicar somente em Renda Fixa</t>
  </si>
  <si>
    <t>Daianne Gonçalves Pinheiro</t>
  </si>
  <si>
    <t>004473942</t>
  </si>
  <si>
    <t>FABIANO DE ANDRADE FARIA</t>
  </si>
  <si>
    <t>011.450.771-61</t>
  </si>
  <si>
    <t>Daniela de Martins Souza</t>
  </si>
  <si>
    <t>978.981.391-00</t>
  </si>
  <si>
    <t>daiannepinheiro1@gmail.com</t>
  </si>
  <si>
    <t>FABRICIO TRINDADE DE SOUSA</t>
  </si>
  <si>
    <t>GABRIEL MACHADO LEITE</t>
  </si>
  <si>
    <t>GLEIDE SATYRO SALES</t>
  </si>
  <si>
    <t>Daisy Eni Morais dos Santos</t>
  </si>
  <si>
    <t>004278033</t>
  </si>
  <si>
    <t>Cecilia Arcoverde Bezerra Pires</t>
  </si>
  <si>
    <t>GUILHERME FIGUEIREDO FERREIRA</t>
  </si>
  <si>
    <t>daisyenimorais@gmail.com</t>
  </si>
  <si>
    <t>Goiânia - GO</t>
  </si>
  <si>
    <t>GUILHERME LANCINI BELLO</t>
  </si>
  <si>
    <t>GUILHERME OTAVIO MORAIS DE CARVALHO</t>
  </si>
  <si>
    <t>Guilherme Porangaba Barbosa</t>
  </si>
  <si>
    <t>SEM DINHEIRO</t>
  </si>
  <si>
    <t>Park Way</t>
  </si>
  <si>
    <t>GUSTAVO ATHAIDE HALMENSCHLAGER</t>
  </si>
  <si>
    <t>004321092</t>
  </si>
  <si>
    <t>Marabá - PA</t>
  </si>
  <si>
    <t>HELMGTON JOSÉ BRITO DE SOUZA</t>
  </si>
  <si>
    <t>danielcdanzig@gmail.com</t>
  </si>
  <si>
    <t>HENRIQUE REINERT LOPES DIAS</t>
  </si>
  <si>
    <t>HUGO FRANCO RODRIGUES</t>
  </si>
  <si>
    <t>Diego Cesar Florencio de Queiroz</t>
  </si>
  <si>
    <t>Solicitou a troca de perfil 16/12/2020</t>
  </si>
  <si>
    <t>IRACEMA MATIAS MORRIS</t>
  </si>
  <si>
    <t>Iuri Salles Cozac</t>
  </si>
  <si>
    <t>R$ 258.171,16</t>
  </si>
  <si>
    <t>Agricultor</t>
  </si>
  <si>
    <t>Daniel Darlen Corrêa Ribeiro</t>
  </si>
  <si>
    <t>004273239</t>
  </si>
  <si>
    <t>Pediu Resgate Total sem deságio 30/06/2023</t>
  </si>
  <si>
    <t>JANAÍNA TENÓRIO TRANCOSO TAVARES DA SILVA</t>
  </si>
  <si>
    <t>056.691.744-02</t>
  </si>
  <si>
    <t>026.191.246-11</t>
  </si>
  <si>
    <t>Bióloga</t>
  </si>
  <si>
    <t>JOÃO LEOPOLDO ROMÃO SEREDNICKI</t>
  </si>
  <si>
    <t>524.301.031-68</t>
  </si>
  <si>
    <t>JOÃO PAULO SETUBAL CAMPOS MARTINS</t>
  </si>
  <si>
    <t>Daniela Jaime Smith</t>
  </si>
  <si>
    <t>JOSE HUMBERTO DE SOUZA BORGES</t>
  </si>
  <si>
    <t>JOSÉ ROBSON BEZERRA SERENO</t>
  </si>
  <si>
    <t>Florianópolis</t>
  </si>
  <si>
    <t>Daniel De Moraes Lelis</t>
  </si>
  <si>
    <t>Veterinário</t>
  </si>
  <si>
    <t>JOSÉ WASHINGTON DE CARVALHO NOVAES</t>
  </si>
  <si>
    <t>085.790.766-25</t>
  </si>
  <si>
    <t>(34) 99115-8060</t>
  </si>
  <si>
    <t>daniellelisgames@gmail.com</t>
  </si>
  <si>
    <t>JULIANA DE PAULA SILVA RAMALHO OU SAULO</t>
  </si>
  <si>
    <t>EmSULesária</t>
  </si>
  <si>
    <t>JULIO CEZAR PORTES</t>
  </si>
  <si>
    <t>Diego Martins Silva do Amaral</t>
  </si>
  <si>
    <t>LEONARDO FERNANDES DE OLIVEIRA</t>
  </si>
  <si>
    <t>723.004.851-68</t>
  </si>
  <si>
    <t>Daniela Marques Brito</t>
  </si>
  <si>
    <t>LEONARDO FRANCO RODRIGUES</t>
  </si>
  <si>
    <t>Felipe Cravos</t>
  </si>
  <si>
    <t>Daniel Gomes Oliveira</t>
  </si>
  <si>
    <t>LUANA BAILÃO</t>
  </si>
  <si>
    <t>015.065.131-74</t>
  </si>
  <si>
    <t>LUCIANA PACHECO DE BRITO</t>
  </si>
  <si>
    <t>723.821.041-04</t>
  </si>
  <si>
    <t>62 98244-0316</t>
  </si>
  <si>
    <t>LUIZ CARLOS RUSKY</t>
  </si>
  <si>
    <t>Sr.doliveira6@gmail.com</t>
  </si>
  <si>
    <t>LUIZ EDUARDO DA SILVA TOSTES</t>
  </si>
  <si>
    <t>MANUELA BAILÃO</t>
  </si>
  <si>
    <t>Educação Física</t>
  </si>
  <si>
    <t>MARCELO REINECKEN DE ARAÚJO</t>
  </si>
  <si>
    <t>004493324</t>
  </si>
  <si>
    <t>636.092.741-15</t>
  </si>
  <si>
    <t>Daniely Marçal Silvino de Brito</t>
  </si>
  <si>
    <t>MÁRCIA CARVALHO GAZETA</t>
  </si>
  <si>
    <t>STVM de saída para XP iniciada (25/06/2024) Cliente sumiu da base</t>
  </si>
  <si>
    <t>sindeauxdaniel@gmail.com</t>
  </si>
  <si>
    <t>Advogada</t>
  </si>
  <si>
    <t>MARIA BEATRIZ ROLDÃO E ALVARES</t>
  </si>
  <si>
    <t>MARIA CLAUDIOMAR FERNANDES BEZERRA</t>
  </si>
  <si>
    <t>Dijane Maria Freitas dos Santos</t>
  </si>
  <si>
    <t>Resgate 10K</t>
  </si>
  <si>
    <t>MARIA DAS GRAÇAS COSTA</t>
  </si>
  <si>
    <t>SULofessora</t>
  </si>
  <si>
    <t>Daniela Camargos dos Santos</t>
  </si>
  <si>
    <t>008243633</t>
  </si>
  <si>
    <t>MARIA REGINA COSTA ALVAREZ</t>
  </si>
  <si>
    <t>Distrato solicitado dia 27/09/2023 / Troca de assessor 01/12/2023 Rafael (Conquest) para Gustavo Amorim</t>
  </si>
  <si>
    <t>Jornalista</t>
  </si>
  <si>
    <t>244.499.541-49</t>
  </si>
  <si>
    <t>000.394.211-20</t>
  </si>
  <si>
    <t>MARLENE LEAL FONSECA DOS SANTOS</t>
  </si>
  <si>
    <t>danielacamargos.s@hotmail.com</t>
  </si>
  <si>
    <t>Pensionista</t>
  </si>
  <si>
    <t>MARLI MELO SANTANA RODRIGUES</t>
  </si>
  <si>
    <t>MARTA MARIA SULADO DE SOUZA COE</t>
  </si>
  <si>
    <t>MAURICIO DAHER ANDRADE GOMES</t>
  </si>
  <si>
    <t>841.096.961-00</t>
  </si>
  <si>
    <t>Danilo Di Rezende Bernardes</t>
  </si>
  <si>
    <t>MAURÍCIO DE FIGUEIREDO CORREA DA VEIGA</t>
  </si>
  <si>
    <t>Gabriel Bicalho Fontes Raydan</t>
  </si>
  <si>
    <t>MAURO SCHENEKENBERG GUEDES</t>
  </si>
  <si>
    <t>Monica Torres Silva</t>
  </si>
  <si>
    <t>Moderada 20</t>
  </si>
  <si>
    <t>Solicitou distrato em 23/11/2022</t>
  </si>
  <si>
    <t>Autônoma</t>
  </si>
  <si>
    <t>MURILLO MENDES MANENTE</t>
  </si>
  <si>
    <t>R$ 57.062,68</t>
  </si>
  <si>
    <t>R$ 63.328,38</t>
  </si>
  <si>
    <t>R$ 62.938,03</t>
  </si>
  <si>
    <t>R$ 62.865,71</t>
  </si>
  <si>
    <t>R$ 59.289,72</t>
  </si>
  <si>
    <t>R$ 59.861,09</t>
  </si>
  <si>
    <t>R$ 60.014,60</t>
  </si>
  <si>
    <t>R$ 60.737,80</t>
  </si>
  <si>
    <t>NAIA CAMELO VILAS BOAS</t>
  </si>
  <si>
    <t>R$ 71.350,32</t>
  </si>
  <si>
    <t>R$ 70.169,19</t>
  </si>
  <si>
    <t>R$ 69.051,83</t>
  </si>
  <si>
    <t>R$ 68.780,22</t>
  </si>
  <si>
    <t>R$ 70.879,40</t>
  </si>
  <si>
    <t>Dilson Manoel Catarino</t>
  </si>
  <si>
    <t>NATÁLIA REZENDE DE ALMEIDA SANTOS</t>
  </si>
  <si>
    <t>O UNIVERSITÁRIO RESTAURANTE</t>
  </si>
  <si>
    <t>ODIL GARRIDO CAMPOS DE ANDRADE</t>
  </si>
  <si>
    <t>324.090.529-91</t>
  </si>
  <si>
    <t>Trocou de assessor de Thiago Canabrava para Gabriel Raydan em 03/02/2023</t>
  </si>
  <si>
    <t>Luziânia - GO</t>
  </si>
  <si>
    <t>OLÍVIO OLIVEIRA PENTEADO</t>
  </si>
  <si>
    <t>Cristalina - GO</t>
  </si>
  <si>
    <t>005.396.101-35</t>
  </si>
  <si>
    <t>Daura de Campos Mendes Filpo</t>
  </si>
  <si>
    <t>OTAVIO BENTO SOUZA SILVA</t>
  </si>
  <si>
    <t>OTOPLUS OTORRINOLARINGOLOGIA S S LTDA</t>
  </si>
  <si>
    <t>PATRICK FRANCOIS DURANS AMORIM</t>
  </si>
  <si>
    <t>PAULO FERNANDO ULIAN</t>
  </si>
  <si>
    <t>R$ 296.141,10</t>
  </si>
  <si>
    <t>R$ 303.847,05</t>
  </si>
  <si>
    <t>PAULO HENRIQUE DE MORAES MENDES</t>
  </si>
  <si>
    <t>Nutricionista</t>
  </si>
  <si>
    <t>danismith77@yahoo.com.br</t>
  </si>
  <si>
    <t>PERCIVAL LOPES DA SILVA JUNIOR</t>
  </si>
  <si>
    <t>PHILIPE FERREIRA DA SILVA LIMA</t>
  </si>
  <si>
    <t>RAFAELLA SULADERA</t>
  </si>
  <si>
    <t>Rafael de Araujo Damas</t>
  </si>
  <si>
    <t>084.349.444-13</t>
  </si>
  <si>
    <t>Débora Inhaquite Bolfoni da Cunha</t>
  </si>
  <si>
    <t>RAFAEL GOMES DIAS</t>
  </si>
  <si>
    <t>Daniela Marques Krohn</t>
  </si>
  <si>
    <t>004186541</t>
  </si>
  <si>
    <t>RAÍSSA CASTILHO/JULIANO LUIZ FERREIRA</t>
  </si>
  <si>
    <t>RAQUEL FAGUNDES BRAGA FERREIRA</t>
  </si>
  <si>
    <t>009.846.131-10</t>
  </si>
  <si>
    <t>danielamkrohn@gmail.com</t>
  </si>
  <si>
    <t>RENAN PIERATTI</t>
  </si>
  <si>
    <t>RICARDO DE OLIVEIRA RAMOS</t>
  </si>
  <si>
    <t>RICARDO RUSSO</t>
  </si>
  <si>
    <t>RITA DE CASSIA ALVES DA SILVA</t>
  </si>
  <si>
    <t>Dirceu Alves do Nascimento</t>
  </si>
  <si>
    <t>Daniela Marques Krohn e/ou Paulo Roberto Rocha Krohn</t>
  </si>
  <si>
    <t>004238164</t>
  </si>
  <si>
    <t>RODRIGO FELIPE MARQUES</t>
  </si>
  <si>
    <t>RODRIGO NUNES FRANCO</t>
  </si>
  <si>
    <t>976.994.971-04</t>
  </si>
  <si>
    <t>Débora Maçaneiro Vieira</t>
  </si>
  <si>
    <t>781.409.609-00</t>
  </si>
  <si>
    <t>RONALDO MAFIA CUENCA</t>
  </si>
  <si>
    <t>Rosangela Rodrigues de Carvalho</t>
  </si>
  <si>
    <t>RUBEM SOARES DE OLIVEIRA LIMA</t>
  </si>
  <si>
    <t>Daniele Capiotto Garcia Maciel</t>
  </si>
  <si>
    <t>Noroeste</t>
  </si>
  <si>
    <t>RUBIANNE INACIO SULOTASIO DI BORGES FIGUEIREDO</t>
  </si>
  <si>
    <t>036.982.409-12</t>
  </si>
  <si>
    <t>danic_garcia@yahoo.com.br</t>
  </si>
  <si>
    <t>Sabrina Martins Xavier</t>
  </si>
  <si>
    <t>Analista de Sistemas</t>
  </si>
  <si>
    <t>SABRINA MENDES LAGO</t>
  </si>
  <si>
    <t>SANDRA MARIA MEDEIROS COSTA</t>
  </si>
  <si>
    <t>Publicitária</t>
  </si>
  <si>
    <t>Sérgio Lincoln de Matos Arruda</t>
  </si>
  <si>
    <t>SOLANGE ALVES DE MORAES MENDES</t>
  </si>
  <si>
    <t>Lucas Nascimento</t>
  </si>
  <si>
    <t>Daniele Caroline Rezende Di Benedetto</t>
  </si>
  <si>
    <t>020099701</t>
  </si>
  <si>
    <t>TATIANA LIMA CARVALHO</t>
  </si>
  <si>
    <t>DIV</t>
  </si>
  <si>
    <t>245.164.811-20</t>
  </si>
  <si>
    <t>Estudante</t>
  </si>
  <si>
    <t>Delise Barbosa Cambraia</t>
  </si>
  <si>
    <t>TATIANA MARIA CARVALHO DE PAULA</t>
  </si>
  <si>
    <t>973.710.921-04</t>
  </si>
  <si>
    <t>67 99934-0571</t>
  </si>
  <si>
    <t>dani_carolrezende@hotmail.com</t>
  </si>
  <si>
    <t>THAIS DE OLIVEIRA SILVA</t>
  </si>
  <si>
    <t>Assessora Legislativa</t>
  </si>
  <si>
    <t>TIAGO DE CASTELLO BRANCO</t>
  </si>
  <si>
    <t>Não vender FAMB11</t>
  </si>
  <si>
    <t>VILMAR JOSÉ FORTUNA (Celso)</t>
  </si>
  <si>
    <t>Militar</t>
  </si>
  <si>
    <t>VITOR HENRIQUE LAGES FERREIRA</t>
  </si>
  <si>
    <t>Danieli Teresinha Pikula</t>
  </si>
  <si>
    <t>Gabriel Regis</t>
  </si>
  <si>
    <t>VIVIANA PERIBANEZ GONZALEZ DE ARAÚJO</t>
  </si>
  <si>
    <t>R$ 848.758,63</t>
  </si>
  <si>
    <t>R$ 651.458,22</t>
  </si>
  <si>
    <t>R$ 672.336,16</t>
  </si>
  <si>
    <t>050.802.179-01</t>
  </si>
  <si>
    <t>dany_tpa2@outlook.com</t>
  </si>
  <si>
    <t>WAGNER VAZ CARDOZO</t>
  </si>
  <si>
    <t>William Enio Guedes Fabrício</t>
  </si>
  <si>
    <t>Policial</t>
  </si>
  <si>
    <t>Faltam</t>
  </si>
  <si>
    <t>Douglas de Andrade Vileforte da Silva</t>
  </si>
  <si>
    <t>580.811.516-72</t>
  </si>
  <si>
    <t>Daniely Marcal Silvino de Brito</t>
  </si>
  <si>
    <t>Denise Freire Menicucci</t>
  </si>
  <si>
    <t>004756968</t>
  </si>
  <si>
    <t>001.397.651-66</t>
  </si>
  <si>
    <t>Victor Caldeira/Luciano Vilanova</t>
  </si>
  <si>
    <t>danielly.britto@gmail.com</t>
  </si>
  <si>
    <t>PL JANEIRO 2020</t>
  </si>
  <si>
    <t>PL FEVEREIRO 2020</t>
  </si>
  <si>
    <t>Conservadora para Income (30/11/2021) / Solicitou distrato em 13/06/2022</t>
  </si>
  <si>
    <t>PL MARÇO 2020</t>
  </si>
  <si>
    <t>Danilo da Silva</t>
  </si>
  <si>
    <t>005084112</t>
  </si>
  <si>
    <t>052.637.139-08</t>
  </si>
  <si>
    <t>Eduardo Guerzoni</t>
  </si>
  <si>
    <t>Danilo Reis de Souza</t>
  </si>
  <si>
    <t>002277249</t>
  </si>
  <si>
    <t>036.464.569-57</t>
  </si>
  <si>
    <t>161.454.104-34</t>
  </si>
  <si>
    <t>Denise Maria Ventura de Alcântara</t>
  </si>
  <si>
    <t>059.515.531-64</t>
  </si>
  <si>
    <t>Solicitou distrato 08/09/2021 // Conservador para Income 12/07/2021</t>
  </si>
  <si>
    <t>Recife</t>
  </si>
  <si>
    <t>R$ 291.347,83</t>
  </si>
  <si>
    <t>R$ 289.353,02</t>
  </si>
  <si>
    <t>R$ 439.919,19</t>
  </si>
  <si>
    <t>Danilo Viana Rabelo</t>
  </si>
  <si>
    <t>Eduardo Henrique Gomes Martinez</t>
  </si>
  <si>
    <t>15k D+0 (22/09/2025)</t>
  </si>
  <si>
    <t>Solicitou STVM para BTG - 10/04/2023 e concluída dia 17/07/2023</t>
  </si>
  <si>
    <t>008.686.779-22</t>
  </si>
  <si>
    <t>049.155.809-03</t>
  </si>
  <si>
    <t>vianarabelo@gmail.com</t>
  </si>
  <si>
    <t>273.683.431-34</t>
  </si>
  <si>
    <t>Denise Xavier</t>
  </si>
  <si>
    <t>Darlan Carneiro Silva</t>
  </si>
  <si>
    <t>394.566.411-04</t>
  </si>
  <si>
    <t>darlancscardiol@gmail.com</t>
  </si>
  <si>
    <t>Elaine Regina Ferraresi Sampaio</t>
  </si>
  <si>
    <t>Solicitou distrado 11/09/2020</t>
  </si>
  <si>
    <t>730.422.859-87</t>
  </si>
  <si>
    <t>R$ 200.000,00</t>
  </si>
  <si>
    <t>R$ 194.670,06</t>
  </si>
  <si>
    <t>004276856</t>
  </si>
  <si>
    <t>acfilpo@hotmail.com</t>
  </si>
  <si>
    <t>079.307.406-17</t>
  </si>
  <si>
    <t>Diego Medeiros</t>
  </si>
  <si>
    <t>David Nunes Ferraz</t>
  </si>
  <si>
    <t>Solicitou distrado 20/07/2022</t>
  </si>
  <si>
    <t xml:space="preserve">80K D+0 (13/06/2024) </t>
  </si>
  <si>
    <t>045.480.051-70</t>
  </si>
  <si>
    <t>david_nunes01@hotmail.com</t>
  </si>
  <si>
    <t>Ellen Verri Lopes</t>
  </si>
  <si>
    <t>Não aplicar em RF longo nem em RV, somente LFT e DI</t>
  </si>
  <si>
    <t>Moderado para Arrojada 60 (15/09/2020) Troca de assessor 01/12/2023 Rodger (Conquest) para Thiago Canabrava / Troca de assessor de Thiago Canabrava para Guilherme dos Santos</t>
  </si>
  <si>
    <t>922.965.801-49</t>
  </si>
  <si>
    <t>085.024.041-72</t>
  </si>
  <si>
    <t>Diocesmar Felipe de Faria</t>
  </si>
  <si>
    <t>CRIP</t>
  </si>
  <si>
    <t>Débora Louzada Fagundes Fernandes</t>
  </si>
  <si>
    <t>005228239</t>
  </si>
  <si>
    <t>893.703.411-53</t>
  </si>
  <si>
    <t>Durval Sobreiro Junior</t>
  </si>
  <si>
    <t>033.354.365-39</t>
  </si>
  <si>
    <t>Taxa de gestão aprovada pelo João Beze</t>
  </si>
  <si>
    <t>Espolio Guilherme Lancini Bello</t>
  </si>
  <si>
    <t>R$ 136.000,00</t>
  </si>
  <si>
    <t>R$ 132.071,35</t>
  </si>
  <si>
    <t>R$ 130.542,38</t>
  </si>
  <si>
    <t>R$ 237.564,94</t>
  </si>
  <si>
    <t>010.615.511-30</t>
  </si>
  <si>
    <t>BDR</t>
  </si>
  <si>
    <t>Valor da venda de BOVA11 mandar para a conta equities</t>
  </si>
  <si>
    <t>Debora Messias da Cunha</t>
  </si>
  <si>
    <t>002192620</t>
  </si>
  <si>
    <t>Valeria Viana</t>
  </si>
  <si>
    <t>260.028.608-00</t>
  </si>
  <si>
    <t>Arrojada p/ Income em 19/09/2022</t>
  </si>
  <si>
    <t>62 98211-0107</t>
  </si>
  <si>
    <t>debmessias1976@gmail.com</t>
  </si>
  <si>
    <t>R$ 198.325,23</t>
  </si>
  <si>
    <t>R$ 241.951,86</t>
  </si>
  <si>
    <t>Déborah Lissa Kobayashi Jabur Barbante</t>
  </si>
  <si>
    <t>INC CP/ COADM</t>
  </si>
  <si>
    <t>colocar em cópia dos e-mails: luiz_ajb@toyopar.com.br</t>
  </si>
  <si>
    <t>Saldo da venda, enviar para conta equities. Vencimento de RF enviar para equities, até que a equities atinja 500k. Além, enviar para income 4468606 | Macro pra Income em 29/09/2022</t>
  </si>
  <si>
    <t>deborahkobayashii@gmail.com</t>
  </si>
  <si>
    <t>Denise De Andrade Branco Gonçalves</t>
  </si>
  <si>
    <t>Saldo da LFT enviar para a Equities</t>
  </si>
  <si>
    <t>342.703.371-68</t>
  </si>
  <si>
    <t>Nº DA CONTA</t>
  </si>
  <si>
    <t>denise_goncalves@hotmail.com</t>
  </si>
  <si>
    <t>Operando</t>
  </si>
  <si>
    <t>Perfil de Investimento</t>
  </si>
  <si>
    <t>27/04/2021</t>
  </si>
  <si>
    <t>SIM</t>
  </si>
  <si>
    <t>Ações Plus</t>
  </si>
  <si>
    <t>Natal Ferreira das Dores</t>
  </si>
  <si>
    <t>036.429.861-88</t>
  </si>
  <si>
    <t>Eduarda Sebastiani van Lieshout</t>
  </si>
  <si>
    <t>Diego Aquino Pelagio Gondim</t>
  </si>
  <si>
    <t>004479965</t>
  </si>
  <si>
    <t>037.069.221-77</t>
  </si>
  <si>
    <t>Diego Aquino Pelagio Gondim e/ou Thais Uruena Lopes de Souza</t>
  </si>
  <si>
    <t>005654767</t>
  </si>
  <si>
    <t>dagondim@gmail.com</t>
  </si>
  <si>
    <t>002.743.724-87</t>
  </si>
  <si>
    <t>Eduardo Amorim de Lemos</t>
  </si>
  <si>
    <t>Diego Fraga Rezende</t>
  </si>
  <si>
    <t>004477812</t>
  </si>
  <si>
    <t>Solicitou distrato 11/09/2021</t>
  </si>
  <si>
    <t>022.914.671-66</t>
  </si>
  <si>
    <t>diegofrezende@yahoo.com.br</t>
  </si>
  <si>
    <t>Euriberto de Araujo Santana</t>
  </si>
  <si>
    <t>603.409.911-00</t>
  </si>
  <si>
    <t>Diego Franco Noronha</t>
  </si>
  <si>
    <t>219.066.308-36</t>
  </si>
  <si>
    <t>dfn1977@hotmail.com</t>
  </si>
  <si>
    <t>Código BMTX Universal</t>
  </si>
  <si>
    <t>004551472</t>
  </si>
  <si>
    <t>035.320.594-01</t>
  </si>
  <si>
    <t>Eduardo Lacerda Tiburtius</t>
  </si>
  <si>
    <t>17679</t>
  </si>
  <si>
    <t>Fabiana Regiani</t>
  </si>
  <si>
    <t>David Mendes</t>
  </si>
  <si>
    <t>18530</t>
  </si>
  <si>
    <t>066.632.879-07</t>
  </si>
  <si>
    <t>17489</t>
  </si>
  <si>
    <t>010.197.074-96</t>
  </si>
  <si>
    <t>18256</t>
  </si>
  <si>
    <t>Eduardo Maia Magalhães</t>
  </si>
  <si>
    <t>Diego Henrique Lopes Ribeiro</t>
  </si>
  <si>
    <t>009089329</t>
  </si>
  <si>
    <t>thiago Canabrava</t>
  </si>
  <si>
    <t>18266</t>
  </si>
  <si>
    <t>Solicitou distrato 14/09/2021</t>
  </si>
  <si>
    <t>020.673.761-01</t>
  </si>
  <si>
    <t>dhlribeirolopes02@gmail.com</t>
  </si>
  <si>
    <t>14574</t>
  </si>
  <si>
    <t>Alexandre Coutinho/Victor Caldeira</t>
  </si>
  <si>
    <t>12736</t>
  </si>
  <si>
    <t>12624</t>
  </si>
  <si>
    <t>1441</t>
  </si>
  <si>
    <t xml:space="preserve">Diego Perillo Navarrete Lavers </t>
  </si>
  <si>
    <t>004371991</t>
  </si>
  <si>
    <t>052.205.366-13</t>
  </si>
  <si>
    <t>Eduardo Soares do Couto Filho</t>
  </si>
  <si>
    <t>18986</t>
  </si>
  <si>
    <t>Tiago Alvim</t>
  </si>
  <si>
    <t>16072</t>
  </si>
  <si>
    <t>025.176.591-17</t>
  </si>
  <si>
    <t>Solicitou distrato 07/12/2021</t>
  </si>
  <si>
    <t>di.meuscadastros@gmail.com</t>
  </si>
  <si>
    <t>13598</t>
  </si>
  <si>
    <t>R$ 100.028,52</t>
  </si>
  <si>
    <t>R$ 145.847,65</t>
  </si>
  <si>
    <t>R$ 163.959,09</t>
  </si>
  <si>
    <t>Arthur Figueiró</t>
  </si>
  <si>
    <t>R$ 202.082,89</t>
  </si>
  <si>
    <t>15496</t>
  </si>
  <si>
    <t>18993</t>
  </si>
  <si>
    <t>André Araújo</t>
  </si>
  <si>
    <t>12305</t>
  </si>
  <si>
    <t>Dig Barbearia e Salão De Beleza LTDA</t>
  </si>
  <si>
    <t>005110867</t>
  </si>
  <si>
    <t>417.320.221-00</t>
  </si>
  <si>
    <t>Edward Lucio Vieira Borba</t>
  </si>
  <si>
    <t>Leandro Sousa</t>
  </si>
  <si>
    <t>14284</t>
  </si>
  <si>
    <t>45.543.496/0001-88</t>
  </si>
  <si>
    <t>loshombresbarbearia@gmail.com</t>
  </si>
  <si>
    <t>Fabiano de Andrade Faria</t>
  </si>
  <si>
    <t>17831</t>
  </si>
  <si>
    <t>18467</t>
  </si>
  <si>
    <t>665.477.411-68</t>
  </si>
  <si>
    <t>Maria Luiza</t>
  </si>
  <si>
    <t>12549</t>
  </si>
  <si>
    <t>238.047.422-20</t>
  </si>
  <si>
    <t>Elena Guedes Cardoso</t>
  </si>
  <si>
    <t>16855</t>
  </si>
  <si>
    <t>Resgatar a debenture Rota das Bandeiras e Autopista - [Colocar 20 mil em liquidez D+1 (Pode sacar - E-mail Rafael em 03/03/2)]</t>
  </si>
  <si>
    <t>Dilermando Augusto Sikora</t>
  </si>
  <si>
    <t>022682496</t>
  </si>
  <si>
    <t>17573</t>
  </si>
  <si>
    <t>Porto Velho</t>
  </si>
  <si>
    <t>046.971.679-70</t>
  </si>
  <si>
    <t>16459</t>
  </si>
  <si>
    <t>41 99693-2688</t>
  </si>
  <si>
    <t>dilermandosikora@gmail.com</t>
  </si>
  <si>
    <t>17896</t>
  </si>
  <si>
    <t>033.829.036-28</t>
  </si>
  <si>
    <t>Elessandro Alves Pereira</t>
  </si>
  <si>
    <t>13444</t>
  </si>
  <si>
    <t>Solicitou distrato 04/05/2022</t>
  </si>
  <si>
    <t>18009</t>
  </si>
  <si>
    <t>004472404</t>
  </si>
  <si>
    <t>Pedro Uno</t>
  </si>
  <si>
    <t>14320</t>
  </si>
  <si>
    <t>19634</t>
  </si>
  <si>
    <t>144.902.931-00</t>
  </si>
  <si>
    <t>Eleuse Cardoso Machado Cavalcanti</t>
  </si>
  <si>
    <t>15049</t>
  </si>
  <si>
    <t>17243</t>
  </si>
  <si>
    <t>400K D+0 (25/11/2024)</t>
  </si>
  <si>
    <t>Cliente saiu da base dia 22/10/2024 retornou sob nova carteira dia 19/11/2024 / Alteração de carteira finalizada (30/01/2025)</t>
  </si>
  <si>
    <t>dilsoncatarino@gmail.com</t>
  </si>
  <si>
    <t>Marcelo Tavares</t>
  </si>
  <si>
    <t>11732</t>
  </si>
  <si>
    <t>Fernando Menicucci/Victor Caldeira</t>
  </si>
  <si>
    <t>1633</t>
  </si>
  <si>
    <t>175.309.706-15</t>
  </si>
  <si>
    <t>Eliana Marcia Vieira Lopes</t>
  </si>
  <si>
    <t>Thiago Brum</t>
  </si>
  <si>
    <t>15544</t>
  </si>
  <si>
    <t>Conservador para Moderado 28/05/2021. Solicitou distrato 31/03/2022</t>
  </si>
  <si>
    <t>Alteração de carteira finalizada (22/07/2024)</t>
  </si>
  <si>
    <t>19157</t>
  </si>
  <si>
    <t>dilsonishikura@gmail.com</t>
  </si>
  <si>
    <t>13489</t>
  </si>
  <si>
    <t>516.797.441-00</t>
  </si>
  <si>
    <t>Eliane Medeiros Leopoldino</t>
  </si>
  <si>
    <t>14294</t>
  </si>
  <si>
    <t>Eduardo Leopoldino</t>
  </si>
  <si>
    <t>Dimitri Carvalho Homar</t>
  </si>
  <si>
    <t>005529100</t>
  </si>
  <si>
    <t>Todo saldo proveniente de vencimento de títulos aplicar em LFT e/ou fundo DI</t>
  </si>
  <si>
    <t>14699</t>
  </si>
  <si>
    <t>003.519.681-56</t>
  </si>
  <si>
    <t>Ana Vorcaro</t>
  </si>
  <si>
    <t>11252</t>
  </si>
  <si>
    <t>1298</t>
  </si>
  <si>
    <t>872.911.261-34</t>
  </si>
  <si>
    <t>Elisa Grillo Araújo</t>
  </si>
  <si>
    <t>Diogo Luis Kurihara</t>
  </si>
  <si>
    <t>Solicitou distrato 07/03/2022</t>
  </si>
  <si>
    <t>14434</t>
  </si>
  <si>
    <t>R$ 250.756,85</t>
  </si>
  <si>
    <t>R$ 248.118,25</t>
  </si>
  <si>
    <t>R$ 244.537,47</t>
  </si>
  <si>
    <t>R$ 250.854,02</t>
  </si>
  <si>
    <t>860.838.721-20</t>
  </si>
  <si>
    <t>61 99959-4336</t>
  </si>
  <si>
    <t>diogolk@gmail.com</t>
  </si>
  <si>
    <t>13363</t>
  </si>
  <si>
    <t>André Luiz</t>
  </si>
  <si>
    <t>1891</t>
  </si>
  <si>
    <t>121.057.831-04</t>
  </si>
  <si>
    <t>Elizabete Gomes de Queiroz</t>
  </si>
  <si>
    <t>18236</t>
  </si>
  <si>
    <t>Luciano Vilanova</t>
  </si>
  <si>
    <t>15147</t>
  </si>
  <si>
    <t>Marcos Valadão</t>
  </si>
  <si>
    <t>12846</t>
  </si>
  <si>
    <t>14739</t>
  </si>
  <si>
    <t>Marcelo Pedrosa</t>
  </si>
  <si>
    <t>13896</t>
  </si>
  <si>
    <t>067.121.771-20</t>
  </si>
  <si>
    <t>Elizabeth Mendonca Bueno</t>
  </si>
  <si>
    <t>diogopbsb@gmail.com</t>
  </si>
  <si>
    <t>Thiago Maluf</t>
  </si>
  <si>
    <t>16758</t>
  </si>
  <si>
    <t xml:space="preserve">Solicitou distrato 30/08/2022 </t>
  </si>
  <si>
    <t>Bruno Krohn</t>
  </si>
  <si>
    <t>11113</t>
  </si>
  <si>
    <t>Fabricio Trindade de Sousa</t>
  </si>
  <si>
    <t>Amanda Fonseca</t>
  </si>
  <si>
    <t>17022</t>
  </si>
  <si>
    <t>857.735.651-53</t>
  </si>
  <si>
    <t>Gabriel Borges</t>
  </si>
  <si>
    <t>14244</t>
  </si>
  <si>
    <t>19352</t>
  </si>
  <si>
    <t>698.439.101-68</t>
  </si>
  <si>
    <t>Elza Regina Vargas Leonel</t>
  </si>
  <si>
    <t>18836</t>
  </si>
  <si>
    <t>Vila Planalto</t>
  </si>
  <si>
    <t>004490636</t>
  </si>
  <si>
    <t>Sarah Ferreira</t>
  </si>
  <si>
    <t>16427</t>
  </si>
  <si>
    <t>Jéssica Ribeiro</t>
  </si>
  <si>
    <t>12639</t>
  </si>
  <si>
    <t xml:space="preserve">Arthur Figueiró </t>
  </si>
  <si>
    <t>1449</t>
  </si>
  <si>
    <t>512.106.731-34</t>
  </si>
  <si>
    <t>Emerson dos Santos Castro</t>
  </si>
  <si>
    <t>Isabella Almeida</t>
  </si>
  <si>
    <t>1275</t>
  </si>
  <si>
    <t>Fatima Alves da Costa Talaveira</t>
  </si>
  <si>
    <t>Não resgatar fundos de previdência / Troca de Assessoria para somente Neyla Abrantes em 30/01</t>
  </si>
  <si>
    <t>004467773</t>
  </si>
  <si>
    <t>Diogo Segabinazzi</t>
  </si>
  <si>
    <t>1153</t>
  </si>
  <si>
    <t>Solicitou resgate total 27/06/2022</t>
  </si>
  <si>
    <t>456.676.081-20</t>
  </si>
  <si>
    <t>Gabriel Prudente</t>
  </si>
  <si>
    <t>16130</t>
  </si>
  <si>
    <t>700.692.101-52</t>
  </si>
  <si>
    <t>Silvio Holanda</t>
  </si>
  <si>
    <t>Emmanuelle Alkmim de Castro Branco</t>
  </si>
  <si>
    <t>15530</t>
  </si>
  <si>
    <t>Mudança de FA em 05/10/2022 - Solicitou destrato 17/04/2023</t>
  </si>
  <si>
    <t>Raphael Alvarenga</t>
  </si>
  <si>
    <t>13484</t>
  </si>
  <si>
    <t>Divino Silva de Oliveira</t>
  </si>
  <si>
    <t>008226192</t>
  </si>
  <si>
    <t>Caio de Castro</t>
  </si>
  <si>
    <t>17109</t>
  </si>
  <si>
    <t>233.309.531-87</t>
  </si>
  <si>
    <t xml:space="preserve">Thiago Maluf </t>
  </si>
  <si>
    <t>16100</t>
  </si>
  <si>
    <t>Antonis Rodopoulos</t>
  </si>
  <si>
    <t>18061</t>
  </si>
  <si>
    <t>213.636.578-95</t>
  </si>
  <si>
    <t>Erico Araujo Rocha</t>
  </si>
  <si>
    <t>Felipe Kutlak Pádua</t>
  </si>
  <si>
    <t>Solicitou distrato 01/07/2021</t>
  </si>
  <si>
    <t>Dhiego Reis Lima</t>
  </si>
  <si>
    <t>Rogério Coelho</t>
  </si>
  <si>
    <t>14091</t>
  </si>
  <si>
    <t>Carteira Monitoramento Especial para Fundos (SPMG FII criado pelo cliente)</t>
  </si>
  <si>
    <t>313.903.598-59</t>
  </si>
  <si>
    <t>31 99188-3003</t>
  </si>
  <si>
    <t>dhiegorl@gmail.com</t>
  </si>
  <si>
    <t>Guilherme Marquez</t>
  </si>
  <si>
    <t>18992</t>
  </si>
  <si>
    <t>30.518.134/0001-60</t>
  </si>
  <si>
    <t>Essencial Engenharia Eficiente LTDA</t>
  </si>
  <si>
    <t>2971</t>
  </si>
  <si>
    <t>Prever uma liquidez maior e títulos até 1 ano</t>
  </si>
  <si>
    <t>28411</t>
  </si>
  <si>
    <t>Doracy Vieira da Paixão</t>
  </si>
  <si>
    <t>004497894</t>
  </si>
  <si>
    <t>PREV</t>
  </si>
  <si>
    <t>250</t>
  </si>
  <si>
    <t>227.644.961-68</t>
  </si>
  <si>
    <t>22066</t>
  </si>
  <si>
    <t>22400</t>
  </si>
  <si>
    <t>Flávio Miguel</t>
  </si>
  <si>
    <t>25581</t>
  </si>
  <si>
    <t>Dorival Tavela Ramos</t>
  </si>
  <si>
    <t>004748803</t>
  </si>
  <si>
    <t>PREV MOD</t>
  </si>
  <si>
    <t>33218</t>
  </si>
  <si>
    <t>006.450.447-68</t>
  </si>
  <si>
    <t>930.624.431-20</t>
  </si>
  <si>
    <t>Fábio Ricas de Araújo</t>
  </si>
  <si>
    <t>39467</t>
  </si>
  <si>
    <t>Manter todas as Previdências atuais em carteira</t>
  </si>
  <si>
    <t>Cuiabá</t>
  </si>
  <si>
    <t>34388</t>
  </si>
  <si>
    <t>Rafael Menezes</t>
  </si>
  <si>
    <t>507.620.876-68</t>
  </si>
  <si>
    <t>Fabio Santos Dutra</t>
  </si>
  <si>
    <t>douglas.arantes200@gmail.com</t>
  </si>
  <si>
    <t>Valdeson Japiassu</t>
  </si>
  <si>
    <t>Sete Lagoas</t>
  </si>
  <si>
    <t>Felipe Rossi Ramos</t>
  </si>
  <si>
    <t>Andrea Lopes</t>
  </si>
  <si>
    <t>033.182.889-85</t>
  </si>
  <si>
    <t>Gil/Caio de Castro</t>
  </si>
  <si>
    <t>Gil/Eduardo Leopoldino</t>
  </si>
  <si>
    <t>Douglas Tavares de Azevedo Japiassu</t>
  </si>
  <si>
    <t>021.524.401-02</t>
  </si>
  <si>
    <t>62 99943-6180</t>
  </si>
  <si>
    <t>douglas.japiassu@gmail.com</t>
  </si>
  <si>
    <t>Victor Caldeira/Gustavo Amorim</t>
  </si>
  <si>
    <t>Dunas Construções LTDA</t>
  </si>
  <si>
    <t>Fernando Luiz Guerzoni</t>
  </si>
  <si>
    <t>010.304.346-20</t>
  </si>
  <si>
    <t>Feliciano Campos Pedrosa</t>
  </si>
  <si>
    <t>06.338.256/0001-90</t>
  </si>
  <si>
    <t>dunas@dunasconstrucoes.com.br</t>
  </si>
  <si>
    <t>STVM para BTG 004508504</t>
  </si>
  <si>
    <t>047.018.679-85</t>
  </si>
  <si>
    <t>Victor Caldeira/Gabriel Prudente</t>
  </si>
  <si>
    <t>289.833.728-50</t>
  </si>
  <si>
    <t>Felipe Eduardo Hatsumura</t>
  </si>
  <si>
    <t>Duralex Consultores Associados Ltda</t>
  </si>
  <si>
    <t>04.453.413/0001-82</t>
  </si>
  <si>
    <t>97.017.151-87</t>
  </si>
  <si>
    <t xml:space="preserve">Felipe Faria Zuba </t>
  </si>
  <si>
    <t>Fernando Paschoal Lopes</t>
  </si>
  <si>
    <t>Falar com o Canabrava antes de operar</t>
  </si>
  <si>
    <t>E3 Serviços de Instalções Fotovaltaicos Eireli</t>
  </si>
  <si>
    <t>004267976</t>
  </si>
  <si>
    <t>Leandro e Leyla</t>
  </si>
  <si>
    <t>004.014.929-31</t>
  </si>
  <si>
    <t>60% D+0 (17/12/2025)</t>
  </si>
  <si>
    <t>Alice Lobo</t>
  </si>
  <si>
    <t>38.384.201/0001-02</t>
  </si>
  <si>
    <t>guilherme@bluemetrix.com.br</t>
  </si>
  <si>
    <t>092.070.326-78</t>
  </si>
  <si>
    <t>Felipe Galvao de Melo</t>
  </si>
  <si>
    <t>Solicitou distrato 04/08/2022</t>
  </si>
  <si>
    <t>Eder Gomes Fleury e/ou Wanessa Cristina Ribeiro Fleury</t>
  </si>
  <si>
    <t>008364847</t>
  </si>
  <si>
    <t>868.735.981-00</t>
  </si>
  <si>
    <t>Leandro Silva</t>
  </si>
  <si>
    <t>Flavia Bordin Silva</t>
  </si>
  <si>
    <t>Tatiane Cavalcante</t>
  </si>
  <si>
    <t>Regular</t>
  </si>
  <si>
    <t>396.987.388-60</t>
  </si>
  <si>
    <t>069.572.446-01</t>
  </si>
  <si>
    <t>Eder Mauro Dias Braga</t>
  </si>
  <si>
    <t>Fernando Alves Vieira</t>
  </si>
  <si>
    <t>Rafaele Alves</t>
  </si>
  <si>
    <t>043.643.369-98</t>
  </si>
  <si>
    <t>41 98801-2729</t>
  </si>
  <si>
    <t>edermauro@hotmail.com</t>
  </si>
  <si>
    <t>Contagem</t>
  </si>
  <si>
    <t>Lucas Zambrim</t>
  </si>
  <si>
    <t>Valdesson Japiassu</t>
  </si>
  <si>
    <t>Edinardo Dutra Magalhães</t>
  </si>
  <si>
    <t>038.842.701-92</t>
  </si>
  <si>
    <t>969.305.946-87</t>
  </si>
  <si>
    <t>Fernando Victor Amaro</t>
  </si>
  <si>
    <t>Flavia Valone Gorini Jacob</t>
  </si>
  <si>
    <t>edinardomagalhaes@hotmail.com</t>
  </si>
  <si>
    <t>MLT MAC</t>
  </si>
  <si>
    <t>Solicitou distrato 26/03/2021</t>
  </si>
  <si>
    <t>R$ 109.952,58</t>
  </si>
  <si>
    <t>R$ 121.528,77</t>
  </si>
  <si>
    <t>Edmar Teodoro de Moura</t>
  </si>
  <si>
    <t>008004851</t>
  </si>
  <si>
    <t>264.299.006-06</t>
  </si>
  <si>
    <t>036.516.639-14</t>
  </si>
  <si>
    <t>Filipe Augusto Estorilio Silva Pinto</t>
  </si>
  <si>
    <t>Corporate</t>
  </si>
  <si>
    <t>Alteração de carteira finalizada (06/02/2025)</t>
  </si>
  <si>
    <t>edmundostarling20252@gmail.com</t>
  </si>
  <si>
    <t>Taxa autorizada pelo Thiago Canabrava</t>
  </si>
  <si>
    <t>Flavio Cesar Imazu Santana</t>
  </si>
  <si>
    <t>02.723.425/0001-54</t>
  </si>
  <si>
    <t>Flash Car Lubrificantes e Filtros</t>
  </si>
  <si>
    <t>057.366.629-65</t>
  </si>
  <si>
    <t>Alteração de carteira finalizada (09/04/2026)</t>
  </si>
  <si>
    <t>119.578.241-15</t>
  </si>
  <si>
    <t>Flavia de Sousa Marquez Morais</t>
  </si>
  <si>
    <t>Alteração de carteira finalizada (07/12/2023)</t>
  </si>
  <si>
    <t>Conservador para Moderado (26/01/2021). Distrato 30/03</t>
  </si>
  <si>
    <t>R$ 492.967,11</t>
  </si>
  <si>
    <t>R$ 487.300,17</t>
  </si>
  <si>
    <t>R$ 500.692,93</t>
  </si>
  <si>
    <t>Edmur Amaral Marques</t>
  </si>
  <si>
    <t>Manter CRA BTG/ 30% D+0 (22/10/2025)</t>
  </si>
  <si>
    <t>096.469.651-72</t>
  </si>
  <si>
    <t>edmurmarques@hotmail.com</t>
  </si>
  <si>
    <t>432.137.661-00</t>
  </si>
  <si>
    <t>Flávia Moreira Prudente Demes</t>
  </si>
  <si>
    <t>Solicitou distrato 21/07/2022</t>
  </si>
  <si>
    <t>Edna Ferreira da Silva Gama</t>
  </si>
  <si>
    <t>003895497</t>
  </si>
  <si>
    <t>Forte e Cia Prestadora de Servicos</t>
  </si>
  <si>
    <t>423.491.091-00</t>
  </si>
  <si>
    <t>ednafsgama@icloud.com</t>
  </si>
  <si>
    <t>Solicitou resgate total dia 14/12/2022</t>
  </si>
  <si>
    <t>25.159.734/0001-49</t>
  </si>
  <si>
    <t xml:space="preserve">Flávio Costa Bezerra Filho       </t>
  </si>
  <si>
    <t>Edoardo Coutinho Lazzaretti</t>
  </si>
  <si>
    <t>004337021</t>
  </si>
  <si>
    <t>Caio Cesar Da Rocha Valente Araujo</t>
  </si>
  <si>
    <t>042.680.491-00</t>
  </si>
  <si>
    <t>Edson Charles e Silva Sousa</t>
  </si>
  <si>
    <t>008103455</t>
  </si>
  <si>
    <t>516.702.081-68</t>
  </si>
  <si>
    <t>Franklin Delano Choairy de Abreu</t>
  </si>
  <si>
    <t>Frederico Assad Andrade</t>
  </si>
  <si>
    <t>586.351.492-20</t>
  </si>
  <si>
    <t>090.297.486-64</t>
  </si>
  <si>
    <t xml:space="preserve">Eduarda Gabriella Santos Borges </t>
  </si>
  <si>
    <t>005034522</t>
  </si>
  <si>
    <t>092.712.211-17</t>
  </si>
  <si>
    <t>gabriellaborges2310@hotmail.com</t>
  </si>
  <si>
    <t>Conservadora | 5% em renda variável</t>
  </si>
  <si>
    <t>Passos</t>
  </si>
  <si>
    <t>004229526</t>
  </si>
  <si>
    <t>123.878.387-26</t>
  </si>
  <si>
    <t>Frederico Fernandes de Souza Mulina Pereira</t>
  </si>
  <si>
    <t>Solicitou distrato 20/09/2021</t>
  </si>
  <si>
    <t>Eduardo Augusto Rosa</t>
  </si>
  <si>
    <t>004999434</t>
  </si>
  <si>
    <t>018.033.007-10</t>
  </si>
  <si>
    <t>Fundação de Empreedimentos Científicos Tecnológicos</t>
  </si>
  <si>
    <t>CONTA INDEVIDA</t>
  </si>
  <si>
    <t>Eduardo Barros Bittencourt</t>
  </si>
  <si>
    <t>230.362.731-15</t>
  </si>
  <si>
    <t>67 99982-0469</t>
  </si>
  <si>
    <t>eduardo2bb@gmail.com</t>
  </si>
  <si>
    <t>072.707.861-51</t>
  </si>
  <si>
    <t xml:space="preserve">Gabriel Antonio Ferreira Alves  </t>
  </si>
  <si>
    <t>Eduardo de Araujo Thome Filho e/ou Maria Paula Basaglia Tavoni</t>
  </si>
  <si>
    <t>30k D+0 (23/07/2025)</t>
  </si>
  <si>
    <t>022.183.581-40</t>
  </si>
  <si>
    <t>eduardoagrothome@outlook.com</t>
  </si>
  <si>
    <t>012.345.381-05</t>
  </si>
  <si>
    <t>Gabriel Basile Pantazis</t>
  </si>
  <si>
    <t>Eduardo Franco Strassburger</t>
  </si>
  <si>
    <t>009268477</t>
  </si>
  <si>
    <t>Gabriel de Abreu Silva</t>
  </si>
  <si>
    <t>046.920.380-39</t>
  </si>
  <si>
    <t>61 98274-3073</t>
  </si>
  <si>
    <t>efs.investimentos@gmail.com</t>
  </si>
  <si>
    <t>132.231.687-29</t>
  </si>
  <si>
    <t>047.348.261-45</t>
  </si>
  <si>
    <t>Gabriel Campos Soares da Fonseca</t>
  </si>
  <si>
    <t>004508516</t>
  </si>
  <si>
    <t>Alteração de carteira finalizada (27/07/2023)</t>
  </si>
  <si>
    <t>eduardo@grupoprolar.com.br</t>
  </si>
  <si>
    <t>855.893.221-20</t>
  </si>
  <si>
    <t>Gabriel de Oliveira</t>
  </si>
  <si>
    <t>Gabriel Jorge SULadera</t>
  </si>
  <si>
    <t>Small Caps para moderada 20/08/2021 / Solicitou distrato 16/11/2021</t>
  </si>
  <si>
    <t>004461070</t>
  </si>
  <si>
    <t>089.853.926-97</t>
  </si>
  <si>
    <t>Gabriel Nunes de Miranda</t>
  </si>
  <si>
    <t>Solicitou resgate total de valores em 29/03/2022 e no dia 27/06/2022</t>
  </si>
  <si>
    <t>R$ 155.259,72</t>
  </si>
  <si>
    <t>008223177</t>
  </si>
  <si>
    <t>134.921.317-94</t>
  </si>
  <si>
    <t>Gabriel Oliveira Paixao Rodrigues da Silva</t>
  </si>
  <si>
    <t>Data da Solicitação</t>
  </si>
  <si>
    <t>Tipo de Saída</t>
  </si>
  <si>
    <t>eduardo_martinez@outlook.com.br</t>
  </si>
  <si>
    <t>Gabriel Lima Lopes e/ou Stephanie Benabou</t>
  </si>
  <si>
    <t>ARR/ FII</t>
  </si>
  <si>
    <t>064.354.499-29</t>
  </si>
  <si>
    <t>825558</t>
  </si>
  <si>
    <t>166.774.017-23</t>
  </si>
  <si>
    <t>Gabriel Santos do Amaral Pires</t>
  </si>
  <si>
    <t>Eduardo Leopoldino Gonçalves</t>
  </si>
  <si>
    <t>005169333</t>
  </si>
  <si>
    <t>Solicitou resgate total com a intenção de distrato 26/04/2022</t>
  </si>
  <si>
    <t>Cliente solicitou distrato</t>
  </si>
  <si>
    <t>027.053.441-52</t>
  </si>
  <si>
    <t>3383740</t>
  </si>
  <si>
    <t>Juliana de Paula Silva Ramalho ou Saulo</t>
  </si>
  <si>
    <t>149.611.777-84</t>
  </si>
  <si>
    <t>Gabrielle Nogueira Lobo Ribeiro</t>
  </si>
  <si>
    <t>2961934</t>
  </si>
  <si>
    <t>Eduardo Mendes Da Silva</t>
  </si>
  <si>
    <t>004804125</t>
  </si>
  <si>
    <t>Vilmar José Fortuna (Celso)</t>
  </si>
  <si>
    <t>Gabriel Machado Leite</t>
  </si>
  <si>
    <t>STVM interna finalizada (19/03/2024) Cliente solicitou distrato 19/07/2024</t>
  </si>
  <si>
    <t>111.125.575-04</t>
  </si>
  <si>
    <t>4241586</t>
  </si>
  <si>
    <t>Resgate Parcial</t>
  </si>
  <si>
    <t>Renan Pieratti</t>
  </si>
  <si>
    <t>008.774.471-60</t>
  </si>
  <si>
    <t>022.444.269-47</t>
  </si>
  <si>
    <t>Geancarlo Jandre</t>
  </si>
  <si>
    <t>2534866</t>
  </si>
  <si>
    <t>Resgate de 15K</t>
  </si>
  <si>
    <t>005332628</t>
  </si>
  <si>
    <t>3520517</t>
  </si>
  <si>
    <t>035.957.468-80</t>
  </si>
  <si>
    <t>Geraldo Cardoso de Mello Neto</t>
  </si>
  <si>
    <t>Eduardo Rios da Costa Carvalho</t>
  </si>
  <si>
    <t>Alteração dde carteira finalizada (09/09/2025)</t>
  </si>
  <si>
    <t>713.253.441-68</t>
  </si>
  <si>
    <t>eduardopsicologia@hotmail.com</t>
  </si>
  <si>
    <t>2701746</t>
  </si>
  <si>
    <t>Patrick Francois Durans Amorim</t>
  </si>
  <si>
    <t>11.001.067/0001-67</t>
  </si>
  <si>
    <t>GHD Empreendimentos Imobiliarios LTDA</t>
  </si>
  <si>
    <t>Alteração de Conservador para Moderado</t>
  </si>
  <si>
    <t>Solicitou distrato 04/11/2021</t>
  </si>
  <si>
    <t>431690</t>
  </si>
  <si>
    <t>Edval Luiz Mazzari Junior</t>
  </si>
  <si>
    <t>Imc Construcoes Ltda</t>
  </si>
  <si>
    <t>Arrojada 50</t>
  </si>
  <si>
    <t>048.036.009-02</t>
  </si>
  <si>
    <t>edval.mzzr@gmail.com</t>
  </si>
  <si>
    <t>4345500</t>
  </si>
  <si>
    <t>Guilherme Figueiredo Ferreira</t>
  </si>
  <si>
    <t>705.880.401-00</t>
  </si>
  <si>
    <t>Giani Silva Rocha</t>
  </si>
  <si>
    <t>5773924</t>
  </si>
  <si>
    <t>Resgate LFT - Não realizar a venda dos fundos Headline XP VC e Venture Capital | Resgatar BDR | Manter FIP | Aplicar R$200.000,00 com vencimento até 01/2023 | Solicitou distrato 21/11/2022</t>
  </si>
  <si>
    <t>Wagner Vaz Cardozo</t>
  </si>
  <si>
    <t xml:space="preserve">Edward Lucio Vieira Borba       </t>
  </si>
  <si>
    <t>004204500</t>
  </si>
  <si>
    <t>Leandro Soares Lemos De Sousa</t>
  </si>
  <si>
    <t>5792082</t>
  </si>
  <si>
    <t xml:space="preserve">Cliente solicitou troca de assessoria </t>
  </si>
  <si>
    <t>2645505</t>
  </si>
  <si>
    <t>EG FLEURY ASSESSORIA E SERVICOS LTDA</t>
  </si>
  <si>
    <t>005266369</t>
  </si>
  <si>
    <t>Solicitou distrato 21/11/2022</t>
  </si>
  <si>
    <t>323684</t>
  </si>
  <si>
    <t>37.197.978/0001-03</t>
  </si>
  <si>
    <t>07.070.704/0001-80</t>
  </si>
  <si>
    <t>Giga TV Eireli</t>
  </si>
  <si>
    <t>3713246</t>
  </si>
  <si>
    <t>Eike Jefferson Galdino Pereira</t>
  </si>
  <si>
    <t>005064544</t>
  </si>
  <si>
    <t>Laís do Prado Costa</t>
  </si>
  <si>
    <t>078.635.879-30</t>
  </si>
  <si>
    <t>Conservadora para Income 09/03/2022. Solicitou distrato 03/05/2022</t>
  </si>
  <si>
    <t>Gabriel Mattos Fonteles</t>
  </si>
  <si>
    <t>475794</t>
  </si>
  <si>
    <t>Ourinhos</t>
  </si>
  <si>
    <t>000.849.111-90</t>
  </si>
  <si>
    <t>Elaine Aparecida Ferreira dos Santos</t>
  </si>
  <si>
    <t>004921978</t>
  </si>
  <si>
    <t>150.869.501-63</t>
  </si>
  <si>
    <t>089.193.558-43</t>
  </si>
  <si>
    <t>Gilmar Araujo Neves</t>
  </si>
  <si>
    <t>Solicitou distrato 08/10/2021</t>
  </si>
  <si>
    <t>Elaine Assuncao Batista</t>
  </si>
  <si>
    <t>008115265</t>
  </si>
  <si>
    <t>064.860.366-05</t>
  </si>
  <si>
    <t>elainecon12@yahoo.com.br</t>
  </si>
  <si>
    <t>3203106</t>
  </si>
  <si>
    <t>Solicitou distrato 09/06/2022</t>
  </si>
  <si>
    <t>Gabriel Villas Boas dos Santos Tabosa</t>
  </si>
  <si>
    <t>Joao Paulo Setubal Campos Martins</t>
  </si>
  <si>
    <t>STVM para BTG - 10/04/23</t>
  </si>
  <si>
    <t>127.121.420-20</t>
  </si>
  <si>
    <t>Elaine Leal Luz Boiteux</t>
  </si>
  <si>
    <t>98.767.581-87</t>
  </si>
  <si>
    <t>484.543.461-04</t>
  </si>
  <si>
    <t>Gilson Apolinário Alencar</t>
  </si>
  <si>
    <t>elainelluz@gmail.com</t>
  </si>
  <si>
    <t>5776702</t>
  </si>
  <si>
    <t>Janaina Tenorio Trancoso Tavares Da Silva</t>
  </si>
  <si>
    <r>
      <rPr>
        <rFont val="Times New Roman"/>
        <color rgb="FF000000"/>
        <sz val="10.0"/>
      </rPr>
      <t xml:space="preserve">Na parte de Renda variável por enquanto fazer R$ 100.000,00 em </t>
    </r>
    <r>
      <rPr>
        <rFont val="Times New Roman"/>
        <b/>
        <color rgb="FF000000"/>
        <sz val="10.0"/>
      </rPr>
      <t>FIIs</t>
    </r>
    <r>
      <rPr>
        <rFont val="Times New Roman"/>
        <color rgb="FF000000"/>
        <sz val="10.0"/>
      </rPr>
      <t>.</t>
    </r>
  </si>
  <si>
    <t>2591134</t>
  </si>
  <si>
    <t>Otoplus Otorrinolaringologia S S Ltda</t>
  </si>
  <si>
    <t>008384472</t>
  </si>
  <si>
    <t>373.046.661-53</t>
  </si>
  <si>
    <t>Gisela Goulart Valadares</t>
  </si>
  <si>
    <t>Troca de assessor de Thiago Canabrava para Luca Bueno em 11/01/2023</t>
  </si>
  <si>
    <t>Geovani Aparecido da Silva</t>
  </si>
  <si>
    <t>3257117</t>
  </si>
  <si>
    <t>646.623.739-72</t>
  </si>
  <si>
    <t>001.443.361-38</t>
  </si>
  <si>
    <t>Glauber Oliveira Silva</t>
  </si>
  <si>
    <t>Elaine Leal Santos</t>
  </si>
  <si>
    <t>005338054</t>
  </si>
  <si>
    <t>Larissa Montes</t>
  </si>
  <si>
    <t>Troca de assessor de Thiago Brum para Thiago Canabrava em 12/12/2022</t>
  </si>
  <si>
    <t>028.308.451-02</t>
  </si>
  <si>
    <t>elainels.19@hotmail.com</t>
  </si>
  <si>
    <t>2310651</t>
  </si>
  <si>
    <t>Eleazar Ferreira</t>
  </si>
  <si>
    <t>824.787.161-00</t>
  </si>
  <si>
    <t>Lanna Cristina Gomes Leite</t>
  </si>
  <si>
    <t>008385898</t>
  </si>
  <si>
    <t>Glaucia de Avila Oliveira</t>
  </si>
  <si>
    <t>Eleazar Ferreira Junior</t>
  </si>
  <si>
    <t>DIV/ COADM</t>
  </si>
  <si>
    <t>350.287.939-72</t>
  </si>
  <si>
    <t>eleazar.ferreira@gmail.com</t>
  </si>
  <si>
    <t>4332042</t>
  </si>
  <si>
    <t>Vitor Henrique Lages Ferreira</t>
  </si>
  <si>
    <t>004486497</t>
  </si>
  <si>
    <t>328.365.381-04</t>
  </si>
  <si>
    <t>Gleide Satyro Sales</t>
  </si>
  <si>
    <t>STVM de saída para XP iniciada (13/05/2024)</t>
  </si>
  <si>
    <t>elenarh3@gmail.com</t>
  </si>
  <si>
    <t>3615656</t>
  </si>
  <si>
    <t>Ricardo Abreu Emediato</t>
  </si>
  <si>
    <t>775.903.921-20</t>
  </si>
  <si>
    <t>Graziela Monaco Biavati</t>
  </si>
  <si>
    <t>Elene Mendonça Motta Tipple e/ou Marcondes José da Motta Junior</t>
  </si>
  <si>
    <t>004908680</t>
  </si>
  <si>
    <t>Solicitou distrato 18/11/2021</t>
  </si>
  <si>
    <t>410.117.161-00</t>
  </si>
  <si>
    <t>elenemotta@gmail.com</t>
  </si>
  <si>
    <t>065.040.338-03</t>
  </si>
  <si>
    <t>Guaraci Lelis Beleza</t>
  </si>
  <si>
    <t>Moderada/FIIs</t>
  </si>
  <si>
    <t>50% RF 50% Fundos Imobiliários</t>
  </si>
  <si>
    <t>Eleni Esmeraldino Amorim e/ou Adriana Berford Leão Amorim</t>
  </si>
  <si>
    <t>005101676</t>
  </si>
  <si>
    <t>606.328.601-20</t>
  </si>
  <si>
    <t>074.309.676-20</t>
  </si>
  <si>
    <t>Guilherme Avelar de Souza</t>
  </si>
  <si>
    <t>Solicitou distrato 25/04/2022</t>
  </si>
  <si>
    <t>2730754</t>
  </si>
  <si>
    <t>Naia Camelo Vilas Boas</t>
  </si>
  <si>
    <t>eleuse.machado@gmail.com</t>
  </si>
  <si>
    <t>089.628.836-60</t>
  </si>
  <si>
    <t>Guilherme Barreto Silva</t>
  </si>
  <si>
    <t>Solicitou distrato 27/07/2021</t>
  </si>
  <si>
    <t>4351136</t>
  </si>
  <si>
    <t>ELF Participações e Investimentos LTDA</t>
  </si>
  <si>
    <t>Sabrina Mendes Lago</t>
  </si>
  <si>
    <t>002051046</t>
  </si>
  <si>
    <t>03.632.924/0001-07</t>
  </si>
  <si>
    <t>4502541</t>
  </si>
  <si>
    <t>104.843.866-03</t>
  </si>
  <si>
    <t>Guilherme Nogueira Bassi</t>
  </si>
  <si>
    <t>Solicitou distrato 25/05/2022</t>
  </si>
  <si>
    <t>Giseli Giocondo</t>
  </si>
  <si>
    <t>Eliane dos Santos</t>
  </si>
  <si>
    <t>4387335</t>
  </si>
  <si>
    <t>225.012.821-91</t>
  </si>
  <si>
    <t>fabiobindes@gmail.com</t>
  </si>
  <si>
    <t>811.320.699-04</t>
  </si>
  <si>
    <t>504.801.114-72</t>
  </si>
  <si>
    <t>Solicitou distrato 17/09/2020</t>
  </si>
  <si>
    <t>R$ 278.844,53</t>
  </si>
  <si>
    <t>R$ 283.487,59</t>
  </si>
  <si>
    <t>R$ 284.708,82</t>
  </si>
  <si>
    <t>R$ 283.315,67</t>
  </si>
  <si>
    <t>R$ 268.347,28</t>
  </si>
  <si>
    <t>R$ 263.595,12</t>
  </si>
  <si>
    <t>R$ 271.313,48</t>
  </si>
  <si>
    <t>R$ 274.896,12</t>
  </si>
  <si>
    <t>R$ 281.565,81</t>
  </si>
  <si>
    <t>R$ 277.581,55</t>
  </si>
  <si>
    <t>R$ 50.275,36</t>
  </si>
  <si>
    <t xml:space="preserve">Eliane Medeiros Leopoldino Gonçalves </t>
  </si>
  <si>
    <t>003987275</t>
  </si>
  <si>
    <t>Glauco Leonardo Evangelista Guimaraes</t>
  </si>
  <si>
    <t>539.715.071-15</t>
  </si>
  <si>
    <t>Guilherme Sátyro Sales</t>
  </si>
  <si>
    <t>Elisa Faical Valim</t>
  </si>
  <si>
    <t>645.479.221-87</t>
  </si>
  <si>
    <t>004213943</t>
  </si>
  <si>
    <t>R$ 144.446,13</t>
  </si>
  <si>
    <t>4461608</t>
  </si>
  <si>
    <t>R$ 19.498,71</t>
  </si>
  <si>
    <t>R$ 46.801,02</t>
  </si>
  <si>
    <t>R$ 20.830,71</t>
  </si>
  <si>
    <t>R$ 144,08</t>
  </si>
  <si>
    <t>R$ 132,84</t>
  </si>
  <si>
    <t>R$ 123,59</t>
  </si>
  <si>
    <t>R$ 198,79</t>
  </si>
  <si>
    <t>051.090.389-45</t>
  </si>
  <si>
    <t>072.548.609-03</t>
  </si>
  <si>
    <t>Gustavo Branco</t>
  </si>
  <si>
    <t>008399947</t>
  </si>
  <si>
    <t>Troca de Assessoria</t>
  </si>
  <si>
    <t>elisafaiva@hotmail.com</t>
  </si>
  <si>
    <t xml:space="preserve">Genial </t>
  </si>
  <si>
    <t>471.458.031-00</t>
  </si>
  <si>
    <t>Gustavo Dauster Vivacqua e Silva</t>
  </si>
  <si>
    <t>Elisabete Manfrim Junqueira</t>
  </si>
  <si>
    <t>Solicitou distrato 25/10/2021</t>
  </si>
  <si>
    <t>Alto Paraíso de Goiás</t>
  </si>
  <si>
    <t xml:space="preserve">STVM para XP 02/02/2021 </t>
  </si>
  <si>
    <t>200k D+0 (06/07/2026).</t>
  </si>
  <si>
    <t>639.458.511-49</t>
  </si>
  <si>
    <t>67 99844-7910</t>
  </si>
  <si>
    <t>elisabetemanfrimjunqueira@gmail.com</t>
  </si>
  <si>
    <t>877.851.961-68</t>
  </si>
  <si>
    <t>Gustavo Machado Amorim</t>
  </si>
  <si>
    <t>Pode operar</t>
  </si>
  <si>
    <t>Não cobrar (conta vinculada para fins de aprendizado)</t>
  </si>
  <si>
    <t>Elisandra Correia Fleury</t>
  </si>
  <si>
    <t>003497496</t>
  </si>
  <si>
    <t>705.888.791-85</t>
  </si>
  <si>
    <t>elianderson@fleury.cnt.br</t>
  </si>
  <si>
    <t>334.649.281-87</t>
  </si>
  <si>
    <t>Guttenberg Rodrigues Pereira Primo</t>
  </si>
  <si>
    <t>Solicitou Resgate Total | Solicitou distrato 08/08/2022</t>
  </si>
  <si>
    <t>Guilherme Alberini Chueiri</t>
  </si>
  <si>
    <t>Elisangela Guimarães de Andrade</t>
  </si>
  <si>
    <t>005376057</t>
  </si>
  <si>
    <t>039.532.939-66</t>
  </si>
  <si>
    <t>43 99854-5720</t>
  </si>
  <si>
    <t>elisangela@brandaocanella.adv.br</t>
  </si>
  <si>
    <t>038.160.939-14</t>
  </si>
  <si>
    <t>107.880.726-41</t>
  </si>
  <si>
    <t>Henrique Fernando Campos Marques</t>
  </si>
  <si>
    <t>Elizabeth Carmo Da Cunha</t>
  </si>
  <si>
    <t>008297098</t>
  </si>
  <si>
    <t>Lucas Ferreira</t>
  </si>
  <si>
    <t>024.401.297-04</t>
  </si>
  <si>
    <t>bethcunha663@gmail.com</t>
  </si>
  <si>
    <t>340481</t>
  </si>
  <si>
    <t>37.057.387/0001-22</t>
  </si>
  <si>
    <t>Hepta Tecnologia e Informatica Ltda</t>
  </si>
  <si>
    <t>Ricardo de Oliveira Ramos</t>
  </si>
  <si>
    <t>Saiu de RF Ativa para Corporativa (14/04/2021)</t>
  </si>
  <si>
    <t>2738224</t>
  </si>
  <si>
    <t>R$ 500.092,11</t>
  </si>
  <si>
    <t>R$ 500.088,38</t>
  </si>
  <si>
    <t>R$ 500.606,78</t>
  </si>
  <si>
    <t>Guilherme Conte Diniz</t>
  </si>
  <si>
    <t>Elizete Maria Facco Batista</t>
  </si>
  <si>
    <t>003712689</t>
  </si>
  <si>
    <t>843.848.406-91</t>
  </si>
  <si>
    <t>Hernane da Silva Ribeiro</t>
  </si>
  <si>
    <t>20% D+0 (24/07/2026)</t>
  </si>
  <si>
    <t>502.927.491-04</t>
  </si>
  <si>
    <t>068.121.089-36</t>
  </si>
  <si>
    <t>66 99639-7061</t>
  </si>
  <si>
    <t>FINANCEIRO@JORGEMAQUINAS.COM.BR</t>
  </si>
  <si>
    <t>2847489</t>
  </si>
  <si>
    <t>Tiago Costa Chaves</t>
  </si>
  <si>
    <t>Elsi Maria Auxiliadora Leal dos Santos</t>
  </si>
  <si>
    <t>004855073</t>
  </si>
  <si>
    <t>14.750.840/0001-86</t>
  </si>
  <si>
    <t>HFR Construtora LTDA</t>
  </si>
  <si>
    <t>CON/ PREV CON</t>
  </si>
  <si>
    <t>2721127</t>
  </si>
  <si>
    <t>045.703.087-91</t>
  </si>
  <si>
    <t>Lissa Moreira Marques</t>
  </si>
  <si>
    <t>Conservadora 5</t>
  </si>
  <si>
    <t>"5% RV (Short list Mafra) | 45% Pre (30 LTN 15 CP) | 35% P´´os (LFT) | 15% Inflação (10,5 NTNB 4,5 CP)" por "5% RV (Short list Mafra) | 45% Pre (30 LTN 15 CP) | 35% Pós (LFT) | 15% Inflação (10,5 NTNB 4,5 CP)</t>
  </si>
  <si>
    <t>Trindade</t>
  </si>
  <si>
    <t>331865</t>
  </si>
  <si>
    <t>Ema Elisete Gonçalves Pereira Bitencourt</t>
  </si>
  <si>
    <t>283.799.691-20</t>
  </si>
  <si>
    <t>62 99966-2857</t>
  </si>
  <si>
    <t>emaelisete28@gmail.com</t>
  </si>
  <si>
    <t xml:space="preserve">HFR Construtora LTDA  </t>
  </si>
  <si>
    <t>450 mil em Liq. diária (CAIXA); 300 mil em Liq. para 15/01/23; 150 mil em Equities; 200 mil em RF com venc. até 07/2024</t>
  </si>
  <si>
    <t>Emerson Rogerio Rodrigues</t>
  </si>
  <si>
    <t>026874040</t>
  </si>
  <si>
    <t>708.194.839-15</t>
  </si>
  <si>
    <t>43 98828-5187</t>
  </si>
  <si>
    <t>emerson@assessoriatarget.com.br</t>
  </si>
  <si>
    <t>284.938.931-53</t>
  </si>
  <si>
    <t>Hugo de Pina Junior</t>
  </si>
  <si>
    <t>2894145</t>
  </si>
  <si>
    <t>Henrique Reinert Lopes Dias</t>
  </si>
  <si>
    <t>Emília do Rosário Pereira Louro</t>
  </si>
  <si>
    <t>Solicitou distrato 15/03/2021</t>
  </si>
  <si>
    <t>Solicitou Resgate Total</t>
  </si>
  <si>
    <t>006.440.378-57</t>
  </si>
  <si>
    <t>emilia.louro@hotmail.com</t>
  </si>
  <si>
    <t>808.287.281-00</t>
  </si>
  <si>
    <t>R$ 131.783,97</t>
  </si>
  <si>
    <t>722.850.441-00</t>
  </si>
  <si>
    <t>Igor de Souza Saraiva</t>
  </si>
  <si>
    <t>Emilson Ponciano Tresvenzo</t>
  </si>
  <si>
    <t>Solicitou distrato 19/11/2021</t>
  </si>
  <si>
    <t>148.123.041-72</t>
  </si>
  <si>
    <t>R$ 210.000,00</t>
  </si>
  <si>
    <t>R$ 194.214,12</t>
  </si>
  <si>
    <t>ettj45@gmail.com</t>
  </si>
  <si>
    <t>R$ 198.068,23</t>
  </si>
  <si>
    <t>R$ 201.242,96</t>
  </si>
  <si>
    <t>R$ 205.525,11</t>
  </si>
  <si>
    <t>R$ 212.044,93</t>
  </si>
  <si>
    <t>R$ 206.608,34</t>
  </si>
  <si>
    <t>R$ 193.638,72</t>
  </si>
  <si>
    <t>R$ 193.056,18</t>
  </si>
  <si>
    <t>R$ 204.039,14</t>
  </si>
  <si>
    <t>4487607</t>
  </si>
  <si>
    <t>723.217.921-91</t>
  </si>
  <si>
    <t>Igor Martins Silva</t>
  </si>
  <si>
    <t xml:space="preserve">Emmanuelle Alkmim de Castro Branco  </t>
  </si>
  <si>
    <t>004206790</t>
  </si>
  <si>
    <t>Alteração de carteira finalizada (27/06/2024)</t>
  </si>
  <si>
    <t>Solicitou distrato 02/02/2021</t>
  </si>
  <si>
    <t xml:space="preserve">Solicitou Resgate Total </t>
  </si>
  <si>
    <t>Ilton Luis Guimarães de Siqueira</t>
  </si>
  <si>
    <t>ENENGE URBANISMO LTDA</t>
  </si>
  <si>
    <t>004896132</t>
  </si>
  <si>
    <t>4455683</t>
  </si>
  <si>
    <t>22.427.278/0001-82</t>
  </si>
  <si>
    <t>Manter na carteira do cliente as previdências e os COEs, e montar uma carteira de FIIs no valor de 135K</t>
  </si>
  <si>
    <t>Rafaella SULadera</t>
  </si>
  <si>
    <t>5808809</t>
  </si>
  <si>
    <t>Hugo Franco Rodrigues</t>
  </si>
  <si>
    <t>Ercules Gricolo Miranda</t>
  </si>
  <si>
    <t>5745998</t>
  </si>
  <si>
    <t>Guilherme Otavio Morais de Carvalho</t>
  </si>
  <si>
    <t>IMC Construcoes - LTDA</t>
  </si>
  <si>
    <t>Viviana Peribanez Gonzalez de Araújo</t>
  </si>
  <si>
    <t>030.840.391-60</t>
  </si>
  <si>
    <t>67 99940-6383</t>
  </si>
  <si>
    <t>ercules.miranda@outlook.com</t>
  </si>
  <si>
    <t>Moderada 50</t>
  </si>
  <si>
    <t>5752960</t>
  </si>
  <si>
    <t>698.465.291-04</t>
  </si>
  <si>
    <t>120.949.648-84</t>
  </si>
  <si>
    <t>Ines de Oliveira Santos Rapchan</t>
  </si>
  <si>
    <t>Eric Pereira de Oliveira</t>
  </si>
  <si>
    <t>Solicitou resgate total 21/03/2022</t>
  </si>
  <si>
    <t>Assis</t>
  </si>
  <si>
    <t>001.486.541-69</t>
  </si>
  <si>
    <t>62 99618-7718</t>
  </si>
  <si>
    <t>e.oliveira@oxbo.com</t>
  </si>
  <si>
    <t>4375396</t>
  </si>
  <si>
    <t>Julio Cezar Portes</t>
  </si>
  <si>
    <t>03.857.085/0001-17</t>
  </si>
  <si>
    <t>Interlagos Construtora e Incorporadora LTDA</t>
  </si>
  <si>
    <t>5809120</t>
  </si>
  <si>
    <t>Erica Vilela Pereira Kurihara</t>
  </si>
  <si>
    <t>Não aplicar em títulos de mais de 6 meses (liquidez) / Conservadora para Multi Macro (17/01/2022)</t>
  </si>
  <si>
    <t>Leonardo Franco Rodrigues</t>
  </si>
  <si>
    <t>Guiomar Rodrigues de Carvalho</t>
  </si>
  <si>
    <t>Cliente retornou para base (30/01/2026)</t>
  </si>
  <si>
    <t>772.690.391-00</t>
  </si>
  <si>
    <t>61 99222-4316</t>
  </si>
  <si>
    <t>vilelita@gmail.com</t>
  </si>
  <si>
    <t>2865175</t>
  </si>
  <si>
    <t>Solicitou resgate total (14/10/2021)</t>
  </si>
  <si>
    <t>087.797.321-00</t>
  </si>
  <si>
    <t>Erica Vilela Pereira Kurihara e/ou Diogo Luis Kurihara</t>
  </si>
  <si>
    <t>804771</t>
  </si>
  <si>
    <t>Mauricio de Figueiredo Correa da Veiga</t>
  </si>
  <si>
    <t>010.553.211-87</t>
  </si>
  <si>
    <t>Iracy Maria Machado de Amorim</t>
  </si>
  <si>
    <t>Alocar o último recurso de R$500 mil em fundo DI até o fim das eleições.</t>
  </si>
  <si>
    <t>Erik Richard Scheis</t>
  </si>
  <si>
    <t>005995120</t>
  </si>
  <si>
    <t>100K D+0 e aplicações com Cascata de Vencimentos, sem RF Ativo, sem LCI (PJ) (06/02/2026).</t>
  </si>
  <si>
    <t>37.744.152/0001-09</t>
  </si>
  <si>
    <t>erik@seagroagricola.com</t>
  </si>
  <si>
    <t>Gustavo Athaide Halmenschlager</t>
  </si>
  <si>
    <t>60.185.717/0001-87</t>
  </si>
  <si>
    <t>Irmãos Sakuragui LTDA</t>
  </si>
  <si>
    <t>006.827.090-93</t>
  </si>
  <si>
    <t>005641874</t>
  </si>
  <si>
    <t>011.923.840-32</t>
  </si>
  <si>
    <t>515.760.901-91</t>
  </si>
  <si>
    <t>Iron Luiz Gomes dos Reis</t>
  </si>
  <si>
    <t>Conservadora | Alocar 10% do PL em RF</t>
  </si>
  <si>
    <t>3384291</t>
  </si>
  <si>
    <t>Não encontrei cliente na planilha de ct</t>
  </si>
  <si>
    <t>Erika Muniz</t>
  </si>
  <si>
    <t>565.481.171-15</t>
  </si>
  <si>
    <t>Ironaldo Jose de Souza</t>
  </si>
  <si>
    <t>710.903.551-49</t>
  </si>
  <si>
    <t>erikamuniz@gmail.com</t>
  </si>
  <si>
    <t>Gustavo Falavigna Guilherme</t>
  </si>
  <si>
    <t>Ester Zambrin Henrique Bomansour</t>
  </si>
  <si>
    <t>004924605</t>
  </si>
  <si>
    <t>Não reaplicar o dinheiro</t>
  </si>
  <si>
    <t>2352697</t>
  </si>
  <si>
    <t>Equities para arrojada 06/01/2022/ STVM  para o BTG (004452790)</t>
  </si>
  <si>
    <t>054.619.679-90</t>
  </si>
  <si>
    <t>035.171.981-45</t>
  </si>
  <si>
    <t xml:space="preserve">Isaac Vieira Ribeiro </t>
  </si>
  <si>
    <t>097.843.249-54</t>
  </si>
  <si>
    <t>Falar com Rafael</t>
  </si>
  <si>
    <t xml:space="preserve">Eugenia Chirata Nunes </t>
  </si>
  <si>
    <t>004587320</t>
  </si>
  <si>
    <t>4248009</t>
  </si>
  <si>
    <t>Rafael Gomes Dias</t>
  </si>
  <si>
    <t>002.605.731-08</t>
  </si>
  <si>
    <t>077.403.479-30</t>
  </si>
  <si>
    <t>Isabel Luiza Rafael Machado dos Santos</t>
  </si>
  <si>
    <t>eugenia.chirata@gmail.com</t>
  </si>
  <si>
    <t>Conservadora 30</t>
  </si>
  <si>
    <t xml:space="preserve">Euler Nunes de Oliveira </t>
  </si>
  <si>
    <t>Vencimentos D+0 (3012/2024)</t>
  </si>
  <si>
    <t>Taxa de gestão a ser enviada para a Guide devido a erro operacional na XP</t>
  </si>
  <si>
    <t>euler-oliveira@hotmail.com</t>
  </si>
  <si>
    <t>009.682.031-40</t>
  </si>
  <si>
    <t>Isabela Vilas Boas Fontenelle de Mendonça Bernardes</t>
  </si>
  <si>
    <t>Equities p/ Arrojada 15/02/2022 | Não alocar recursos de títulos que vencerem, a cliente precisará dos mesmos. Solicitou distrato 22/11/2022</t>
  </si>
  <si>
    <t>004398253</t>
  </si>
  <si>
    <t>007.209.731-04</t>
  </si>
  <si>
    <t>Isabella Azarias de Sousa</t>
  </si>
  <si>
    <t>Gustavo Jiran Queiroz</t>
  </si>
  <si>
    <t>163.207.869-49</t>
  </si>
  <si>
    <t>029.506.461-74</t>
  </si>
  <si>
    <t>Isadora Prado</t>
  </si>
  <si>
    <t>Eva Maria Perillo Cardoso</t>
  </si>
  <si>
    <t>Income para Conservadora em 19/08/2022 com 10% em ações</t>
  </si>
  <si>
    <t>188.433.011-87</t>
  </si>
  <si>
    <t>evaperillo@terra.com.br</t>
  </si>
  <si>
    <t>Evaldo Arruda De Assis</t>
  </si>
  <si>
    <t>339.748.961-04</t>
  </si>
  <si>
    <t>201.778.794-91</t>
  </si>
  <si>
    <t>priscila.iamada@hotmail.com</t>
  </si>
  <si>
    <t>R$ 611.765,67</t>
  </si>
  <si>
    <t>R$ 631.855,37</t>
  </si>
  <si>
    <t>R$ 629.939,88</t>
  </si>
  <si>
    <t>R$ 602.047,24</t>
  </si>
  <si>
    <t>R$ 429.372,54</t>
  </si>
  <si>
    <t>R$ 440.804,82</t>
  </si>
  <si>
    <t>R$ 461.223,34</t>
  </si>
  <si>
    <t>R$ 488.902,20</t>
  </si>
  <si>
    <t>R$ 531.022,06</t>
  </si>
  <si>
    <t>R$ 501.237,01</t>
  </si>
  <si>
    <t>R$ 472.381,26</t>
  </si>
  <si>
    <t>R$ 74.225,92</t>
  </si>
  <si>
    <t>R$ 84.463,68</t>
  </si>
  <si>
    <t>4247347</t>
  </si>
  <si>
    <t>225.322.501-00</t>
  </si>
  <si>
    <t>Ivanete de Souza Melo Santos</t>
  </si>
  <si>
    <t>Helio Jasckstet</t>
  </si>
  <si>
    <t>Evandro Fernandes Leao</t>
  </si>
  <si>
    <t>STVM para BTG 31/03/2023</t>
  </si>
  <si>
    <t>360.495.069-49</t>
  </si>
  <si>
    <t>084.398.949-10</t>
  </si>
  <si>
    <t>43 99616-7561</t>
  </si>
  <si>
    <t>evandrofernandes96@icloud.com</t>
  </si>
  <si>
    <t>961.273.331-72</t>
  </si>
  <si>
    <t xml:space="preserve">Jaime Estevam Gomes Filho   </t>
  </si>
  <si>
    <t>Helmgton Jose Brito de Souza</t>
  </si>
  <si>
    <t>Evangelina Pereira de Oliveira</t>
  </si>
  <si>
    <t>005646524</t>
  </si>
  <si>
    <t>858.212.505-44</t>
  </si>
  <si>
    <t>3384259</t>
  </si>
  <si>
    <t>091.830.271-49</t>
  </si>
  <si>
    <t>jrmadureira21@gmail.com</t>
  </si>
  <si>
    <t>011.028.981-12</t>
  </si>
  <si>
    <t>Jalison Caio César Cruz</t>
  </si>
  <si>
    <t>2702114</t>
  </si>
  <si>
    <t>008336692</t>
  </si>
  <si>
    <t>4327504</t>
  </si>
  <si>
    <t>4402972</t>
  </si>
  <si>
    <t>Marcos Augusto do Nascimento Vidal</t>
  </si>
  <si>
    <t>F R De Moraes Junior</t>
  </si>
  <si>
    <t>005701765</t>
  </si>
  <si>
    <t>Carteira com fluxo de vencimentos personalizado, consultar F.A. Sem CrPr (30/04/2026)</t>
  </si>
  <si>
    <t>11.606.270/0001-67</t>
  </si>
  <si>
    <t>fernandomoraesjr@yahoo.com.br</t>
  </si>
  <si>
    <t>057.816.619-48</t>
  </si>
  <si>
    <t>Jéssica Schroeder</t>
  </si>
  <si>
    <t>4651873</t>
  </si>
  <si>
    <t>Fabiana Alves de Souza dos Santos</t>
  </si>
  <si>
    <t>Rodrigo Veiga De Oliveira</t>
  </si>
  <si>
    <t>004755204</t>
  </si>
  <si>
    <t>014.301.271-12</t>
  </si>
  <si>
    <t>2466854</t>
  </si>
  <si>
    <t>416.791.801-34</t>
  </si>
  <si>
    <t>165.308.371-91</t>
  </si>
  <si>
    <t>João Beze Sobrinho</t>
  </si>
  <si>
    <t>4355972</t>
  </si>
  <si>
    <t>Jose Humberto de Souza Borges</t>
  </si>
  <si>
    <t>3445098</t>
  </si>
  <si>
    <t>Paulo Renato Simmons de Paula</t>
  </si>
  <si>
    <t>R$ 246.094,95</t>
  </si>
  <si>
    <t>R$ 259.146,31</t>
  </si>
  <si>
    <t>Fabiana Carrato Thome</t>
  </si>
  <si>
    <t>009038731</t>
  </si>
  <si>
    <t>30k D+0 (03/07/2025)</t>
  </si>
  <si>
    <t>011.093.771-69</t>
  </si>
  <si>
    <t>fcarrato@hotmail.com</t>
  </si>
  <si>
    <t>049.895.661-06</t>
  </si>
  <si>
    <t xml:space="preserve">João Felipe Bicalho Prado </t>
  </si>
  <si>
    <t>Falar com a Vivian antes de alocar os recursos</t>
  </si>
  <si>
    <t>Olívio Oliveira Penteado</t>
  </si>
  <si>
    <t>4349786</t>
  </si>
  <si>
    <t>989.075.141-00</t>
  </si>
  <si>
    <t>3939462</t>
  </si>
  <si>
    <t>008178151</t>
  </si>
  <si>
    <t>025.449.161-84</t>
  </si>
  <si>
    <t>Joao Henrique dos Santos Fernandes</t>
  </si>
  <si>
    <t>22k D+0 (04/11/2025)</t>
  </si>
  <si>
    <t>Alteração de carteira finalizada (20/01/2025)</t>
  </si>
  <si>
    <t>200.000,00 em LFT | Restante do saldo e novos aportes: comprar somente com vencimentos até 180 dias</t>
  </si>
  <si>
    <t>Ilham Lebbos Ruzon</t>
  </si>
  <si>
    <t>324.777.169-72</t>
  </si>
  <si>
    <t>2405046</t>
  </si>
  <si>
    <t>Moderada 30</t>
  </si>
  <si>
    <t>030.623.981-75</t>
  </si>
  <si>
    <t>João Pedro Finger Couto</t>
  </si>
  <si>
    <t>008135919</t>
  </si>
  <si>
    <t>846458</t>
  </si>
  <si>
    <t>O Universitário Restaurante</t>
  </si>
  <si>
    <t xml:space="preserve">STVM para XP 09/03/2021 </t>
  </si>
  <si>
    <t xml:space="preserve">	72.586.993/0001-36</t>
  </si>
  <si>
    <t>044.938.481-03</t>
  </si>
  <si>
    <t>João Pedro Guimarães Quinan</t>
  </si>
  <si>
    <t>Inez Guimarães Altafin Cavechia e/ou Sergio Raimundini Cavechia</t>
  </si>
  <si>
    <t>Vencimentos D+0 até dezembro (23/06/2026).</t>
  </si>
  <si>
    <t>STVM de entrada da Guide finalizada (13/07/2023) / Alteração de carteira finalizada (21/01/2025)</t>
  </si>
  <si>
    <t>350.627.896-72</t>
  </si>
  <si>
    <t>039.977.641-90</t>
  </si>
  <si>
    <t>João Pedro Pinto Cordeiro de Miranda Coutinho</t>
  </si>
  <si>
    <t>2672622</t>
  </si>
  <si>
    <t>Maria das Graças Costa</t>
  </si>
  <si>
    <t>Santos</t>
  </si>
  <si>
    <t>R$ 97.320,11</t>
  </si>
  <si>
    <t>R$ 96.897,38</t>
  </si>
  <si>
    <t>R$ 103.023,54</t>
  </si>
  <si>
    <t>Fabio Brandt Ribeiro da Silva</t>
  </si>
  <si>
    <t>008830000</t>
  </si>
  <si>
    <t>Douglas Tuira</t>
  </si>
  <si>
    <t>297.656.251-20</t>
  </si>
  <si>
    <t>João Rafael de Souza Puglia</t>
  </si>
  <si>
    <t>Não movimentar até aviso do assessor. (14/01/2026)</t>
  </si>
  <si>
    <t>229.129.478-47</t>
  </si>
  <si>
    <t>61 98646-8986</t>
  </si>
  <si>
    <t>fabiobrandt@gmail.com</t>
  </si>
  <si>
    <t>R$ 100.686,66</t>
  </si>
  <si>
    <t>R$ 102.473,80</t>
  </si>
  <si>
    <t>009.153.241-80</t>
  </si>
  <si>
    <t>R$ 298.031,80</t>
  </si>
  <si>
    <t>R$ 291.384,04</t>
  </si>
  <si>
    <t>R$ 289.216,89</t>
  </si>
  <si>
    <t>R$ 305.416,59</t>
  </si>
  <si>
    <t>Fabio de Alcantara e Silva</t>
  </si>
  <si>
    <t>Internacional Petfoods Eireli - EPP</t>
  </si>
  <si>
    <t>826678</t>
  </si>
  <si>
    <t>Tatiana Maria Carvalho de Paula</t>
  </si>
  <si>
    <t>22.085.382/0001-36</t>
  </si>
  <si>
    <t>033.787.585-54</t>
  </si>
  <si>
    <t>4478934</t>
  </si>
  <si>
    <t>61 98541-1464</t>
  </si>
  <si>
    <t>023.180.321-49</t>
  </si>
  <si>
    <t>Joaquim Ferreira Cambraia</t>
  </si>
  <si>
    <t>fabiofisio15@gmail.com</t>
  </si>
  <si>
    <t>Marcos Leandro Matias Morris</t>
  </si>
  <si>
    <t>Moderado para Imobiliário 29/03/2021</t>
  </si>
  <si>
    <t>R$ 209.525,62</t>
  </si>
  <si>
    <t>R$ 202.352,11</t>
  </si>
  <si>
    <t>R$ 298.955,09</t>
  </si>
  <si>
    <t>R$ 314.713,48</t>
  </si>
  <si>
    <t>Fabio Roberto Bragagnolo Minotto</t>
  </si>
  <si>
    <t>005.204.499-83</t>
  </si>
  <si>
    <t>77 99971-0680</t>
  </si>
  <si>
    <t>fabiominotto@yahoo.com.br</t>
  </si>
  <si>
    <t>R$ 284.000,58</t>
  </si>
  <si>
    <t>R$ 266.208,40</t>
  </si>
  <si>
    <t>R$ 555.315,76</t>
  </si>
  <si>
    <t>R$ 628.466,69</t>
  </si>
  <si>
    <t>25/10/0197</t>
  </si>
  <si>
    <t>049.561.139-51</t>
  </si>
  <si>
    <t>Jorge Augusto Laburu</t>
  </si>
  <si>
    <t>4460288</t>
  </si>
  <si>
    <t>Curitiba</t>
  </si>
  <si>
    <t>Fabiola Simões Rodrigues da Fonseca</t>
  </si>
  <si>
    <t>004458604</t>
  </si>
  <si>
    <t>712.651.551-00</t>
  </si>
  <si>
    <t>072.439.604-72</t>
  </si>
  <si>
    <t>Jorge Gomes de Araujo</t>
  </si>
  <si>
    <t>R$ 894.145,52</t>
  </si>
  <si>
    <t>R$ 916.949,25</t>
  </si>
  <si>
    <t>Irae Ferreira Lopes</t>
  </si>
  <si>
    <t>75.513.681-91</t>
  </si>
  <si>
    <t>José Alves Nunes do Nascimento Junior</t>
  </si>
  <si>
    <t>Fabricio Franco Naves</t>
  </si>
  <si>
    <t>101.310.279-72</t>
  </si>
  <si>
    <t>1 ano de liquidez</t>
  </si>
  <si>
    <t>Lajeado</t>
  </si>
  <si>
    <t>040.263.256-79</t>
  </si>
  <si>
    <t>701.982.801-90</t>
  </si>
  <si>
    <t xml:space="preserve">José Antonio da Silva Martins </t>
  </si>
  <si>
    <t>Ivone Gomes Milanez</t>
  </si>
  <si>
    <t>3518710</t>
  </si>
  <si>
    <t>José Humberto de Souza Borges</t>
  </si>
  <si>
    <t>Troca de assessor de Sarah Ferreira para Thiago Canabrava em 12/12/2022 -  Solicitou distrato 10/04/2023</t>
  </si>
  <si>
    <t>532.262.169-53</t>
  </si>
  <si>
    <t>004912314</t>
  </si>
  <si>
    <t>Taxa de performance negociada para reduzir 0.2% a cada novo milhão investido, reduzindo até 1.9%</t>
  </si>
  <si>
    <t>003.179.506-49</t>
  </si>
  <si>
    <t>José Aristides Pires</t>
  </si>
  <si>
    <t>Income para Conservadora em 19/08/2022 com 10% em ações | Conta sumiu da base em jan/2023 | Cliente portabilzou os ativos para o BTG</t>
  </si>
  <si>
    <t>Solicitou STVM para BTG - 10/04/23</t>
  </si>
  <si>
    <t>476.065.767-34</t>
  </si>
  <si>
    <t>José Augusto Porto Ferreira</t>
  </si>
  <si>
    <t>Troca de assessor de David Mendes para Rafael Vilela em 01/12/2022 para Matheus Vilar em 13/04/2023</t>
  </si>
  <si>
    <t>STVM de entrada da Guide finalizada (01/09/2023)</t>
  </si>
  <si>
    <t>Ivonilde Ferreira Kamikabeya</t>
  </si>
  <si>
    <t>311.794.797-34</t>
  </si>
  <si>
    <t>José Carlos de Souza Neto</t>
  </si>
  <si>
    <t>858.279.328-68</t>
  </si>
  <si>
    <t>Solicitou distrato 19/05/2021</t>
  </si>
  <si>
    <t>R$ 295.595,56</t>
  </si>
  <si>
    <t>R$ 629.444,29</t>
  </si>
  <si>
    <t>R$ 466.781,50</t>
  </si>
  <si>
    <t>R$ 486.284,57</t>
  </si>
  <si>
    <t>R$ 503.418,11</t>
  </si>
  <si>
    <t>R$ 537.794,83</t>
  </si>
  <si>
    <t>R$ 571.663,35</t>
  </si>
  <si>
    <t>R$ 363.917,45</t>
  </si>
  <si>
    <t>R$ 342.073,46</t>
  </si>
  <si>
    <t>R$ 343.639,98</t>
  </si>
  <si>
    <t>R$ 397.650,50</t>
  </si>
  <si>
    <t>Facilita Serviços Combinados de Escritorio LTDA</t>
  </si>
  <si>
    <t>220.407.651-15</t>
  </si>
  <si>
    <t>José Carlos Magalhaes Pinto</t>
  </si>
  <si>
    <t>200k D+0 (27/02/2026)</t>
  </si>
  <si>
    <t>30.863.038/0001-59</t>
  </si>
  <si>
    <t>61 98273-7733</t>
  </si>
  <si>
    <t>damascenojus@gmail.com</t>
  </si>
  <si>
    <t>4528354</t>
  </si>
  <si>
    <t>301.849.241-20</t>
  </si>
  <si>
    <t>Jose Cruciano de Araujo Filho</t>
  </si>
  <si>
    <t>NÃO ESTÁ NA BASE</t>
  </si>
  <si>
    <t>Falavigna - Guilherme Administradora De Bens LTDA</t>
  </si>
  <si>
    <t>17.060.877/0001-70</t>
  </si>
  <si>
    <t>005.698.031-01</t>
  </si>
  <si>
    <t>2658077</t>
  </si>
  <si>
    <t>082.783.261-34</t>
  </si>
  <si>
    <t>José Gomes Machado</t>
  </si>
  <si>
    <t>Taxa solicitada pelo Rafael Vilela</t>
  </si>
  <si>
    <t>Fausto Siqueira Ferreira</t>
  </si>
  <si>
    <t>004893911</t>
  </si>
  <si>
    <t>Janice Madi Hannuch</t>
  </si>
  <si>
    <t>327.714.106-30</t>
  </si>
  <si>
    <t>José Guilherme Maia</t>
  </si>
  <si>
    <t>051.582.798-37</t>
  </si>
  <si>
    <t>364.925.159-00</t>
  </si>
  <si>
    <t>Maceió</t>
  </si>
  <si>
    <t>AL</t>
  </si>
  <si>
    <t>Felipe Alves de Jesus</t>
  </si>
  <si>
    <t>008177954</t>
  </si>
  <si>
    <t>Janne Stella Takahara</t>
  </si>
  <si>
    <t>925.786.911-34</t>
  </si>
  <si>
    <t>846385</t>
  </si>
  <si>
    <t>091.859.116-31</t>
  </si>
  <si>
    <t>908.596.779-15</t>
  </si>
  <si>
    <t>Solicitou distrato 24/05/2022</t>
  </si>
  <si>
    <t>alvesimobiliarios@gmail.com</t>
  </si>
  <si>
    <t>R$ 165.077,45</t>
  </si>
  <si>
    <t>R$ 167.432,97</t>
  </si>
  <si>
    <t>R$ 168.231,54</t>
  </si>
  <si>
    <t>R$ 167.217,53</t>
  </si>
  <si>
    <t>R$ 160.144,17</t>
  </si>
  <si>
    <t>R$ 161.646,20</t>
  </si>
  <si>
    <t>R$ 162.408,84</t>
  </si>
  <si>
    <t>R$ 163.419,54</t>
  </si>
  <si>
    <t>R$ 166.740,50</t>
  </si>
  <si>
    <t>R$ 165.152,52</t>
  </si>
  <si>
    <t>R$ 163.729,89</t>
  </si>
  <si>
    <t>R$ 164.379,27</t>
  </si>
  <si>
    <t>R$ 139.375,14</t>
  </si>
  <si>
    <t>025.353.263-96</t>
  </si>
  <si>
    <t>José Olegario da Cruz Neto</t>
  </si>
  <si>
    <t>Felipe Alves Dias</t>
  </si>
  <si>
    <t>002592340</t>
  </si>
  <si>
    <t>117.720.957-88</t>
  </si>
  <si>
    <t>135.506.833-91</t>
  </si>
  <si>
    <t>José Rildo Pereira Nogueira</t>
  </si>
  <si>
    <t>367916</t>
  </si>
  <si>
    <t>Felipe Costa Tamer</t>
  </si>
  <si>
    <t>004508159</t>
  </si>
  <si>
    <t>Teresina</t>
  </si>
  <si>
    <t>PI</t>
  </si>
  <si>
    <t>323625</t>
  </si>
  <si>
    <t>Alteração de carteira finalizada (27/11/2023)</t>
  </si>
  <si>
    <t>035.473.911-56</t>
  </si>
  <si>
    <t>felipetamer1@gmail.com</t>
  </si>
  <si>
    <t>804151</t>
  </si>
  <si>
    <t>Arrojada/FIIs</t>
  </si>
  <si>
    <t>057.209.821-91</t>
  </si>
  <si>
    <t>José Silvan de Amorim</t>
  </si>
  <si>
    <t>4920156</t>
  </si>
  <si>
    <t xml:space="preserve">Gustavo (FA) - Não trocar as açoes atuais (+/-10%) </t>
  </si>
  <si>
    <t>Felipe de Brito Ferreira</t>
  </si>
  <si>
    <t>2850040</t>
  </si>
  <si>
    <t>018513002</t>
  </si>
  <si>
    <t>Juliana Balan Machado</t>
  </si>
  <si>
    <t>Joao Emilio Tironi</t>
  </si>
  <si>
    <t>009.889.024-78</t>
  </si>
  <si>
    <t>21 98001-6861</t>
  </si>
  <si>
    <t>felipeferreiraproducao@gmail.com</t>
  </si>
  <si>
    <t>306.726.519-04</t>
  </si>
  <si>
    <t>Felipe Di Benedetto Junior</t>
  </si>
  <si>
    <t>954.807.491-53</t>
  </si>
  <si>
    <t>67 99904-0571</t>
  </si>
  <si>
    <t>felipe@dibenedetto.com.br</t>
  </si>
  <si>
    <t>Joao Leopoldo Romao Serednicki</t>
  </si>
  <si>
    <t>3774100</t>
  </si>
  <si>
    <t>647.630.561-15</t>
  </si>
  <si>
    <t>2698656</t>
  </si>
  <si>
    <t>Maria Regina Costa Alvarez</t>
  </si>
  <si>
    <t>Conservadora para Multi Macro (17/01/2022)</t>
  </si>
  <si>
    <t>Felipe Faria Zuba</t>
  </si>
  <si>
    <t>004400640</t>
  </si>
  <si>
    <t>997.017.151-87</t>
  </si>
  <si>
    <t>felipezuba@gmail.com</t>
  </si>
  <si>
    <t>João Osmar Zambrin Henrique</t>
  </si>
  <si>
    <t>014.315.836-85</t>
  </si>
  <si>
    <t>Juliana Melo Alvim</t>
  </si>
  <si>
    <t>5759182</t>
  </si>
  <si>
    <t>Manter fundo Western</t>
  </si>
  <si>
    <t>457.517.499-87</t>
  </si>
  <si>
    <t xml:space="preserve">Felipe Faria Zuba    </t>
  </si>
  <si>
    <t>004400969</t>
  </si>
  <si>
    <t>4400781</t>
  </si>
  <si>
    <t>Thais de Oliveira Silva</t>
  </si>
  <si>
    <t>377.501.947-20</t>
  </si>
  <si>
    <t>Julio Vicente de Alvarenga</t>
  </si>
  <si>
    <t xml:space="preserve">João Osmar Zambrin Henrique	</t>
  </si>
  <si>
    <t>Alocar somente 5% em RV</t>
  </si>
  <si>
    <t>2,00%</t>
  </si>
  <si>
    <t>Felipe Menezes Jacomo</t>
  </si>
  <si>
    <t>4611223</t>
  </si>
  <si>
    <t>028.392.241-94</t>
  </si>
  <si>
    <t>felipemjacomo@gmail.com</t>
  </si>
  <si>
    <t>868.398.291-20</t>
  </si>
  <si>
    <t>Kelvio dos Santos Pinto</t>
  </si>
  <si>
    <t>Solicitou o distrato em março de 2022</t>
  </si>
  <si>
    <t>R$ 49.260,67</t>
  </si>
  <si>
    <t>R$ 47.379,67</t>
  </si>
  <si>
    <t>R$ 46.532,58</t>
  </si>
  <si>
    <t>R$ 50.465,71</t>
  </si>
  <si>
    <t>000626491</t>
  </si>
  <si>
    <t>Não fazer nenhuma aplicação nessa carteira / Solicitou portabilidade de todos os ativos em 23/01/2023</t>
  </si>
  <si>
    <t>Porangatu</t>
  </si>
  <si>
    <t>Felipe Noleto de Paiva</t>
  </si>
  <si>
    <t>4401235</t>
  </si>
  <si>
    <t>Preferência por ativos GR, RF que paga cupons e FIIs. Cliente Resgata Mensalmente (06/01/2026)</t>
  </si>
  <si>
    <t>Alteração de carteira finalizada. (25/09/2025)</t>
  </si>
  <si>
    <t>749.810.211-00</t>
  </si>
  <si>
    <t>n-paiva@hotmail.com</t>
  </si>
  <si>
    <t>379.787.991-15</t>
  </si>
  <si>
    <t>Kenyo Roriz Meireles</t>
  </si>
  <si>
    <t>4465816</t>
  </si>
  <si>
    <t>Conservador para Equities 07/06/2021</t>
  </si>
  <si>
    <t>R$ 159.901,80</t>
  </si>
  <si>
    <t>R$ 161.864,73</t>
  </si>
  <si>
    <t>R$ 163.646,21</t>
  </si>
  <si>
    <t>R$ 147.202,80</t>
  </si>
  <si>
    <t>R$ 143.136,60</t>
  </si>
  <si>
    <t>R$ 795.613,31</t>
  </si>
  <si>
    <t>R$ 790.183,55</t>
  </si>
  <si>
    <t>R$ 789.048,40</t>
  </si>
  <si>
    <t>4608802</t>
  </si>
  <si>
    <t>R$ 808.063,73</t>
  </si>
  <si>
    <t>Ferdinando Cesar Batista Ribeiro</t>
  </si>
  <si>
    <t>250k em D+0 (19/01/2026)</t>
  </si>
  <si>
    <t>21.409.809/0001-41</t>
  </si>
  <si>
    <t>862.648.501-87</t>
  </si>
  <si>
    <t>L&amp;V Administração e Participações Empreesariais LTDA</t>
  </si>
  <si>
    <t>62 98405-7464</t>
  </si>
  <si>
    <t>ferdinandocbr@yahoo.com.br</t>
  </si>
  <si>
    <t>2965891</t>
  </si>
  <si>
    <t>Solicitou distrato em 01/12/2022</t>
  </si>
  <si>
    <t>Arrojada 40</t>
  </si>
  <si>
    <t>Taguatinga</t>
  </si>
  <si>
    <t>R$ 102.451,72</t>
  </si>
  <si>
    <t>R$ 39.061,70</t>
  </si>
  <si>
    <t>R$ 24.991,31</t>
  </si>
  <si>
    <t>Fernanda De Rezende Salgado Braile</t>
  </si>
  <si>
    <t>Solicitou distrato 25/02/2021</t>
  </si>
  <si>
    <t>R$ 128.622,65</t>
  </si>
  <si>
    <t>R$ 128.090,30</t>
  </si>
  <si>
    <t>R$ 121.819,47</t>
  </si>
  <si>
    <t>R$ 121.797,00</t>
  </si>
  <si>
    <t>R$ 115.533,54</t>
  </si>
  <si>
    <t>R$ 115.450,81</t>
  </si>
  <si>
    <t>R$ 117.061,36</t>
  </si>
  <si>
    <t>R$ 110.584,00</t>
  </si>
  <si>
    <t>R$ 387.114,12</t>
  </si>
  <si>
    <t>R$ 37.763,80</t>
  </si>
  <si>
    <t>R$ 410.972,68</t>
  </si>
  <si>
    <t>805.927.917-34</t>
  </si>
  <si>
    <t>fersbraile@gmail.com</t>
  </si>
  <si>
    <t>727.123.681-34</t>
  </si>
  <si>
    <t>Solicitou distrato 22/06/2021</t>
  </si>
  <si>
    <t>R$ 488.946,67</t>
  </si>
  <si>
    <t>R$ 464.977,27</t>
  </si>
  <si>
    <t>R$ 374.112,74</t>
  </si>
  <si>
    <t>R$ 373.208,03</t>
  </si>
  <si>
    <t>R$ 381.376,49</t>
  </si>
  <si>
    <t>R$ 397.604,34</t>
  </si>
  <si>
    <t>R$ 409.567,13</t>
  </si>
  <si>
    <t>R$ 398.011,56</t>
  </si>
  <si>
    <t>R$ 386.988,60</t>
  </si>
  <si>
    <t>091.939.639-98</t>
  </si>
  <si>
    <t>Larissa Leal de Souza Martins</t>
  </si>
  <si>
    <t>4627802</t>
  </si>
  <si>
    <t>Fernanda Kussano Salvadori</t>
  </si>
  <si>
    <t>4386181</t>
  </si>
  <si>
    <t>091.087.669-08</t>
  </si>
  <si>
    <t>43 99152-6700</t>
  </si>
  <si>
    <t>nandasalvadori06@gmail.com</t>
  </si>
  <si>
    <t>025.824.831-92</t>
  </si>
  <si>
    <t>Larissa Weber Gomes Reis</t>
  </si>
  <si>
    <t>Joao Soitiro Yokoyama e/ou Talma Rachel Agner Yokoyama</t>
  </si>
  <si>
    <t>640.158.821-72</t>
  </si>
  <si>
    <t>Larisse Campos Meireles</t>
  </si>
  <si>
    <t>STVM solicitado 21/02. Protocolo: 233367</t>
  </si>
  <si>
    <t>324.164.079-53</t>
  </si>
  <si>
    <t>2661302</t>
  </si>
  <si>
    <t>279.584.001-44</t>
  </si>
  <si>
    <t>Laurindo Aelsom Teixeira Costa</t>
  </si>
  <si>
    <t>Solicitou distrato 28/09/2021</t>
  </si>
  <si>
    <t>R$ 293.282,21</t>
  </si>
  <si>
    <t>Jorge Gomes De Araujo</t>
  </si>
  <si>
    <t>761.124.111-72</t>
  </si>
  <si>
    <t>3274844</t>
  </si>
  <si>
    <t>Leandro Gondim Silva</t>
  </si>
  <si>
    <t>Fernando Braga Correa</t>
  </si>
  <si>
    <t>008412872</t>
  </si>
  <si>
    <t>Resgate 8K</t>
  </si>
  <si>
    <t>50K D+0 (12/02/2025)</t>
  </si>
  <si>
    <t>874.409.031-53</t>
  </si>
  <si>
    <t>fcfx@casteloforte.com.br</t>
  </si>
  <si>
    <t>Fernando Cicci Ferreira</t>
  </si>
  <si>
    <t>Jose Frederico Alvares</t>
  </si>
  <si>
    <t>446.609.286-91</t>
  </si>
  <si>
    <t>fernandofcicci@gmail.com</t>
  </si>
  <si>
    <t>Não comprar RV</t>
  </si>
  <si>
    <t>Troca de assessor 01/12/2023 Conquest para Matheus Vilar</t>
  </si>
  <si>
    <t>086.924.591-00</t>
  </si>
  <si>
    <t>2864258</t>
  </si>
  <si>
    <t>4550654</t>
  </si>
  <si>
    <t>009.055.361-69</t>
  </si>
  <si>
    <t>Gabiel Borges</t>
  </si>
  <si>
    <t>CONTA ENCERRADA (10/2020)</t>
  </si>
  <si>
    <t>Fernando Ferro Da Silva</t>
  </si>
  <si>
    <t>008298906</t>
  </si>
  <si>
    <t>4836917</t>
  </si>
  <si>
    <t>R$ 251.068,55</t>
  </si>
  <si>
    <t>R$ 391.328,19</t>
  </si>
  <si>
    <t>R$ 393.568,13</t>
  </si>
  <si>
    <t>R$ 392.545,83</t>
  </si>
  <si>
    <t>Raphaela Costa Leite Bueno</t>
  </si>
  <si>
    <t>R$ 372.889,73</t>
  </si>
  <si>
    <t>R$ 376.073,08</t>
  </si>
  <si>
    <t>R$ 379.292,32</t>
  </si>
  <si>
    <t>R$ 394.163,53</t>
  </si>
  <si>
    <t>R$ 299.365,01</t>
  </si>
  <si>
    <t>R$ 295.795,70</t>
  </si>
  <si>
    <t xml:space="preserve">Primeira conta 004794805 viculada por erro do FA. </t>
  </si>
  <si>
    <t>354.747.691-72</t>
  </si>
  <si>
    <t>fferrofilho@hotmail.com</t>
  </si>
  <si>
    <t>024.559.791-30</t>
  </si>
  <si>
    <t>Leonardo Granja Cardoso</t>
  </si>
  <si>
    <t>Fernando Henrique Fontes dos Reis</t>
  </si>
  <si>
    <t>3412436</t>
  </si>
  <si>
    <t>Silval José Alves Filho</t>
  </si>
  <si>
    <t>Sem RV, sem RF Ativo e 15% em D+0 (06/02/2026).</t>
  </si>
  <si>
    <t>493.213.741-91</t>
  </si>
  <si>
    <t xml:space="preserve">Leonardo Guerra Chaves       </t>
  </si>
  <si>
    <t>059.967.057-61</t>
  </si>
  <si>
    <t>fernando.reis94@gmail.com</t>
  </si>
  <si>
    <t>Até 20% em ações</t>
  </si>
  <si>
    <t>Jose Jorge da Rosa Neto</t>
  </si>
  <si>
    <t>Solicitiou distrato em 09/02/2023</t>
  </si>
  <si>
    <t>002.098.649-15</t>
  </si>
  <si>
    <t>3384356</t>
  </si>
  <si>
    <t>Natália Rezende de Almeida Santos</t>
  </si>
  <si>
    <t>075.689.017-93</t>
  </si>
  <si>
    <t>004508504</t>
  </si>
  <si>
    <t>Leonardo Leal Leite</t>
  </si>
  <si>
    <t>4662174</t>
  </si>
  <si>
    <t>fernando@gpinoxud.com.br</t>
  </si>
  <si>
    <t>Retlaw Agricola e Pastoril S/S LTDA Agricola e Pastoril S/S LTDA</t>
  </si>
  <si>
    <t>Solicitou distrato 26/10/2021</t>
  </si>
  <si>
    <t>Valparaíso de Goiás</t>
  </si>
  <si>
    <t>R$ 104.469,03</t>
  </si>
  <si>
    <t>R$ 202.475,11</t>
  </si>
  <si>
    <t>4484307</t>
  </si>
  <si>
    <t>Sibelia Teixeira da Silva Dias</t>
  </si>
  <si>
    <t>Jose Messias Alves</t>
  </si>
  <si>
    <t>Fernando Marcio Santos de Menezes</t>
  </si>
  <si>
    <t>332802</t>
  </si>
  <si>
    <t>093.146.361-00</t>
  </si>
  <si>
    <t>Em processo de portabilidade dos ativos da Genial</t>
  </si>
  <si>
    <t>903.512.585-15</t>
  </si>
  <si>
    <t>62 98449-6005</t>
  </si>
  <si>
    <t>fmarcioms@gmail.com</t>
  </si>
  <si>
    <t>266.577.401-15</t>
  </si>
  <si>
    <t>Leonardo Mendes Amorim</t>
  </si>
  <si>
    <t>2218857</t>
  </si>
  <si>
    <t>Jose Roberto Boselli</t>
  </si>
  <si>
    <t>Fernando Panazzolo Baldasso e/ou Rosangela Botti Baldasso</t>
  </si>
  <si>
    <t>4442638</t>
  </si>
  <si>
    <t>Venc max. 6 meses (19/06/2026)</t>
  </si>
  <si>
    <t>318.342.309-00</t>
  </si>
  <si>
    <t>67 99912-8625</t>
  </si>
  <si>
    <t>Maria Fernanda Feitosa de Camargo Boin e/ou Plinio Angelo Boin</t>
  </si>
  <si>
    <t>baldassofernando@terra.com.br</t>
  </si>
  <si>
    <t>194.712.118-91</t>
  </si>
  <si>
    <t>4468963</t>
  </si>
  <si>
    <t>000.071.761-47</t>
  </si>
  <si>
    <t>Leonardo Peleja Vizeu Lima</t>
  </si>
  <si>
    <t>Raquel Marques Luz</t>
  </si>
  <si>
    <t>Solicitou distrato 08/12/2021</t>
  </si>
  <si>
    <t>R$ 102.670,78</t>
  </si>
  <si>
    <t>STVM de entrada da Guide finalizada (05/09/2023)</t>
  </si>
  <si>
    <t>2694253</t>
  </si>
  <si>
    <t>ferpalopes30@gmail.com</t>
  </si>
  <si>
    <t>693.199.011-04</t>
  </si>
  <si>
    <t>Leonardo Strauch Pereira Coutinho</t>
  </si>
  <si>
    <t>Jose Roberto Boselli Junior</t>
  </si>
  <si>
    <t>STVM para BTG 10/04/2023</t>
  </si>
  <si>
    <t>979.526.139-87</t>
  </si>
  <si>
    <t>5773304</t>
  </si>
  <si>
    <t>4655754</t>
  </si>
  <si>
    <t>032.931.061-53</t>
  </si>
  <si>
    <t>Leone Gagliardi Neto</t>
  </si>
  <si>
    <t>Rauni Lamaro Lima</t>
  </si>
  <si>
    <t>4784067</t>
  </si>
  <si>
    <t>Tulio Duarte Faria</t>
  </si>
  <si>
    <t>Jose Robson Bezerra Sereno</t>
  </si>
  <si>
    <t>Fernao Cury Rodrigues</t>
  </si>
  <si>
    <t>42.468.711-92</t>
  </si>
  <si>
    <t>Leticia Cascão de Ávila</t>
  </si>
  <si>
    <t>224.518.114-04</t>
  </si>
  <si>
    <t>833.769.091-72</t>
  </si>
  <si>
    <t>fernaocury@gmail.com</t>
  </si>
  <si>
    <t>Resgate 200K</t>
  </si>
  <si>
    <t>494.711.391-04</t>
  </si>
  <si>
    <t>Lilian Gonçalves Cury</t>
  </si>
  <si>
    <t>4729728</t>
  </si>
  <si>
    <t>Vera Ferreira Caixeta</t>
  </si>
  <si>
    <t>Jose Rodolfo Martines Balbino</t>
  </si>
  <si>
    <t>7,5% de EQT (25/06/2026)</t>
  </si>
  <si>
    <t>Alteração de carteira finalizada (09/08/2024)</t>
  </si>
  <si>
    <t>4783402</t>
  </si>
  <si>
    <t>filipe_estorilio@yahoo.com.br</t>
  </si>
  <si>
    <t>055.756.349-65</t>
  </si>
  <si>
    <t>4572882</t>
  </si>
  <si>
    <t>970.479.021-04</t>
  </si>
  <si>
    <t>Liliara Cristiane Freo</t>
  </si>
  <si>
    <t>Aparecida de Goiania</t>
  </si>
  <si>
    <t>Flash Car Lubrificantes e Filtros LTDA EPP</t>
  </si>
  <si>
    <t>004228456</t>
  </si>
  <si>
    <t>4696470</t>
  </si>
  <si>
    <t>006.785.821-06</t>
  </si>
  <si>
    <t xml:space="preserve">Lincoln Antonio Aires </t>
  </si>
  <si>
    <t>Alocar somente 3% do PL em RV no momento.</t>
  </si>
  <si>
    <t>Flávia Bordin Silva</t>
  </si>
  <si>
    <t>fla_bordin@hotmail.com</t>
  </si>
  <si>
    <t>010.614.761-70</t>
  </si>
  <si>
    <t xml:space="preserve">Lohran Soares de Oliveira      </t>
  </si>
  <si>
    <t>Pedro Paulo Alves</t>
  </si>
  <si>
    <r>
      <rPr>
        <rFont val="Times New Roman"/>
        <color rgb="FF000000"/>
        <sz val="10.0"/>
      </rPr>
      <t xml:space="preserve">Ligar para o Pedro Paulo no celular (62 99157-2626) antes de realizar as venda dos atuais ativos | </t>
    </r>
    <r>
      <rPr>
        <rFont val="Times New Roman"/>
        <b/>
        <color rgb="FF000000"/>
        <sz val="10.0"/>
      </rPr>
      <t>Novos aportes somente em renda fixa</t>
    </r>
    <r>
      <rPr>
        <rFont val="Times New Roman"/>
        <color rgb="FF000000"/>
        <sz val="10.0"/>
      </rPr>
      <t xml:space="preserve"> até segundas ordens da cliente.</t>
    </r>
  </si>
  <si>
    <t>Flávia Calland de Araújo Rosa</t>
  </si>
  <si>
    <t xml:space="preserve">Percio Arraes </t>
  </si>
  <si>
    <t>012.247.241-19</t>
  </si>
  <si>
    <t xml:space="preserve">MOD </t>
  </si>
  <si>
    <t>Luana Jaime Tocchio</t>
  </si>
  <si>
    <t>882.103.591-34</t>
  </si>
  <si>
    <t>61 98268-2021</t>
  </si>
  <si>
    <t>flaviacalland@hotmail.com</t>
  </si>
  <si>
    <t>Thiago - 60% LFT | restante até 9/2023</t>
  </si>
  <si>
    <t>Mata de São João</t>
  </si>
  <si>
    <t>479226</t>
  </si>
  <si>
    <t>Wagner Alberto Matheus Barradas</t>
  </si>
  <si>
    <t>004484207</t>
  </si>
  <si>
    <t>077.914.221-74</t>
  </si>
  <si>
    <t>Luca Dias Bueno</t>
  </si>
  <si>
    <t>4481625</t>
  </si>
  <si>
    <t>STVM de entrada da Guide finalizada (02/08/2023)</t>
  </si>
  <si>
    <t>030.692.619-90</t>
  </si>
  <si>
    <t>341356</t>
  </si>
  <si>
    <t>032.809.161-86</t>
  </si>
  <si>
    <t>Lucas Abdallah Correa</t>
  </si>
  <si>
    <t>2902059</t>
  </si>
  <si>
    <r>
      <rPr>
        <rFont val="Times New Roman"/>
        <b/>
        <color rgb="FF000000"/>
        <sz val="10.0"/>
      </rPr>
      <t xml:space="preserve">30mil com liquidez imediata | </t>
    </r>
    <r>
      <rPr>
        <rFont val="Times New Roman"/>
        <b val="0"/>
        <color rgb="FF000000"/>
        <sz val="10.0"/>
      </rPr>
      <t>Solicitou distrato em 25/11/2022</t>
    </r>
  </si>
  <si>
    <t>Flavio Vieira Lino</t>
  </si>
  <si>
    <t>022672638</t>
  </si>
  <si>
    <t>4280220</t>
  </si>
  <si>
    <t>865.179.531-91</t>
  </si>
  <si>
    <t>62 98442-6255</t>
  </si>
  <si>
    <t>flaviovieirac@hotmail.com</t>
  </si>
  <si>
    <t>J&amp;M Consultoria Empresarial LTDA</t>
  </si>
  <si>
    <t>084.552.186-14</t>
  </si>
  <si>
    <t>Lucas Alves de Brito Baeta</t>
  </si>
  <si>
    <t>Solicitou distrato 03/05/2021</t>
  </si>
  <si>
    <t>R$ 221.615,05</t>
  </si>
  <si>
    <t>R$ 223.667,54</t>
  </si>
  <si>
    <t>R$ 230.154,65</t>
  </si>
  <si>
    <t>378853</t>
  </si>
  <si>
    <t>098.752.726-63</t>
  </si>
  <si>
    <t>Flk Group LDTA</t>
  </si>
  <si>
    <t>Lucas de Castro Martins</t>
  </si>
  <si>
    <t>Troca de perfil de Arrojada para Income em 16/12/2022</t>
  </si>
  <si>
    <t>41.940.443/0001-40</t>
  </si>
  <si>
    <t>tradelucasaraujo@gmail.com</t>
  </si>
  <si>
    <t>Julian Valone Gorini</t>
  </si>
  <si>
    <t>75% RV</t>
  </si>
  <si>
    <t>935.214.809-68</t>
  </si>
  <si>
    <t>071.596.056-32</t>
  </si>
  <si>
    <t>Lucas Paes Leme Bousas</t>
  </si>
  <si>
    <t xml:space="preserve">Flordeliz Alkmim    </t>
  </si>
  <si>
    <t>004216298</t>
  </si>
  <si>
    <t>Solicitou distrato 02/06/2022</t>
  </si>
  <si>
    <t>Possivel retorno futuro.</t>
  </si>
  <si>
    <t>046.837.811-15</t>
  </si>
  <si>
    <t>flordelizalkmim1942@gmail.com</t>
  </si>
  <si>
    <t>5842853</t>
  </si>
  <si>
    <t>036.067.451-84</t>
  </si>
  <si>
    <t>Lucas Rodrigues Araújo</t>
  </si>
  <si>
    <t>4732393</t>
  </si>
  <si>
    <t>Francielle Bonetti Schnorr</t>
  </si>
  <si>
    <t>Solicitou resgate total 21/01/2023</t>
  </si>
  <si>
    <t>048.165.239-60</t>
  </si>
  <si>
    <t>R$ 283.156,16</t>
  </si>
  <si>
    <t>R$ 284.347,64</t>
  </si>
  <si>
    <t>R$ 232.376,65</t>
  </si>
  <si>
    <t>R$ 224.821,56</t>
  </si>
  <si>
    <t>R$ 219.402,09</t>
  </si>
  <si>
    <t>022.014.821-01</t>
  </si>
  <si>
    <t>R$ 298.012,00</t>
  </si>
  <si>
    <t>61 99947-8743</t>
  </si>
  <si>
    <t>bs.francielle@gmail.com</t>
  </si>
  <si>
    <t>112.909.696-39</t>
  </si>
  <si>
    <t>Lucca de Paiva Azevedo</t>
  </si>
  <si>
    <t>Solicitou distrato 29/03/2022</t>
  </si>
  <si>
    <t>Francisco Fernandes Moreira Neto</t>
  </si>
  <si>
    <t>004567324</t>
  </si>
  <si>
    <t>Sim</t>
  </si>
  <si>
    <t>MOD/ COADM</t>
  </si>
  <si>
    <t>528568</t>
  </si>
  <si>
    <t>Paulo Henrique Mamede Bernardes</t>
  </si>
  <si>
    <t>071.563.777-01</t>
  </si>
  <si>
    <t>989.769.901-53</t>
  </si>
  <si>
    <t>863.416.341-53</t>
  </si>
  <si>
    <t>Luciana Faviero de Lara Ribeiro</t>
  </si>
  <si>
    <t>Francisco Jairo Rodrigues da Fonseca</t>
  </si>
  <si>
    <t>004104365</t>
  </si>
  <si>
    <t>063.383.052-68</t>
  </si>
  <si>
    <t>355.909.711-87</t>
  </si>
  <si>
    <t>Luciana Machado Viotti de Barros</t>
  </si>
  <si>
    <t>333.946.951-20</t>
  </si>
  <si>
    <t>Resgate 30K</t>
  </si>
  <si>
    <t>4859807</t>
  </si>
  <si>
    <t xml:space="preserve">Franklin Tadeu Vargas de Freitas  </t>
  </si>
  <si>
    <t>004281300</t>
  </si>
  <si>
    <t>609.843.098-53</t>
  </si>
  <si>
    <t>fflf@terra.com.br</t>
  </si>
  <si>
    <t>374.421.358-70</t>
  </si>
  <si>
    <t>Luciana Navarro de Oliveira Santos</t>
  </si>
  <si>
    <t>Karina Amorim dos Santos</t>
  </si>
  <si>
    <t>072.523.199-89</t>
  </si>
  <si>
    <t>008499705</t>
  </si>
  <si>
    <t>659.747.191-15</t>
  </si>
  <si>
    <t>Lucyene dos Santos Borges</t>
  </si>
  <si>
    <t>4765516</t>
  </si>
  <si>
    <t>492516</t>
  </si>
  <si>
    <t>Kelly Fernanda Pereira e Silva</t>
  </si>
  <si>
    <t>Rafael Agostinho Maioli</t>
  </si>
  <si>
    <t>025.139.041-17</t>
  </si>
  <si>
    <t>Luis Eduardo Ramos Chaer</t>
  </si>
  <si>
    <t>044.603.896-22</t>
  </si>
  <si>
    <t xml:space="preserve">Cliente desistiu de migrar recurso aguardando FA sobre migração </t>
  </si>
  <si>
    <t>120k em liquidez</t>
  </si>
  <si>
    <t>G3C PARTICIPACOES LTDA</t>
  </si>
  <si>
    <t>005055865</t>
  </si>
  <si>
    <t>36.169.088/0001-17</t>
  </si>
  <si>
    <t>Kryscia Leiko Natsuaki Kaminagakura</t>
  </si>
  <si>
    <t>4343397</t>
  </si>
  <si>
    <t>029.147.763-14</t>
  </si>
  <si>
    <t xml:space="preserve">Luis Fillipe Bezerra Lima  </t>
  </si>
  <si>
    <t>Murillo Mendes Manente</t>
  </si>
  <si>
    <t xml:space="preserve">Gabriel Antônio de Ferreira Alves   </t>
  </si>
  <si>
    <t>004329229</t>
  </si>
  <si>
    <t>036.965.369-62</t>
  </si>
  <si>
    <t>gabriel.antonioferreira16@gmail.com</t>
  </si>
  <si>
    <t>907.529.454-91</t>
  </si>
  <si>
    <t>4217316</t>
  </si>
  <si>
    <t>Luis José Maranhão Neto</t>
  </si>
  <si>
    <t>Gabriel Argenta Queiroz Dias</t>
  </si>
  <si>
    <t>004638738</t>
  </si>
  <si>
    <t>Solicitou distrato 16/09/2021</t>
  </si>
  <si>
    <t>010.998.811-61</t>
  </si>
  <si>
    <t>328970</t>
  </si>
  <si>
    <t>Gabriel Correia de Souza</t>
  </si>
  <si>
    <t>005047946</t>
  </si>
  <si>
    <t>000.949.231-32</t>
  </si>
  <si>
    <t>Luiz Carlos da Silva Filho</t>
  </si>
  <si>
    <t>114.161.779-06</t>
  </si>
  <si>
    <t>gabicosouza@gmail.com</t>
  </si>
  <si>
    <t>R$ 60.477,12</t>
  </si>
  <si>
    <t>Gabriel dos Santos Marques</t>
  </si>
  <si>
    <t>005666419</t>
  </si>
  <si>
    <t>283.392.661-87</t>
  </si>
  <si>
    <t>Luiz Carlos de Oliveira Pinheiro</t>
  </si>
  <si>
    <t>106.657.767-64</t>
  </si>
  <si>
    <t>Deixar 10% em liquidez e prazo de aplicação até 1 ano | R$ 50.000,00 = RF prazo de 01 ano / R$ 150.000,00 = RF prazo ate 90 dias e escalona um pouco 06 meses.</t>
  </si>
  <si>
    <t>4674830</t>
  </si>
  <si>
    <t>Gabriel Garcia Jayme de Sa</t>
  </si>
  <si>
    <t>Leonardo Nascimento Porto</t>
  </si>
  <si>
    <t>4674881</t>
  </si>
  <si>
    <t>307.302.601-00</t>
  </si>
  <si>
    <t>62 99966-0110</t>
  </si>
  <si>
    <t>delio.sj@uol.com.br</t>
  </si>
  <si>
    <t>486192</t>
  </si>
  <si>
    <t>Pedro Guilherme Ramos Goya</t>
  </si>
  <si>
    <t>04.109.924/0001-81</t>
  </si>
  <si>
    <t>M Figueiredo Imóveis LTDA</t>
  </si>
  <si>
    <t>4618682</t>
  </si>
  <si>
    <t>Laura Nascimento</t>
  </si>
  <si>
    <t>Solicitou distrato 09/03/2023</t>
  </si>
  <si>
    <t>São Sebastião do Paraíso</t>
  </si>
  <si>
    <t>313.384.068-17</t>
  </si>
  <si>
    <t>250289</t>
  </si>
  <si>
    <t>073.122.101-04</t>
  </si>
  <si>
    <t>Mafalda Rosa Monaco</t>
  </si>
  <si>
    <t>Leandro Luiz Toledo</t>
  </si>
  <si>
    <t>Moderada para Conservadora 06/12/2021</t>
  </si>
  <si>
    <t>R$ 99.524,57</t>
  </si>
  <si>
    <t>Taxa autorizada pelo Renan / Alterou perfil da carteira Conservadora p/ Income 8/03/2022</t>
  </si>
  <si>
    <t>210.633.093-60</t>
  </si>
  <si>
    <t>Gabriel Gazeta Sales</t>
  </si>
  <si>
    <t>008090243</t>
  </si>
  <si>
    <t>4488255</t>
  </si>
  <si>
    <t>100.474.511-73</t>
  </si>
  <si>
    <t>Marco Antonio Guerreiro</t>
  </si>
  <si>
    <t>464776</t>
  </si>
  <si>
    <t>Solicitou Resgate Total (10/02/2022)</t>
  </si>
  <si>
    <t>393.860.498-05</t>
  </si>
  <si>
    <t>Manoela de Oliveira Carvalho Botezelli</t>
  </si>
  <si>
    <t>Gabriel Luiz de Castro Lima</t>
  </si>
  <si>
    <t>004643880</t>
  </si>
  <si>
    <t>Solicitou distrato em 02/08/2022</t>
  </si>
  <si>
    <t>029.614.241-78</t>
  </si>
  <si>
    <t>gabrielcastrolima@outlook.com</t>
  </si>
  <si>
    <t>435.561.198-11</t>
  </si>
  <si>
    <t>Manuela Rapchan Fantin</t>
  </si>
  <si>
    <t>Gabriel Mendonça Araújo</t>
  </si>
  <si>
    <t>004950193</t>
  </si>
  <si>
    <t>4304013</t>
  </si>
  <si>
    <t>Simone de Luca Liu</t>
  </si>
  <si>
    <t>546.143.841-53</t>
  </si>
  <si>
    <t>Mara Rubia Souza Ramalho</t>
  </si>
  <si>
    <t>914.465.621-15</t>
  </si>
  <si>
    <t>Brasília</t>
  </si>
  <si>
    <t>349853</t>
  </si>
  <si>
    <t>804.924.441-53</t>
  </si>
  <si>
    <t>Marcelle Passarinho Maia</t>
  </si>
  <si>
    <t>005143579</t>
  </si>
  <si>
    <t>gabrielmiranda.tpg@gmail.com</t>
  </si>
  <si>
    <t>2591878</t>
  </si>
  <si>
    <t>Leonildo Quaglio</t>
  </si>
  <si>
    <t>189.862.009-10</t>
  </si>
  <si>
    <t>332.678.838-06</t>
  </si>
  <si>
    <t>Marcello Bezerra Bernardino da Silva</t>
  </si>
  <si>
    <t>(caso haja algum salvo, deixar em cc)</t>
  </si>
  <si>
    <t>Gabriel Vanço Gandolfi</t>
  </si>
  <si>
    <t>Lider Combustiveis Ltda</t>
  </si>
  <si>
    <t>27/03//2026</t>
  </si>
  <si>
    <t>Colocar 50k do aporte em D+0 e excluir a observação depois (28/07/2026)</t>
  </si>
  <si>
    <t>131.390.469-44</t>
  </si>
  <si>
    <t>43 99920-9073</t>
  </si>
  <si>
    <t>gabrielvanco111223@gmail.com</t>
  </si>
  <si>
    <t>18.194.813/0001-25</t>
  </si>
  <si>
    <t>4722266</t>
  </si>
  <si>
    <t>689.989.880-20</t>
  </si>
  <si>
    <t>Marcelo Botton Piccin</t>
  </si>
  <si>
    <t>Luiz Fernando Borges Mozzaquatro e/ou Elisa Assunção Mozzaqua</t>
  </si>
  <si>
    <t>4397276</t>
  </si>
  <si>
    <t>025.253.271-60</t>
  </si>
  <si>
    <t>004472386</t>
  </si>
  <si>
    <t>553.932.681-49</t>
  </si>
  <si>
    <t>Marcelo Cavalcante Barros</t>
  </si>
  <si>
    <t>Não reaplicar os proventos</t>
  </si>
  <si>
    <t>083.719.556-00</t>
  </si>
  <si>
    <t>347451</t>
  </si>
  <si>
    <t>Marcelo de Azeredo Pedrosa</t>
  </si>
  <si>
    <t>gabrielvbst@gmail.com</t>
  </si>
  <si>
    <t>601.585.576-20</t>
  </si>
  <si>
    <t>322505</t>
  </si>
  <si>
    <t>Marcelo de Oliveira Maia</t>
  </si>
  <si>
    <t>Rodolfo Bittencourt Andrade</t>
  </si>
  <si>
    <t>008353477</t>
  </si>
  <si>
    <t>849.146.101-91</t>
  </si>
  <si>
    <t>Marcelo Fernandes Madalena</t>
  </si>
  <si>
    <t>789373</t>
  </si>
  <si>
    <t>Conservadora especial</t>
  </si>
  <si>
    <t>Manter RV apenas 3 ativos e FII apenas 2 ativos - qqr mudança consultar Renan|Guilherme</t>
  </si>
  <si>
    <t>Gabriela Drummond Da Silveira</t>
  </si>
  <si>
    <t>773.358.481-72</t>
  </si>
  <si>
    <t>Marcelo Franco Paes Leme</t>
  </si>
  <si>
    <t>Equities para moderada 18/04/2022 / Solicitou distrato 10/08/2022</t>
  </si>
  <si>
    <t>034.419.491-45</t>
  </si>
  <si>
    <t>61 98549-4250</t>
  </si>
  <si>
    <t>gab.drummond@gmail.com</t>
  </si>
  <si>
    <t xml:space="preserve">Não Reaplicar - enviar para conta bancária </t>
  </si>
  <si>
    <t>320910</t>
  </si>
  <si>
    <t>Gabriela Marra Gonçalves</t>
  </si>
  <si>
    <t>004431546</t>
  </si>
  <si>
    <t>317927</t>
  </si>
  <si>
    <t>036.520.481-13</t>
  </si>
  <si>
    <t>Lucia Helena de Avila Miguel</t>
  </si>
  <si>
    <t>gabrielamarra_@hotmail.com</t>
  </si>
  <si>
    <t>790.320.983-30</t>
  </si>
  <si>
    <t>5167097</t>
  </si>
  <si>
    <t>490.592.541-04</t>
  </si>
  <si>
    <t>Marcelo Kanitz</t>
  </si>
  <si>
    <t>Arrojada p/ Equities 11/04/2022</t>
  </si>
  <si>
    <t>5828311</t>
  </si>
  <si>
    <t>Gabriela Mendonça Vilar Trindade</t>
  </si>
  <si>
    <t>004027477</t>
  </si>
  <si>
    <t>Moderada p/ income 11/04/2022</t>
  </si>
  <si>
    <t>047.270.121-54</t>
  </si>
  <si>
    <t>Luciano Ricardo Arimateas Montenegro</t>
  </si>
  <si>
    <t>4510498</t>
  </si>
  <si>
    <t>Marcelo de Paiva Caetano</t>
  </si>
  <si>
    <t>776.057.561-00</t>
  </si>
  <si>
    <t>Marcelo Silva Barbosa</t>
  </si>
  <si>
    <t>Gabriela Triches De Souza</t>
  </si>
  <si>
    <t>934.691.529-34</t>
  </si>
  <si>
    <t>100k D+0 (21/08/2025)</t>
  </si>
  <si>
    <t>Equities/FIIs</t>
  </si>
  <si>
    <t>50% Ações 50%¨FIIs | Solicitou distrato 15/08/2022</t>
  </si>
  <si>
    <t>054.577.179-09</t>
  </si>
  <si>
    <t>48 98406-7323</t>
  </si>
  <si>
    <t>triches.gabriela@gmail.com</t>
  </si>
  <si>
    <t>4696943</t>
  </si>
  <si>
    <t>016.824.956-12</t>
  </si>
  <si>
    <t>Marcelo Starling Dassuncao</t>
  </si>
  <si>
    <t>Gabriella de Lima Passerini</t>
  </si>
  <si>
    <t>Pediu distrato 22/03/2022</t>
  </si>
  <si>
    <t>Vencimento Máx. 01/12/2026 (01/06/2026).</t>
  </si>
  <si>
    <t>054.014.301-40</t>
  </si>
  <si>
    <t>62 99644-0699</t>
  </si>
  <si>
    <t>gabriellalimapasserini@gmail.com</t>
  </si>
  <si>
    <t>Lucilayne dos Santos Monteiro</t>
  </si>
  <si>
    <t>090.356.116-67</t>
  </si>
  <si>
    <t>Marcelo Tavares Faria</t>
  </si>
  <si>
    <t>4384867</t>
  </si>
  <si>
    <t>072.864.949-70</t>
  </si>
  <si>
    <t>Resgate TOTAL</t>
  </si>
  <si>
    <t>gabriellelobo.r@gmail.com</t>
  </si>
  <si>
    <t>RR</t>
  </si>
  <si>
    <t>917.632.311-00</t>
  </si>
  <si>
    <t>Marcelo Virgilio de Carvalho Paiva</t>
  </si>
  <si>
    <t xml:space="preserve">Luis Guilherme Maciel    </t>
  </si>
  <si>
    <t>865134</t>
  </si>
  <si>
    <t>Pediu distrato 07/03/2022</t>
  </si>
  <si>
    <t>4461414</t>
  </si>
  <si>
    <t>Multpaper Distribuidora de Papeis LTDA</t>
  </si>
  <si>
    <t xml:space="preserve"> 473.382.611-72</t>
  </si>
  <si>
    <t>Marcia Carvalho Gazeta</t>
  </si>
  <si>
    <t>Luiz Carlos Rusky</t>
  </si>
  <si>
    <t>Garcia Sociedade Individual de Advocacia</t>
  </si>
  <si>
    <t>005575050</t>
  </si>
  <si>
    <t>262.601.580-68</t>
  </si>
  <si>
    <t>27.867.792/0001-52</t>
  </si>
  <si>
    <t>153.667.821-04</t>
  </si>
  <si>
    <t>Marcia Coelho</t>
  </si>
  <si>
    <t>Luiz Eduardo da Silva Tostes</t>
  </si>
  <si>
    <t>Garcia Toledo Gerenciamento Patrimonial LTDA</t>
  </si>
  <si>
    <t>025113770</t>
  </si>
  <si>
    <t>30.192.552/0001-00</t>
  </si>
  <si>
    <t>43 99977-4300</t>
  </si>
  <si>
    <t>151.945.901-72</t>
  </si>
  <si>
    <t>toledo.ll@gmail.com</t>
  </si>
  <si>
    <t xml:space="preserve"> 748.626.007-78</t>
  </si>
  <si>
    <t>Geisa Borges de Alcantara</t>
  </si>
  <si>
    <t>003921139</t>
  </si>
  <si>
    <t>4422652</t>
  </si>
  <si>
    <t>605.130.201-87</t>
  </si>
  <si>
    <t>053.135.269-28</t>
  </si>
  <si>
    <t>910.278.961-20</t>
  </si>
  <si>
    <t>Marcia Regiane de Sousa Aleixo</t>
  </si>
  <si>
    <t>Genesi Ribeiro De Souza Bueno</t>
  </si>
  <si>
    <t>Luiz Fernando Coelho da Cunha Filho</t>
  </si>
  <si>
    <t>4568576</t>
  </si>
  <si>
    <t>431.102.661-72</t>
  </si>
  <si>
    <t>794.342.159-00</t>
  </si>
  <si>
    <t>genesi@poloaluguel.com.br</t>
  </si>
  <si>
    <t>245.237.801-10</t>
  </si>
  <si>
    <t>Marcia Regina Ferreira Lazar</t>
  </si>
  <si>
    <t>515215</t>
  </si>
  <si>
    <t>Oscar Moura Vorcaro</t>
  </si>
  <si>
    <t>Luiz Sérgio de Vasconcelos Júnior</t>
  </si>
  <si>
    <t>385.308.721-34</t>
  </si>
  <si>
    <t>Márcia Rezende Pinheiro</t>
  </si>
  <si>
    <t>Georgia Tomas da Cunha</t>
  </si>
  <si>
    <t>002.375.651-96</t>
  </si>
  <si>
    <t>837.912.301-82</t>
  </si>
  <si>
    <t>62 98411-0694</t>
  </si>
  <si>
    <t>cunhageo@yahoo.com.br</t>
  </si>
  <si>
    <t>4656935</t>
  </si>
  <si>
    <t>834.286.070-15</t>
  </si>
  <si>
    <t>Maitri Empreendimentos LTDA</t>
  </si>
  <si>
    <t>Marcio Camargo Cunha Filho</t>
  </si>
  <si>
    <t>4438673</t>
  </si>
  <si>
    <t>Giovanna de Lima Passerini</t>
  </si>
  <si>
    <t>Venc. até 10/2026 (15/06/2026)</t>
  </si>
  <si>
    <t>Solicitou distrato dia 13/05/2021</t>
  </si>
  <si>
    <t>054.014.261-19</t>
  </si>
  <si>
    <t>62 99926-9696</t>
  </si>
  <si>
    <t>dragiovannapasserini@gmail.com</t>
  </si>
  <si>
    <t>17.087.191/0001-73</t>
  </si>
  <si>
    <t>Giovanni Del Grosso Neto</t>
  </si>
  <si>
    <t>026777847</t>
  </si>
  <si>
    <t>Manuela Bailão</t>
  </si>
  <si>
    <t>015.239.641-11</t>
  </si>
  <si>
    <t>Giovannineto@msn.com</t>
  </si>
  <si>
    <t>260.649.058-40</t>
  </si>
  <si>
    <t>004.087.941-00</t>
  </si>
  <si>
    <t>Marcio Lopes Siqueira</t>
  </si>
  <si>
    <t>Gianluca Rocha Barbazza</t>
  </si>
  <si>
    <t>004839302</t>
  </si>
  <si>
    <t>Solicitou distrato dia 14/01/2021</t>
  </si>
  <si>
    <t>R$ 690.867,77</t>
  </si>
  <si>
    <t>R$ 681.779,58</t>
  </si>
  <si>
    <t>R$ 729.780,28</t>
  </si>
  <si>
    <t>Troca de carteira para RF Ativo</t>
  </si>
  <si>
    <t>191.072.677-03</t>
  </si>
  <si>
    <t>4242922</t>
  </si>
  <si>
    <t>097.405.956-00</t>
  </si>
  <si>
    <t>Marco Antonio Fonseca Braga</t>
  </si>
  <si>
    <t>Aguardando STVM p/ BTG</t>
  </si>
  <si>
    <t>321150</t>
  </si>
  <si>
    <t>Gilda Tavares Costa Petrillo</t>
  </si>
  <si>
    <t>Marcus Macedo</t>
  </si>
  <si>
    <t>327.156.921-53</t>
  </si>
  <si>
    <t>61 98430-8180</t>
  </si>
  <si>
    <t>gilda.petrillo63@gmail.com</t>
  </si>
  <si>
    <t>Gilson Apolinario Alencar</t>
  </si>
  <si>
    <t>221.988.811-87</t>
  </si>
  <si>
    <t>Marcel Jaqueto</t>
  </si>
  <si>
    <t>Marco Aurelio De Carvalho Demes</t>
  </si>
  <si>
    <t>Sem renda variável (29/11/2024)</t>
  </si>
  <si>
    <t>Alteração de carteira finalizada (24/01/2024)</t>
  </si>
  <si>
    <t>098.767.581-87</t>
  </si>
  <si>
    <t>4398585</t>
  </si>
  <si>
    <t>gilson@contel.com.br</t>
  </si>
  <si>
    <t>285.948.798-06</t>
  </si>
  <si>
    <t>Moderada para Income 27/09/2021 | Solicitou distrato 26/07/2022</t>
  </si>
  <si>
    <t>395136</t>
  </si>
  <si>
    <t>792.049.021-91</t>
  </si>
  <si>
    <t>Marco Aurélio Marques de Castro</t>
  </si>
  <si>
    <t>Gilton de Carvalho</t>
  </si>
  <si>
    <t>Alocar todos os aportes em RV conforme carteira | Deixar apenas o suficiente para cobrança das taxas</t>
  </si>
  <si>
    <t>480281</t>
  </si>
  <si>
    <t>198.579.181-15</t>
  </si>
  <si>
    <t>giltonc@yahoo.com.br</t>
  </si>
  <si>
    <t>4017894</t>
  </si>
  <si>
    <t>Mayara Alves Monteiro</t>
  </si>
  <si>
    <t>041.313.661-26</t>
  </si>
  <si>
    <t>Giovana Salomao Pontes</t>
  </si>
  <si>
    <t>480283</t>
  </si>
  <si>
    <t>R$ 413.712,30</t>
  </si>
  <si>
    <t>R$ 262.802,89</t>
  </si>
  <si>
    <t>R$ 237.968,91</t>
  </si>
  <si>
    <t>Wellington Mendonca dos Santos</t>
  </si>
  <si>
    <t>R$ 208.444,56</t>
  </si>
  <si>
    <t>Conta CDE</t>
  </si>
  <si>
    <t>035.737.821-08</t>
  </si>
  <si>
    <t>351 934 703 680</t>
  </si>
  <si>
    <t>giovanasalomaop@gmail.com</t>
  </si>
  <si>
    <t>PT</t>
  </si>
  <si>
    <t>362841</t>
  </si>
  <si>
    <t>022.469.681-51</t>
  </si>
  <si>
    <t>Marcos Luiz dos Mares Guia Neto</t>
  </si>
  <si>
    <t>Solicitou distrato e resgate total dia 02/06/2022</t>
  </si>
  <si>
    <t>4680045</t>
  </si>
  <si>
    <t>Giovane Rebellato Bertolini</t>
  </si>
  <si>
    <t>004998717</t>
  </si>
  <si>
    <t>991.132.521-00</t>
  </si>
  <si>
    <t>090.962.979-03</t>
  </si>
  <si>
    <t>666.680.001-00</t>
  </si>
  <si>
    <t>319563</t>
  </si>
  <si>
    <t>Marcus Vinicius da Silva Dantas</t>
  </si>
  <si>
    <t>Gisela de Oliveira Pinheiro</t>
  </si>
  <si>
    <t>172.974.519-91</t>
  </si>
  <si>
    <t>004322719</t>
  </si>
  <si>
    <t>Maria das Graças da Silva Pires</t>
  </si>
  <si>
    <t>Cripto</t>
  </si>
  <si>
    <t>484.292.281-87</t>
  </si>
  <si>
    <t>004350197</t>
  </si>
  <si>
    <t>5709377</t>
  </si>
  <si>
    <t>Pedro Paulo Sampaio Barros</t>
  </si>
  <si>
    <t>Caio de Catro</t>
  </si>
  <si>
    <t>451.789.686-20</t>
  </si>
  <si>
    <t xml:space="preserve">Maria de Lourdes Pereira de Almeida </t>
  </si>
  <si>
    <t>348997</t>
  </si>
  <si>
    <t>Solicitou distrato dia 30/05/2022</t>
  </si>
  <si>
    <t>Alocar vencimentos em D+0</t>
  </si>
  <si>
    <t>Glaciele Souza Gomes Pinheiro</t>
  </si>
  <si>
    <t>005056185</t>
  </si>
  <si>
    <t>562.222.546-91</t>
  </si>
  <si>
    <t>Maria do Pilar Figueiredo Cruz</t>
  </si>
  <si>
    <t>Tirar da base (06/06/2024)</t>
  </si>
  <si>
    <t>044.815.411-05</t>
  </si>
  <si>
    <t>glaciele@eletroj.com.br</t>
  </si>
  <si>
    <t>356272</t>
  </si>
  <si>
    <t>Marina Yendo Inada</t>
  </si>
  <si>
    <t>860566</t>
  </si>
  <si>
    <t>Marco Aurelio de Freitas Rodrigues</t>
  </si>
  <si>
    <t>572.798.966-34</t>
  </si>
  <si>
    <t>Maria Jose Dias</t>
  </si>
  <si>
    <t>Glauciane Augusto Pessoa Borgmann</t>
  </si>
  <si>
    <t>Solicitou distrato 12/09/2022</t>
  </si>
  <si>
    <t>Cambui</t>
  </si>
  <si>
    <t>4617147</t>
  </si>
  <si>
    <t>Raphael Barreto de Souza Mendonça</t>
  </si>
  <si>
    <t>021.586.071-30</t>
  </si>
  <si>
    <t>glaucy.pessoa@gmail.com</t>
  </si>
  <si>
    <t>819.187.518-70</t>
  </si>
  <si>
    <t>Maria Jose Rodrigues Resende</t>
  </si>
  <si>
    <t>A cliente só quer sacar até 16 mil em dividendos mensalmente. O que ultrapassar esse valor, pode ficar na conta para ser reinvestido. Solicitou distrato em 21/11/2022</t>
  </si>
  <si>
    <t>Glenda Andrade Caliman</t>
  </si>
  <si>
    <t>4672277</t>
  </si>
  <si>
    <t>60k D+0 (30/06/2026)</t>
  </si>
  <si>
    <t>936.208.371-04</t>
  </si>
  <si>
    <t>62 98597-2545</t>
  </si>
  <si>
    <t>glenda.caliman@hotmail.com</t>
  </si>
  <si>
    <t>Marcio Andre Olive Martinez</t>
  </si>
  <si>
    <t>124.276.915-34</t>
  </si>
  <si>
    <t xml:space="preserve">Maria Lúcia Jaime </t>
  </si>
  <si>
    <t>021.327.989-40</t>
  </si>
  <si>
    <t>Pirenópolis</t>
  </si>
  <si>
    <t>343227</t>
  </si>
  <si>
    <t>114.000.446-85</t>
  </si>
  <si>
    <t>Maria Olivia Bethonico Correa</t>
  </si>
  <si>
    <t>Marco Antonio de Faria Cunha</t>
  </si>
  <si>
    <t>Aplicação máx. 12/2027 (23/07/2025)  /  150K D+0 (16/01/2026)</t>
  </si>
  <si>
    <t>gleuber.alves@yahoo.com.br</t>
  </si>
  <si>
    <t>955.930.801-78</t>
  </si>
  <si>
    <t>4447856</t>
  </si>
  <si>
    <t>387.270.489-34</t>
  </si>
  <si>
    <t>Maria Socorro Rodrigues</t>
  </si>
  <si>
    <t>305.192.177-72</t>
  </si>
  <si>
    <t>009078436</t>
  </si>
  <si>
    <t>Manter as Ações BBAS3, SBFG3 e AMER3. (10/07/2025)</t>
  </si>
  <si>
    <t>799.533.441-91</t>
  </si>
  <si>
    <t xml:space="preserve">Mariah das Graças Barbosa   </t>
  </si>
  <si>
    <t>Falar com a Vivian antes de operar | 210k sendo 30k em LI, 80K em até 3 meses e 100k entre 1 ou 2 anos</t>
  </si>
  <si>
    <t>280.545.129-53</t>
  </si>
  <si>
    <t>Gleyserson Porto Rassi</t>
  </si>
  <si>
    <t>40k D+0 (18/08/2025)</t>
  </si>
  <si>
    <t>934.597.936-00</t>
  </si>
  <si>
    <t>836.695.825-68</t>
  </si>
  <si>
    <t>Mariana Lopes Ramos Falcão</t>
  </si>
  <si>
    <t>gleyserson@gmail.com</t>
  </si>
  <si>
    <t>Marcos Aurelio Pelarim e Carvalho Grade</t>
  </si>
  <si>
    <t>030.184.549-28</t>
  </si>
  <si>
    <t>Gremio Recreativo, Social E Cultural Goiania Holdem</t>
  </si>
  <si>
    <t>005221565</t>
  </si>
  <si>
    <t>35.351.240/0001-15</t>
  </si>
  <si>
    <t>016.878.561-76</t>
  </si>
  <si>
    <t>Marilia Moreira Guimarães</t>
  </si>
  <si>
    <t>juliofgpoker@gmail.com</t>
  </si>
  <si>
    <t>Aplicar em RF com um prazo máximo de resgate até Fev/24 - Manter até 7% de RV</t>
  </si>
  <si>
    <t>830.680.071-00</t>
  </si>
  <si>
    <t>3712007</t>
  </si>
  <si>
    <t>147.853.586-53</t>
  </si>
  <si>
    <t>Mario Capp Filho</t>
  </si>
  <si>
    <t>GSL Serviços de Apoio Administrativo Ltda</t>
  </si>
  <si>
    <t>Guilherme Satyro</t>
  </si>
  <si>
    <t>Marcos Luis de Andrade Bordin</t>
  </si>
  <si>
    <t>67.895.984/0001-97</t>
  </si>
  <si>
    <t>4466421</t>
  </si>
  <si>
    <t>Troca de assessor de Silvio Holanda para Gustavo Amorim em 12/12/2022</t>
  </si>
  <si>
    <t>61 8121-2666</t>
  </si>
  <si>
    <t>gsatyrosales@gmail.com</t>
  </si>
  <si>
    <t>769.056.919-68</t>
  </si>
  <si>
    <t>2651260</t>
  </si>
  <si>
    <t>398.176.017-49</t>
  </si>
  <si>
    <t>Mário D’Almeida Schuback</t>
  </si>
  <si>
    <t>Guilherme Augusto Miranda Goulart</t>
  </si>
  <si>
    <t>004224815</t>
  </si>
  <si>
    <t>78937x</t>
  </si>
  <si>
    <t>Alteração de carteira finalizada (15/02/2024)</t>
  </si>
  <si>
    <t>043.250.611-00</t>
  </si>
  <si>
    <t>2218849</t>
  </si>
  <si>
    <t>186.312.401-25</t>
  </si>
  <si>
    <t>Marlene Afonso de Castro</t>
  </si>
  <si>
    <t>Guilherme Bastos Rocha</t>
  </si>
  <si>
    <t>001731007</t>
  </si>
  <si>
    <t>Liquidez  enviar para BTG em 06/06/2023 (não alocar recurso do vencimento - vai mandar $ pro BTG)</t>
  </si>
  <si>
    <t>696.080.831-68</t>
  </si>
  <si>
    <t>guilhermerochaengcivil@gmail.com</t>
  </si>
  <si>
    <t>4756217</t>
  </si>
  <si>
    <t>STVM para Genial</t>
  </si>
  <si>
    <t>R$ 118.173,01</t>
  </si>
  <si>
    <t>R$ 48.621,13</t>
  </si>
  <si>
    <t>100k em D+0 (22/01/2026)</t>
  </si>
  <si>
    <t>Alteração de carteira finalizada (21/10/2024)</t>
  </si>
  <si>
    <t>4522420</t>
  </si>
  <si>
    <t>Maria Caroline Fernandes Simon Jaqueto</t>
  </si>
  <si>
    <t>Mateus Argolo Lopes Camargo</t>
  </si>
  <si>
    <t>Guilherme De Paula Marques</t>
  </si>
  <si>
    <t>000431814</t>
  </si>
  <si>
    <t>030.999.229-00</t>
  </si>
  <si>
    <t>010.058.181-18</t>
  </si>
  <si>
    <t>guidpmarques@gmail.com</t>
  </si>
  <si>
    <t>4805165</t>
  </si>
  <si>
    <t>Guilherme Faleiro Guerra Pinto Coelho</t>
  </si>
  <si>
    <t>005142611</t>
  </si>
  <si>
    <t>107.407.106-99</t>
  </si>
  <si>
    <t>guilhermefgpc@hotmail.com</t>
  </si>
  <si>
    <t>032.793.481-61</t>
  </si>
  <si>
    <t>Mateus da Silva Candido</t>
  </si>
  <si>
    <t>153.898.711-20</t>
  </si>
  <si>
    <t>4409995</t>
  </si>
  <si>
    <t xml:space="preserve">Deixar 4K sem aplicar </t>
  </si>
  <si>
    <t>Guilherme Henrique Huber</t>
  </si>
  <si>
    <t>363716</t>
  </si>
  <si>
    <t>005087681</t>
  </si>
  <si>
    <t>Alteração de carteira finalizada (09/11/2023)</t>
  </si>
  <si>
    <t>046.157.539-69</t>
  </si>
  <si>
    <t>384071</t>
  </si>
  <si>
    <t>Mateus Henrique Ramirez Silva</t>
  </si>
  <si>
    <t>Guilherme Leite Castello Branco</t>
  </si>
  <si>
    <t>004574428</t>
  </si>
  <si>
    <t>008.947.334-51</t>
  </si>
  <si>
    <t>Solicitou distrato 21/02/2022</t>
  </si>
  <si>
    <t>4554462</t>
  </si>
  <si>
    <t>015.668.356-31</t>
  </si>
  <si>
    <t>Mateus Silva Carvalho</t>
  </si>
  <si>
    <t>041.866.319-05</t>
  </si>
  <si>
    <t>330028</t>
  </si>
  <si>
    <t>Maria Ines Juliani Balan</t>
  </si>
  <si>
    <t>432.989.151-49</t>
  </si>
  <si>
    <t>078.330.426-92</t>
  </si>
  <si>
    <t>4712860</t>
  </si>
  <si>
    <t>Matheus Henrique Costa Maia</t>
  </si>
  <si>
    <t>257.233.320-15</t>
  </si>
  <si>
    <t>002878817</t>
  </si>
  <si>
    <t>772.727.066-00</t>
  </si>
  <si>
    <t>4644940</t>
  </si>
  <si>
    <t>Márcia Coelho</t>
  </si>
  <si>
    <t>102.122.006-07</t>
  </si>
  <si>
    <t>Matheus Herthel Souza Belo</t>
  </si>
  <si>
    <t>Solicitou distrato 15/12/2021</t>
  </si>
  <si>
    <t>Barbacena</t>
  </si>
  <si>
    <t>Guilherme Rios Guércio e/ou Célia Rios Guercio</t>
  </si>
  <si>
    <t>002350362</t>
  </si>
  <si>
    <t>5678151</t>
  </si>
  <si>
    <t>Vertice Design Eireli</t>
  </si>
  <si>
    <t>044.446.751-36</t>
  </si>
  <si>
    <t>Matthew Paz Carvalho</t>
  </si>
  <si>
    <t>4362832</t>
  </si>
  <si>
    <t>STVM de entrada da Guide finalizada (15/12/2023)</t>
  </si>
  <si>
    <t>Ricardo Gomes de Queiroz</t>
  </si>
  <si>
    <t>contatogustavofalavigna@gmail.com</t>
  </si>
  <si>
    <t>723.616.461-53</t>
  </si>
  <si>
    <t xml:space="preserve">Maurício Borges Sampaio Filho  </t>
  </si>
  <si>
    <t>4645750</t>
  </si>
  <si>
    <t>Gustavo Falavigna Guilherme e/ou Ana Lucia Falavigna Guilherme</t>
  </si>
  <si>
    <t>255.626.229-04</t>
  </si>
  <si>
    <t>Vértice Design Eireli</t>
  </si>
  <si>
    <t>5182986</t>
  </si>
  <si>
    <t>058.282.617-97</t>
  </si>
  <si>
    <t>Maurício Mury Poupel</t>
  </si>
  <si>
    <t>Mario Tomohiro Yamaguti</t>
  </si>
  <si>
    <t>4569204</t>
  </si>
  <si>
    <t>Ricardo Yamasaki Santiago</t>
  </si>
  <si>
    <t>062.319.189-04</t>
  </si>
  <si>
    <t>Conta principal nunca foi operada e foi distratada. Cliente vai aportar 100k para operar essa. Soliticou distrato 24/11/2022</t>
  </si>
  <si>
    <t>Gustavo Henrique Babinski Biasebetti</t>
  </si>
  <si>
    <t>Luis Felipe</t>
  </si>
  <si>
    <t>4486837</t>
  </si>
  <si>
    <t>Rodrigo Barros Mendonça</t>
  </si>
  <si>
    <t>046.513.509-92</t>
  </si>
  <si>
    <t>(46) 99907-1983</t>
  </si>
  <si>
    <t>ghbabinski@gmail.com</t>
  </si>
  <si>
    <t>125.717.251-49</t>
  </si>
  <si>
    <t>Mauro Araujo Dias</t>
  </si>
  <si>
    <t>4441540</t>
  </si>
  <si>
    <t>Renato Sendin</t>
  </si>
  <si>
    <t>Alteração de carteira finalizada (20/01//2025)</t>
  </si>
  <si>
    <t>betorqueiroz@hotmail.com</t>
  </si>
  <si>
    <t>022.308.431-09</t>
  </si>
  <si>
    <t>5635853</t>
  </si>
  <si>
    <t>4719236</t>
  </si>
  <si>
    <t>Nathalia Alcantara de Albuquerque</t>
  </si>
  <si>
    <t>004313254</t>
  </si>
  <si>
    <t>Métrica Administradora de Recursos LTDA</t>
  </si>
  <si>
    <t>Alteração de carteira finalizada (17/06/2024)</t>
  </si>
  <si>
    <t>gustavo.m.amorim@hotmail.com</t>
  </si>
  <si>
    <t>R$ 634.978,51</t>
  </si>
  <si>
    <t>R$ 884.340,49</t>
  </si>
  <si>
    <t>Mauricio Daher Andrade Gomes</t>
  </si>
  <si>
    <t>Ações +</t>
  </si>
  <si>
    <t>708.498.461-53</t>
  </si>
  <si>
    <t>4675489</t>
  </si>
  <si>
    <t>Wagner Moraes da Silva</t>
  </si>
  <si>
    <t>004228090</t>
  </si>
  <si>
    <t>R$ 947,39</t>
  </si>
  <si>
    <t>101.791.087-19</t>
  </si>
  <si>
    <t xml:space="preserve">Milzo de Mattos Barros </t>
  </si>
  <si>
    <t>Solicitou distrato 27/04/2022</t>
  </si>
  <si>
    <t>Guarulhos</t>
  </si>
  <si>
    <t>053.656.187-77</t>
  </si>
  <si>
    <t>704.696.951-53</t>
  </si>
  <si>
    <t>Mineia Vieira Parreira</t>
  </si>
  <si>
    <t>Icome</t>
  </si>
  <si>
    <t>005591536</t>
  </si>
  <si>
    <t>458601</t>
  </si>
  <si>
    <t>409.360.746-04</t>
  </si>
  <si>
    <t>Rafael Natale Fiorelli</t>
  </si>
  <si>
    <t>Monica Rocha Azevedo Figueiro</t>
  </si>
  <si>
    <t>Michell Pratt Sorgi Jabur</t>
  </si>
  <si>
    <t>060.276.819-50</t>
  </si>
  <si>
    <t>Arrojada 60 para 70 23/06/2021. Solicitou distrato 28/03/2022</t>
  </si>
  <si>
    <t>005588581</t>
  </si>
  <si>
    <t>MRZ Construçoes Civis LTDA EPP</t>
  </si>
  <si>
    <t>11.936.053/0001-35</t>
  </si>
  <si>
    <t>Solicitou distrato 28/03/2022 das duas contas.</t>
  </si>
  <si>
    <t>Gustavo Mortari Ferreira</t>
  </si>
  <si>
    <t>042.189.381-80</t>
  </si>
  <si>
    <t>61 98304-8586</t>
  </si>
  <si>
    <t>mortari.ferreira@gmail.com</t>
  </si>
  <si>
    <t>578.849.781-72</t>
  </si>
  <si>
    <t>Mônica Torres Silva</t>
  </si>
  <si>
    <t>Aplicar em títulos com liquidez imediata</t>
  </si>
  <si>
    <t>022.601.481-90</t>
  </si>
  <si>
    <t>Gustavo Rodrigues Queiroz e/ou Aline Tramontini Zanluchi Queiroz</t>
  </si>
  <si>
    <t>gustavorodriguesqueiroz11@gmail.com</t>
  </si>
  <si>
    <t>Nabor Augusto Wagner Pereira</t>
  </si>
  <si>
    <t>199.917.110-15</t>
  </si>
  <si>
    <t>R$ 695.297,71</t>
  </si>
  <si>
    <t>R$ 712.184,27</t>
  </si>
  <si>
    <t>R$ 719.113,81</t>
  </si>
  <si>
    <t>R$ 711.648,61</t>
  </si>
  <si>
    <t>R$ 642.991,16</t>
  </si>
  <si>
    <t>R$ 652.445,58</t>
  </si>
  <si>
    <t>R$ 661.618,49</t>
  </si>
  <si>
    <t>R$ 675.596,08</t>
  </si>
  <si>
    <t>R$ 692.579,76</t>
  </si>
  <si>
    <t>R$ 679.489,94</t>
  </si>
  <si>
    <t>R$ 668.906,77</t>
  </si>
  <si>
    <t>R$ 652.847,98</t>
  </si>
  <si>
    <t>R$ 687.583,63</t>
  </si>
  <si>
    <t>004830355</t>
  </si>
  <si>
    <t>Nady Dequech</t>
  </si>
  <si>
    <t>321312</t>
  </si>
  <si>
    <t>Multi macro</t>
  </si>
  <si>
    <t>005.037.019-71</t>
  </si>
  <si>
    <t>5762906</t>
  </si>
  <si>
    <t>Rodrigo Nunes Franco</t>
  </si>
  <si>
    <t>35.522.797/0001-71</t>
  </si>
  <si>
    <t>MSD Construtora e Incorporadora Eireli</t>
  </si>
  <si>
    <t>Conservadora para Income 20/12/2021</t>
  </si>
  <si>
    <t>5763015</t>
  </si>
  <si>
    <t>Hebert Henrique Justo Lemes</t>
  </si>
  <si>
    <t>004115403</t>
  </si>
  <si>
    <t>26.976.381/0001-32</t>
  </si>
  <si>
    <t>Solicitou distrato 31/07/2021</t>
  </si>
  <si>
    <t>033.123.921-36</t>
  </si>
  <si>
    <t>heberthjl@hotmail.com</t>
  </si>
  <si>
    <t>R$ 792.333,76</t>
  </si>
  <si>
    <t>R$ 787.424,36</t>
  </si>
  <si>
    <t>R$ 806.708,33</t>
  </si>
  <si>
    <t>008.805.461-66</t>
  </si>
  <si>
    <t>002.888.291-15</t>
  </si>
  <si>
    <t>Nassim Taleb</t>
  </si>
  <si>
    <t>Não movimentar a conta - Conferir com o Guilherme antes - Manter FII dentro da RV  (Ir migrando Previdência  com calma para nossa estratégia) Validar Vivian</t>
  </si>
  <si>
    <t>Heidi Flavia Beraldo E Silva De Freitas e/ou Fernando Eduardo De Freitas</t>
  </si>
  <si>
    <t>Alteração de carteira finalizada (12/08/2025)</t>
  </si>
  <si>
    <t>286.504.878-07</t>
  </si>
  <si>
    <t>heidiflavia@hotmail.com</t>
  </si>
  <si>
    <t>Perguntar pra Vivian pois a conta só tem previdência</t>
  </si>
  <si>
    <t>591.631.271-72</t>
  </si>
  <si>
    <t>Heitor de Lima Gomes</t>
  </si>
  <si>
    <t>003435941</t>
  </si>
  <si>
    <t>4701151</t>
  </si>
  <si>
    <t>STVM Interna finalizada (01/07/2024)</t>
  </si>
  <si>
    <t>049.050.704-22</t>
  </si>
  <si>
    <t>010.575.564-83</t>
  </si>
  <si>
    <t>4084071</t>
  </si>
  <si>
    <t>Solicitou distrato 20/08/2021 // Moderado para Income em 11/08/2021.</t>
  </si>
  <si>
    <t>5146477</t>
  </si>
  <si>
    <t>004907688</t>
  </si>
  <si>
    <t>Silvia Carla Galli Leyser</t>
  </si>
  <si>
    <t>696.877.491-72</t>
  </si>
  <si>
    <t>heitorgomes89@gmail.com</t>
  </si>
  <si>
    <t>029.842.851-23</t>
  </si>
  <si>
    <t>Nayane Braga Aidar</t>
  </si>
  <si>
    <t>4440692</t>
  </si>
  <si>
    <t>Helber Araújo Barros</t>
  </si>
  <si>
    <t>017775289</t>
  </si>
  <si>
    <t>4493392</t>
  </si>
  <si>
    <t>Rejane Maria Dantas Maia</t>
  </si>
  <si>
    <t>059.409.681-20</t>
  </si>
  <si>
    <t>067.285.688-32</t>
  </si>
  <si>
    <t>61 99819-2212</t>
  </si>
  <si>
    <t>Nazly Wiss Maldonado Pizani</t>
  </si>
  <si>
    <t>Helberaraujo05@gmail.com</t>
  </si>
  <si>
    <t>Limeira</t>
  </si>
  <si>
    <t>4425136</t>
  </si>
  <si>
    <t>Raquel Valadares Von Glehn Ribeiro</t>
  </si>
  <si>
    <t>NDD Participações S/S LTDA</t>
  </si>
  <si>
    <t>Gil/Caldeira</t>
  </si>
  <si>
    <t>497.269.436-04</t>
  </si>
  <si>
    <t>Neander Cambraia</t>
  </si>
  <si>
    <t>003156690</t>
  </si>
  <si>
    <t>11.296.283/0001-87</t>
  </si>
  <si>
    <t>772942</t>
  </si>
  <si>
    <t>R$ 298.939,84</t>
  </si>
  <si>
    <t>R$ 294.838,70</t>
  </si>
  <si>
    <t>R$ 314.658,97</t>
  </si>
  <si>
    <t>310.258.701-15</t>
  </si>
  <si>
    <t>Nemora Paim dos Santos</t>
  </si>
  <si>
    <t>Nelson Dequech</t>
  </si>
  <si>
    <t>033.836.288-68</t>
  </si>
  <si>
    <t>Helena Brenner Da Rocha E Silva</t>
  </si>
  <si>
    <t>004329441</t>
  </si>
  <si>
    <t>882640</t>
  </si>
  <si>
    <t>Ronaldo Mafia Cuenca</t>
  </si>
  <si>
    <t>196.145.191-34</t>
  </si>
  <si>
    <t>Solicitou distrato 10/05/2022</t>
  </si>
  <si>
    <t>Nilborn Multimeios LTDA</t>
  </si>
  <si>
    <t>13.568.284/0001-69</t>
  </si>
  <si>
    <t>547.549.921-72</t>
  </si>
  <si>
    <t>Nina Rosa Gomes Nogueira</t>
  </si>
  <si>
    <t>383873</t>
  </si>
  <si>
    <t>Roseli Aparecida Giocondo</t>
  </si>
  <si>
    <t xml:space="preserve">Helio Jasckstet  </t>
  </si>
  <si>
    <t>004363250</t>
  </si>
  <si>
    <t>343804</t>
  </si>
  <si>
    <t>Cliente retornou para a base dia 21/10/2024 sob nova carteira</t>
  </si>
  <si>
    <t>044.369.991-73</t>
  </si>
  <si>
    <t>01.646.611/0001-74</t>
  </si>
  <si>
    <t>Odil Garrido Campos de Andrade</t>
  </si>
  <si>
    <t>Solicitou distrato 13/12/2021</t>
  </si>
  <si>
    <t>R$ 74.942,24</t>
  </si>
  <si>
    <t>2699859</t>
  </si>
  <si>
    <t>34.401.589/0001-51</t>
  </si>
  <si>
    <t>Oliveira de Paula Sociedade Individual de Advocacia</t>
  </si>
  <si>
    <t>4728915</t>
  </si>
  <si>
    <t>Helio Lemos Menna</t>
  </si>
  <si>
    <t>281.298.810-04</t>
  </si>
  <si>
    <t>heliomenna@gmail.com</t>
  </si>
  <si>
    <t>4706119</t>
  </si>
  <si>
    <t>Arrojada  10% em RV</t>
  </si>
  <si>
    <t>5650271</t>
  </si>
  <si>
    <t>005709269</t>
  </si>
  <si>
    <t>753.956.656-68</t>
  </si>
  <si>
    <t>Equities para Arrojada 70 23/06/2021</t>
  </si>
  <si>
    <t>05.388.578/0001-80</t>
  </si>
  <si>
    <t>4837403</t>
  </si>
  <si>
    <t>P21 Informática LTDA</t>
  </si>
  <si>
    <t>003.440.011-72</t>
  </si>
  <si>
    <t>Rossana de Miranda Almeida</t>
  </si>
  <si>
    <t>Osmar Prudente</t>
  </si>
  <si>
    <t>Heloisa Sá Alves</t>
  </si>
  <si>
    <t>019488097</t>
  </si>
  <si>
    <t>Todo saldo em conta corrente, transferir pro Banco (não aplicar)</t>
  </si>
  <si>
    <t>05.246.436/0001-89</t>
  </si>
  <si>
    <t>Solicitou distrato 22/07/2022</t>
  </si>
  <si>
    <t>4491063</t>
  </si>
  <si>
    <t>Renata Freitas Chamarelli</t>
  </si>
  <si>
    <t>059.334.909-11</t>
  </si>
  <si>
    <t>61 98166-7689</t>
  </si>
  <si>
    <t>heloisa.sa.alves@gmail.com</t>
  </si>
  <si>
    <t>20/110/1986</t>
  </si>
  <si>
    <t>Arrojada 40 para Arrojada - Flexível</t>
  </si>
  <si>
    <t>R$ 310.286,32</t>
  </si>
  <si>
    <t>4668132</t>
  </si>
  <si>
    <t>R$ 321.716,45</t>
  </si>
  <si>
    <t>R$ 321.667,66</t>
  </si>
  <si>
    <t>R$ 320.080,24</t>
  </si>
  <si>
    <t>R$ 294.268,28</t>
  </si>
  <si>
    <t>R$ 297.868,37</t>
  </si>
  <si>
    <t>R$ 300.957,45</t>
  </si>
  <si>
    <t>R$ 306.002,14</t>
  </si>
  <si>
    <t>R$ 312.399,50</t>
  </si>
  <si>
    <t>R$ 300.277,98</t>
  </si>
  <si>
    <t>R$ 290.793,41</t>
  </si>
  <si>
    <t>R$ 312.422,30</t>
  </si>
  <si>
    <t>R$ 342.009,16</t>
  </si>
  <si>
    <t>4742962</t>
  </si>
  <si>
    <t>702.128.561-20</t>
  </si>
  <si>
    <t>Patricia da Conceicao Alves Mendes</t>
  </si>
  <si>
    <t>4243120</t>
  </si>
  <si>
    <t>Viviane Christine Monteiro Peres</t>
  </si>
  <si>
    <t>5752123</t>
  </si>
  <si>
    <t>Helvécio Bueno</t>
  </si>
  <si>
    <t>004459875</t>
  </si>
  <si>
    <t>071.619.044-39</t>
  </si>
  <si>
    <t>Patrícia Ferreira Wanderley de Siqueira</t>
  </si>
  <si>
    <t>057.577.891-15</t>
  </si>
  <si>
    <t>876.111.631-91</t>
  </si>
  <si>
    <t>4653733</t>
  </si>
  <si>
    <t>186.556.881-34</t>
  </si>
  <si>
    <t>Patricia Gatti Raulino</t>
  </si>
  <si>
    <t>Hemat Centro de Distribuição Veterinária LTDA</t>
  </si>
  <si>
    <t>004119016</t>
  </si>
  <si>
    <t>hematdistribuicao@gmail.com</t>
  </si>
  <si>
    <t>4920389</t>
  </si>
  <si>
    <t>400k D+0 (09/12/2025)</t>
  </si>
  <si>
    <t>4577878</t>
  </si>
  <si>
    <t>004479464</t>
  </si>
  <si>
    <t>827.926.821-91</t>
  </si>
  <si>
    <t xml:space="preserve">Paulo Henrique de Freitas Miranda     </t>
  </si>
  <si>
    <t>004497875</t>
  </si>
  <si>
    <t>018.861.531-83</t>
  </si>
  <si>
    <t>Solicitou distrato 29/04/2021</t>
  </si>
  <si>
    <t>396107</t>
  </si>
  <si>
    <t>Raphael Steckelberg</t>
  </si>
  <si>
    <t>Hepta Tecnologia e Informática LTDA</t>
  </si>
  <si>
    <t>4424587</t>
  </si>
  <si>
    <t>091.219.943-15</t>
  </si>
  <si>
    <t>Paulo Pereira Nogueira</t>
  </si>
  <si>
    <t>Washington José Lima Candido</t>
  </si>
  <si>
    <t>villares@hepta.com.br</t>
  </si>
  <si>
    <t>Paulo Antonio Ruffo</t>
  </si>
  <si>
    <t>329.011.009-53</t>
  </si>
  <si>
    <t>Pr</t>
  </si>
  <si>
    <t>354.327.301-97</t>
  </si>
  <si>
    <t>320731</t>
  </si>
  <si>
    <t>R$ 260.660,48</t>
  </si>
  <si>
    <t>R$ 254.144,00</t>
  </si>
  <si>
    <t>R$ 198.118,42</t>
  </si>
  <si>
    <t>R$ 197.205,76</t>
  </si>
  <si>
    <t>R$ 210.583,38</t>
  </si>
  <si>
    <t>HFR - Construtora LTDA</t>
  </si>
  <si>
    <t>004361159</t>
  </si>
  <si>
    <t>296589x</t>
  </si>
  <si>
    <t>14.750.840/000-187</t>
  </si>
  <si>
    <t>840.467.837-53</t>
  </si>
  <si>
    <t>Paulo Roberto Alvares Soeiro</t>
  </si>
  <si>
    <t>5757724</t>
  </si>
  <si>
    <t>Solicitou distrato 16/09/2022</t>
  </si>
  <si>
    <t>004381180</t>
  </si>
  <si>
    <t>4639067</t>
  </si>
  <si>
    <t>14.750.840/000-188</t>
  </si>
  <si>
    <t>850.869.758-91</t>
  </si>
  <si>
    <t>Paulo Roberto Malmonge</t>
  </si>
  <si>
    <t>004870976</t>
  </si>
  <si>
    <t>14.750.840/000-186</t>
  </si>
  <si>
    <t>Hiroko Nishiwaki Yanigiharo</t>
  </si>
  <si>
    <t>004996634</t>
  </si>
  <si>
    <t>881.870.121-53</t>
  </si>
  <si>
    <t>Paulo Rogerio da Silva</t>
  </si>
  <si>
    <t>524.158.568-00</t>
  </si>
  <si>
    <t>798500</t>
  </si>
  <si>
    <t>Hugo Coelho Costa de Arruda</t>
  </si>
  <si>
    <t>025772609</t>
  </si>
  <si>
    <t>50% D+0 (26/05/2026).</t>
  </si>
  <si>
    <t>053.159.623-00</t>
  </si>
  <si>
    <t>61 98260-5263</t>
  </si>
  <si>
    <t>hg.arruda@hotmail.com</t>
  </si>
  <si>
    <t>4697985</t>
  </si>
  <si>
    <t>891801</t>
  </si>
  <si>
    <t>Hugo da Cunha</t>
  </si>
  <si>
    <t>Renda Fixa</t>
  </si>
  <si>
    <t>808.292.521-34</t>
  </si>
  <si>
    <t>62 98405-1144</t>
  </si>
  <si>
    <t>hugovascular@hotmail.com</t>
  </si>
  <si>
    <t>311.371.051-00</t>
  </si>
  <si>
    <t>Paulo Sergio Botelho</t>
  </si>
  <si>
    <t>Solicitou resgate total 16/09/2022 | Solicitou distrato 27/09/2022</t>
  </si>
  <si>
    <t>Igor Gabriel Nogueira de Andrade</t>
  </si>
  <si>
    <t>006.460.511-64</t>
  </si>
  <si>
    <t>igorgna@hotmail.com</t>
  </si>
  <si>
    <t>4412801</t>
  </si>
  <si>
    <t>4416789</t>
  </si>
  <si>
    <t>471.583.101-59</t>
  </si>
  <si>
    <t>Paulo Sergio dos Santos Pereira</t>
  </si>
  <si>
    <t xml:space="preserve">Ilton Luis Guimarães de Siqueira e/ou Maria Isabel Dantas de Siqueira </t>
  </si>
  <si>
    <t>004211368</t>
  </si>
  <si>
    <t>Distrati unilateral</t>
  </si>
  <si>
    <t>Troca de assessor Luciano Villanova p/ Yasmin Muniz em 08/11/2022</t>
  </si>
  <si>
    <t>500K em FII, restante Income</t>
  </si>
  <si>
    <t>777.899.708-87</t>
  </si>
  <si>
    <t>Pedro de Mello Vianna Pedrosa Galvao</t>
  </si>
  <si>
    <t>Solicitou alteração para o perfil conservador</t>
  </si>
  <si>
    <t>Instituto Filadelfia De Londrina</t>
  </si>
  <si>
    <t>R$ 158.339,34</t>
  </si>
  <si>
    <t>431754</t>
  </si>
  <si>
    <t>Só CDB, limite FGC (13/05/2026).</t>
  </si>
  <si>
    <t>78.624.202/0001-00</t>
  </si>
  <si>
    <t>43 99937-8518</t>
  </si>
  <si>
    <t>gcaldeira@unifil.br</t>
  </si>
  <si>
    <t>Iolivan Jose De Brito</t>
  </si>
  <si>
    <t>R$ 8.100,32</t>
  </si>
  <si>
    <t>043.257.016-05</t>
  </si>
  <si>
    <t>(11) 98613-8123</t>
  </si>
  <si>
    <t>iolivan@nefronshd.com.br</t>
  </si>
  <si>
    <t>097.136.556-30</t>
  </si>
  <si>
    <t>Pedro Henrique Bitar Davisson</t>
  </si>
  <si>
    <t>2697792</t>
  </si>
  <si>
    <t xml:space="preserve">Iracy Maria Machado de Amorim        </t>
  </si>
  <si>
    <t>Manter Recurso em Liquidez (23/10/2025)</t>
  </si>
  <si>
    <t>iracymaria@icloud.com</t>
  </si>
  <si>
    <t>4474939</t>
  </si>
  <si>
    <t>018.229.051-41</t>
  </si>
  <si>
    <t>Sem renda variável (11/12/2024)</t>
  </si>
  <si>
    <t>iron12@gmail.com</t>
  </si>
  <si>
    <t>327.436.428-23</t>
  </si>
  <si>
    <t>Distrato 07/07/2021</t>
  </si>
  <si>
    <t>Isabel Crystina de Melo Alencar</t>
  </si>
  <si>
    <t>005624730</t>
  </si>
  <si>
    <t>659.772.541-72</t>
  </si>
  <si>
    <t>088.336.746-73</t>
  </si>
  <si>
    <t xml:space="preserve">Pedro Victor Lima de Faria </t>
  </si>
  <si>
    <t>376.840.848-52</t>
  </si>
  <si>
    <t>Rafael Guerzoni</t>
  </si>
  <si>
    <t>007.578.779-23</t>
  </si>
  <si>
    <t>954.372.821-68</t>
  </si>
  <si>
    <t xml:space="preserve">Polyanna Rezende Milhomem Marinho    </t>
  </si>
  <si>
    <t>Isabele Papafanurakis Ferreira Noronha</t>
  </si>
  <si>
    <t>282.707.358-76</t>
  </si>
  <si>
    <t>isabelepfn@hotmail.com</t>
  </si>
  <si>
    <r>
      <rPr>
        <rFont val="Times New Roman"/>
        <b/>
        <color theme="1"/>
        <sz val="8.0"/>
      </rPr>
      <t>Não aplicar</t>
    </r>
    <r>
      <rPr>
        <rFont val="Times New Roman"/>
        <color theme="1"/>
        <sz val="8.0"/>
      </rPr>
      <t>! Esperar a assessora dar o ok para começar as operações | 80% RF e 20% RV | Data limite das aplicações 31/12/2024</t>
    </r>
  </si>
  <si>
    <t>6245088</t>
  </si>
  <si>
    <t>055.658.729-44</t>
  </si>
  <si>
    <t xml:space="preserve">Isabele Papafanurakis Ferreira Noronha </t>
  </si>
  <si>
    <t>004767746</t>
  </si>
  <si>
    <t>715.234.561-91</t>
  </si>
  <si>
    <t>Priscilla Henrique Menezes</t>
  </si>
  <si>
    <t>Rafael Pellicano de Figueiredo</t>
  </si>
  <si>
    <t>021.027.791-22</t>
  </si>
  <si>
    <t>Isabella Azarias de Souza</t>
  </si>
  <si>
    <t>004453302</t>
  </si>
  <si>
    <t>azarias.isabella@gmail.com</t>
  </si>
  <si>
    <t>5774998</t>
  </si>
  <si>
    <t>585.931.601-15</t>
  </si>
  <si>
    <t>Rachel Araújo Campos Ramos</t>
  </si>
  <si>
    <t>Conservadora 5%  | RF liquidez até 180 dias</t>
  </si>
  <si>
    <t>Isabella Barbosa Silva</t>
  </si>
  <si>
    <t>004973881</t>
  </si>
  <si>
    <t>737.153.101-97</t>
  </si>
  <si>
    <t>2699490</t>
  </si>
  <si>
    <t>RAFAEL CRISPIM GONCALVES</t>
  </si>
  <si>
    <r>
      <rPr>
        <rFont val="Times New Roman"/>
        <b/>
        <color theme="1"/>
        <sz val="10.0"/>
      </rPr>
      <t xml:space="preserve">Conservadora 0,8  como são contas herdadas, falar com Canabrava na hora de operar | liquidez até 90 dias)
Não mexer na parte de ações e fiis agora. Nem aplicar e nem resgatar. </t>
    </r>
    <r>
      <rPr>
        <rFont val="Times New Roman"/>
        <b/>
        <color rgb="FFFF0000"/>
        <sz val="10.0"/>
      </rPr>
      <t>NÃO OPERAR, ESTA EM PORTABILIDADE!</t>
    </r>
  </si>
  <si>
    <t>Isabella Prado Miranda</t>
  </si>
  <si>
    <t>003836362</t>
  </si>
  <si>
    <t>Alterado a conta de N° 003836362 (sem saldo) / Alteração de carteira finalizada (18/04/2024)</t>
  </si>
  <si>
    <t>851.399.205-49</t>
  </si>
  <si>
    <t>isabellapradomiranda@gmail.com</t>
  </si>
  <si>
    <t>4769682</t>
  </si>
  <si>
    <t>019.552.231-14</t>
  </si>
  <si>
    <t>Isabelle Xavier Calil</t>
  </si>
  <si>
    <t>35K D+0 (retiradas mensais) (22/04/2025)</t>
  </si>
  <si>
    <t>014.832.991-80</t>
  </si>
  <si>
    <t>isabellecalil@gmail.com</t>
  </si>
  <si>
    <t>Distrato solicitado 19/04/2021</t>
  </si>
  <si>
    <t>4495588</t>
  </si>
  <si>
    <t>R$ 403.425,55</t>
  </si>
  <si>
    <t>R$ 364.688,01</t>
  </si>
  <si>
    <t>R$ 381.894,54</t>
  </si>
  <si>
    <t>R$ 378.615,59</t>
  </si>
  <si>
    <t>R$ 308.902,12</t>
  </si>
  <si>
    <t>027.243.381-03</t>
  </si>
  <si>
    <t>R$ 293.747,26</t>
  </si>
  <si>
    <t>R$ 278.113,14</t>
  </si>
  <si>
    <t>R$ 263.629,18</t>
  </si>
  <si>
    <t>R$ 268.546,86</t>
  </si>
  <si>
    <t>R$ 243.608,06</t>
  </si>
  <si>
    <t>R$ 239.372,20</t>
  </si>
  <si>
    <t>Isadora Sales Miranda Goulart</t>
  </si>
  <si>
    <t>008071998</t>
  </si>
  <si>
    <t>R$ 187.666,72</t>
  </si>
  <si>
    <t>R$ 173.670,92</t>
  </si>
  <si>
    <t>5620188</t>
  </si>
  <si>
    <t>Silvia Ruth Penaloza Diez</t>
  </si>
  <si>
    <t>715.251.511-50</t>
  </si>
  <si>
    <t>4461684</t>
  </si>
  <si>
    <t>Raquel Moreno Forte</t>
  </si>
  <si>
    <t>011.402.941-56</t>
  </si>
  <si>
    <t>Rafael Lopes Gonçalves</t>
  </si>
  <si>
    <t>032.794.549-48</t>
  </si>
  <si>
    <t>Itallo Osorio Gladino Amaral</t>
  </si>
  <si>
    <t>969.363.201-04</t>
  </si>
  <si>
    <t>62 98166-9361</t>
  </si>
  <si>
    <t>itallo.osorio@gmail.com</t>
  </si>
  <si>
    <t>Solicitiou distrato em 03/02/2023 (migrou para o BTG)</t>
  </si>
  <si>
    <t>Ivana Cavalcante da Silva Bittencourt</t>
  </si>
  <si>
    <t>Reginaldo Ferreira</t>
  </si>
  <si>
    <t>200.166.111-87</t>
  </si>
  <si>
    <t>67 98444-3158</t>
  </si>
  <si>
    <t>icsbittencourt@gmail.com</t>
  </si>
  <si>
    <t>917.922.669-87</t>
  </si>
  <si>
    <t>022.694.541-38</t>
  </si>
  <si>
    <t>Rafael Osvaldo de Carvalho Arantes</t>
  </si>
  <si>
    <t>4534168</t>
  </si>
  <si>
    <t>ivone.milanez@outlook.com</t>
  </si>
  <si>
    <t>012.999.431-60</t>
  </si>
  <si>
    <t>Rafaela Bayardino Machado</t>
  </si>
  <si>
    <t>Jade Tayline Boscolo de Aragão</t>
  </si>
  <si>
    <t>008335477</t>
  </si>
  <si>
    <t>032.236.211-30</t>
  </si>
  <si>
    <t>jadetayline@gmail.com</t>
  </si>
  <si>
    <t>Renan Pereira de Oliveira Tinoco</t>
  </si>
  <si>
    <t>Não operar, está fazendo STVM pro BTG</t>
  </si>
  <si>
    <t>021.080.612-58</t>
  </si>
  <si>
    <t>5789898</t>
  </si>
  <si>
    <t>Jader Allan Oliveira Moura Lagares</t>
  </si>
  <si>
    <t>004587525</t>
  </si>
  <si>
    <t>807649</t>
  </si>
  <si>
    <t>010.925.791-09</t>
  </si>
  <si>
    <t>3187291</t>
  </si>
  <si>
    <t>364.645.621-34</t>
  </si>
  <si>
    <t>Jaime Estevam Gomes Filho</t>
  </si>
  <si>
    <t>033.509.321-34</t>
  </si>
  <si>
    <t>Raimundo Estevam Silva</t>
  </si>
  <si>
    <t>jaimevirtual@hotmail.com</t>
  </si>
  <si>
    <t>3263443</t>
  </si>
  <si>
    <t>Não vender IVVB11 e Fundo Dolar</t>
  </si>
  <si>
    <t>Renato de Freitas Mendes</t>
  </si>
  <si>
    <t>821.477.281-87</t>
  </si>
  <si>
    <t>085.720.237-55</t>
  </si>
  <si>
    <t>Retlaw Agricola e Pastoril S/S LTDA</t>
  </si>
  <si>
    <t>Solicitou distrato 13/07/2021</t>
  </si>
  <si>
    <t xml:space="preserve">Cliente retornou para a base dia 10/10/2024 </t>
  </si>
  <si>
    <t>ctais7908@gmail.com</t>
  </si>
  <si>
    <t>04.095.093/0001-36</t>
  </si>
  <si>
    <t>Jakeline Alves Rodrigues</t>
  </si>
  <si>
    <t>366.407.418-14</t>
  </si>
  <si>
    <t>Raphael Pereira Hablitzel</t>
  </si>
  <si>
    <t>RHF Prestacoes de Servicos Me</t>
  </si>
  <si>
    <t>Alteração de carteira finalizada (27/07/2026)</t>
  </si>
  <si>
    <t>051.322.329-06</t>
  </si>
  <si>
    <t>43 99100-2239</t>
  </si>
  <si>
    <t>Jake.neto.2012@hotmail.com</t>
  </si>
  <si>
    <t>5842438</t>
  </si>
  <si>
    <t>18.240.643/0001-78</t>
  </si>
  <si>
    <t>Sol Comércio de Combustiveis Ltda</t>
  </si>
  <si>
    <t>Solicitou distrato 20/10/2021</t>
  </si>
  <si>
    <t>433129</t>
  </si>
  <si>
    <t xml:space="preserve">Jalison Caio César Cruz </t>
  </si>
  <si>
    <t>004339183</t>
  </si>
  <si>
    <t>STVM de saída para XP finalizada (29/08/2023)</t>
  </si>
  <si>
    <t>jalisoncruz.pta@gmail.com</t>
  </si>
  <si>
    <t>995.370.441-49</t>
  </si>
  <si>
    <t>js.takahara@uol.com.br</t>
  </si>
  <si>
    <t>4218282</t>
  </si>
  <si>
    <t>726.603.921-53</t>
  </si>
  <si>
    <t>Jeanine Maria Linzmeyer</t>
  </si>
  <si>
    <t>008400001</t>
  </si>
  <si>
    <t>670.273.699-15</t>
  </si>
  <si>
    <t>5842390</t>
  </si>
  <si>
    <t>Jennifer Ornelas Frederico</t>
  </si>
  <si>
    <t>122.124.789-17</t>
  </si>
  <si>
    <t>359301</t>
  </si>
  <si>
    <t>43 99156-6774</t>
  </si>
  <si>
    <t>fredericoornelasjennifer@gmail.com</t>
  </si>
  <si>
    <t>889.209.091-72</t>
  </si>
  <si>
    <t>Solicitou distrato 09/09/2021</t>
  </si>
  <si>
    <t>4403283</t>
  </si>
  <si>
    <t xml:space="preserve">J M Consultoria Empresarial LTDA  </t>
  </si>
  <si>
    <t>004245232</t>
  </si>
  <si>
    <t>Lucio Moscarelli</t>
  </si>
  <si>
    <t>R$ 107.047,34</t>
  </si>
  <si>
    <t>R$ 106.489,84</t>
  </si>
  <si>
    <t>R$ 113.463,05</t>
  </si>
  <si>
    <t xml:space="preserve">Manter conta ativa para possivél retorno do cliente </t>
  </si>
  <si>
    <t>116.962.571-15</t>
  </si>
  <si>
    <t>Jo Hwi Song</t>
  </si>
  <si>
    <t>005324981</t>
  </si>
  <si>
    <t>4898136</t>
  </si>
  <si>
    <t>728.254.561-87</t>
  </si>
  <si>
    <t>369.920.748-06</t>
  </si>
  <si>
    <t>0803/2021</t>
  </si>
  <si>
    <t>355180</t>
  </si>
  <si>
    <t>Joana D Arc Pereira</t>
  </si>
  <si>
    <t>Ricardo Jose Rodrigues</t>
  </si>
  <si>
    <t>Venc. max. de 4 meses (23/06/2026).</t>
  </si>
  <si>
    <t>250.930.371-68</t>
  </si>
  <si>
    <t>62 98228-4417</t>
  </si>
  <si>
    <t>joanadarcp90@gmail.com</t>
  </si>
  <si>
    <t>Início da STVM para a conta BTG 004539779 dia 04/07/2023e concluída dia 17/07/2023</t>
  </si>
  <si>
    <t>487.473.279-87</t>
  </si>
  <si>
    <t>3608409</t>
  </si>
  <si>
    <t>Vera Regina Mazzini Braga Coimbra</t>
  </si>
  <si>
    <t>098.957.441-53</t>
  </si>
  <si>
    <t>Regina Coeli Correa Soares</t>
  </si>
  <si>
    <t>João Henrique dos Santos Fernandes e/ou Rita Xavier Gomes Neta</t>
  </si>
  <si>
    <t>004212132</t>
  </si>
  <si>
    <t>20% D+0 e aplicações no máx. 12/2026 (23/07/2025)</t>
  </si>
  <si>
    <t>falecomjoaohenrique@outlook.com</t>
  </si>
  <si>
    <t>5599106</t>
  </si>
  <si>
    <t>682.966.308-34</t>
  </si>
  <si>
    <t>Reinaldo Albernaz Rodrigues</t>
  </si>
  <si>
    <t>007.618.757-86</t>
  </si>
  <si>
    <t>João Marcos De Carvalho Pedra</t>
  </si>
  <si>
    <t>008026930</t>
  </si>
  <si>
    <t>066.745.141-28</t>
  </si>
  <si>
    <t>jmcpedra@gmail.com</t>
  </si>
  <si>
    <t>Roberto Kussmaul</t>
  </si>
  <si>
    <t>Joao Medice da Cruz</t>
  </si>
  <si>
    <t>Moderada p/ conservador 08/03/2022</t>
  </si>
  <si>
    <t>323.865.679-15</t>
  </si>
  <si>
    <t>575.913.181-87</t>
  </si>
  <si>
    <t>62 99203-9822</t>
  </si>
  <si>
    <t>joaomedice@hotmail.com</t>
  </si>
  <si>
    <t>4557613</t>
  </si>
  <si>
    <t>074.698.104-04</t>
  </si>
  <si>
    <t>Joao Oliveira Gualberto Junior</t>
  </si>
  <si>
    <t>009260320</t>
  </si>
  <si>
    <t>Início STVM dia 10/04/23</t>
  </si>
  <si>
    <t>Solicitou distrato 06/09/2021</t>
  </si>
  <si>
    <t>006.535.579-22</t>
  </si>
  <si>
    <t>4645513</t>
  </si>
  <si>
    <t>564.812.251-91</t>
  </si>
  <si>
    <t>61 99657-4605</t>
  </si>
  <si>
    <t>joao.gtx@gmail.com</t>
  </si>
  <si>
    <t>R$ 81.687,61</t>
  </si>
  <si>
    <t xml:space="preserve">João Osmar Zambrin Henrique       </t>
  </si>
  <si>
    <t>004381415</t>
  </si>
  <si>
    <t>100.087.206-81</t>
  </si>
  <si>
    <t>Renata Albuquerque de Resende</t>
  </si>
  <si>
    <t>4951699</t>
  </si>
  <si>
    <t>Sandra Maria de Albuquerque Costa</t>
  </si>
  <si>
    <t>jozambrin@hotmail.com</t>
  </si>
  <si>
    <t>4961741</t>
  </si>
  <si>
    <t>João Paulo da Cruz Britto</t>
  </si>
  <si>
    <t>005651698</t>
  </si>
  <si>
    <t>João Paulo Britto</t>
  </si>
  <si>
    <t>003.552.861-30</t>
  </si>
  <si>
    <t>592.355.007-53</t>
  </si>
  <si>
    <t>Solicitou distrato 13/09/2021</t>
  </si>
  <si>
    <t>R$ 97.768,53</t>
  </si>
  <si>
    <t>R$ 102.530,90</t>
  </si>
  <si>
    <t>016.047.761-10</t>
  </si>
  <si>
    <t>João Paulo Fernandes Guerreiro</t>
  </si>
  <si>
    <t>689.770.421-00</t>
  </si>
  <si>
    <t>Renato Antonio Coutinho Bernardes</t>
  </si>
  <si>
    <t>joaoguerreiro39@gmail.com</t>
  </si>
  <si>
    <t>Solicitou resgate total com intenção de distrato 03/05/2022</t>
  </si>
  <si>
    <t>004381328</t>
  </si>
  <si>
    <t>Rodrigo Otavio Cesario Pereira Kalinowski</t>
  </si>
  <si>
    <t>Lucas Lpbp Ataide</t>
  </si>
  <si>
    <t>046.816.079-59</t>
  </si>
  <si>
    <t>480.159.976-15</t>
  </si>
  <si>
    <t>4858869</t>
  </si>
  <si>
    <t>Solicitou distrato 30/08/2021</t>
  </si>
  <si>
    <t>R$ 149.563,55</t>
  </si>
  <si>
    <t>R$ 153.608,76</t>
  </si>
  <si>
    <t>894.099.061-72</t>
  </si>
  <si>
    <t xml:space="preserve">João Pedro Daher dos Santos   </t>
  </si>
  <si>
    <t>004357159</t>
  </si>
  <si>
    <t>Alteração de carteira finalizada (14/07/2023)</t>
  </si>
  <si>
    <t>002.641.141-59</t>
  </si>
  <si>
    <t>047.364.831-80</t>
  </si>
  <si>
    <t>joaodaherds@gmail.com</t>
  </si>
  <si>
    <t>4663677</t>
  </si>
  <si>
    <t>Rogerio Bueno Elias</t>
  </si>
  <si>
    <t>558.488.935-00</t>
  </si>
  <si>
    <t>Vicente Pires</t>
  </si>
  <si>
    <t>R$ 891.042,54</t>
  </si>
  <si>
    <t>R$ 874.538,74</t>
  </si>
  <si>
    <t>R$ 792.001,40</t>
  </si>
  <si>
    <t>R$ 784.404,82</t>
  </si>
  <si>
    <t>R$ 776.193,79</t>
  </si>
  <si>
    <t>R$ 792.775,93</t>
  </si>
  <si>
    <t>R$ 813.722,21</t>
  </si>
  <si>
    <t>4457777</t>
  </si>
  <si>
    <t>R$ 794.019,21</t>
  </si>
  <si>
    <t>R$ 778.024,18</t>
  </si>
  <si>
    <t>R$ 776.976,89</t>
  </si>
  <si>
    <t>R$ 818.338,97</t>
  </si>
  <si>
    <t xml:space="preserve">João Pedro Guimarães Quinan    </t>
  </si>
  <si>
    <t>5772979</t>
  </si>
  <si>
    <t>297.587.358-10</t>
  </si>
  <si>
    <t>Ricardo de Oliveira Santos Rapchan</t>
  </si>
  <si>
    <t>jpquinan@hotmail.com</t>
  </si>
  <si>
    <t>773.093.409-49</t>
  </si>
  <si>
    <t>Conservadora para Income 29/11/2021 / Solicitou distrato 13/03/2022</t>
  </si>
  <si>
    <t>Penápolis</t>
  </si>
  <si>
    <t>4330899</t>
  </si>
  <si>
    <t>004448501</t>
  </si>
  <si>
    <t>Rosane Caminhoto Rotondo</t>
  </si>
  <si>
    <t>5799044</t>
  </si>
  <si>
    <t>018.737.101-60</t>
  </si>
  <si>
    <t>Fez o resgate para compra de imóvel, em breve deve voltar a fazer aportes.</t>
  </si>
  <si>
    <t>534.838.989-72</t>
  </si>
  <si>
    <t>Solicitou distrato 16/08/2021</t>
  </si>
  <si>
    <t>R$ 999.952,71</t>
  </si>
  <si>
    <t>R$ 971.023,38</t>
  </si>
  <si>
    <t>R$ 969.485,49</t>
  </si>
  <si>
    <t>R$ 1.042.426,84</t>
  </si>
  <si>
    <t>4215372</t>
  </si>
  <si>
    <t>Joao Victor Santana Silva</t>
  </si>
  <si>
    <t>005606985</t>
  </si>
  <si>
    <t>Rosangela Arimateas Caldas</t>
  </si>
  <si>
    <t>302.647.168-25</t>
  </si>
  <si>
    <t xml:space="preserve">Ricardo José Lacerda Prudencio       </t>
  </si>
  <si>
    <t>050.203.431-96</t>
  </si>
  <si>
    <t>773.451.699-87</t>
  </si>
  <si>
    <t>joaovictors94@hotmail.com</t>
  </si>
  <si>
    <t>Mandar saldo dos TRENDs para a conta do BTG</t>
  </si>
  <si>
    <t>053.583.397-01</t>
  </si>
  <si>
    <t>Ricardo Marinho dos Santos</t>
  </si>
  <si>
    <t>Taxa diferenciada aprovada (Alterar para Conservadora (07.03.2022))</t>
  </si>
  <si>
    <t>504.728.449-20</t>
  </si>
  <si>
    <t>4733764</t>
  </si>
  <si>
    <t>Resgate 5.5k</t>
  </si>
  <si>
    <t>Ceilândia</t>
  </si>
  <si>
    <t>Joao Vitor de Souza e Silva</t>
  </si>
  <si>
    <t>009290406</t>
  </si>
  <si>
    <t>20% D+0 (04/09/2025)</t>
  </si>
  <si>
    <t>032.863.541-39</t>
  </si>
  <si>
    <t>63 99986-9595</t>
  </si>
  <si>
    <t>joaaoss@gmail.com</t>
  </si>
  <si>
    <t>Manter FII</t>
  </si>
  <si>
    <t xml:space="preserve">Joaquim Ferreira Cambraia        </t>
  </si>
  <si>
    <t>004321016</t>
  </si>
  <si>
    <t>Falar com a Vivian antes de operar</t>
  </si>
  <si>
    <t>Joel Borges Pacheco</t>
  </si>
  <si>
    <t>441.053.981-72</t>
  </si>
  <si>
    <t>62 98454-6336</t>
  </si>
  <si>
    <t>Joel.eng@outlook.com</t>
  </si>
  <si>
    <t>053.707.144-01</t>
  </si>
  <si>
    <t>Roberto Alexandre Neves Fernandes Filho</t>
  </si>
  <si>
    <t>Rubianne Inacio Protasio De Borges Figueiredo</t>
  </si>
  <si>
    <t>Solicitou distrato 16/11/2021</t>
  </si>
  <si>
    <t>Jonas Buitrago Bornholdt</t>
  </si>
  <si>
    <t>Resgate total dia 07/07/2022</t>
  </si>
  <si>
    <t>514.169.212-49</t>
  </si>
  <si>
    <t>053.445.329-54</t>
  </si>
  <si>
    <t>contato@cerebelo.com.br</t>
  </si>
  <si>
    <t>4860067</t>
  </si>
  <si>
    <t>Jonathas Pereira Queiroz</t>
  </si>
  <si>
    <t>004532148</t>
  </si>
  <si>
    <t>035.255.851-28</t>
  </si>
  <si>
    <t>jonathaspereira94@gmail.com</t>
  </si>
  <si>
    <t>784.844.564-04</t>
  </si>
  <si>
    <t>Roberto Castelo Branco Carneiro de Albuquerque</t>
  </si>
  <si>
    <t>Jordanna Porto Silva</t>
  </si>
  <si>
    <t>38592</t>
  </si>
  <si>
    <t>993.657.821-04</t>
  </si>
  <si>
    <t>jordannaporto@yahoo.com.br</t>
  </si>
  <si>
    <t>712.475.801-72</t>
  </si>
  <si>
    <t>5582661</t>
  </si>
  <si>
    <t>Sergio Luz de Souza</t>
  </si>
  <si>
    <t>Jorge Antonio da Costa Batista &amp; Cia Ltda</t>
  </si>
  <si>
    <t>Alocar total em compromissada por enquanto, cliente vai montar fluxo de caixa venc. 07/08/2026 (03/08/2026)</t>
  </si>
  <si>
    <t>01.482.550/0001-57</t>
  </si>
  <si>
    <t>debora@jorgemaquinas.com.br</t>
  </si>
  <si>
    <t>257.692.436-00</t>
  </si>
  <si>
    <t>Roberto Soares Sacramento</t>
  </si>
  <si>
    <t>5947460</t>
  </si>
  <si>
    <t xml:space="preserve">Jorge Gomes De Araujo </t>
  </si>
  <si>
    <t>STVM interna finalizada (19/07/2024)</t>
  </si>
  <si>
    <t>araujojorge45@gmail.com</t>
  </si>
  <si>
    <t>Sandra Maria Medeiros Costa</t>
  </si>
  <si>
    <t>346.195.180-34</t>
  </si>
  <si>
    <t>005068961</t>
  </si>
  <si>
    <t>STVM interna finalizada (18/07/2024)</t>
  </si>
  <si>
    <t>020.458.601-16</t>
  </si>
  <si>
    <t>3318900</t>
  </si>
  <si>
    <t>Rodrigo Alves do Nascimento</t>
  </si>
  <si>
    <t xml:space="preserve">Patricia da Conceicao Alves Mendes
</t>
  </si>
  <si>
    <t>Jorge Gomes de Araújo e/ou Viviana Paribanez Gonzalez de Araujo</t>
  </si>
  <si>
    <t xml:space="preserve">Sandro Silva Gonçalves </t>
  </si>
  <si>
    <t>4404701</t>
  </si>
  <si>
    <t>Jorgeana da Matta Cavalcante</t>
  </si>
  <si>
    <t>Alteração de carteira finalizada (10/02/2025)</t>
  </si>
  <si>
    <t>504.416.801-78</t>
  </si>
  <si>
    <t>603.264.921-00</t>
  </si>
  <si>
    <t>annadamatta@gmail.com</t>
  </si>
  <si>
    <t>097.622.017-28</t>
  </si>
  <si>
    <t>Solicitou distrato 17/08/2021</t>
  </si>
  <si>
    <t>José Alves Nunes do Nascimento Júnior</t>
  </si>
  <si>
    <t>50K Fundo RF Ativo (29/05/2024)</t>
  </si>
  <si>
    <t>975.513.681-91</t>
  </si>
  <si>
    <t>josealvesjr@outlook.com</t>
  </si>
  <si>
    <t>R$ 130.749,21</t>
  </si>
  <si>
    <t>4833105</t>
  </si>
  <si>
    <t>Silvio Henrique Maia de Almeida</t>
  </si>
  <si>
    <t>José Antonio Panini Junior</t>
  </si>
  <si>
    <t>329.913.458-29</t>
  </si>
  <si>
    <t>jose.panini.junior@gmail.com</t>
  </si>
  <si>
    <t xml:space="preserve">Rodrigo Luís de Barros Rodrigues </t>
  </si>
  <si>
    <t>3919372</t>
  </si>
  <si>
    <t>STVM para BTG  31/03/2023</t>
  </si>
  <si>
    <t>808.990.649-49</t>
  </si>
  <si>
    <t>004212933</t>
  </si>
  <si>
    <t>635.753.101-49</t>
  </si>
  <si>
    <t>Sociedade Every S/S LTDA</t>
  </si>
  <si>
    <t>Rodrigo Ramos Vieira</t>
  </si>
  <si>
    <t>Não aportar em RF Ativo. Vencimentos: direcionar para LFT e NTN-B &lt; 2,5 anos de duration (30/04/2026)</t>
  </si>
  <si>
    <t>Não pode ter ações (Regime trib. Simples) Solicitou resgate total</t>
  </si>
  <si>
    <t>1307aug@gmail.com</t>
  </si>
  <si>
    <t>13.483.499/0001-87</t>
  </si>
  <si>
    <t>Jose Correia</t>
  </si>
  <si>
    <t>008004995</t>
  </si>
  <si>
    <t>Carteira Monitoramento Especial para Fundos (SPMG II FII criado pelo cliente) (14/10/2024)</t>
  </si>
  <si>
    <t>132.395.206-30</t>
  </si>
  <si>
    <t>jcscarab@gmail.com</t>
  </si>
  <si>
    <t>885.298.606-59</t>
  </si>
  <si>
    <t>Rodrigo Silva Rocha</t>
  </si>
  <si>
    <t>343685</t>
  </si>
  <si>
    <t>01.330.605/0001-03</t>
  </si>
  <si>
    <t>Jose das Dores Freitas</t>
  </si>
  <si>
    <t>130.641.341-91</t>
  </si>
  <si>
    <t>jfreitas49@hotmail.com</t>
  </si>
  <si>
    <t>5092169</t>
  </si>
  <si>
    <t xml:space="preserve">Gustavo Branco
</t>
  </si>
  <si>
    <t>827.765.208-91</t>
  </si>
  <si>
    <t>Rogerio Oliva Cortez</t>
  </si>
  <si>
    <t xml:space="preserve">Armando Silveira Martins
</t>
  </si>
  <si>
    <t>Jose Delio de Sa Junior</t>
  </si>
  <si>
    <t>01.330.605/0001-04</t>
  </si>
  <si>
    <t>Solicitação do FA Gustavo Amorim para não operar as contas em 29/01/2024.</t>
  </si>
  <si>
    <t>José Luiz Leal Dos Santos Junior</t>
  </si>
  <si>
    <t>004854496</t>
  </si>
  <si>
    <t>4871016</t>
  </si>
  <si>
    <t>296.849.271-34</t>
  </si>
  <si>
    <t>2588890</t>
  </si>
  <si>
    <t>Solange Alves de Moraes Mendes</t>
  </si>
  <si>
    <t>Jose Marques Gurjao Junior Servicos De Consultoria Eireli</t>
  </si>
  <si>
    <t>005146441</t>
  </si>
  <si>
    <t>STVM para XP (02/2021)</t>
  </si>
  <si>
    <t>223.863.351-00</t>
  </si>
  <si>
    <t>266.805.306-44</t>
  </si>
  <si>
    <t>josemarques@61imoveis.com</t>
  </si>
  <si>
    <t>4399473</t>
  </si>
  <si>
    <t>José Masselon Gomes de Souza</t>
  </si>
  <si>
    <t>004639776</t>
  </si>
  <si>
    <t>084.906.528-30</t>
  </si>
  <si>
    <t>Ronildo Oliveira</t>
  </si>
  <si>
    <t>Taigoara Finardi Martins</t>
  </si>
  <si>
    <t>Taxa autorizada pelo Norton. Solicitou resgate total 06/01/2022</t>
  </si>
  <si>
    <t>2293219</t>
  </si>
  <si>
    <t>064.886.139-28</t>
  </si>
  <si>
    <t xml:space="preserve">José Maurilio Coelho Rios  </t>
  </si>
  <si>
    <t>jmcrios3@gmail.com</t>
  </si>
  <si>
    <t>926.951.403-04</t>
  </si>
  <si>
    <t>Ronnei Jose Feitosa de Assis</t>
  </si>
  <si>
    <t>Tatiana de Avila Miguel</t>
  </si>
  <si>
    <t>369455</t>
  </si>
  <si>
    <t>Solicitou distrato 06/12/2022</t>
  </si>
  <si>
    <t>Aracaju</t>
  </si>
  <si>
    <t>316.856.548-27</t>
  </si>
  <si>
    <t>Jose Mauro Penha e/ou Dirce Guerra da Cruz Penha</t>
  </si>
  <si>
    <t>CON/ GR/ COADM</t>
  </si>
  <si>
    <t>250k D+0 (22/06/2026).</t>
  </si>
  <si>
    <t>923.936.408-00</t>
  </si>
  <si>
    <t>67 99198-6226</t>
  </si>
  <si>
    <t>jpenha2004@yahoo.com.br</t>
  </si>
  <si>
    <t>512.930.801-87</t>
  </si>
  <si>
    <t>Rosana Renaud Gopfert Albuquerque</t>
  </si>
  <si>
    <t xml:space="preserve">José Raimundo Pereira de Oliveira     </t>
  </si>
  <si>
    <t>004218542</t>
  </si>
  <si>
    <t>Possivel retorno futuro</t>
  </si>
  <si>
    <t>030.095.991-53</t>
  </si>
  <si>
    <t>290.748.511-34</t>
  </si>
  <si>
    <t>Rosane Inez Piloni</t>
  </si>
  <si>
    <t>José Roberto Boselli Junior</t>
  </si>
  <si>
    <t>jrboselli@gmail.com</t>
  </si>
  <si>
    <t>R$ 216.880,59</t>
  </si>
  <si>
    <t>023.592.501-24</t>
  </si>
  <si>
    <t>José Roberto Cabral de Almeida</t>
  </si>
  <si>
    <t>884.089.228-15</t>
  </si>
  <si>
    <t>Rosangela Maria da Silva</t>
  </si>
  <si>
    <t>Raoni Costa</t>
  </si>
  <si>
    <t>Fazer R$ 100.000,00 em FII.</t>
  </si>
  <si>
    <t>101.390.951-87</t>
  </si>
  <si>
    <t>62 99971-2600</t>
  </si>
  <si>
    <t>zepecabral@gmail.com</t>
  </si>
  <si>
    <t>225.941.751-53</t>
  </si>
  <si>
    <t>Thais Accioly Baccaro</t>
  </si>
  <si>
    <t>José Roberto Jacinto Franciscon</t>
  </si>
  <si>
    <t>005035754</t>
  </si>
  <si>
    <t>Solicitou distrato 03/04/2020</t>
  </si>
  <si>
    <t>377.927.508-25</t>
  </si>
  <si>
    <t>005.507.629-73</t>
  </si>
  <si>
    <t>R$ 198.476,50</t>
  </si>
  <si>
    <t>R$ 211.386,13</t>
  </si>
  <si>
    <t>R$ 194.243,46</t>
  </si>
  <si>
    <t>R$ 193.205,23</t>
  </si>
  <si>
    <t>R$ 86.477,97</t>
  </si>
  <si>
    <t>José Silvan de Amorim e/ou Iracy Maria Machado de Amorim</t>
  </si>
  <si>
    <t>silvan.interlagos@hotmail.com</t>
  </si>
  <si>
    <t>305.007.701-82</t>
  </si>
  <si>
    <t>Rosemir Miranda da Silva</t>
  </si>
  <si>
    <t>Alocar somente 3% em RF</t>
  </si>
  <si>
    <t>Parauapebas</t>
  </si>
  <si>
    <t>Pa</t>
  </si>
  <si>
    <t>004332237</t>
  </si>
  <si>
    <t>Liquidez de 14k</t>
  </si>
  <si>
    <t>002.096.011-59</t>
  </si>
  <si>
    <t>151.110.401-53</t>
  </si>
  <si>
    <t>STVM de entrada da Guide finalizada (13/11/2023) Alteração de carteira finalizada (26/11/2024)</t>
  </si>
  <si>
    <t>Tiago de Castello Branco</t>
  </si>
  <si>
    <t>005861534</t>
  </si>
  <si>
    <t>383.036.129-72</t>
  </si>
  <si>
    <t>Rubens Mazer Junior</t>
  </si>
  <si>
    <t>538.998.731-49</t>
  </si>
  <si>
    <t>Troca de assessor de Fernando Amaro para Gustavo Amorim em 12/12/2022</t>
  </si>
  <si>
    <t>Julia Clara Povoa Ferro</t>
  </si>
  <si>
    <t>005348975</t>
  </si>
  <si>
    <t>700.574.521-30</t>
  </si>
  <si>
    <t>julia.ferro@fug.edu.br</t>
  </si>
  <si>
    <t>688.188.661-68</t>
  </si>
  <si>
    <t>322548</t>
  </si>
  <si>
    <t>Tiago Sfredo</t>
  </si>
  <si>
    <t>Solicitou distrato out/2020</t>
  </si>
  <si>
    <t>R$ 354.808,07</t>
  </si>
  <si>
    <t>R$ 360.363,75</t>
  </si>
  <si>
    <t>R$ 364.127,30</t>
  </si>
  <si>
    <t>R$ 361.954,11</t>
  </si>
  <si>
    <t>R$ 324.671,48</t>
  </si>
  <si>
    <t>R$ 327.714,68</t>
  </si>
  <si>
    <t>R$ 334.242,33</t>
  </si>
  <si>
    <t>R$ 338.049,45</t>
  </si>
  <si>
    <t>R$ 343.441,83</t>
  </si>
  <si>
    <t>R$ 339.557,55</t>
  </si>
  <si>
    <t>Julia Tufino Silva Guerzoni</t>
  </si>
  <si>
    <t>R$ 333.563,47</t>
  </si>
  <si>
    <t>R$ 269.427,48</t>
  </si>
  <si>
    <t>023.607.329-00</t>
  </si>
  <si>
    <t>5661723</t>
  </si>
  <si>
    <t>043.373.919-32</t>
  </si>
  <si>
    <t>43 99958-9292</t>
  </si>
  <si>
    <t>jutufino@gmail.com</t>
  </si>
  <si>
    <t>04.103.687/0001-41</t>
  </si>
  <si>
    <t>Sakuragui Joias LTDA</t>
  </si>
  <si>
    <t>Júlia Vitória Soares Galvão</t>
  </si>
  <si>
    <t xml:space="preserve">Geancarlo Jandre
</t>
  </si>
  <si>
    <t>Trocou de assessor de Rodolfo Gomes para Pedro Paulo em 04/04/2023</t>
  </si>
  <si>
    <t>017.349.961-96</t>
  </si>
  <si>
    <t>juliavgalvao@gmail.com</t>
  </si>
  <si>
    <t>412.790.933-15</t>
  </si>
  <si>
    <t xml:space="preserve">Salete Teresinha Gewehr </t>
  </si>
  <si>
    <t>5655163</t>
  </si>
  <si>
    <t>5759476</t>
  </si>
  <si>
    <t>004453045</t>
  </si>
  <si>
    <t>Vera Kiryluk</t>
  </si>
  <si>
    <t>357.805.501-82</t>
  </si>
  <si>
    <t>367.950.709-72</t>
  </si>
  <si>
    <t>Solicitou distrato 29/10/2021</t>
  </si>
  <si>
    <t>Alteração de carteira finalizada (15/09/2025)</t>
  </si>
  <si>
    <t>365.434.387-20</t>
  </si>
  <si>
    <t>Juliana Machado Ramos</t>
  </si>
  <si>
    <t>Manter Recurso D+0 (03/11/2025)</t>
  </si>
  <si>
    <t>399.598.051-15</t>
  </si>
  <si>
    <t>61 98134-9499</t>
  </si>
  <si>
    <t>juramos0404@gmail.com</t>
  </si>
  <si>
    <t>289.518.831-91</t>
  </si>
  <si>
    <t>Sandra Maria de Faria</t>
  </si>
  <si>
    <t>4901933</t>
  </si>
  <si>
    <t>Solicitou distrato 30/11/2022</t>
  </si>
  <si>
    <t>Juliana Menezes Garrido</t>
  </si>
  <si>
    <t>004803348</t>
  </si>
  <si>
    <t>Vilson Ferreira Muniz</t>
  </si>
  <si>
    <t>910.590.545-15</t>
  </si>
  <si>
    <t>737.153.954-00</t>
  </si>
  <si>
    <t>418.029.421-49</t>
  </si>
  <si>
    <t>Sandra Regina Silveira</t>
  </si>
  <si>
    <t>Juliana Silvestre Bizuca</t>
  </si>
  <si>
    <t>008070407</t>
  </si>
  <si>
    <t>001.074.201-80</t>
  </si>
  <si>
    <t>jubizuca@gmail.com</t>
  </si>
  <si>
    <t>15.590.921/0001-29</t>
  </si>
  <si>
    <t>Sempre Autoridade</t>
  </si>
  <si>
    <t>144.094.876-39</t>
  </si>
  <si>
    <t>3533638</t>
  </si>
  <si>
    <t>Barbara Mitchele Martins Leão</t>
  </si>
  <si>
    <t>Conservadora com equities / Troca de Assessoria para somente Neyla Abrantes em 30/01</t>
  </si>
  <si>
    <t>Manter Fundo Amor Axe FIM, Manter JURO11 (29/04/2025)</t>
  </si>
  <si>
    <t>R$25.000,00</t>
  </si>
  <si>
    <t>11.538.486/0001-32</t>
  </si>
  <si>
    <t>Sempre Tecnologia</t>
  </si>
  <si>
    <t>334813</t>
  </si>
  <si>
    <t>Juliene Maira Fortes de Arruda</t>
  </si>
  <si>
    <t>Conservadora/Fundos Imobiliários / Troca de Assessoria para somente Neyla Abrantes  em 30/01</t>
  </si>
  <si>
    <t>023929730</t>
  </si>
  <si>
    <t>2612786</t>
  </si>
  <si>
    <t>307.994.571-91</t>
  </si>
  <si>
    <t>900.911.591-72</t>
  </si>
  <si>
    <t>62 99994-7262</t>
  </si>
  <si>
    <t>juliene@iluminasomeventos.com.br</t>
  </si>
  <si>
    <t>R$200.000,00</t>
  </si>
  <si>
    <t>115.739.611-91</t>
  </si>
  <si>
    <t>Sergio de Resende Lopes</t>
  </si>
  <si>
    <t>R$100.000,00</t>
  </si>
  <si>
    <t>Juliene Vasconcelos Freire de Melo</t>
  </si>
  <si>
    <t>4761482</t>
  </si>
  <si>
    <t>R$59.000,00</t>
  </si>
  <si>
    <t>001.368.521-06</t>
  </si>
  <si>
    <t>61 98313-0777</t>
  </si>
  <si>
    <t>nutricionista@juliene-melo.com</t>
  </si>
  <si>
    <t>R$ 518.146,65</t>
  </si>
  <si>
    <t>R$ 739.747,60</t>
  </si>
  <si>
    <t>R$ 737.958,52</t>
  </si>
  <si>
    <t>R$ 729.051,64</t>
  </si>
  <si>
    <t>R$ 644.271,34</t>
  </si>
  <si>
    <t>R$ 654.624,51</t>
  </si>
  <si>
    <t>R$ 665.839,78</t>
  </si>
  <si>
    <t>R$ 680.046,31</t>
  </si>
  <si>
    <t>R$ 703.163,86</t>
  </si>
  <si>
    <t>R$ 682.823,52</t>
  </si>
  <si>
    <t xml:space="preserve">Julio Antonio Barbeta	</t>
  </si>
  <si>
    <t>R$600.000,00</t>
  </si>
  <si>
    <t>R$ 663.604,61</t>
  </si>
  <si>
    <t>002401479</t>
  </si>
  <si>
    <t>R$ 660.887,53</t>
  </si>
  <si>
    <t>R$ 699.420,17</t>
  </si>
  <si>
    <t>005.757.229-16</t>
  </si>
  <si>
    <t>334.172.021-91</t>
  </si>
  <si>
    <t>Resgate do valor da venda de PETR4 e EQTL3 | Solicitou distrato em 01/12/2022</t>
  </si>
  <si>
    <t>R$10.000,00</t>
  </si>
  <si>
    <t xml:space="preserve">Julio Antonio Barbeta   </t>
  </si>
  <si>
    <t>004405234</t>
  </si>
  <si>
    <t>696.239.531-00</t>
  </si>
  <si>
    <t>292.100.541-72</t>
  </si>
  <si>
    <t>Julio Cesar Camelo Parrode</t>
  </si>
  <si>
    <t>008239098</t>
  </si>
  <si>
    <t>095.089.451-68</t>
  </si>
  <si>
    <t>fabriciavaladao@gmail.com</t>
  </si>
  <si>
    <t>Solicitou distrato 13/10/2021</t>
  </si>
  <si>
    <t>Caiapônia</t>
  </si>
  <si>
    <t>R$ 97.734,27</t>
  </si>
  <si>
    <t>R$ 111.170,42</t>
  </si>
  <si>
    <t>Julio Cesar Costa</t>
  </si>
  <si>
    <t>005210220</t>
  </si>
  <si>
    <t>4455201</t>
  </si>
  <si>
    <t>360.691.161-00</t>
  </si>
  <si>
    <t>Silêde Satyro de Sá Ribeiro</t>
  </si>
  <si>
    <t>007.011.059-09</t>
  </si>
  <si>
    <t>R$ 148.246,19</t>
  </si>
  <si>
    <t>Julio Cesar Ferreira Costa</t>
  </si>
  <si>
    <t>005587298</t>
  </si>
  <si>
    <t>311.706.681-00</t>
  </si>
  <si>
    <t>003.974.361-65</t>
  </si>
  <si>
    <t>R$ 50.146,73</t>
  </si>
  <si>
    <t>R$ 47.469,96</t>
  </si>
  <si>
    <t>R$ 46.843,35</t>
  </si>
  <si>
    <t>R$ 51.827,60</t>
  </si>
  <si>
    <t>Arrojada para Moderada 10/03/2022</t>
  </si>
  <si>
    <t>614.262.459-04</t>
  </si>
  <si>
    <t>Julio Cesar Teixeira da Silva</t>
  </si>
  <si>
    <t>005.077.431-05</t>
  </si>
  <si>
    <t>Silvania Pereira da Costa</t>
  </si>
  <si>
    <t>3022313</t>
  </si>
  <si>
    <t>035.399.656-45</t>
  </si>
  <si>
    <t>61 98224-2179</t>
  </si>
  <si>
    <t>jcteixeiras@hotmail.com</t>
  </si>
  <si>
    <t>749509</t>
  </si>
  <si>
    <t>Julio Cesar Teixeira da Silva eou Marcelo Moreira da Silva</t>
  </si>
  <si>
    <t>011.381.221-30</t>
  </si>
  <si>
    <t>4711937</t>
  </si>
  <si>
    <t>Solicitou distrato em 03/08/2022</t>
  </si>
  <si>
    <t>Uberlândia</t>
  </si>
  <si>
    <t xml:space="preserve">Caio Cesar Boschi
</t>
  </si>
  <si>
    <t>119.555.381-15</t>
  </si>
  <si>
    <t>004208869</t>
  </si>
  <si>
    <t>Pediu resgate total 28/06/23 / Conservador para Moderado (15/07)</t>
  </si>
  <si>
    <t>523.458.901-34</t>
  </si>
  <si>
    <t>018.426.521-50</t>
  </si>
  <si>
    <t>Silvio Carlos Sandre Junior</t>
  </si>
  <si>
    <t>Julio Zago Guglielmin</t>
  </si>
  <si>
    <t>385035</t>
  </si>
  <si>
    <t>017.143.530-36</t>
  </si>
  <si>
    <t>61 99948-1115</t>
  </si>
  <si>
    <t>juliozagofisio@hotmail.com</t>
  </si>
  <si>
    <t>5975647</t>
  </si>
  <si>
    <t>185.316.101-25</t>
  </si>
  <si>
    <t>Simone Bastos Vieira</t>
  </si>
  <si>
    <t>Junio Ribeiro de Rezende</t>
  </si>
  <si>
    <t>Moderada para Conservadora (19/11/2021). Conservadora p/ Income 11/04/2022 | Troca de assessor Luciano Villanova p/ Yasmin Muniz em 08/11/2022</t>
  </si>
  <si>
    <t>067.460.979-43</t>
  </si>
  <si>
    <t>jnio90@hotmail.com</t>
  </si>
  <si>
    <t>176.360.128-55</t>
  </si>
  <si>
    <t>Juraci Guedes Filho</t>
  </si>
  <si>
    <t>Antonio Carlos Dos Santos</t>
  </si>
  <si>
    <t>223.498.041-00</t>
  </si>
  <si>
    <t>juracixx@gmail.com</t>
  </si>
  <si>
    <t>Walter Koelsch Junior</t>
  </si>
  <si>
    <t>018.665.879-60</t>
  </si>
  <si>
    <t>695.715.701-68</t>
  </si>
  <si>
    <t>Sissi Calazans de Oliveira Nogueira</t>
  </si>
  <si>
    <t>Juscelino Jose Gomes</t>
  </si>
  <si>
    <t>005070742</t>
  </si>
  <si>
    <t>953.962.256-53</t>
  </si>
  <si>
    <t>08.328.354/0001-71</t>
  </si>
  <si>
    <t>Sociedade Educacional Rodrigues Abreu LTDA</t>
  </si>
  <si>
    <t>Kaio Cesar Resende Dos Santos</t>
  </si>
  <si>
    <t xml:space="preserve">Débora Maçaneiro Vieira
</t>
  </si>
  <si>
    <t>016.117.861-85</t>
  </si>
  <si>
    <t>67 99238-7946</t>
  </si>
  <si>
    <t>KAIOSANTOS@HOTMAIL.COM</t>
  </si>
  <si>
    <t xml:space="preserve">Moderada
</t>
  </si>
  <si>
    <t>7048589</t>
  </si>
  <si>
    <t>003.841.741-32</t>
  </si>
  <si>
    <t>Sofia Nepomuceno Gorini</t>
  </si>
  <si>
    <t>Karina Toffoli De Castro</t>
  </si>
  <si>
    <t xml:space="preserve"> 7119368</t>
  </si>
  <si>
    <t>000.393.051-39</t>
  </si>
  <si>
    <t>karina_toffoli@hotmail.com</t>
  </si>
  <si>
    <t>R$ 13.459,83</t>
  </si>
  <si>
    <t>Karla Regina Braga Bomfim</t>
  </si>
  <si>
    <t>443.025.411-72</t>
  </si>
  <si>
    <t>61 99672-0291</t>
  </si>
  <si>
    <t>karlarbb50@gmail.com</t>
  </si>
  <si>
    <t>7783008</t>
  </si>
  <si>
    <t>309.774.521-15</t>
  </si>
  <si>
    <t xml:space="preserve">Stael Moreira Prudente Barbosa  </t>
  </si>
  <si>
    <t>Kauanne Mendes Antunes</t>
  </si>
  <si>
    <t>Caio Castro</t>
  </si>
  <si>
    <t>026.367.611-01</t>
  </si>
  <si>
    <t>Solicitou distrato 01/08/2022</t>
  </si>
  <si>
    <t>kauanne.mendes@gmail.com</t>
  </si>
  <si>
    <t>4926548</t>
  </si>
  <si>
    <t>Keila Zanetti e/ou Gustavo Garcia Galego Campos</t>
  </si>
  <si>
    <t>041.942.959-00</t>
  </si>
  <si>
    <t>43 99144-2711</t>
  </si>
  <si>
    <t>kzanetti@hotmail.com</t>
  </si>
  <si>
    <t>022.939.931-24</t>
  </si>
  <si>
    <t>SUELY NAZARE GONCALVES</t>
  </si>
  <si>
    <t>Conservadora 0,8  como são contas herdadas, falar com Canabrava na hora de operar</t>
  </si>
  <si>
    <t>Keller de Oliveira Alves</t>
  </si>
  <si>
    <t>004527497</t>
  </si>
  <si>
    <t>339.725.911-87</t>
  </si>
  <si>
    <t>Susana Teixeira da Silva</t>
  </si>
  <si>
    <t>685.919.506-15</t>
  </si>
  <si>
    <t>754715</t>
  </si>
  <si>
    <t>Marcos Aurelio Pelarim</t>
  </si>
  <si>
    <t>R$ 247.183,00</t>
  </si>
  <si>
    <t>R$ 245.011,84</t>
  </si>
  <si>
    <t>R$ 250.117,87</t>
  </si>
  <si>
    <t>319.344.206-20</t>
  </si>
  <si>
    <t>kellyfpsilva@yahoo.com.br</t>
  </si>
  <si>
    <t>Suzana Guimaraes Passos</t>
  </si>
  <si>
    <t>Conservadora pra Income 21/02/2022. Solicitou distrato 02/05/2022</t>
  </si>
  <si>
    <t>Zoo Brasil Rações Eireli</t>
  </si>
  <si>
    <t>Kelma Luana Abreu de Siqueira</t>
  </si>
  <si>
    <t>05.698.712/0001-40</t>
  </si>
  <si>
    <t>036.156.551-84</t>
  </si>
  <si>
    <t>kelmalua@hotmail.com</t>
  </si>
  <si>
    <t>858723</t>
  </si>
  <si>
    <t>177.947.398-29</t>
  </si>
  <si>
    <t>Tatiana de Oliveira Santos Rapchan</t>
  </si>
  <si>
    <t>4534702</t>
  </si>
  <si>
    <t>Arrojada para Conservadora (06/12/2021) | Solicitou distrato 14/09/2022</t>
  </si>
  <si>
    <t>Kelma Luana Abreu De Siqueira</t>
  </si>
  <si>
    <t>5604880</t>
  </si>
  <si>
    <t>S&amp;P 500</t>
  </si>
  <si>
    <t>034.651.931-48</t>
  </si>
  <si>
    <t>Tatiana Menezes Fonseca</t>
  </si>
  <si>
    <t>Marcelo Reinecken Araujo</t>
  </si>
  <si>
    <t>Em processo de redução de RV. Não vender IVVB11 | Arrojada para Moderada em 09/11/2022 | Manter 30% em ações | Troca de assessor Alexandre Fontennele p/ Thiago Canabrava em 08/11/2022</t>
  </si>
  <si>
    <t>R$ 196.310,27</t>
  </si>
  <si>
    <t>R$ 218.718,97</t>
  </si>
  <si>
    <t>2406947</t>
  </si>
  <si>
    <t>Kelven Ribeiro Moura</t>
  </si>
  <si>
    <t>022297667</t>
  </si>
  <si>
    <t>Rafaela Albuquerque</t>
  </si>
  <si>
    <t>034.019.181-33</t>
  </si>
  <si>
    <t>61 99639-1039</t>
  </si>
  <si>
    <t>Kelvenrmoura@hotmail.com</t>
  </si>
  <si>
    <t>477851</t>
  </si>
  <si>
    <t>997.308.471-34</t>
  </si>
  <si>
    <t>Tatiany Ramos da Silva</t>
  </si>
  <si>
    <t>100k D+0  (21/07/2026)</t>
  </si>
  <si>
    <t>keniaaff@hotmail.com</t>
  </si>
  <si>
    <t>4658800</t>
  </si>
  <si>
    <t>16.995.978/0001-70</t>
  </si>
  <si>
    <t>Tera Telecom Eireli</t>
  </si>
  <si>
    <t>200K D+0 (17/07/2025)</t>
  </si>
  <si>
    <t>Conservadora para Income 09/03/2022. Distrato 03/05/2022</t>
  </si>
  <si>
    <t>Santa Cruz do Rio Pardo</t>
  </si>
  <si>
    <t>Klayvison Koslyk Alves Riva</t>
  </si>
  <si>
    <t>889.416.551-53</t>
  </si>
  <si>
    <t>Thaysa Zaia Costa Barros Iunes</t>
  </si>
  <si>
    <t>811.292.461-91</t>
  </si>
  <si>
    <t>kobawlsky@yahoo.com.br</t>
  </si>
  <si>
    <t>Kleber Rodrigues de Rezende</t>
  </si>
  <si>
    <t>004505257</t>
  </si>
  <si>
    <t>Possível aporte 2024</t>
  </si>
  <si>
    <t>005.740.709-66</t>
  </si>
  <si>
    <t>dr.kleber100@gmail.com</t>
  </si>
  <si>
    <t>151.379.021-87</t>
  </si>
  <si>
    <t>Theomar Nicolau Morhy</t>
  </si>
  <si>
    <t>4512288</t>
  </si>
  <si>
    <t>Troca de assessor para o Lucio Moscarelli em 04/10/2022</t>
  </si>
  <si>
    <t>R$ 580.982,07</t>
  </si>
  <si>
    <t>R$ 577.587,94</t>
  </si>
  <si>
    <t>R$ 619.799,30</t>
  </si>
  <si>
    <t>Kryscia Leiko Natsuaki kaminagakura</t>
  </si>
  <si>
    <t>STVM de entrada da Guide finalizada (21/09/2023)</t>
  </si>
  <si>
    <t>kryscial@yahoo.com.br</t>
  </si>
  <si>
    <t>007.164.981-62</t>
  </si>
  <si>
    <t>Thiago Jarjour</t>
  </si>
  <si>
    <t>Pediu distrato 02/03/2022</t>
  </si>
  <si>
    <t>Lago Franquias S.A</t>
  </si>
  <si>
    <t>001882235</t>
  </si>
  <si>
    <t>2427806</t>
  </si>
  <si>
    <t>Sem pagamento de taxa para assessores</t>
  </si>
  <si>
    <t>18.716.570/0001-48</t>
  </si>
  <si>
    <t>028.462.101-36</t>
  </si>
  <si>
    <t>Thiago Lucas Leite de Noronha</t>
  </si>
  <si>
    <t>2735065</t>
  </si>
  <si>
    <t>Resgate 15K</t>
  </si>
  <si>
    <t>Pedro Henrique</t>
  </si>
  <si>
    <t>R$ 679.255,88</t>
  </si>
  <si>
    <t>Lahis Ribeiro Leao Rassi</t>
  </si>
  <si>
    <t>5080319</t>
  </si>
  <si>
    <t>018.562.161-95</t>
  </si>
  <si>
    <t>62 99616-0799</t>
  </si>
  <si>
    <t>lahisrl@gmail.com</t>
  </si>
  <si>
    <t>097.671.656-90</t>
  </si>
  <si>
    <t xml:space="preserve">Thomás Batista Neto   </t>
  </si>
  <si>
    <t>Willians Rapchan Benito</t>
  </si>
  <si>
    <t>Realizar o primeiro aporte todo em LFT</t>
  </si>
  <si>
    <t>Laila Odaia Carneiro Rodrigues Cruz</t>
  </si>
  <si>
    <t>004641487</t>
  </si>
  <si>
    <t>693.769.131-91</t>
  </si>
  <si>
    <t>4418403</t>
  </si>
  <si>
    <t>953.049.591-91</t>
  </si>
  <si>
    <t>Tiago Alvim de Sá e Benevides</t>
  </si>
  <si>
    <t>4841689</t>
  </si>
  <si>
    <t>Lais Fernanda Granado de Oliveira</t>
  </si>
  <si>
    <t>Vitor Perige Almeida Diniz</t>
  </si>
  <si>
    <t>R$ 290.544,70</t>
  </si>
  <si>
    <t>R$ 288.103,99</t>
  </si>
  <si>
    <t>R$ 304.494,71</t>
  </si>
  <si>
    <t>437.571.358-57</t>
  </si>
  <si>
    <t>lais.fg.oliveira@gmail.com</t>
  </si>
  <si>
    <t>964.800.921-04</t>
  </si>
  <si>
    <t>Solicitou distrato 29/06/2020</t>
  </si>
  <si>
    <t>Lais Loureiro Braga Donzelli</t>
  </si>
  <si>
    <t>004230529</t>
  </si>
  <si>
    <t>R$ 497.128,02</t>
  </si>
  <si>
    <t>R$ 472.647,03</t>
  </si>
  <si>
    <t>317935</t>
  </si>
  <si>
    <t>R$ 406.369,38</t>
  </si>
  <si>
    <t>R$ 393.480,46</t>
  </si>
  <si>
    <t>R$ 426.376,03</t>
  </si>
  <si>
    <t>Alteração de carteira finalizada (29/01/2024)</t>
  </si>
  <si>
    <t>518.039.091-53</t>
  </si>
  <si>
    <t>lais.donzelli@terra.com.br</t>
  </si>
  <si>
    <t>5821805</t>
  </si>
  <si>
    <t>Iracema Matias</t>
  </si>
  <si>
    <t>793.847.901-25</t>
  </si>
  <si>
    <t>Tiago Perfeito de Santana</t>
  </si>
  <si>
    <t>015437411</t>
  </si>
  <si>
    <t>904.399.881-87</t>
  </si>
  <si>
    <t>Tiago Vasconcellos de Rezende</t>
  </si>
  <si>
    <t>3303143</t>
  </si>
  <si>
    <t>Manter somente em renda fixa</t>
  </si>
  <si>
    <t>Lara Falavigna Guilherme</t>
  </si>
  <si>
    <t>27.901.835/0001-79</t>
  </si>
  <si>
    <t>TTWO Participações Eirelli - EPP</t>
  </si>
  <si>
    <t>Alocar em previdência (23/04/2026).</t>
  </si>
  <si>
    <t>larafalavignagn@gmail.com</t>
  </si>
  <si>
    <t>4742129</t>
  </si>
  <si>
    <t>R$ 166.383,11</t>
  </si>
  <si>
    <t>R$ 175.161,46</t>
  </si>
  <si>
    <t xml:space="preserve">4782053 </t>
  </si>
  <si>
    <t>Lara Falavigna Guilherme e/ou Ana Lucia Falavigna Guilherme</t>
  </si>
  <si>
    <t>091.008.316-97</t>
  </si>
  <si>
    <t>004450405</t>
  </si>
  <si>
    <t>5891248</t>
  </si>
  <si>
    <t>Solicitou distrato 05/04/2021</t>
  </si>
  <si>
    <t>R$ 169.202,26</t>
  </si>
  <si>
    <t>2160689</t>
  </si>
  <si>
    <t>Fabio Ricas de Araujo</t>
  </si>
  <si>
    <t>Lara Odaia Carneiro Medeiros</t>
  </si>
  <si>
    <t>004643737</t>
  </si>
  <si>
    <t>050.322.256-90</t>
  </si>
  <si>
    <t>Ubirajara Fonseca de Vasconcelos Filho</t>
  </si>
  <si>
    <t>4906342</t>
  </si>
  <si>
    <t>Yana Coelho Pires</t>
  </si>
  <si>
    <t>606.997.011-04</t>
  </si>
  <si>
    <t>Solicitou distrato 02/05/2022</t>
  </si>
  <si>
    <t>5179287</t>
  </si>
  <si>
    <t>Lara Regina Rocha Fernandes</t>
  </si>
  <si>
    <t>004277637</t>
  </si>
  <si>
    <t>186.251.261-20</t>
  </si>
  <si>
    <t>09.083.227/0001-12</t>
  </si>
  <si>
    <t>Valesul Joias Eireli</t>
  </si>
  <si>
    <t>Larissa Abrego Barbosa</t>
  </si>
  <si>
    <t>004846293</t>
  </si>
  <si>
    <t>007.169.961-97</t>
  </si>
  <si>
    <t>DILSON MANOEL CATARINO</t>
  </si>
  <si>
    <t>301.568.316-00</t>
  </si>
  <si>
    <t>4990009</t>
  </si>
  <si>
    <t>Solicitou distrato 16/12/2022</t>
  </si>
  <si>
    <t>Larissa Da Costa Coutrim Caridade</t>
  </si>
  <si>
    <t>ROSELI APARECIDA GIOCONDO</t>
  </si>
  <si>
    <t>50k D+0 (04/05/2026)</t>
  </si>
  <si>
    <t>695.026.921-87</t>
  </si>
  <si>
    <t>61 99883-0029</t>
  </si>
  <si>
    <t>larissacoutrim@gmail.com</t>
  </si>
  <si>
    <t>006.001.708-29</t>
  </si>
  <si>
    <t>4743547</t>
  </si>
  <si>
    <t>Vera Lucia Falssi Marchese</t>
  </si>
  <si>
    <t>Solicitou distrato 08/09/2022</t>
  </si>
  <si>
    <t>321916</t>
  </si>
  <si>
    <t>MARCEL JAQUETO</t>
  </si>
  <si>
    <t>Larissa Friedrich Reinert Barbosa</t>
  </si>
  <si>
    <t>004290978</t>
  </si>
  <si>
    <t>337120</t>
  </si>
  <si>
    <t>003.847.251-12</t>
  </si>
  <si>
    <t>285.440.720-20</t>
  </si>
  <si>
    <t>Solicitou distrato 21/10/2021</t>
  </si>
  <si>
    <t>R$ 769.534,65</t>
  </si>
  <si>
    <t>R$ 756.661,09</t>
  </si>
  <si>
    <t>R$ 828.319,51</t>
  </si>
  <si>
    <t>4398183</t>
  </si>
  <si>
    <t xml:space="preserve">Larissa Friedrich Reinert Barbosa    </t>
  </si>
  <si>
    <t>004289402</t>
  </si>
  <si>
    <t>JOSE ROBERTO BOSELLI JUNIOR</t>
  </si>
  <si>
    <t>431.312.559-00</t>
  </si>
  <si>
    <t>Verni Kitzmann Wehrmann</t>
  </si>
  <si>
    <t>Larissa Goveia Moreira e/ou Augusto Luis Nicezio Borges</t>
  </si>
  <si>
    <t>6293945</t>
  </si>
  <si>
    <t>004580355</t>
  </si>
  <si>
    <t>R$ 57,28</t>
  </si>
  <si>
    <t>Troca de assessor de David Mendes para diretores (Daniel, Renan, Canabrava e Norton) em 12/12/2022; Deixar o máximo de liquidez possível!</t>
  </si>
  <si>
    <t>R$ 1.712.422,20</t>
  </si>
  <si>
    <t>R$ 1.710.707,14</t>
  </si>
  <si>
    <t>R$ 1.786.407,15</t>
  </si>
  <si>
    <t>925.841.791-72</t>
  </si>
  <si>
    <t>3556718</t>
  </si>
  <si>
    <t>41.719.381/0001-40</t>
  </si>
  <si>
    <t>Larissa Soares Filgueira</t>
  </si>
  <si>
    <t>008563668</t>
  </si>
  <si>
    <t>005.193.851-01</t>
  </si>
  <si>
    <t>larissa.filgueira97@gmail.com</t>
  </si>
  <si>
    <t>3432427</t>
  </si>
  <si>
    <t>123.552.257-10</t>
  </si>
  <si>
    <t>Victor Vieites do Valle Pires</t>
  </si>
  <si>
    <t>Larissa Stefani Santos</t>
  </si>
  <si>
    <t>Não vender acima de 20K</t>
  </si>
  <si>
    <t>037.952.011-79</t>
  </si>
  <si>
    <t>62 99177-6595</t>
  </si>
  <si>
    <t>larissastefanisantos@hotmail.com</t>
  </si>
  <si>
    <t>2834519</t>
  </si>
  <si>
    <t>100.766.417-75</t>
  </si>
  <si>
    <t>Vinícius Martins Ferreira</t>
  </si>
  <si>
    <t>Alteração de carteira finalizada (09/12/2024)</t>
  </si>
  <si>
    <t>lari.web@icloud.com</t>
  </si>
  <si>
    <t>4341602</t>
  </si>
  <si>
    <t>RODOLFO CESAR AZEVEDO PALMA</t>
  </si>
  <si>
    <t>4740849</t>
  </si>
  <si>
    <t>Laura Brito Azevedo Bringel</t>
  </si>
  <si>
    <t>008353077</t>
  </si>
  <si>
    <t>088.304.626-16</t>
  </si>
  <si>
    <t>622.174.883-68</t>
  </si>
  <si>
    <t>Mudou de Ações para arrojada (25/02). Pediu resgate total</t>
  </si>
  <si>
    <t>7435703</t>
  </si>
  <si>
    <t>2851864</t>
  </si>
  <si>
    <t>012.077.591-39</t>
  </si>
  <si>
    <t>Vitor Xavier de Oliveira Neto</t>
  </si>
  <si>
    <t>Sem RV (25/03/2026).</t>
  </si>
  <si>
    <t>laurafurstarantes@gmail.com</t>
  </si>
  <si>
    <t>5682953</t>
  </si>
  <si>
    <t>381.730.501-04</t>
  </si>
  <si>
    <t xml:space="preserve">Wander Lucio Prado  </t>
  </si>
  <si>
    <t>go</t>
  </si>
  <si>
    <t>Laura Garcia Lemes</t>
  </si>
  <si>
    <t>065.826.711-62</t>
  </si>
  <si>
    <t>lauragarcia.omega@gmail.com</t>
  </si>
  <si>
    <t>033.805.971-71</t>
  </si>
  <si>
    <t>Solicitou distrato 21/09/2021</t>
  </si>
  <si>
    <t>Marcelo Reincken de Araújo</t>
  </si>
  <si>
    <t>004693308</t>
  </si>
  <si>
    <t>R$ 80.917,93</t>
  </si>
  <si>
    <t>R$ 80.890,20</t>
  </si>
  <si>
    <t>R$ 88.505,39</t>
  </si>
  <si>
    <t>vqt39@yahoo.com.br</t>
  </si>
  <si>
    <t>4442405</t>
  </si>
  <si>
    <t>183.636.101-78</t>
  </si>
  <si>
    <t>7667659</t>
  </si>
  <si>
    <t>REJANE ELIZABETH MARIA JAQUETO</t>
  </si>
  <si>
    <t>620.268.601-49</t>
  </si>
  <si>
    <t>Alteração de carteira finalizada (13/05/2025)</t>
  </si>
  <si>
    <t>lecbueno@gmail.com</t>
  </si>
  <si>
    <t>R$ 104.765,52</t>
  </si>
  <si>
    <t>R$ 106.539,09</t>
  </si>
  <si>
    <t>R$ 105.541,97</t>
  </si>
  <si>
    <t>R$ 103.698,85</t>
  </si>
  <si>
    <t>R$ 99.729,98</t>
  </si>
  <si>
    <t>R$ 100.804,26</t>
  </si>
  <si>
    <t>R$ 100.925,45</t>
  </si>
  <si>
    <t>R$ 101.294,81</t>
  </si>
  <si>
    <t>R$ 102.508,09</t>
  </si>
  <si>
    <t>R$ 101.901,66</t>
  </si>
  <si>
    <t>R$ 100.968,24</t>
  </si>
  <si>
    <t>R$ 100.941,42</t>
  </si>
  <si>
    <t>R$ 104.361,31</t>
  </si>
  <si>
    <t>STOCK</t>
  </si>
  <si>
    <t>IPCA + 7%</t>
  </si>
  <si>
    <t>5998094</t>
  </si>
  <si>
    <t>012.401.741-01</t>
  </si>
  <si>
    <t>William Mello de Oliveira</t>
  </si>
  <si>
    <t>4068685</t>
  </si>
  <si>
    <t>Leandro Augusto De Araujo Cunha Teixeira Bueno</t>
  </si>
  <si>
    <t>Cesar Augusto da Silva</t>
  </si>
  <si>
    <t>025476789</t>
  </si>
  <si>
    <t>20%ações 20% FIIs</t>
  </si>
  <si>
    <t>ADRIELE DE PAULA JARDIM LAZARO</t>
  </si>
  <si>
    <t>031.285.868-02</t>
  </si>
  <si>
    <t>4528990</t>
  </si>
  <si>
    <t>R$ 2.200,00</t>
  </si>
  <si>
    <t>29/07/0979</t>
  </si>
  <si>
    <t>3175579</t>
  </si>
  <si>
    <t>718.083.451-34</t>
  </si>
  <si>
    <t>Wladmir Ramalho Osorio Silva</t>
  </si>
  <si>
    <t xml:space="preserve">Leandro Gondim Silva	</t>
  </si>
  <si>
    <t>004404724</t>
  </si>
  <si>
    <t>leandrogondimsilva@gmail.com</t>
  </si>
  <si>
    <t>5907461</t>
  </si>
  <si>
    <t>Leandro Luiz Toledo e/ou Debora Garcia Toledo</t>
  </si>
  <si>
    <t>005997429</t>
  </si>
  <si>
    <t>Moderado para Arrojada 15/06/2021</t>
  </si>
  <si>
    <t>021.063.309-36</t>
  </si>
  <si>
    <t>R$ 1.051.054,10</t>
  </si>
  <si>
    <t>R$ 1.093.813,12</t>
  </si>
  <si>
    <t>MAITRI EMPREENDIMENTOS LTDA</t>
  </si>
  <si>
    <t>Leandro Nista Spis</t>
  </si>
  <si>
    <t>009273070</t>
  </si>
  <si>
    <t>OP Club</t>
  </si>
  <si>
    <t>Rafael Guedes</t>
  </si>
  <si>
    <t>586.524.696-87</t>
  </si>
  <si>
    <t>329488</t>
  </si>
  <si>
    <t>273.240.198-62</t>
  </si>
  <si>
    <t>19 99222-4814</t>
  </si>
  <si>
    <t>RICARDO ALVES MATHEUS</t>
  </si>
  <si>
    <t>leandronista@gmail.com</t>
  </si>
  <si>
    <t>Solicitou distrato em 31/03/2022</t>
  </si>
  <si>
    <t>4652772</t>
  </si>
  <si>
    <t>LUCILAYNE DOS SANTOS MONTEIRO</t>
  </si>
  <si>
    <t>Leandro Sestini De Barros Cruz</t>
  </si>
  <si>
    <t>019713726</t>
  </si>
  <si>
    <t>5928177</t>
  </si>
  <si>
    <t>253.587.808-90</t>
  </si>
  <si>
    <t>16 99159-5482</t>
  </si>
  <si>
    <t>leandrobcruz@icloud.com</t>
  </si>
  <si>
    <t>Contabilidade São José LTDA</t>
  </si>
  <si>
    <t>Solicitou distrato 12/11/2021</t>
  </si>
  <si>
    <t>Leandro Souza Xavier e/ou Benjamim Coelho Xavier</t>
  </si>
  <si>
    <t>708.275.321-72</t>
  </si>
  <si>
    <t>62 98599-2944</t>
  </si>
  <si>
    <t>lsx708@gmail.com</t>
  </si>
  <si>
    <t>889386</t>
  </si>
  <si>
    <t>Leda dos Reis Martins</t>
  </si>
  <si>
    <t>34k D+0 (12/08/2025)</t>
  </si>
  <si>
    <t>764.983.951-68</t>
  </si>
  <si>
    <t>ledarmartins.martins@gmail.com</t>
  </si>
  <si>
    <t>5577058</t>
  </si>
  <si>
    <t>Suzana Guimarães Passos Barbosa</t>
  </si>
  <si>
    <t>4809599</t>
  </si>
  <si>
    <t xml:space="preserve">Leila Jacintho Quirino </t>
  </si>
  <si>
    <t>360.160.471-04</t>
  </si>
  <si>
    <t>leilajacinthoquirino@gmail.com</t>
  </si>
  <si>
    <t>Leila Maris De Souza Vilela</t>
  </si>
  <si>
    <t>004208447</t>
  </si>
  <si>
    <t>Vencimentos D+0 (24/09/2025)</t>
  </si>
  <si>
    <t>Contas Sem Patrimônio</t>
  </si>
  <si>
    <t>300.062.101-63</t>
  </si>
  <si>
    <t>leilamarisbb@gmail.com</t>
  </si>
  <si>
    <t>Março c XP</t>
  </si>
  <si>
    <t>Contas Inativas</t>
  </si>
  <si>
    <t>Leivanio Ponte Teixeira</t>
  </si>
  <si>
    <t>005233971</t>
  </si>
  <si>
    <t>072.270.213-27</t>
  </si>
  <si>
    <t>3373338</t>
  </si>
  <si>
    <t>Leni Caetano dos Santos e Silva</t>
  </si>
  <si>
    <t>266.487.928-68</t>
  </si>
  <si>
    <t>67 99983-2292</t>
  </si>
  <si>
    <t>lenims@gmail.com</t>
  </si>
  <si>
    <t>4847953</t>
  </si>
  <si>
    <t>IMC Construções</t>
  </si>
  <si>
    <t>Leonardo Agonilha Marquezine</t>
  </si>
  <si>
    <t>098.917.929-00</t>
  </si>
  <si>
    <t>511539</t>
  </si>
  <si>
    <t>Fundos</t>
  </si>
  <si>
    <t>R$ 39.888.444,96</t>
  </si>
  <si>
    <t>R$ 46.303.013,85</t>
  </si>
  <si>
    <t>012910501</t>
  </si>
  <si>
    <t>LEOLAPERCHE@GMAIL.COM</t>
  </si>
  <si>
    <t>Leonardo Cardoso Ferreira</t>
  </si>
  <si>
    <t>004848279</t>
  </si>
  <si>
    <t>068.129.363-24</t>
  </si>
  <si>
    <t>Leonardo de Mello Benvenhu</t>
  </si>
  <si>
    <t>008887839</t>
  </si>
  <si>
    <t>43 99912-5571</t>
  </si>
  <si>
    <t>Felipe Galvao Melo</t>
  </si>
  <si>
    <t>Leonardo Faleiro De Faria</t>
  </si>
  <si>
    <t>005661334</t>
  </si>
  <si>
    <t>Carteira Monitoramento Especial para Fundos (SPMG II FII criado pelo cliente) (20/03/2025)</t>
  </si>
  <si>
    <t>314.621.706-68</t>
  </si>
  <si>
    <t>leonardofaleirodefaria@gmail.com</t>
  </si>
  <si>
    <t>005076418</t>
  </si>
  <si>
    <t>004221506</t>
  </si>
  <si>
    <t>Cliente solicitou o distrato (04/09/2023)</t>
  </si>
  <si>
    <t>004221536</t>
  </si>
  <si>
    <t>004936634</t>
  </si>
  <si>
    <t>Cliente solicitou o distrato (08/08/2024)</t>
  </si>
  <si>
    <t xml:space="preserve">Leonardo Luis de Barros Rodrigues    </t>
  </si>
  <si>
    <t>Cristina Vieira Araujo</t>
  </si>
  <si>
    <t>004374943</t>
  </si>
  <si>
    <t xml:space="preserve">Leonardo Pena de Faria	</t>
  </si>
  <si>
    <t>036.067.571-90</t>
  </si>
  <si>
    <t>leonardopdefaria@gmail.com</t>
  </si>
  <si>
    <t>Leonardo Vono Ribeiro de Figueiredo</t>
  </si>
  <si>
    <t>Christiane Bertan Ribeiro</t>
  </si>
  <si>
    <t>321.613.618-30</t>
  </si>
  <si>
    <t>l.f@hcarebr.com</t>
  </si>
  <si>
    <t xml:space="preserve">Leone Gagliardi Neto </t>
  </si>
  <si>
    <t>milenegagliardi@gmail.com</t>
  </si>
  <si>
    <t>Maria de Lourdes Pereira de Almeida</t>
  </si>
  <si>
    <t>Leticia Cascao de Avila</t>
  </si>
  <si>
    <t>005247042</t>
  </si>
  <si>
    <t>Cliente sumiu da base 05/03/2024</t>
  </si>
  <si>
    <t>042.468.711-92</t>
  </si>
  <si>
    <t>Reinaldo Albernaz Rogrigues	475798	Bluemetrix</t>
  </si>
  <si>
    <t>Letícia Duarte Nogueira Barcelos</t>
  </si>
  <si>
    <t>008404765</t>
  </si>
  <si>
    <t>Marcelo de Araujo</t>
  </si>
  <si>
    <t>296.737.551-91</t>
  </si>
  <si>
    <t>zecabarcelos@gmail.com</t>
  </si>
  <si>
    <t>DENISE YENDO INADA</t>
  </si>
  <si>
    <t>Letícia Rodrigues Silva</t>
  </si>
  <si>
    <t>Alteração de carteira finalizada (19/03/2026)</t>
  </si>
  <si>
    <t>114.137.406-42</t>
  </si>
  <si>
    <t>leticiarodrigues.rs@gmail.com</t>
  </si>
  <si>
    <t>5959474</t>
  </si>
  <si>
    <t>R$ 35.796,34</t>
  </si>
  <si>
    <t>Andre De Oliveira Pereira Pawlowski</t>
  </si>
  <si>
    <t>levisulvafilho@yahoo.com.br</t>
  </si>
  <si>
    <t>2746879</t>
  </si>
  <si>
    <t>4478774</t>
  </si>
  <si>
    <t>Lilian Dos Santos Liborio</t>
  </si>
  <si>
    <t>002400385</t>
  </si>
  <si>
    <t>006.814.885-22</t>
  </si>
  <si>
    <t>79 99964-0004</t>
  </si>
  <si>
    <t>lilian.s.liborio@gmail.com</t>
  </si>
  <si>
    <t>Lilian Goncalves Cury</t>
  </si>
  <si>
    <t>004403674</t>
  </si>
  <si>
    <t>5537937</t>
  </si>
  <si>
    <t>Cliente solicitou distrato dia 25/04/2023</t>
  </si>
  <si>
    <t>4551730</t>
  </si>
  <si>
    <t>Lilian Nagata Martins Silva e/ou Clovis Martins da Silva</t>
  </si>
  <si>
    <t>134.352.721-04</t>
  </si>
  <si>
    <t>62 99297-2012</t>
  </si>
  <si>
    <t>liliannagata@hotmail.com</t>
  </si>
  <si>
    <t>475798</t>
  </si>
  <si>
    <t>Reinaldo Albernaz Rogrigues</t>
  </si>
  <si>
    <t>2476582</t>
  </si>
  <si>
    <t>Liliana Depieri Barbosa</t>
  </si>
  <si>
    <t>711.613.761-00</t>
  </si>
  <si>
    <t>61 98411-0348</t>
  </si>
  <si>
    <t>lilidepieri@gmail.com</t>
  </si>
  <si>
    <t>6478648</t>
  </si>
  <si>
    <t>5692353</t>
  </si>
  <si>
    <t>R$ 94.814,49</t>
  </si>
  <si>
    <t>6879934</t>
  </si>
  <si>
    <t>Lincoln Tercio Rodrigues da Cruz</t>
  </si>
  <si>
    <t>008244362</t>
  </si>
  <si>
    <t>027.231.139-14</t>
  </si>
  <si>
    <t>lincolntercio@gmail.com</t>
  </si>
  <si>
    <t>8450642</t>
  </si>
  <si>
    <t>4941758</t>
  </si>
  <si>
    <t>Livia Brenner Avila</t>
  </si>
  <si>
    <t>008241618</t>
  </si>
  <si>
    <t>063.785.431-43</t>
  </si>
  <si>
    <t>7911381</t>
  </si>
  <si>
    <t>Cinthya Ribeiro Biagini de Sousa</t>
  </si>
  <si>
    <t>Lohran Soares de Oliveira</t>
  </si>
  <si>
    <t>004332747</t>
  </si>
  <si>
    <t>Lorena Di Naves</t>
  </si>
  <si>
    <t>100K D+0 (09/05/2025)</t>
  </si>
  <si>
    <t>783.664.961-04</t>
  </si>
  <si>
    <t>lorena.luzdavida@gmail.com</t>
  </si>
  <si>
    <t>Lorena Vallentini Rossi</t>
  </si>
  <si>
    <t>004547073</t>
  </si>
  <si>
    <t>071.227.791-90</t>
  </si>
  <si>
    <t>7998405</t>
  </si>
  <si>
    <t>estivesrobertr2@hotmail.ocom</t>
  </si>
  <si>
    <t>Lorinelsa Comparin Dalla Nora</t>
  </si>
  <si>
    <t>004766708</t>
  </si>
  <si>
    <t>390.410.421-72</t>
  </si>
  <si>
    <t>nesacomparin@gmail.com</t>
  </si>
  <si>
    <t>0207/2021</t>
  </si>
  <si>
    <t>6456590</t>
  </si>
  <si>
    <t>Luana Lunardelli Canavezi</t>
  </si>
  <si>
    <t>116.230.539-86</t>
  </si>
  <si>
    <t>004431689</t>
  </si>
  <si>
    <t>7970402</t>
  </si>
  <si>
    <t>6403193</t>
  </si>
  <si>
    <t>Luca Siqueira Araujo</t>
  </si>
  <si>
    <t>Alteração de carteira finalizada (12/11/2025)</t>
  </si>
  <si>
    <t>106.537.761-44</t>
  </si>
  <si>
    <t>mabiela_@hotmail.com</t>
  </si>
  <si>
    <t>Lucas Borges Cunha</t>
  </si>
  <si>
    <t>Lucas Calixto</t>
  </si>
  <si>
    <t>5686058</t>
  </si>
  <si>
    <t>Marco Aurelio de Carvalho Demes</t>
  </si>
  <si>
    <t>Só aplicar em CDB (30/06/2026)</t>
  </si>
  <si>
    <t>026.853.691-04</t>
  </si>
  <si>
    <t>62 98156-5582</t>
  </si>
  <si>
    <t>lucasborgescunha@gmail.com</t>
  </si>
  <si>
    <t>4862815</t>
  </si>
  <si>
    <t>Lucas Gabriel Lopes de Sousa</t>
  </si>
  <si>
    <t>005242683</t>
  </si>
  <si>
    <t>Augusto Sampaio</t>
  </si>
  <si>
    <t>024.379.561-07</t>
  </si>
  <si>
    <t>6604192</t>
  </si>
  <si>
    <t>Maria Lúcia Jaime</t>
  </si>
  <si>
    <t>Lucas Ramos Moutinho</t>
  </si>
  <si>
    <t>004914070</t>
  </si>
  <si>
    <t>Alteração de carteira finalizada (13/11/2023)</t>
  </si>
  <si>
    <t>036.916.631-09</t>
  </si>
  <si>
    <t>5905556</t>
  </si>
  <si>
    <t>3952119</t>
  </si>
  <si>
    <t>araujo.lucasrodrigues@gmail.com</t>
  </si>
  <si>
    <t>6986262</t>
  </si>
  <si>
    <t>Lucas Rona Soares</t>
  </si>
  <si>
    <t>6489178</t>
  </si>
  <si>
    <t>066.727.466-92</t>
  </si>
  <si>
    <t>(34) 98855-8226</t>
  </si>
  <si>
    <t>LUCAS_RONA@HOTMAIL.COM</t>
  </si>
  <si>
    <t>Lucas Silqueira Gomes</t>
  </si>
  <si>
    <t>005122672</t>
  </si>
  <si>
    <t>036.166.861-99</t>
  </si>
  <si>
    <t>5378763</t>
  </si>
  <si>
    <t>3428496</t>
  </si>
  <si>
    <t>Lucas Silqueira Gomes e/ou Barbara de Oliveira Dantas</t>
  </si>
  <si>
    <t>005557543</t>
  </si>
  <si>
    <t>6480547</t>
  </si>
  <si>
    <t>Giani da Silva Rocha</t>
  </si>
  <si>
    <t>Luccas Castelar de Miranda Reis</t>
  </si>
  <si>
    <t>164.031.277-30</t>
  </si>
  <si>
    <t>luccascastelar@hotmail.com</t>
  </si>
  <si>
    <t>7975278</t>
  </si>
  <si>
    <t>Stael Moreira Prudente Barbosa</t>
  </si>
  <si>
    <t>Luci Tania Bunn Ferrari</t>
  </si>
  <si>
    <t>Alexandre Almeida</t>
  </si>
  <si>
    <t>398.723.519-53</t>
  </si>
  <si>
    <t>61 99983-2013</t>
  </si>
  <si>
    <t>lucibunn@gmail.com</t>
  </si>
  <si>
    <t>5666607</t>
  </si>
  <si>
    <t>Lucia Bernadete de Vasconcellos Rezende</t>
  </si>
  <si>
    <t>008384457</t>
  </si>
  <si>
    <t>440.518.161-68</t>
  </si>
  <si>
    <t>quelrezende@hotmail.com</t>
  </si>
  <si>
    <t>566332</t>
  </si>
  <si>
    <t>Lucia Carneiro Vale</t>
  </si>
  <si>
    <t>10K D+0 / Manter o CRA BTG (29/04/2024)</t>
  </si>
  <si>
    <t>363.384.861-49</t>
  </si>
  <si>
    <t>luciavale980@gmail.com</t>
  </si>
  <si>
    <t>009173523</t>
  </si>
  <si>
    <t>3247402</t>
  </si>
  <si>
    <t>Marília Moreira Guimarães</t>
  </si>
  <si>
    <t>4947220</t>
  </si>
  <si>
    <t>Claudia Velloso Portella</t>
  </si>
  <si>
    <t>Lucia Helena de Ávila Miguel</t>
  </si>
  <si>
    <t>079.032.098-33</t>
  </si>
  <si>
    <t>luciaavilamiguel@yahoo.com.br</t>
  </si>
  <si>
    <t>6129550</t>
  </si>
  <si>
    <t>Luciana Albuquerque Villas</t>
  </si>
  <si>
    <t>003485611</t>
  </si>
  <si>
    <t>Resgates mensais de 10k (02/07/2026)</t>
  </si>
  <si>
    <t>583.598..501-00</t>
  </si>
  <si>
    <t>67 99984-1443</t>
  </si>
  <si>
    <t>lucianaalvillas@gmail.com</t>
  </si>
  <si>
    <t>4252693</t>
  </si>
  <si>
    <t>008132035</t>
  </si>
  <si>
    <t xml:space="preserve">4760280 </t>
  </si>
  <si>
    <t>R$ 88.117,94</t>
  </si>
  <si>
    <t>Alteração de carteira finalizada (14/11/2025)</t>
  </si>
  <si>
    <t>Luciana Cicci Ferreira Barbosa de Sousa</t>
  </si>
  <si>
    <t>055.572.546-41</t>
  </si>
  <si>
    <t>34 99972-2142</t>
  </si>
  <si>
    <t>lucianacicci@gmail.com</t>
  </si>
  <si>
    <t>5892424</t>
  </si>
  <si>
    <t>Luciana Krohn Porfirio</t>
  </si>
  <si>
    <t>10% D+0 (07/04/2025)</t>
  </si>
  <si>
    <t>Nome alterado em razão de divórcio (26/01/2026)</t>
  </si>
  <si>
    <t>709.185.971-53</t>
  </si>
  <si>
    <t>lukrohn@hotmail.com</t>
  </si>
  <si>
    <t>Liliara Cristina Freo</t>
  </si>
  <si>
    <t>004432455</t>
  </si>
  <si>
    <t>2580097</t>
  </si>
  <si>
    <t>lbarros@consulterelgov.com.br</t>
  </si>
  <si>
    <t>Luciana Soares Spindola</t>
  </si>
  <si>
    <t>000827730</t>
  </si>
  <si>
    <t>539.235.451-34</t>
  </si>
  <si>
    <t>004804036</t>
  </si>
  <si>
    <t>3863949</t>
  </si>
  <si>
    <t>Luciano Hanna Andrade Chaves</t>
  </si>
  <si>
    <t>004544289</t>
  </si>
  <si>
    <t>8165220</t>
  </si>
  <si>
    <t>610.520.601-10</t>
  </si>
  <si>
    <t>5927535</t>
  </si>
  <si>
    <t>Pedro Paulo</t>
  </si>
  <si>
    <t>ricardo.bb.monte@hotmail.com</t>
  </si>
  <si>
    <t>4638237</t>
  </si>
  <si>
    <t>4743699</t>
  </si>
  <si>
    <t>9009694</t>
  </si>
  <si>
    <t>Luciene Bertolino</t>
  </si>
  <si>
    <t>6866947</t>
  </si>
  <si>
    <t>50K D+0 (13/09/2024)</t>
  </si>
  <si>
    <t>517.310.881-91</t>
  </si>
  <si>
    <t>lucienebertolino21@gmail.com</t>
  </si>
  <si>
    <t>6549214</t>
  </si>
  <si>
    <t>Lucilene Leao Cabral</t>
  </si>
  <si>
    <t>004381729</t>
  </si>
  <si>
    <t>4899222</t>
  </si>
  <si>
    <t>100k D+0 (20/07/2026)</t>
  </si>
  <si>
    <t>854.533.581-49</t>
  </si>
  <si>
    <t>64 98122-6723</t>
  </si>
  <si>
    <t>cabral.eduardoleao@hotmail.com</t>
  </si>
  <si>
    <t>6104436</t>
  </si>
  <si>
    <t>004376145</t>
  </si>
  <si>
    <t>846350</t>
  </si>
  <si>
    <t>Max 20% RV (28/01/2025)</t>
  </si>
  <si>
    <t>Distrati uniateral</t>
  </si>
  <si>
    <t>lucyenesborges@gmail.com</t>
  </si>
  <si>
    <t>6980115</t>
  </si>
  <si>
    <t>Ludmila Pires Fernandes</t>
  </si>
  <si>
    <t>4367434</t>
  </si>
  <si>
    <t>297.720.441-53</t>
  </si>
  <si>
    <t>ludmila.pf.61@gmail.com</t>
  </si>
  <si>
    <t>005749758</t>
  </si>
  <si>
    <t>Conta será encerrada</t>
  </si>
  <si>
    <t>6065361</t>
  </si>
  <si>
    <t>005268516</t>
  </si>
  <si>
    <t>5603037</t>
  </si>
  <si>
    <t>Paulo Sérgio Botelho</t>
  </si>
  <si>
    <t>7709062</t>
  </si>
  <si>
    <t>Multrimacro</t>
  </si>
  <si>
    <t>005312231</t>
  </si>
  <si>
    <t>4744608</t>
  </si>
  <si>
    <t>Luis Fillipe Bezerra Lima</t>
  </si>
  <si>
    <t>001719494</t>
  </si>
  <si>
    <t>5659222</t>
  </si>
  <si>
    <t>Maurício Mury Poupel (nunca operou, vinculou apenas para criar a segunda conta)</t>
  </si>
  <si>
    <t xml:space="preserve">Solicitou resgate total dia 08/03/2024 / Distrato unilateral </t>
  </si>
  <si>
    <t>fillipeblima@gmail.com</t>
  </si>
  <si>
    <t>8227775</t>
  </si>
  <si>
    <t>004754920</t>
  </si>
  <si>
    <t>Conta à ser encerrada, aguardando recebimentos de dividendo para 2025</t>
  </si>
  <si>
    <t>5914962</t>
  </si>
  <si>
    <t>Manuela</t>
  </si>
  <si>
    <t>3241823</t>
  </si>
  <si>
    <t xml:space="preserve">Luis Guilherme Maciel </t>
  </si>
  <si>
    <t>004472431</t>
  </si>
  <si>
    <t>luismaciel@florenselondrina.com.br</t>
  </si>
  <si>
    <t>Luís Leon Collart</t>
  </si>
  <si>
    <t>004546050</t>
  </si>
  <si>
    <t>6852608</t>
  </si>
  <si>
    <t>Está em processo de portabilidade dos recursos do safra para o Bluemetrix.</t>
  </si>
  <si>
    <t>078.481.577-17</t>
  </si>
  <si>
    <t>6582452</t>
  </si>
  <si>
    <t>004568300</t>
  </si>
  <si>
    <t>Marco Aurélio Marques de Castro</t>
  </si>
  <si>
    <t>Luisa Araujo Carrusca de Oliveira</t>
  </si>
  <si>
    <t>004380948</t>
  </si>
  <si>
    <t>Alteração de carteira finalizada (27/03/2024)</t>
  </si>
  <si>
    <t>057.077.771-21</t>
  </si>
  <si>
    <t>Luisa de Oliveira Lobo</t>
  </si>
  <si>
    <t>004855570</t>
  </si>
  <si>
    <t>024.627.771-80</t>
  </si>
  <si>
    <t>4785856</t>
  </si>
  <si>
    <t>2889018</t>
  </si>
  <si>
    <t xml:space="preserve">Luiz Alberto Portilho de Lima      </t>
  </si>
  <si>
    <t>004298042</t>
  </si>
  <si>
    <t>851.765.161-87</t>
  </si>
  <si>
    <t>Luiz Augusto Rutis Barreto</t>
  </si>
  <si>
    <t>004239387</t>
  </si>
  <si>
    <t>Distrato unilateral.</t>
  </si>
  <si>
    <t>147.413.067-47</t>
  </si>
  <si>
    <t>6456469</t>
  </si>
  <si>
    <t xml:space="preserve">Arilma Marçal de Brito      </t>
  </si>
  <si>
    <t>2358079</t>
  </si>
  <si>
    <t>Luiz Claudio De Melo Alencar</t>
  </si>
  <si>
    <t>005880251</t>
  </si>
  <si>
    <t>806.465.811-04</t>
  </si>
  <si>
    <t>luizalencar@gmail.com</t>
  </si>
  <si>
    <t>Luiz Claudio de Oliveira Coutinho</t>
  </si>
  <si>
    <t>004348479</t>
  </si>
  <si>
    <t>308.075.901-00</t>
  </si>
  <si>
    <t>4947409</t>
  </si>
  <si>
    <t>Luiz Felipe Leal Dos Santos Junior</t>
  </si>
  <si>
    <t>6065019</t>
  </si>
  <si>
    <t>484.463.431-34</t>
  </si>
  <si>
    <t>felipeleal.dossantos@gmail.com</t>
  </si>
  <si>
    <t>Luiz Francisco Dezzen e/ou Joyce Kesia Silva Covem Dezzen</t>
  </si>
  <si>
    <t>008466931</t>
  </si>
  <si>
    <t>30K D+0 (25/02/2025)</t>
  </si>
  <si>
    <t>000.835.091-43</t>
  </si>
  <si>
    <t>luizdezzen@gmail.com</t>
  </si>
  <si>
    <t>4441469</t>
  </si>
  <si>
    <t>Luiz Henrique Moura Barreto</t>
  </si>
  <si>
    <t>004554411</t>
  </si>
  <si>
    <t>001.363.525-53</t>
  </si>
  <si>
    <t>Luiz Napoleao Da Silva Brito</t>
  </si>
  <si>
    <t>005256036</t>
  </si>
  <si>
    <t>067.626.621-53</t>
  </si>
  <si>
    <t>napobrito26@gmail.com</t>
  </si>
  <si>
    <t>2417083</t>
  </si>
  <si>
    <t>Luiz Pereira Lemos</t>
  </si>
  <si>
    <t>392.016.861-53</t>
  </si>
  <si>
    <t>62 99815-3834</t>
  </si>
  <si>
    <t>lemosofm@hotmail.com</t>
  </si>
  <si>
    <t xml:space="preserve">Júlio Vicente de Alvarenga </t>
  </si>
  <si>
    <t>Luiz Ricarte Serra Filho</t>
  </si>
  <si>
    <t>004517506</t>
  </si>
  <si>
    <t>9145079</t>
  </si>
  <si>
    <t>Alteração de carteira finalizada (15/03/2024)</t>
  </si>
  <si>
    <t>002.682.251-25</t>
  </si>
  <si>
    <t>Luiza Garcia Siqueira</t>
  </si>
  <si>
    <t>004369172</t>
  </si>
  <si>
    <t>4085020</t>
  </si>
  <si>
    <t>533.953.188-00</t>
  </si>
  <si>
    <t>Luiza Maia Satyro Sales</t>
  </si>
  <si>
    <t>008158615</t>
  </si>
  <si>
    <t>055.176.021-42</t>
  </si>
  <si>
    <t>lmaiasatyrosales@gmail.com</t>
  </si>
  <si>
    <t>4831456</t>
  </si>
  <si>
    <t>Luminus Seguros LTDA</t>
  </si>
  <si>
    <t>008437729</t>
  </si>
  <si>
    <t>59.241.475/0001-12</t>
  </si>
  <si>
    <t>marianarochapessoas@gmail.com</t>
  </si>
  <si>
    <t>2551563</t>
  </si>
  <si>
    <t>Luna Alencar Prado</t>
  </si>
  <si>
    <t>005121756</t>
  </si>
  <si>
    <t>58954</t>
  </si>
  <si>
    <t>116.771.621-39</t>
  </si>
  <si>
    <t>Luzimar Ribeiro de Almeida Suzuki e/ou Fernando Seiji Suzuki</t>
  </si>
  <si>
    <t>004752615</t>
  </si>
  <si>
    <t>002.598.921-90</t>
  </si>
  <si>
    <t>M2 FARMACEUTICA INDUSTRIA E COMERCIO LTDA</t>
  </si>
  <si>
    <t>020718565</t>
  </si>
  <si>
    <t>56.505.337/0001-05</t>
  </si>
  <si>
    <t>54 99198-1957</t>
  </si>
  <si>
    <t>m2farmapix@gmail.com</t>
  </si>
  <si>
    <t>6096787</t>
  </si>
  <si>
    <t xml:space="preserve">Daisy Eni Morais dos Santos       	</t>
  </si>
  <si>
    <t>M2WM MFO SERVICOS ADMINISTRATIVOS LTDA</t>
  </si>
  <si>
    <t>005949720</t>
  </si>
  <si>
    <t>54.667.643/0001-12</t>
  </si>
  <si>
    <t>(34) 98445-6366</t>
  </si>
  <si>
    <t>operacoes@mwealth.com.br</t>
  </si>
  <si>
    <t xml:space="preserve">Mafalda Rosa Monaco        </t>
  </si>
  <si>
    <t>004383190</t>
  </si>
  <si>
    <t>Rogerio Magalhaes Coelho</t>
  </si>
  <si>
    <t>4681272</t>
  </si>
  <si>
    <t>Magali Zilca De Oliveira Dantas</t>
  </si>
  <si>
    <t>561.944.800-25</t>
  </si>
  <si>
    <t>magalidantas@gmail.com</t>
  </si>
  <si>
    <t>8688674</t>
  </si>
  <si>
    <t>Maira Silva Morais</t>
  </si>
  <si>
    <t>30K D+0 (20/03/2025)</t>
  </si>
  <si>
    <t>Alteração de carteira finalizada (13/05/2024)</t>
  </si>
  <si>
    <t>002.659.621-02</t>
  </si>
  <si>
    <t>mairasmorais@yahoo.com.br</t>
  </si>
  <si>
    <t>004481463</t>
  </si>
  <si>
    <t>004556853</t>
  </si>
  <si>
    <t>mjaqueto@gmail.com</t>
  </si>
  <si>
    <t>Marcelo Bulle De Queiroz E Silva</t>
  </si>
  <si>
    <t>024832883</t>
  </si>
  <si>
    <t xml:space="preserve">GO </t>
  </si>
  <si>
    <t xml:space="preserve">David Mendes </t>
  </si>
  <si>
    <t>077.518.548-55</t>
  </si>
  <si>
    <t>43 99919-0449</t>
  </si>
  <si>
    <t>M_BULLE@HOTMAIL.COM</t>
  </si>
  <si>
    <t>4868468</t>
  </si>
  <si>
    <t>5900712</t>
  </si>
  <si>
    <t>R$ 60.810,37</t>
  </si>
  <si>
    <t>005042222</t>
  </si>
  <si>
    <t>6320705</t>
  </si>
  <si>
    <t xml:space="preserve">Marcelo Frossard Pincinato  </t>
  </si>
  <si>
    <t>004264780</t>
  </si>
  <si>
    <t>STVM interna finalizada (25/01/2024)</t>
  </si>
  <si>
    <t>924.689.001-97</t>
  </si>
  <si>
    <t>mar_pincinato@yahoo.com.br</t>
  </si>
  <si>
    <t>4145752</t>
  </si>
  <si>
    <t>000772433</t>
  </si>
  <si>
    <t>004983378</t>
  </si>
  <si>
    <t>Cliente solicitou distrato (19/08/2024)</t>
  </si>
  <si>
    <t>3436437</t>
  </si>
  <si>
    <t>R$ 128.507,47</t>
  </si>
  <si>
    <t>Paulo A. Ruffo</t>
  </si>
  <si>
    <t>004983395</t>
  </si>
  <si>
    <t>marcelo.kanitz@atkr.adv.br</t>
  </si>
  <si>
    <t>Neyla</t>
  </si>
  <si>
    <t>4844736</t>
  </si>
  <si>
    <t xml:space="preserve">Gabriel de Abreu Silva   </t>
  </si>
  <si>
    <t xml:space="preserve">2694253 </t>
  </si>
  <si>
    <t>Marcelo Pires Fiorini</t>
  </si>
  <si>
    <t>5646446</t>
  </si>
  <si>
    <t>Paulo Sérgio dos Santos Pereira</t>
  </si>
  <si>
    <t>819.807.601-87</t>
  </si>
  <si>
    <t>mpfiorini@hotmail.com</t>
  </si>
  <si>
    <t>Marcelo Santos Tavela Ramos</t>
  </si>
  <si>
    <t>004748761</t>
  </si>
  <si>
    <t>CON/ PREV MOD</t>
  </si>
  <si>
    <t>098.812.027-52</t>
  </si>
  <si>
    <t>4425564</t>
  </si>
  <si>
    <t>Angela Teixeira Lima</t>
  </si>
  <si>
    <t>002950732</t>
  </si>
  <si>
    <t>7082227</t>
  </si>
  <si>
    <t>Aporte acontecerá em breve</t>
  </si>
  <si>
    <t>Marcelo Soares</t>
  </si>
  <si>
    <t>777.902.271-49</t>
  </si>
  <si>
    <t>62 99968-1468</t>
  </si>
  <si>
    <t>marcelosoares00@hotmail.com</t>
  </si>
  <si>
    <t>Débora Macaneiro Vieira</t>
  </si>
  <si>
    <t>Marcelo Soares Ribeiro</t>
  </si>
  <si>
    <t>008083743</t>
  </si>
  <si>
    <t>Christina Vieira Araújo</t>
  </si>
  <si>
    <t>785.882.431-72</t>
  </si>
  <si>
    <t>marcelo@pindora.com.br</t>
  </si>
  <si>
    <t xml:space="preserve">2160689 </t>
  </si>
  <si>
    <t>004502767</t>
  </si>
  <si>
    <t>marcelo.faria@forgreen.com.br</t>
  </si>
  <si>
    <t>004115381</t>
  </si>
  <si>
    <t>Matheus Henrique Machado</t>
  </si>
  <si>
    <t>Marcelo Vieira da Silva</t>
  </si>
  <si>
    <t>007.179.876-55</t>
  </si>
  <si>
    <t>62 98410-9524</t>
  </si>
  <si>
    <t>marcelovieiradasilva35@gmail.com</t>
  </si>
  <si>
    <t>Daniela Khron</t>
  </si>
  <si>
    <t>Marcia Baeta Leal dos Santos</t>
  </si>
  <si>
    <t>004854514</t>
  </si>
  <si>
    <t>366.763.491-91</t>
  </si>
  <si>
    <t xml:space="preserve">Bianca Faria e Rocha </t>
  </si>
  <si>
    <t>Márcia Lucia Coutinho Borges</t>
  </si>
  <si>
    <t>004547722</t>
  </si>
  <si>
    <t>4465050</t>
  </si>
  <si>
    <t>440.974.681-20</t>
  </si>
  <si>
    <t>marcialcoutinho@outlook.com</t>
  </si>
  <si>
    <t>R$ 4.268.196,57</t>
  </si>
  <si>
    <t>Flordeliz Alckmin</t>
  </si>
  <si>
    <t>Marcia Pedreira Cruz</t>
  </si>
  <si>
    <t>157.035.415-49</t>
  </si>
  <si>
    <t>(71) 99964-0092</t>
  </si>
  <si>
    <t>Mpcruz10@yahoo.com.br</t>
  </si>
  <si>
    <t>004415248</t>
  </si>
  <si>
    <t>marciaregianes@gmail.com</t>
  </si>
  <si>
    <t>marcinha3001@gmail.com</t>
  </si>
  <si>
    <t>Marcia Stella</t>
  </si>
  <si>
    <t>005203796</t>
  </si>
  <si>
    <t>Gabriel Stella</t>
  </si>
  <si>
    <t>103.779.748-54</t>
  </si>
  <si>
    <t>Marcia Yumi Kobayashi</t>
  </si>
  <si>
    <t>473.756.639-04</t>
  </si>
  <si>
    <t>Marcio Alberto Petrillo</t>
  </si>
  <si>
    <t>Manter em fundo D+0 (14/01/2026)</t>
  </si>
  <si>
    <t>327.242.501-25</t>
  </si>
  <si>
    <t>61 99955-1847</t>
  </si>
  <si>
    <t>malber.petrillo@hotmail.com</t>
  </si>
  <si>
    <t>Marcio Caetano Vaz</t>
  </si>
  <si>
    <t>395.059.791-34</t>
  </si>
  <si>
    <t>mcaetanovaz@gmail.com</t>
  </si>
  <si>
    <t>Marcio Genovesi Marques</t>
  </si>
  <si>
    <t>80K D+0 (15/04/2025)</t>
  </si>
  <si>
    <t>Alteração de carteira finalizada (08/12/2025)</t>
  </si>
  <si>
    <t>041.009.689-06</t>
  </si>
  <si>
    <t>marciogenovesimarques@gmail.com</t>
  </si>
  <si>
    <t>Márcio Muniz de Farias</t>
  </si>
  <si>
    <t>024965899</t>
  </si>
  <si>
    <t>Varlon Bersan</t>
  </si>
  <si>
    <t>170.460.923-20</t>
  </si>
  <si>
    <t>61 99957-7009</t>
  </si>
  <si>
    <t>yaeko@unb.br</t>
  </si>
  <si>
    <t xml:space="preserve">Marco Antonio de Faria Cunha  </t>
  </si>
  <si>
    <t>004240292</t>
  </si>
  <si>
    <t>Alteração de carteira finalizada (26/02/2024)</t>
  </si>
  <si>
    <t>004435987</t>
  </si>
  <si>
    <t>marcofbraga@gmail.com</t>
  </si>
  <si>
    <t>004436055</t>
  </si>
  <si>
    <t>maguerreiro@procomeso.com.br</t>
  </si>
  <si>
    <t>005374916</t>
  </si>
  <si>
    <t>marcoaurelio@rederatinho.com</t>
  </si>
  <si>
    <t>Marco Aurelio Vargas Danemberg e/ou Clara Regina Maciel Danemberg</t>
  </si>
  <si>
    <t>Marcos Serra</t>
  </si>
  <si>
    <t>189.407.654-00</t>
  </si>
  <si>
    <t>m.aurelio1959@gmail.com</t>
  </si>
  <si>
    <t>004254210</t>
  </si>
  <si>
    <t>Alteração de carteira finalizada (01/03/2024)/ STVM Interna de saída para a conta 005161568</t>
  </si>
  <si>
    <t>005161568</t>
  </si>
  <si>
    <t>STVM Interna de entrada da conta 004254210</t>
  </si>
  <si>
    <t>Marcos Barroso Martins e/ou Ana Carolina Peixoto de Castro Martins</t>
  </si>
  <si>
    <t>020500765</t>
  </si>
  <si>
    <t>605.645.631-53</t>
  </si>
  <si>
    <t>(61) 99262-7216</t>
  </si>
  <si>
    <t>marcosa4@gmail.com</t>
  </si>
  <si>
    <t>Marcos Jose Correa Camargo</t>
  </si>
  <si>
    <t>588.881.956-53</t>
  </si>
  <si>
    <t>(31) 98608-8449</t>
  </si>
  <si>
    <t>CORREA_CORREA09@HOTMAIL.COM</t>
  </si>
  <si>
    <t>Marcos Silva Rosa</t>
  </si>
  <si>
    <t>04//05/2026</t>
  </si>
  <si>
    <t>003.424.237-62</t>
  </si>
  <si>
    <t>62 98300-4446</t>
  </si>
  <si>
    <t>msrosa2001@yahoo.com.br</t>
  </si>
  <si>
    <t>Marcondes Jose Da Motta Junior</t>
  </si>
  <si>
    <t>004853111</t>
  </si>
  <si>
    <t>467.246.801-15</t>
  </si>
  <si>
    <t>elinemotta@yahoo.com</t>
  </si>
  <si>
    <t>004752519</t>
  </si>
  <si>
    <t>marcus.liogi@gmail.com</t>
  </si>
  <si>
    <t>000834301</t>
  </si>
  <si>
    <t>Marcus Vinicius Barreto de Macedo</t>
  </si>
  <si>
    <t>50K D+0 (07/11/2024)</t>
  </si>
  <si>
    <t>Alteração de carteira finalizada (04/11/2025)</t>
  </si>
  <si>
    <t>046.389.255-02</t>
  </si>
  <si>
    <t>marcusvbm21@hotmail.com</t>
  </si>
  <si>
    <t>Marcus Vinicius de Lucena Heusi</t>
  </si>
  <si>
    <t>004575621</t>
  </si>
  <si>
    <t>Cliente solicitou troca de assessoria (30/07/2024)</t>
  </si>
  <si>
    <t>255.178.131-00</t>
  </si>
  <si>
    <t>Marcus Vinicius de Lucena Heusi e/ou Adele Rossi Heusi</t>
  </si>
  <si>
    <t>005289808</t>
  </si>
  <si>
    <t>Marcus Vinícius Paolucci</t>
  </si>
  <si>
    <t>005622794</t>
  </si>
  <si>
    <t>370.484.811-53</t>
  </si>
  <si>
    <t>Margareth De Freitas Oliveira</t>
  </si>
  <si>
    <t>002738211</t>
  </si>
  <si>
    <t>088.437.698-20</t>
  </si>
  <si>
    <t>Maria Abadia Pereira Ramos</t>
  </si>
  <si>
    <t>005697554</t>
  </si>
  <si>
    <t>João Gabriel Miziara</t>
  </si>
  <si>
    <t>288.865.696-53</t>
  </si>
  <si>
    <t>mabadia.ramos@gmail.com</t>
  </si>
  <si>
    <t>Maria Alice Bulgarelli</t>
  </si>
  <si>
    <t>004811224</t>
  </si>
  <si>
    <t>082.785.408-02</t>
  </si>
  <si>
    <t>Maria Analia Jose Pereira</t>
  </si>
  <si>
    <t>041.943.571-91</t>
  </si>
  <si>
    <t>renataargentabueno@gmail.com</t>
  </si>
  <si>
    <t>004807944</t>
  </si>
  <si>
    <t xml:space="preserve">Possui duas contas, breve de aportar recursos nesta </t>
  </si>
  <si>
    <t>Maria Angela de Souza Simões</t>
  </si>
  <si>
    <t>LCI ou LCA, vai ter um aporte de 15k até 31/07/2026, excluir Obs após a aplicação. (27/07/2026).</t>
  </si>
  <si>
    <t>068.069.388-25</t>
  </si>
  <si>
    <t>14 99116-6652</t>
  </si>
  <si>
    <t>mariasimoes@tjsp.jus.br</t>
  </si>
  <si>
    <t>Maria Aparecida Barros de Aguiar</t>
  </si>
  <si>
    <t>168.531.991-20</t>
  </si>
  <si>
    <t>aguiarmaria11@gmail.com</t>
  </si>
  <si>
    <t>Maria Aparecida de Oliveira Freire</t>
  </si>
  <si>
    <t>402.258.281-20</t>
  </si>
  <si>
    <t>62 98460-6900</t>
  </si>
  <si>
    <t>mcidafreire@gmail.com</t>
  </si>
  <si>
    <t>Maria Bernardete Pereira de Almeida</t>
  </si>
  <si>
    <t>185.097.971-53</t>
  </si>
  <si>
    <t>61 99987-6915</t>
  </si>
  <si>
    <t>bernadete.almeida@conab.gov.br</t>
  </si>
  <si>
    <t>Maria Carmelita dos Santos</t>
  </si>
  <si>
    <t>001090818</t>
  </si>
  <si>
    <t>350.037.667-34</t>
  </si>
  <si>
    <t xml:space="preserve">Carteira Conservadora 80/20 - PL acima de R$ 2.000.000,00, de forma que se o cliente resgatar a taxa retorne automático para 1,2%a.a., sem necessidade de novo contrato.
</t>
  </si>
  <si>
    <t>172.974.519-90</t>
  </si>
  <si>
    <t>mari.gras@hotmail.com</t>
  </si>
  <si>
    <t>Manter a alocação da carteira Cripto/ Manter os investimentos dos ativos: HASH11 ; BITH11 ; QDFL11. (13/05/2024)</t>
  </si>
  <si>
    <t>Maria De Fátima Melo Batista</t>
  </si>
  <si>
    <t>029.596.312-34</t>
  </si>
  <si>
    <t>61 98575-9350</t>
  </si>
  <si>
    <t>fafameloba@yahoo.com.br</t>
  </si>
  <si>
    <t>Maria do Carmo Neves Bittencourt de Sa</t>
  </si>
  <si>
    <t>516.455.301-59</t>
  </si>
  <si>
    <t>claudiamnbsa@hotmail.com</t>
  </si>
  <si>
    <t>Maria do Carmo Pedrosa</t>
  </si>
  <si>
    <t>021819032</t>
  </si>
  <si>
    <t>931.919.956-68</t>
  </si>
  <si>
    <t>62 99101-2013</t>
  </si>
  <si>
    <t>mcarmo.enf@gmail.com</t>
  </si>
  <si>
    <t>Maria Fernanda Vieira Silva</t>
  </si>
  <si>
    <t>040.835.701-05</t>
  </si>
  <si>
    <t>mfernanda464@gmail.com</t>
  </si>
  <si>
    <t>Maria Goretti Borges Alencar</t>
  </si>
  <si>
    <t>004893523</t>
  </si>
  <si>
    <t>042.034.531-00</t>
  </si>
  <si>
    <t>goretti@contel.com.br</t>
  </si>
  <si>
    <t>004541022</t>
  </si>
  <si>
    <t>m.inesbalan@gmail.com</t>
  </si>
  <si>
    <t>Maria Isabel Silva Bedeschi</t>
  </si>
  <si>
    <t>658.287.986-34</t>
  </si>
  <si>
    <t>belbed2013@hotmail.com</t>
  </si>
  <si>
    <t>Maria Lourdes do Nascimento</t>
  </si>
  <si>
    <t>004972070</t>
  </si>
  <si>
    <t>348.240.901-30</t>
  </si>
  <si>
    <t>eliandersonfleury@gmail.com</t>
  </si>
  <si>
    <t>Maria Lucia Jaime</t>
  </si>
  <si>
    <t>mluciaj1947@gmail.com</t>
  </si>
  <si>
    <t>Maria Luisa Garcia</t>
  </si>
  <si>
    <t>004870019</t>
  </si>
  <si>
    <t>743.786.866-00</t>
  </si>
  <si>
    <t xml:space="preserve">Maria Olivia Bethonico Correa  </t>
  </si>
  <si>
    <t>004214604</t>
  </si>
  <si>
    <t>bethonicomaria@outlook.com</t>
  </si>
  <si>
    <t>004212581</t>
  </si>
  <si>
    <t>Vencimentos D+0 (22/01/2026)</t>
  </si>
  <si>
    <t>PL acima de R$ 2.000.000,00, de forma que se o cliente resgatar a taxa retorne automático para 1,2%a.a., sem necessidade de novo contrato. STVM interna finalizada (05/06/2024)</t>
  </si>
  <si>
    <t>rmariasocorro53@gmail.com</t>
  </si>
  <si>
    <t>100% Cripto (24/02/2026).</t>
  </si>
  <si>
    <t>Maria Vanderli Pinho De Aguiar Silva</t>
  </si>
  <si>
    <t>008457882</t>
  </si>
  <si>
    <t>536.671.313-72</t>
  </si>
  <si>
    <t>vanderlipinho@gmail.com</t>
  </si>
  <si>
    <t>004242237</t>
  </si>
  <si>
    <t>Mariana de Oliveira Lobo</t>
  </si>
  <si>
    <t>004855596</t>
  </si>
  <si>
    <t>024.627.761-09</t>
  </si>
  <si>
    <t>Mariana Galles Cunha Gaio</t>
  </si>
  <si>
    <t>005000460</t>
  </si>
  <si>
    <t>Todo o recurso D+0 + Tranferir o valor de R$ 37.200 para a conta , 005046919 conforme liquidez e oportunidades. 16/06/2025</t>
  </si>
  <si>
    <t>033.108.779-06</t>
  </si>
  <si>
    <t>marigalles@gmail.com</t>
  </si>
  <si>
    <t>Mariana Guimaraes De Battista</t>
  </si>
  <si>
    <t>325.146.108-77</t>
  </si>
  <si>
    <t>(11) 97333-3235</t>
  </si>
  <si>
    <t>MGBAPTISTA@GMAIL.COM</t>
  </si>
  <si>
    <t>Mariana Guimaraes De Battista e/ou Fabio Megid Pinto</t>
  </si>
  <si>
    <t>Só CDB e LCI. (30/03/2026)</t>
  </si>
  <si>
    <t>Mariana Motta Ribeiro e/ou Rhuan Thalles Garcia Ribeiro</t>
  </si>
  <si>
    <t>005313072</t>
  </si>
  <si>
    <t>026.958.911-21</t>
  </si>
  <si>
    <t>marianamottaribeiro@gmail.com</t>
  </si>
  <si>
    <t>Mariane Cristina Ricci Tavares Petrillo</t>
  </si>
  <si>
    <t>008202845</t>
  </si>
  <si>
    <t>725.223.801-68</t>
  </si>
  <si>
    <t>61 98197-7722</t>
  </si>
  <si>
    <t>marycristhina2006@gmail.com</t>
  </si>
  <si>
    <t>Marilia Gabriela Abreu de Siqueira</t>
  </si>
  <si>
    <t>016.053.741-05</t>
  </si>
  <si>
    <t>Marilia Gervasio Da Costa Ferreira</t>
  </si>
  <si>
    <t>004979322</t>
  </si>
  <si>
    <t>033.348.251-40</t>
  </si>
  <si>
    <t xml:space="preserve">Marilia Moreira Guimaraes   </t>
  </si>
  <si>
    <t>004371913</t>
  </si>
  <si>
    <t>Marina Gabriela Gonçalves Bitencourt</t>
  </si>
  <si>
    <t>011.103.381-03</t>
  </si>
  <si>
    <t>marina@cifarma.com.br</t>
  </si>
  <si>
    <t>003249855</t>
  </si>
  <si>
    <t>Marina Gazeta Sales</t>
  </si>
  <si>
    <t>008070544</t>
  </si>
  <si>
    <t>100.474.691-10</t>
  </si>
  <si>
    <t>Marina Zanchet Martelli</t>
  </si>
  <si>
    <t>004405702</t>
  </si>
  <si>
    <t>004.888.681-57</t>
  </si>
  <si>
    <t>marinazmartelli@hotmail.com</t>
  </si>
  <si>
    <t>Mario Capp Filho e/ou Silvia Regina Andrade Capp</t>
  </si>
  <si>
    <t>004431591</t>
  </si>
  <si>
    <t>STVM de saída para XP finalizada (11/01/2024)</t>
  </si>
  <si>
    <t>mcappfilho@gmail.com</t>
  </si>
  <si>
    <t>004428935</t>
  </si>
  <si>
    <t>Mario Roberto de Paula Leite Sampaio</t>
  </si>
  <si>
    <t>004643746</t>
  </si>
  <si>
    <t>MOD/ PREV MOD/ COADM</t>
  </si>
  <si>
    <t>Cliente solicitou troca de assessortia (16/07/2024)</t>
  </si>
  <si>
    <t>022.382.418-68</t>
  </si>
  <si>
    <t>Maristela Nunes Pinheiro</t>
  </si>
  <si>
    <t>031049018</t>
  </si>
  <si>
    <t>301.133.771-34</t>
  </si>
  <si>
    <t>62 99973-1020</t>
  </si>
  <si>
    <t>maristelapinheiro19@outlook.com</t>
  </si>
  <si>
    <t>Marli Lopes</t>
  </si>
  <si>
    <t>Moises Neto</t>
  </si>
  <si>
    <t>726.845.187-34</t>
  </si>
  <si>
    <t>27 99989-9138</t>
  </si>
  <si>
    <t>dramarlilopes@dramarlilopes.com.br</t>
  </si>
  <si>
    <t>Marlos Augusto Bitencourt Costa</t>
  </si>
  <si>
    <t>890.070.501-68</t>
  </si>
  <si>
    <t>62 98214-6644</t>
  </si>
  <si>
    <t>marlosabc@gmail.com</t>
  </si>
  <si>
    <t xml:space="preserve">Mateus Argolo Lopes Camargo	</t>
  </si>
  <si>
    <t>004395599</t>
  </si>
  <si>
    <t>004451652</t>
  </si>
  <si>
    <t>Matheo Faleiro Aiza</t>
  </si>
  <si>
    <t>Retornou para a base sob um novo B2B</t>
  </si>
  <si>
    <t>079.017.521-57</t>
  </si>
  <si>
    <t xml:space="preserve"> 41 79 122 66 00</t>
  </si>
  <si>
    <t>tatyanafaleiro@gmail.com</t>
  </si>
  <si>
    <t>SUIÇA</t>
  </si>
  <si>
    <t>Matheus Alexandre Jacob Moreira</t>
  </si>
  <si>
    <t>024866212</t>
  </si>
  <si>
    <t>100% D+0 (04/05/2026).</t>
  </si>
  <si>
    <t>010.347.881-75</t>
  </si>
  <si>
    <t>matheusajm@outlook.com</t>
  </si>
  <si>
    <t>Matheus Cury Sahao e/ou Paula Camilla Ulinski Sahao</t>
  </si>
  <si>
    <t>056.978.589-81</t>
  </si>
  <si>
    <t>matheus@sahaosabiao.com.br</t>
  </si>
  <si>
    <t>Matheus Dias Barros</t>
  </si>
  <si>
    <t>Alocar somente em D+0 (04/05/2026)</t>
  </si>
  <si>
    <t>757.910.131-91</t>
  </si>
  <si>
    <t>62 98330-6866</t>
  </si>
  <si>
    <t>matheus-db@hotmail.com</t>
  </si>
  <si>
    <t>428.348.858-50</t>
  </si>
  <si>
    <t>Matheus Henrique Machado e/ou Claudia Emilia Delgado</t>
  </si>
  <si>
    <t>004255049</t>
  </si>
  <si>
    <t>Matheus Mendes Vasconcelos Pacheco</t>
  </si>
  <si>
    <t>019338458</t>
  </si>
  <si>
    <t>036.666.711-44</t>
  </si>
  <si>
    <t>61 99955-4981</t>
  </si>
  <si>
    <t>matheuspacheco.producao@gmail.com</t>
  </si>
  <si>
    <t>Matheus Pinheiro De Abreu Falcao</t>
  </si>
  <si>
    <t>50K D+0 (17/06/2024)</t>
  </si>
  <si>
    <t>025.021.281-10</t>
  </si>
  <si>
    <t>matheuspafalcao@hotmail.com</t>
  </si>
  <si>
    <t>Matheus Pinheiro De Abreu Falcao e/ou Beatriz Moreira Caetano Vaz</t>
  </si>
  <si>
    <t>Mauricio Corso Dagnese</t>
  </si>
  <si>
    <t>008525980</t>
  </si>
  <si>
    <t>Carteira Monitoramento Especial para Fundos (SPMG FII criado pelo cliente) (17/03/2025)</t>
  </si>
  <si>
    <t>012.385.540-32</t>
  </si>
  <si>
    <t>mauricio@dagnese.com.br</t>
  </si>
  <si>
    <t>200K D+0 (29/04/2025)</t>
  </si>
  <si>
    <t>100% D+0 (17/03/2026).</t>
  </si>
  <si>
    <t>004472459</t>
  </si>
  <si>
    <t>financeiro@araujoagro.com.br</t>
  </si>
  <si>
    <t>Mauro Calzolari Borges</t>
  </si>
  <si>
    <t>Alteração de carteira finalizada (06/05/2025)</t>
  </si>
  <si>
    <t>027.798.311-89</t>
  </si>
  <si>
    <t>mcalzolariborges@gmail.com</t>
  </si>
  <si>
    <t>Mauro Sergio De Araujo</t>
  </si>
  <si>
    <t>878.336.119-72</t>
  </si>
  <si>
    <t>43 99957-1103</t>
  </si>
  <si>
    <t>melymcaps@gmail.com</t>
  </si>
  <si>
    <t>Mayara De França Vilela</t>
  </si>
  <si>
    <t>082.096.546-40</t>
  </si>
  <si>
    <t>mayarafv.nr@hotmail.com</t>
  </si>
  <si>
    <t>Melissa Faleiro Aiza</t>
  </si>
  <si>
    <t>090.052.951-20</t>
  </si>
  <si>
    <t>Melissa Georgina Alcantara Correira</t>
  </si>
  <si>
    <t>024.002.851-10</t>
  </si>
  <si>
    <t>melissacorreira2016@gmail.com</t>
  </si>
  <si>
    <t>Merg Sociedade Individual de Advocacia</t>
  </si>
  <si>
    <t>004214592</t>
  </si>
  <si>
    <t>roliveira.oab@gmail.com</t>
  </si>
  <si>
    <t>004334062</t>
  </si>
  <si>
    <t>008432558</t>
  </si>
  <si>
    <t>rodrigo.merg@gmail.com</t>
  </si>
  <si>
    <t>Michele de Oliveira Sanchez</t>
  </si>
  <si>
    <t>55K D+0 (14/08/2024)</t>
  </si>
  <si>
    <t>024.370.201-95</t>
  </si>
  <si>
    <t>arqurb.misanchez@gmail.com</t>
  </si>
  <si>
    <t>Mila Martins Noleto Xavier Bertolino</t>
  </si>
  <si>
    <t>108.166.571-81</t>
  </si>
  <si>
    <t>gustavonbertolino@gmail.com</t>
  </si>
  <si>
    <t>Minéia Vieira Parreira</t>
  </si>
  <si>
    <t>004355790</t>
  </si>
  <si>
    <t>Ministerio Family Church</t>
  </si>
  <si>
    <t>008041244</t>
  </si>
  <si>
    <t>41.196.062/0001-06</t>
  </si>
  <si>
    <t>macvida@gmail.com</t>
  </si>
  <si>
    <t>Mirella Braga Park</t>
  </si>
  <si>
    <t>Antonio Volpato</t>
  </si>
  <si>
    <t>370.124.638-64</t>
  </si>
  <si>
    <t>mirellapark@hotmail.com</t>
  </si>
  <si>
    <t>Moacir Vieira dos Santos</t>
  </si>
  <si>
    <t>resgate de 800k em 02/2027 (03/08/2026)</t>
  </si>
  <si>
    <t>027.099.779-23</t>
  </si>
  <si>
    <t>moacir.vieira@grupovalue.com.br</t>
  </si>
  <si>
    <t>Moacyr Maciel De Brito Junior</t>
  </si>
  <si>
    <t>200K D+0 (02/02/2026)</t>
  </si>
  <si>
    <t>164.452.928-95</t>
  </si>
  <si>
    <t>43 99654-2317</t>
  </si>
  <si>
    <t>britaomaquinista@gmail.com</t>
  </si>
  <si>
    <t>Modular Construtora &amp; Arquitetura LTDA</t>
  </si>
  <si>
    <t>008054713</t>
  </si>
  <si>
    <t>37.893.579/0001-79</t>
  </si>
  <si>
    <t>tatianamfon@gmail.com</t>
  </si>
  <si>
    <t>Monica de Oliveira</t>
  </si>
  <si>
    <t>842.138.331-00</t>
  </si>
  <si>
    <t>monirenan@yahoo.com.br</t>
  </si>
  <si>
    <t>agoraela@yahoo.com.br</t>
  </si>
  <si>
    <t>600K D+0 (20/05/2026)</t>
  </si>
  <si>
    <t>MRPaiva Patrimonial Ltda</t>
  </si>
  <si>
    <t>12.358.381/0001-64</t>
  </si>
  <si>
    <t>85 99696-6039</t>
  </si>
  <si>
    <t>josiascb@hotmail.com</t>
  </si>
  <si>
    <t>MSD Construtora e Incorporadora Eirelli</t>
  </si>
  <si>
    <t>004526450</t>
  </si>
  <si>
    <t xml:space="preserve">Murylo Biegher Oliveira Barbosa	</t>
  </si>
  <si>
    <t>004397124</t>
  </si>
  <si>
    <t>020.523.631-65</t>
  </si>
  <si>
    <t>murylo.mih@gmail.com</t>
  </si>
  <si>
    <t>MVFC Holding LTDA</t>
  </si>
  <si>
    <t>1MM D+0 (18/08/2025)</t>
  </si>
  <si>
    <t>42.146.823/0001-70</t>
  </si>
  <si>
    <t>STVM de entrada da Guide finalizada (06/12/2023) / Alteração de carteira finalizada (22/12/2023)</t>
  </si>
  <si>
    <t>naborwagner@yahoo.com.br</t>
  </si>
  <si>
    <t>Nadia Luiza Costa Lamas</t>
  </si>
  <si>
    <t>Não reinvestir a rentabilidade, falar com o assessor (04/05/2026).</t>
  </si>
  <si>
    <t>227.220.842-87</t>
  </si>
  <si>
    <t>91 98089-8890</t>
  </si>
  <si>
    <t>gdn.nadialamas@gmail.com</t>
  </si>
  <si>
    <t>004419782</t>
  </si>
  <si>
    <t>Alteração de carteira finalizada (13/02/2025)</t>
  </si>
  <si>
    <t>nady@dequech.adv.br</t>
  </si>
  <si>
    <t>004749928</t>
  </si>
  <si>
    <t>Naiara Cunha Teixeira Bueno</t>
  </si>
  <si>
    <t>643.529.943-91</t>
  </si>
  <si>
    <t>61 99671-0013</t>
  </si>
  <si>
    <t>naiaractbueno@gmail.com</t>
  </si>
  <si>
    <t>Naiara Galvão da Silva</t>
  </si>
  <si>
    <t>005654258</t>
  </si>
  <si>
    <t xml:space="preserve">CON </t>
  </si>
  <si>
    <t>026.321.121-50</t>
  </si>
  <si>
    <t>Naiara Maria Murta Pereira e/ou Olga Maria Neves Murta</t>
  </si>
  <si>
    <t>722.870.981-00</t>
  </si>
  <si>
    <t>murta17@hotmail.com</t>
  </si>
  <si>
    <t>004448303</t>
  </si>
  <si>
    <t xml:space="preserve">Natal Ferreira das Dores	</t>
  </si>
  <si>
    <t>001759765</t>
  </si>
  <si>
    <t>natalferreira@gmail.com</t>
  </si>
  <si>
    <t>Natalia Cristina Azevedo Queiroz</t>
  </si>
  <si>
    <t>023426976</t>
  </si>
  <si>
    <t>016.798.451-95</t>
  </si>
  <si>
    <t>62 98277-7484</t>
  </si>
  <si>
    <t>nataliacristinaazevedo@hotmail.com</t>
  </si>
  <si>
    <t xml:space="preserve">Natalia de Freitas Orderdenge   </t>
  </si>
  <si>
    <t>004320840</t>
  </si>
  <si>
    <t>037.296.251-36</t>
  </si>
  <si>
    <t>nati.freitas.vet@gmail.com</t>
  </si>
  <si>
    <t>004327758</t>
  </si>
  <si>
    <t>STVM de entrada da Guide finalizada (27/12/2023) / Portabilidade de fundo a ser finalizada</t>
  </si>
  <si>
    <t>nataliafalavigna@hotmail.com</t>
  </si>
  <si>
    <t>Natalia Falavigna Silva e/ou Ana Maria Falavigna Silva</t>
  </si>
  <si>
    <t>004479450</t>
  </si>
  <si>
    <t>Natalia Granja Garcia</t>
  </si>
  <si>
    <t>024792970</t>
  </si>
  <si>
    <t>039.286.801-61</t>
  </si>
  <si>
    <t>62 99702-0370</t>
  </si>
  <si>
    <t>natyggarcia@hotmail.com</t>
  </si>
  <si>
    <t>Natalia Paes Barbosa Valadares</t>
  </si>
  <si>
    <t>50k D+0 (23/12/2025)</t>
  </si>
  <si>
    <t>002.418.991-09</t>
  </si>
  <si>
    <t>61 99284-7693</t>
  </si>
  <si>
    <t>nataliapaesbarbosa@gmail.com</t>
  </si>
  <si>
    <t>Natalia Rocha Vinhal</t>
  </si>
  <si>
    <t>005063749</t>
  </si>
  <si>
    <t>056.899.681-02</t>
  </si>
  <si>
    <t>Nathalia Menezes Fonseca</t>
  </si>
  <si>
    <t>018.764.401-20</t>
  </si>
  <si>
    <t>nmfonseca86@gmail.com</t>
  </si>
  <si>
    <t>Nayara Jéssica Silva</t>
  </si>
  <si>
    <t>005075382</t>
  </si>
  <si>
    <t>029.663.881-10</t>
  </si>
  <si>
    <t>nay.jessica@gmail.com</t>
  </si>
  <si>
    <t xml:space="preserve">Nazareth Henrique Menezes    </t>
  </si>
  <si>
    <t>004371857</t>
  </si>
  <si>
    <t>269.819.711-00</t>
  </si>
  <si>
    <t>nazarethmenezes@gmail.com</t>
  </si>
  <si>
    <t>Neila Cristina De Resende</t>
  </si>
  <si>
    <t>878.426.101-34</t>
  </si>
  <si>
    <t>neila.cary@gmail.com</t>
  </si>
  <si>
    <t>Nely de Carvalho Rocha de Barros e Azevedo</t>
  </si>
  <si>
    <t>004693631</t>
  </si>
  <si>
    <t>299.168.607-34</t>
  </si>
  <si>
    <t>Nicolas Nunes Goulart</t>
  </si>
  <si>
    <t>008705427</t>
  </si>
  <si>
    <t>125.326.961-09</t>
  </si>
  <si>
    <t>Niete Maria De Barros Paes</t>
  </si>
  <si>
    <t>50k D+0 (20/07/2026)</t>
  </si>
  <si>
    <t>474.943.441-87</t>
  </si>
  <si>
    <t>67 99976-9631</t>
  </si>
  <si>
    <t>nietepaes@hotmail.com</t>
  </si>
  <si>
    <t>STVM de entrada da Guide finalizada (19/12/2023)</t>
  </si>
  <si>
    <t>Nilson Claro da Silva eou Jussara Aparecida Tufino Silva</t>
  </si>
  <si>
    <t>Alteração de carteira finalizada (24/02/2026)</t>
  </si>
  <si>
    <t>324.143.909-72</t>
  </si>
  <si>
    <t>nylsonclaro@gmail.com</t>
  </si>
  <si>
    <t>Sem renda variável (16/05/2024)</t>
  </si>
  <si>
    <t>nrosan81@gmail.com</t>
  </si>
  <si>
    <t>Nivaldo Dias Romao</t>
  </si>
  <si>
    <t>600k D+0 (05/01/2025)</t>
  </si>
  <si>
    <t>252.330.841-04</t>
  </si>
  <si>
    <t>nivaldoromao@hotmail.com</t>
  </si>
  <si>
    <t>Noemia Maria Jacinto</t>
  </si>
  <si>
    <t>Arthur Vidal</t>
  </si>
  <si>
    <t>520.986.561-49</t>
  </si>
  <si>
    <t>61 99854-8700</t>
  </si>
  <si>
    <t>noemiamaria1970@gmail.com</t>
  </si>
  <si>
    <t>09/01/0170</t>
  </si>
  <si>
    <t>Norman Prochet Neto</t>
  </si>
  <si>
    <t>005055239</t>
  </si>
  <si>
    <t>064.897.349-23</t>
  </si>
  <si>
    <t>normanprochet@hotmail.com</t>
  </si>
  <si>
    <t>Odilon Alexandre Silveira Marques Pereira</t>
  </si>
  <si>
    <t>141.249.288-23</t>
  </si>
  <si>
    <t>odilon@odilonpereira.com.br</t>
  </si>
  <si>
    <t>Odilon Pereira Sociedade de Advogados</t>
  </si>
  <si>
    <t>30% D+0 (04/05/2026).</t>
  </si>
  <si>
    <t>15.801.466/0001-63</t>
  </si>
  <si>
    <t>43 98403-4646</t>
  </si>
  <si>
    <t>Olga Maria Neves Murta</t>
  </si>
  <si>
    <t>008004799</t>
  </si>
  <si>
    <t>179.314.441-91</t>
  </si>
  <si>
    <t>olgamurta@hotmail.com</t>
  </si>
  <si>
    <t>Olga Maria Neves Murta e/ou Naiara Maria Murta Pereira</t>
  </si>
  <si>
    <t>Vencimento enviar para conta da Naiara 023688500 (30/04/2026)</t>
  </si>
  <si>
    <t xml:space="preserve">Oliveira Administração Eireli </t>
  </si>
  <si>
    <t>004010232</t>
  </si>
  <si>
    <t>32.294.884/0001-20</t>
  </si>
  <si>
    <t>martinsoliveira@gmail.com</t>
  </si>
  <si>
    <t>OP Club LTDA</t>
  </si>
  <si>
    <t>003313722</t>
  </si>
  <si>
    <t>45.040.824/0001-23</t>
  </si>
  <si>
    <t>Orlando Lopata</t>
  </si>
  <si>
    <t>001.367.369-63</t>
  </si>
  <si>
    <t>lopata27@gmail.com</t>
  </si>
  <si>
    <t>024293540</t>
  </si>
  <si>
    <t>454.567.631.68</t>
  </si>
  <si>
    <t>Otaviano da Silva Cardoso Felicio</t>
  </si>
  <si>
    <t>004749680</t>
  </si>
  <si>
    <t>INC/ PREV CON</t>
  </si>
  <si>
    <t>273.471.578-38</t>
  </si>
  <si>
    <t>Otavio Alves Forte</t>
  </si>
  <si>
    <t>62 98412-9992</t>
  </si>
  <si>
    <t>Otávio Ribeiro Madureira</t>
  </si>
  <si>
    <t>098.272.469-17</t>
  </si>
  <si>
    <t>otavio2013madureira@gmail.com</t>
  </si>
  <si>
    <t xml:space="preserve">Pablo Vinicius Fernandes Bueno </t>
  </si>
  <si>
    <t>004451725</t>
  </si>
  <si>
    <t>719.304.341-20</t>
  </si>
  <si>
    <t>Parra Construções Ltda</t>
  </si>
  <si>
    <t>016823536</t>
  </si>
  <si>
    <t>62.440.365/0001-94</t>
  </si>
  <si>
    <t>Patricia Ferreira Wanderley de Siqueira Goulding</t>
  </si>
  <si>
    <t>patricia_fws@hotmail.com</t>
  </si>
  <si>
    <t>Patrícia Frossard Pincinato</t>
  </si>
  <si>
    <t>004989791</t>
  </si>
  <si>
    <t>706.594.861-72</t>
  </si>
  <si>
    <t>pgattilaser@gmail.com</t>
  </si>
  <si>
    <t>Alteração de carteira finalizada (02/10/2024)</t>
  </si>
  <si>
    <t>Patrícia Moreira Fernandes</t>
  </si>
  <si>
    <t>004805133</t>
  </si>
  <si>
    <t>041.803.311-01</t>
  </si>
  <si>
    <t>paty_piri@hotmail.com</t>
  </si>
  <si>
    <t>Patricia Teixeira Canabrava</t>
  </si>
  <si>
    <t>417.944.431-34</t>
  </si>
  <si>
    <t>patriciaccouto@hotmail.com</t>
  </si>
  <si>
    <t>008615899</t>
  </si>
  <si>
    <t>STVM de entrada da Guide finalizada (10/01/2024) / Alteração de carteira finalizada (20/01/2025)</t>
  </si>
  <si>
    <t>paula.falavigna10@gmail.com</t>
  </si>
  <si>
    <t>Paula Falavigna Silva e/ou Ana Maria Falavigna Silva</t>
  </si>
  <si>
    <t>004479429</t>
  </si>
  <si>
    <t>Paula Furst Arantes</t>
  </si>
  <si>
    <t>819.350.801-72</t>
  </si>
  <si>
    <t>paulafarantes@gmail.com</t>
  </si>
  <si>
    <t>Paula Renata Ruiz De Avila Miguel</t>
  </si>
  <si>
    <t>paularuizadvogada@gmail.com</t>
  </si>
  <si>
    <t>Paula Santana Lopes da Silva</t>
  </si>
  <si>
    <t>50K D+1 (19/08/2024)</t>
  </si>
  <si>
    <t>702.774.781-20</t>
  </si>
  <si>
    <t>paulasantalopes10@gmail.com</t>
  </si>
  <si>
    <t>Paulina Leonardo</t>
  </si>
  <si>
    <t>004500057</t>
  </si>
  <si>
    <t>Cliente faleceu</t>
  </si>
  <si>
    <t>558.101.289-04</t>
  </si>
  <si>
    <t>004572740</t>
  </si>
  <si>
    <t>Paulo Eduardo de Carvalho Galvão</t>
  </si>
  <si>
    <t>008399815</t>
  </si>
  <si>
    <t>058.884.738-04</t>
  </si>
  <si>
    <t>p-galvao@uol.com.br</t>
  </si>
  <si>
    <t>004419141</t>
  </si>
  <si>
    <t>paulo@gap.edu.br</t>
  </si>
  <si>
    <t>005554830</t>
  </si>
  <si>
    <t>Paulo Henrique Dias Mattos e/ou Daniela Campos Muniz Mattos</t>
  </si>
  <si>
    <t>389.730.571-20</t>
  </si>
  <si>
    <t>62 98216-3100</t>
  </si>
  <si>
    <t>ph@hcparticipacoes.com.br</t>
  </si>
  <si>
    <t>Paulo Mauricio Santos Prata</t>
  </si>
  <si>
    <t>005684392</t>
  </si>
  <si>
    <t>057.837.457-90</t>
  </si>
  <si>
    <t>Paulo Roberto de Souza Moutinho</t>
  </si>
  <si>
    <t>004644524</t>
  </si>
  <si>
    <t>820.220.627-87</t>
  </si>
  <si>
    <t xml:space="preserve">Paulo Roberto Malmonge e/ou Iná Malmonge  </t>
  </si>
  <si>
    <t xml:space="preserve">850.869.758-91 </t>
  </si>
  <si>
    <t>prmalmonge@gmail.com</t>
  </si>
  <si>
    <t>Paulo Roberto Rojas Scaldelai</t>
  </si>
  <si>
    <t>197.861.778-00</t>
  </si>
  <si>
    <t>62 98253-6700</t>
  </si>
  <si>
    <t>pauloscaldelai@gmail.com</t>
  </si>
  <si>
    <t>Paulo Rogério da Silva</t>
  </si>
  <si>
    <t>Vencimentos em D+0 (20/10/2025)</t>
  </si>
  <si>
    <t>profoxpaulo@gmail.com</t>
  </si>
  <si>
    <t>Paulo Sampaio Rodrigues</t>
  </si>
  <si>
    <t>241.169.717-15</t>
  </si>
  <si>
    <t>21 99742-1333</t>
  </si>
  <si>
    <t>paulosampaio249@gmail.com</t>
  </si>
  <si>
    <t>Paulo Sergio Borges</t>
  </si>
  <si>
    <t>Sem CrPr e sem RF Ativo (06/02/2026).</t>
  </si>
  <si>
    <t>443.601.181-04</t>
  </si>
  <si>
    <t>sergiopc501514@gmail.com</t>
  </si>
  <si>
    <t>Paulo Victor Mariano de Faria</t>
  </si>
  <si>
    <t>081.804.969-37</t>
  </si>
  <si>
    <t>43 99914-6965</t>
  </si>
  <si>
    <t>pvmf29@outlook.com</t>
  </si>
  <si>
    <t>004482439</t>
  </si>
  <si>
    <t>004480336</t>
  </si>
  <si>
    <t>Pedro Alencar Carvana de Hollanda</t>
  </si>
  <si>
    <t>005880628</t>
  </si>
  <si>
    <t>80K D+0 (08/08/2024)</t>
  </si>
  <si>
    <t>008.414.877-23</t>
  </si>
  <si>
    <t>pedrocarvana@mac.com</t>
  </si>
  <si>
    <t>Pedro Augusto Prado Miranda</t>
  </si>
  <si>
    <t>004809902</t>
  </si>
  <si>
    <t>101.248.845-47</t>
  </si>
  <si>
    <t>augustpedro03@gmail.com</t>
  </si>
  <si>
    <t>Pedro Cerqueira Forte</t>
  </si>
  <si>
    <t>097.783.841-26</t>
  </si>
  <si>
    <t>Pedro Ernesto Gonçalves Pessoa</t>
  </si>
  <si>
    <t>005081833</t>
  </si>
  <si>
    <t xml:space="preserve">Vencimentos D+0 (08/08/2024)
</t>
  </si>
  <si>
    <t>Alteração de carteira finalizada (05/02/2024)</t>
  </si>
  <si>
    <t>168.196.911-49</t>
  </si>
  <si>
    <t>exapedro@gmail.com</t>
  </si>
  <si>
    <t>Pedro Goya Neto e/ou Renata Castro Oliveira de Sousa Goya</t>
  </si>
  <si>
    <t>008177213</t>
  </si>
  <si>
    <t>031.883.756-03</t>
  </si>
  <si>
    <t>pedro.goya@gmail.com</t>
  </si>
  <si>
    <t>Conta da filha do cliente Pedro Guilherme Ramos Goya</t>
  </si>
  <si>
    <t>pggoya@gmail.com</t>
  </si>
  <si>
    <t>004460491</t>
  </si>
  <si>
    <t>Pedro Henrique Silva Pimenta</t>
  </si>
  <si>
    <t>330.339.618-35</t>
  </si>
  <si>
    <t>(13) 99721-7117</t>
  </si>
  <si>
    <t>phsppimenta@hotmail.com</t>
  </si>
  <si>
    <t>Pedro Henrique Sousa Leite</t>
  </si>
  <si>
    <t>008353082</t>
  </si>
  <si>
    <t>230.097.598-00</t>
  </si>
  <si>
    <t>pedrohslnobel@gmail.com</t>
  </si>
  <si>
    <t>Paulo Marcos Cascelli De Azevedo</t>
  </si>
  <si>
    <t>20% D+0, 30% D+30 e 50% até dois anos; Não movimentar, esperar o assessor (10/04/2026).</t>
  </si>
  <si>
    <t>238.919.981-04</t>
  </si>
  <si>
    <t>61 98221-8889</t>
  </si>
  <si>
    <t>pcascelli@gmail.com</t>
  </si>
  <si>
    <t xml:space="preserve">Pedro Rocha Júnior	</t>
  </si>
  <si>
    <t>STVM de entrada da Guide finalizada (03/09/2023)</t>
  </si>
  <si>
    <t>Pedro Sergio Vieira da Silva</t>
  </si>
  <si>
    <t>Sem renda variável (07/01/2025)</t>
  </si>
  <si>
    <t>040.837.901-48</t>
  </si>
  <si>
    <t>pedro97sergio@gmail.com</t>
  </si>
  <si>
    <t>Pedro Vinicius Pereira de Andrade</t>
  </si>
  <si>
    <t>004561369</t>
  </si>
  <si>
    <t>067.407.645-14</t>
  </si>
  <si>
    <t>Percio Batista Arraes</t>
  </si>
  <si>
    <t>015127210</t>
  </si>
  <si>
    <t>723.563.081-72</t>
  </si>
  <si>
    <t>61 98161-3068</t>
  </si>
  <si>
    <t>percio_arraes@hotmail.com</t>
  </si>
  <si>
    <t>Phylia Servicos Administrativos LTDA</t>
  </si>
  <si>
    <t>004690692</t>
  </si>
  <si>
    <t>27.416.285/0001-00</t>
  </si>
  <si>
    <t>Pimentel Industria e Comercio LTDA</t>
  </si>
  <si>
    <t>031821218</t>
  </si>
  <si>
    <t>66.727.299/0001-99</t>
  </si>
  <si>
    <t>ferfitfitness@gmail.com</t>
  </si>
  <si>
    <t>POLO IMÓVEIS ADMINISTRADORA DE ALUGUEIS LTDA</t>
  </si>
  <si>
    <t>04.623.074/0001-35</t>
  </si>
  <si>
    <t>Polyanna Rezende Milhomem Marinho</t>
  </si>
  <si>
    <t>004389994</t>
  </si>
  <si>
    <t>polyanna@gap.edu.br</t>
  </si>
  <si>
    <t>Priscilla Diniz Correa</t>
  </si>
  <si>
    <t>021.680.741-78</t>
  </si>
  <si>
    <t>(11) 97347-7000</t>
  </si>
  <si>
    <t>viniciusquintas@hotmail.com</t>
  </si>
  <si>
    <t>Priscilla Fernandes Chaves Pereira</t>
  </si>
  <si>
    <t>004224771</t>
  </si>
  <si>
    <t>Neyla Mara De Sousa Abrantes Pereira</t>
  </si>
  <si>
    <t>185.044.738-13</t>
  </si>
  <si>
    <t>prissymenezes144@gmail.com</t>
  </si>
  <si>
    <t xml:space="preserve">Priscilla Henrique Menezes </t>
  </si>
  <si>
    <t>25K D+0 (16/05/2024)</t>
  </si>
  <si>
    <t>Priscilla Silva da Costa</t>
  </si>
  <si>
    <t>023.937.461-45</t>
  </si>
  <si>
    <t>priscosta@yahoo.com.br</t>
  </si>
  <si>
    <t>Rachel Araujo Campos Ramos</t>
  </si>
  <si>
    <t>ramos@wineeventos.com.br</t>
  </si>
  <si>
    <t>Rachel Freire Gameiro Horst e/ou Albert Frederico de Menezes IL Pak</t>
  </si>
  <si>
    <t>002.363.601-75</t>
  </si>
  <si>
    <t>rachelhorst@gmail.com</t>
  </si>
  <si>
    <t>Rafael Castro De Faria Ziller</t>
  </si>
  <si>
    <t>039.230.939-42</t>
  </si>
  <si>
    <t>43 99920-1464</t>
  </si>
  <si>
    <t>rafaziller@gmail.com</t>
  </si>
  <si>
    <t>Rafael Corso Dagnese</t>
  </si>
  <si>
    <t>008521126</t>
  </si>
  <si>
    <t>Carteira Monitoramento Especial para Fundos (SPMG FII criado pelo cliente) (14/03/2025)</t>
  </si>
  <si>
    <t>022.414.020-52</t>
  </si>
  <si>
    <t>rafael@dagnese.com.br</t>
  </si>
  <si>
    <t>Rafael Crispim Gonçalves</t>
  </si>
  <si>
    <t>rafaelcrispimbsb@gmail.com</t>
  </si>
  <si>
    <t>Rafael de Meiroz Dias</t>
  </si>
  <si>
    <t>005994261</t>
  </si>
  <si>
    <t>874.794.191-04</t>
  </si>
  <si>
    <t>rafaelmeiroz@gmail.com</t>
  </si>
  <si>
    <t>Rafael Faleiro Guerra Pinto Coelho</t>
  </si>
  <si>
    <t>107.407.066-67</t>
  </si>
  <si>
    <t>rafaelfguerra@icloud.com</t>
  </si>
  <si>
    <t>rafael@grupoprolar.com.br</t>
  </si>
  <si>
    <t>004500804</t>
  </si>
  <si>
    <t>Alteração de carteira finalizada (24/07/2023)</t>
  </si>
  <si>
    <t>Rafael Leal Cavalcante</t>
  </si>
  <si>
    <t>002.031.841-30</t>
  </si>
  <si>
    <t>61 98583-0584</t>
  </si>
  <si>
    <t>rafalc83@gmail.com</t>
  </si>
  <si>
    <t xml:space="preserve">Rafael Lopes Gonçalves     </t>
  </si>
  <si>
    <t>004212409</t>
  </si>
  <si>
    <t>rafael.lg@hotmail.com</t>
  </si>
  <si>
    <t xml:space="preserve">Rafael Osvaldo de Carvalho Arantes </t>
  </si>
  <si>
    <t>004457389</t>
  </si>
  <si>
    <t>Troca de Assessoria de Thiago Canbrava para Guilherme dos Santos / Resgate total da carteira (04/04/2024)</t>
  </si>
  <si>
    <t>rarantes87@gmail.com</t>
  </si>
  <si>
    <t>Rafael Pinto Ferreira</t>
  </si>
  <si>
    <t>004454365</t>
  </si>
  <si>
    <t>Jessica Mariane Cunha Ribeiro</t>
  </si>
  <si>
    <t>833.941.331-72</t>
  </si>
  <si>
    <t>rpf2008@gmail.com</t>
  </si>
  <si>
    <t>Rafael Schaefer Comparin</t>
  </si>
  <si>
    <t>004323271</t>
  </si>
  <si>
    <t>Felipe Miranda</t>
  </si>
  <si>
    <t>011.644.521-18</t>
  </si>
  <si>
    <t>Rafael Soares Sousa</t>
  </si>
  <si>
    <t>250k D+0 e sem RF Ativo (06/02/2026).</t>
  </si>
  <si>
    <t>030.501.101-47</t>
  </si>
  <si>
    <t>rafael.drogamed@hotmail.com</t>
  </si>
  <si>
    <t>Rafael Souza Caldas</t>
  </si>
  <si>
    <t>004801481</t>
  </si>
  <si>
    <t>20k D+0 (18/12/2025)</t>
  </si>
  <si>
    <t>870.473.223-53</t>
  </si>
  <si>
    <t>rafaelscaldas@yahoo.com.br</t>
  </si>
  <si>
    <t>Rafael Vilela Campos</t>
  </si>
  <si>
    <t>008028807</t>
  </si>
  <si>
    <t>Vencimentos em D+0 (23/07/2025)</t>
  </si>
  <si>
    <t>009.263.011-10</t>
  </si>
  <si>
    <t>vilelacampos@gmail.com</t>
  </si>
  <si>
    <t>Rafaela Bayardino Machado Cantuaria</t>
  </si>
  <si>
    <t>rbayamac@gmail.com</t>
  </si>
  <si>
    <t>Rafaela dos Passos Miranda Damasceno</t>
  </si>
  <si>
    <t>883.737.031-87</t>
  </si>
  <si>
    <t>013960059</t>
  </si>
  <si>
    <t>61 98412-8878</t>
  </si>
  <si>
    <t>rafaelasouzars@icloud.com</t>
  </si>
  <si>
    <t>Rafaela Taliatte Nolasco</t>
  </si>
  <si>
    <t>082.547.046-35</t>
  </si>
  <si>
    <t>32 99109-2452</t>
  </si>
  <si>
    <t>rafaelanolasco2@gmail.com</t>
  </si>
  <si>
    <t>Raimundo Alves Ribeiro e/ou Miria Maria Ribeiro de Rezende</t>
  </si>
  <si>
    <t>291.789.836-49</t>
  </si>
  <si>
    <t>raimunlabor@yahoo.com.br</t>
  </si>
  <si>
    <t>Ramon Claudino Dias (PJ)</t>
  </si>
  <si>
    <t>005058141</t>
  </si>
  <si>
    <t>15.840.951/0001-46</t>
  </si>
  <si>
    <t>ramon@smileimoveis.com.br</t>
  </si>
  <si>
    <t>Raphaela Neves de Queiroz Cavalcanti</t>
  </si>
  <si>
    <t>005366255</t>
  </si>
  <si>
    <t>046.208.214-89</t>
  </si>
  <si>
    <t>004466350</t>
  </si>
  <si>
    <t>Cliente deve voltar em 2024</t>
  </si>
  <si>
    <t>raquelmforte@gmail.com</t>
  </si>
  <si>
    <t>RCDIAS INCORPORACAO E CONSTRUCAO LTDA</t>
  </si>
  <si>
    <t>004879113</t>
  </si>
  <si>
    <t>Está em processo de transferência dos recursos</t>
  </si>
  <si>
    <t>41.721.996/0001-01</t>
  </si>
  <si>
    <t>Redrau Sao Paulo Filtros LTDA</t>
  </si>
  <si>
    <t>008008723</t>
  </si>
  <si>
    <t>Alteração de carteira finalizada (03/10/2024) / Diatrao unilateral</t>
  </si>
  <si>
    <t>23.103.962/0001-71</t>
  </si>
  <si>
    <t>Reinaldo Albernaz Rodrigues e/ou Lina Uchida Rodrigues</t>
  </si>
  <si>
    <t>004208733</t>
  </si>
  <si>
    <t>Alteração de carteira finalizada (03/10/2023)</t>
  </si>
  <si>
    <t>Rejane Elisabeth Maria Jaqueto</t>
  </si>
  <si>
    <t>004550605</t>
  </si>
  <si>
    <t>Vencimentos D+0 (02/12/2024)</t>
  </si>
  <si>
    <t>Renan Augusto de Oliveira Dupré</t>
  </si>
  <si>
    <t>005216881</t>
  </si>
  <si>
    <t>057.238.801-28</t>
  </si>
  <si>
    <t>renanssjr@gmail.com</t>
  </si>
  <si>
    <t>30k D+0 (19/03/2026).</t>
  </si>
  <si>
    <t>renanpereiraolvr@gmail.com</t>
  </si>
  <si>
    <t>004318604</t>
  </si>
  <si>
    <t>Esperando os rendimentos que vecem em 10/24 para transferir o saldo para a outra conta.</t>
  </si>
  <si>
    <t>Renata Argenta Pereira Bueno</t>
  </si>
  <si>
    <t>004340984</t>
  </si>
  <si>
    <t>007.556.731-82</t>
  </si>
  <si>
    <t>Renata Coscarelli Lodi Franca</t>
  </si>
  <si>
    <t>008017054</t>
  </si>
  <si>
    <t>676.923.116-68</t>
  </si>
  <si>
    <t>renatalodi@arcadiaempreendimentos.com.br</t>
  </si>
  <si>
    <t>Renata De Campos Abrego</t>
  </si>
  <si>
    <t>004646727</t>
  </si>
  <si>
    <t>371.533.231-04</t>
  </si>
  <si>
    <t>Renato Afonso Amorim</t>
  </si>
  <si>
    <t>004850070</t>
  </si>
  <si>
    <t>385.609.331-15</t>
  </si>
  <si>
    <t>Renato Afonso Amorim e/ou Adriana Berford Leão Amorim</t>
  </si>
  <si>
    <t>004862677</t>
  </si>
  <si>
    <t xml:space="preserve">385.609.331-15 </t>
  </si>
  <si>
    <t>004862672</t>
  </si>
  <si>
    <t>Renato Bruniera Peroni</t>
  </si>
  <si>
    <t>082.724.888-17</t>
  </si>
  <si>
    <t>renatobperoni@gmail.com</t>
  </si>
  <si>
    <t>Renato Calderaro De Franca Lopes</t>
  </si>
  <si>
    <t>256.370.478-20</t>
  </si>
  <si>
    <t>11 96769-6060</t>
  </si>
  <si>
    <t>RENATOCFL@TERRA.COM.BR</t>
  </si>
  <si>
    <t>Renato Cesar da Silveira Miranda</t>
  </si>
  <si>
    <t>023648355</t>
  </si>
  <si>
    <t>380.277.041-20</t>
  </si>
  <si>
    <t>62 98409-5805</t>
  </si>
  <si>
    <t>renatocsm@gmail.com</t>
  </si>
  <si>
    <t>Renato Laffranchi Falcão</t>
  </si>
  <si>
    <t>110.307.297-86</t>
  </si>
  <si>
    <t>renato9302@hotmail.com</t>
  </si>
  <si>
    <t>Renato Monteiro Fernandes</t>
  </si>
  <si>
    <t>359.486.551-72</t>
  </si>
  <si>
    <t>renato.mf.61@gmail.com.br</t>
  </si>
  <si>
    <t>Renato Sampaio Tavares</t>
  </si>
  <si>
    <t>144.464.958-28</t>
  </si>
  <si>
    <t>62 98146-9161</t>
  </si>
  <si>
    <t>renatosampaiotavares@gmail.com</t>
  </si>
  <si>
    <t>Rhuslan Mateus Maroni Moreira</t>
  </si>
  <si>
    <t>109.168.529-03</t>
  </si>
  <si>
    <t>41 99781-0298</t>
  </si>
  <si>
    <t>rhusmoreira@gmail.com</t>
  </si>
  <si>
    <t>ric_matheus@yahoo.com</t>
  </si>
  <si>
    <t>Ricardo Bauermann Ehlers</t>
  </si>
  <si>
    <t>005046805</t>
  </si>
  <si>
    <t>128.320.301-49</t>
  </si>
  <si>
    <t>005693881</t>
  </si>
  <si>
    <t>008683290</t>
  </si>
  <si>
    <t>Ricardo Cruz</t>
  </si>
  <si>
    <t>30% D+0 (22/07/2026)</t>
  </si>
  <si>
    <t>602.942.131-04</t>
  </si>
  <si>
    <t>62 98126-2000</t>
  </si>
  <si>
    <t>bidcruz@gmail.com</t>
  </si>
  <si>
    <t>Ricardo de Moura Lopes</t>
  </si>
  <si>
    <t>005320069</t>
  </si>
  <si>
    <t>149.719.501-25</t>
  </si>
  <si>
    <t>Ricardo José Lacerda Prudencio</t>
  </si>
  <si>
    <t>004237325</t>
  </si>
  <si>
    <t>Alteração de carteira finalizada (25/09/2025)</t>
  </si>
  <si>
    <t>ricardorodriguescardio@gmail.com</t>
  </si>
  <si>
    <t>004505474</t>
  </si>
  <si>
    <t>ricardo.marinho.contador@gmail.com</t>
  </si>
  <si>
    <t>Ricardo Rodrigues Ramalho</t>
  </si>
  <si>
    <t>004497963</t>
  </si>
  <si>
    <t>838.288.421-00</t>
  </si>
  <si>
    <t>rrcomprebem@hotmail.com</t>
  </si>
  <si>
    <t>Ricardo Sergio De Oliveira e Silva</t>
  </si>
  <si>
    <t>005382272</t>
  </si>
  <si>
    <t>082.008.074-87</t>
  </si>
  <si>
    <t>Rita Aparecida Passos Villar e/ou Tatiana Benjamin Villar Prudencio</t>
  </si>
  <si>
    <t>004482262</t>
  </si>
  <si>
    <t xml:space="preserve">759.753.788-34 </t>
  </si>
  <si>
    <t>Rita de Cássia Parente Prado</t>
  </si>
  <si>
    <t>008613030</t>
  </si>
  <si>
    <t>033.111.433-02</t>
  </si>
  <si>
    <t>ritadecassiaparenteprado@outlook.com</t>
  </si>
  <si>
    <t>Robério Cardoso Fernandes</t>
  </si>
  <si>
    <t>004586209</t>
  </si>
  <si>
    <t>MOD/ PREV ARR</t>
  </si>
  <si>
    <t>010.825.435-60</t>
  </si>
  <si>
    <t>Roberta Andrea de Oliveira</t>
  </si>
  <si>
    <t>150k D+0(15/06/2026).</t>
  </si>
  <si>
    <t>284.507.358-58</t>
  </si>
  <si>
    <t>11 99672-8085</t>
  </si>
  <si>
    <t>robertaoliveira@alumni.usp.br</t>
  </si>
  <si>
    <t>Roberta Maria Tabox Carrato</t>
  </si>
  <si>
    <t>005.794.711-28</t>
  </si>
  <si>
    <t>roberta_carrato@hotmail.com</t>
  </si>
  <si>
    <t>028693505</t>
  </si>
  <si>
    <t>71 99212-1233</t>
  </si>
  <si>
    <t xml:space="preserve">Roberto Oliveira de Paula e Silva    </t>
  </si>
  <si>
    <t>004207658</t>
  </si>
  <si>
    <t>027.815.511-12</t>
  </si>
  <si>
    <t>004462543</t>
  </si>
  <si>
    <t>004470679</t>
  </si>
  <si>
    <t>004472538</t>
  </si>
  <si>
    <t>STVM de entrada da Guide finalizada (28/09/2023)</t>
  </si>
  <si>
    <t>Rodolfo Jose Marques</t>
  </si>
  <si>
    <t>30% D+0 (02/08/2024)</t>
  </si>
  <si>
    <t>076.560.171-00</t>
  </si>
  <si>
    <t>jmarques.rodolfo@gmail.com</t>
  </si>
  <si>
    <t>004465646</t>
  </si>
  <si>
    <t>rodrigo@proordem.com.br</t>
  </si>
  <si>
    <t>Rodrigo Araujo da Silva</t>
  </si>
  <si>
    <t>712.527.541-91</t>
  </si>
  <si>
    <t>62 99430-2894</t>
  </si>
  <si>
    <t>concursododigao2017@gmail.com</t>
  </si>
  <si>
    <t>Rodrigo de Biagi Lopes</t>
  </si>
  <si>
    <t>Manter fundo Mapfre e aproximadamente 140k D+0 (23/10/2025)</t>
  </si>
  <si>
    <t>993.564.069-87</t>
  </si>
  <si>
    <t>rodrigodebiagilopes@gmail.com</t>
  </si>
  <si>
    <t>Rodrigo Leite Astorino</t>
  </si>
  <si>
    <t>004538384</t>
  </si>
  <si>
    <t>904.340.561-20</t>
  </si>
  <si>
    <t>roastorino@gmail.com</t>
  </si>
  <si>
    <t>004541149</t>
  </si>
  <si>
    <t>004532856</t>
  </si>
  <si>
    <t xml:space="preserve">Rodrigo Luis de Barros Rodrigues  </t>
  </si>
  <si>
    <t>004374891</t>
  </si>
  <si>
    <t>Rodrigo Luis Nishiyama</t>
  </si>
  <si>
    <t>730.751.081-20</t>
  </si>
  <si>
    <t>rln.engenheiro@gmail.com</t>
  </si>
  <si>
    <t>Rodrigo Oliveira Coelho</t>
  </si>
  <si>
    <t>004479734</t>
  </si>
  <si>
    <t>689.933.071-72</t>
  </si>
  <si>
    <t>Rodrigo Primitivo Dos Santos e/ou Laisy Alberti Bertanha</t>
  </si>
  <si>
    <t>80k D+0 (20/08/2025)</t>
  </si>
  <si>
    <t>Alteração de carteira finalizada (06/06/2025)</t>
  </si>
  <si>
    <t>488.377.538-02</t>
  </si>
  <si>
    <t>santosrodrigo22041998@gmail.com</t>
  </si>
  <si>
    <t>Rodrigo Rabelo Bagno</t>
  </si>
  <si>
    <t>Carteira Monitoramento Especial para Fundos (SPMG FII criado pelo cliente) / Valor todo em Liquidez</t>
  </si>
  <si>
    <t>066.072.286-07</t>
  </si>
  <si>
    <t>rodrigobagno@gmail.com</t>
  </si>
  <si>
    <t>004392159</t>
  </si>
  <si>
    <t>rodrigo.vieira@marcobras.com.br</t>
  </si>
  <si>
    <t>Rodrigo Telles Merg</t>
  </si>
  <si>
    <t>001813259</t>
  </si>
  <si>
    <t>023.671.381-76</t>
  </si>
  <si>
    <t>Roger Beraldo Vieira</t>
  </si>
  <si>
    <t>812.065.771-34</t>
  </si>
  <si>
    <t>62 98204-4549</t>
  </si>
  <si>
    <t>drrogerberaldo@hotmail.com</t>
  </si>
  <si>
    <t>Rogério Oliva Cortez</t>
  </si>
  <si>
    <t>004487016</t>
  </si>
  <si>
    <t>Romulo Romano Salles</t>
  </si>
  <si>
    <t>CONsUL M Wealth</t>
  </si>
  <si>
    <t>013.429.255-30</t>
  </si>
  <si>
    <t>(11) 97124-0550</t>
  </si>
  <si>
    <t>ROMULOSALLES@HOTMAIL.COM</t>
  </si>
  <si>
    <t>Romulo Teixeira Cavalcante</t>
  </si>
  <si>
    <t>004475145</t>
  </si>
  <si>
    <t>936.454.901-59</t>
  </si>
  <si>
    <t>romecao@gmail.com</t>
  </si>
  <si>
    <t>Rosa Maria Donzelli Borges</t>
  </si>
  <si>
    <t>005245032</t>
  </si>
  <si>
    <t>Cliente solicitou distrato 23/05/2024</t>
  </si>
  <si>
    <t>235.085.821-91</t>
  </si>
  <si>
    <t>rosa.donzelli@gmail.com</t>
  </si>
  <si>
    <t>Rosana de Fátima Moreira Fernandes</t>
  </si>
  <si>
    <t>004805333</t>
  </si>
  <si>
    <t>934.799.131-72</t>
  </si>
  <si>
    <t>patymf8@gmail.com</t>
  </si>
  <si>
    <t xml:space="preserve">Rosana Renaud Gopfert Albuquerque </t>
  </si>
  <si>
    <t>004392004</t>
  </si>
  <si>
    <t>rosana.renaud.bsb@gmail.com</t>
  </si>
  <si>
    <t>rosanerotondo@hotmail.com</t>
  </si>
  <si>
    <t>rosanepiloni@yahoo.com.br</t>
  </si>
  <si>
    <t>STVM de entrada da Guide finalizada (09/10/2023) / Alteração de carteira finalizada (21/01/2025)</t>
  </si>
  <si>
    <t>Rosangela de Oliveira Campos Ponciano</t>
  </si>
  <si>
    <t>101.028.841-53</t>
  </si>
  <si>
    <t>roseponciano@hotmail.com</t>
  </si>
  <si>
    <t>004530494</t>
  </si>
  <si>
    <t>STVM de saída para XP finalizada (31/01/2024)</t>
  </si>
  <si>
    <t>r@gmail.com</t>
  </si>
  <si>
    <t>Rubens Dias Da Costa Neto Souza</t>
  </si>
  <si>
    <t>004472076</t>
  </si>
  <si>
    <t>rubensmazer@gmail.com</t>
  </si>
  <si>
    <t>RVS PARTICIPACOES LTDA</t>
  </si>
  <si>
    <t>009248969</t>
  </si>
  <si>
    <t>Conta ultilizada para câmbio (27/07/2026)</t>
  </si>
  <si>
    <t>58.509.839/0001-30</t>
  </si>
  <si>
    <t>Sabrina De Gouveia Teixeira Cardoso e/ou Dijean Ribeiro Cardoso</t>
  </si>
  <si>
    <t>008470048</t>
  </si>
  <si>
    <t>325.524.488-95</t>
  </si>
  <si>
    <t>binagta@gmail.com</t>
  </si>
  <si>
    <t>Sabrina Molina Bellose Matiole</t>
  </si>
  <si>
    <t>034.117.726-11</t>
  </si>
  <si>
    <t>sabrina.bellose@construtoraatrium.com.br</t>
  </si>
  <si>
    <t>Salete Teresinha Gewehr e/ou Allan Henrique Gorgen</t>
  </si>
  <si>
    <t>004560107</t>
  </si>
  <si>
    <t>saletegorgen.stg@gmail.com</t>
  </si>
  <si>
    <t>Sandra De Mattos Rodrigues Moreira</t>
  </si>
  <si>
    <t>004879567</t>
  </si>
  <si>
    <t>553.431.551-20</t>
  </si>
  <si>
    <t>Sandra Regina Sasaki de Freitas Cavalcanti</t>
  </si>
  <si>
    <t>002418050</t>
  </si>
  <si>
    <t>101.734.981-91</t>
  </si>
  <si>
    <t>rsandra.silveira@gmail.com</t>
  </si>
  <si>
    <t>Sandro Silva Gonçalves</t>
  </si>
  <si>
    <t>005256849</t>
  </si>
  <si>
    <t>Sara Lobo Zago e/ou Odirlei Jeronimo de Sousa Junior</t>
  </si>
  <si>
    <t>50K D+0 (30/09/2024)</t>
  </si>
  <si>
    <t>701.963.161-46</t>
  </si>
  <si>
    <t>saralobodesign@gmail.com</t>
  </si>
  <si>
    <t>Savio Carvalho Caetano</t>
  </si>
  <si>
    <t>005147664</t>
  </si>
  <si>
    <t>102.426.547-11</t>
  </si>
  <si>
    <t>Sergio Aurelio Branco Gonçalves</t>
  </si>
  <si>
    <t>634.668.301-25</t>
  </si>
  <si>
    <t>61 99551-8060</t>
  </si>
  <si>
    <t>sergio@savanasustentavel.com</t>
  </si>
  <si>
    <t>Sergio Eduardo Canella</t>
  </si>
  <si>
    <t>004975924</t>
  </si>
  <si>
    <t>004.290.019-08</t>
  </si>
  <si>
    <t>sergio@brandaocanella.adv.br</t>
  </si>
  <si>
    <t>004752461</t>
  </si>
  <si>
    <t>400k, precisa para o dia 18/12/26 (14/04/2026)</t>
  </si>
  <si>
    <t>Cliente retornou a base com novo contrato (29/08/2025) / Alteração de carteira finalizada (23/03/2026)</t>
  </si>
  <si>
    <t>Sergio Henrique Nunes Pereira</t>
  </si>
  <si>
    <t>Manter Saldo em D+0 até JUN/2026 (19/03/2026)</t>
  </si>
  <si>
    <t>570.495.803-68</t>
  </si>
  <si>
    <t>61 99916-0278</t>
  </si>
  <si>
    <t>sergiopereira1602@gmail.com</t>
  </si>
  <si>
    <t>Sidmar Luiz Teixeira</t>
  </si>
  <si>
    <t>005305965</t>
  </si>
  <si>
    <t xml:space="preserve">Joney Alves </t>
  </si>
  <si>
    <t>Distrato solicitado dia 20/06/2024</t>
  </si>
  <si>
    <t>260.769.181-87</t>
  </si>
  <si>
    <t>Silvana Ferrer Arruda</t>
  </si>
  <si>
    <t>346.087.701-44</t>
  </si>
  <si>
    <t>65 99667-1395</t>
  </si>
  <si>
    <t>ferrerarruda@gmail.com</t>
  </si>
  <si>
    <t>Silvania Pereira Da Costa</t>
  </si>
  <si>
    <t>005283421</t>
  </si>
  <si>
    <t>nogueirasegurosss@gmail.com</t>
  </si>
  <si>
    <t xml:space="preserve">Silvania Pereira da Costa    </t>
  </si>
  <si>
    <t>004207955</t>
  </si>
  <si>
    <t>Silvia Faria de Menezes Fonsêca</t>
  </si>
  <si>
    <t>276.091.971-49</t>
  </si>
  <si>
    <t>silviafmf62@gmail.com</t>
  </si>
  <si>
    <t>z</t>
  </si>
  <si>
    <t>TRADSILVIA@GMAIL.COM</t>
  </si>
  <si>
    <t>Silvia Maria Magri Miccoli</t>
  </si>
  <si>
    <t>Manter 20% da carteira em D+0, observação em RV (conferir o Pipe) (02/07/2026).</t>
  </si>
  <si>
    <t>119.377.138-22</t>
  </si>
  <si>
    <t>43 99901-6800</t>
  </si>
  <si>
    <t>silviammmiccoli@gmail.com</t>
  </si>
  <si>
    <t>004450760</t>
  </si>
  <si>
    <t>shmdea@gmail.com</t>
  </si>
  <si>
    <t>004322549</t>
  </si>
  <si>
    <t>Simone Eliza Cornelio de Moura</t>
  </si>
  <si>
    <t>008004870</t>
  </si>
  <si>
    <t>601.082.156-87</t>
  </si>
  <si>
    <t>Simone Nascimento de Sousa</t>
  </si>
  <si>
    <t>005927101</t>
  </si>
  <si>
    <t>381.540.721-49</t>
  </si>
  <si>
    <t>1601sim@gmail.com</t>
  </si>
  <si>
    <t>Simone Nunes Paixão</t>
  </si>
  <si>
    <t>002823185</t>
  </si>
  <si>
    <t>195.274.998-01</t>
  </si>
  <si>
    <t>nunespaixaosimone@gmail.com</t>
  </si>
  <si>
    <t>Sindicato dos Trabalhadores na Industria, Comercio de Energia no Estado de Mato Grosso do Sul</t>
  </si>
  <si>
    <t>15.479.504/0001-03</t>
  </si>
  <si>
    <t>67 99251-2398</t>
  </si>
  <si>
    <t>presidente@sinergia-ms.com.br</t>
  </si>
  <si>
    <t>004315417</t>
  </si>
  <si>
    <t>Cliente sumiu da base (06/05/2024)</t>
  </si>
  <si>
    <t>001922009</t>
  </si>
  <si>
    <t xml:space="preserve">Solange Alves de Moraes Mendes </t>
  </si>
  <si>
    <t>004455489</t>
  </si>
  <si>
    <t>Não apagar observação: Troca de assessor 01/12/2023 - Antigo: Conquest - Juliana Abreu</t>
  </si>
  <si>
    <t>Solange Menelik Pires</t>
  </si>
  <si>
    <t>435.975.211-34</t>
  </si>
  <si>
    <t>62 98512-8150</t>
  </si>
  <si>
    <t>solangemenelik.smp@gmail.com</t>
  </si>
  <si>
    <t>Sonia Maria Simas Abrantes</t>
  </si>
  <si>
    <t>50K D+0 (26/08/2025)</t>
  </si>
  <si>
    <t>150.822.881-72</t>
  </si>
  <si>
    <t>soninha.abrantes@gmail.com</t>
  </si>
  <si>
    <t>Sonia Pereira Dos Santos</t>
  </si>
  <si>
    <t>Prazo máximo 1 ano (23/01/2025)</t>
  </si>
  <si>
    <t>294.961.361-68</t>
  </si>
  <si>
    <t>s.pereirasantos@hotmail.com</t>
  </si>
  <si>
    <t>Sonia Regina Martiolli Sudo</t>
  </si>
  <si>
    <t>004945203</t>
  </si>
  <si>
    <t>STVM interna finalizada (28/09/2023)</t>
  </si>
  <si>
    <t>929.581.509-25</t>
  </si>
  <si>
    <t>004945161</t>
  </si>
  <si>
    <t>STVM de saída para XP finalizada (22/02/2024)</t>
  </si>
  <si>
    <t>004999410</t>
  </si>
  <si>
    <t>Stella Vieira Jesuino Parreira</t>
  </si>
  <si>
    <t>005007114</t>
  </si>
  <si>
    <t>Incluir contas bancárias enviadas no e-mail "Cadastro de conta de Origem"</t>
  </si>
  <si>
    <t>301.069.401-63</t>
  </si>
  <si>
    <t>jesuinoparreira@uol.com.br</t>
  </si>
  <si>
    <t>Stella Vieira Jesuino Parreira e/ou Carlos Antonio Parreira</t>
  </si>
  <si>
    <t>005145205</t>
  </si>
  <si>
    <t xml:space="preserve"> 301.069.401-63</t>
  </si>
  <si>
    <t>Styphany Rabelo Sociedade Individual De Advocacia</t>
  </si>
  <si>
    <t>Prazo máximo 6 Meses (17/02/2025)</t>
  </si>
  <si>
    <t>45.304.721/0001-23</t>
  </si>
  <si>
    <t>styphany@gmail.com</t>
  </si>
  <si>
    <t>Sueli Ferreira Rutis</t>
  </si>
  <si>
    <t>004243043</t>
  </si>
  <si>
    <t>434.665.597-15</t>
  </si>
  <si>
    <t>Suely Nazaré Gonçalves</t>
  </si>
  <si>
    <t>suelycrispim01@hotmail.com</t>
  </si>
  <si>
    <t>004331477</t>
  </si>
  <si>
    <t>rorizsuzy@yahoo.com.br</t>
  </si>
  <si>
    <t>Sydney Jose Viana</t>
  </si>
  <si>
    <t>703.109.478-04</t>
  </si>
  <si>
    <t>62 98252-2727</t>
  </si>
  <si>
    <t>sjv1504@gmail.com</t>
  </si>
  <si>
    <t>Sylvana Uchoa Mascarenhas Coutinho</t>
  </si>
  <si>
    <t>004350101</t>
  </si>
  <si>
    <t>296.044.781-68</t>
  </si>
  <si>
    <t>Sylverson Porto Rassi</t>
  </si>
  <si>
    <t>Resgate 100K em 10/09/2026 (09/07/2026)</t>
  </si>
  <si>
    <t>812.573.411-20</t>
  </si>
  <si>
    <t>sylvers@gmail.com</t>
  </si>
  <si>
    <t>Tag Corporate LTDA</t>
  </si>
  <si>
    <t>150k D+0(24/03/2026)</t>
  </si>
  <si>
    <t>39.930.056/0001-80</t>
  </si>
  <si>
    <t>43 98823-7408</t>
  </si>
  <si>
    <t>lucas@tag.adv.br</t>
  </si>
  <si>
    <t>Tais Satiko Utsumi Okada  eou Assako Utsumi Okada</t>
  </si>
  <si>
    <t>081.175.979-26</t>
  </si>
  <si>
    <t>tais.okada@gmail.com</t>
  </si>
  <si>
    <t>Tania Alves Chagas</t>
  </si>
  <si>
    <t>634.073.371-91</t>
  </si>
  <si>
    <t>taniachagas317@gmail.com</t>
  </si>
  <si>
    <t>Tatiana Avila E Silva Sampaio de Almeida</t>
  </si>
  <si>
    <t>005366671</t>
  </si>
  <si>
    <t>056.060.261-80</t>
  </si>
  <si>
    <t>Tatiana de Ávila Miguel</t>
  </si>
  <si>
    <t>20% do PL D+0 (08/01/2026)</t>
  </si>
  <si>
    <t>tavilamiguel@gmail.com</t>
  </si>
  <si>
    <t xml:space="preserve">Tatiana Menezes Fonseca    </t>
  </si>
  <si>
    <t>Tatiana Nazaré Crispim Gonçalves</t>
  </si>
  <si>
    <t>977.837.901-78</t>
  </si>
  <si>
    <t>crispim.tati@gmail.com</t>
  </si>
  <si>
    <t>A conta 008411505 foi encerrada a pedido dos clientes, que desejaram alterar o titular. Como solicitado, a conta 008458289 foi aberta.</t>
  </si>
  <si>
    <t>queridataty@gmail.com</t>
  </si>
  <si>
    <t>Tatyana Joffily Leuman Faleiro</t>
  </si>
  <si>
    <t>705.464.361-53</t>
  </si>
  <si>
    <t>41 79 122 66 00</t>
  </si>
  <si>
    <t>Tayla Figueiredo Lacerda</t>
  </si>
  <si>
    <t>15K D+0 (16/09/2024)</t>
  </si>
  <si>
    <t>005.420.031-80</t>
  </si>
  <si>
    <t>taylalacerda@hotmail.com</t>
  </si>
  <si>
    <t xml:space="preserve">Taynara Lopes Fonseca   </t>
  </si>
  <si>
    <t>004260040</t>
  </si>
  <si>
    <t>103.701.936-95</t>
  </si>
  <si>
    <t>Techmetal Soluçoes Metalurgicas LTDA</t>
  </si>
  <si>
    <t>009150609</t>
  </si>
  <si>
    <t>57.995.042/0001-27</t>
  </si>
  <si>
    <t>Testa e Genovesi - Sociedade de Advogados</t>
  </si>
  <si>
    <t>120k D+0 (09/06/2026).</t>
  </si>
  <si>
    <t>Alteração de carteira finalizada (17/11/2025)</t>
  </si>
  <si>
    <t>32.284.167/0001-18</t>
  </si>
  <si>
    <t>Thais Alves Cipreste Matsutani</t>
  </si>
  <si>
    <t>844.489.111-87</t>
  </si>
  <si>
    <t>62 99247-2588</t>
  </si>
  <si>
    <t>thasmatsutani@gmail.com</t>
  </si>
  <si>
    <t>008611190</t>
  </si>
  <si>
    <t>Thaís Figueiredo Teodoro de Oliveira</t>
  </si>
  <si>
    <t>005395948</t>
  </si>
  <si>
    <t>076.149.449-92</t>
  </si>
  <si>
    <t>Thais Zacarias de Freitas</t>
  </si>
  <si>
    <t>004.723.921-23</t>
  </si>
  <si>
    <t>62 98162-0614</t>
  </si>
  <si>
    <t>thaiszacarias@hotmail.com</t>
  </si>
  <si>
    <t xml:space="preserve">Thaissa Campos Dantes        </t>
  </si>
  <si>
    <t>034.546.771-06</t>
  </si>
  <si>
    <t>thaissacd@hotmail.com</t>
  </si>
  <si>
    <t>Tharcisio Almeida Sousa</t>
  </si>
  <si>
    <t>004550289</t>
  </si>
  <si>
    <t>023.822.901-70</t>
  </si>
  <si>
    <t>tharcisio.inbracol@gmail.com</t>
  </si>
  <si>
    <t>008311056</t>
  </si>
  <si>
    <t>50K D+0 (14/01/2025)</t>
  </si>
  <si>
    <t xml:space="preserve">Thaysa Zaia Costa Barros Iunes </t>
  </si>
  <si>
    <t>thaysazaia@hotmail.com</t>
  </si>
  <si>
    <t>004550750</t>
  </si>
  <si>
    <t>060.601.981-20</t>
  </si>
  <si>
    <t>004231509</t>
  </si>
  <si>
    <t xml:space="preserve">Theomar Nicolau Morhy	</t>
  </si>
  <si>
    <t>004382374</t>
  </si>
  <si>
    <t>Theresinha Camargo Franca Brisolla</t>
  </si>
  <si>
    <t>003189818</t>
  </si>
  <si>
    <t>974.249.941-15</t>
  </si>
  <si>
    <t>Thiago Augusto Domingos</t>
  </si>
  <si>
    <t>222.679.208-24</t>
  </si>
  <si>
    <t>43 99911-2377</t>
  </si>
  <si>
    <t>thiagodomingos2@gmail.com</t>
  </si>
  <si>
    <t>Thiago Canabrava Couto</t>
  </si>
  <si>
    <t>001368670</t>
  </si>
  <si>
    <t>Thiago Canabrava solicitou a alt. do stts da conta para inativo dia 15/01/2024</t>
  </si>
  <si>
    <t>060.268.831-00</t>
  </si>
  <si>
    <t>thiago.cana@hotmail.com</t>
  </si>
  <si>
    <t>Thiago Koppe Do Carmo</t>
  </si>
  <si>
    <t>005064129</t>
  </si>
  <si>
    <t>785.737.422-91</t>
  </si>
  <si>
    <t xml:space="preserve">Thiago Lucas Leite de Noronha    </t>
  </si>
  <si>
    <t>004381095</t>
  </si>
  <si>
    <t>thiago@noronhaadvocacia.com</t>
  </si>
  <si>
    <t>Alteração de Carteira finalizada (15/09/2025)</t>
  </si>
  <si>
    <t>Alteração de Carteira finalizada (25/09/2025)</t>
  </si>
  <si>
    <t>Thiago Ribeiro da Silva</t>
  </si>
  <si>
    <t>005762794</t>
  </si>
  <si>
    <t>015.804.056-22</t>
  </si>
  <si>
    <t>31 98813-0440</t>
  </si>
  <si>
    <t>thiago031ribeiro@gmail.com</t>
  </si>
  <si>
    <t xml:space="preserve">(62) 98262-5149  </t>
  </si>
  <si>
    <t xml:space="preserve">Thomas Batista Neto      </t>
  </si>
  <si>
    <t>004224011</t>
  </si>
  <si>
    <t>Thomas Batista Neto e/ou Eduarda Sebastiani Van Lieshout</t>
  </si>
  <si>
    <t>50k D+0 (09/03/2026).</t>
  </si>
  <si>
    <t>thomasbneto@hotmail.com</t>
  </si>
  <si>
    <t>Somente BTC</t>
  </si>
  <si>
    <t>Thurid Partners Gestão Empresarial Ltda</t>
  </si>
  <si>
    <t>60.939.123/0001-14</t>
  </si>
  <si>
    <t>62 99105-1940</t>
  </si>
  <si>
    <t>fabricio.thuridoliveira@gmail.com</t>
  </si>
  <si>
    <t>Tiago Andre Ribeiro</t>
  </si>
  <si>
    <t>036.543.819-79</t>
  </si>
  <si>
    <t>43 99129-2061</t>
  </si>
  <si>
    <t>tiagoplasticanutrologia@gmail.com</t>
  </si>
  <si>
    <t>001536650</t>
  </si>
  <si>
    <t>62 98292-2131</t>
  </si>
  <si>
    <t>tiagocosta2289@gmail.com</t>
  </si>
  <si>
    <t>004346716</t>
  </si>
  <si>
    <t>tiago.perfeito@gmail.com</t>
  </si>
  <si>
    <t>Tiago Sfreddo</t>
  </si>
  <si>
    <t>110k D+0 (09/10/2025), 100% D+0 (até 31/03/2026).</t>
  </si>
  <si>
    <t>tsfredo@hotmail.com</t>
  </si>
  <si>
    <t>Tiago Vasconcellos De Rezende</t>
  </si>
  <si>
    <t>005924958</t>
  </si>
  <si>
    <t xml:space="preserve">Tiago Vasconcellos de Rezende 	</t>
  </si>
  <si>
    <t>004911541</t>
  </si>
  <si>
    <t>Triade Gestão Patrimonial Ltda</t>
  </si>
  <si>
    <t>100% D+0 (06/03/2026).</t>
  </si>
  <si>
    <t>64.021.000/0001-50</t>
  </si>
  <si>
    <t>61 99104-4035</t>
  </si>
  <si>
    <t>triadepatrimonial@hotmail.com</t>
  </si>
  <si>
    <t xml:space="preserve">Uldarico Abrego </t>
  </si>
  <si>
    <t>004848927</t>
  </si>
  <si>
    <t>000.195.501-20</t>
  </si>
  <si>
    <t>Unnidos Assessoria e Consultoria Imobiliária LTDA</t>
  </si>
  <si>
    <t>008443638</t>
  </si>
  <si>
    <t>51.214.158/0001-03</t>
  </si>
  <si>
    <t>athie.fracaro@hotmail.com</t>
  </si>
  <si>
    <t>Urbaniza Comércio e Construções LTDA</t>
  </si>
  <si>
    <t>004238126</t>
  </si>
  <si>
    <t>Pretende fazer aportes futuros</t>
  </si>
  <si>
    <t>33.503.541/0001-91</t>
  </si>
  <si>
    <t>Valdemar de Souza</t>
  </si>
  <si>
    <t>464.054.701-30</t>
  </si>
  <si>
    <t>62 99687-8127</t>
  </si>
  <si>
    <t>valdemarbodinho@gmail.com</t>
  </si>
  <si>
    <t>Valdemir Dona Junior</t>
  </si>
  <si>
    <t>042.618.659-12</t>
  </si>
  <si>
    <t>43 98833-2030</t>
  </si>
  <si>
    <t>valdemirdonajr@gmail.com</t>
  </si>
  <si>
    <t>Valdivino José  Vieira Junior</t>
  </si>
  <si>
    <t>425.018.221-53</t>
  </si>
  <si>
    <t>vjneuro2@gmail.com</t>
  </si>
  <si>
    <t xml:space="preserve">Valéria Brenner da Rocha e Silva   </t>
  </si>
  <si>
    <t>004328934</t>
  </si>
  <si>
    <t>263.807.901-44</t>
  </si>
  <si>
    <t>Valeria Guilhermina Da Silva Viana</t>
  </si>
  <si>
    <t>937.316.801-06</t>
  </si>
  <si>
    <t>qualidade.valeria@gmail.com</t>
  </si>
  <si>
    <t>005599277</t>
  </si>
  <si>
    <t>Conta criada sem necessidade (17/06/2024)</t>
  </si>
  <si>
    <t>Valeria Maria Lima Wandalsen</t>
  </si>
  <si>
    <t>004211533</t>
  </si>
  <si>
    <t>663.948.307-63</t>
  </si>
  <si>
    <t>004487140</t>
  </si>
  <si>
    <t>Cliente saiu da base (18/09/2024)</t>
  </si>
  <si>
    <t>Vanessa Fenili Fraianelli</t>
  </si>
  <si>
    <t>004918709</t>
  </si>
  <si>
    <t>123.593.658-94</t>
  </si>
  <si>
    <t>005000090</t>
  </si>
  <si>
    <t>vanessafenili@gmail.com</t>
  </si>
  <si>
    <t>Vênia Ferreira</t>
  </si>
  <si>
    <t>425.633.991-49</t>
  </si>
  <si>
    <t>veniaferreira@yahoo.com.br</t>
  </si>
  <si>
    <t>Vera Lucia Elias De Oliveira</t>
  </si>
  <si>
    <t>005105970</t>
  </si>
  <si>
    <t>STVM de entrada da Órama finalizada (11/01/2024)</t>
  </si>
  <si>
    <t>veraluciaelias@gmail.com</t>
  </si>
  <si>
    <t xml:space="preserve">Vera Lucia Pereira da Silva </t>
  </si>
  <si>
    <t>015.672.798-64</t>
  </si>
  <si>
    <t>Veranice Castro Ferreira Martins</t>
  </si>
  <si>
    <t>100K D+0 (29/01/2025)</t>
  </si>
  <si>
    <t>011.700.458-80</t>
  </si>
  <si>
    <t>Vesta Patrimonial Ltda</t>
  </si>
  <si>
    <t>64.018.423/0001-11</t>
  </si>
  <si>
    <t>vesta.patrimonial@hotmail.com</t>
  </si>
  <si>
    <t>Victor Hugo Santos Beltrao</t>
  </si>
  <si>
    <t>008032413</t>
  </si>
  <si>
    <t>057.564.401-00</t>
  </si>
  <si>
    <t>Victor Oliveira Alves</t>
  </si>
  <si>
    <t>003115072</t>
  </si>
  <si>
    <t>033.858.181-25</t>
  </si>
  <si>
    <t>Victoria Hoff Correa</t>
  </si>
  <si>
    <t>004274441</t>
  </si>
  <si>
    <t>018.652.741-19</t>
  </si>
  <si>
    <t>Vilma Vieira dos Santos</t>
  </si>
  <si>
    <t>004400000</t>
  </si>
  <si>
    <t>267.278.031-53</t>
  </si>
  <si>
    <t>raulseabra@me.com</t>
  </si>
  <si>
    <t>Vinicius Kappes Nogueira</t>
  </si>
  <si>
    <t>30K D+0 (14/01/2025)</t>
  </si>
  <si>
    <t>056.737.009-70</t>
  </si>
  <si>
    <t>vinicius.kappes@sumitomochemical.com</t>
  </si>
  <si>
    <t>Vinicius Martins Ferreira</t>
  </si>
  <si>
    <t>004967702</t>
  </si>
  <si>
    <t xml:space="preserve">Viomar Dias Rodrigues  </t>
  </si>
  <si>
    <t>004360430</t>
  </si>
  <si>
    <t>515.532.441-68</t>
  </si>
  <si>
    <t>viomar@vrlabel.com.br</t>
  </si>
  <si>
    <t>Virgilio Reis Sarmento</t>
  </si>
  <si>
    <t>005053939</t>
  </si>
  <si>
    <t>Cliente solicitou distrato (20/06/2024)</t>
  </si>
  <si>
    <t>701.174.891-15</t>
  </si>
  <si>
    <t>Vitor Dias de Barros</t>
  </si>
  <si>
    <t>Alocar somente em D+0 (04/05/2026).</t>
  </si>
  <si>
    <t>757.910.561-68</t>
  </si>
  <si>
    <t>62 98150-0090</t>
  </si>
  <si>
    <t>vitordiasbarros@hotmail.com</t>
  </si>
  <si>
    <t>Vitor Hugo Bialta Bueno</t>
  </si>
  <si>
    <t>045.255.529-99</t>
  </si>
  <si>
    <t>vitorhugo.bueno@uel.br</t>
  </si>
  <si>
    <t xml:space="preserve">Vitor Xavier de Oliveira Neto </t>
  </si>
  <si>
    <t>002694089</t>
  </si>
  <si>
    <t>Viviane Avila Sampaio Zebral</t>
  </si>
  <si>
    <t>005902068</t>
  </si>
  <si>
    <t>056.060.371-14</t>
  </si>
  <si>
    <t>Viviane de Souza Botelho Oliveira</t>
  </si>
  <si>
    <t>001294033</t>
  </si>
  <si>
    <t>014.323.241-01</t>
  </si>
  <si>
    <t>viviane.sbo@hotmail.com</t>
  </si>
  <si>
    <t>VR Label Industria Grafica LTDA</t>
  </si>
  <si>
    <t>005642649</t>
  </si>
  <si>
    <t>97.523.216/0001-73</t>
  </si>
  <si>
    <t>Wagner Bartolozzi Silva</t>
  </si>
  <si>
    <t>005293480</t>
  </si>
  <si>
    <t>STVM interna finalizada (27/02/2024)</t>
  </si>
  <si>
    <t>611.673.476-69</t>
  </si>
  <si>
    <t>wbartolozzi@uol.com.br</t>
  </si>
  <si>
    <t>001804114</t>
  </si>
  <si>
    <t>STVM interna finalizada (27/02/2024) / Alteração de carteira Finalizada (11/03/2024)</t>
  </si>
  <si>
    <t>611.673.476-68</t>
  </si>
  <si>
    <t>Walquiria da Silva Viana</t>
  </si>
  <si>
    <t>977.381.821-72</t>
  </si>
  <si>
    <t>walquiriasviana.go@gmail.com</t>
  </si>
  <si>
    <t>drwalter@clinicawk.com.br</t>
  </si>
  <si>
    <t>004466221</t>
  </si>
  <si>
    <t>004462930</t>
  </si>
  <si>
    <t xml:space="preserve">Wander Lucio Prado       </t>
  </si>
  <si>
    <t>Alteração de carteira finalizada (06/10/2023)</t>
  </si>
  <si>
    <t>wander-prado@uol.com.br</t>
  </si>
  <si>
    <t xml:space="preserve">Wandir Tomasoni        </t>
  </si>
  <si>
    <t>004422594</t>
  </si>
  <si>
    <t>594.375.379-68</t>
  </si>
  <si>
    <t>wtomas@usegell.com.br</t>
  </si>
  <si>
    <t>Washington Jose de Lyra Junior</t>
  </si>
  <si>
    <t>005231126</t>
  </si>
  <si>
    <t>666.623.111-20</t>
  </si>
  <si>
    <t>Wellenjane Magalhaes Campos</t>
  </si>
  <si>
    <t>008894569</t>
  </si>
  <si>
    <t>632.436.796-72</t>
  </si>
  <si>
    <t>wjanecampos01@gmail.com</t>
  </si>
  <si>
    <t>Wesley Flávio de Lima</t>
  </si>
  <si>
    <t>327.536.321-20</t>
  </si>
  <si>
    <t>62 99637-8730</t>
  </si>
  <si>
    <t>wesleyflaviolima@outlook.com</t>
  </si>
  <si>
    <t>william.wegf@gmail.com</t>
  </si>
  <si>
    <t>William Grangeiro Tome</t>
  </si>
  <si>
    <t>039.195.331-19</t>
  </si>
  <si>
    <t>62 99179-6065</t>
  </si>
  <si>
    <t>willgtome@gmail.com</t>
  </si>
  <si>
    <t>Wilma Ribeiro de Moura Jorge</t>
  </si>
  <si>
    <t>002886520</t>
  </si>
  <si>
    <t>365.227.916-68</t>
  </si>
  <si>
    <t>Wilson Gomes de Ázara</t>
  </si>
  <si>
    <t>998.398.301-04</t>
  </si>
  <si>
    <t>wgazara@yahoo.com.br</t>
  </si>
  <si>
    <t>Wilson Roberto Tamborini</t>
  </si>
  <si>
    <t>005318416</t>
  </si>
  <si>
    <t>652.038.108-00</t>
  </si>
  <si>
    <t>004884046</t>
  </si>
  <si>
    <t>STVM interna finalizada (12/03/2024)</t>
  </si>
  <si>
    <t>Wladmir Ramalho Osório Silva</t>
  </si>
  <si>
    <t>004388077</t>
  </si>
  <si>
    <t>wladmirs@hotmail.com</t>
  </si>
  <si>
    <t>Yaeko Yamashita</t>
  </si>
  <si>
    <t>364.317.619-87</t>
  </si>
  <si>
    <t>yaekoyamashita@gmail.com</t>
  </si>
  <si>
    <t>Yeshua Ura Empreendimentos Imobiliarios SPE LTDA</t>
  </si>
  <si>
    <t>004223226</t>
  </si>
  <si>
    <t>34.406.079/0001-77</t>
  </si>
  <si>
    <t>Yuri Augusto Vieira Borges</t>
  </si>
  <si>
    <t>004612043</t>
  </si>
  <si>
    <t>709.673.421-04</t>
  </si>
  <si>
    <t>yuri_med_06@hotmail.com</t>
  </si>
  <si>
    <t>050.580.279-17</t>
  </si>
  <si>
    <t>004552944</t>
  </si>
  <si>
    <t>Zenilda Clea De Paula</t>
  </si>
  <si>
    <t xml:space="preserve"> Manter JURO11 (25/04/2024)</t>
  </si>
  <si>
    <t>Zilda do Carmo da Silva Tedesco</t>
  </si>
  <si>
    <t>005581299</t>
  </si>
  <si>
    <t>037.681.008-47</t>
  </si>
  <si>
    <t>Zuleika Neves de Queiroz Cavalcanti</t>
  </si>
  <si>
    <t>005433539</t>
  </si>
  <si>
    <t>953.939.274-87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</si>
</sst>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/m/yyyy"/>
    <numFmt numFmtId="166" formatCode="dd/MM/yyyy"/>
    <numFmt numFmtId="167" formatCode="[$R$ -416]#,##0.00"/>
    <numFmt numFmtId="168" formatCode="###0"/>
    <numFmt numFmtId="169" formatCode="0.000%"/>
    <numFmt numFmtId="170" formatCode="[$$]#,##0.00"/>
    <numFmt numFmtId="171" formatCode="#,##0.00;(#,##0.00)"/>
    <numFmt numFmtId="172" formatCode="m/yyyy"/>
    <numFmt numFmtId="173" formatCode="0.0%"/>
    <numFmt numFmtId="174" formatCode="mmmm/yyyy"/>
    <numFmt numFmtId="175" formatCode="dd/mm/yy"/>
    <numFmt numFmtId="176" formatCode="mm/yyyy"/>
  </numFmts>
  <fonts count="68">
    <font>
      <sz val="10.0"/>
      <color rgb="FF000000"/>
      <name val="Arial"/>
      <scheme val="minor"/>
    </font>
    <font>
      <b/>
      <sz val="10.0"/>
      <color rgb="FFFFFF00"/>
      <name val="Times New Roman"/>
    </font>
    <font>
      <b/>
      <sz val="11.0"/>
      <color rgb="FFFFFF00"/>
      <name val="Times New Roman"/>
    </font>
    <font>
      <b/>
      <sz val="10.0"/>
      <color rgb="FF000000"/>
      <name val="Times New Roman"/>
    </font>
    <font/>
    <font>
      <sz val="10.0"/>
      <color rgb="FF000000"/>
      <name val="Times New Roman"/>
    </font>
    <font>
      <sz val="10.0"/>
      <color theme="1"/>
      <name val="Times New Roman"/>
    </font>
    <font>
      <color rgb="FF000000"/>
      <name val="Times New Roman"/>
    </font>
    <font>
      <sz val="10.0"/>
      <color rgb="FFFFFF00"/>
      <name val="Times New Roman"/>
    </font>
    <font>
      <b/>
      <sz val="10.0"/>
      <color theme="1"/>
      <name val="Times New Roman"/>
    </font>
    <font>
      <color theme="1"/>
      <name val="Times New Roman"/>
    </font>
    <font>
      <color rgb="FF222222"/>
      <name val="Times New Roman"/>
    </font>
    <font>
      <color rgb="FF000000"/>
      <name val="&quot;Times New Roman&quot;"/>
    </font>
    <font>
      <color theme="1"/>
      <name val="Arial"/>
    </font>
    <font>
      <color rgb="FF000000"/>
      <name val="&quot;\0022Times New Roman\0022&quot;"/>
    </font>
    <font>
      <b/>
      <sz val="9.0"/>
      <color rgb="FF000000"/>
      <name val="Times New Roman"/>
    </font>
    <font>
      <color rgb="FF101820"/>
      <name val="Inter"/>
    </font>
    <font>
      <color rgb="FF000000"/>
      <name val="&quot;\&quot;Times New Roman\&quot;&quot;"/>
    </font>
    <font>
      <sz val="10.0"/>
      <color rgb="FF222222"/>
      <name val="Times New Roman"/>
    </font>
    <font>
      <color rgb="FF000000"/>
      <name val="Arial"/>
    </font>
    <font>
      <sz val="11.0"/>
      <color rgb="FF000000"/>
      <name val="Calibri"/>
    </font>
    <font>
      <b/>
      <sz val="10.0"/>
      <color rgb="FFFF0000"/>
      <name val="Times New Roman"/>
    </font>
    <font>
      <sz val="12.0"/>
      <color rgb="FF101820"/>
      <name val="Inter"/>
    </font>
    <font>
      <color theme="1"/>
      <name val="Inter"/>
    </font>
    <font>
      <color theme="1"/>
      <name val="Arial"/>
      <scheme val="minor"/>
    </font>
    <font>
      <b/>
      <color rgb="FFFFFF00"/>
      <name val="Times New Roman"/>
    </font>
    <font>
      <b/>
      <color rgb="FFFFFF00"/>
      <name val="&quot;Times New Roman&quot;"/>
    </font>
    <font>
      <color rgb="FF000000"/>
      <name val="Inter"/>
    </font>
    <font>
      <color theme="1"/>
      <name val="&quot;Times New Roman&quot;"/>
    </font>
    <font>
      <b/>
      <sz val="9.0"/>
      <color rgb="FF000000"/>
      <name val="&quot;Google Sans Mono&quot;"/>
    </font>
    <font>
      <sz val="11.0"/>
      <color rgb="FF000000"/>
      <name val="&quot;Aptos Narrow&quot;"/>
    </font>
    <font>
      <sz val="10.0"/>
      <color rgb="FF000000"/>
      <name val="Arial"/>
    </font>
    <font>
      <sz val="10.0"/>
      <color rgb="FF1F1F1F"/>
      <name val="Times New Roman"/>
    </font>
    <font>
      <sz val="10.0"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&quot;Aptos Narrow&quot;"/>
    </font>
    <font>
      <sz val="11.0"/>
      <color theme="1"/>
      <name val="&quot;Aptos Narrow&quot;"/>
    </font>
    <font>
      <sz val="11.0"/>
      <color theme="1"/>
      <name val="Arial"/>
    </font>
    <font>
      <sz val="10.0"/>
      <color rgb="FFFF0000"/>
      <name val="Times New Roman"/>
    </font>
    <font>
      <sz val="11.0"/>
      <color rgb="FF000000"/>
      <name val="Times New Roman"/>
    </font>
    <font>
      <sz val="10.0"/>
      <color rgb="FF980000"/>
      <name val="Times New Roman"/>
    </font>
    <font>
      <sz val="10.0"/>
      <color rgb="FF990000"/>
      <name val="Times New Roman"/>
    </font>
    <font>
      <sz val="10.0"/>
      <color rgb="FF202124"/>
      <name val="Times New Roman"/>
    </font>
    <font>
      <b/>
      <sz val="10.0"/>
      <color rgb="FFFFFFFF"/>
      <name val="Times New Roman"/>
    </font>
    <font>
      <sz val="7.0"/>
      <color theme="1"/>
      <name val="Times New Roman"/>
    </font>
    <font>
      <sz val="10.0"/>
      <color rgb="FF313131"/>
      <name val="Times New Roman"/>
    </font>
    <font>
      <sz val="10.0"/>
      <color theme="1"/>
      <name val="Arial"/>
      <scheme val="minor"/>
    </font>
    <font>
      <sz val="10.0"/>
      <color rgb="FFFFFFFF"/>
      <name val="Arial"/>
    </font>
    <font>
      <sz val="10.0"/>
      <color rgb="FFFFFFFF"/>
      <name val="Monospace"/>
    </font>
    <font>
      <b/>
      <color rgb="FFFFFF00"/>
      <name val="Arial"/>
    </font>
    <font>
      <sz val="10.0"/>
      <color rgb="FF444444"/>
      <name val="Arial"/>
    </font>
    <font>
      <sz val="10.0"/>
      <color rgb="FF0000FF"/>
      <name val="Times New Roman"/>
    </font>
    <font>
      <sz val="10.0"/>
      <color rgb="FF201F1E"/>
      <name val="Times New Roman"/>
    </font>
    <font>
      <color rgb="FFFF0000"/>
      <name val="Arial"/>
    </font>
    <font>
      <b/>
      <sz val="10.0"/>
      <color rgb="FFFFFF00"/>
      <name val="Arial"/>
    </font>
    <font>
      <sz val="9.0"/>
      <color rgb="FF2B2E2F"/>
      <name val="Times New Roman"/>
    </font>
    <font>
      <i/>
      <sz val="10.0"/>
      <color rgb="FF3C4043"/>
      <name val="Times New Roman"/>
    </font>
    <font>
      <color rgb="FF222222"/>
      <name val="Arial"/>
    </font>
    <font>
      <sz val="10.0"/>
      <color rgb="FF222222"/>
      <name val="Arial"/>
    </font>
    <font>
      <sz val="10.0"/>
      <color rgb="FF0A0A0A"/>
      <name val="Times New Roman"/>
    </font>
    <font>
      <sz val="8.0"/>
      <color theme="1"/>
      <name val="Times New Roman"/>
    </font>
    <font>
      <sz val="10.0"/>
      <color rgb="FF202124"/>
      <name val="Arial"/>
    </font>
    <font>
      <i/>
      <sz val="10.0"/>
      <color theme="1"/>
      <name val="Times New Roman"/>
    </font>
    <font>
      <sz val="8.0"/>
      <color rgb="FF000000"/>
      <name val="Times New Roman"/>
    </font>
    <font>
      <b/>
      <sz val="6.0"/>
      <color theme="1"/>
      <name val="Times New Roman"/>
    </font>
    <font>
      <color rgb="FF222222"/>
      <name val="Helvetica Neue"/>
    </font>
    <font>
      <color rgb="FFFF0000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4A86E8"/>
        <bgColor rgb="FF4A86E8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rgb="FFFAFAFA"/>
        <bgColor rgb="FFFAFAFA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4" fontId="2" numFmtId="0" xfId="0" applyAlignment="1" applyFill="1" applyFont="1">
      <alignment horizontal="center"/>
    </xf>
    <xf borderId="0" fillId="5" fontId="1" numFmtId="0" xfId="0" applyAlignment="1" applyFill="1" applyFont="1">
      <alignment horizontal="center" shrinkToFit="0" vertical="center" wrapText="0"/>
    </xf>
    <xf borderId="0" fillId="4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shrinkToFit="0" vertical="center" wrapText="0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0" fillId="4" fontId="2" numFmtId="0" xfId="0" applyAlignment="1" applyFont="1">
      <alignment horizontal="center" vertical="center"/>
    </xf>
    <xf borderId="2" fillId="2" fontId="1" numFmtId="49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0" fillId="3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4" fillId="0" fontId="4" numFmtId="0" xfId="0" applyBorder="1" applyFont="1"/>
    <xf borderId="1" fillId="0" fontId="5" numFmtId="49" xfId="0" applyAlignment="1" applyBorder="1" applyFont="1" applyNumberFormat="1">
      <alignment horizontal="left" readingOrder="0" vertical="center"/>
    </xf>
    <xf borderId="1" fillId="0" fontId="6" numFmtId="49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 vertical="center"/>
    </xf>
    <xf borderId="1" fillId="2" fontId="1" numFmtId="49" xfId="0" applyAlignment="1" applyBorder="1" applyFont="1" applyNumberFormat="1">
      <alignment horizontal="center" shrinkToFit="0" vertical="center" wrapText="0"/>
    </xf>
    <xf borderId="1" fillId="0" fontId="5" numFmtId="10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9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7" fontId="6" numFmtId="0" xfId="0" applyAlignment="1" applyBorder="1" applyFont="1">
      <alignment horizontal="center" readingOrder="0" shrinkToFit="0" vertical="center" wrapText="0"/>
    </xf>
    <xf borderId="1" fillId="7" fontId="6" numFmtId="164" xfId="0" applyAlignment="1" applyBorder="1" applyFont="1" applyNumberForma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7" fontId="7" numFmtId="0" xfId="0" applyAlignment="1" applyBorder="1" applyFont="1">
      <alignment readingOrder="0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vertical="center"/>
    </xf>
    <xf borderId="1" fillId="0" fontId="6" numFmtId="49" xfId="0" applyAlignment="1" applyBorder="1" applyFont="1" applyNumberFormat="1">
      <alignment horizontal="center" vertical="center"/>
    </xf>
    <xf borderId="1" fillId="2" fontId="8" numFmtId="49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0" fillId="2" fontId="1" numFmtId="49" xfId="0" applyAlignment="1" applyFont="1" applyNumberFormat="1">
      <alignment horizontal="center" shrinkToFit="0" vertical="center" wrapText="0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7" fontId="6" numFmtId="165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1" fillId="0" fontId="5" numFmtId="49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horizontal="center" readingOrder="0" vertical="center"/>
    </xf>
    <xf borderId="1" fillId="0" fontId="6" numFmtId="166" xfId="0" applyAlignment="1" applyBorder="1" applyFont="1" applyNumberFormat="1">
      <alignment horizontal="center" readingOrder="0" shrinkToFit="0" vertical="center" wrapText="0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10" xfId="0" applyAlignment="1" applyBorder="1" applyFont="1" applyNumberFormat="1">
      <alignment horizontal="center" readingOrder="0" shrinkToFit="0" vertical="center" wrapText="0"/>
    </xf>
    <xf borderId="1" fillId="0" fontId="6" numFmtId="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shrinkToFit="0" vertical="center" wrapText="0"/>
    </xf>
    <xf borderId="4" fillId="7" fontId="11" numFmtId="49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shrinkToFit="0" vertical="center" wrapText="0"/>
    </xf>
    <xf borderId="1" fillId="0" fontId="6" numFmtId="167" xfId="0" applyAlignment="1" applyBorder="1" applyFont="1" applyNumberFormat="1">
      <alignment horizontal="center" readingOrder="0" vertical="center"/>
    </xf>
    <xf borderId="1" fillId="0" fontId="6" numFmtId="167" xfId="0" applyAlignment="1" applyBorder="1" applyFont="1" applyNumberFormat="1">
      <alignment horizontal="right" readingOrder="0" shrinkToFit="0" vertical="center" wrapText="0"/>
    </xf>
    <xf borderId="1" fillId="7" fontId="5" numFmtId="0" xfId="0" applyAlignment="1" applyBorder="1" applyFont="1">
      <alignment horizontal="center" vertical="center"/>
    </xf>
    <xf borderId="1" fillId="0" fontId="12" numFmtId="164" xfId="0" applyAlignment="1" applyBorder="1" applyFont="1" applyNumberFormat="1">
      <alignment horizontal="center" readingOrder="0" shrinkToFit="0" wrapText="0"/>
    </xf>
    <xf borderId="1" fillId="7" fontId="10" numFmtId="0" xfId="0" applyAlignment="1" applyBorder="1" applyFont="1">
      <alignment horizontal="center" vertical="center"/>
    </xf>
    <xf borderId="1" fillId="0" fontId="12" numFmtId="168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left" shrinkToFit="0" vertical="center" wrapText="1"/>
    </xf>
    <xf borderId="5" fillId="0" fontId="12" numFmtId="167" xfId="0" applyAlignment="1" applyBorder="1" applyFont="1" applyNumberFormat="1">
      <alignment horizontal="right" readingOrder="0" shrinkToFit="0" wrapText="0"/>
    </xf>
    <xf borderId="5" fillId="0" fontId="6" numFmtId="167" xfId="0" applyAlignment="1" applyBorder="1" applyFont="1" applyNumberFormat="1">
      <alignment horizontal="right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10" numFmtId="164" xfId="0" applyAlignment="1" applyBorder="1" applyFont="1" applyNumberFormat="1">
      <alignment horizontal="center" vertical="center"/>
    </xf>
    <xf borderId="1" fillId="0" fontId="13" numFmtId="164" xfId="0" applyAlignment="1" applyBorder="1" applyFont="1" applyNumberFormat="1">
      <alignment horizontal="center" readingOrder="0" vertical="center"/>
    </xf>
    <xf borderId="1" fillId="0" fontId="6" numFmtId="168" xfId="0" applyAlignment="1" applyBorder="1" applyFont="1" applyNumberFormat="1">
      <alignment horizontal="right" readingOrder="0" shrinkToFit="0" vertical="center" wrapText="0"/>
    </xf>
    <xf borderId="1" fillId="0" fontId="10" numFmtId="0" xfId="0" applyAlignment="1" applyBorder="1" applyFont="1">
      <alignment horizontal="center" vertical="center"/>
    </xf>
    <xf borderId="1" fillId="0" fontId="6" numFmtId="167" xfId="0" applyAlignment="1" applyBorder="1" applyFont="1" applyNumberFormat="1">
      <alignment horizontal="right" shrinkToFit="0" vertical="center" wrapText="0"/>
    </xf>
    <xf borderId="1" fillId="0" fontId="10" numFmtId="10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1" fillId="0" fontId="5" numFmtId="9" xfId="0" applyAlignment="1" applyBorder="1" applyFont="1" applyNumberFormat="1">
      <alignment horizontal="center" shrinkToFit="0" vertical="center" wrapText="0"/>
    </xf>
    <xf borderId="1" fillId="0" fontId="10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shrinkToFit="0" vertical="center" wrapText="0"/>
    </xf>
    <xf borderId="1" fillId="0" fontId="10" numFmtId="167" xfId="0" applyAlignment="1" applyBorder="1" applyFont="1" applyNumberFormat="1">
      <alignment horizontal="center" readingOrder="0" vertical="center"/>
    </xf>
    <xf borderId="1" fillId="0" fontId="14" numFmtId="164" xfId="0" applyAlignment="1" applyBorder="1" applyFont="1" applyNumberFormat="1">
      <alignment horizontal="center" readingOrder="0" shrinkToFit="0" vertical="bottom" wrapText="0"/>
    </xf>
    <xf borderId="1" fillId="7" fontId="15" numFmtId="0" xfId="0" applyAlignment="1" applyBorder="1" applyFont="1">
      <alignment horizontal="center" vertical="center"/>
    </xf>
    <xf borderId="1" fillId="0" fontId="12" numFmtId="167" xfId="0" applyAlignment="1" applyBorder="1" applyFont="1" applyNumberFormat="1">
      <alignment horizontal="right" readingOrder="0" shrinkToFit="0" wrapText="0"/>
    </xf>
    <xf borderId="6" fillId="0" fontId="10" numFmtId="0" xfId="0" applyAlignment="1" applyBorder="1" applyFont="1">
      <alignment vertical="center"/>
    </xf>
    <xf borderId="1" fillId="0" fontId="5" numFmtId="167" xfId="0" applyAlignment="1" applyBorder="1" applyFont="1" applyNumberFormat="1">
      <alignment horizontal="right" readingOrder="0" shrinkToFit="0" vertical="center" wrapText="0"/>
    </xf>
    <xf borderId="6" fillId="0" fontId="10" numFmtId="0" xfId="0" applyAlignment="1" applyBorder="1" applyFont="1">
      <alignment readingOrder="0" vertical="center"/>
    </xf>
    <xf borderId="1" fillId="0" fontId="5" numFmtId="167" xfId="0" applyAlignment="1" applyBorder="1" applyFont="1" applyNumberFormat="1">
      <alignment horizontal="right" vertical="center"/>
    </xf>
    <xf borderId="1" fillId="0" fontId="6" numFmtId="167" xfId="0" applyAlignment="1" applyBorder="1" applyFont="1" applyNumberFormat="1">
      <alignment horizontal="right" vertical="center"/>
    </xf>
    <xf borderId="1" fillId="0" fontId="5" numFmtId="49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67" xfId="0" applyAlignment="1" applyBorder="1" applyFont="1" applyNumberFormat="1">
      <alignment horizontal="right" shrinkToFit="0" vertical="center" wrapText="0"/>
    </xf>
    <xf borderId="1" fillId="0" fontId="6" numFmtId="166" xfId="0" applyAlignment="1" applyBorder="1" applyFont="1" applyNumberFormat="1">
      <alignment horizontal="center" shrinkToFit="0" vertical="center" wrapText="0"/>
    </xf>
    <xf borderId="1" fillId="0" fontId="6" numFmtId="10" xfId="0" applyAlignment="1" applyBorder="1" applyFont="1" applyNumberFormat="1">
      <alignment horizontal="center" shrinkToFit="0" vertical="center" wrapText="0"/>
    </xf>
    <xf borderId="1" fillId="0" fontId="6" numFmtId="9" xfId="0" applyAlignment="1" applyBorder="1" applyFont="1" applyNumberFormat="1">
      <alignment horizontal="center" shrinkToFit="0" vertical="center" wrapText="0"/>
    </xf>
    <xf borderId="1" fillId="0" fontId="5" numFmtId="167" xfId="0" applyAlignment="1" applyBorder="1" applyFont="1" applyNumberFormat="1">
      <alignment horizontal="right" readingOrder="0" shrinkToFit="0" vertical="center" wrapText="0"/>
    </xf>
    <xf borderId="1" fillId="0" fontId="12" numFmtId="164" xfId="0" applyAlignment="1" applyBorder="1" applyFont="1" applyNumberFormat="1">
      <alignment horizontal="center" readingOrder="0"/>
    </xf>
    <xf borderId="5" fillId="0" fontId="10" numFmtId="49" xfId="0" applyAlignment="1" applyBorder="1" applyFont="1" applyNumberFormat="1">
      <alignment horizontal="center" vertical="center"/>
    </xf>
    <xf borderId="6" fillId="7" fontId="10" numFmtId="0" xfId="0" applyAlignment="1" applyBorder="1" applyFont="1">
      <alignment horizontal="center" vertical="center"/>
    </xf>
    <xf borderId="6" fillId="0" fontId="10" numFmtId="164" xfId="0" applyAlignment="1" applyBorder="1" applyFont="1" applyNumberFormat="1">
      <alignment horizontal="center" vertical="center"/>
    </xf>
    <xf borderId="6" fillId="0" fontId="13" numFmtId="164" xfId="0" applyAlignment="1" applyBorder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6" fillId="0" fontId="10" numFmtId="10" xfId="0" applyAlignment="1" applyBorder="1" applyFont="1" applyNumberForma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5" fillId="0" fontId="12" numFmtId="164" xfId="0" applyAlignment="1" applyBorder="1" applyFont="1" applyNumberFormat="1">
      <alignment horizontal="center" readingOrder="0" shrinkToFit="0" vertical="center" wrapText="0"/>
    </xf>
    <xf borderId="6" fillId="0" fontId="10" numFmtId="167" xfId="0" applyAlignment="1" applyBorder="1" applyFont="1" applyNumberFormat="1">
      <alignment horizontal="center" vertical="center"/>
    </xf>
    <xf borderId="6" fillId="7" fontId="10" numFmtId="0" xfId="0" applyAlignment="1" applyBorder="1" applyFont="1">
      <alignment vertical="center"/>
    </xf>
    <xf borderId="5" fillId="7" fontId="10" numFmtId="49" xfId="0" applyAlignment="1" applyBorder="1" applyFont="1" applyNumberFormat="1">
      <alignment horizontal="center" readingOrder="0" vertical="center"/>
    </xf>
    <xf borderId="1" fillId="7" fontId="3" numFmtId="0" xfId="0" applyAlignment="1" applyBorder="1" applyFont="1">
      <alignment horizontal="center" shrinkToFit="0" vertical="center" wrapText="0"/>
    </xf>
    <xf borderId="6" fillId="0" fontId="10" numFmtId="166" xfId="0" applyAlignment="1" applyBorder="1" applyFont="1" applyNumberFormat="1">
      <alignment horizontal="center" vertical="center"/>
    </xf>
    <xf borderId="6" fillId="7" fontId="10" numFmtId="0" xfId="0" applyAlignment="1" applyBorder="1" applyFont="1">
      <alignment horizontal="center" readingOrder="0" vertical="center"/>
    </xf>
    <xf borderId="6" fillId="0" fontId="10" numFmtId="167" xfId="0" applyAlignment="1" applyBorder="1" applyFont="1" applyNumberFormat="1">
      <alignment horizontal="center" readingOrder="0" vertical="center"/>
    </xf>
    <xf borderId="6" fillId="0" fontId="10" numFmtId="166" xfId="0" applyAlignment="1" applyBorder="1" applyFont="1" applyNumberFormat="1">
      <alignment vertical="center"/>
    </xf>
    <xf borderId="5" fillId="0" fontId="12" numFmtId="0" xfId="0" applyAlignment="1" applyBorder="1" applyFont="1">
      <alignment horizontal="center" shrinkToFit="0" vertical="center" wrapText="0"/>
    </xf>
    <xf borderId="1" fillId="0" fontId="6" numFmtId="165" xfId="0" applyAlignment="1" applyBorder="1" applyFont="1" applyNumberFormat="1">
      <alignment horizontal="center" readingOrder="0" vertical="center"/>
    </xf>
    <xf borderId="0" fillId="0" fontId="5" numFmtId="167" xfId="0" applyAlignment="1" applyFont="1" applyNumberFormat="1">
      <alignment horizontal="right" readingOrder="0" shrinkToFit="0" vertical="center" wrapText="0"/>
    </xf>
    <xf borderId="1" fillId="0" fontId="10" numFmtId="167" xfId="0" applyAlignment="1" applyBorder="1" applyFont="1" applyNumberFormat="1">
      <alignment horizontal="right"/>
    </xf>
    <xf borderId="1" fillId="0" fontId="10" numFmtId="167" xfId="0" applyAlignment="1" applyBorder="1" applyFont="1" applyNumberFormat="1">
      <alignment horizontal="right" readingOrder="0"/>
    </xf>
    <xf borderId="6" fillId="7" fontId="10" numFmtId="10" xfId="0" applyAlignment="1" applyBorder="1" applyFont="1" applyNumberFormat="1">
      <alignment horizontal="center" vertical="center"/>
    </xf>
    <xf borderId="0" fillId="7" fontId="16" numFmtId="0" xfId="0" applyAlignment="1" applyFont="1">
      <alignment readingOrder="0"/>
    </xf>
    <xf borderId="1" fillId="0" fontId="6" numFmtId="0" xfId="0" applyAlignment="1" applyBorder="1" applyFont="1">
      <alignment horizontal="right" vertical="center"/>
    </xf>
    <xf borderId="1" fillId="0" fontId="10" numFmtId="0" xfId="0" applyAlignment="1" applyBorder="1" applyFont="1">
      <alignment shrinkToFit="0" vertical="center" wrapText="1"/>
    </xf>
    <xf borderId="1" fillId="0" fontId="17" numFmtId="164" xfId="0" applyAlignment="1" applyBorder="1" applyFont="1" applyNumberFormat="1">
      <alignment horizontal="center" readingOrder="0" shrinkToFit="0" vertical="bottom" wrapText="0"/>
    </xf>
    <xf borderId="2" fillId="3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1" fillId="7" fontId="18" numFmtId="0" xfId="0" applyAlignment="1" applyBorder="1" applyFont="1">
      <alignment horizontal="left" shrinkToFit="0" vertical="center" wrapText="1"/>
    </xf>
    <xf borderId="3" fillId="6" fontId="3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center" readingOrder="0" vertical="center"/>
    </xf>
    <xf borderId="1" fillId="0" fontId="19" numFmtId="164" xfId="0" applyAlignment="1" applyBorder="1" applyFont="1" applyNumberFormat="1">
      <alignment shrinkToFit="0" vertical="bottom" wrapText="0"/>
    </xf>
    <xf borderId="1" fillId="7" fontId="5" numFmtId="0" xfId="0" applyAlignment="1" applyBorder="1" applyFont="1">
      <alignment horizontal="left" readingOrder="0" shrinkToFit="0" vertical="center" wrapText="0"/>
    </xf>
    <xf borderId="1" fillId="7" fontId="5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7" fontId="5" numFmtId="164" xfId="0" applyAlignment="1" applyBorder="1" applyFont="1" applyNumberFormat="1">
      <alignment horizontal="center" shrinkToFit="0" vertical="center" wrapText="0"/>
    </xf>
    <xf borderId="1" fillId="0" fontId="6" numFmtId="10" xfId="0" applyAlignment="1" applyBorder="1" applyFont="1" applyNumberFormat="1">
      <alignment horizontal="center" vertical="center"/>
    </xf>
    <xf borderId="1" fillId="7" fontId="5" numFmtId="9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vertical="center"/>
    </xf>
    <xf borderId="1" fillId="0" fontId="12" numFmtId="0" xfId="0" applyAlignment="1" applyBorder="1" applyFont="1">
      <alignment horizontal="center" readingOrder="0" shrinkToFit="0" wrapText="0"/>
    </xf>
    <xf borderId="0" fillId="0" fontId="20" numFmtId="168" xfId="0" applyAlignment="1" applyFont="1" applyNumberFormat="1">
      <alignment horizontal="right" readingOrder="0" shrinkToFit="0" vertical="bottom" wrapText="0"/>
    </xf>
    <xf borderId="5" fillId="7" fontId="10" numFmtId="49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2" numFmtId="165" xfId="0" applyAlignment="1" applyBorder="1" applyFont="1" applyNumberFormat="1">
      <alignment horizontal="center" readingOrder="0" shrinkToFit="0" wrapText="0"/>
    </xf>
    <xf borderId="0" fillId="7" fontId="5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1" fillId="7" fontId="5" numFmtId="0" xfId="0" applyAlignment="1" applyBorder="1" applyFont="1">
      <alignment horizontal="left" shrinkToFit="0" vertical="center" wrapText="1"/>
    </xf>
    <xf borderId="1" fillId="7" fontId="5" numFmtId="0" xfId="0" applyAlignment="1" applyBorder="1" applyFont="1">
      <alignment horizontal="left" shrinkToFit="0" vertical="center" wrapText="1"/>
    </xf>
    <xf borderId="1" fillId="0" fontId="21" numFmtId="0" xfId="0" applyAlignment="1" applyBorder="1" applyFont="1">
      <alignment horizontal="center" shrinkToFit="0" vertical="center" wrapText="0"/>
    </xf>
    <xf borderId="1" fillId="7" fontId="5" numFmtId="9" xfId="0" applyAlignment="1" applyBorder="1" applyFont="1" applyNumberFormat="1">
      <alignment horizontal="center" readingOrder="0" shrinkToFit="0" vertical="center" wrapText="0"/>
    </xf>
    <xf borderId="1" fillId="7" fontId="5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shrinkToFit="0" wrapText="0"/>
    </xf>
    <xf borderId="1" fillId="7" fontId="16" numFmtId="0" xfId="0" applyAlignment="1" applyBorder="1" applyFont="1">
      <alignment readingOrder="0" shrinkToFit="0" wrapText="1"/>
    </xf>
    <xf borderId="1" fillId="7" fontId="7" numFmtId="0" xfId="0" applyAlignment="1" applyBorder="1" applyFont="1">
      <alignment horizontal="left" vertical="center"/>
    </xf>
    <xf borderId="1" fillId="7" fontId="5" numFmtId="0" xfId="0" applyAlignment="1" applyBorder="1" applyFont="1">
      <alignment horizontal="left" readingOrder="0" vertical="center"/>
    </xf>
    <xf borderId="1" fillId="7" fontId="22" numFmtId="0" xfId="0" applyAlignment="1" applyBorder="1" applyFont="1">
      <alignment shrinkToFit="0" wrapText="1"/>
    </xf>
    <xf borderId="5" fillId="0" fontId="10" numFmtId="49" xfId="0" applyAlignment="1" applyBorder="1" applyFont="1" applyNumberFormat="1">
      <alignment horizontal="center" readingOrder="0" vertical="center"/>
    </xf>
    <xf borderId="6" fillId="0" fontId="10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6" fillId="7" fontId="10" numFmtId="10" xfId="0" applyAlignment="1" applyBorder="1" applyFont="1" applyNumberFormat="1">
      <alignment horizontal="center" readingOrder="0" vertical="center"/>
    </xf>
    <xf borderId="1" fillId="0" fontId="5" numFmtId="9" xfId="0" applyAlignment="1" applyBorder="1" applyFont="1" applyNumberFormat="1">
      <alignment horizontal="center" readingOrder="0" shrinkToFit="0" vertical="center" wrapText="0"/>
    </xf>
    <xf borderId="5" fillId="0" fontId="12" numFmtId="165" xfId="0" applyAlignment="1" applyBorder="1" applyFont="1" applyNumberFormat="1">
      <alignment horizontal="center" readingOrder="0" shrinkToFit="0" vertical="center" wrapText="0"/>
    </xf>
    <xf borderId="6" fillId="0" fontId="10" numFmtId="164" xfId="0" applyAlignment="1" applyBorder="1" applyFont="1" applyNumberFormat="1">
      <alignment vertical="center"/>
    </xf>
    <xf borderId="1" fillId="0" fontId="5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center" readingOrder="0" vertical="center"/>
    </xf>
    <xf borderId="6" fillId="0" fontId="10" numFmtId="10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7" fontId="22" numFmtId="0" xfId="0" applyAlignment="1" applyFont="1">
      <alignment shrinkToFit="0" vertical="center" wrapText="1"/>
    </xf>
    <xf borderId="1" fillId="0" fontId="10" numFmtId="0" xfId="0" applyAlignment="1" applyBorder="1" applyFont="1">
      <alignment readingOrder="0" vertical="center"/>
    </xf>
    <xf borderId="0" fillId="0" fontId="24" numFmtId="0" xfId="0" applyAlignment="1" applyFont="1">
      <alignment readingOrder="0"/>
    </xf>
    <xf borderId="6" fillId="0" fontId="10" numFmtId="164" xfId="0" applyAlignment="1" applyBorder="1" applyFont="1" applyNumberFormat="1">
      <alignment readingOrder="0" vertical="center"/>
    </xf>
    <xf borderId="1" fillId="0" fontId="5" numFmtId="167" xfId="0" applyAlignment="1" applyBorder="1" applyFont="1" applyNumberFormat="1">
      <alignment horizontal="right" readingOrder="0" vertical="center"/>
    </xf>
    <xf borderId="1" fillId="0" fontId="6" numFmtId="166" xfId="0" applyAlignment="1" applyBorder="1" applyFont="1" applyNumberFormat="1">
      <alignment horizontal="center" readingOrder="0" vertical="center"/>
    </xf>
    <xf borderId="1" fillId="0" fontId="6" numFmtId="167" xfId="0" applyAlignment="1" applyBorder="1" applyFont="1" applyNumberFormat="1">
      <alignment horizontal="right" readingOrder="0" vertical="center"/>
    </xf>
    <xf borderId="1" fillId="0" fontId="12" numFmtId="0" xfId="0" applyAlignment="1" applyBorder="1" applyFont="1">
      <alignment vertical="center"/>
    </xf>
    <xf borderId="1" fillId="0" fontId="6" numFmtId="166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7" fontId="7" numFmtId="0" xfId="0" applyAlignment="1" applyBorder="1" applyFont="1">
      <alignment vertical="center"/>
    </xf>
    <xf borderId="0" fillId="7" fontId="12" numFmtId="0" xfId="0" applyAlignment="1" applyFont="1">
      <alignment horizontal="left" readingOrder="0"/>
    </xf>
    <xf borderId="6" fillId="0" fontId="12" numFmtId="0" xfId="0" applyAlignment="1" applyBorder="1" applyFont="1">
      <alignment horizontal="center" readingOrder="0" shrinkToFit="0" vertical="center" wrapText="0"/>
    </xf>
    <xf borderId="1" fillId="0" fontId="6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shrinkToFit="0" wrapText="0"/>
    </xf>
    <xf borderId="1" fillId="7" fontId="5" numFmtId="164" xfId="0" applyAlignment="1" applyBorder="1" applyFont="1" applyNumberFormat="1">
      <alignment horizontal="center" readingOrder="0" shrinkToFit="0" vertical="center" wrapText="0"/>
    </xf>
    <xf borderId="1" fillId="0" fontId="6" numFmtId="10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readingOrder="0" vertical="center"/>
    </xf>
    <xf borderId="0" fillId="0" fontId="10" numFmtId="0" xfId="0" applyAlignment="1" applyFont="1">
      <alignment vertical="bottom"/>
    </xf>
    <xf borderId="0" fillId="0" fontId="10" numFmtId="49" xfId="0" applyAlignment="1" applyFont="1" applyNumberFormat="1">
      <alignment horizontal="center" vertical="bottom"/>
    </xf>
    <xf borderId="0" fillId="0" fontId="6" numFmtId="0" xfId="0" applyAlignment="1" applyFont="1">
      <alignment horizontal="center"/>
    </xf>
    <xf borderId="0" fillId="0" fontId="6" numFmtId="166" xfId="0" applyAlignment="1" applyFont="1" applyNumberFormat="1">
      <alignment horizontal="center"/>
    </xf>
    <xf borderId="0" fillId="0" fontId="6" numFmtId="10" xfId="0" applyAlignment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6" numFmtId="0" xfId="0" applyAlignment="1" applyFont="1">
      <alignment horizontal="left" shrinkToFit="0" wrapText="1"/>
    </xf>
    <xf borderId="0" fillId="0" fontId="10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0" fontId="6" numFmtId="167" xfId="0" applyAlignment="1" applyFont="1" applyNumberFormat="1">
      <alignment horizontal="center"/>
    </xf>
    <xf borderId="7" fillId="2" fontId="25" numFmtId="0" xfId="0" applyAlignment="1" applyBorder="1" applyFont="1">
      <alignment vertical="bottom"/>
    </xf>
    <xf borderId="8" fillId="2" fontId="25" numFmtId="0" xfId="0" applyAlignment="1" applyBorder="1" applyFont="1">
      <alignment vertical="bottom"/>
    </xf>
    <xf borderId="9" fillId="2" fontId="25" numFmtId="0" xfId="0" applyAlignment="1" applyBorder="1" applyFont="1">
      <alignment horizontal="center" vertical="bottom"/>
    </xf>
    <xf borderId="0" fillId="7" fontId="5" numFmtId="0" xfId="0" applyAlignment="1" applyFont="1">
      <alignment horizontal="center"/>
    </xf>
    <xf borderId="0" fillId="7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8" fontId="5" numFmtId="166" xfId="0" applyAlignment="1" applyFill="1" applyFont="1" applyNumberFormat="1">
      <alignment horizontal="center" shrinkToFit="0" vertical="bottom" wrapText="0"/>
    </xf>
    <xf borderId="0" fillId="0" fontId="5" numFmtId="166" xfId="0" applyAlignment="1" applyFont="1" applyNumberFormat="1">
      <alignment horizontal="center" shrinkToFit="0" vertical="bottom" wrapText="0"/>
    </xf>
    <xf borderId="0" fillId="7" fontId="25" numFmtId="0" xfId="0" applyAlignment="1" applyFont="1">
      <alignment horizontal="center" vertical="bottom"/>
    </xf>
    <xf borderId="0" fillId="0" fontId="6" numFmtId="166" xfId="0" applyAlignment="1" applyFont="1" applyNumberFormat="1">
      <alignment horizontal="center" shrinkToFit="0" vertical="bottom" wrapText="0"/>
    </xf>
    <xf borderId="0" fillId="0" fontId="6" numFmtId="4" xfId="0" applyAlignment="1" applyFont="1" applyNumberFormat="1">
      <alignment horizontal="center"/>
    </xf>
    <xf borderId="1" fillId="0" fontId="6" numFmtId="167" xfId="0" applyAlignment="1" applyBorder="1" applyFont="1" applyNumberFormat="1">
      <alignment horizontal="center"/>
    </xf>
    <xf borderId="10" fillId="2" fontId="25" numFmtId="0" xfId="0" applyAlignment="1" applyBorder="1" applyFont="1">
      <alignment vertical="bottom"/>
    </xf>
    <xf borderId="0" fillId="2" fontId="25" numFmtId="0" xfId="0" applyAlignment="1" applyFont="1">
      <alignment vertical="bottom"/>
    </xf>
    <xf borderId="1" fillId="0" fontId="6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1" fillId="2" fontId="2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vertical="center"/>
    </xf>
    <xf borderId="1" fillId="2" fontId="1" numFmtId="167" xfId="0" applyAlignment="1" applyBorder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readingOrder="0" vertical="center"/>
    </xf>
    <xf borderId="12" fillId="2" fontId="25" numFmtId="0" xfId="0" applyAlignment="1" applyBorder="1" applyFont="1">
      <alignment vertical="bottom"/>
    </xf>
    <xf borderId="13" fillId="2" fontId="25" numFmtId="0" xfId="0" applyAlignment="1" applyBorder="1" applyFont="1">
      <alignment vertical="bottom"/>
    </xf>
    <xf borderId="14" fillId="2" fontId="25" numFmtId="49" xfId="0" applyAlignment="1" applyBorder="1" applyFont="1" applyNumberFormat="1">
      <alignment horizontal="center" vertical="bottom"/>
    </xf>
    <xf borderId="0" fillId="7" fontId="5" numFmtId="3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left"/>
    </xf>
    <xf borderId="0" fillId="7" fontId="18" numFmtId="49" xfId="0" applyAlignment="1" applyFont="1" applyNumberFormat="1">
      <alignment horizontal="center"/>
    </xf>
    <xf borderId="1" fillId="0" fontId="21" numFmtId="0" xfId="0" applyAlignment="1" applyBorder="1" applyFont="1">
      <alignment horizontal="center" readingOrder="0" shrinkToFit="0" vertical="center" wrapText="0"/>
    </xf>
    <xf borderId="0" fillId="8" fontId="6" numFmtId="0" xfId="0" applyAlignment="1" applyFont="1">
      <alignment horizontal="left"/>
    </xf>
    <xf borderId="0" fillId="8" fontId="6" numFmtId="0" xfId="0" applyAlignment="1" applyFont="1">
      <alignment horizontal="center"/>
    </xf>
    <xf borderId="0" fillId="3" fontId="26" numFmtId="0" xfId="0" applyAlignment="1" applyFont="1">
      <alignment horizontal="center" readingOrder="0"/>
    </xf>
    <xf borderId="1" fillId="7" fontId="6" numFmtId="0" xfId="0" applyAlignment="1" applyBorder="1" applyFont="1">
      <alignment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0" fillId="7" fontId="3" numFmtId="0" xfId="0" applyAlignment="1" applyFont="1">
      <alignment horizontal="center" vertical="center"/>
    </xf>
    <xf borderId="1" fillId="0" fontId="6" numFmtId="167" xfId="0" applyAlignment="1" applyBorder="1" applyFont="1" applyNumberFormat="1">
      <alignment horizontal="center" vertical="center"/>
    </xf>
    <xf borderId="1" fillId="0" fontId="5" numFmtId="4" xfId="0" applyAlignment="1" applyBorder="1" applyFont="1" applyNumberFormat="1">
      <alignment horizontal="right" readingOrder="0" shrinkToFit="0" vertical="center" wrapText="0"/>
    </xf>
    <xf borderId="1" fillId="0" fontId="5" numFmtId="165" xfId="0" applyAlignment="1" applyBorder="1" applyFont="1" applyNumberFormat="1">
      <alignment horizontal="center" readingOrder="0" vertical="center"/>
    </xf>
    <xf borderId="1" fillId="7" fontId="5" numFmtId="0" xfId="0" applyAlignment="1" applyBorder="1" applyFont="1">
      <alignment vertical="center"/>
    </xf>
    <xf borderId="1" fillId="7" fontId="5" numFmtId="164" xfId="0" applyAlignment="1" applyBorder="1" applyFont="1" applyNumberFormat="1">
      <alignment horizontal="center" readingOrder="0" vertical="center"/>
    </xf>
    <xf borderId="0" fillId="7" fontId="5" numFmtId="0" xfId="0" applyAlignment="1" applyFont="1">
      <alignment horizontal="left" shrinkToFit="0" vertical="center" wrapText="0"/>
    </xf>
    <xf borderId="0" fillId="7" fontId="5" numFmtId="49" xfId="0" applyAlignment="1" applyFont="1" applyNumberFormat="1">
      <alignment horizontal="center" shrinkToFit="0" vertical="center" wrapText="0"/>
    </xf>
    <xf borderId="0" fillId="7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0"/>
    </xf>
    <xf borderId="0" fillId="0" fontId="5" numFmtId="10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8" fontId="5" numFmtId="167" xfId="0" applyAlignment="1" applyFont="1" applyNumberFormat="1">
      <alignment horizontal="right" shrinkToFit="0" vertical="center" wrapText="0"/>
    </xf>
    <xf borderId="7" fillId="2" fontId="8" numFmtId="167" xfId="0" applyAlignment="1" applyBorder="1" applyFont="1" applyNumberFormat="1">
      <alignment horizontal="left" shrinkToFit="0" vertical="center" wrapText="0"/>
    </xf>
    <xf borderId="8" fillId="2" fontId="1" numFmtId="167" xfId="0" applyAlignment="1" applyBorder="1" applyFont="1" applyNumberFormat="1">
      <alignment horizontal="left" shrinkToFit="0" vertical="center" wrapText="0"/>
    </xf>
    <xf borderId="9" fillId="2" fontId="1" numFmtId="49" xfId="0" applyAlignment="1" applyBorder="1" applyFont="1" applyNumberFormat="1">
      <alignment horizontal="right" shrinkToFit="0" vertical="center" wrapText="0"/>
    </xf>
    <xf borderId="0" fillId="0" fontId="5" numFmtId="167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5" numFmtId="167" xfId="0" applyAlignment="1" applyFont="1" applyNumberForma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3" numFmtId="167" xfId="0" applyAlignment="1" applyFont="1" applyNumberFormat="1">
      <alignment horizontal="center" shrinkToFit="0" vertical="center" wrapText="0"/>
    </xf>
    <xf borderId="0" fillId="2" fontId="1" numFmtId="167" xfId="0" applyAlignment="1" applyFont="1" applyNumberFormat="1">
      <alignment horizontal="center" shrinkToFit="0" vertical="center" wrapText="0"/>
    </xf>
    <xf borderId="10" fillId="2" fontId="8" numFmtId="0" xfId="0" applyAlignment="1" applyBorder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11" fillId="2" fontId="1" numFmtId="49" xfId="0" applyAlignment="1" applyBorder="1" applyFont="1" applyNumberFormat="1">
      <alignment horizontal="right" shrinkToFit="0" vertical="center" wrapText="0"/>
    </xf>
    <xf borderId="0" fillId="0" fontId="6" numFmtId="10" xfId="0" applyAlignment="1" applyFont="1" applyNumberFormat="1">
      <alignment horizontal="center" vertical="center"/>
    </xf>
    <xf borderId="0" fillId="0" fontId="6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6" numFmtId="167" xfId="0" applyAlignment="1" applyFont="1" applyNumberFormat="1">
      <alignment vertical="center"/>
    </xf>
    <xf borderId="12" fillId="2" fontId="8" numFmtId="0" xfId="0" applyAlignment="1" applyBorder="1" applyFont="1">
      <alignment horizontal="left" shrinkToFit="0" vertical="center" wrapText="0"/>
    </xf>
    <xf borderId="13" fillId="2" fontId="1" numFmtId="0" xfId="0" applyAlignment="1" applyBorder="1" applyFont="1">
      <alignment horizontal="left" shrinkToFit="0" vertical="center" wrapText="0"/>
    </xf>
    <xf borderId="14" fillId="2" fontId="1" numFmtId="49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vertical="center"/>
    </xf>
    <xf borderId="0" fillId="0" fontId="6" numFmtId="49" xfId="0" applyAlignment="1" applyFont="1" applyNumberFormat="1">
      <alignment vertical="center"/>
    </xf>
    <xf borderId="1" fillId="7" fontId="18" numFmtId="0" xfId="0" applyAlignment="1" applyBorder="1" applyFont="1">
      <alignment horizontal="left" readingOrder="0" shrinkToFit="0" vertical="center" wrapText="1"/>
    </xf>
    <xf borderId="0" fillId="7" fontId="27" numFmtId="0" xfId="0" applyAlignment="1" applyFont="1">
      <alignment readingOrder="0"/>
    </xf>
    <xf borderId="0" fillId="0" fontId="6" numFmtId="49" xfId="0" applyAlignment="1" applyFont="1" applyNumberFormat="1">
      <alignment horizontal="center"/>
    </xf>
    <xf borderId="7" fillId="2" fontId="1" numFmtId="0" xfId="0" applyAlignment="1" applyBorder="1" applyFont="1">
      <alignment horizontal="left" shrinkToFit="0" vertical="bottom" wrapText="0"/>
    </xf>
    <xf borderId="8" fillId="2" fontId="1" numFmtId="0" xfId="0" applyAlignment="1" applyBorder="1" applyFont="1">
      <alignment horizontal="left" shrinkToFit="0" vertical="bottom" wrapText="0"/>
    </xf>
    <xf borderId="9" fillId="2" fontId="1" numFmtId="0" xfId="0" applyAlignment="1" applyBorder="1" applyFont="1">
      <alignment horizontal="center" shrinkToFit="0" vertical="bottom" wrapText="0"/>
    </xf>
    <xf borderId="0" fillId="7" fontId="1" numFmtId="0" xfId="0" applyAlignment="1" applyFont="1">
      <alignment horizontal="left" shrinkToFit="0" vertical="bottom" wrapText="0"/>
    </xf>
    <xf borderId="0" fillId="2" fontId="1" numFmtId="167" xfId="0" applyAlignment="1" applyFont="1" applyNumberFormat="1">
      <alignment horizontal="center" shrinkToFit="0" vertical="bottom" wrapText="0"/>
    </xf>
    <xf borderId="4" fillId="0" fontId="6" numFmtId="10" xfId="0" applyAlignment="1" applyBorder="1" applyFont="1" applyNumberForma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6" numFmtId="9" xfId="0" applyAlignment="1" applyBorder="1" applyFont="1" applyNumberFormat="1">
      <alignment horizontal="center" readingOrder="0" shrinkToFit="0" vertical="center" wrapText="0"/>
    </xf>
    <xf borderId="10" fillId="2" fontId="1" numFmtId="0" xfId="0" applyAlignment="1" applyBorder="1" applyFon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11" fillId="2" fontId="1" numFmtId="0" xfId="0" applyAlignment="1" applyBorder="1" applyFont="1">
      <alignment horizontal="center" shrinkToFit="0" vertical="bottom" wrapText="0"/>
    </xf>
    <xf borderId="1" fillId="7" fontId="12" numFmtId="0" xfId="0" applyAlignment="1" applyBorder="1" applyFont="1">
      <alignment vertical="center"/>
    </xf>
    <xf borderId="4" fillId="0" fontId="28" numFmtId="10" xfId="0" applyAlignment="1" applyBorder="1" applyFont="1" applyNumberFormat="1">
      <alignment horizontal="center" vertical="center"/>
    </xf>
    <xf borderId="0" fillId="8" fontId="5" numFmtId="0" xfId="0" applyAlignment="1" applyFont="1">
      <alignment horizontal="center" shrinkToFit="0" vertical="bottom" wrapText="0"/>
    </xf>
    <xf borderId="4" fillId="0" fontId="28" numFmtId="0" xfId="0" applyAlignment="1" applyBorder="1" applyFont="1">
      <alignment horizontal="center" vertical="center"/>
    </xf>
    <xf borderId="4" fillId="0" fontId="28" numFmtId="9" xfId="0" applyAlignment="1" applyBorder="1" applyFont="1" applyNumberFormat="1">
      <alignment horizontal="center" vertical="center"/>
    </xf>
    <xf borderId="0" fillId="0" fontId="6" numFmtId="167" xfId="0" applyAlignment="1" applyFont="1" applyNumberFormat="1">
      <alignment horizontal="center" readingOrder="0"/>
    </xf>
    <xf borderId="0" fillId="0" fontId="6" numFmtId="169" xfId="0" applyAlignment="1" applyFont="1" applyNumberFormat="1">
      <alignment horizontal="center"/>
    </xf>
    <xf borderId="12" fillId="2" fontId="1" numFmtId="0" xfId="0" applyAlignment="1" applyBorder="1" applyFont="1">
      <alignment horizontal="left" shrinkToFit="0" vertical="bottom" wrapText="0"/>
    </xf>
    <xf borderId="13" fillId="2" fontId="1" numFmtId="0" xfId="0" applyAlignment="1" applyBorder="1" applyFont="1">
      <alignment horizontal="left" shrinkToFit="0" vertical="bottom" wrapText="0"/>
    </xf>
    <xf borderId="14" fillId="2" fontId="1" numFmtId="0" xfId="0" applyAlignment="1" applyBorder="1" applyFont="1">
      <alignment horizontal="center" shrinkToFit="0" vertical="bottom" wrapText="0"/>
    </xf>
    <xf borderId="0" fillId="9" fontId="1" numFmtId="0" xfId="0" applyAlignment="1" applyFill="1" applyFont="1">
      <alignment horizontal="center" shrinkToFit="0" vertical="center" wrapText="0"/>
    </xf>
    <xf borderId="0" fillId="9" fontId="1" numFmtId="49" xfId="0" applyAlignment="1" applyFont="1" applyNumberFormat="1">
      <alignment horizontal="center" vertical="center"/>
    </xf>
    <xf borderId="1" fillId="9" fontId="1" numFmtId="49" xfId="0" applyAlignment="1" applyBorder="1" applyFont="1" applyNumberFormat="1">
      <alignment horizontal="center" readingOrder="0" vertical="center"/>
    </xf>
    <xf borderId="1" fillId="9" fontId="1" numFmtId="49" xfId="0" applyAlignment="1" applyBorder="1" applyFont="1" applyNumberFormat="1">
      <alignment horizontal="center" vertical="center"/>
    </xf>
    <xf borderId="1" fillId="9" fontId="1" numFmtId="49" xfId="0" applyAlignment="1" applyBorder="1" applyFont="1" applyNumberFormat="1">
      <alignment horizontal="center" shrinkToFit="0" vertical="center" wrapText="0"/>
    </xf>
    <xf borderId="1" fillId="9" fontId="1" numFmtId="49" xfId="0" applyAlignment="1" applyBorder="1" applyFont="1" applyNumberFormat="1">
      <alignment horizontal="center" readingOrder="0" shrinkToFit="0" vertical="center" wrapText="0"/>
    </xf>
    <xf borderId="1" fillId="9" fontId="1" numFmtId="49" xfId="0" applyAlignment="1" applyBorder="1" applyFont="1" applyNumberFormat="1">
      <alignment horizontal="center" shrinkToFit="0" vertical="center" wrapText="1"/>
    </xf>
    <xf borderId="0" fillId="9" fontId="1" numFmtId="49" xfId="0" applyAlignment="1" applyFont="1" applyNumberFormat="1">
      <alignment horizontal="center" readingOrder="0" vertical="center"/>
    </xf>
    <xf borderId="0" fillId="9" fontId="1" numFmtId="49" xfId="0" applyAlignment="1" applyFont="1" applyNumberFormat="1">
      <alignment horizontal="center" shrinkToFit="0" vertical="center" wrapText="0"/>
    </xf>
    <xf borderId="0" fillId="9" fontId="1" numFmtId="49" xfId="0" applyAlignment="1" applyFont="1" applyNumberFormat="1">
      <alignment horizontal="center" readingOrder="0" shrinkToFit="0" vertical="center" wrapText="0"/>
    </xf>
    <xf borderId="1" fillId="7" fontId="5" numFmtId="0" xfId="0" applyBorder="1" applyFont="1"/>
    <xf borderId="1" fillId="7" fontId="5" numFmtId="49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6" numFmtId="0" xfId="0" applyAlignment="1" applyFont="1">
      <alignment horizontal="left" vertical="center"/>
    </xf>
    <xf borderId="0" fillId="0" fontId="6" numFmtId="49" xfId="0" applyAlignment="1" applyFont="1" applyNumberFormat="1">
      <alignment horizontal="center" vertical="center"/>
    </xf>
    <xf borderId="1" fillId="7" fontId="7" numFmtId="0" xfId="0" applyAlignment="1" applyBorder="1" applyFont="1">
      <alignment readingOrder="0" vertical="center"/>
    </xf>
    <xf borderId="0" fillId="7" fontId="3" numFmtId="0" xfId="0" applyAlignment="1" applyFont="1">
      <alignment horizontal="center" shrinkToFit="0" vertical="center" wrapText="0"/>
    </xf>
    <xf borderId="0" fillId="0" fontId="6" numFmtId="166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6" fillId="0" fontId="10" numFmtId="164" xfId="0" applyAlignment="1" applyBorder="1" applyFont="1" applyNumberFormat="1">
      <alignment horizontal="center" vertical="bottom"/>
    </xf>
    <xf borderId="0" fillId="0" fontId="6" numFmtId="167" xfId="0" applyAlignment="1" applyFont="1" applyNumberFormat="1">
      <alignment horizontal="center" vertical="center"/>
    </xf>
    <xf borderId="6" fillId="0" fontId="10" numFmtId="0" xfId="0" applyAlignment="1" applyBorder="1" applyFont="1">
      <alignment horizontal="center" readingOrder="0" vertical="bottom"/>
    </xf>
    <xf borderId="6" fillId="0" fontId="10" numFmtId="10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left" shrinkToFit="0" wrapText="1"/>
    </xf>
    <xf borderId="1" fillId="7" fontId="5" numFmtId="0" xfId="0" applyAlignment="1" applyBorder="1" applyFont="1">
      <alignment readingOrder="0"/>
    </xf>
    <xf borderId="0" fillId="7" fontId="29" numFmtId="0" xfId="0" applyAlignment="1" applyFont="1">
      <alignment horizontal="center"/>
    </xf>
    <xf borderId="7" fillId="2" fontId="1" numFmtId="0" xfId="0" applyAlignment="1" applyBorder="1" applyFont="1">
      <alignment horizontal="left" shrinkToFit="0" vertical="center" wrapText="0"/>
    </xf>
    <xf borderId="8" fillId="2" fontId="1" numFmtId="0" xfId="0" applyAlignment="1" applyBorder="1" applyFont="1">
      <alignment horizontal="left" shrinkToFit="0" vertical="center" wrapText="0"/>
    </xf>
    <xf borderId="9" fillId="2" fontId="1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vertical="center"/>
    </xf>
    <xf borderId="1" fillId="7" fontId="11" numFmtId="0" xfId="0" applyAlignment="1" applyBorder="1" applyFont="1">
      <alignment horizontal="center"/>
    </xf>
    <xf borderId="10" fillId="2" fontId="1" numFmtId="0" xfId="0" applyAlignment="1" applyBorder="1" applyFont="1">
      <alignment horizontal="left" shrinkToFit="0" vertical="center" wrapText="0"/>
    </xf>
    <xf borderId="0" fillId="0" fontId="30" numFmtId="168" xfId="0" applyAlignment="1" applyFont="1" applyNumberFormat="1">
      <alignment horizontal="right" readingOrder="0" shrinkToFit="0" vertical="bottom" wrapText="0"/>
    </xf>
    <xf borderId="1" fillId="0" fontId="31" numFmtId="170" xfId="0" applyAlignment="1" applyBorder="1" applyFont="1" applyNumberFormat="1">
      <alignment horizontal="center" readingOrder="0"/>
    </xf>
    <xf borderId="11" fillId="2" fontId="1" numFmtId="0" xfId="0" applyAlignment="1" applyBorder="1" applyFont="1">
      <alignment horizontal="center" shrinkToFit="0" vertical="center" wrapText="0"/>
    </xf>
    <xf borderId="0" fillId="7" fontId="5" numFmtId="0" xfId="0" applyAlignment="1" applyFont="1">
      <alignment horizontal="center" vertical="center"/>
    </xf>
    <xf borderId="0" fillId="8" fontId="5" numFmtId="166" xfId="0" applyAlignment="1" applyFont="1" applyNumberFormat="1">
      <alignment horizontal="center" shrinkToFit="0" vertical="center" wrapText="0"/>
    </xf>
    <xf borderId="0" fillId="0" fontId="5" numFmtId="166" xfId="0" applyAlignment="1" applyFont="1" applyNumberFormat="1">
      <alignment horizontal="center" shrinkToFit="0" vertical="center" wrapText="0"/>
    </xf>
    <xf borderId="1" fillId="0" fontId="10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readingOrder="0" vertical="bottom"/>
    </xf>
    <xf borderId="1" fillId="0" fontId="10" numFmtId="10" xfId="0" applyAlignment="1" applyBorder="1" applyFont="1" applyNumberFormat="1">
      <alignment horizontal="center" vertical="bottom"/>
    </xf>
    <xf borderId="1" fillId="0" fontId="30" numFmtId="168" xfId="0" applyAlignment="1" applyBorder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horizontal="left" shrinkToFit="0" vertical="center" wrapText="0"/>
    </xf>
    <xf borderId="14" fillId="2" fontId="1" numFmtId="0" xfId="0" applyAlignment="1" applyBorder="1" applyFont="1">
      <alignment horizontal="center" shrinkToFit="0" vertical="center" wrapText="0"/>
    </xf>
    <xf borderId="0" fillId="8" fontId="6" numFmtId="0" xfId="0" applyAlignment="1" applyFont="1">
      <alignment horizontal="left" vertical="center"/>
    </xf>
    <xf borderId="0" fillId="7" fontId="18" numFmtId="49" xfId="0" applyAlignment="1" applyFont="1" applyNumberFormat="1">
      <alignment horizontal="center" vertical="center"/>
    </xf>
    <xf borderId="0" fillId="7" fontId="5" numFmtId="3" xfId="0" applyAlignment="1" applyFont="1" applyNumberFormat="1">
      <alignment horizontal="center" shrinkToFit="0" vertical="center" wrapText="0"/>
    </xf>
    <xf borderId="0" fillId="9" fontId="1" numFmtId="167" xfId="0" applyAlignment="1" applyFont="1" applyNumberFormat="1">
      <alignment horizontal="center" shrinkToFit="0" vertical="bottom" wrapText="0"/>
    </xf>
    <xf borderId="4" fillId="0" fontId="13" numFmtId="0" xfId="0" applyAlignment="1" applyBorder="1" applyFont="1">
      <alignment readingOrder="0"/>
    </xf>
    <xf borderId="0" fillId="8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0"/>
    </xf>
    <xf borderId="0" fillId="2" fontId="1" numFmtId="170" xfId="0" applyAlignment="1" applyFont="1" applyNumberFormat="1">
      <alignment horizontal="center" shrinkToFit="0" vertical="bottom" wrapText="0"/>
    </xf>
    <xf borderId="0" fillId="8" fontId="18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6" xfId="0" applyAlignment="1" applyFont="1" applyNumberFormat="1">
      <alignment horizontal="center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0" fillId="7" fontId="6" numFmtId="166" xfId="0" applyAlignment="1" applyFont="1" applyNumberFormat="1">
      <alignment horizontal="center"/>
    </xf>
    <xf borderId="0" fillId="7" fontId="6" numFmtId="0" xfId="0" applyAlignment="1" applyFont="1">
      <alignment horizontal="center"/>
    </xf>
    <xf borderId="0" fillId="0" fontId="24" numFmtId="0" xfId="0" applyAlignment="1" applyFont="1">
      <alignment horizontal="center"/>
    </xf>
    <xf borderId="1" fillId="0" fontId="5" numFmtId="10" xfId="0" applyAlignment="1" applyBorder="1" applyFont="1" applyNumberFormat="1">
      <alignment horizontal="center" vertical="center"/>
    </xf>
    <xf borderId="1" fillId="0" fontId="5" numFmtId="9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left" readingOrder="0" vertical="center"/>
    </xf>
    <xf borderId="2" fillId="6" fontId="3" numFmtId="0" xfId="0" applyAlignment="1" applyBorder="1" applyFont="1">
      <alignment horizontal="center" readingOrder="0" shrinkToFit="0" vertical="center" wrapText="1"/>
    </xf>
    <xf borderId="1" fillId="2" fontId="1" numFmtId="166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10" xfId="0" applyAlignment="1" applyBorder="1" applyFont="1" applyNumberFormat="1">
      <alignment horizontal="center" vertical="center"/>
    </xf>
    <xf borderId="1" fillId="2" fontId="25" numFmtId="49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readingOrder="0" shrinkToFit="0" vertical="center" wrapText="0"/>
    </xf>
    <xf borderId="0" fillId="2" fontId="1" numFmtId="166" xfId="0" applyAlignment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vertical="center"/>
    </xf>
    <xf borderId="1" fillId="0" fontId="5" numFmtId="170" xfId="0" applyAlignment="1" applyBorder="1" applyFont="1" applyNumberFormat="1">
      <alignment horizontal="center" vertical="center"/>
    </xf>
    <xf borderId="1" fillId="0" fontId="5" numFmtId="170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170" xfId="0" applyAlignment="1" applyBorder="1" applyFont="1" applyNumberFormat="1">
      <alignment horizontal="center" vertical="center"/>
    </xf>
    <xf borderId="1" fillId="7" fontId="7" numFmtId="0" xfId="0" applyAlignment="1" applyBorder="1" applyFont="1">
      <alignment horizontal="left" readingOrder="0" vertical="center"/>
    </xf>
    <xf borderId="1" fillId="7" fontId="6" numFmtId="0" xfId="0" applyAlignment="1" applyBorder="1" applyFont="1">
      <alignment horizontal="left" vertical="center"/>
    </xf>
    <xf borderId="1" fillId="7" fontId="7" numFmtId="49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readingOrder="0" vertical="center"/>
    </xf>
    <xf borderId="4" fillId="7" fontId="7" numFmtId="49" xfId="0" applyAlignment="1" applyBorder="1" applyFont="1" applyNumberFormat="1">
      <alignment horizontal="center" readingOrder="0" vertical="center"/>
    </xf>
    <xf borderId="1" fillId="0" fontId="10" numFmtId="165" xfId="0" applyAlignment="1" applyBorder="1" applyFont="1" applyNumberFormat="1">
      <alignment horizontal="left" readingOrder="0" vertical="center"/>
    </xf>
    <xf borderId="4" fillId="0" fontId="28" numFmtId="0" xfId="0" applyAlignment="1" applyBorder="1" applyFont="1">
      <alignment vertical="center"/>
    </xf>
    <xf borderId="4" fillId="7" fontId="28" numFmtId="49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left" vertical="center"/>
    </xf>
    <xf borderId="1" fillId="0" fontId="24" numFmtId="0" xfId="0" applyAlignment="1" applyBorder="1" applyFont="1">
      <alignment horizontal="center" readingOrder="0" vertical="center"/>
    </xf>
    <xf borderId="0" fillId="3" fontId="25" numFmtId="0" xfId="0" applyAlignment="1" applyFont="1">
      <alignment horizontal="center"/>
    </xf>
    <xf borderId="2" fillId="2" fontId="1" numFmtId="0" xfId="0" applyAlignment="1" applyBorder="1" applyFont="1">
      <alignment horizontal="center" shrinkToFit="0" vertical="center" wrapText="0"/>
    </xf>
    <xf borderId="4" fillId="0" fontId="28" numFmtId="0" xfId="0" applyAlignment="1" applyBorder="1" applyFont="1">
      <alignment readingOrder="0" vertical="center"/>
    </xf>
    <xf borderId="4" fillId="7" fontId="28" numFmtId="49" xfId="0" applyAlignment="1" applyBorder="1" applyFont="1" applyNumberFormat="1">
      <alignment horizontal="center" readingOrder="0" vertical="center"/>
    </xf>
    <xf borderId="1" fillId="0" fontId="28" numFmtId="0" xfId="0" applyAlignment="1" applyBorder="1" applyFont="1">
      <alignment horizontal="left" readingOrder="0" vertical="center"/>
    </xf>
    <xf borderId="1" fillId="2" fontId="25" numFmtId="49" xfId="0" applyAlignment="1" applyBorder="1" applyFont="1" applyNumberFormat="1">
      <alignment horizontal="center"/>
    </xf>
    <xf borderId="1" fillId="8" fontId="5" numFmtId="0" xfId="0" applyAlignment="1" applyBorder="1" applyFont="1">
      <alignment horizontal="center" readingOrder="0" vertical="center"/>
    </xf>
    <xf borderId="1" fillId="0" fontId="10" numFmtId="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1" fillId="0" fontId="6" numFmtId="165" xfId="0" applyAlignment="1" applyBorder="1" applyFont="1" applyNumberFormat="1">
      <alignment horizontal="left" readingOrder="0" vertical="center"/>
    </xf>
    <xf borderId="1" fillId="7" fontId="11" numFmtId="49" xfId="0" applyAlignment="1" applyBorder="1" applyFont="1" applyNumberFormat="1">
      <alignment horizontal="center" vertical="center"/>
    </xf>
    <xf borderId="1" fillId="0" fontId="10" numFmtId="9" xfId="0" applyAlignment="1" applyBorder="1" applyFont="1" applyNumberFormat="1">
      <alignment horizontal="center" readingOrder="0" vertical="center"/>
    </xf>
    <xf borderId="0" fillId="0" fontId="28" numFmtId="0" xfId="0" applyAlignment="1" applyFont="1">
      <alignment readingOrder="0"/>
    </xf>
    <xf borderId="1" fillId="7" fontId="5" numFmtId="164" xfId="0" applyAlignment="1" applyBorder="1" applyFont="1" applyNumberFormat="1">
      <alignment horizontal="left" readingOrder="0" vertical="center"/>
    </xf>
    <xf borderId="1" fillId="7" fontId="11" numFmtId="49" xfId="0" applyAlignment="1" applyBorder="1" applyFont="1" applyNumberFormat="1">
      <alignment horizontal="center" readingOrder="0" vertical="center"/>
    </xf>
    <xf borderId="1" fillId="7" fontId="5" numFmtId="165" xfId="0" applyAlignment="1" applyBorder="1" applyFont="1" applyNumberFormat="1">
      <alignment horizontal="left" readingOrder="0" vertical="center"/>
    </xf>
    <xf borderId="1" fillId="8" fontId="5" numFmtId="49" xfId="0" applyAlignment="1" applyBorder="1" applyFont="1" applyNumberFormat="1">
      <alignment horizontal="center" readingOrder="0" vertical="center"/>
    </xf>
    <xf borderId="1" fillId="8" fontId="6" numFmtId="0" xfId="0" applyAlignment="1" applyBorder="1" applyFont="1">
      <alignment horizontal="center" readingOrder="0" vertical="center"/>
    </xf>
    <xf borderId="1" fillId="0" fontId="6" numFmtId="170" xfId="0" applyAlignment="1" applyBorder="1" applyFont="1" applyNumberFormat="1">
      <alignment horizontal="center" readingOrder="0" vertical="center"/>
    </xf>
    <xf borderId="1" fillId="8" fontId="6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166" xfId="0" applyAlignment="1" applyFont="1" applyNumberFormat="1">
      <alignment horizontal="center" shrinkToFit="0" vertical="bottom" wrapText="0"/>
    </xf>
    <xf borderId="1" fillId="7" fontId="32" numFmtId="0" xfId="0" applyAlignment="1" applyBorder="1" applyFont="1">
      <alignment vertical="center"/>
    </xf>
    <xf borderId="1" fillId="7" fontId="5" numFmtId="49" xfId="0" applyAlignment="1" applyBorder="1" applyFont="1" applyNumberFormat="1">
      <alignment horizontal="center" vertical="center"/>
    </xf>
    <xf borderId="1" fillId="7" fontId="33" numFmtId="0" xfId="0" applyAlignment="1" applyBorder="1" applyFont="1">
      <alignment horizontal="center" shrinkToFit="0" vertical="center" wrapText="0"/>
    </xf>
    <xf borderId="1" fillId="7" fontId="32" numFmtId="0" xfId="0" applyAlignment="1" applyBorder="1" applyFont="1">
      <alignment readingOrder="0" vertical="center"/>
    </xf>
    <xf borderId="1" fillId="0" fontId="33" numFmtId="170" xfId="0" applyAlignment="1" applyBorder="1" applyFont="1" applyNumberFormat="1">
      <alignment horizontal="center" vertical="center"/>
    </xf>
    <xf borderId="1" fillId="7" fontId="10" numFmtId="0" xfId="0" applyAlignment="1" applyBorder="1" applyFont="1">
      <alignment vertical="center"/>
    </xf>
    <xf borderId="1" fillId="7" fontId="7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8" fontId="6" numFmtId="164" xfId="0" applyAlignment="1" applyFont="1" applyNumberFormat="1">
      <alignment horizontal="left" readingOrder="0"/>
    </xf>
    <xf borderId="1" fillId="7" fontId="12" numFmtId="49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vertical="center"/>
    </xf>
    <xf borderId="0" fillId="9" fontId="1" numFmtId="0" xfId="0" applyAlignment="1" applyFont="1">
      <alignment horizontal="center" readingOrder="0"/>
    </xf>
    <xf borderId="1" fillId="9" fontId="1" numFmtId="0" xfId="0" applyAlignment="1" applyBorder="1" applyFont="1">
      <alignment horizontal="center"/>
    </xf>
    <xf borderId="1" fillId="9" fontId="1" numFmtId="166" xfId="0" applyAlignment="1" applyBorder="1" applyFont="1" applyNumberFormat="1">
      <alignment horizontal="center"/>
    </xf>
    <xf borderId="1" fillId="9" fontId="1" numFmtId="166" xfId="0" applyAlignment="1" applyBorder="1" applyFont="1" applyNumberFormat="1">
      <alignment horizontal="center" shrinkToFit="0" wrapText="0"/>
    </xf>
    <xf borderId="1" fillId="9" fontId="1" numFmtId="0" xfId="0" applyAlignment="1" applyBorder="1" applyFont="1">
      <alignment horizontal="center" shrinkToFit="0" wrapText="0"/>
    </xf>
    <xf borderId="1" fillId="9" fontId="1" numFmtId="10" xfId="0" applyAlignment="1" applyBorder="1" applyFont="1" applyNumberFormat="1">
      <alignment horizontal="center"/>
    </xf>
    <xf borderId="1" fillId="9" fontId="1" numFmtId="166" xfId="0" applyAlignment="1" applyBorder="1" applyFont="1" applyNumberFormat="1">
      <alignment horizontal="left" shrinkToFit="0" wrapText="1"/>
    </xf>
    <xf borderId="1" fillId="9" fontId="1" numFmtId="0" xfId="0" applyAlignment="1" applyBorder="1" applyFont="1">
      <alignment horizontal="center" shrinkToFit="0" vertical="bottom" wrapText="1"/>
    </xf>
    <xf borderId="1" fillId="9" fontId="1" numFmtId="0" xfId="0" applyAlignment="1" applyBorder="1" applyFont="1">
      <alignment horizontal="center" shrinkToFit="0" vertical="bottom" wrapText="0"/>
    </xf>
    <xf borderId="1" fillId="9" fontId="1" numFmtId="166" xfId="0" applyAlignment="1" applyBorder="1" applyFont="1" applyNumberFormat="1">
      <alignment horizontal="center" shrinkToFit="0" vertical="bottom" wrapText="0"/>
    </xf>
    <xf borderId="0" fillId="9" fontId="1" numFmtId="166" xfId="0" applyAlignment="1" applyFont="1" applyNumberFormat="1">
      <alignment horizontal="center" shrinkToFit="0" vertical="bottom" wrapText="0"/>
    </xf>
    <xf borderId="0" fillId="9" fontId="1" numFmtId="171" xfId="0" applyAlignment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left"/>
    </xf>
    <xf borderId="1" fillId="7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/>
    </xf>
    <xf borderId="1" fillId="7" fontId="5" numFmtId="0" xfId="0" applyAlignment="1" applyBorder="1" applyFont="1">
      <alignment horizontal="center" shrinkToFit="0" vertical="bottom" wrapText="0"/>
    </xf>
    <xf borderId="1" fillId="7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bottom" wrapText="0"/>
    </xf>
    <xf borderId="1" fillId="7" fontId="5" numFmtId="164" xfId="0" applyAlignment="1" applyBorder="1" applyFont="1" applyNumberFormat="1">
      <alignment horizontal="center" shrinkToFit="0" vertical="bottom" wrapText="0"/>
    </xf>
    <xf borderId="1" fillId="7" fontId="5" numFmtId="165" xfId="0" applyAlignment="1" applyBorder="1" applyFont="1" applyNumberFormat="1">
      <alignment horizontal="center" shrinkToFit="0" vertical="bottom" wrapText="0"/>
    </xf>
    <xf borderId="1" fillId="0" fontId="5" numFmtId="10" xfId="0" applyAlignment="1" applyBorder="1" applyFont="1" applyNumberForma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right"/>
    </xf>
    <xf borderId="1" fillId="0" fontId="5" numFmtId="0" xfId="0" applyAlignment="1" applyBorder="1" applyFont="1">
      <alignment horizontal="right" shrinkToFit="0" vertical="bottom" wrapText="0"/>
    </xf>
    <xf borderId="1" fillId="0" fontId="5" numFmtId="167" xfId="0" applyAlignment="1" applyBorder="1" applyFont="1" applyNumberFormat="1">
      <alignment horizontal="right" shrinkToFit="0" vertical="bottom" wrapText="0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1" fillId="0" fontId="5" numFmtId="165" xfId="0" applyAlignment="1" applyBorder="1" applyFont="1" applyNumberFormat="1">
      <alignment horizontal="center" shrinkToFit="0" vertical="bottom" wrapText="0"/>
    </xf>
    <xf borderId="1" fillId="0" fontId="5" numFmtId="164" xfId="0" applyAlignment="1" applyBorder="1" applyFont="1" applyNumberFormat="1">
      <alignment horizontal="center" shrinkToFit="0" vertical="bottom" wrapText="0"/>
    </xf>
    <xf borderId="1" fillId="0" fontId="5" numFmtId="0" xfId="0" applyAlignment="1" applyBorder="1" applyFont="1">
      <alignment horizontal="left" shrinkToFit="0" vertical="bottom" wrapText="1"/>
    </xf>
    <xf borderId="1" fillId="7" fontId="5" numFmtId="0" xfId="0" applyAlignment="1" applyBorder="1" applyFont="1">
      <alignment horizontal="left" shrinkToFit="0" vertical="center" wrapText="0"/>
    </xf>
    <xf borderId="1" fillId="7" fontId="5" numFmtId="0" xfId="0" applyAlignment="1" applyBorder="1" applyFont="1">
      <alignment horizontal="left" shrinkToFit="0" vertical="bottom" wrapText="0"/>
    </xf>
    <xf borderId="1" fillId="7" fontId="5" numFmtId="10" xfId="0" applyAlignment="1" applyBorder="1" applyFont="1" applyNumberFormat="1">
      <alignment horizontal="center" shrinkToFit="0" vertical="center" wrapText="0"/>
    </xf>
    <xf borderId="1" fillId="0" fontId="6" numFmtId="10" xfId="0" applyAlignment="1" applyBorder="1" applyFont="1" applyNumberFormat="1">
      <alignment horizontal="center"/>
    </xf>
    <xf borderId="1" fillId="7" fontId="5" numFmtId="0" xfId="0" applyAlignment="1" applyBorder="1" applyFont="1">
      <alignment horizontal="left" shrinkToFit="0" vertical="bottom" wrapText="1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left"/>
    </xf>
    <xf borderId="1" fillId="7" fontId="18" numFmtId="0" xfId="0" applyAlignment="1" applyBorder="1" applyFont="1">
      <alignment horizontal="center"/>
    </xf>
    <xf borderId="1" fillId="8" fontId="5" numFmtId="164" xfId="0" applyAlignment="1" applyBorder="1" applyFont="1" applyNumberFormat="1">
      <alignment horizontal="center" shrinkToFit="0" vertical="bottom" wrapText="0"/>
    </xf>
    <xf borderId="1" fillId="7" fontId="5" numFmtId="167" xfId="0" applyAlignment="1" applyBorder="1" applyFont="1" applyNumberFormat="1">
      <alignment horizontal="right" shrinkToFit="0" vertical="center" wrapText="0"/>
    </xf>
    <xf borderId="1" fillId="8" fontId="5" numFmtId="167" xfId="0" applyAlignment="1" applyBorder="1" applyFont="1" applyNumberFormat="1">
      <alignment horizontal="right" shrinkToFit="0" vertical="center" wrapText="0"/>
    </xf>
    <xf borderId="0" fillId="0" fontId="6" numFmtId="0" xfId="0" applyFont="1"/>
    <xf borderId="1" fillId="8" fontId="5" numFmtId="167" xfId="0" applyAlignment="1" applyBorder="1" applyFont="1" applyNumberFormat="1">
      <alignment horizontal="right" readingOrder="0" shrinkToFit="0" vertical="center" wrapText="0"/>
    </xf>
    <xf borderId="15" fillId="0" fontId="6" numFmtId="0" xfId="0" applyBorder="1" applyFont="1"/>
    <xf borderId="1" fillId="0" fontId="6" numFmtId="167" xfId="0" applyAlignment="1" applyBorder="1" applyFont="1" applyNumberFormat="1">
      <alignment vertical="center"/>
    </xf>
    <xf borderId="1" fillId="0" fontId="5" numFmtId="0" xfId="0" applyAlignment="1" applyBorder="1" applyFont="1">
      <alignment shrinkToFit="0" vertical="center" wrapText="0"/>
    </xf>
    <xf borderId="1" fillId="0" fontId="5" numFmtId="10" xfId="0" applyAlignment="1" applyBorder="1" applyFont="1" applyNumberFormat="1">
      <alignment horizontal="center" shrinkToFit="0" vertical="center" wrapText="0"/>
    </xf>
    <xf borderId="1" fillId="7" fontId="5" numFmtId="165" xfId="0" applyAlignment="1" applyBorder="1" applyFont="1" applyNumberFormat="1">
      <alignment horizontal="center" shrinkToFit="0" vertical="center" wrapText="0"/>
    </xf>
    <xf borderId="1" fillId="0" fontId="5" numFmtId="165" xfId="0" applyAlignment="1" applyBorder="1" applyFont="1" applyNumberFormat="1">
      <alignment horizontal="center" shrinkToFit="0" vertical="center" wrapText="0"/>
    </xf>
    <xf borderId="1" fillId="0" fontId="6" numFmtId="167" xfId="0" applyAlignment="1" applyBorder="1" applyFont="1" applyNumberFormat="1">
      <alignment horizontal="right"/>
    </xf>
    <xf borderId="1" fillId="0" fontId="5" numFmtId="167" xfId="0" applyAlignment="1" applyBorder="1" applyFont="1" applyNumberFormat="1">
      <alignment shrinkToFit="0" vertical="center" wrapText="0"/>
    </xf>
    <xf borderId="0" fillId="0" fontId="34" numFmtId="49" xfId="0" applyAlignment="1" applyFont="1" applyNumberFormat="1">
      <alignment horizontal="center" readingOrder="0" shrinkToFit="0" vertical="bottom" wrapText="0"/>
    </xf>
    <xf borderId="0" fillId="0" fontId="35" numFmtId="0" xfId="0" applyFont="1"/>
    <xf borderId="0" fillId="0" fontId="34" numFmtId="0" xfId="0" applyAlignment="1" applyFont="1">
      <alignment horizontal="center" readingOrder="0" shrinkToFit="0" vertical="bottom" wrapText="0"/>
    </xf>
    <xf borderId="1" fillId="0" fontId="36" numFmtId="49" xfId="0" applyAlignment="1" applyBorder="1" applyFont="1" applyNumberFormat="1">
      <alignment horizontal="center" readingOrder="0" shrinkToFit="0" vertical="bottom" wrapText="0"/>
    </xf>
    <xf borderId="1" fillId="0" fontId="36" numFmtId="0" xfId="0" applyAlignment="1" applyBorder="1" applyFont="1">
      <alignment horizontal="center" readingOrder="0" shrinkToFit="0" vertical="bottom" wrapText="0"/>
    </xf>
    <xf borderId="1" fillId="0" fontId="35" numFmtId="0" xfId="0" applyAlignment="1" applyBorder="1" applyFont="1">
      <alignment horizontal="center" readingOrder="0"/>
    </xf>
    <xf borderId="1" fillId="0" fontId="35" numFmtId="164" xfId="0" applyAlignment="1" applyBorder="1" applyFont="1" applyNumberFormat="1">
      <alignment horizontal="center" readingOrder="0"/>
    </xf>
    <xf borderId="1" fillId="7" fontId="6" numFmtId="0" xfId="0" applyAlignment="1" applyBorder="1" applyFont="1">
      <alignment horizontal="center"/>
    </xf>
    <xf borderId="1" fillId="0" fontId="36" numFmtId="167" xfId="0" applyAlignment="1" applyBorder="1" applyFont="1" applyNumberFormat="1">
      <alignment horizontal="center" readingOrder="0" shrinkToFit="0" vertical="bottom" wrapText="0"/>
    </xf>
    <xf borderId="0" fillId="0" fontId="36" numFmtId="49" xfId="0" applyAlignment="1" applyFont="1" applyNumberFormat="1">
      <alignment horizontal="center" readingOrder="0" shrinkToFit="0" vertical="bottom" wrapText="0"/>
    </xf>
    <xf borderId="16" fillId="0" fontId="37" numFmtId="49" xfId="0" applyAlignment="1" applyBorder="1" applyFont="1" applyNumberFormat="1">
      <alignment horizontal="center"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0" fillId="0" fontId="37" numFmtId="4" xfId="0" applyAlignment="1" applyFont="1" applyNumberFormat="1">
      <alignment horizontal="right"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38" numFmtId="4" xfId="0" applyAlignment="1" applyFont="1" applyNumberFormat="1">
      <alignment horizontal="right" readingOrder="0" shrinkToFit="0" vertical="bottom" wrapText="0"/>
    </xf>
    <xf borderId="0" fillId="0" fontId="24" numFmtId="49" xfId="0" applyAlignment="1" applyFont="1" applyNumberFormat="1">
      <alignment readingOrder="0"/>
    </xf>
    <xf borderId="0" fillId="0" fontId="38" numFmtId="0" xfId="0" applyAlignment="1" applyFont="1">
      <alignment readingOrder="0"/>
    </xf>
    <xf borderId="0" fillId="0" fontId="38" numFmtId="4" xfId="0" applyAlignment="1" applyFont="1" applyNumberFormat="1">
      <alignment readingOrder="0"/>
    </xf>
    <xf borderId="0" fillId="0" fontId="37" numFmtId="49" xfId="0" applyAlignment="1" applyFont="1" applyNumberFormat="1">
      <alignment shrinkToFit="0" vertical="bottom" wrapText="0"/>
    </xf>
    <xf borderId="0" fillId="0" fontId="37" numFmtId="49" xfId="0" applyAlignment="1" applyFont="1" applyNumberFormat="1">
      <alignment readingOrder="0" shrinkToFit="0" vertical="bottom" wrapText="0"/>
    </xf>
    <xf borderId="1" fillId="0" fontId="35" numFmtId="0" xfId="0" applyAlignment="1" applyBorder="1" applyFont="1">
      <alignment readingOrder="0"/>
    </xf>
    <xf borderId="1" fillId="0" fontId="35" numFmtId="167" xfId="0" applyBorder="1" applyFont="1" applyNumberFormat="1"/>
    <xf borderId="1" fillId="0" fontId="39" numFmtId="167" xfId="0" applyAlignment="1" applyBorder="1" applyFont="1" applyNumberFormat="1">
      <alignment shrinkToFit="0" vertical="center" wrapText="0"/>
    </xf>
    <xf borderId="1" fillId="0" fontId="6" numFmtId="0" xfId="0" applyBorder="1" applyFont="1"/>
    <xf borderId="1" fillId="0" fontId="5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/>
    </xf>
    <xf borderId="0" fillId="7" fontId="5" numFmtId="0" xfId="0" applyAlignment="1" applyFont="1">
      <alignment horizontal="left" readingOrder="0" vertical="center"/>
    </xf>
    <xf borderId="1" fillId="0" fontId="5" numFmtId="0" xfId="0" applyAlignment="1" applyBorder="1" applyFont="1">
      <alignment horizontal="left" shrinkToFit="0" vertical="center" wrapText="0"/>
    </xf>
    <xf borderId="0" fillId="7" fontId="5" numFmtId="0" xfId="0" applyAlignment="1" applyFont="1">
      <alignment horizontal="left"/>
    </xf>
    <xf borderId="0" fillId="0" fontId="37" numFmtId="0" xfId="0" applyAlignment="1" applyFont="1">
      <alignment horizontal="right" readingOrder="0" shrinkToFit="0" vertical="bottom" wrapText="0"/>
    </xf>
    <xf borderId="1" fillId="0" fontId="12" numFmtId="0" xfId="0" applyAlignment="1" applyBorder="1" applyFont="1">
      <alignment readingOrder="0" vertical="center"/>
    </xf>
    <xf borderId="0" fillId="0" fontId="37" numFmtId="167" xfId="0" applyAlignment="1" applyFont="1" applyNumberFormat="1">
      <alignment horizontal="right" readingOrder="0" shrinkToFit="0" vertical="bottom" wrapText="0"/>
    </xf>
    <xf borderId="1" fillId="7" fontId="6" numFmtId="0" xfId="0" applyAlignment="1" applyBorder="1" applyFont="1">
      <alignment horizontal="center" vertical="center"/>
    </xf>
    <xf borderId="1" fillId="7" fontId="6" numFmtId="165" xfId="0" applyAlignment="1" applyBorder="1" applyFont="1" applyNumberFormat="1">
      <alignment horizontal="center" readingOrder="0" vertical="center"/>
    </xf>
    <xf borderId="0" fillId="0" fontId="38" numFmtId="0" xfId="0" applyFont="1"/>
    <xf borderId="1" fillId="7" fontId="5" numFmtId="0" xfId="0" applyAlignment="1" applyBorder="1" applyFont="1">
      <alignment shrinkToFit="0" vertical="center" wrapText="0"/>
    </xf>
    <xf borderId="1" fillId="7" fontId="5" numFmtId="10" xfId="0" applyAlignment="1" applyBorder="1" applyFont="1" applyNumberFormat="1">
      <alignment horizontal="center" shrinkToFit="0" vertical="bottom" wrapText="0"/>
    </xf>
    <xf borderId="1" fillId="0" fontId="6" numFmtId="9" xfId="0" applyAlignment="1" applyBorder="1" applyFont="1" applyNumberFormat="1">
      <alignment horizontal="center" vertical="center"/>
    </xf>
    <xf borderId="1" fillId="7" fontId="39" numFmtId="0" xfId="0" applyAlignment="1" applyBorder="1" applyFont="1">
      <alignment horizontal="center" shrinkToFit="0" vertical="center" wrapText="0"/>
    </xf>
    <xf borderId="1" fillId="7" fontId="39" numFmtId="0" xfId="0" applyAlignment="1" applyBorder="1" applyFont="1">
      <alignment horizontal="center" vertical="center"/>
    </xf>
    <xf borderId="1" fillId="7" fontId="39" numFmtId="164" xfId="0" applyAlignment="1" applyBorder="1" applyFont="1" applyNumberFormat="1">
      <alignment horizontal="center" shrinkToFit="0" vertical="center" wrapText="0"/>
    </xf>
    <xf borderId="1" fillId="0" fontId="39" numFmtId="0" xfId="0" applyAlignment="1" applyBorder="1" applyFont="1">
      <alignment horizontal="center" shrinkToFit="0" vertical="center" wrapText="0"/>
    </xf>
    <xf borderId="1" fillId="0" fontId="39" numFmtId="10" xfId="0" applyAlignment="1" applyBorder="1" applyFont="1" applyNumberFormat="1">
      <alignment horizontal="center" shrinkToFit="0" vertical="center" wrapText="0"/>
    </xf>
    <xf borderId="1" fillId="7" fontId="39" numFmtId="0" xfId="0" applyAlignment="1" applyBorder="1" applyFont="1">
      <alignment horizontal="center" readingOrder="0" shrinkToFit="0" vertical="center" wrapText="0"/>
    </xf>
    <xf borderId="1" fillId="7" fontId="39" numFmtId="9" xfId="0" applyAlignment="1" applyBorder="1" applyFont="1" applyNumberFormat="1">
      <alignment horizontal="center" readingOrder="0" shrinkToFit="0" vertical="center" wrapText="0"/>
    </xf>
    <xf borderId="1" fillId="7" fontId="6" numFmtId="164" xfId="0" applyAlignment="1" applyBorder="1" applyFont="1" applyNumberFormat="1">
      <alignment horizontal="center"/>
    </xf>
    <xf borderId="0" fillId="0" fontId="40" numFmtId="0" xfId="0" applyAlignment="1" applyFont="1">
      <alignment horizontal="right" shrinkToFit="0" vertical="bottom" wrapText="0"/>
    </xf>
    <xf borderId="0" fillId="0" fontId="24" numFmtId="49" xfId="0" applyFont="1" applyNumberFormat="1"/>
    <xf borderId="1" fillId="0" fontId="41" numFmtId="167" xfId="0" applyAlignment="1" applyBorder="1" applyFont="1" applyNumberFormat="1">
      <alignment horizontal="right" shrinkToFit="0" vertical="center" wrapText="0"/>
    </xf>
    <xf borderId="1" fillId="0" fontId="5" numFmtId="0" xfId="0" applyAlignment="1" applyBorder="1" applyFont="1">
      <alignment horizontal="left" readingOrder="0" shrinkToFit="0" vertical="bottom" wrapText="0"/>
    </xf>
    <xf borderId="0" fillId="0" fontId="24" numFmtId="0" xfId="0" applyFont="1"/>
    <xf borderId="0" fillId="0" fontId="24" numFmtId="167" xfId="0" applyFont="1" applyNumberFormat="1"/>
    <xf borderId="1" fillId="0" fontId="39" numFmtId="0" xfId="0" applyAlignment="1" applyBorder="1" applyFont="1">
      <alignment horizontal="center" readingOrder="0" shrinkToFit="0" vertical="center" wrapText="0"/>
    </xf>
    <xf borderId="1" fillId="0" fontId="39" numFmtId="10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bottom" wrapText="1"/>
    </xf>
    <xf borderId="1" fillId="0" fontId="5" numFmtId="4" xfId="0" applyAlignment="1" applyBorder="1" applyFont="1" applyNumberFormat="1">
      <alignment horizontal="right" shrinkToFit="0" vertical="bottom" wrapText="0"/>
    </xf>
    <xf borderId="1" fillId="7" fontId="39" numFmtId="10" xfId="0" applyAlignment="1" applyBorder="1" applyFont="1" applyNumberFormat="1">
      <alignment horizontal="center" shrinkToFit="0" vertical="center" wrapText="0"/>
    </xf>
    <xf borderId="1" fillId="0" fontId="18" numFmtId="0" xfId="0" applyAlignment="1" applyBorder="1" applyFont="1">
      <alignment horizontal="center"/>
    </xf>
    <xf borderId="1" fillId="0" fontId="5" numFmtId="0" xfId="0" applyAlignment="1" applyBorder="1" applyFont="1">
      <alignment horizontal="right"/>
    </xf>
    <xf borderId="1" fillId="0" fontId="5" numFmtId="167" xfId="0" applyAlignment="1" applyBorder="1" applyFont="1" applyNumberFormat="1">
      <alignment horizontal="right"/>
    </xf>
    <xf borderId="1" fillId="0" fontId="39" numFmtId="0" xfId="0" applyAlignment="1" applyBorder="1" applyFont="1">
      <alignment horizontal="left"/>
    </xf>
    <xf borderId="1" fillId="0" fontId="6" numFmtId="49" xfId="0" applyAlignment="1" applyBorder="1" applyFont="1" applyNumberFormat="1">
      <alignment horizontal="center"/>
    </xf>
    <xf borderId="0" fillId="7" fontId="7" numFmtId="0" xfId="0" applyAlignment="1" applyFont="1">
      <alignment shrinkToFit="0" wrapText="1"/>
    </xf>
    <xf borderId="1" fillId="0" fontId="42" numFmtId="167" xfId="0" applyAlignment="1" applyBorder="1" applyFont="1" applyNumberFormat="1">
      <alignment horizontal="right" shrinkToFit="0" vertical="center" wrapText="0"/>
    </xf>
    <xf borderId="1" fillId="7" fontId="5" numFmtId="0" xfId="0" applyAlignment="1" applyBorder="1" applyFont="1">
      <alignment horizontal="left"/>
    </xf>
    <xf borderId="1" fillId="10" fontId="5" numFmtId="0" xfId="0" applyAlignment="1" applyBorder="1" applyFill="1" applyFont="1">
      <alignment horizontal="center" shrinkToFit="0" vertical="bottom" wrapText="0"/>
    </xf>
    <xf borderId="1" fillId="7" fontId="18" numFmtId="0" xfId="0" applyBorder="1" applyFont="1"/>
    <xf borderId="1" fillId="7" fontId="43" numFmtId="0" xfId="0" applyAlignment="1" applyBorder="1" applyFont="1">
      <alignment horizontal="center"/>
    </xf>
    <xf borderId="1" fillId="7" fontId="5" numFmtId="166" xfId="0" applyAlignment="1" applyBorder="1" applyFont="1" applyNumberFormat="1">
      <alignment horizontal="center" shrinkToFit="0" vertical="center" wrapText="0"/>
    </xf>
    <xf borderId="1" fillId="8" fontId="5" numFmtId="0" xfId="0" applyAlignment="1" applyBorder="1" applyFont="1">
      <alignment horizontal="center" shrinkToFit="0" vertical="bottom" wrapText="0"/>
    </xf>
    <xf borderId="1" fillId="0" fontId="5" numFmtId="166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horizontal="left" shrinkToFit="0" vertical="bottom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165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left" shrinkToFit="0" vertical="center" wrapText="0"/>
    </xf>
    <xf borderId="1" fillId="8" fontId="6" numFmtId="0" xfId="0" applyAlignment="1" applyBorder="1" applyFont="1">
      <alignment horizontal="left"/>
    </xf>
    <xf borderId="1" fillId="7" fontId="39" numFmtId="9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11" fontId="5" numFmtId="167" xfId="0" applyAlignment="1" applyBorder="1" applyFill="1" applyFont="1" applyNumberFormat="1">
      <alignment horizontal="right" shrinkToFit="0" vertical="center" wrapText="0"/>
    </xf>
    <xf borderId="1" fillId="7" fontId="5" numFmtId="167" xfId="0" applyAlignment="1" applyBorder="1" applyFont="1" applyNumberFormat="1">
      <alignment shrinkToFit="0" vertical="center" wrapText="0"/>
    </xf>
    <xf borderId="2" fillId="2" fontId="44" numFmtId="49" xfId="0" applyAlignment="1" applyBorder="1" applyFont="1" applyNumberFormat="1">
      <alignment horizontal="center" readingOrder="0" shrinkToFit="0" vertical="center" wrapText="0"/>
    </xf>
    <xf borderId="1" fillId="2" fontId="44" numFmtId="49" xfId="0" applyAlignment="1" applyBorder="1" applyFont="1" applyNumberFormat="1">
      <alignment horizontal="center" readingOrder="0" shrinkToFit="0" vertical="center" wrapText="0"/>
    </xf>
    <xf borderId="1" fillId="7" fontId="7" numFmtId="0" xfId="0" applyAlignment="1" applyBorder="1" applyFont="1">
      <alignment shrinkToFit="0" vertical="center" wrapText="1"/>
    </xf>
    <xf borderId="1" fillId="0" fontId="24" numFmtId="0" xfId="0" applyAlignment="1" applyBorder="1" applyFont="1">
      <alignment readingOrder="0"/>
    </xf>
    <xf borderId="1" fillId="0" fontId="24" numFmtId="167" xfId="0" applyAlignment="1" applyBorder="1" applyFont="1" applyNumberFormat="1">
      <alignment horizontal="left"/>
    </xf>
    <xf borderId="1" fillId="0" fontId="45" numFmtId="0" xfId="0" applyAlignment="1" applyBorder="1" applyFont="1">
      <alignment horizontal="left" shrinkToFit="0" wrapText="1"/>
    </xf>
    <xf borderId="0" fillId="0" fontId="46" numFmtId="0" xfId="0" applyAlignment="1" applyFont="1">
      <alignment horizontal="center"/>
    </xf>
    <xf borderId="1" fillId="0" fontId="24" numFmtId="167" xfId="0" applyAlignment="1" applyBorder="1" applyFont="1" applyNumberFormat="1">
      <alignment horizontal="left" readingOrder="0"/>
    </xf>
    <xf borderId="1" fillId="0" fontId="35" numFmtId="167" xfId="0" applyAlignment="1" applyBorder="1" applyFont="1" applyNumberFormat="1">
      <alignment horizontal="left"/>
    </xf>
    <xf borderId="0" fillId="0" fontId="47" numFmtId="0" xfId="0" applyFont="1"/>
    <xf borderId="0" fillId="2" fontId="48" numFmtId="167" xfId="0" applyAlignment="1" applyFont="1" applyNumberFormat="1">
      <alignment readingOrder="0"/>
    </xf>
    <xf borderId="0" fillId="2" fontId="49" numFmtId="167" xfId="0" applyFont="1" applyNumberFormat="1"/>
    <xf borderId="1" fillId="0" fontId="24" numFmtId="170" xfId="0" applyBorder="1" applyFont="1" applyNumberFormat="1"/>
    <xf borderId="1" fillId="0" fontId="24" numFmtId="170" xfId="0" applyAlignment="1" applyBorder="1" applyFont="1" applyNumberFormat="1">
      <alignment readingOrder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35" numFmtId="170" xfId="0" applyBorder="1" applyFont="1" applyNumberFormat="1"/>
    <xf borderId="1" fillId="7" fontId="12" numFmtId="0" xfId="0" applyAlignment="1" applyBorder="1" applyFont="1">
      <alignment horizontal="left" readingOrder="0"/>
    </xf>
    <xf borderId="1" fillId="0" fontId="24" numFmtId="167" xfId="0" applyBorder="1" applyFont="1" applyNumberFormat="1"/>
    <xf borderId="1" fillId="0" fontId="35" numFmtId="167" xfId="0" applyBorder="1" applyFont="1" applyNumberFormat="1"/>
    <xf borderId="1" fillId="0" fontId="35" numFmtId="167" xfId="0" applyAlignment="1" applyBorder="1" applyFont="1" applyNumberFormat="1">
      <alignment readingOrder="0"/>
    </xf>
    <xf borderId="1" fillId="0" fontId="5" numFmtId="0" xfId="0" applyAlignment="1" applyBorder="1" applyFont="1">
      <alignment readingOrder="0" shrinkToFit="0" vertical="center" wrapText="0"/>
    </xf>
    <xf borderId="0" fillId="0" fontId="35" numFmtId="0" xfId="0" applyAlignment="1" applyFont="1">
      <alignment readingOrder="0"/>
    </xf>
    <xf borderId="0" fillId="0" fontId="35" numFmtId="167" xfId="0" applyFont="1" applyNumberFormat="1"/>
    <xf borderId="4" fillId="9" fontId="50" numFmtId="0" xfId="0" applyAlignment="1" applyBorder="1" applyFont="1">
      <alignment horizontal="center" shrinkToFit="0" wrapText="1"/>
    </xf>
    <xf borderId="4" fillId="7" fontId="19" numFmtId="0" xfId="0" applyAlignment="1" applyBorder="1" applyFont="1">
      <alignment horizontal="left" shrinkToFit="0" vertical="bottom" wrapText="0"/>
    </xf>
    <xf borderId="1" fillId="0" fontId="13" numFmtId="0" xfId="0" applyAlignment="1" applyBorder="1" applyFont="1">
      <alignment horizontal="center"/>
    </xf>
    <xf borderId="1" fillId="7" fontId="51" numFmtId="165" xfId="0" applyAlignment="1" applyBorder="1" applyFont="1" applyNumberFormat="1">
      <alignment horizontal="center"/>
    </xf>
    <xf borderId="1" fillId="0" fontId="13" numFmtId="167" xfId="0" applyBorder="1" applyFont="1" applyNumberFormat="1"/>
    <xf borderId="4" fillId="9" fontId="50" numFmtId="0" xfId="0" applyAlignment="1" applyBorder="1" applyFont="1">
      <alignment horizontal="left" shrinkToFit="0" wrapText="1"/>
    </xf>
    <xf borderId="1" fillId="7" fontId="19" numFmtId="0" xfId="0" applyAlignment="1" applyBorder="1" applyFont="1">
      <alignment horizontal="left" shrinkToFit="0" vertical="bottom" wrapText="0"/>
    </xf>
    <xf borderId="1" fillId="0" fontId="52" numFmtId="0" xfId="0" applyAlignment="1" applyBorder="1" applyFont="1">
      <alignment horizontal="left" shrinkToFit="0" vertical="center" wrapText="1"/>
    </xf>
    <xf borderId="1" fillId="0" fontId="13" numFmtId="0" xfId="0" applyBorder="1" applyFont="1"/>
    <xf borderId="1" fillId="0" fontId="13" numFmtId="10" xfId="0" applyAlignment="1" applyBorder="1" applyFont="1" applyNumberFormat="1">
      <alignment horizontal="center"/>
    </xf>
    <xf borderId="1" fillId="0" fontId="13" numFmtId="167" xfId="0" applyAlignment="1" applyBorder="1" applyFont="1" applyNumberFormat="1">
      <alignment horizontal="center"/>
    </xf>
    <xf borderId="1" fillId="0" fontId="13" numFmtId="10" xfId="0" applyBorder="1" applyFont="1" applyNumberFormat="1"/>
    <xf borderId="0" fillId="7" fontId="31" numFmtId="0" xfId="0" applyFont="1"/>
    <xf borderId="0" fillId="0" fontId="13" numFmtId="10" xfId="0" applyFont="1" applyNumberFormat="1"/>
    <xf borderId="1" fillId="0" fontId="19" numFmtId="0" xfId="0" applyBorder="1" applyFont="1"/>
    <xf borderId="1" fillId="7" fontId="28" numFmtId="0" xfId="0" applyAlignment="1" applyBorder="1" applyFont="1">
      <alignment horizontal="center" vertical="center"/>
    </xf>
    <xf borderId="0" fillId="0" fontId="13" numFmtId="0" xfId="0" applyFont="1"/>
    <xf borderId="1" fillId="0" fontId="6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0" fontId="6" numFmtId="10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left" shrinkToFit="0" vertical="bottom" wrapText="1"/>
    </xf>
    <xf borderId="1" fillId="0" fontId="53" numFmtId="0" xfId="0" applyAlignment="1" applyBorder="1" applyFont="1">
      <alignment horizontal="center"/>
    </xf>
    <xf borderId="1" fillId="7" fontId="54" numFmtId="0" xfId="0" applyAlignment="1" applyBorder="1" applyFont="1">
      <alignment horizontal="left" shrinkToFit="0" vertical="bottom" wrapText="0"/>
    </xf>
    <xf borderId="1" fillId="0" fontId="39" numFmtId="0" xfId="0" applyAlignment="1" applyBorder="1" applyFont="1">
      <alignment horizontal="left" shrinkToFit="0" vertical="bottom" wrapText="1"/>
    </xf>
    <xf borderId="0" fillId="7" fontId="7" numFmtId="0" xfId="0" applyAlignment="1" applyFont="1">
      <alignment horizontal="left"/>
    </xf>
    <xf borderId="5" fillId="7" fontId="19" numFmtId="0" xfId="0" applyAlignment="1" applyBorder="1" applyFont="1">
      <alignment horizontal="left" shrinkToFit="0" vertical="bottom" wrapText="0"/>
    </xf>
    <xf borderId="5" fillId="0" fontId="13" numFmtId="0" xfId="0" applyBorder="1" applyFont="1"/>
    <xf borderId="5" fillId="7" fontId="54" numFmtId="0" xfId="0" applyAlignment="1" applyBorder="1" applyFont="1">
      <alignment horizontal="left" shrinkToFit="0" vertical="bottom" wrapText="0"/>
    </xf>
    <xf borderId="17" fillId="7" fontId="19" numFmtId="0" xfId="0" applyAlignment="1" applyBorder="1" applyFont="1">
      <alignment horizontal="left" shrinkToFit="0" vertical="bottom" wrapText="0"/>
    </xf>
    <xf borderId="1" fillId="0" fontId="6" numFmtId="165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67" xfId="0" applyFont="1" applyNumberFormat="1"/>
    <xf borderId="0" fillId="0" fontId="13" numFmtId="164" xfId="0" applyFont="1" applyNumberFormat="1"/>
    <xf borderId="1" fillId="12" fontId="13" numFmtId="167" xfId="0" applyAlignment="1" applyBorder="1" applyFill="1" applyFont="1" applyNumberFormat="1">
      <alignment horizontal="center"/>
    </xf>
    <xf borderId="1" fillId="7" fontId="7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/>
    </xf>
    <xf borderId="1" fillId="9" fontId="50" numFmtId="0" xfId="0" applyAlignment="1" applyBorder="1" applyFont="1">
      <alignment horizontal="center" vertical="center"/>
    </xf>
    <xf borderId="1" fillId="9" fontId="55" numFmtId="0" xfId="0" applyAlignment="1" applyBorder="1" applyFont="1">
      <alignment horizontal="center" vertical="center"/>
    </xf>
    <xf borderId="1" fillId="9" fontId="50" numFmtId="0" xfId="0" applyAlignment="1" applyBorder="1" applyFont="1">
      <alignment horizontal="center" shrinkToFit="0" vertical="center" wrapText="1"/>
    </xf>
    <xf borderId="1" fillId="7" fontId="19" numFmtId="0" xfId="0" applyAlignment="1" applyBorder="1" applyFont="1">
      <alignment horizontal="center" shrinkToFit="0" vertical="bottom" wrapText="0"/>
    </xf>
    <xf borderId="1" fillId="0" fontId="13" numFmtId="164" xfId="0" applyAlignment="1" applyBorder="1" applyFont="1" applyNumberFormat="1">
      <alignment horizontal="center"/>
    </xf>
    <xf borderId="1" fillId="0" fontId="19" numFmtId="0" xfId="0" applyAlignment="1" applyBorder="1" applyFont="1">
      <alignment horizontal="center"/>
    </xf>
    <xf borderId="1" fillId="0" fontId="19" numFmtId="167" xfId="0" applyBorder="1" applyFont="1" applyNumberFormat="1"/>
    <xf borderId="1" fillId="0" fontId="19" numFmtId="4" xfId="0" applyBorder="1" applyFont="1" applyNumberFormat="1"/>
    <xf borderId="1" fillId="0" fontId="33" numFmtId="0" xfId="0" applyBorder="1" applyFont="1"/>
    <xf borderId="1" fillId="0" fontId="33" numFmtId="0" xfId="0" applyAlignment="1" applyBorder="1" applyFont="1">
      <alignment horizontal="left"/>
    </xf>
    <xf borderId="0" fillId="0" fontId="33" numFmtId="0" xfId="0" applyFont="1"/>
    <xf borderId="1" fillId="7" fontId="31" numFmtId="0" xfId="0" applyAlignment="1" applyBorder="1" applyFont="1">
      <alignment horizontal="left"/>
    </xf>
    <xf borderId="1" fillId="0" fontId="9" numFmtId="0" xfId="0" applyAlignment="1" applyBorder="1" applyFont="1">
      <alignment horizontal="left" shrinkToFit="0" vertical="center" wrapText="1"/>
    </xf>
    <xf borderId="1" fillId="7" fontId="31" numFmtId="0" xfId="0" applyAlignment="1" applyBorder="1" applyFont="1">
      <alignment horizontal="left" shrinkToFit="0" vertical="bottom" wrapText="0"/>
    </xf>
    <xf borderId="1" fillId="7" fontId="6" numFmtId="0" xfId="0" applyBorder="1" applyFont="1"/>
    <xf borderId="1" fillId="8" fontId="5" numFmtId="10" xfId="0" applyAlignment="1" applyBorder="1" applyFont="1" applyNumberFormat="1">
      <alignment horizontal="center" shrinkToFit="0" vertical="bottom" wrapText="0"/>
    </xf>
    <xf borderId="1" fillId="7" fontId="19" numFmtId="0" xfId="0" applyAlignment="1" applyBorder="1" applyFont="1">
      <alignment horizontal="left"/>
    </xf>
    <xf borderId="1" fillId="7" fontId="6" numFmtId="0" xfId="0" applyAlignment="1" applyBorder="1" applyFont="1">
      <alignment readingOrder="0" shrinkToFit="0" vertical="center" wrapText="1"/>
    </xf>
    <xf borderId="1" fillId="7" fontId="31" numFmtId="0" xfId="0" applyAlignment="1" applyBorder="1" applyFont="1">
      <alignment horizontal="center" shrinkToFit="0" vertical="bottom" wrapText="0"/>
    </xf>
    <xf borderId="0" fillId="0" fontId="33" numFmtId="0" xfId="0" applyAlignment="1" applyFont="1">
      <alignment horizontal="left"/>
    </xf>
    <xf borderId="1" fillId="0" fontId="33" numFmtId="0" xfId="0" applyAlignment="1" applyBorder="1" applyFont="1">
      <alignment horizontal="center"/>
    </xf>
    <xf borderId="1" fillId="0" fontId="31" numFmtId="0" xfId="0" applyAlignment="1" applyBorder="1" applyFont="1">
      <alignment horizontal="center" shrinkToFit="0" vertical="bottom" wrapText="0"/>
    </xf>
    <xf borderId="1" fillId="8" fontId="31" numFmtId="0" xfId="0" applyAlignment="1" applyBorder="1" applyFont="1">
      <alignment horizontal="center" shrinkToFit="0" vertical="bottom" wrapText="0"/>
    </xf>
    <xf borderId="1" fillId="7" fontId="7" numFmtId="0" xfId="0" applyAlignment="1" applyBorder="1" applyFont="1">
      <alignment horizontal="left"/>
    </xf>
    <xf borderId="1" fillId="0" fontId="6" numFmtId="4" xfId="0" applyAlignment="1" applyBorder="1" applyFont="1" applyNumberFormat="1">
      <alignment vertical="center"/>
    </xf>
    <xf borderId="1" fillId="7" fontId="9" numFmtId="0" xfId="0" applyAlignment="1" applyBorder="1" applyFont="1">
      <alignment horizontal="center" readingOrder="0" shrinkToFit="0" vertical="center" wrapText="0"/>
    </xf>
    <xf borderId="1" fillId="7" fontId="6" numFmtId="166" xfId="0" applyAlignment="1" applyBorder="1" applyFont="1" applyNumberFormat="1">
      <alignment horizontal="center" shrinkToFit="0" vertical="center" wrapText="0"/>
    </xf>
    <xf borderId="1" fillId="7" fontId="6" numFmtId="164" xfId="0" applyAlignment="1" applyBorder="1" applyFont="1" applyNumberFormat="1">
      <alignment horizontal="center" readingOrder="0" vertical="center"/>
    </xf>
    <xf borderId="1" fillId="7" fontId="6" numFmtId="10" xfId="0" applyAlignment="1" applyBorder="1" applyFont="1" applyNumberFormat="1">
      <alignment horizontal="center" shrinkToFit="0" vertical="center" wrapText="0"/>
    </xf>
    <xf borderId="1" fillId="7" fontId="6" numFmtId="0" xfId="0" applyAlignment="1" applyBorder="1" applyFont="1">
      <alignment horizontal="center" shrinkToFit="0" vertical="center" wrapText="0"/>
    </xf>
    <xf borderId="1" fillId="7" fontId="6" numFmtId="9" xfId="0" applyAlignment="1" applyBorder="1" applyFont="1" applyNumberFormat="1">
      <alignment horizontal="center" shrinkToFit="0" vertical="center" wrapText="0"/>
    </xf>
    <xf borderId="1" fillId="7" fontId="6" numFmtId="0" xfId="0" applyAlignment="1" applyBorder="1" applyFont="1">
      <alignment horizontal="left" shrinkToFit="0" vertical="center" wrapText="1"/>
    </xf>
    <xf borderId="1" fillId="7" fontId="6" numFmtId="0" xfId="0" applyAlignment="1" applyBorder="1" applyFont="1">
      <alignment horizontal="center" readingOrder="0" vertical="center"/>
    </xf>
    <xf borderId="1" fillId="7" fontId="6" numFmtId="167" xfId="0" applyAlignment="1" applyBorder="1" applyFont="1" applyNumberFormat="1">
      <alignment horizontal="center" readingOrder="0" vertical="center"/>
    </xf>
    <xf borderId="1" fillId="7" fontId="6" numFmtId="167" xfId="0" applyAlignment="1" applyBorder="1" applyFont="1" applyNumberFormat="1">
      <alignment horizontal="right" shrinkToFit="0" vertical="center" wrapText="0"/>
    </xf>
    <xf borderId="1" fillId="7" fontId="6" numFmtId="167" xfId="0" applyAlignment="1" applyBorder="1" applyFont="1" applyNumberFormat="1">
      <alignment horizontal="right" readingOrder="0" shrinkToFit="0" vertical="center" wrapText="0"/>
    </xf>
    <xf borderId="1" fillId="7" fontId="6" numFmtId="10" xfId="0" applyAlignment="1" applyBorder="1" applyFont="1" applyNumberFormat="1">
      <alignment horizontal="center" readingOrder="0" shrinkToFit="0" vertical="center" wrapText="0"/>
    </xf>
    <xf borderId="1" fillId="7" fontId="6" numFmtId="9" xfId="0" applyAlignment="1" applyBorder="1" applyFont="1" applyNumberFormat="1">
      <alignment horizontal="center" readingOrder="0" shrinkToFit="0" vertical="center" wrapText="0"/>
    </xf>
    <xf borderId="1" fillId="7" fontId="6" numFmtId="166" xfId="0" applyAlignment="1" applyBorder="1" applyFont="1" applyNumberFormat="1">
      <alignment horizontal="center" readingOrder="0" shrinkToFit="0" vertical="center" wrapText="0"/>
    </xf>
    <xf borderId="1" fillId="9" fontId="55" numFmtId="0" xfId="0" applyAlignment="1" applyBorder="1" applyFont="1">
      <alignment horizontal="center" shrinkToFit="0" wrapText="1"/>
    </xf>
    <xf borderId="1" fillId="9" fontId="55" numFmtId="49" xfId="0" applyAlignment="1" applyBorder="1" applyFont="1" applyNumberFormat="1">
      <alignment horizontal="center" shrinkToFit="0" wrapText="1"/>
    </xf>
    <xf borderId="1" fillId="9" fontId="55" numFmtId="167" xfId="0" applyAlignment="1" applyBorder="1" applyFont="1" applyNumberFormat="1">
      <alignment horizontal="right" shrinkToFit="0" wrapText="1"/>
    </xf>
    <xf borderId="1" fillId="9" fontId="55" numFmtId="166" xfId="0" applyAlignment="1" applyBorder="1" applyFont="1" applyNumberFormat="1">
      <alignment horizontal="center" shrinkToFit="0" wrapText="1"/>
    </xf>
    <xf borderId="0" fillId="0" fontId="33" numFmtId="0" xfId="0" applyAlignment="1" applyFont="1">
      <alignment horizontal="center"/>
    </xf>
    <xf borderId="1" fillId="7" fontId="31" numFmtId="166" xfId="0" applyAlignment="1" applyBorder="1" applyFont="1" applyNumberFormat="1">
      <alignment horizontal="center" shrinkToFit="0" vertical="bottom" wrapText="0"/>
    </xf>
    <xf borderId="1" fillId="7" fontId="31" numFmtId="49" xfId="0" applyAlignment="1" applyBorder="1" applyFont="1" applyNumberFormat="1">
      <alignment horizontal="center" shrinkToFit="0" vertical="bottom" wrapText="0"/>
    </xf>
    <xf borderId="1" fillId="7" fontId="31" numFmtId="167" xfId="0" applyAlignment="1" applyBorder="1" applyFont="1" applyNumberFormat="1">
      <alignment horizontal="right" shrinkToFit="0" vertical="bottom" wrapText="0"/>
    </xf>
    <xf borderId="2" fillId="7" fontId="31" numFmtId="166" xfId="0" applyAlignment="1" applyBorder="1" applyFont="1" applyNumberFormat="1">
      <alignment horizontal="center" shrinkToFit="0" vertical="bottom" wrapText="0"/>
    </xf>
    <xf borderId="1" fillId="7" fontId="33" numFmtId="166" xfId="0" applyAlignment="1" applyBorder="1" applyFont="1" applyNumberFormat="1">
      <alignment horizontal="center"/>
    </xf>
    <xf borderId="1" fillId="7" fontId="33" numFmtId="49" xfId="0" applyAlignment="1" applyBorder="1" applyFont="1" applyNumberFormat="1">
      <alignment horizontal="center"/>
    </xf>
    <xf borderId="1" fillId="7" fontId="33" numFmtId="0" xfId="0" applyAlignment="1" applyBorder="1" applyFont="1">
      <alignment horizontal="center"/>
    </xf>
    <xf borderId="2" fillId="7" fontId="31" numFmtId="0" xfId="0" applyAlignment="1" applyBorder="1" applyFont="1">
      <alignment horizontal="center" shrinkToFit="0" vertical="bottom" wrapText="0"/>
    </xf>
    <xf borderId="1" fillId="7" fontId="7" numFmtId="0" xfId="0" applyAlignment="1" applyBorder="1" applyFont="1">
      <alignment horizontal="center"/>
    </xf>
    <xf borderId="0" fillId="7" fontId="33" numFmtId="49" xfId="0" applyAlignment="1" applyFont="1" applyNumberFormat="1">
      <alignment horizontal="center"/>
    </xf>
    <xf borderId="0" fillId="0" fontId="5" numFmtId="0" xfId="0" applyAlignment="1" applyFont="1">
      <alignment horizontal="left" shrinkToFit="0" vertical="bottom" wrapText="0"/>
    </xf>
    <xf borderId="1" fillId="7" fontId="5" numFmtId="0" xfId="0" applyAlignment="1" applyBorder="1" applyFont="1">
      <alignment readingOrder="0" vertical="center"/>
    </xf>
    <xf borderId="0" fillId="7" fontId="31" numFmtId="167" xfId="0" applyAlignment="1" applyFont="1" applyNumberFormat="1">
      <alignment horizontal="right" shrinkToFit="0" vertical="bottom" wrapText="0"/>
    </xf>
    <xf borderId="1" fillId="7" fontId="6" numFmtId="167" xfId="0" applyAlignment="1" applyBorder="1" applyFont="1" applyNumberFormat="1">
      <alignment horizontal="right" vertical="center"/>
    </xf>
    <xf borderId="0" fillId="7" fontId="56" numFmtId="0" xfId="0" applyFont="1"/>
    <xf borderId="1" fillId="0" fontId="6" numFmtId="167" xfId="0" applyAlignment="1" applyBorder="1" applyFont="1" applyNumberFormat="1">
      <alignment horizontal="right" shrinkToFit="0" vertical="bottom" wrapText="0"/>
    </xf>
    <xf borderId="1" fillId="7" fontId="32" numFmtId="0" xfId="0" applyAlignment="1" applyBorder="1" applyFont="1">
      <alignment shrinkToFit="0" vertical="center" wrapText="1"/>
    </xf>
    <xf borderId="0" fillId="7" fontId="5" numFmtId="164" xfId="0" applyAlignment="1" applyFont="1" applyNumberFormat="1">
      <alignment horizontal="center" shrinkToFit="0" vertical="center" wrapText="0"/>
    </xf>
    <xf borderId="0" fillId="7" fontId="57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horizontal="right" shrinkToFit="0" vertical="center" wrapText="0"/>
    </xf>
    <xf borderId="1" fillId="8" fontId="5" numFmtId="165" xfId="0" applyAlignment="1" applyBorder="1" applyFont="1" applyNumberFormat="1">
      <alignment horizontal="center" shrinkToFit="0" vertical="bottom" wrapText="0"/>
    </xf>
    <xf borderId="0" fillId="7" fontId="31" numFmtId="49" xfId="0" applyAlignment="1" applyFont="1" applyNumberFormat="1">
      <alignment horizontal="center" shrinkToFit="0" vertical="bottom" wrapText="0"/>
    </xf>
    <xf borderId="1" fillId="7" fontId="18" numFmtId="0" xfId="0" applyAlignment="1" applyBorder="1" applyFont="1">
      <alignment horizontal="center" shrinkToFit="0" vertical="bottom" wrapText="0"/>
    </xf>
    <xf borderId="1" fillId="7" fontId="6" numFmtId="0" xfId="0" applyAlignment="1" applyBorder="1" applyFont="1">
      <alignment horizontal="center" shrinkToFit="0" vertical="bottom" wrapText="0"/>
    </xf>
    <xf borderId="1" fillId="7" fontId="6" numFmtId="164" xfId="0" applyAlignment="1" applyBorder="1" applyFont="1" applyNumberFormat="1">
      <alignment horizontal="center" shrinkToFit="0" vertical="bottom" wrapText="0"/>
    </xf>
    <xf borderId="1" fillId="7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vertical="center"/>
    </xf>
    <xf borderId="1" fillId="7" fontId="28" numFmtId="0" xfId="0" applyAlignment="1" applyBorder="1" applyFont="1">
      <alignment horizontal="center" readingOrder="0" vertical="center"/>
    </xf>
    <xf borderId="4" fillId="0" fontId="28" numFmtId="10" xfId="0" applyAlignment="1" applyBorder="1" applyFont="1" applyNumberFormat="1">
      <alignment horizontal="center" readingOrder="0" vertical="center"/>
    </xf>
    <xf borderId="4" fillId="0" fontId="28" numFmtId="0" xfId="0" applyAlignment="1" applyBorder="1" applyFont="1">
      <alignment horizontal="center" readingOrder="0" vertical="center"/>
    </xf>
    <xf borderId="4" fillId="0" fontId="28" numFmtId="9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center"/>
    </xf>
    <xf borderId="1" fillId="7" fontId="5" numFmtId="166" xfId="0" applyAlignment="1" applyBorder="1" applyFont="1" applyNumberFormat="1">
      <alignment horizontal="center" shrinkToFit="0" vertical="bottom" wrapText="0"/>
    </xf>
    <xf borderId="1" fillId="7" fontId="6" numFmtId="0" xfId="0" applyAlignment="1" applyBorder="1" applyFont="1">
      <alignment horizontal="center" vertical="bottom"/>
    </xf>
    <xf borderId="1" fillId="0" fontId="6" numFmtId="9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/>
    </xf>
    <xf borderId="4" fillId="13" fontId="9" numFmtId="0" xfId="0" applyAlignment="1" applyBorder="1" applyFill="1" applyFont="1">
      <alignment horizontal="center"/>
    </xf>
    <xf borderId="4" fillId="7" fontId="5" numFmtId="0" xfId="0" applyAlignment="1" applyBorder="1" applyFont="1">
      <alignment horizontal="center" shrinkToFit="0" vertical="bottom" wrapText="0"/>
    </xf>
    <xf borderId="1" fillId="7" fontId="5" numFmtId="0" xfId="0" applyAlignment="1" applyBorder="1" applyFont="1">
      <alignment horizontal="right" shrinkToFit="0" vertical="bottom" wrapText="0"/>
    </xf>
    <xf borderId="1" fillId="14" fontId="44" numFmtId="0" xfId="0" applyAlignment="1" applyBorder="1" applyFill="1" applyFont="1">
      <alignment horizontal="right"/>
    </xf>
    <xf borderId="1" fillId="0" fontId="5" numFmtId="166" xfId="0" applyAlignment="1" applyBorder="1" applyFont="1" applyNumberFormat="1">
      <alignment horizontal="center" readingOrder="0" vertical="center"/>
    </xf>
    <xf borderId="1" fillId="0" fontId="5" numFmtId="167" xfId="0" applyAlignment="1" applyBorder="1" applyFont="1" applyNumberFormat="1">
      <alignment horizontal="center" readingOrder="0" vertical="center"/>
    </xf>
    <xf borderId="4" fillId="7" fontId="33" numFmtId="49" xfId="0" applyAlignment="1" applyBorder="1" applyFont="1" applyNumberFormat="1">
      <alignment horizontal="center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4" fillId="7" fontId="31" numFmtId="49" xfId="0" applyAlignment="1" applyBorder="1" applyFont="1" applyNumberFormat="1">
      <alignment horizontal="center" shrinkToFit="0" vertical="bottom" wrapText="0"/>
    </xf>
    <xf borderId="1" fillId="7" fontId="33" numFmtId="166" xfId="0" applyAlignment="1" applyBorder="1" applyFont="1" applyNumberFormat="1">
      <alignment horizontal="center" vertical="bottom"/>
    </xf>
    <xf borderId="1" fillId="0" fontId="13" numFmtId="49" xfId="0" applyAlignment="1" applyBorder="1" applyFont="1" applyNumberFormat="1">
      <alignment horizontal="center"/>
    </xf>
    <xf borderId="1" fillId="7" fontId="33" numFmtId="0" xfId="0" applyAlignment="1" applyBorder="1" applyFont="1">
      <alignment horizontal="center" vertical="bottom"/>
    </xf>
    <xf borderId="1" fillId="8" fontId="33" numFmtId="167" xfId="0" applyAlignment="1" applyBorder="1" applyFont="1" applyNumberFormat="1">
      <alignment horizontal="right"/>
    </xf>
    <xf borderId="1" fillId="0" fontId="13" numFmtId="167" xfId="0" applyAlignment="1" applyBorder="1" applyFont="1" applyNumberFormat="1">
      <alignment horizontal="right"/>
    </xf>
    <xf borderId="1" fillId="7" fontId="58" numFmtId="49" xfId="0" applyAlignment="1" applyBorder="1" applyFont="1" applyNumberFormat="1">
      <alignment horizontal="center"/>
    </xf>
    <xf borderId="0" fillId="7" fontId="31" numFmtId="0" xfId="0" applyAlignment="1" applyFont="1">
      <alignment horizontal="center" shrinkToFit="0" vertical="bottom" wrapText="0"/>
    </xf>
    <xf borderId="0" fillId="7" fontId="31" numFmtId="10" xfId="0" applyAlignment="1" applyFont="1" applyNumberFormat="1">
      <alignment horizontal="center" shrinkToFit="0" vertical="bottom" wrapText="0"/>
    </xf>
    <xf borderId="0" fillId="7" fontId="31" numFmtId="164" xfId="0" applyAlignment="1" applyFont="1" applyNumberFormat="1">
      <alignment horizontal="center" shrinkToFit="0" vertical="bottom" wrapText="0"/>
    </xf>
    <xf borderId="1" fillId="0" fontId="5" numFmtId="172" xfId="0" applyAlignment="1" applyBorder="1" applyFont="1" applyNumberFormat="1">
      <alignment horizontal="center" shrinkToFit="0" vertical="bottom" wrapText="0"/>
    </xf>
    <xf borderId="2" fillId="0" fontId="19" numFmtId="0" xfId="0" applyAlignment="1" applyBorder="1" applyFont="1">
      <alignment horizontal="center" shrinkToFit="0" vertical="bottom" wrapText="0"/>
    </xf>
    <xf borderId="1" fillId="7" fontId="6" numFmtId="165" xfId="0" applyAlignment="1" applyBorder="1" applyFont="1" applyNumberFormat="1">
      <alignment horizontal="center" vertical="center"/>
    </xf>
    <xf borderId="1" fillId="0" fontId="9" numFmtId="167" xfId="0" applyAlignment="1" applyBorder="1" applyFont="1" applyNumberFormat="1">
      <alignment horizontal="right" shrinkToFit="0" vertical="center" wrapText="0"/>
    </xf>
    <xf borderId="1" fillId="7" fontId="19" numFmtId="165" xfId="0" applyAlignment="1" applyBorder="1" applyFont="1" applyNumberFormat="1">
      <alignment horizontal="center" shrinkToFit="0" vertical="bottom" wrapText="0"/>
    </xf>
    <xf borderId="1" fillId="0" fontId="9" numFmtId="167" xfId="0" applyAlignment="1" applyBorder="1" applyFont="1" applyNumberFormat="1">
      <alignment horizontal="right" readingOrder="0" shrinkToFit="0" vertical="center" wrapText="0"/>
    </xf>
    <xf borderId="1" fillId="7" fontId="21" numFmtId="0" xfId="0" applyAlignment="1" applyBorder="1" applyFont="1">
      <alignment horizontal="left" shrinkToFit="0" vertical="center" wrapText="1"/>
    </xf>
    <xf borderId="0" fillId="7" fontId="7" numFmtId="0" xfId="0" applyAlignment="1" applyFont="1">
      <alignment horizontal="center"/>
    </xf>
    <xf borderId="1" fillId="0" fontId="3" numFmtId="0" xfId="0" applyAlignment="1" applyBorder="1" applyFont="1">
      <alignment horizontal="left" shrinkToFit="0" vertical="bottom" wrapText="1"/>
    </xf>
    <xf borderId="1" fillId="0" fontId="18" numFmtId="0" xfId="0" applyAlignment="1" applyBorder="1" applyFont="1">
      <alignment horizontal="center" shrinkToFit="0" vertical="bottom" wrapText="0"/>
    </xf>
    <xf borderId="1" fillId="7" fontId="59" numFmtId="49" xfId="0" applyAlignment="1" applyBorder="1" applyFont="1" applyNumberFormat="1">
      <alignment horizontal="center" shrinkToFit="0" vertical="bottom" wrapText="0"/>
    </xf>
    <xf borderId="1" fillId="0" fontId="6" numFmtId="173" xfId="0" applyAlignment="1" applyBorder="1" applyFont="1" applyNumberFormat="1">
      <alignment horizontal="center" shrinkToFit="0" vertical="center" wrapText="0"/>
    </xf>
    <xf borderId="1" fillId="0" fontId="39" numFmtId="0" xfId="0" applyAlignment="1" applyBorder="1" applyFont="1">
      <alignment horizontal="center" vertical="center"/>
    </xf>
    <xf borderId="1" fillId="7" fontId="5" numFmtId="167" xfId="0" applyAlignment="1" applyBorder="1" applyFont="1" applyNumberFormat="1">
      <alignment horizontal="right" shrinkToFit="0" vertical="bottom" wrapText="0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9" numFmtId="164" xfId="0" applyAlignment="1" applyBorder="1" applyFont="1" applyNumberFormat="1">
      <alignment horizontal="center" shrinkToFit="0" vertical="bottom" wrapText="0"/>
    </xf>
    <xf borderId="1" fillId="7" fontId="5" numFmtId="10" xfId="0" applyAlignment="1" applyBorder="1" applyFont="1" applyNumberFormat="1">
      <alignment horizontal="center" readingOrder="0" shrinkToFit="0" vertical="center" wrapText="0"/>
    </xf>
    <xf borderId="1" fillId="8" fontId="6" numFmtId="0" xfId="0" applyAlignment="1" applyBorder="1" applyFont="1">
      <alignment horizontal="center"/>
    </xf>
    <xf borderId="1" fillId="8" fontId="6" numFmtId="164" xfId="0" applyAlignment="1" applyBorder="1" applyFont="1" applyNumberFormat="1">
      <alignment horizontal="center"/>
    </xf>
    <xf borderId="1" fillId="7" fontId="19" numFmtId="164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0" fillId="7" fontId="31" numFmtId="166" xfId="0" applyAlignment="1" applyFont="1" applyNumberFormat="1">
      <alignment horizontal="center" shrinkToFit="0" vertical="bottom" wrapText="0"/>
    </xf>
    <xf borderId="0" fillId="0" fontId="5" numFmtId="165" xfId="0" applyAlignment="1" applyFont="1" applyNumberFormat="1">
      <alignment horizontal="center" shrinkToFit="0" vertical="bottom" wrapText="0"/>
    </xf>
    <xf borderId="0" fillId="0" fontId="6" numFmtId="164" xfId="0" applyAlignment="1" applyFont="1" applyNumberFormat="1">
      <alignment horizontal="center"/>
    </xf>
    <xf borderId="1" fillId="0" fontId="60" numFmtId="0" xfId="0" applyAlignment="1" applyBorder="1" applyFont="1">
      <alignment horizontal="left"/>
    </xf>
    <xf borderId="1" fillId="0" fontId="60" numFmtId="0" xfId="0" applyAlignment="1" applyBorder="1" applyFont="1">
      <alignment horizontal="center"/>
    </xf>
    <xf borderId="1" fillId="7" fontId="11" numFmtId="0" xfId="0" applyAlignment="1" applyBorder="1" applyFont="1">
      <alignment horizontal="left" readingOrder="0" vertical="center"/>
    </xf>
    <xf borderId="4" fillId="7" fontId="5" numFmtId="0" xfId="0" applyAlignment="1" applyBorder="1" applyFont="1">
      <alignment horizontal="center"/>
    </xf>
    <xf borderId="1" fillId="0" fontId="19" numFmtId="0" xfId="0" applyAlignment="1" applyBorder="1" applyFont="1">
      <alignment horizontal="center" shrinkToFit="0" vertical="bottom" wrapText="0"/>
    </xf>
    <xf borderId="1" fillId="7" fontId="10" numFmtId="0" xfId="0" applyAlignment="1" applyBorder="1" applyFont="1">
      <alignment horizontal="center"/>
    </xf>
    <xf borderId="1" fillId="0" fontId="10" numFmtId="10" xfId="0" applyAlignment="1" applyBorder="1" applyFont="1" applyNumberFormat="1">
      <alignment horizontal="center"/>
    </xf>
    <xf borderId="1" fillId="0" fontId="10" numFmtId="9" xfId="0" applyAlignment="1" applyBorder="1" applyFont="1" applyNumberFormat="1">
      <alignment horizontal="center"/>
    </xf>
    <xf borderId="1" fillId="7" fontId="10" numFmtId="0" xfId="0" applyAlignment="1" applyBorder="1" applyFont="1">
      <alignment horizontal="center" readingOrder="0"/>
    </xf>
    <xf borderId="1" fillId="0" fontId="10" numFmtId="10" xfId="0" applyAlignment="1" applyBorder="1" applyFont="1" applyNumberFormat="1">
      <alignment horizontal="center" readingOrder="0"/>
    </xf>
    <xf borderId="1" fillId="0" fontId="10" numFmtId="9" xfId="0" applyAlignment="1" applyBorder="1" applyFont="1" applyNumberFormat="1">
      <alignment horizontal="center" readingOrder="0"/>
    </xf>
    <xf borderId="1" fillId="7" fontId="13" numFmtId="166" xfId="0" applyAlignment="1" applyBorder="1" applyFont="1" applyNumberFormat="1">
      <alignment horizontal="center" vertical="bottom"/>
    </xf>
    <xf borderId="1" fillId="0" fontId="13" numFmtId="49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7" fontId="13" numFmtId="0" xfId="0" applyAlignment="1" applyBorder="1" applyFont="1">
      <alignment horizontal="center" vertical="bottom"/>
    </xf>
    <xf borderId="1" fillId="7" fontId="13" numFmtId="167" xfId="0" applyAlignment="1" applyBorder="1" applyFont="1" applyNumberFormat="1">
      <alignment horizontal="right" vertical="bottom"/>
    </xf>
    <xf borderId="1" fillId="7" fontId="13" numFmtId="164" xfId="0" applyAlignment="1" applyBorder="1" applyFont="1" applyNumberFormat="1">
      <alignment horizontal="center" vertical="bottom"/>
    </xf>
    <xf borderId="2" fillId="0" fontId="13" numFmtId="0" xfId="0" applyAlignment="1" applyBorder="1" applyFont="1">
      <alignment horizontal="center" vertical="bottom"/>
    </xf>
    <xf borderId="0" fillId="0" fontId="19" numFmtId="0" xfId="0" applyAlignment="1" applyFont="1">
      <alignment horizontal="center"/>
    </xf>
    <xf borderId="1" fillId="7" fontId="28" numFmtId="0" xfId="0" applyAlignment="1" applyBorder="1" applyFont="1">
      <alignment horizontal="center"/>
    </xf>
    <xf borderId="4" fillId="0" fontId="28" numFmtId="10" xfId="0" applyAlignment="1" applyBorder="1" applyFont="1" applyNumberFormat="1">
      <alignment horizontal="center"/>
    </xf>
    <xf borderId="4" fillId="0" fontId="28" numFmtId="0" xfId="0" applyAlignment="1" applyBorder="1" applyFont="1">
      <alignment horizontal="center"/>
    </xf>
    <xf borderId="4" fillId="0" fontId="28" numFmtId="9" xfId="0" applyAlignment="1" applyBorder="1" applyFont="1" applyNumberFormat="1">
      <alignment horizontal="center"/>
    </xf>
    <xf borderId="1" fillId="0" fontId="5" numFmtId="174" xfId="0" applyAlignment="1" applyBorder="1" applyFont="1" applyNumberFormat="1">
      <alignment horizontal="center" shrinkToFit="0" vertical="center" wrapText="0"/>
    </xf>
    <xf borderId="1" fillId="0" fontId="5" numFmtId="172" xfId="0" applyAlignment="1" applyBorder="1" applyFont="1" applyNumberFormat="1">
      <alignment horizontal="center" shrinkToFit="0" vertical="center" wrapText="0"/>
    </xf>
    <xf borderId="0" fillId="0" fontId="40" numFmtId="0" xfId="0" applyAlignment="1" applyFont="1">
      <alignment horizontal="center" shrinkToFit="0" vertical="bottom" wrapText="0"/>
    </xf>
    <xf borderId="1" fillId="0" fontId="5" numFmtId="175" xfId="0" applyAlignment="1" applyBorder="1" applyFont="1" applyNumberFormat="1">
      <alignment horizontal="center" shrinkToFit="0" vertical="bottom" wrapText="0"/>
    </xf>
    <xf borderId="1" fillId="7" fontId="31" numFmtId="164" xfId="0" applyAlignment="1" applyBorder="1" applyFont="1" applyNumberFormat="1">
      <alignment horizontal="center" shrinkToFit="0" vertical="bottom" wrapText="0"/>
    </xf>
    <xf borderId="1" fillId="7" fontId="31" numFmtId="49" xfId="0" applyAlignment="1" applyBorder="1" applyFont="1" applyNumberFormat="1">
      <alignment horizontal="center" vertical="bottom"/>
    </xf>
    <xf borderId="1" fillId="7" fontId="33" numFmtId="167" xfId="0" applyAlignment="1" applyBorder="1" applyFont="1" applyNumberFormat="1">
      <alignment horizontal="right" vertical="bottom"/>
    </xf>
    <xf borderId="1" fillId="7" fontId="33" numFmtId="49" xfId="0" applyAlignment="1" applyBorder="1" applyFont="1" applyNumberFormat="1">
      <alignment horizontal="center" vertical="center"/>
    </xf>
    <xf borderId="1" fillId="7" fontId="33" numFmtId="49" xfId="0" applyAlignment="1" applyBorder="1" applyFont="1" applyNumberFormat="1">
      <alignment horizontal="center" vertical="bottom"/>
    </xf>
    <xf borderId="1" fillId="15" fontId="5" numFmtId="0" xfId="0" applyAlignment="1" applyBorder="1" applyFill="1" applyFont="1">
      <alignment horizontal="center" shrinkToFit="0" vertical="bottom" wrapText="0"/>
    </xf>
    <xf borderId="1" fillId="7" fontId="31" numFmtId="49" xfId="0" applyAlignment="1" applyBorder="1" applyFont="1" applyNumberFormat="1">
      <alignment horizontal="center"/>
    </xf>
    <xf borderId="1" fillId="0" fontId="5" numFmtId="176" xfId="0" applyAlignment="1" applyBorder="1" applyFont="1" applyNumberFormat="1">
      <alignment horizontal="center" shrinkToFit="0" vertical="center" wrapText="0"/>
    </xf>
    <xf borderId="4" fillId="7" fontId="5" numFmtId="164" xfId="0" applyAlignment="1" applyBorder="1" applyFont="1" applyNumberFormat="1">
      <alignment horizontal="center" shrinkToFit="0" vertical="bottom" wrapText="0"/>
    </xf>
    <xf borderId="1" fillId="0" fontId="39" numFmtId="167" xfId="0" applyAlignment="1" applyBorder="1" applyFont="1" applyNumberFormat="1">
      <alignment horizontal="right" shrinkToFit="0" vertical="center" wrapText="0"/>
    </xf>
    <xf borderId="4" fillId="0" fontId="6" numFmtId="164" xfId="0" applyAlignment="1" applyBorder="1" applyFont="1" applyNumberFormat="1">
      <alignment horizontal="center"/>
    </xf>
    <xf borderId="1" fillId="7" fontId="5" numFmtId="10" xfId="0" applyAlignment="1" applyBorder="1" applyFont="1" applyNumberFormat="1">
      <alignment horizontal="center"/>
    </xf>
    <xf borderId="1" fillId="0" fontId="61" numFmtId="0" xfId="0" applyAlignment="1" applyBorder="1" applyFont="1">
      <alignment horizontal="left" shrinkToFit="0" wrapText="1"/>
    </xf>
    <xf borderId="1" fillId="7" fontId="5" numFmtId="0" xfId="0" applyAlignment="1" applyBorder="1" applyFont="1">
      <alignment horizontal="right"/>
    </xf>
    <xf borderId="1" fillId="7" fontId="18" numFmtId="49" xfId="0" applyAlignment="1" applyBorder="1" applyFont="1" applyNumberFormat="1">
      <alignment horizontal="right"/>
    </xf>
    <xf borderId="1" fillId="8" fontId="39" numFmtId="167" xfId="0" applyAlignment="1" applyBorder="1" applyFont="1" applyNumberFormat="1">
      <alignment shrinkToFit="0" vertical="center" wrapText="0"/>
    </xf>
    <xf borderId="1" fillId="7" fontId="31" numFmtId="167" xfId="0" applyAlignment="1" applyBorder="1" applyFont="1" applyNumberFormat="1">
      <alignment horizontal="right"/>
    </xf>
    <xf borderId="1" fillId="0" fontId="9" numFmtId="0" xfId="0" applyAlignment="1" applyBorder="1" applyFont="1">
      <alignment horizontal="left"/>
    </xf>
    <xf borderId="1" fillId="7" fontId="62" numFmtId="49" xfId="0" applyAlignment="1" applyBorder="1" applyFont="1" applyNumberFormat="1">
      <alignment horizontal="center"/>
    </xf>
    <xf borderId="1" fillId="16" fontId="5" numFmtId="167" xfId="0" applyAlignment="1" applyBorder="1" applyFill="1" applyFont="1" applyNumberFormat="1">
      <alignment horizontal="right" shrinkToFit="0" vertical="center" wrapText="0"/>
    </xf>
    <xf borderId="1" fillId="17" fontId="5" numFmtId="167" xfId="0" applyAlignment="1" applyBorder="1" applyFill="1" applyFont="1" applyNumberFormat="1">
      <alignment horizontal="right" shrinkToFit="0" vertical="center" wrapText="0"/>
    </xf>
    <xf borderId="1" fillId="8" fontId="5" numFmtId="0" xfId="0" applyAlignment="1" applyBorder="1" applyFont="1">
      <alignment horizontal="left" shrinkToFit="0" vertical="center" wrapText="0"/>
    </xf>
    <xf borderId="1" fillId="8" fontId="5" numFmtId="0" xfId="0" applyAlignment="1" applyBorder="1" applyFont="1">
      <alignment horizontal="center" shrinkToFit="0" vertical="center" wrapText="0"/>
    </xf>
    <xf borderId="1" fillId="8" fontId="5" numFmtId="164" xfId="0" applyAlignment="1" applyBorder="1" applyFont="1" applyNumberFormat="1">
      <alignment horizontal="center" shrinkToFit="0" vertical="center" wrapText="0"/>
    </xf>
    <xf borderId="1" fillId="8" fontId="5" numFmtId="10" xfId="0" applyAlignment="1" applyBorder="1" applyFont="1" applyNumberFormat="1">
      <alignment horizontal="center" shrinkToFit="0" vertical="center" wrapText="0"/>
    </xf>
    <xf borderId="1" fillId="8" fontId="5" numFmtId="0" xfId="0" applyAlignment="1" applyBorder="1" applyFont="1">
      <alignment horizontal="left" shrinkToFit="0" vertical="center" wrapText="1"/>
    </xf>
    <xf borderId="1" fillId="8" fontId="5" numFmtId="0" xfId="0" applyAlignment="1" applyBorder="1" applyFont="1">
      <alignment horizontal="center" readingOrder="0" shrinkToFit="0" vertical="center" wrapText="0"/>
    </xf>
    <xf borderId="1" fillId="8" fontId="5" numFmtId="167" xfId="0" applyAlignment="1" applyBorder="1" applyFont="1" applyNumberFormat="1">
      <alignment shrinkToFit="0" vertical="center" wrapText="0"/>
    </xf>
    <xf borderId="1" fillId="0" fontId="13" numFmtId="49" xfId="0" applyAlignment="1" applyBorder="1" applyFont="1" applyNumberFormat="1">
      <alignment horizontal="center" vertical="center"/>
    </xf>
    <xf borderId="1" fillId="0" fontId="19" numFmtId="167" xfId="0" applyAlignment="1" applyBorder="1" applyFont="1" applyNumberFormat="1">
      <alignment horizontal="right" shrinkToFit="0" vertical="bottom" wrapText="0"/>
    </xf>
    <xf borderId="1" fillId="7" fontId="33" numFmtId="167" xfId="0" applyAlignment="1" applyBorder="1" applyFont="1" applyNumberFormat="1">
      <alignment horizontal="right"/>
    </xf>
    <xf borderId="1" fillId="0" fontId="19" numFmtId="49" xfId="0" applyAlignment="1" applyBorder="1" applyFont="1" applyNumberFormat="1">
      <alignment horizontal="center" shrinkToFit="0" vertical="bottom" wrapText="0"/>
    </xf>
    <xf borderId="0" fillId="7" fontId="19" numFmtId="0" xfId="0" applyAlignment="1" applyFont="1">
      <alignment horizontal="center"/>
    </xf>
    <xf borderId="1" fillId="8" fontId="19" numFmtId="49" xfId="0" applyAlignment="1" applyBorder="1" applyFont="1" applyNumberFormat="1">
      <alignment horizontal="center" shrinkToFit="0" vertical="bottom" wrapText="0"/>
    </xf>
    <xf borderId="1" fillId="8" fontId="13" numFmtId="49" xfId="0" applyAlignment="1" applyBorder="1" applyFont="1" applyNumberFormat="1">
      <alignment horizontal="center"/>
    </xf>
    <xf borderId="1" fillId="7" fontId="19" numFmtId="49" xfId="0" applyAlignment="1" applyBorder="1" applyFont="1" applyNumberFormat="1">
      <alignment horizontal="center" shrinkToFit="0" vertical="bottom" wrapText="0"/>
    </xf>
    <xf borderId="0" fillId="0" fontId="33" numFmtId="164" xfId="0" applyAlignment="1" applyFont="1" applyNumberFormat="1">
      <alignment horizontal="center"/>
    </xf>
    <xf borderId="0" fillId="0" fontId="9" numFmtId="0" xfId="0" applyAlignment="1" applyFont="1">
      <alignment horizontal="left" shrinkToFit="0" vertical="center" wrapText="1"/>
    </xf>
    <xf borderId="1" fillId="8" fontId="31" numFmtId="49" xfId="0" applyAlignment="1" applyBorder="1" applyFont="1" applyNumberFormat="1">
      <alignment horizontal="center" shrinkToFit="0" vertical="bottom" wrapText="0"/>
    </xf>
    <xf borderId="1" fillId="7" fontId="11" numFmtId="0" xfId="0" applyAlignment="1" applyBorder="1" applyFont="1">
      <alignment readingOrder="0" vertical="center"/>
    </xf>
    <xf borderId="1" fillId="18" fontId="33" numFmtId="167" xfId="0" applyAlignment="1" applyBorder="1" applyFill="1" applyFont="1" applyNumberFormat="1">
      <alignment horizontal="right"/>
    </xf>
    <xf borderId="1" fillId="8" fontId="58" numFmtId="49" xfId="0" applyAlignment="1" applyBorder="1" applyFont="1" applyNumberFormat="1">
      <alignment horizontal="center"/>
    </xf>
    <xf borderId="1" fillId="7" fontId="19" numFmtId="49" xfId="0" applyAlignment="1" applyBorder="1" applyFont="1" applyNumberFormat="1">
      <alignment horizontal="center"/>
    </xf>
    <xf borderId="4" fillId="7" fontId="19" numFmtId="0" xfId="0" applyAlignment="1" applyBorder="1" applyFont="1">
      <alignment horizontal="center" shrinkToFit="0" vertical="bottom" wrapText="0"/>
    </xf>
    <xf borderId="4" fillId="7" fontId="19" numFmtId="166" xfId="0" applyAlignment="1" applyBorder="1" applyFont="1" applyNumberFormat="1">
      <alignment horizontal="center" shrinkToFit="0" vertical="bottom" wrapText="0"/>
    </xf>
    <xf borderId="1" fillId="0" fontId="31" numFmtId="49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horizontal="left" readingOrder="0" shrinkToFit="0" wrapText="1"/>
    </xf>
    <xf borderId="1" fillId="0" fontId="63" numFmtId="0" xfId="0" applyAlignment="1" applyBorder="1" applyFont="1">
      <alignment vertical="center"/>
    </xf>
    <xf borderId="1" fillId="0" fontId="6" numFmtId="167" xfId="0" applyAlignment="1" applyBorder="1" applyFont="1" applyNumberFormat="1">
      <alignment readingOrder="0" vertical="center"/>
    </xf>
    <xf borderId="1" fillId="7" fontId="13" numFmtId="0" xfId="0" applyAlignment="1" applyBorder="1" applyFont="1">
      <alignment horizontal="center"/>
    </xf>
    <xf borderId="1" fillId="15" fontId="5" numFmtId="167" xfId="0" applyAlignment="1" applyBorder="1" applyFont="1" applyNumberFormat="1">
      <alignment horizontal="right" shrinkToFit="0" vertical="bottom" wrapText="0"/>
    </xf>
    <xf borderId="1" fillId="0" fontId="13" numFmtId="166" xfId="0" applyAlignment="1" applyBorder="1" applyFont="1" applyNumberFormat="1">
      <alignment horizontal="center" vertical="bottom"/>
    </xf>
    <xf borderId="1" fillId="0" fontId="13" numFmtId="167" xfId="0" applyAlignment="1" applyBorder="1" applyFont="1" applyNumberFormat="1">
      <alignment horizontal="right" shrinkToFit="0" vertical="bottom" wrapText="0"/>
    </xf>
    <xf borderId="1" fillId="0" fontId="33" numFmtId="49" xfId="0" applyAlignment="1" applyBorder="1" applyFont="1" applyNumberFormat="1">
      <alignment horizontal="center"/>
    </xf>
    <xf borderId="1" fillId="0" fontId="31" numFmtId="49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0" fontId="13" numFmtId="167" xfId="0" applyAlignment="1" applyBorder="1" applyFont="1" applyNumberFormat="1">
      <alignment horizontal="right" vertical="bottom"/>
    </xf>
    <xf borderId="1" fillId="0" fontId="64" numFmtId="0" xfId="0" applyAlignment="1" applyBorder="1" applyFont="1">
      <alignment horizontal="left" shrinkToFit="0" vertical="bottom" wrapText="1"/>
    </xf>
    <xf borderId="1" fillId="7" fontId="33" numFmtId="49" xfId="0" applyAlignment="1" applyBorder="1" applyFont="1" applyNumberFormat="1">
      <alignment horizontal="center" shrinkToFit="0" vertical="bottom" wrapText="0"/>
    </xf>
    <xf borderId="1" fillId="7" fontId="31" numFmtId="165" xfId="0" applyAlignment="1" applyBorder="1" applyFont="1" applyNumberFormat="1">
      <alignment horizontal="center" shrinkToFit="0" vertical="bottom" wrapText="0"/>
    </xf>
    <xf borderId="6" fillId="0" fontId="33" numFmtId="0" xfId="0" applyAlignment="1" applyBorder="1" applyFont="1">
      <alignment horizontal="center"/>
    </xf>
    <xf borderId="1" fillId="7" fontId="19" numFmtId="0" xfId="0" applyAlignment="1" applyBorder="1" applyFont="1">
      <alignment horizontal="center"/>
    </xf>
    <xf borderId="0" fillId="0" fontId="5" numFmtId="167" xfId="0" applyAlignment="1" applyFont="1" applyNumberFormat="1">
      <alignment shrinkToFit="0" vertical="center" wrapText="0"/>
    </xf>
    <xf borderId="0" fillId="0" fontId="65" numFmtId="0" xfId="0" applyAlignment="1" applyFont="1">
      <alignment horizontal="left" shrinkToFit="0" wrapText="1"/>
    </xf>
    <xf borderId="0" fillId="2" fontId="8" numFmtId="167" xfId="0" applyAlignment="1" applyFont="1" applyNumberFormat="1">
      <alignment horizontal="center" vertical="center"/>
    </xf>
    <xf borderId="0" fillId="2" fontId="8" numFmtId="167" xfId="0" applyAlignment="1" applyFont="1" applyNumberFormat="1">
      <alignment horizontal="center" shrinkToFit="0" vertical="center" wrapText="0"/>
    </xf>
    <xf borderId="1" fillId="0" fontId="20" numFmtId="0" xfId="0" applyAlignment="1" applyBorder="1" applyFont="1">
      <alignment horizontal="center" shrinkToFit="0" vertical="bottom" wrapText="0"/>
    </xf>
    <xf borderId="1" fillId="7" fontId="59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24" numFmtId="0" xfId="0" applyAlignment="1" applyBorder="1" applyFont="1">
      <alignment vertical="center"/>
    </xf>
    <xf borderId="1" fillId="8" fontId="19" numFmtId="0" xfId="0" applyAlignment="1" applyBorder="1" applyFont="1">
      <alignment horizontal="center" shrinkToFit="0" vertical="bottom" wrapText="0"/>
    </xf>
    <xf borderId="1" fillId="8" fontId="5" numFmtId="0" xfId="0" applyAlignment="1" applyBorder="1" applyFont="1">
      <alignment horizontal="left" shrinkToFit="0" vertical="bottom" wrapText="0"/>
    </xf>
    <xf borderId="1" fillId="8" fontId="5" numFmtId="0" xfId="0" applyAlignment="1" applyBorder="1" applyFont="1">
      <alignment readingOrder="0" vertical="center"/>
    </xf>
    <xf borderId="1" fillId="8" fontId="5" numFmtId="0" xfId="0" applyAlignment="1" applyBorder="1" applyFont="1">
      <alignment horizontal="center" vertical="center"/>
    </xf>
    <xf borderId="1" fillId="11" fontId="9" numFmtId="0" xfId="0" applyAlignment="1" applyBorder="1" applyFont="1">
      <alignment horizontal="center" readingOrder="0" shrinkToFit="0" vertical="center" wrapText="0"/>
    </xf>
    <xf borderId="1" fillId="8" fontId="6" numFmtId="166" xfId="0" applyAlignment="1" applyBorder="1" applyFont="1" applyNumberFormat="1">
      <alignment horizontal="center" shrinkToFit="0" vertical="center" wrapText="0"/>
    </xf>
    <xf borderId="1" fillId="8" fontId="6" numFmtId="164" xfId="0" applyAlignment="1" applyBorder="1" applyFont="1" applyNumberFormat="1">
      <alignment horizontal="center" readingOrder="0" vertical="center"/>
    </xf>
    <xf borderId="1" fillId="8" fontId="6" numFmtId="0" xfId="0" applyAlignment="1" applyBorder="1" applyFont="1">
      <alignment horizontal="center" vertical="center"/>
    </xf>
    <xf borderId="1" fillId="8" fontId="6" numFmtId="10" xfId="0" applyAlignment="1" applyBorder="1" applyFont="1" applyNumberFormat="1">
      <alignment horizontal="center" vertical="center"/>
    </xf>
    <xf borderId="1" fillId="8" fontId="6" numFmtId="0" xfId="0" applyAlignment="1" applyBorder="1" applyFont="1">
      <alignment horizontal="center" shrinkToFit="0" vertical="center" wrapText="0"/>
    </xf>
    <xf borderId="1" fillId="8" fontId="6" numFmtId="9" xfId="0" applyAlignment="1" applyBorder="1" applyFont="1" applyNumberFormat="1">
      <alignment horizontal="center" shrinkToFit="0" vertical="center" wrapText="0"/>
    </xf>
    <xf borderId="1" fillId="8" fontId="6" numFmtId="0" xfId="0" applyAlignment="1" applyBorder="1" applyFont="1">
      <alignment horizontal="left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0"/>
    </xf>
    <xf borderId="1" fillId="8" fontId="6" numFmtId="167" xfId="0" applyAlignment="1" applyBorder="1" applyFont="1" applyNumberFormat="1">
      <alignment horizontal="center" readingOrder="0" vertical="center"/>
    </xf>
    <xf borderId="1" fillId="8" fontId="6" numFmtId="167" xfId="0" applyAlignment="1" applyBorder="1" applyFont="1" applyNumberFormat="1">
      <alignment horizontal="right" shrinkToFit="0" vertical="center" wrapText="0"/>
    </xf>
    <xf borderId="1" fillId="11" fontId="6" numFmtId="167" xfId="0" applyAlignment="1" applyBorder="1" applyFont="1" applyNumberFormat="1">
      <alignment horizontal="right" shrinkToFit="0" vertical="center" wrapText="0"/>
    </xf>
    <xf borderId="1" fillId="11" fontId="6" numFmtId="167" xfId="0" applyAlignment="1" applyBorder="1" applyFont="1" applyNumberFormat="1">
      <alignment horizontal="right" readingOrder="0" shrinkToFit="0" vertical="center" wrapText="0"/>
    </xf>
    <xf borderId="1" fillId="7" fontId="6" numFmtId="10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ont="1">
      <alignment horizontal="left"/>
    </xf>
    <xf borderId="1" fillId="7" fontId="6" numFmtId="0" xfId="0" applyAlignment="1" applyBorder="1" applyFont="1">
      <alignment horizontal="left" shrinkToFit="0" wrapText="1"/>
    </xf>
    <xf borderId="1" fillId="7" fontId="6" numFmtId="0" xfId="0" applyAlignment="1" applyBorder="1" applyFont="1">
      <alignment horizontal="right"/>
    </xf>
    <xf borderId="1" fillId="7" fontId="6" numFmtId="167" xfId="0" applyAlignment="1" applyBorder="1" applyFont="1" applyNumberFormat="1">
      <alignment horizontal="right"/>
    </xf>
    <xf borderId="4" fillId="0" fontId="13" numFmtId="0" xfId="0" applyAlignment="1" applyBorder="1" applyFont="1">
      <alignment horizontal="center"/>
    </xf>
    <xf borderId="4" fillId="7" fontId="31" numFmtId="0" xfId="0" applyAlignment="1" applyBorder="1" applyFont="1">
      <alignment horizontal="center" shrinkToFit="0" vertical="bottom" wrapText="0"/>
    </xf>
    <xf borderId="4" fillId="7" fontId="31" numFmtId="167" xfId="0" applyAlignment="1" applyBorder="1" applyFont="1" applyNumberFormat="1">
      <alignment horizontal="right" shrinkToFit="0" vertical="bottom" wrapText="0"/>
    </xf>
    <xf borderId="4" fillId="7" fontId="31" numFmtId="166" xfId="0" applyAlignment="1" applyBorder="1" applyFont="1" applyNumberFormat="1">
      <alignment horizontal="center" shrinkToFit="0" vertical="bottom" wrapText="0"/>
    </xf>
    <xf borderId="1" fillId="7" fontId="13" numFmtId="49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shrinkToFit="0" wrapText="1"/>
    </xf>
    <xf borderId="0" fillId="0" fontId="6" numFmtId="171" xfId="0" applyAlignment="1" applyFont="1" applyNumberFormat="1">
      <alignment horizontal="center"/>
    </xf>
    <xf borderId="0" fillId="2" fontId="1" numFmtId="0" xfId="0" applyAlignment="1" applyFont="1">
      <alignment horizontal="center" shrinkToFit="0" vertical="bottom" wrapText="0"/>
    </xf>
    <xf borderId="1" fillId="9" fontId="1" numFmtId="167" xfId="0" applyAlignment="1" applyBorder="1" applyFont="1" applyNumberFormat="1">
      <alignment horizontal="center" shrinkToFit="0" vertical="bottom" wrapText="0"/>
    </xf>
    <xf borderId="0" fillId="9" fontId="1" numFmtId="171" xfId="0" applyAlignment="1" applyFont="1" applyNumberFormat="1">
      <alignment horizontal="center" shrinkToFit="0" vertical="bottom" wrapText="0"/>
    </xf>
    <xf borderId="0" fillId="0" fontId="6" numFmtId="3" xfId="0" applyAlignment="1" applyFont="1" applyNumberFormat="1">
      <alignment horizontal="center"/>
    </xf>
    <xf borderId="0" fillId="0" fontId="10" numFmtId="0" xfId="0" applyFont="1"/>
    <xf borderId="0" fillId="2" fontId="1" numFmtId="0" xfId="0" applyAlignment="1" applyFont="1">
      <alignment horizontal="left" readingOrder="0" shrinkToFit="0" vertical="bottom" wrapText="0"/>
    </xf>
    <xf borderId="0" fillId="7" fontId="5" numFmtId="167" xfId="0" applyAlignment="1" applyFont="1" applyNumberFormat="1">
      <alignment horizontal="center" shrinkToFit="0" vertical="bottom" wrapText="0"/>
    </xf>
    <xf borderId="0" fillId="8" fontId="5" numFmtId="164" xfId="0" applyAlignment="1" applyFont="1" applyNumberFormat="1">
      <alignment horizontal="center" shrinkToFit="0" vertical="bottom" wrapText="0"/>
    </xf>
    <xf borderId="0" fillId="0" fontId="5" numFmtId="167" xfId="0" applyAlignment="1" applyFont="1" applyNumberFormat="1">
      <alignment horizontal="center" shrinkToFit="0" vertical="bottom" wrapText="0"/>
    </xf>
    <xf borderId="4" fillId="7" fontId="58" numFmtId="0" xfId="0" applyAlignment="1" applyBorder="1" applyFont="1">
      <alignment horizontal="center"/>
    </xf>
    <xf borderId="4" fillId="7" fontId="19" numFmtId="0" xfId="0" applyAlignment="1" applyBorder="1" applyFont="1">
      <alignment horizontal="center"/>
    </xf>
    <xf borderId="4" fillId="7" fontId="19" numFmtId="165" xfId="0" applyAlignment="1" applyBorder="1" applyFont="1" applyNumberFormat="1">
      <alignment horizontal="center" shrinkToFit="0" vertical="bottom" wrapText="0"/>
    </xf>
    <xf borderId="4" fillId="7" fontId="31" numFmtId="165" xfId="0" applyAlignment="1" applyBorder="1" applyFont="1" applyNumberFormat="1">
      <alignment horizontal="center" shrinkToFit="0" vertical="bottom" wrapText="0"/>
    </xf>
    <xf borderId="4" fillId="0" fontId="31" numFmtId="0" xfId="0" applyAlignment="1" applyBorder="1" applyFont="1">
      <alignment horizontal="center" shrinkToFit="0" vertical="bottom" wrapText="0"/>
    </xf>
    <xf borderId="4" fillId="7" fontId="31" numFmtId="164" xfId="0" applyAlignment="1" applyBorder="1" applyFont="1" applyNumberFormat="1">
      <alignment horizontal="center" shrinkToFit="0" vertical="bottom" wrapText="0"/>
    </xf>
    <xf borderId="4" fillId="0" fontId="13" numFmtId="49" xfId="0" applyAlignment="1" applyBorder="1" applyFont="1" applyNumberFormat="1">
      <alignment horizontal="center" vertical="bottom"/>
    </xf>
    <xf borderId="4" fillId="0" fontId="13" numFmtId="0" xfId="0" applyAlignment="1" applyBorder="1" applyFont="1">
      <alignment horizontal="center" vertical="bottom"/>
    </xf>
    <xf borderId="4" fillId="7" fontId="13" numFmtId="0" xfId="0" applyAlignment="1" applyBorder="1" applyFont="1">
      <alignment horizontal="center" vertical="bottom"/>
    </xf>
    <xf borderId="4" fillId="7" fontId="13" numFmtId="167" xfId="0" applyAlignment="1" applyBorder="1" applyFont="1" applyNumberFormat="1">
      <alignment horizontal="right" vertical="bottom"/>
    </xf>
    <xf borderId="4" fillId="7" fontId="13" numFmtId="164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vertical="center"/>
    </xf>
    <xf borderId="4" fillId="0" fontId="13" numFmtId="49" xfId="0" applyAlignment="1" applyBorder="1" applyFont="1" applyNumberFormat="1">
      <alignment horizontal="center" vertical="center"/>
    </xf>
    <xf borderId="4" fillId="7" fontId="33" numFmtId="0" xfId="0" applyAlignment="1" applyBorder="1" applyFont="1">
      <alignment horizontal="center" vertical="bottom"/>
    </xf>
    <xf borderId="4" fillId="8" fontId="33" numFmtId="167" xfId="0" applyAlignment="1" applyBorder="1" applyFont="1" applyNumberFormat="1">
      <alignment horizontal="right"/>
    </xf>
    <xf borderId="0" fillId="11" fontId="11" numFmtId="0" xfId="0" applyAlignment="1" applyFont="1">
      <alignment readingOrder="0" vertical="center"/>
    </xf>
    <xf borderId="1" fillId="7" fontId="62" numFmtId="0" xfId="0" applyAlignment="1" applyBorder="1" applyFont="1">
      <alignment horizontal="center"/>
    </xf>
    <xf borderId="1" fillId="8" fontId="31" numFmtId="167" xfId="0" applyAlignment="1" applyBorder="1" applyFont="1" applyNumberFormat="1">
      <alignment horizontal="right" shrinkToFit="0" vertical="bottom" wrapText="0"/>
    </xf>
    <xf borderId="1" fillId="0" fontId="31" numFmtId="164" xfId="0" applyAlignment="1" applyBorder="1" applyFont="1" applyNumberFormat="1">
      <alignment horizontal="center" shrinkToFit="0" vertical="bottom" wrapText="0"/>
    </xf>
    <xf borderId="1" fillId="7" fontId="19" numFmtId="166" xfId="0" applyAlignment="1" applyBorder="1" applyFont="1" applyNumberFormat="1">
      <alignment horizontal="center"/>
    </xf>
    <xf borderId="1" fillId="8" fontId="31" numFmtId="164" xfId="0" applyAlignment="1" applyBorder="1" applyFont="1" applyNumberFormat="1">
      <alignment horizontal="center" shrinkToFit="0" vertical="bottom" wrapText="0"/>
    </xf>
    <xf borderId="1" fillId="7" fontId="66" numFmtId="49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 vertical="center"/>
    </xf>
    <xf borderId="1" fillId="0" fontId="6" numFmtId="173" xfId="0" applyAlignment="1" applyBorder="1" applyFont="1" applyNumberFormat="1">
      <alignment horizontal="left" shrinkToFit="0" vertical="center" wrapText="1"/>
    </xf>
    <xf borderId="1" fillId="0" fontId="6" numFmtId="173" xfId="0" applyAlignment="1" applyBorder="1" applyFont="1" applyNumberFormat="1">
      <alignment horizontal="left" shrinkToFit="0" wrapText="1"/>
    </xf>
    <xf borderId="4" fillId="0" fontId="10" numFmtId="10" xfId="0" applyAlignment="1" applyBorder="1" applyFont="1" applyNumberFormat="1">
      <alignment horizontal="center"/>
    </xf>
    <xf borderId="4" fillId="0" fontId="10" numFmtId="0" xfId="0" applyAlignment="1" applyBorder="1" applyFont="1">
      <alignment horizontal="center"/>
    </xf>
    <xf borderId="4" fillId="0" fontId="10" numFmtId="9" xfId="0" applyAlignment="1" applyBorder="1" applyFont="1" applyNumberFormat="1">
      <alignment horizontal="center"/>
    </xf>
    <xf borderId="4" fillId="0" fontId="10" numFmtId="10" xfId="0" applyAlignment="1" applyBorder="1" applyFont="1" applyNumberForma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0" numFmtId="9" xfId="0" applyAlignment="1" applyBorder="1" applyFont="1" applyNumberFormat="1">
      <alignment horizontal="center" readingOrder="0"/>
    </xf>
    <xf borderId="1" fillId="7" fontId="10" numFmtId="0" xfId="0" applyAlignment="1" applyBorder="1" applyFont="1">
      <alignment horizontal="center" readingOrder="0" vertical="center"/>
    </xf>
    <xf borderId="1" fillId="0" fontId="10" numFmtId="10" xfId="0" applyAlignment="1" applyBorder="1" applyFont="1" applyNumberFormat="1">
      <alignment horizontal="center" readingOrder="0" vertical="center"/>
    </xf>
    <xf borderId="1" fillId="0" fontId="28" numFmtId="10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center" vertical="center"/>
    </xf>
    <xf borderId="1" fillId="0" fontId="28" numFmtId="9" xfId="0" applyAlignment="1" applyBorder="1" applyFont="1" applyNumberFormat="1">
      <alignment horizontal="center" vertical="center"/>
    </xf>
    <xf borderId="4" fillId="0" fontId="6" numFmtId="10" xfId="0" applyAlignment="1" applyBorder="1" applyFont="1" applyNumberForma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6" numFmtId="9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1" fillId="0" fontId="28" numFmtId="10" xfId="0" applyAlignment="1" applyBorder="1" applyFont="1" applyNumberFormat="1">
      <alignment horizontal="center"/>
    </xf>
    <xf borderId="1" fillId="0" fontId="28" numFmtId="0" xfId="0" applyAlignment="1" applyBorder="1" applyFont="1">
      <alignment horizontal="center"/>
    </xf>
    <xf borderId="1" fillId="0" fontId="28" numFmtId="9" xfId="0" applyAlignment="1" applyBorder="1" applyFont="1" applyNumberFormat="1">
      <alignment horizontal="center"/>
    </xf>
    <xf borderId="1" fillId="7" fontId="58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horizontal="left" shrinkToFit="0" vertical="center" wrapText="1"/>
    </xf>
    <xf borderId="1" fillId="7" fontId="6" numFmtId="0" xfId="0" applyAlignment="1" applyBorder="1" applyFont="1">
      <alignment readingOrder="0" vertical="center"/>
    </xf>
    <xf borderId="1" fillId="0" fontId="39" numFmtId="0" xfId="0" applyAlignment="1" applyBorder="1" applyFont="1">
      <alignment horizontal="left" shrinkToFit="0" vertical="center" wrapText="1"/>
    </xf>
    <xf borderId="0" fillId="7" fontId="67" numFmtId="0" xfId="0" applyAlignment="1" applyFont="1">
      <alignment readingOrder="0" vertical="center"/>
    </xf>
    <xf borderId="0" fillId="7" fontId="12" numFmtId="0" xfId="0" applyAlignment="1" applyFont="1">
      <alignment horizontal="left" readingOrder="0" vertical="center"/>
    </xf>
    <xf borderId="4" fillId="0" fontId="10" numFmtId="10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0" numFmtId="9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10" numFmtId="9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horizontal="right" readingOrder="0" shrinkToFit="0" vertical="bottom" wrapText="0"/>
    </xf>
    <xf borderId="1" fillId="0" fontId="6" numFmtId="9" xfId="0" applyAlignment="1" applyBorder="1" applyFont="1" applyNumberFormat="1">
      <alignment horizontal="right" readingOrder="0" shrinkToFit="0" vertical="center" wrapText="0"/>
    </xf>
    <xf borderId="1" fillId="0" fontId="6" numFmtId="0" xfId="0" applyAlignment="1" applyBorder="1" applyFont="1">
      <alignment horizontal="right" readingOrder="0" shrinkToFit="0" vertical="center" wrapText="0"/>
    </xf>
    <xf borderId="1" fillId="0" fontId="6" numFmtId="175" xfId="0" applyAlignment="1" applyBorder="1" applyFont="1" applyNumberFormat="1">
      <alignment horizontal="center" readingOrder="0" vertical="center"/>
    </xf>
    <xf borderId="1" fillId="0" fontId="6" numFmtId="167" xfId="0" applyAlignment="1" applyBorder="1" applyFont="1" applyNumberFormat="1">
      <alignment horizontal="center" readingOrder="0" shrinkToFit="0" vertical="center" wrapText="0"/>
    </xf>
    <xf borderId="1" fillId="0" fontId="6" numFmtId="164" xfId="0" applyAlignment="1" applyBorder="1" applyFont="1" applyNumberFormat="1">
      <alignment horizontal="center" shrinkToFit="0" vertical="center" wrapText="0"/>
    </xf>
    <xf borderId="1" fillId="0" fontId="6" numFmtId="165" xfId="0" applyAlignment="1" applyBorder="1" applyFont="1" applyNumberFormat="1">
      <alignment horizontal="center" readingOrder="0" shrinkToFit="0" vertical="center" wrapText="0"/>
    </xf>
    <xf borderId="1" fillId="7" fontId="11" numFmtId="0" xfId="0" applyAlignment="1" applyBorder="1" applyFont="1">
      <alignment vertical="center"/>
    </xf>
    <xf borderId="0" fillId="7" fontId="5" numFmtId="0" xfId="0" applyAlignment="1" applyFont="1">
      <alignment readingOrder="0" vertical="center"/>
    </xf>
    <xf borderId="16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center" readingOrder="0" shrinkToFit="0" vertical="center" wrapText="0"/>
    </xf>
    <xf borderId="16" fillId="0" fontId="5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horizontal="center" readingOrder="0" shrinkToFit="0" vertical="center" wrapText="0"/>
    </xf>
    <xf borderId="16" fillId="0" fontId="6" numFmtId="166" xfId="0" applyAlignment="1" applyBorder="1" applyFont="1" applyNumberFormat="1">
      <alignment horizontal="center" readingOrder="0" shrinkToFit="0" vertical="center" wrapText="0"/>
    </xf>
    <xf borderId="16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readingOrder="0" vertical="center"/>
    </xf>
    <xf borderId="16" fillId="0" fontId="6" numFmtId="10" xfId="0" applyAlignment="1" applyBorder="1" applyFont="1" applyNumberFormat="1">
      <alignment horizontal="center" readingOrder="0" shrinkToFit="0" vertical="center" wrapText="0"/>
    </xf>
    <xf borderId="16" fillId="0" fontId="6" numFmtId="0" xfId="0" applyAlignment="1" applyBorder="1" applyFont="1">
      <alignment horizontal="center" readingOrder="0" shrinkToFit="0" vertical="center" wrapText="0"/>
    </xf>
    <xf borderId="16" fillId="0" fontId="6" numFmtId="9" xfId="0" applyAlignment="1" applyBorder="1" applyFont="1" applyNumberFormat="1">
      <alignment horizontal="center" readingOrder="0" shrinkToFit="0" vertical="center" wrapText="0"/>
    </xf>
    <xf borderId="16" fillId="0" fontId="6" numFmtId="0" xfId="0" applyAlignment="1" applyBorder="1" applyFont="1">
      <alignment horizontal="left" shrinkToFit="0" vertical="center" wrapText="1"/>
    </xf>
    <xf borderId="16" fillId="0" fontId="6" numFmtId="167" xfId="0" applyAlignment="1" applyBorder="1" applyFont="1" applyNumberFormat="1">
      <alignment horizontal="center" readingOrder="0" vertical="center"/>
    </xf>
    <xf borderId="16" fillId="0" fontId="6" numFmtId="167" xfId="0" applyAlignment="1" applyBorder="1" applyFont="1" applyNumberFormat="1">
      <alignment horizontal="right" shrinkToFit="0" vertical="center" wrapText="0"/>
    </xf>
    <xf borderId="16" fillId="0" fontId="5" numFmtId="0" xfId="0" applyAlignment="1" applyBorder="1" applyFont="1">
      <alignment vertical="center"/>
    </xf>
    <xf borderId="16" fillId="0" fontId="5" numFmtId="0" xfId="0" applyAlignment="1" applyBorder="1" applyFont="1">
      <alignment horizontal="left" vertical="center"/>
    </xf>
    <xf borderId="16" fillId="0" fontId="5" numFmtId="0" xfId="0" applyAlignment="1" applyBorder="1" applyFont="1">
      <alignment horizontal="center" shrinkToFit="0" vertical="center" wrapText="0"/>
    </xf>
    <xf borderId="16" fillId="0" fontId="5" numFmtId="0" xfId="0" applyAlignment="1" applyBorder="1" applyFont="1">
      <alignment horizontal="center" vertical="center"/>
    </xf>
    <xf borderId="16" fillId="0" fontId="6" numFmtId="166" xfId="0" applyAlignment="1" applyBorder="1" applyFont="1" applyNumberFormat="1">
      <alignment horizontal="center" shrinkToFit="0" vertical="center" wrapText="0"/>
    </xf>
    <xf borderId="16" fillId="0" fontId="6" numFmtId="10" xfId="0" applyAlignment="1" applyBorder="1" applyFont="1" applyNumberFormat="1">
      <alignment horizontal="center" shrinkToFit="0" vertical="center" wrapText="0"/>
    </xf>
    <xf borderId="16" fillId="0" fontId="6" numFmtId="0" xfId="0" applyAlignment="1" applyBorder="1" applyFont="1">
      <alignment horizontal="center" shrinkToFit="0" vertical="center" wrapText="0"/>
    </xf>
    <xf borderId="16" fillId="0" fontId="6" numFmtId="9" xfId="0" applyAlignment="1" applyBorder="1" applyFont="1" applyNumberFormat="1">
      <alignment horizontal="center" shrinkToFit="0" vertical="center" wrapText="0"/>
    </xf>
    <xf borderId="16" fillId="0" fontId="5" numFmtId="0" xfId="0" applyAlignment="1" applyBorder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274E13"/>
          <bgColor rgb="FF274E13"/>
        </patternFill>
      </fill>
      <border/>
    </dxf>
    <dxf>
      <font>
        <b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1F497D"/>
          <bgColor rgb="FF1F497D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278296988577363"/>
          <c:y val="0.06008403361344538"/>
          <c:w val="0.8263239875389408"/>
          <c:h val="0.8596638655462185"/>
        </c:manualLayout>
      </c:layout>
      <c:lineChart>
        <c:varyColors val="0"/>
        <c:ser>
          <c:idx val="0"/>
          <c:order val="0"/>
          <c:tx>
            <c:strRef>
              <c:f>'Análise PL'!$A$21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0"/>
            <c:marker>
              <c:symbol val="none"/>
            </c:marker>
          </c:dPt>
          <c:trendline>
            <c:name>Linha de tendência para TODAS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'Análise PL'!$B$20:$L$20</c:f>
            </c:strRef>
          </c:cat>
          <c:val>
            <c:numRef>
              <c:f>'Análise PL'!$B$21:$L$21</c:f>
              <c:numCache/>
            </c:numRef>
          </c:val>
          <c:smooth val="1"/>
        </c:ser>
        <c:axId val="769315310"/>
        <c:axId val="2030831027"/>
      </c:lineChart>
      <c:catAx>
        <c:axId val="769315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831027"/>
      </c:catAx>
      <c:valAx>
        <c:axId val="2030831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315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800100</xdr:colOff>
      <xdr:row>3</xdr:row>
      <xdr:rowOff>28575</xdr:rowOff>
    </xdr:from>
    <xdr:ext cx="8220075" cy="4257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faela Souza" id="{6a8fffcd-ad80-4327-80a8-1cc9c784163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07T18:47:25.00" personId="{6a8fffcd-ad80-4327-80a8-1cc9c7841631}" id="{77390403-5ebd-4502-9a0b-96c86e3c13f8}" done="1">
    <x18tc:text xml:space="preserve">Aguardando assinatura do client profile</x18tc:text>
  </x18tc:threadedComment>
  <x18tc:threadedComment ref="A1" dT="2026-05-14T14:26:08.00" personId="{6a8fffcd-ad80-4327-80a8-1cc9c7841631}" id="{a673500c-b611-4acc-984a-229c1d5be8e6}" done="1">
    <x18tc:text xml:space="preserve">Push enviado no BTG</x18tc:text>
  </x18tc:threadedComment>
  <x18tc:threadedComment ref="A1" dT="2026-03-25T18:52:09.00" personId="{6a8fffcd-ad80-4327-80a8-1cc9c7841631}" id="{f60ec058-671c-420b-9b16-7fd30e3b219c}" done="0">
    <x18tc:text xml:space="preserve">Colocar na planilha do PIpEFY</x18tc:text>
  </x18tc:threadedComment>
  <x18tc:threadedComment ref="A1" dT="2026-03-06T14:03:34.00" personId="{6a8fffcd-ad80-4327-80a8-1cc9c7841631}" id="{d44c910a-d66a-40c3-8eac-d71fabbd1ec2}" done="0">
    <x18tc:text xml:space="preserve">Colocar na planiilha de cancelados</x18tc:text>
  </x18tc:threadedComment>
  <x18tc:threadedComment ref="A1" dT="2026-03-24T17:17:58.00" personId="{6a8fffcd-ad80-4327-80a8-1cc9c7841631}" id="{81f7516a-9114-4533-a68a-d74fc5036cad}" done="1">
    <x18tc:text xml:space="preserve">Abrir conta no BTG</x18tc:text>
  </x18tc:threadedComment>
  <x18tc:threadedComment ref="A1" dT="2026-02-27T19:35:45.00" personId="{6a8fffcd-ad80-4327-80a8-1cc9c7841631}" id="{0f96f3c6-c46a-46c0-816a-f372688f4577}" done="1">
    <x18tc:text xml:space="preserve">Abrir subconta segunda</x18tc:text>
  </x18tc:threadedComment>
  <x18tc:threadedComment ref="A1" dT="2026-02-24T19:37:20.00" personId="{6a8fffcd-ad80-4327-80a8-1cc9c7841631}" id="{3fa2559c-f359-4f76-894d-947df206a5bf}" done="0">
    <x18tc:text xml:space="preserve">Cobrar vinculação - Thiago</x18tc:text>
  </x18tc:threadedComment>
  <x18tc:threadedComment ref="A1" dT="2026-04-28T18:06:16.00" personId="{6a8fffcd-ad80-4327-80a8-1cc9c7841631}" id="{694adb55-19ef-4770-ae85-caddf8891cc8}" done="1">
    <x18tc:text xml:space="preserve">Aguardando regularização do portal admin</x18tc:text>
  </x18tc:threadedComment>
  <x18tc:threadedComment ref="A1" dT="2026-02-11T19:21:34.00" personId="{6a8fffcd-ad80-4327-80a8-1cc9c7841631}" id="{c23dd7c4-33a2-4f86-845f-117c1b71e239}" done="1">
    <x18tc:text xml:space="preserve">Pendente Suitability Andriana</x18tc:text>
  </x18tc:threadedComment>
  <x18tc:threadedComment ref="A1" dT="2026-01-29T16:37:10.00" personId="{6a8fffcd-ad80-4327-80a8-1cc9c7841631}" id="{a3f4eb66-f5d8-4f81-b8e2-0b11ee314e57}" done="1">
    <x18tc:text xml:space="preserve">Pendente abertura de conta, BTG está com erro.</x18tc:text>
  </x18tc:threadedComment>
  <x18tc:threadedComment ref="A1" dT="2026-01-30T19:22:25.00" personId="{6a8fffcd-ad80-4327-80a8-1cc9c7841631}" id="{2e9f1f61-4abb-4096-9672-a3b456e1427b}" done="1">
    <x18tc:text xml:space="preserve">Baixar contrato assinado</x18tc:text>
  </x18tc:threadedComment>
  <x18tc:threadedComment ref="A1" dT="2026-04-28T17:54:39.00" personId="{6a8fffcd-ad80-4327-80a8-1cc9c7841631}" id="{0d96f61b-12a0-49df-9d3a-276c8574fa1f}" done="1">
    <x18tc:text xml:space="preserve">Aguardando informações</x18tc:text>
  </x18tc:threadedComment>
  <x18tc:threadedComment ref="A1" dT="2026-05-18T14:31:08.00" personId="{6a8fffcd-ad80-4327-80a8-1cc9c7841631}" id="{61b05771-219f-4e59-9465-c254a87c99fb}" done="1">
    <x18tc:text xml:space="preserve">Reeviar documentação para assinatura, mas aguardar o thiago solicitar o envio</x18tc:text>
  </x18tc:threadedComment>
  <x18tc:threadedComment ref="A1" dT="2026-03-20T14:21:21.00" personId="{6a8fffcd-ad80-4327-80a8-1cc9c7841631}" id="{bf9ed9d8-c77c-44b8-a38c-ac5eff1e56c8}" done="1">
    <x18tc:text xml:space="preserve">CEP COM ERRO</x18tc:text>
  </x18tc:threadedComment>
  <x18tc:threadedComment ref="A1" dT="2026-02-19T18:01:43.00" personId="{6a8fffcd-ad80-4327-80a8-1cc9c7841631}" id="{73814364-05c7-4635-8300-d7fce5467db0}" done="1">
    <x18tc:text xml:space="preserve">Documento vencido</x18tc:text>
  </x18tc:threadedComment>
  <x18tc:threadedComment ref="A1" dT="2026-05-19T14:14:54.00" personId="{6a8fffcd-ad80-4327-80a8-1cc9c7841631}" id="{1508c025-a22f-4917-9219-3e7387f915ed}" done="1">
    <x18tc:text xml:space="preserve">Documentos reenviados para assinatura</x18tc:text>
  </x18tc:threadedComment>
  <x18tc:threadedComment ref="A1" dT="2026-01-30T19:22:08.00" personId="{6a8fffcd-ad80-4327-80a8-1cc9c7841631}" id="{788ade73-5071-4ae6-a9da-ea202878feae}" done="1">
    <x18tc:text xml:space="preserve">Baixar contrato assinado</x18tc:text>
  </x18tc:threadedComment>
  <x18tc:threadedComment ref="A1" dT="2026-04-28T17:57:42.00" personId="{6a8fffcd-ad80-4327-80a8-1cc9c7841631}" id="{e5da7ff4-0ecb-44b0-b204-31059d5db8cb}" done="1">
    <x18tc:text xml:space="preserve">Aguardando assinatura do client profile</x18tc:text>
  </x18tc:threadedComment>
  <x18tc:threadedComment ref="A1" dT="2026-05-20T17:38:07.00" personId="{6a8fffcd-ad80-4327-80a8-1cc9c7841631}" id="{f4a2aa7d-f953-412c-8539-80dbbf5f1035}" done="0">
    <x18tc:text xml:space="preserve">Conta BR vinculada, verificar com thiago a conta INT</x18tc:text>
  </x18tc:threadedComment>
  <x18tc:threadedComment ref="A1" dT="2026-04-02T18:06:40.00" personId="{6a8fffcd-ad80-4327-80a8-1cc9c7841631}" id="{0a33e12e-c64d-45a8-ab3d-b52a875ed649}" done="1">
    <x18tc:text xml:space="preserve">Aguardando ajuste no portal admin</x18tc:text>
  </x18tc:threadedComment>
  <x18tc:threadedComment ref="A1" dT="2026-07-09T17:58:00.00" personId="{6a8fffcd-ad80-4327-80a8-1cc9c7841631}" id="{20748578-e2a6-4577-8b7f-508f6aa4e29c}" done="1">
    <x18tc:text xml:space="preserve">Aguardando e-mail da cliente</x18tc:text>
  </x18tc:threadedComment>
  <x18tc:threadedComment ref="A1" dT="2026-05-11T13:24:32.00" personId="{6a8fffcd-ad80-4327-80a8-1cc9c7841631}" id="{8cdf586a-5c94-4555-bfde-1f63f295c4f1}" done="1">
    <x18tc:text xml:space="preserve">Reprovada</x18tc:text>
  </x18tc:threadedComment>
  <x18tc:threadedComment ref="A1" dT="2026-01-28T18:27:50.00" personId="{6a8fffcd-ad80-4327-80a8-1cc9c7841631}" id="{893d5e27-1568-425d-8e47-30f14be098a0}" done="0">
    <x18tc:text xml:space="preserve">Inserir cliente na planilha do pipe</x18tc:text>
  </x18tc:threadedComment>
  <x18tc:threadedComment ref="A1" dT="2026-02-19T12:50:38.00" personId="{6a8fffcd-ad80-4327-80a8-1cc9c7841631}" id="{471f00e2-2d8b-420d-98fb-57706c8b992a}" done="1">
    <x18tc:text xml:space="preserve">Contrato assinado. Aguardando o cliente profile</x18tc:text>
  </x18tc:threadedComment>
  <x18tc:threadedComment ref="A1" dT="2026-02-24T19:35:42.00" personId="{6a8fffcd-ad80-4327-80a8-1cc9c7841631}" id="{1e87ba41-6b86-411c-b4f3-677ba9ad20fe}" done="1">
    <x18tc:text xml:space="preserve">Contrato assinado. Aguardando o cliente profile</x18tc:text>
  </x18tc:threadedComment>
  <x18tc:threadedComment ref="A1" dT="2026-04-15T18:58:11.00" personId="{6a8fffcd-ad80-4327-80a8-1cc9c7841631}" id="{a95714d7-791c-4fb9-8b21-5c3b57e92a35}" done="1">
    <x18tc:text xml:space="preserve">Aguardando assinatura do client profile</x18tc:text>
  </x18tc:threadedComment>
  <x18tc:threadedComment ref="A1" dT="2026-01-30T19:21:50.00" personId="{6a8fffcd-ad80-4327-80a8-1cc9c7841631}" id="{4dc07c2a-c89d-47b3-8e4e-1349dce79089}" done="1">
    <x18tc:text xml:space="preserve">Pendente abertura de conta, BTG está com erro. baixar contrato assinado</x18tc:text>
  </x18tc:threadedComment>
  <x18tc:threadedComment ref="A1" dT="2026-05-21T18:26:35.00" personId="{6a8fffcd-ad80-4327-80a8-1cc9c7841631}" id="{ce3c83af-fdd4-44c9-bf51-4c2731e08186}" done="1">
    <x18tc:text xml:space="preserve">Reprovada</x18tc:text>
  </x18tc:threadedComment>
  <x18tc:threadedComment ref="A1" dT="2026-04-28T19:22:06.00" personId="{6a8fffcd-ad80-4327-80a8-1cc9c7841631}" id="{02eea0b1-81a8-403a-9361-8bc50c7389c6}" done="1">
    <x18tc:text xml:space="preserve">Aguardando regularização do portal</x18tc:text>
  </x18tc:threadedComment>
  <x18tc:threadedComment ref="A1" dT="2026-02-04T16:15:31.00" personId="{6a8fffcd-ad80-4327-80a8-1cc9c7841631}" id="{6a9816dd-3355-432c-9f0e-7d12b7bdf2fb}" done="1">
    <x18tc:text xml:space="preserve">Falar sobre o ticket minimo para carteira CON com assessor</x18tc:text>
  </x18tc:threadedComment>
  <x18tc:threadedComment ref="A1" dT="2026-04-09T16:51:18.00" personId="{6a8fffcd-ad80-4327-80a8-1cc9c7841631}" id="{d8db9d49-971c-47ee-bcc0-4606e42da56f}" done="1">
    <x18tc:text xml:space="preserve">Aguardando assinatura do Client Profile</x18tc:text>
  </x18tc:threadedComment>
  <x18tc:threadedComment ref="A1" dT="2026-03-30T14:45:36.00" personId="{6a8fffcd-ad80-4327-80a8-1cc9c7841631}" id="{52f194fd-549c-4e2d-bb1b-cec3b1441b34}" done="1">
    <x18tc:text xml:space="preserve">Protege+ Ativo</x18tc:text>
  </x18tc:threadedComment>
  <x18tc:threadedComment ref="A1" dT="2026-02-11T14:45:46.00" personId="{6a8fffcd-ad80-4327-80a8-1cc9c7841631}" id="{0d919ed7-84d1-43b5-a49b-2fd69409199b}" done="1">
    <x18tc:text xml:space="preserve">Enviar contrato para assinatura</x18tc:text>
  </x18tc:threadedComment>
  <x18tc:threadedComment ref="A1" dT="2026-05-04T17:19:19.00" personId="{6a8fffcd-ad80-4327-80a8-1cc9c7841631}" id="{c3d2d957-7903-4222-8b09-09e09b48fd04}" done="1">
    <x18tc:text xml:space="preserve">Pendente documentos</x18tc:text>
  </x18tc:threadedComment>
  <x18tc:threadedComment ref="A1" dT="2026-07-22T13:38:14.00" personId="{6a8fffcd-ad80-4327-80a8-1cc9c7841631}" id="{3c0dbc24-2bb2-4b3b-96e9-8019694c7d78}" done="0">
    <x18tc:text xml:space="preserve">Cancelar assinatura amanhã (30 dias)</x18tc:text>
  </x18tc:threadedComment>
  <x18tc:threadedComment ref="A1" dT="2026-05-14T14:26:56.00" personId="{6a8fffcd-ad80-4327-80a8-1cc9c7841631}" id="{e8be9af7-e864-4868-9955-db1adab0b0d0}" done="0">
    <x18tc:text xml:space="preserve">Colocar na Pl da XP</x18tc:text>
  </x18tc:threadedComment>
  <x18tc:threadedComment ref="A1" dT="2026-04-17T18:08:43.00" personId="{6a8fffcd-ad80-4327-80a8-1cc9c7841631}" id="{bc07c802-a1bc-4c82-8472-ba31bb920bcd}" done="1">
    <x18tc:text xml:space="preserve">Aguardando o preenchimento do client profile</x18tc:text>
  </x18tc:threadedComment>
  <x18tc:threadedComment ref="A1" dT="2026-06-15T14:15:19.00" personId="{6a8fffcd-ad80-4327-80a8-1cc9c7841631}" id="{ec63b2a4-20e8-4544-868a-7669c24db1a6}" done="1">
    <x18tc:text xml:space="preserve">Suitability cotitular</x18tc:text>
  </x18tc:threadedComment>
  <x18tc:threadedComment ref="H2" dT="2026-08-04T17:24:18.00" personId="{6a8fffcd-ad80-4327-80a8-1cc9c7841631}" id="{86c844ae-571c-495f-b69d-8928c384cbdd}" done="0">
    <x18tc:text xml:space="preserve">Email errado</x18tc:text>
  </x18tc:threadedComment>
  <x18tc:threadedComment ref="A1" dT="2026-05-04T17:19:26.00" personId="{6a8fffcd-ad80-4327-80a8-1cc9c7841631}" id="{c4eb7e1d-f9e0-4ce8-9e2f-84cf2299281a}" done="1">
    <x18tc:text xml:space="preserve">reprovada</x18tc:text>
  </x18tc:threadedComment>
  <x18tc:threadedComment ref="A1" dT="2026-07-29T19:20:05.00" personId="{6a8fffcd-ad80-4327-80a8-1cc9c7841631}" id="{034c2e42-438f-4b9f-867c-b1760e5c2c58}" done="0">
    <x18tc:text xml:space="preserve">Aguardando comprovante de resid</x18tc:text>
  </x18tc:threadedComment>
  <x18tc:threadedComment ref="A1" dT="2026-05-14T14:27:05.00" personId="{6a8fffcd-ad80-4327-80a8-1cc9c7841631}" id="{c1c86cdd-c2ed-4443-9538-8880ac8018e7}" done="0">
    <x18tc:text xml:space="preserve">Colocar na PL do BTG</x18tc:text>
  </x18tc:threadedComment>
  <x18tc:threadedComment ref="A1" dT="2026-07-17T18:03:10.00" personId="{6a8fffcd-ad80-4327-80a8-1cc9c7841631}" id="{a897942a-4514-401a-867e-9b82b6f5a0da}" done="0">
    <x18tc:text xml:space="preserve">Aguardando o aceite de um push para enviar outro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53.63"/>
    <col customWidth="1" min="3" max="3" width="10.0"/>
    <col customWidth="1" min="4" max="4" width="13.75"/>
    <col customWidth="1" min="5" max="5" width="4.13"/>
    <col customWidth="1" min="6" max="6" width="18.13"/>
    <col customWidth="1" min="7" max="7" width="8.75"/>
    <col customWidth="1" min="8" max="8" width="38.13"/>
    <col customWidth="1" min="9" max="9" width="14.63"/>
    <col customWidth="1" min="10" max="10" width="11.13"/>
    <col customWidth="1" min="11" max="11" width="11.25"/>
    <col customWidth="1" min="12" max="12" width="7.63"/>
    <col customWidth="1" min="13" max="13" width="14.5"/>
    <col customWidth="1" min="14" max="14" width="13.88"/>
    <col customWidth="1" min="15" max="15" width="27.25"/>
    <col customWidth="1" min="16" max="16" width="9.38"/>
    <col customWidth="1" min="17" max="17" width="8.13"/>
    <col customWidth="1" min="18" max="18" width="12.0"/>
    <col customWidth="1" min="19" max="19" width="88.25"/>
  </cols>
  <sheetData>
    <row r="1">
      <c r="A1" s="1"/>
      <c r="B1" s="1" t="s">
        <v>1</v>
      </c>
      <c r="C1" s="3" t="s">
        <v>2</v>
      </c>
      <c r="D1" s="3" t="s">
        <v>4</v>
      </c>
      <c r="E1" s="3" t="s">
        <v>5</v>
      </c>
      <c r="F1" s="3" t="s">
        <v>7</v>
      </c>
      <c r="G1" s="3" t="s">
        <v>8</v>
      </c>
      <c r="H1" s="7" t="s">
        <v>9</v>
      </c>
      <c r="I1" s="3" t="s">
        <v>12</v>
      </c>
      <c r="J1" s="3" t="s">
        <v>14</v>
      </c>
      <c r="K1" s="3" t="s">
        <v>15</v>
      </c>
      <c r="L1" s="3" t="s">
        <v>16</v>
      </c>
      <c r="M1" s="10" t="s">
        <v>17</v>
      </c>
      <c r="N1" s="12" t="s">
        <v>19</v>
      </c>
      <c r="O1" s="12" t="s">
        <v>20</v>
      </c>
      <c r="P1" s="12" t="s">
        <v>21</v>
      </c>
      <c r="Q1" s="10" t="s">
        <v>22</v>
      </c>
      <c r="R1" s="10" t="s">
        <v>23</v>
      </c>
      <c r="S1" s="13" t="s">
        <v>9</v>
      </c>
    </row>
    <row r="2">
      <c r="A2" s="18" t="s">
        <v>24</v>
      </c>
      <c r="B2" s="20" t="s">
        <v>25</v>
      </c>
      <c r="C2" s="21" t="s">
        <v>26</v>
      </c>
      <c r="D2" s="22" t="s">
        <v>27</v>
      </c>
      <c r="E2" s="22" t="s">
        <v>28</v>
      </c>
      <c r="F2" s="23" t="s">
        <v>29</v>
      </c>
      <c r="G2" s="22" t="s">
        <v>30</v>
      </c>
      <c r="H2" s="26" t="s">
        <v>32</v>
      </c>
      <c r="I2" s="27" t="s">
        <v>34</v>
      </c>
      <c r="J2" s="29">
        <v>0.012</v>
      </c>
      <c r="K2" s="30" t="s">
        <v>35</v>
      </c>
      <c r="L2" s="31">
        <v>0.1</v>
      </c>
      <c r="M2" s="32" t="s">
        <v>40</v>
      </c>
      <c r="N2" s="33" t="s">
        <v>43</v>
      </c>
      <c r="O2" s="33" t="s">
        <v>44</v>
      </c>
      <c r="P2" s="34">
        <v>31599.0</v>
      </c>
      <c r="Q2" s="23" t="s">
        <v>28</v>
      </c>
      <c r="R2" s="32" t="s">
        <v>47</v>
      </c>
      <c r="S2" s="37" t="s">
        <v>49</v>
      </c>
    </row>
    <row r="3">
      <c r="A3" s="18" t="s">
        <v>24</v>
      </c>
      <c r="B3" s="20" t="s">
        <v>51</v>
      </c>
      <c r="C3" s="21" t="s">
        <v>52</v>
      </c>
      <c r="D3" s="22" t="s">
        <v>53</v>
      </c>
      <c r="E3" s="22" t="s">
        <v>54</v>
      </c>
      <c r="F3" s="23" t="s">
        <v>55</v>
      </c>
      <c r="G3" s="22" t="s">
        <v>30</v>
      </c>
      <c r="H3" s="26" t="s">
        <v>59</v>
      </c>
      <c r="I3" s="27" t="s">
        <v>61</v>
      </c>
      <c r="J3" s="29">
        <v>0.012</v>
      </c>
      <c r="K3" s="30" t="s">
        <v>66</v>
      </c>
      <c r="L3" s="31">
        <v>0.0</v>
      </c>
      <c r="M3" s="32" t="s">
        <v>69</v>
      </c>
      <c r="N3" s="33" t="s">
        <v>71</v>
      </c>
      <c r="O3" s="33" t="s">
        <v>73</v>
      </c>
      <c r="P3" s="34">
        <v>27556.0</v>
      </c>
      <c r="Q3" s="23" t="s">
        <v>77</v>
      </c>
      <c r="R3" s="32" t="s">
        <v>47</v>
      </c>
      <c r="S3" s="37" t="s">
        <v>80</v>
      </c>
    </row>
    <row r="4">
      <c r="A4" s="18" t="s">
        <v>24</v>
      </c>
      <c r="B4" s="39" t="s">
        <v>83</v>
      </c>
      <c r="C4" s="40" t="s">
        <v>86</v>
      </c>
      <c r="D4" s="22" t="s">
        <v>89</v>
      </c>
      <c r="E4" s="22" t="s">
        <v>91</v>
      </c>
      <c r="F4" s="23" t="s">
        <v>93</v>
      </c>
      <c r="G4" s="22" t="s">
        <v>30</v>
      </c>
      <c r="H4" s="26" t="s">
        <v>96</v>
      </c>
      <c r="I4" s="27" t="s">
        <v>61</v>
      </c>
      <c r="J4" s="29">
        <v>0.012</v>
      </c>
      <c r="K4" s="30" t="s">
        <v>66</v>
      </c>
      <c r="L4" s="31">
        <v>0.0</v>
      </c>
      <c r="M4" s="32"/>
      <c r="N4" s="33" t="s">
        <v>100</v>
      </c>
      <c r="O4" s="33" t="s">
        <v>101</v>
      </c>
      <c r="P4" s="34"/>
      <c r="Q4" s="23"/>
      <c r="R4" s="32" t="s">
        <v>107</v>
      </c>
      <c r="S4" s="37"/>
    </row>
    <row r="5">
      <c r="A5" s="18" t="s">
        <v>111</v>
      </c>
      <c r="B5" s="20" t="s">
        <v>114</v>
      </c>
      <c r="C5" s="21" t="s">
        <v>117</v>
      </c>
      <c r="D5" s="22" t="s">
        <v>120</v>
      </c>
      <c r="E5" s="22" t="s">
        <v>54</v>
      </c>
      <c r="F5" s="23" t="s">
        <v>125</v>
      </c>
      <c r="G5" s="22" t="s">
        <v>30</v>
      </c>
      <c r="H5" s="26" t="s">
        <v>133</v>
      </c>
      <c r="I5" s="27" t="s">
        <v>136</v>
      </c>
      <c r="J5" s="29">
        <v>0.016</v>
      </c>
      <c r="K5" s="30" t="s">
        <v>66</v>
      </c>
      <c r="L5" s="31">
        <v>0.0</v>
      </c>
      <c r="M5" s="32" t="s">
        <v>148</v>
      </c>
      <c r="N5" s="33" t="s">
        <v>152</v>
      </c>
      <c r="O5" s="33" t="s">
        <v>155</v>
      </c>
      <c r="P5" s="34">
        <v>36178.0</v>
      </c>
      <c r="Q5" s="23" t="s">
        <v>54</v>
      </c>
      <c r="R5" s="32" t="s">
        <v>165</v>
      </c>
      <c r="S5" s="37"/>
    </row>
    <row r="6">
      <c r="A6" s="18" t="s">
        <v>24</v>
      </c>
      <c r="B6" s="39" t="s">
        <v>172</v>
      </c>
      <c r="C6" s="21" t="s">
        <v>117</v>
      </c>
      <c r="D6" s="22" t="s">
        <v>142</v>
      </c>
      <c r="E6" s="22" t="s">
        <v>54</v>
      </c>
      <c r="F6" s="23" t="s">
        <v>178</v>
      </c>
      <c r="G6" s="22" t="s">
        <v>30</v>
      </c>
      <c r="H6" s="26" t="s">
        <v>133</v>
      </c>
      <c r="I6" s="27" t="s">
        <v>61</v>
      </c>
      <c r="J6" s="29">
        <v>0.012</v>
      </c>
      <c r="K6" s="30" t="s">
        <v>66</v>
      </c>
      <c r="L6" s="31">
        <v>0.0</v>
      </c>
      <c r="M6" s="32" t="s">
        <v>180</v>
      </c>
      <c r="N6" s="33" t="s">
        <v>181</v>
      </c>
      <c r="O6" s="33" t="s">
        <v>182</v>
      </c>
      <c r="P6" s="48">
        <v>40653.0</v>
      </c>
      <c r="Q6" s="23" t="s">
        <v>54</v>
      </c>
      <c r="R6" s="32" t="s">
        <v>47</v>
      </c>
      <c r="S6" s="37" t="s">
        <v>185</v>
      </c>
    </row>
    <row r="7">
      <c r="A7" s="18" t="s">
        <v>24</v>
      </c>
      <c r="B7" s="39" t="s">
        <v>187</v>
      </c>
      <c r="C7" s="21" t="s">
        <v>117</v>
      </c>
      <c r="D7" s="22" t="s">
        <v>120</v>
      </c>
      <c r="E7" s="22" t="s">
        <v>54</v>
      </c>
      <c r="F7" s="23" t="s">
        <v>189</v>
      </c>
      <c r="G7" s="22" t="s">
        <v>30</v>
      </c>
      <c r="H7" s="26" t="s">
        <v>133</v>
      </c>
      <c r="I7" s="27" t="s">
        <v>61</v>
      </c>
      <c r="J7" s="29">
        <v>0.012</v>
      </c>
      <c r="K7" s="30" t="s">
        <v>66</v>
      </c>
      <c r="L7" s="31">
        <v>0.0</v>
      </c>
      <c r="M7" s="32" t="s">
        <v>190</v>
      </c>
      <c r="N7" s="33" t="s">
        <v>191</v>
      </c>
      <c r="O7" s="33" t="s">
        <v>192</v>
      </c>
      <c r="P7" s="48">
        <v>45398.0</v>
      </c>
      <c r="Q7" s="23" t="s">
        <v>54</v>
      </c>
      <c r="R7" s="32" t="s">
        <v>107</v>
      </c>
      <c r="S7" s="37"/>
    </row>
    <row r="8">
      <c r="A8" s="18" t="s">
        <v>24</v>
      </c>
      <c r="B8" s="39" t="s">
        <v>195</v>
      </c>
      <c r="C8" s="21" t="s">
        <v>117</v>
      </c>
      <c r="D8" s="22" t="s">
        <v>120</v>
      </c>
      <c r="E8" s="22" t="s">
        <v>199</v>
      </c>
      <c r="F8" s="23" t="s">
        <v>200</v>
      </c>
      <c r="G8" s="22" t="s">
        <v>30</v>
      </c>
      <c r="H8" s="26" t="s">
        <v>133</v>
      </c>
      <c r="I8" s="27" t="s">
        <v>201</v>
      </c>
      <c r="J8" s="29">
        <v>0.0</v>
      </c>
      <c r="K8" s="30" t="s">
        <v>66</v>
      </c>
      <c r="L8" s="31">
        <v>0.0</v>
      </c>
      <c r="M8" s="32" t="s">
        <v>203</v>
      </c>
      <c r="N8" s="33">
        <v>6.199977742E10</v>
      </c>
      <c r="O8" s="33" t="s">
        <v>205</v>
      </c>
      <c r="P8" s="48">
        <v>31275.0</v>
      </c>
      <c r="Q8" s="23" t="s">
        <v>199</v>
      </c>
      <c r="R8" s="32" t="s">
        <v>107</v>
      </c>
      <c r="S8" s="37"/>
    </row>
    <row r="9">
      <c r="A9" s="18" t="s">
        <v>207</v>
      </c>
      <c r="B9" s="20" t="s">
        <v>208</v>
      </c>
      <c r="C9" s="21" t="s">
        <v>117</v>
      </c>
      <c r="D9" s="22" t="s">
        <v>210</v>
      </c>
      <c r="E9" s="22" t="s">
        <v>199</v>
      </c>
      <c r="F9" s="23" t="s">
        <v>211</v>
      </c>
      <c r="G9" s="22" t="s">
        <v>30</v>
      </c>
      <c r="H9" s="26" t="s">
        <v>133</v>
      </c>
      <c r="I9" s="27" t="s">
        <v>213</v>
      </c>
      <c r="J9" s="29">
        <v>0.01</v>
      </c>
      <c r="K9" s="30" t="s">
        <v>66</v>
      </c>
      <c r="L9" s="31">
        <v>0.0</v>
      </c>
      <c r="M9" s="32" t="s">
        <v>214</v>
      </c>
      <c r="N9" s="33" t="s">
        <v>215</v>
      </c>
      <c r="O9" s="33" t="s">
        <v>216</v>
      </c>
      <c r="P9" s="34">
        <v>43116.0</v>
      </c>
      <c r="Q9" s="23" t="s">
        <v>199</v>
      </c>
      <c r="R9" s="32" t="s">
        <v>107</v>
      </c>
      <c r="S9" s="37" t="s">
        <v>220</v>
      </c>
    </row>
    <row r="10">
      <c r="A10" s="18" t="s">
        <v>98</v>
      </c>
      <c r="B10" s="20" t="s">
        <v>222</v>
      </c>
      <c r="C10" s="21" t="s">
        <v>223</v>
      </c>
      <c r="D10" s="22" t="s">
        <v>27</v>
      </c>
      <c r="E10" s="22" t="s">
        <v>28</v>
      </c>
      <c r="F10" s="23" t="s">
        <v>29</v>
      </c>
      <c r="G10" s="22" t="s">
        <v>30</v>
      </c>
      <c r="H10" s="26" t="s">
        <v>225</v>
      </c>
      <c r="I10" s="27" t="s">
        <v>61</v>
      </c>
      <c r="J10" s="29">
        <v>0.012</v>
      </c>
      <c r="K10" s="30" t="s">
        <v>66</v>
      </c>
      <c r="L10" s="31">
        <v>0.0</v>
      </c>
      <c r="M10" s="32" t="s">
        <v>226</v>
      </c>
      <c r="N10" s="33" t="s">
        <v>227</v>
      </c>
      <c r="O10" s="33" t="s">
        <v>228</v>
      </c>
      <c r="P10" s="34">
        <v>28251.0</v>
      </c>
      <c r="Q10" s="23" t="s">
        <v>28</v>
      </c>
      <c r="R10" s="32" t="s">
        <v>47</v>
      </c>
      <c r="S10" s="37"/>
    </row>
    <row r="11">
      <c r="A11" s="18" t="s">
        <v>229</v>
      </c>
      <c r="B11" s="20" t="s">
        <v>230</v>
      </c>
      <c r="C11" s="21" t="s">
        <v>117</v>
      </c>
      <c r="D11" s="22" t="s">
        <v>53</v>
      </c>
      <c r="E11" s="22" t="s">
        <v>54</v>
      </c>
      <c r="F11" s="23" t="s">
        <v>55</v>
      </c>
      <c r="G11" s="22" t="s">
        <v>30</v>
      </c>
      <c r="H11" s="26" t="s">
        <v>232</v>
      </c>
      <c r="I11" s="27" t="s">
        <v>136</v>
      </c>
      <c r="J11" s="29">
        <v>0.0115</v>
      </c>
      <c r="K11" s="30" t="s">
        <v>66</v>
      </c>
      <c r="L11" s="31">
        <v>0.0</v>
      </c>
      <c r="M11" s="32" t="s">
        <v>235</v>
      </c>
      <c r="N11" s="33" t="s">
        <v>237</v>
      </c>
      <c r="O11" s="33" t="s">
        <v>238</v>
      </c>
      <c r="P11" s="34">
        <v>31473.0</v>
      </c>
      <c r="Q11" s="23" t="s">
        <v>77</v>
      </c>
      <c r="R11" s="32" t="s">
        <v>47</v>
      </c>
      <c r="S11" s="37"/>
    </row>
    <row r="12">
      <c r="A12" s="18" t="s">
        <v>24</v>
      </c>
      <c r="B12" s="20" t="s">
        <v>239</v>
      </c>
      <c r="C12" s="21" t="s">
        <v>240</v>
      </c>
      <c r="D12" s="22" t="s">
        <v>53</v>
      </c>
      <c r="E12" s="22" t="s">
        <v>54</v>
      </c>
      <c r="F12" s="23" t="s">
        <v>55</v>
      </c>
      <c r="G12" s="22" t="s">
        <v>30</v>
      </c>
      <c r="H12" s="26" t="s">
        <v>232</v>
      </c>
      <c r="I12" s="27" t="s">
        <v>34</v>
      </c>
      <c r="J12" s="29">
        <v>0.012</v>
      </c>
      <c r="K12" s="30" t="s">
        <v>66</v>
      </c>
      <c r="L12" s="31">
        <v>0.0</v>
      </c>
      <c r="M12" s="32" t="s">
        <v>241</v>
      </c>
      <c r="N12" s="33" t="s">
        <v>242</v>
      </c>
      <c r="O12" s="33" t="s">
        <v>243</v>
      </c>
      <c r="P12" s="34">
        <v>29409.0</v>
      </c>
      <c r="Q12" s="23" t="s">
        <v>199</v>
      </c>
      <c r="R12" s="32" t="s">
        <v>47</v>
      </c>
      <c r="S12" s="37"/>
    </row>
    <row r="13">
      <c r="A13" s="18" t="s">
        <v>24</v>
      </c>
      <c r="B13" s="20" t="s">
        <v>245</v>
      </c>
      <c r="C13" s="21" t="s">
        <v>117</v>
      </c>
      <c r="D13" s="22" t="s">
        <v>142</v>
      </c>
      <c r="E13" s="22" t="s">
        <v>54</v>
      </c>
      <c r="F13" s="23" t="s">
        <v>178</v>
      </c>
      <c r="G13" s="22" t="s">
        <v>30</v>
      </c>
      <c r="H13" s="26" t="s">
        <v>232</v>
      </c>
      <c r="I13" s="27" t="s">
        <v>61</v>
      </c>
      <c r="J13" s="29">
        <v>0.012</v>
      </c>
      <c r="K13" s="30" t="s">
        <v>66</v>
      </c>
      <c r="L13" s="31">
        <v>0.0</v>
      </c>
      <c r="M13" s="32" t="s">
        <v>247</v>
      </c>
      <c r="N13" s="33" t="s">
        <v>248</v>
      </c>
      <c r="O13" s="33" t="s">
        <v>250</v>
      </c>
      <c r="P13" s="34">
        <v>28669.0</v>
      </c>
      <c r="Q13" s="23" t="s">
        <v>54</v>
      </c>
      <c r="R13" s="32" t="s">
        <v>47</v>
      </c>
      <c r="S13" s="37" t="s">
        <v>253</v>
      </c>
    </row>
    <row r="14">
      <c r="A14" s="18" t="s">
        <v>24</v>
      </c>
      <c r="B14" s="39" t="s">
        <v>256</v>
      </c>
      <c r="C14" s="21" t="s">
        <v>117</v>
      </c>
      <c r="D14" s="22" t="s">
        <v>120</v>
      </c>
      <c r="E14" s="22" t="s">
        <v>199</v>
      </c>
      <c r="F14" s="23" t="s">
        <v>200</v>
      </c>
      <c r="G14" s="22" t="s">
        <v>30</v>
      </c>
      <c r="H14" s="26" t="s">
        <v>232</v>
      </c>
      <c r="I14" s="27" t="s">
        <v>61</v>
      </c>
      <c r="J14" s="29">
        <v>0.0085</v>
      </c>
      <c r="K14" s="30" t="s">
        <v>66</v>
      </c>
      <c r="L14" s="31">
        <v>0.0</v>
      </c>
      <c r="M14" s="32" t="s">
        <v>262</v>
      </c>
      <c r="N14" s="33"/>
      <c r="O14" s="33"/>
      <c r="P14" s="48"/>
      <c r="Q14" s="23"/>
      <c r="R14" s="32"/>
      <c r="S14" s="37" t="s">
        <v>264</v>
      </c>
    </row>
    <row r="15">
      <c r="A15" s="18" t="s">
        <v>24</v>
      </c>
      <c r="B15" s="39" t="s">
        <v>265</v>
      </c>
      <c r="C15" s="21" t="s">
        <v>267</v>
      </c>
      <c r="D15" s="22" t="s">
        <v>53</v>
      </c>
      <c r="E15" s="22" t="s">
        <v>54</v>
      </c>
      <c r="F15" s="23" t="s">
        <v>55</v>
      </c>
      <c r="G15" s="22" t="s">
        <v>30</v>
      </c>
      <c r="H15" s="26" t="s">
        <v>232</v>
      </c>
      <c r="I15" s="27" t="s">
        <v>61</v>
      </c>
      <c r="J15" s="29">
        <v>0.012</v>
      </c>
      <c r="K15" s="30" t="s">
        <v>66</v>
      </c>
      <c r="L15" s="31">
        <v>0.0</v>
      </c>
      <c r="M15" s="32" t="s">
        <v>270</v>
      </c>
      <c r="N15" s="33" t="s">
        <v>271</v>
      </c>
      <c r="O15" s="33" t="s">
        <v>272</v>
      </c>
      <c r="P15" s="48">
        <v>24369.0</v>
      </c>
      <c r="Q15" s="23" t="s">
        <v>77</v>
      </c>
      <c r="R15" s="32"/>
      <c r="S15" s="37" t="s">
        <v>274</v>
      </c>
    </row>
    <row r="16">
      <c r="A16" s="18" t="s">
        <v>24</v>
      </c>
      <c r="B16" s="39" t="s">
        <v>276</v>
      </c>
      <c r="C16" s="21" t="s">
        <v>117</v>
      </c>
      <c r="D16" s="22" t="s">
        <v>53</v>
      </c>
      <c r="E16" s="22" t="s">
        <v>54</v>
      </c>
      <c r="F16" s="23" t="s">
        <v>55</v>
      </c>
      <c r="G16" s="22" t="s">
        <v>30</v>
      </c>
      <c r="H16" s="26" t="s">
        <v>232</v>
      </c>
      <c r="I16" s="27" t="s">
        <v>61</v>
      </c>
      <c r="J16" s="29">
        <v>0.012</v>
      </c>
      <c r="K16" s="30" t="s">
        <v>66</v>
      </c>
      <c r="L16" s="31">
        <v>0.0</v>
      </c>
      <c r="M16" s="32" t="s">
        <v>277</v>
      </c>
      <c r="N16" s="33" t="s">
        <v>278</v>
      </c>
      <c r="O16" s="33" t="s">
        <v>279</v>
      </c>
      <c r="P16" s="48">
        <v>23566.0</v>
      </c>
      <c r="Q16" s="23" t="s">
        <v>77</v>
      </c>
      <c r="R16" s="32" t="s">
        <v>107</v>
      </c>
      <c r="S16" s="37"/>
    </row>
    <row r="17">
      <c r="A17" s="18" t="s">
        <v>98</v>
      </c>
      <c r="B17" s="39" t="s">
        <v>283</v>
      </c>
      <c r="C17" s="21" t="s">
        <v>117</v>
      </c>
      <c r="D17" s="22" t="s">
        <v>27</v>
      </c>
      <c r="E17" s="22" t="s">
        <v>28</v>
      </c>
      <c r="F17" s="23" t="s">
        <v>284</v>
      </c>
      <c r="G17" s="22" t="s">
        <v>30</v>
      </c>
      <c r="H17" s="26" t="s">
        <v>232</v>
      </c>
      <c r="I17" s="27" t="s">
        <v>61</v>
      </c>
      <c r="J17" s="29">
        <v>0.012</v>
      </c>
      <c r="K17" s="30" t="s">
        <v>66</v>
      </c>
      <c r="L17" s="31">
        <v>0.0</v>
      </c>
      <c r="M17" s="32" t="s">
        <v>287</v>
      </c>
      <c r="N17" s="33" t="s">
        <v>288</v>
      </c>
      <c r="O17" s="33" t="s">
        <v>289</v>
      </c>
      <c r="P17" s="48">
        <v>26036.0</v>
      </c>
      <c r="Q17" s="23" t="s">
        <v>28</v>
      </c>
      <c r="R17" s="32" t="s">
        <v>47</v>
      </c>
      <c r="S17" s="37"/>
    </row>
    <row r="18">
      <c r="A18" s="18" t="s">
        <v>24</v>
      </c>
      <c r="B18" s="20" t="s">
        <v>292</v>
      </c>
      <c r="C18" s="21" t="s">
        <v>117</v>
      </c>
      <c r="D18" s="22" t="s">
        <v>120</v>
      </c>
      <c r="E18" s="22" t="s">
        <v>54</v>
      </c>
      <c r="F18" s="23" t="s">
        <v>297</v>
      </c>
      <c r="G18" s="22" t="s">
        <v>30</v>
      </c>
      <c r="H18" s="26" t="s">
        <v>232</v>
      </c>
      <c r="I18" s="27" t="s">
        <v>61</v>
      </c>
      <c r="J18" s="29">
        <v>0.012</v>
      </c>
      <c r="K18" s="30" t="s">
        <v>66</v>
      </c>
      <c r="L18" s="31">
        <v>0.0</v>
      </c>
      <c r="M18" s="32" t="s">
        <v>299</v>
      </c>
      <c r="N18" s="33" t="s">
        <v>301</v>
      </c>
      <c r="O18" s="33" t="s">
        <v>303</v>
      </c>
      <c r="P18" s="34">
        <v>42803.0</v>
      </c>
      <c r="Q18" s="23" t="s">
        <v>54</v>
      </c>
      <c r="R18" s="32" t="s">
        <v>47</v>
      </c>
      <c r="S18" s="37"/>
    </row>
  </sheetData>
  <customSheetViews>
    <customSheetView guid="{2F696A84-E0A2-4357-AFCA-01998AF33B79}" filter="1" showAutoFilter="1">
      <autoFilter ref="$A$1:$A$11"/>
    </customSheetView>
    <customSheetView guid="{B2B469ED-065E-487B-B6B9-536EFFBE72EB}" filter="1" showAutoFilter="1">
      <autoFilter ref="$B$1:$S$1">
        <filterColumn colId="4">
          <filters/>
        </filterColumn>
      </autoFilter>
    </customSheetView>
    <customSheetView guid="{A214FC91-2926-4021-8CFF-EA2F61021101}" filter="1" showAutoFilter="1">
      <autoFilter ref="$B$1:$S$1"/>
    </customSheetView>
    <customSheetView guid="{FBD4E7F3-FBBA-4389-B8DB-C6E19298F85D}" filter="1" showAutoFilter="1">
      <autoFilter ref="$B$1:$I$1"/>
    </customSheetView>
    <customSheetView guid="{F2EF48BC-2DE2-4EAE-9B39-DF0524B366C9}" filter="1" showAutoFilter="1">
      <autoFilter ref="$B$1:$S$1"/>
    </customSheetView>
  </customSheetViews>
  <conditionalFormatting sqref="R2:R18">
    <cfRule type="notContainsBlanks" dxfId="0" priority="1">
      <formula>LEN(TRIM(R2))&gt;0</formula>
    </cfRule>
  </conditionalFormatting>
  <conditionalFormatting sqref="D1:G1 M1 Q1">
    <cfRule type="cellIs" dxfId="1" priority="2" operator="equal">
      <formula>"Conquest"</formula>
    </cfRule>
  </conditionalFormatting>
  <conditionalFormatting sqref="D1:G1 M1 Q1">
    <cfRule type="cellIs" dxfId="2" priority="3" operator="equal">
      <formula>"Voga"</formula>
    </cfRule>
  </conditionalFormatting>
  <dataValidations>
    <dataValidation type="list" allowBlank="1" showErrorMessage="1" sqref="H2:H18">
      <formula1>"Pendente assinaturas,Em Análise pela Corretora,Aguardando FA,Aguardando Vinculação de conta,Aguardando Suitability,Aguardando Cobrança de Taxas,Aguardando Alteração da Taxa,Aguardando Autorização da Taxa,Aguardando e-mail sobre taxa ,Em análise do process"&amp;"o,Aguardando Distrato para vincular,Aguardando liberação para envio do termo,Aguardando Verificação da Observação,Pendente de Aceite do Termo,Abertura de conta,Documentos assinados,Link para abertura de conta IB enviado,Aceite termo Multiplas Contas,Push "&amp;"de abertura enviado"</formula1>
    </dataValidation>
    <dataValidation type="list" allowBlank="1" showErrorMessage="1" sqref="R2:R18">
      <formula1>"Conservador,Moderado,Arrojado"</formula1>
    </dataValidation>
    <dataValidation type="list" allowBlank="1" showErrorMessage="1" sqref="D2:D18">
      <formula1>"Bluemetrix,VcInvest,Altum,Poupinvista,Miura,MI Smart,Expert,OP Club,Nexco,GG participações,M Wealth,Investeseg,Grupo Mowe"</formula1>
    </dataValidation>
    <dataValidation type="list" allowBlank="1" showErrorMessage="1" sqref="G2:G18">
      <formula1>"PIPE,EMAIL"</formula1>
    </dataValidation>
    <dataValidation type="list" allowBlank="1" showErrorMessage="1" sqref="K2:K18">
      <formula1>"IBOV,CDI,------,IFIX,SMALL,S&amp;P 500,IPCA,IPCA +7% "</formula1>
    </dataValidation>
    <dataValidation type="list" allowBlank="1" showErrorMessage="1" sqref="A2:A18">
      <formula1>"BTG,Pershing,XP,XP Internacional,Safra,Interactive Brokers,Morgan Staley,Genial,Ágora,BTG INT"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54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21.3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3.13"/>
    <col customWidth="1" min="22" max="22" width="31.0"/>
    <col customWidth="1" min="23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hidden="1" min="32" max="68" width="18.75"/>
    <col customWidth="1" min="69" max="72" width="18.75"/>
    <col customWidth="1" min="73" max="77" width="15.25"/>
  </cols>
  <sheetData>
    <row r="1" ht="15.75" customHeight="1">
      <c r="A1" s="15" t="s">
        <v>0</v>
      </c>
      <c r="B1" s="16"/>
      <c r="C1" s="16"/>
      <c r="D1" s="16"/>
      <c r="E1" s="16"/>
      <c r="F1" s="19"/>
      <c r="G1" s="14" t="s">
        <v>3</v>
      </c>
      <c r="H1" s="5" t="s">
        <v>6</v>
      </c>
      <c r="J1" s="2" t="s">
        <v>0</v>
      </c>
      <c r="Q1" s="14" t="s">
        <v>3</v>
      </c>
      <c r="R1" s="17" t="s">
        <v>0</v>
      </c>
      <c r="S1" s="9" t="s">
        <v>13</v>
      </c>
      <c r="AF1" s="11" t="s">
        <v>18</v>
      </c>
      <c r="AG1" s="11" t="s">
        <v>18</v>
      </c>
      <c r="AH1" s="11" t="s">
        <v>18</v>
      </c>
      <c r="AI1" s="11" t="s">
        <v>18</v>
      </c>
      <c r="AJ1" s="11" t="s">
        <v>18</v>
      </c>
      <c r="AK1" s="11" t="s">
        <v>18</v>
      </c>
      <c r="AL1" s="11" t="s">
        <v>18</v>
      </c>
      <c r="AM1" s="11" t="s">
        <v>18</v>
      </c>
      <c r="AN1" s="11" t="s">
        <v>18</v>
      </c>
      <c r="AO1" s="11" t="s">
        <v>18</v>
      </c>
      <c r="AP1" s="11" t="s">
        <v>18</v>
      </c>
      <c r="AQ1" s="11" t="s">
        <v>18</v>
      </c>
      <c r="AR1" s="11" t="s">
        <v>18</v>
      </c>
      <c r="AS1" s="11" t="s">
        <v>18</v>
      </c>
      <c r="AT1" s="11" t="s">
        <v>18</v>
      </c>
      <c r="AU1" s="11" t="s">
        <v>18</v>
      </c>
      <c r="AV1" s="11" t="s">
        <v>18</v>
      </c>
      <c r="AW1" s="11" t="s">
        <v>18</v>
      </c>
      <c r="AX1" s="11" t="s">
        <v>18</v>
      </c>
      <c r="AY1" s="11" t="s">
        <v>18</v>
      </c>
      <c r="AZ1" s="11" t="s">
        <v>18</v>
      </c>
      <c r="BA1" s="11" t="s">
        <v>18</v>
      </c>
      <c r="BB1" s="11" t="s">
        <v>18</v>
      </c>
      <c r="BC1" s="11" t="s">
        <v>18</v>
      </c>
      <c r="BD1" s="11" t="s">
        <v>18</v>
      </c>
      <c r="BE1" s="11" t="s">
        <v>18</v>
      </c>
      <c r="BF1" s="11" t="s">
        <v>18</v>
      </c>
      <c r="BG1" s="11" t="s">
        <v>18</v>
      </c>
      <c r="BH1" s="11" t="s">
        <v>18</v>
      </c>
      <c r="BI1" s="11" t="s">
        <v>18</v>
      </c>
      <c r="BJ1" s="11" t="s">
        <v>18</v>
      </c>
      <c r="BK1" s="11" t="s">
        <v>18</v>
      </c>
      <c r="BL1" s="11" t="s">
        <v>18</v>
      </c>
      <c r="BM1" s="11" t="s">
        <v>18</v>
      </c>
      <c r="BN1" s="11" t="s">
        <v>18</v>
      </c>
      <c r="BO1" s="11" t="s">
        <v>18</v>
      </c>
      <c r="BP1" s="11" t="s">
        <v>18</v>
      </c>
      <c r="BQ1" s="11" t="s">
        <v>18</v>
      </c>
      <c r="BR1" s="11" t="s">
        <v>18</v>
      </c>
      <c r="BS1" s="11" t="s">
        <v>18</v>
      </c>
      <c r="BT1" s="11" t="s">
        <v>18</v>
      </c>
      <c r="BU1" s="11" t="s">
        <v>18</v>
      </c>
      <c r="BV1" s="11" t="s">
        <v>18</v>
      </c>
      <c r="BW1" s="11" t="s">
        <v>18</v>
      </c>
      <c r="BX1" s="11" t="s">
        <v>18</v>
      </c>
      <c r="BY1" s="24" t="s">
        <v>18</v>
      </c>
    </row>
    <row r="2" ht="15.75" customHeight="1">
      <c r="A2" s="25" t="s">
        <v>31</v>
      </c>
      <c r="B2" s="12" t="s">
        <v>33</v>
      </c>
      <c r="C2" s="25" t="s">
        <v>2</v>
      </c>
      <c r="D2" s="28" t="s">
        <v>4</v>
      </c>
      <c r="E2" s="28" t="s">
        <v>5</v>
      </c>
      <c r="F2" s="28" t="s">
        <v>7</v>
      </c>
      <c r="G2" s="28" t="s">
        <v>36</v>
      </c>
      <c r="H2" s="28" t="s">
        <v>37</v>
      </c>
      <c r="I2" s="28" t="s">
        <v>38</v>
      </c>
      <c r="J2" s="28" t="s">
        <v>39</v>
      </c>
      <c r="K2" s="25" t="s">
        <v>41</v>
      </c>
      <c r="L2" s="25" t="s">
        <v>42</v>
      </c>
      <c r="M2" s="25" t="s">
        <v>12</v>
      </c>
      <c r="N2" s="25" t="s">
        <v>45</v>
      </c>
      <c r="O2" s="12" t="s">
        <v>46</v>
      </c>
      <c r="P2" s="25" t="s">
        <v>16</v>
      </c>
      <c r="Q2" s="35" t="s">
        <v>9</v>
      </c>
      <c r="R2" s="36" t="s">
        <v>48</v>
      </c>
      <c r="S2" s="28" t="s">
        <v>50</v>
      </c>
      <c r="T2" s="12" t="s">
        <v>17</v>
      </c>
      <c r="U2" s="12" t="s">
        <v>19</v>
      </c>
      <c r="V2" s="12" t="s">
        <v>20</v>
      </c>
      <c r="W2" s="12" t="s">
        <v>21</v>
      </c>
      <c r="X2" s="25" t="s">
        <v>22</v>
      </c>
      <c r="Y2" s="41" t="s">
        <v>56</v>
      </c>
      <c r="Z2" s="12" t="s">
        <v>57</v>
      </c>
      <c r="AA2" s="12" t="s">
        <v>58</v>
      </c>
      <c r="AB2" s="25" t="s">
        <v>60</v>
      </c>
      <c r="AC2" s="38" t="s">
        <v>62</v>
      </c>
      <c r="AD2" s="38" t="s">
        <v>63</v>
      </c>
      <c r="AE2" s="38" t="s">
        <v>64</v>
      </c>
      <c r="AF2" s="38" t="s">
        <v>106</v>
      </c>
      <c r="AG2" s="28" t="s">
        <v>109</v>
      </c>
      <c r="AH2" s="28" t="s">
        <v>112</v>
      </c>
      <c r="AI2" s="28" t="s">
        <v>115</v>
      </c>
      <c r="AJ2" s="28" t="s">
        <v>118</v>
      </c>
      <c r="AK2" s="28" t="s">
        <v>121</v>
      </c>
      <c r="AL2" s="28" t="s">
        <v>123</v>
      </c>
      <c r="AM2" s="28" t="s">
        <v>126</v>
      </c>
      <c r="AN2" s="28" t="s">
        <v>127</v>
      </c>
      <c r="AO2" s="28" t="s">
        <v>128</v>
      </c>
      <c r="AP2" s="28" t="s">
        <v>130</v>
      </c>
      <c r="AQ2" s="28" t="s">
        <v>132</v>
      </c>
      <c r="AR2" s="28" t="s">
        <v>135</v>
      </c>
      <c r="AS2" s="28" t="s">
        <v>138</v>
      </c>
      <c r="AT2" s="38" t="s">
        <v>140</v>
      </c>
      <c r="AU2" s="38" t="s">
        <v>143</v>
      </c>
      <c r="AV2" s="38" t="s">
        <v>146</v>
      </c>
      <c r="AW2" s="38" t="s">
        <v>149</v>
      </c>
      <c r="AX2" s="38" t="s">
        <v>153</v>
      </c>
      <c r="AY2" s="38" t="s">
        <v>157</v>
      </c>
      <c r="AZ2" s="38" t="s">
        <v>161</v>
      </c>
      <c r="BA2" s="38" t="s">
        <v>163</v>
      </c>
      <c r="BB2" s="38" t="s">
        <v>166</v>
      </c>
      <c r="BC2" s="38" t="s">
        <v>168</v>
      </c>
      <c r="BD2" s="38" t="s">
        <v>171</v>
      </c>
      <c r="BE2" s="38" t="s">
        <v>65</v>
      </c>
      <c r="BF2" s="38" t="s">
        <v>67</v>
      </c>
      <c r="BG2" s="38" t="s">
        <v>68</v>
      </c>
      <c r="BH2" s="38" t="s">
        <v>70</v>
      </c>
      <c r="BI2" s="38" t="s">
        <v>72</v>
      </c>
      <c r="BJ2" s="38" t="s">
        <v>74</v>
      </c>
      <c r="BK2" s="38" t="s">
        <v>75</v>
      </c>
      <c r="BL2" s="38" t="s">
        <v>76</v>
      </c>
      <c r="BM2" s="38" t="s">
        <v>78</v>
      </c>
      <c r="BN2" s="38" t="s">
        <v>79</v>
      </c>
      <c r="BO2" s="46" t="s">
        <v>81</v>
      </c>
      <c r="BP2" s="46" t="s">
        <v>82</v>
      </c>
      <c r="BQ2" s="46" t="s">
        <v>84</v>
      </c>
      <c r="BR2" s="46" t="s">
        <v>85</v>
      </c>
      <c r="BS2" s="46" t="s">
        <v>87</v>
      </c>
      <c r="BT2" s="46" t="s">
        <v>88</v>
      </c>
      <c r="BU2" s="46" t="s">
        <v>90</v>
      </c>
      <c r="BV2" s="46" t="s">
        <v>92</v>
      </c>
      <c r="BW2" s="46" t="s">
        <v>94</v>
      </c>
      <c r="BX2" s="46" t="s">
        <v>95</v>
      </c>
      <c r="BY2" s="46" t="s">
        <v>184</v>
      </c>
    </row>
    <row r="3" ht="15.75" customHeight="1">
      <c r="A3" s="50" t="s">
        <v>24</v>
      </c>
      <c r="B3" s="52" t="s">
        <v>186</v>
      </c>
      <c r="C3" s="53" t="s">
        <v>188</v>
      </c>
      <c r="D3" s="30" t="s">
        <v>89</v>
      </c>
      <c r="E3" s="22" t="s">
        <v>91</v>
      </c>
      <c r="F3" s="30" t="s">
        <v>193</v>
      </c>
      <c r="G3" s="47" t="str">
        <f t="shared" ref="G3:G29" si="1">IFS($BS$4:$BS$1280&lt;=250000,"David",$BS$4:$BS$1280&lt;=800000,"Gabriel", $BS$4:$BS$1280&gt;800000,"Marcus")</f>
        <v>#VALUE!</v>
      </c>
      <c r="H3" s="49" t="s">
        <v>183</v>
      </c>
      <c r="I3" s="49" t="s">
        <v>66</v>
      </c>
      <c r="J3" s="47" t="str">
        <f t="shared" ref="J3:J52" si="2">IF(Q3=0,"Não","Sim")</f>
        <v>Não</v>
      </c>
      <c r="K3" s="54">
        <v>46217.0</v>
      </c>
      <c r="L3" s="55"/>
      <c r="M3" s="32" t="s">
        <v>209</v>
      </c>
      <c r="N3" s="56">
        <v>0.015</v>
      </c>
      <c r="O3" s="23" t="s">
        <v>35</v>
      </c>
      <c r="P3" s="57">
        <v>0.1</v>
      </c>
      <c r="Q3" s="70"/>
      <c r="R3" s="58"/>
      <c r="S3" s="32" t="s">
        <v>194</v>
      </c>
      <c r="T3" s="32" t="s">
        <v>217</v>
      </c>
      <c r="U3" s="33" t="s">
        <v>218</v>
      </c>
      <c r="V3" s="33" t="s">
        <v>219</v>
      </c>
      <c r="W3" s="34">
        <v>33735.0</v>
      </c>
      <c r="X3" s="23" t="s">
        <v>221</v>
      </c>
      <c r="Y3" s="49" t="str">
        <f t="shared" ref="Y3:Y14" si="3">IFS(H:H="Encerrado","Encerrado",COUNTBLANK(AZ3:BK3)&gt;0,"Ativo",SUM(AZ3:BK3)=0,"Inativo",SUM(AZ3:BK3)&gt;0,"Ativo")</f>
        <v>Ativo</v>
      </c>
      <c r="Z3" s="62"/>
      <c r="AA3" s="32" t="s">
        <v>47</v>
      </c>
      <c r="AB3" s="64"/>
      <c r="AC3" s="65"/>
      <c r="AD3" s="54"/>
      <c r="AE3" s="77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88"/>
      <c r="BU3" s="90"/>
      <c r="BV3" s="90"/>
      <c r="BW3" s="90"/>
      <c r="BX3" s="90">
        <v>0.0</v>
      </c>
      <c r="BY3" s="90">
        <f t="array" ref="BY3">XLOOKUP(C3,'PL TOTAL D0'!$A$3:$A$1991,'PL TOTAL D0'!$C$3:$C$1991,"")</f>
        <v>1151901.73</v>
      </c>
    </row>
    <row r="4" ht="15.75" customHeight="1">
      <c r="A4" s="50" t="s">
        <v>24</v>
      </c>
      <c r="B4" s="50" t="s">
        <v>252</v>
      </c>
      <c r="C4" s="94" t="s">
        <v>254</v>
      </c>
      <c r="D4" s="81" t="s">
        <v>255</v>
      </c>
      <c r="E4" s="95" t="s">
        <v>199</v>
      </c>
      <c r="F4" s="81" t="s">
        <v>257</v>
      </c>
      <c r="G4" s="47" t="str">
        <f t="shared" si="1"/>
        <v>David</v>
      </c>
      <c r="H4" s="49" t="s">
        <v>224</v>
      </c>
      <c r="I4" s="49" t="s">
        <v>66</v>
      </c>
      <c r="J4" s="47" t="str">
        <f t="shared" si="2"/>
        <v>Não</v>
      </c>
      <c r="K4" s="97">
        <v>45105.0</v>
      </c>
      <c r="L4" s="55">
        <v>45552.0</v>
      </c>
      <c r="M4" s="62" t="s">
        <v>34</v>
      </c>
      <c r="N4" s="98">
        <v>0.012</v>
      </c>
      <c r="O4" s="47" t="s">
        <v>35</v>
      </c>
      <c r="P4" s="99">
        <v>0.1</v>
      </c>
      <c r="Q4" s="70"/>
      <c r="R4" s="58" t="s">
        <v>263</v>
      </c>
      <c r="S4" s="62" t="s">
        <v>194</v>
      </c>
      <c r="T4" s="32" t="s">
        <v>266</v>
      </c>
      <c r="U4" s="33" t="s">
        <v>268</v>
      </c>
      <c r="V4" s="33"/>
      <c r="W4" s="33" t="s">
        <v>268</v>
      </c>
      <c r="X4" s="23" t="s">
        <v>199</v>
      </c>
      <c r="Y4" s="49" t="str">
        <f t="shared" si="3"/>
        <v>Encerrado</v>
      </c>
      <c r="Z4" s="62"/>
      <c r="AA4" s="62"/>
      <c r="AB4" s="64" t="s">
        <v>269</v>
      </c>
      <c r="AC4" s="65"/>
      <c r="AD4" s="54">
        <v>45105.0</v>
      </c>
      <c r="AE4" s="77">
        <v>4.9075100007179E13</v>
      </c>
      <c r="AF4" s="79"/>
      <c r="AG4" s="79"/>
      <c r="AH4" s="79"/>
      <c r="AI4" s="79"/>
      <c r="AJ4" s="79"/>
      <c r="AK4" s="79"/>
      <c r="AL4" s="79"/>
      <c r="AM4" s="79"/>
      <c r="AN4" s="79">
        <v>11645.25</v>
      </c>
      <c r="AO4" s="79">
        <v>101705.9</v>
      </c>
      <c r="AP4" s="79">
        <v>87680.81</v>
      </c>
      <c r="AQ4" s="79">
        <v>97773.76</v>
      </c>
      <c r="AR4" s="79">
        <v>94701.07</v>
      </c>
      <c r="AS4" s="79">
        <v>97855.43</v>
      </c>
      <c r="AT4" s="79">
        <v>93543.64</v>
      </c>
      <c r="AU4" s="79">
        <v>346111.38</v>
      </c>
      <c r="AV4" s="65">
        <v>469765.42</v>
      </c>
      <c r="AW4" s="65">
        <v>504924.71</v>
      </c>
      <c r="AX4" s="65">
        <v>496452.34</v>
      </c>
      <c r="AY4" s="65">
        <v>471980.3</v>
      </c>
      <c r="AZ4" s="65">
        <v>412836.6</v>
      </c>
      <c r="BA4" s="65">
        <v>399202.4</v>
      </c>
      <c r="BB4" s="65">
        <v>0.0</v>
      </c>
      <c r="BC4" s="65">
        <v>0.0</v>
      </c>
      <c r="BD4" s="65">
        <v>0.0</v>
      </c>
      <c r="BE4" s="65">
        <v>0.0</v>
      </c>
      <c r="BF4" s="65">
        <v>0.0</v>
      </c>
      <c r="BG4" s="65">
        <v>0.0</v>
      </c>
      <c r="BH4" s="65">
        <v>0.0</v>
      </c>
      <c r="BI4" s="65">
        <v>0.0</v>
      </c>
      <c r="BJ4" s="65">
        <v>0.0</v>
      </c>
      <c r="BK4" s="65">
        <v>0.0</v>
      </c>
      <c r="BL4" s="65">
        <v>0.0</v>
      </c>
      <c r="BM4" s="65">
        <v>0.0</v>
      </c>
      <c r="BN4" s="65">
        <v>0.0</v>
      </c>
      <c r="BO4" s="65">
        <v>0.0</v>
      </c>
      <c r="BP4" s="65">
        <v>0.0</v>
      </c>
      <c r="BQ4" s="65">
        <v>0.0</v>
      </c>
      <c r="BR4" s="65">
        <v>0.0</v>
      </c>
      <c r="BS4" s="65">
        <v>0.0</v>
      </c>
      <c r="BT4" s="88">
        <v>0.0</v>
      </c>
      <c r="BU4" s="90">
        <v>0.0</v>
      </c>
      <c r="BV4" s="90"/>
      <c r="BW4" s="90">
        <v>0.0</v>
      </c>
      <c r="BX4" s="90">
        <v>0.0</v>
      </c>
      <c r="BY4" s="90" t="str">
        <f t="array" ref="BY4">XLOOKUP(C4,'PL TOTAL D0'!$A$3:$A$1991,'PL TOTAL D0'!$C$3:$C$1991,"")</f>
        <v/>
      </c>
    </row>
    <row r="5" ht="15.75" customHeight="1">
      <c r="A5" s="43" t="s">
        <v>24</v>
      </c>
      <c r="B5" s="50" t="s">
        <v>293</v>
      </c>
      <c r="C5" s="94" t="s">
        <v>294</v>
      </c>
      <c r="D5" s="30" t="s">
        <v>249</v>
      </c>
      <c r="E5" s="22" t="s">
        <v>199</v>
      </c>
      <c r="F5" s="30" t="s">
        <v>251</v>
      </c>
      <c r="G5" s="47" t="str">
        <f t="shared" si="1"/>
        <v>Gabriel</v>
      </c>
      <c r="H5" s="49" t="s">
        <v>183</v>
      </c>
      <c r="I5" s="49" t="s">
        <v>66</v>
      </c>
      <c r="J5" s="47" t="str">
        <f t="shared" si="2"/>
        <v>Não</v>
      </c>
      <c r="K5" s="54">
        <v>45923.0</v>
      </c>
      <c r="L5" s="55"/>
      <c r="M5" s="62" t="s">
        <v>61</v>
      </c>
      <c r="N5" s="98">
        <v>0.012</v>
      </c>
      <c r="O5" s="47" t="s">
        <v>66</v>
      </c>
      <c r="P5" s="99">
        <v>0.0</v>
      </c>
      <c r="Q5" s="70"/>
      <c r="R5" s="58"/>
      <c r="S5" s="32" t="s">
        <v>194</v>
      </c>
      <c r="T5" s="32" t="s">
        <v>306</v>
      </c>
      <c r="U5" s="33" t="s">
        <v>308</v>
      </c>
      <c r="V5" s="33" t="s">
        <v>309</v>
      </c>
      <c r="W5" s="33">
        <v>28556.0</v>
      </c>
      <c r="X5" s="23" t="s">
        <v>311</v>
      </c>
      <c r="Y5" s="49" t="str">
        <f t="shared" si="3"/>
        <v>Ativo</v>
      </c>
      <c r="Z5" s="62"/>
      <c r="AA5" s="32" t="s">
        <v>47</v>
      </c>
      <c r="AB5" s="64"/>
      <c r="AC5" s="65"/>
      <c r="AD5" s="54">
        <v>45923.0</v>
      </c>
      <c r="AE5" s="77">
        <v>4.9075100019428E13</v>
      </c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>
        <v>391712.81</v>
      </c>
      <c r="BP5" s="65">
        <v>403957.9</v>
      </c>
      <c r="BQ5" s="65">
        <v>406166.3</v>
      </c>
      <c r="BR5" s="65">
        <v>548723.1</v>
      </c>
      <c r="BS5" s="65">
        <v>550961.42</v>
      </c>
      <c r="BT5" s="88">
        <v>536101.1</v>
      </c>
      <c r="BU5" s="65">
        <v>494037.2</v>
      </c>
      <c r="BV5" s="65">
        <v>490251.4</v>
      </c>
      <c r="BW5" s="90">
        <v>472634.2</v>
      </c>
      <c r="BX5" s="90">
        <v>478704.69</v>
      </c>
      <c r="BY5" s="90">
        <f t="array" ref="BY5">XLOOKUP(C5,'PL TOTAL D0'!$A$3:$A$1991,'PL TOTAL D0'!$C$3:$C$1991,"")</f>
        <v>504296.39</v>
      </c>
    </row>
    <row r="6" ht="15.75" customHeight="1">
      <c r="A6" s="43" t="s">
        <v>24</v>
      </c>
      <c r="B6" s="43" t="s">
        <v>319</v>
      </c>
      <c r="C6" s="53" t="s">
        <v>320</v>
      </c>
      <c r="D6" s="30" t="s">
        <v>120</v>
      </c>
      <c r="E6" s="22" t="s">
        <v>199</v>
      </c>
      <c r="F6" s="30" t="s">
        <v>290</v>
      </c>
      <c r="G6" s="47" t="str">
        <f t="shared" si="1"/>
        <v>David</v>
      </c>
      <c r="H6" s="49" t="s">
        <v>183</v>
      </c>
      <c r="I6" s="49" t="s">
        <v>66</v>
      </c>
      <c r="J6" s="47" t="str">
        <f t="shared" si="2"/>
        <v>Não</v>
      </c>
      <c r="K6" s="54">
        <v>46216.0</v>
      </c>
      <c r="L6" s="55"/>
      <c r="M6" s="32" t="s">
        <v>61</v>
      </c>
      <c r="N6" s="56">
        <v>0.012</v>
      </c>
      <c r="O6" s="23" t="s">
        <v>66</v>
      </c>
      <c r="P6" s="57">
        <v>0.0</v>
      </c>
      <c r="Q6" s="70"/>
      <c r="R6" s="58"/>
      <c r="S6" s="32" t="s">
        <v>194</v>
      </c>
      <c r="T6" s="32" t="s">
        <v>321</v>
      </c>
      <c r="U6" s="33" t="s">
        <v>322</v>
      </c>
      <c r="V6" s="33" t="s">
        <v>324</v>
      </c>
      <c r="W6" s="48" t="s">
        <v>325</v>
      </c>
      <c r="X6" s="23" t="s">
        <v>199</v>
      </c>
      <c r="Y6" s="49" t="str">
        <f t="shared" si="3"/>
        <v>Ativo</v>
      </c>
      <c r="Z6" s="62"/>
      <c r="AA6" s="32" t="s">
        <v>47</v>
      </c>
      <c r="AB6" s="64"/>
      <c r="AC6" s="65"/>
      <c r="AD6" s="54"/>
      <c r="AE6" s="77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88"/>
      <c r="BU6" s="65"/>
      <c r="BV6" s="65"/>
      <c r="BW6" s="90"/>
      <c r="BX6" s="90">
        <v>0.0</v>
      </c>
      <c r="BY6" s="90">
        <f t="array" ref="BY6">XLOOKUP(C6,'PL TOTAL D0'!$A$3:$A$1991,'PL TOTAL D0'!$C$3:$C$1991,"")</f>
        <v>30201.01</v>
      </c>
    </row>
    <row r="7" ht="15.75" customHeight="1">
      <c r="A7" s="43" t="s">
        <v>24</v>
      </c>
      <c r="B7" s="43" t="s">
        <v>319</v>
      </c>
      <c r="C7" s="53" t="s">
        <v>333</v>
      </c>
      <c r="D7" s="30" t="s">
        <v>120</v>
      </c>
      <c r="E7" s="22" t="s">
        <v>199</v>
      </c>
      <c r="F7" s="30" t="s">
        <v>290</v>
      </c>
      <c r="G7" s="47" t="str">
        <f t="shared" si="1"/>
        <v>David</v>
      </c>
      <c r="H7" s="49" t="s">
        <v>335</v>
      </c>
      <c r="I7" s="49" t="s">
        <v>66</v>
      </c>
      <c r="J7" s="47" t="str">
        <f t="shared" si="2"/>
        <v>Não</v>
      </c>
      <c r="K7" s="54">
        <v>46234.0</v>
      </c>
      <c r="L7" s="55"/>
      <c r="M7" s="32" t="s">
        <v>61</v>
      </c>
      <c r="N7" s="56">
        <v>0.012</v>
      </c>
      <c r="O7" s="23" t="s">
        <v>66</v>
      </c>
      <c r="P7" s="57">
        <v>0.0</v>
      </c>
      <c r="Q7" s="70"/>
      <c r="R7" s="58"/>
      <c r="S7" s="32" t="s">
        <v>194</v>
      </c>
      <c r="T7" s="32" t="s">
        <v>321</v>
      </c>
      <c r="U7" s="33" t="s">
        <v>322</v>
      </c>
      <c r="V7" s="33" t="s">
        <v>324</v>
      </c>
      <c r="W7" s="48" t="s">
        <v>325</v>
      </c>
      <c r="X7" s="23" t="s">
        <v>199</v>
      </c>
      <c r="Y7" s="49" t="str">
        <f t="shared" si="3"/>
        <v>Ativo</v>
      </c>
      <c r="Z7" s="62"/>
      <c r="AA7" s="32" t="s">
        <v>47</v>
      </c>
      <c r="AB7" s="64"/>
      <c r="AC7" s="65"/>
      <c r="AD7" s="54"/>
      <c r="AE7" s="77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88"/>
      <c r="BU7" s="65"/>
      <c r="BV7" s="65"/>
      <c r="BW7" s="90"/>
      <c r="BX7" s="90"/>
      <c r="BY7" s="90"/>
    </row>
    <row r="8" ht="15.75" customHeight="1">
      <c r="A8" s="50" t="s">
        <v>24</v>
      </c>
      <c r="B8" s="43" t="s">
        <v>344</v>
      </c>
      <c r="C8" s="94" t="s">
        <v>345</v>
      </c>
      <c r="D8" s="30" t="s">
        <v>120</v>
      </c>
      <c r="E8" s="22" t="s">
        <v>54</v>
      </c>
      <c r="F8" s="30" t="s">
        <v>348</v>
      </c>
      <c r="G8" s="47" t="str">
        <f t="shared" si="1"/>
        <v>David</v>
      </c>
      <c r="H8" s="49" t="s">
        <v>224</v>
      </c>
      <c r="I8" s="49" t="s">
        <v>66</v>
      </c>
      <c r="J8" s="47" t="str">
        <f t="shared" si="2"/>
        <v>Não</v>
      </c>
      <c r="K8" s="54">
        <v>45575.0</v>
      </c>
      <c r="L8" s="55">
        <v>45873.0</v>
      </c>
      <c r="M8" s="32" t="s">
        <v>61</v>
      </c>
      <c r="N8" s="56">
        <v>0.012</v>
      </c>
      <c r="O8" s="23" t="s">
        <v>66</v>
      </c>
      <c r="P8" s="57">
        <v>0.0</v>
      </c>
      <c r="Q8" s="58"/>
      <c r="R8" s="58" t="s">
        <v>351</v>
      </c>
      <c r="S8" s="32" t="s">
        <v>194</v>
      </c>
      <c r="T8" s="32" t="s">
        <v>352</v>
      </c>
      <c r="U8" s="33" t="s">
        <v>268</v>
      </c>
      <c r="V8" s="33"/>
      <c r="W8" s="33" t="s">
        <v>268</v>
      </c>
      <c r="X8" s="23" t="s">
        <v>54</v>
      </c>
      <c r="Y8" s="49" t="str">
        <f t="shared" si="3"/>
        <v>Encerrado</v>
      </c>
      <c r="Z8" s="62"/>
      <c r="AA8" s="32" t="s">
        <v>107</v>
      </c>
      <c r="AB8" s="64"/>
      <c r="AC8" s="65"/>
      <c r="AD8" s="54">
        <v>45575.0</v>
      </c>
      <c r="AE8" s="77">
        <v>4.9075100015937E13</v>
      </c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65"/>
      <c r="AW8" s="65"/>
      <c r="AX8" s="65"/>
      <c r="AY8" s="65"/>
      <c r="AZ8" s="65"/>
      <c r="BA8" s="65"/>
      <c r="BB8" s="65"/>
      <c r="BC8" s="65"/>
      <c r="BD8" s="65">
        <v>25129.32</v>
      </c>
      <c r="BE8" s="65">
        <v>28365.69</v>
      </c>
      <c r="BF8" s="65">
        <v>42735.29</v>
      </c>
      <c r="BG8" s="65">
        <v>43359.18</v>
      </c>
      <c r="BH8" s="65">
        <v>43783.43</v>
      </c>
      <c r="BI8" s="65">
        <v>46235.25</v>
      </c>
      <c r="BJ8" s="65">
        <v>43169.62</v>
      </c>
      <c r="BK8" s="65">
        <v>47521.44</v>
      </c>
      <c r="BL8" s="65">
        <v>0.0</v>
      </c>
      <c r="BM8" s="65">
        <v>0.0</v>
      </c>
      <c r="BN8" s="65">
        <v>0.0</v>
      </c>
      <c r="BO8" s="65">
        <v>0.0</v>
      </c>
      <c r="BP8" s="65">
        <v>0.0</v>
      </c>
      <c r="BQ8" s="65">
        <v>0.0</v>
      </c>
      <c r="BR8" s="65">
        <v>0.0</v>
      </c>
      <c r="BS8" s="65">
        <v>0.0</v>
      </c>
      <c r="BT8" s="88">
        <v>0.0</v>
      </c>
      <c r="BU8" s="65">
        <v>0.0</v>
      </c>
      <c r="BV8" s="65">
        <v>0.0</v>
      </c>
      <c r="BW8" s="90">
        <v>0.0</v>
      </c>
      <c r="BX8" s="90">
        <v>0.0</v>
      </c>
      <c r="BY8" s="90" t="str">
        <f t="array" ref="BY8">XLOOKUP(C8,'PL TOTAL D0'!$A$3:$A$1991,'PL TOTAL D0'!$C$3:$C$1991,"")</f>
        <v/>
      </c>
    </row>
    <row r="9" ht="15.75" customHeight="1">
      <c r="A9" s="50" t="s">
        <v>24</v>
      </c>
      <c r="B9" s="43" t="s">
        <v>363</v>
      </c>
      <c r="C9" s="94" t="s">
        <v>364</v>
      </c>
      <c r="D9" s="30" t="s">
        <v>365</v>
      </c>
      <c r="E9" s="22" t="s">
        <v>199</v>
      </c>
      <c r="F9" s="30" t="s">
        <v>368</v>
      </c>
      <c r="G9" s="47" t="str">
        <f t="shared" si="1"/>
        <v>David</v>
      </c>
      <c r="H9" s="49" t="s">
        <v>183</v>
      </c>
      <c r="I9" s="49" t="s">
        <v>66</v>
      </c>
      <c r="J9" s="47" t="str">
        <f t="shared" si="2"/>
        <v>Não</v>
      </c>
      <c r="K9" s="54">
        <v>45448.0</v>
      </c>
      <c r="L9" s="62"/>
      <c r="M9" s="32" t="s">
        <v>34</v>
      </c>
      <c r="N9" s="56">
        <v>0.012</v>
      </c>
      <c r="O9" s="23" t="s">
        <v>35</v>
      </c>
      <c r="P9" s="57">
        <v>0.1</v>
      </c>
      <c r="Q9" s="70"/>
      <c r="R9" s="70"/>
      <c r="S9" s="32" t="s">
        <v>194</v>
      </c>
      <c r="T9" s="32" t="s">
        <v>371</v>
      </c>
      <c r="U9" s="33">
        <v>5.561981347034E12</v>
      </c>
      <c r="V9" s="33" t="s">
        <v>372</v>
      </c>
      <c r="W9" s="34">
        <v>27638.0</v>
      </c>
      <c r="X9" s="23" t="s">
        <v>199</v>
      </c>
      <c r="Y9" s="49" t="str">
        <f t="shared" si="3"/>
        <v>Ativo</v>
      </c>
      <c r="Z9" s="32"/>
      <c r="AA9" s="32" t="s">
        <v>47</v>
      </c>
      <c r="AB9" s="64" t="s">
        <v>269</v>
      </c>
      <c r="AC9" s="65"/>
      <c r="AD9" s="54">
        <v>45448.0</v>
      </c>
      <c r="AE9" s="77">
        <v>4.9075100015023E13</v>
      </c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65"/>
      <c r="AW9" s="65"/>
      <c r="AX9" s="65"/>
      <c r="AY9" s="65"/>
      <c r="AZ9" s="65">
        <v>121700.5</v>
      </c>
      <c r="BA9" s="65">
        <v>123070.4</v>
      </c>
      <c r="BB9" s="65">
        <v>123754.77</v>
      </c>
      <c r="BC9" s="65">
        <v>127558.92</v>
      </c>
      <c r="BD9" s="65">
        <v>143233.67</v>
      </c>
      <c r="BE9" s="65">
        <v>142815.33</v>
      </c>
      <c r="BF9" s="65">
        <v>153533.2</v>
      </c>
      <c r="BG9" s="65">
        <v>164010.93</v>
      </c>
      <c r="BH9" s="65">
        <v>168227.15</v>
      </c>
      <c r="BI9" s="65">
        <v>202632.33</v>
      </c>
      <c r="BJ9" s="65">
        <v>206574.72</v>
      </c>
      <c r="BK9" s="65">
        <v>178281.56</v>
      </c>
      <c r="BL9" s="65">
        <v>182801.31</v>
      </c>
      <c r="BM9" s="65">
        <v>185347.86</v>
      </c>
      <c r="BN9" s="65">
        <v>189197.2</v>
      </c>
      <c r="BO9" s="65">
        <v>193123.36</v>
      </c>
      <c r="BP9" s="65">
        <v>204372.5</v>
      </c>
      <c r="BQ9" s="65">
        <v>206026.5</v>
      </c>
      <c r="BR9" s="65">
        <v>211050.1</v>
      </c>
      <c r="BS9" s="65">
        <v>213379.81</v>
      </c>
      <c r="BT9" s="88">
        <v>215053.2</v>
      </c>
      <c r="BU9" s="65">
        <v>217325.5</v>
      </c>
      <c r="BV9" s="65">
        <v>219246.2</v>
      </c>
      <c r="BW9" s="90">
        <v>219899.3</v>
      </c>
      <c r="BX9" s="90">
        <v>220858.3</v>
      </c>
      <c r="BY9" s="90">
        <f t="array" ref="BY9">XLOOKUP(C9,'PL TOTAL D0'!$A$3:$A$1991,'PL TOTAL D0'!$C$3:$C$1991,"")</f>
        <v>216111.18</v>
      </c>
    </row>
    <row r="10" ht="15.75" customHeight="1">
      <c r="A10" s="50" t="s">
        <v>24</v>
      </c>
      <c r="B10" s="50" t="s">
        <v>380</v>
      </c>
      <c r="C10" s="94" t="s">
        <v>381</v>
      </c>
      <c r="D10" s="81" t="s">
        <v>120</v>
      </c>
      <c r="E10" s="95" t="s">
        <v>54</v>
      </c>
      <c r="F10" s="81" t="s">
        <v>348</v>
      </c>
      <c r="G10" s="47" t="str">
        <f t="shared" si="1"/>
        <v>David</v>
      </c>
      <c r="H10" s="49" t="s">
        <v>295</v>
      </c>
      <c r="I10" s="49" t="s">
        <v>382</v>
      </c>
      <c r="J10" s="47" t="str">
        <f t="shared" si="2"/>
        <v>Não</v>
      </c>
      <c r="K10" s="97">
        <v>45036.0</v>
      </c>
      <c r="L10" s="62"/>
      <c r="M10" s="62" t="s">
        <v>61</v>
      </c>
      <c r="N10" s="98">
        <v>0.012</v>
      </c>
      <c r="O10" s="47" t="s">
        <v>66</v>
      </c>
      <c r="P10" s="99">
        <v>0.0</v>
      </c>
      <c r="Q10" s="70"/>
      <c r="R10" s="70"/>
      <c r="S10" s="62" t="s">
        <v>194</v>
      </c>
      <c r="T10" s="32" t="s">
        <v>384</v>
      </c>
      <c r="U10" s="33">
        <v>6.2984152005E10</v>
      </c>
      <c r="V10" s="33" t="s">
        <v>385</v>
      </c>
      <c r="W10" s="34">
        <v>26149.0</v>
      </c>
      <c r="X10" s="23" t="s">
        <v>54</v>
      </c>
      <c r="Y10" s="49" t="str">
        <f t="shared" si="3"/>
        <v>Ativo</v>
      </c>
      <c r="Z10" s="62"/>
      <c r="AA10" s="62"/>
      <c r="AB10" s="64" t="s">
        <v>269</v>
      </c>
      <c r="AC10" s="65"/>
      <c r="AD10" s="54">
        <v>45036.0</v>
      </c>
      <c r="AE10" s="77">
        <v>4.907510000831E13</v>
      </c>
      <c r="AF10" s="79"/>
      <c r="AG10" s="79"/>
      <c r="AH10" s="79"/>
      <c r="AI10" s="79"/>
      <c r="AJ10" s="79"/>
      <c r="AK10" s="79">
        <v>0.0</v>
      </c>
      <c r="AL10" s="79">
        <v>10017.88</v>
      </c>
      <c r="AM10" s="79">
        <v>10121.37</v>
      </c>
      <c r="AN10" s="79">
        <v>10216.79</v>
      </c>
      <c r="AO10" s="79">
        <v>10266.22</v>
      </c>
      <c r="AP10" s="79">
        <v>10256.52</v>
      </c>
      <c r="AQ10" s="79">
        <v>10245.37</v>
      </c>
      <c r="AR10" s="79">
        <v>10303.3</v>
      </c>
      <c r="AS10" s="79">
        <v>10380.65</v>
      </c>
      <c r="AT10" s="79">
        <v>10461.92</v>
      </c>
      <c r="AU10" s="79">
        <v>10552.25</v>
      </c>
      <c r="AV10" s="65">
        <v>10641.25</v>
      </c>
      <c r="AW10" s="65">
        <v>10727.74</v>
      </c>
      <c r="AX10" s="65">
        <v>10819.52</v>
      </c>
      <c r="AY10" s="65">
        <v>10903.41</v>
      </c>
      <c r="AZ10" s="65">
        <v>0.0</v>
      </c>
      <c r="BA10" s="65">
        <v>0.0</v>
      </c>
      <c r="BB10" s="65">
        <v>0.09</v>
      </c>
      <c r="BC10" s="65">
        <v>0.09</v>
      </c>
      <c r="BD10" s="65">
        <v>0.09</v>
      </c>
      <c r="BE10" s="65">
        <v>0.09</v>
      </c>
      <c r="BF10" s="65">
        <v>0.09</v>
      </c>
      <c r="BG10" s="65">
        <v>0.09</v>
      </c>
      <c r="BH10" s="65">
        <v>0.09</v>
      </c>
      <c r="BI10" s="65">
        <v>0.09</v>
      </c>
      <c r="BJ10" s="65">
        <v>0.0</v>
      </c>
      <c r="BK10" s="65">
        <v>0.0</v>
      </c>
      <c r="BL10" s="65">
        <v>0.0</v>
      </c>
      <c r="BM10" s="65">
        <v>0.0</v>
      </c>
      <c r="BN10" s="65">
        <v>0.0</v>
      </c>
      <c r="BO10" s="65">
        <v>0.0</v>
      </c>
      <c r="BP10" s="65">
        <v>0.0</v>
      </c>
      <c r="BQ10" s="65">
        <v>0.0</v>
      </c>
      <c r="BR10" s="65">
        <v>0.0</v>
      </c>
      <c r="BS10" s="65">
        <v>0.0</v>
      </c>
      <c r="BT10" s="88">
        <v>0.0</v>
      </c>
      <c r="BU10" s="65">
        <v>0.0</v>
      </c>
      <c r="BV10" s="65">
        <v>0.0</v>
      </c>
      <c r="BW10" s="90">
        <v>0.0</v>
      </c>
      <c r="BX10" s="90">
        <v>0.0</v>
      </c>
      <c r="BY10" s="90" t="str">
        <f t="array" ref="BY10">XLOOKUP(C10,'PL TOTAL D0'!$A$3:$A$1991,'PL TOTAL D0'!$C$3:$C$1991,"")</f>
        <v/>
      </c>
    </row>
    <row r="11" ht="15.75" customHeight="1">
      <c r="A11" s="50" t="s">
        <v>24</v>
      </c>
      <c r="B11" s="43" t="s">
        <v>399</v>
      </c>
      <c r="C11" s="94" t="s">
        <v>402</v>
      </c>
      <c r="D11" s="30" t="s">
        <v>120</v>
      </c>
      <c r="E11" s="22" t="s">
        <v>54</v>
      </c>
      <c r="F11" s="30" t="s">
        <v>125</v>
      </c>
      <c r="G11" s="47" t="str">
        <f t="shared" si="1"/>
        <v>David</v>
      </c>
      <c r="H11" s="49" t="s">
        <v>295</v>
      </c>
      <c r="I11" s="49" t="s">
        <v>382</v>
      </c>
      <c r="J11" s="47" t="str">
        <f t="shared" si="2"/>
        <v>Não</v>
      </c>
      <c r="K11" s="54">
        <v>45474.0</v>
      </c>
      <c r="L11" s="62"/>
      <c r="M11" s="32" t="s">
        <v>61</v>
      </c>
      <c r="N11" s="56">
        <v>0.012</v>
      </c>
      <c r="O11" s="23" t="s">
        <v>66</v>
      </c>
      <c r="P11" s="57">
        <v>0.0</v>
      </c>
      <c r="Q11" s="58"/>
      <c r="R11" s="70"/>
      <c r="S11" s="32" t="s">
        <v>194</v>
      </c>
      <c r="T11" s="32" t="s">
        <v>406</v>
      </c>
      <c r="U11" s="33">
        <v>5.562999714102E12</v>
      </c>
      <c r="V11" s="33" t="s">
        <v>407</v>
      </c>
      <c r="W11" s="34">
        <v>31314.0</v>
      </c>
      <c r="X11" s="23" t="s">
        <v>54</v>
      </c>
      <c r="Y11" s="49" t="str">
        <f t="shared" si="3"/>
        <v>Ativo</v>
      </c>
      <c r="Z11" s="32"/>
      <c r="AA11" s="32" t="s">
        <v>165</v>
      </c>
      <c r="AB11" s="64" t="s">
        <v>269</v>
      </c>
      <c r="AC11" s="65"/>
      <c r="AD11" s="54">
        <v>45474.0</v>
      </c>
      <c r="AE11" s="77">
        <v>4.9075100015503E13</v>
      </c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65"/>
      <c r="AW11" s="65"/>
      <c r="AX11" s="65"/>
      <c r="AY11" s="65"/>
      <c r="AZ11" s="65"/>
      <c r="BA11" s="65">
        <v>0.0</v>
      </c>
      <c r="BB11" s="65">
        <v>0.0</v>
      </c>
      <c r="BC11" s="65">
        <v>0.0</v>
      </c>
      <c r="BD11" s="65">
        <v>0.0</v>
      </c>
      <c r="BE11" s="65">
        <v>0.0</v>
      </c>
      <c r="BF11" s="65">
        <v>0.0</v>
      </c>
      <c r="BG11" s="65">
        <v>0.0</v>
      </c>
      <c r="BH11" s="65">
        <v>0.0</v>
      </c>
      <c r="BI11" s="65">
        <v>0.0</v>
      </c>
      <c r="BJ11" s="65">
        <v>0.0</v>
      </c>
      <c r="BK11" s="65">
        <v>0.0</v>
      </c>
      <c r="BL11" s="65">
        <v>0.0</v>
      </c>
      <c r="BM11" s="65">
        <v>0.0</v>
      </c>
      <c r="BN11" s="65">
        <v>0.0</v>
      </c>
      <c r="BO11" s="65">
        <v>0.0</v>
      </c>
      <c r="BP11" s="65">
        <v>0.0</v>
      </c>
      <c r="BQ11" s="65">
        <v>0.0</v>
      </c>
      <c r="BR11" s="65">
        <v>0.0</v>
      </c>
      <c r="BS11" s="65">
        <v>0.0</v>
      </c>
      <c r="BT11" s="88">
        <v>0.0</v>
      </c>
      <c r="BU11" s="65">
        <v>0.0</v>
      </c>
      <c r="BV11" s="65">
        <v>0.0</v>
      </c>
      <c r="BW11" s="90">
        <v>0.0</v>
      </c>
      <c r="BX11" s="90">
        <v>0.0</v>
      </c>
      <c r="BY11" s="90" t="str">
        <f t="array" ref="BY11">XLOOKUP(C11,'PL TOTAL D0'!$A$3:$A$1991,'PL TOTAL D0'!$C$3:$C$1991,"")</f>
        <v/>
      </c>
    </row>
    <row r="12" ht="15.75" customHeight="1">
      <c r="A12" s="50" t="s">
        <v>24</v>
      </c>
      <c r="B12" s="43" t="s">
        <v>415</v>
      </c>
      <c r="C12" s="53" t="s">
        <v>416</v>
      </c>
      <c r="D12" s="30" t="s">
        <v>142</v>
      </c>
      <c r="E12" s="22" t="s">
        <v>54</v>
      </c>
      <c r="F12" s="30" t="s">
        <v>158</v>
      </c>
      <c r="G12" s="47" t="str">
        <f t="shared" si="1"/>
        <v>David</v>
      </c>
      <c r="H12" s="49" t="s">
        <v>183</v>
      </c>
      <c r="I12" s="49" t="s">
        <v>66</v>
      </c>
      <c r="J12" s="47" t="str">
        <f t="shared" si="2"/>
        <v>Não</v>
      </c>
      <c r="K12" s="54">
        <v>46174.0</v>
      </c>
      <c r="L12" s="62"/>
      <c r="M12" s="32" t="s">
        <v>61</v>
      </c>
      <c r="N12" s="56">
        <v>0.012</v>
      </c>
      <c r="O12" s="23" t="s">
        <v>66</v>
      </c>
      <c r="P12" s="57">
        <v>0.0</v>
      </c>
      <c r="Q12" s="58"/>
      <c r="R12" s="70"/>
      <c r="S12" s="32" t="s">
        <v>194</v>
      </c>
      <c r="T12" s="32" t="s">
        <v>421</v>
      </c>
      <c r="U12" s="33" t="s">
        <v>422</v>
      </c>
      <c r="V12" s="33" t="s">
        <v>423</v>
      </c>
      <c r="W12" s="34">
        <v>27757.0</v>
      </c>
      <c r="X12" s="23" t="s">
        <v>54</v>
      </c>
      <c r="Y12" s="49" t="str">
        <f t="shared" si="3"/>
        <v>Ativo</v>
      </c>
      <c r="Z12" s="32"/>
      <c r="AA12" s="32" t="s">
        <v>47</v>
      </c>
      <c r="AB12" s="64"/>
      <c r="AC12" s="65"/>
      <c r="AD12" s="54">
        <v>46203.0</v>
      </c>
      <c r="AE12" s="77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88"/>
      <c r="BU12" s="65"/>
      <c r="BV12" s="65"/>
      <c r="BW12" s="90"/>
      <c r="BX12" s="90">
        <v>199096.49</v>
      </c>
      <c r="BY12" s="90">
        <f t="array" ref="BY12">XLOOKUP(C12,'PL TOTAL D0'!$A$3:$A$1991,'PL TOTAL D0'!$C$3:$C$1991,"")</f>
        <v>251715.28</v>
      </c>
    </row>
    <row r="13" ht="15.75" customHeight="1">
      <c r="A13" s="43" t="s">
        <v>24</v>
      </c>
      <c r="B13" s="43" t="s">
        <v>428</v>
      </c>
      <c r="C13" s="94" t="s">
        <v>429</v>
      </c>
      <c r="D13" s="30" t="s">
        <v>120</v>
      </c>
      <c r="E13" s="22" t="s">
        <v>199</v>
      </c>
      <c r="F13" s="30" t="s">
        <v>431</v>
      </c>
      <c r="G13" s="47" t="str">
        <f t="shared" si="1"/>
        <v>David</v>
      </c>
      <c r="H13" s="49" t="s">
        <v>183</v>
      </c>
      <c r="I13" s="49" t="s">
        <v>66</v>
      </c>
      <c r="J13" s="47" t="str">
        <f t="shared" si="2"/>
        <v>Não</v>
      </c>
      <c r="K13" s="54">
        <v>45309.0</v>
      </c>
      <c r="L13" s="62"/>
      <c r="M13" s="32" t="s">
        <v>390</v>
      </c>
      <c r="N13" s="56">
        <v>0.0</v>
      </c>
      <c r="O13" s="23" t="s">
        <v>66</v>
      </c>
      <c r="P13" s="57">
        <v>0.0</v>
      </c>
      <c r="Q13" s="70"/>
      <c r="R13" s="70"/>
      <c r="S13" s="32" t="s">
        <v>194</v>
      </c>
      <c r="T13" s="32" t="s">
        <v>434</v>
      </c>
      <c r="U13" s="33">
        <v>5.561981389093E12</v>
      </c>
      <c r="V13" s="33" t="s">
        <v>435</v>
      </c>
      <c r="W13" s="34">
        <v>34824.0</v>
      </c>
      <c r="X13" s="23" t="s">
        <v>199</v>
      </c>
      <c r="Y13" s="49" t="str">
        <f t="shared" si="3"/>
        <v>Ativo</v>
      </c>
      <c r="Z13" s="62"/>
      <c r="AA13" s="62"/>
      <c r="AB13" s="64" t="s">
        <v>269</v>
      </c>
      <c r="AC13" s="65"/>
      <c r="AD13" s="54">
        <v>45309.0</v>
      </c>
      <c r="AE13" s="77">
        <v>4.9075100013111E13</v>
      </c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>
        <v>1001.72</v>
      </c>
      <c r="AV13" s="65">
        <v>4019.27</v>
      </c>
      <c r="AW13" s="65">
        <v>1001.59</v>
      </c>
      <c r="AX13" s="65">
        <v>2014.05</v>
      </c>
      <c r="AY13" s="65">
        <v>2604.93</v>
      </c>
      <c r="AZ13" s="65">
        <v>3315.03</v>
      </c>
      <c r="BA13" s="65">
        <v>3698.13</v>
      </c>
      <c r="BB13" s="65">
        <v>4081.22</v>
      </c>
      <c r="BC13" s="65">
        <v>4615.4</v>
      </c>
      <c r="BD13" s="65">
        <v>5031.39</v>
      </c>
      <c r="BE13" s="65">
        <v>5380.13</v>
      </c>
      <c r="BF13" s="65">
        <v>6021.15</v>
      </c>
      <c r="BG13" s="65">
        <v>6818.24</v>
      </c>
      <c r="BH13" s="65">
        <v>7518.39</v>
      </c>
      <c r="BI13" s="65">
        <v>8204.11</v>
      </c>
      <c r="BJ13" s="65">
        <v>0.0</v>
      </c>
      <c r="BK13" s="65">
        <v>0.29</v>
      </c>
      <c r="BL13" s="65">
        <v>0.29</v>
      </c>
      <c r="BM13" s="65">
        <v>0.29</v>
      </c>
      <c r="BN13" s="65">
        <v>0.29</v>
      </c>
      <c r="BO13" s="65">
        <v>2015.63</v>
      </c>
      <c r="BP13" s="65">
        <v>0.0</v>
      </c>
      <c r="BQ13" s="65">
        <v>6500.0</v>
      </c>
      <c r="BR13" s="65">
        <v>5062.04</v>
      </c>
      <c r="BS13" s="65">
        <v>5041.0</v>
      </c>
      <c r="BT13" s="88">
        <v>2059.92</v>
      </c>
      <c r="BU13" s="65">
        <v>4595.68</v>
      </c>
      <c r="BV13" s="65">
        <v>4645.22</v>
      </c>
      <c r="BW13" s="90">
        <v>1821.17</v>
      </c>
      <c r="BX13" s="90">
        <v>1835.28</v>
      </c>
      <c r="BY13" s="90" t="str">
        <f t="array" ref="BY13">XLOOKUP(C13,'PL TOTAL D0'!$A$3:$A$1991,'PL TOTAL D0'!$C$3:$C$1991,"")</f>
        <v/>
      </c>
    </row>
    <row r="14" ht="15.75" customHeight="1">
      <c r="A14" s="50" t="s">
        <v>24</v>
      </c>
      <c r="B14" s="43" t="s">
        <v>443</v>
      </c>
      <c r="C14" s="94" t="s">
        <v>444</v>
      </c>
      <c r="D14" s="81" t="s">
        <v>120</v>
      </c>
      <c r="E14" s="95" t="s">
        <v>54</v>
      </c>
      <c r="F14" s="81" t="s">
        <v>348</v>
      </c>
      <c r="G14" s="47" t="str">
        <f t="shared" si="1"/>
        <v>David</v>
      </c>
      <c r="H14" s="49" t="s">
        <v>224</v>
      </c>
      <c r="I14" s="49" t="s">
        <v>66</v>
      </c>
      <c r="J14" s="47" t="str">
        <f t="shared" si="2"/>
        <v>Não</v>
      </c>
      <c r="K14" s="97">
        <v>44974.0</v>
      </c>
      <c r="L14" s="121">
        <v>45940.0</v>
      </c>
      <c r="M14" s="62" t="s">
        <v>61</v>
      </c>
      <c r="N14" s="98">
        <v>0.012</v>
      </c>
      <c r="O14" s="47" t="s">
        <v>66</v>
      </c>
      <c r="P14" s="99">
        <v>0.0</v>
      </c>
      <c r="Q14" s="70"/>
      <c r="R14" s="70"/>
      <c r="S14" s="62" t="s">
        <v>194</v>
      </c>
      <c r="T14" s="32" t="s">
        <v>449</v>
      </c>
      <c r="U14" s="33" t="s">
        <v>268</v>
      </c>
      <c r="V14" s="33"/>
      <c r="W14" s="33" t="s">
        <v>268</v>
      </c>
      <c r="X14" s="23" t="s">
        <v>54</v>
      </c>
      <c r="Y14" s="49" t="str">
        <f t="shared" si="3"/>
        <v>Encerrado</v>
      </c>
      <c r="Z14" s="32"/>
      <c r="AA14" s="32"/>
      <c r="AB14" s="64" t="s">
        <v>269</v>
      </c>
      <c r="AC14" s="65"/>
      <c r="AD14" s="54">
        <v>44974.0</v>
      </c>
      <c r="AE14" s="77">
        <v>4.90751000033E13</v>
      </c>
      <c r="AF14" s="79"/>
      <c r="AG14" s="79"/>
      <c r="AH14" s="79"/>
      <c r="AI14" s="79"/>
      <c r="AJ14" s="79">
        <v>0.0</v>
      </c>
      <c r="AK14" s="79">
        <v>831494.82</v>
      </c>
      <c r="AL14" s="79">
        <v>839282.3</v>
      </c>
      <c r="AM14" s="79">
        <v>850795.67</v>
      </c>
      <c r="AN14" s="79">
        <v>861974.11</v>
      </c>
      <c r="AO14" s="79">
        <v>862874.84</v>
      </c>
      <c r="AP14" s="79">
        <v>838055.38</v>
      </c>
      <c r="AQ14" s="79">
        <v>839394.89</v>
      </c>
      <c r="AR14" s="79">
        <v>844581.11</v>
      </c>
      <c r="AS14" s="79">
        <v>855717.31</v>
      </c>
      <c r="AT14" s="79">
        <v>867240.53</v>
      </c>
      <c r="AU14" s="79">
        <v>875442.71</v>
      </c>
      <c r="AV14" s="65">
        <v>883735.44</v>
      </c>
      <c r="AW14" s="65">
        <v>889186.44</v>
      </c>
      <c r="AX14" s="65">
        <v>891932.67</v>
      </c>
      <c r="AY14" s="65">
        <v>900933.7</v>
      </c>
      <c r="AZ14" s="65">
        <v>902936.8</v>
      </c>
      <c r="BA14" s="65">
        <v>910147.4</v>
      </c>
      <c r="BB14" s="65">
        <v>929204.87</v>
      </c>
      <c r="BC14" s="65">
        <v>935280.85</v>
      </c>
      <c r="BD14" s="65">
        <v>943521.07</v>
      </c>
      <c r="BE14" s="65">
        <v>951328.95</v>
      </c>
      <c r="BF14" s="65">
        <v>958000.56</v>
      </c>
      <c r="BG14" s="65">
        <v>966488.7</v>
      </c>
      <c r="BH14" s="65">
        <v>972248.01</v>
      </c>
      <c r="BI14" s="65">
        <v>977734.4</v>
      </c>
      <c r="BJ14" s="65">
        <v>985579.28</v>
      </c>
      <c r="BK14" s="65">
        <v>997622.25</v>
      </c>
      <c r="BL14" s="65">
        <v>1006792.39</v>
      </c>
      <c r="BM14" s="65">
        <v>0.0</v>
      </c>
      <c r="BN14" s="65">
        <v>0.0</v>
      </c>
      <c r="BO14" s="65">
        <v>0.0</v>
      </c>
      <c r="BP14" s="65">
        <v>0.0</v>
      </c>
      <c r="BQ14" s="65">
        <v>0.0</v>
      </c>
      <c r="BR14" s="65">
        <v>0.0</v>
      </c>
      <c r="BS14" s="65">
        <v>0.0</v>
      </c>
      <c r="BT14" s="88">
        <v>0.0</v>
      </c>
      <c r="BU14" s="65">
        <v>0.0</v>
      </c>
      <c r="BV14" s="65">
        <v>0.0</v>
      </c>
      <c r="BW14" s="90">
        <v>0.0</v>
      </c>
      <c r="BX14" s="90">
        <v>0.0</v>
      </c>
      <c r="BY14" s="90" t="str">
        <f t="array" ref="BY14">XLOOKUP(C14,'PL TOTAL D0'!$A$3:$A$1991,'PL TOTAL D0'!$C$3:$C$1991,"")</f>
        <v/>
      </c>
    </row>
    <row r="15" ht="15.75" customHeight="1">
      <c r="A15" s="43" t="s">
        <v>24</v>
      </c>
      <c r="B15" s="43" t="s">
        <v>460</v>
      </c>
      <c r="C15" s="94" t="s">
        <v>461</v>
      </c>
      <c r="D15" s="30" t="s">
        <v>249</v>
      </c>
      <c r="E15" s="22" t="s">
        <v>199</v>
      </c>
      <c r="F15" s="30" t="s">
        <v>251</v>
      </c>
      <c r="G15" s="47" t="str">
        <f t="shared" si="1"/>
        <v>Gabriel</v>
      </c>
      <c r="H15" s="49" t="s">
        <v>183</v>
      </c>
      <c r="I15" s="49" t="s">
        <v>66</v>
      </c>
      <c r="J15" s="47" t="str">
        <f t="shared" si="2"/>
        <v>Não</v>
      </c>
      <c r="K15" s="54">
        <v>45957.0</v>
      </c>
      <c r="L15" s="121"/>
      <c r="M15" s="32" t="s">
        <v>61</v>
      </c>
      <c r="N15" s="56">
        <v>0.012</v>
      </c>
      <c r="O15" s="23" t="s">
        <v>66</v>
      </c>
      <c r="P15" s="57">
        <v>0.0</v>
      </c>
      <c r="Q15" s="58"/>
      <c r="R15" s="70"/>
      <c r="S15" s="32" t="s">
        <v>194</v>
      </c>
      <c r="T15" s="32" t="s">
        <v>463</v>
      </c>
      <c r="U15" s="33" t="s">
        <v>464</v>
      </c>
      <c r="V15" s="33" t="s">
        <v>465</v>
      </c>
      <c r="W15" s="48">
        <v>31347.0</v>
      </c>
      <c r="X15" s="23" t="s">
        <v>199</v>
      </c>
      <c r="Y15" s="49" t="s">
        <v>183</v>
      </c>
      <c r="Z15" s="32"/>
      <c r="AA15" s="32" t="s">
        <v>47</v>
      </c>
      <c r="AB15" s="64"/>
      <c r="AC15" s="65"/>
      <c r="AD15" s="54">
        <v>45972.0</v>
      </c>
      <c r="AE15" s="148">
        <v>4.9075100019746E13</v>
      </c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>
        <v>0.0</v>
      </c>
      <c r="BQ15" s="65">
        <v>452427.4</v>
      </c>
      <c r="BR15" s="65">
        <v>650471.9</v>
      </c>
      <c r="BS15" s="65">
        <v>677600.62</v>
      </c>
      <c r="BT15" s="88">
        <v>689496.6</v>
      </c>
      <c r="BU15" s="65">
        <v>697605.9</v>
      </c>
      <c r="BV15" s="65">
        <v>708323.7</v>
      </c>
      <c r="BW15" s="90">
        <v>718819.2</v>
      </c>
      <c r="BX15" s="90">
        <v>728945.98</v>
      </c>
      <c r="BY15" s="90">
        <f t="array" ref="BY15">XLOOKUP(C15,'PL TOTAL D0'!$A$3:$A$1991,'PL TOTAL D0'!$C$3:$C$1991,"")</f>
        <v>738397.44</v>
      </c>
    </row>
    <row r="16" ht="15.75" customHeight="1">
      <c r="A16" s="50" t="s">
        <v>24</v>
      </c>
      <c r="B16" s="43" t="s">
        <v>483</v>
      </c>
      <c r="C16" s="94" t="s">
        <v>485</v>
      </c>
      <c r="D16" s="30" t="s">
        <v>142</v>
      </c>
      <c r="E16" s="22" t="s">
        <v>54</v>
      </c>
      <c r="F16" s="30" t="s">
        <v>158</v>
      </c>
      <c r="G16" s="47" t="str">
        <f t="shared" si="1"/>
        <v>Marcus</v>
      </c>
      <c r="H16" s="49" t="s">
        <v>183</v>
      </c>
      <c r="I16" s="49" t="s">
        <v>66</v>
      </c>
      <c r="J16" s="47" t="str">
        <f t="shared" si="2"/>
        <v>Não</v>
      </c>
      <c r="K16" s="54">
        <v>45450.0</v>
      </c>
      <c r="L16" s="62"/>
      <c r="M16" s="32" t="s">
        <v>61</v>
      </c>
      <c r="N16" s="56">
        <v>0.012</v>
      </c>
      <c r="O16" s="23" t="s">
        <v>66</v>
      </c>
      <c r="P16" s="57">
        <v>0.0</v>
      </c>
      <c r="Q16" s="58"/>
      <c r="R16" s="70"/>
      <c r="S16" s="32" t="s">
        <v>194</v>
      </c>
      <c r="T16" s="32" t="s">
        <v>490</v>
      </c>
      <c r="U16" s="33">
        <v>6.2981150222E10</v>
      </c>
      <c r="V16" s="33" t="s">
        <v>182</v>
      </c>
      <c r="W16" s="34">
        <v>28348.0</v>
      </c>
      <c r="X16" s="23" t="s">
        <v>54</v>
      </c>
      <c r="Y16" s="49" t="str">
        <f t="shared" ref="Y16:Y167" si="4">IFS(H:H="Encerrado","Encerrado",COUNTBLANK(AZ16:BK16)&gt;0,"Ativo",SUM(AZ16:BK16)=0,"Inativo",SUM(AZ16:BK16)&gt;0,"Ativo")</f>
        <v>Ativo</v>
      </c>
      <c r="Z16" s="32"/>
      <c r="AA16" s="32" t="s">
        <v>165</v>
      </c>
      <c r="AB16" s="64" t="s">
        <v>269</v>
      </c>
      <c r="AC16" s="65"/>
      <c r="AD16" s="54">
        <v>45450.0</v>
      </c>
      <c r="AE16" s="77">
        <v>4.907510001509E13</v>
      </c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65"/>
      <c r="AW16" s="65"/>
      <c r="AX16" s="65"/>
      <c r="AY16" s="65"/>
      <c r="AZ16" s="65">
        <v>778994.8</v>
      </c>
      <c r="BA16" s="65">
        <v>1000481.0</v>
      </c>
      <c r="BB16" s="65">
        <v>1009940.44</v>
      </c>
      <c r="BC16" s="65">
        <v>1015213.23</v>
      </c>
      <c r="BD16" s="65">
        <v>1024359.99</v>
      </c>
      <c r="BE16" s="65">
        <v>1032672.16</v>
      </c>
      <c r="BF16" s="65">
        <v>1041614.61</v>
      </c>
      <c r="BG16" s="65">
        <v>1252480.66</v>
      </c>
      <c r="BH16" s="65">
        <v>1264087.76</v>
      </c>
      <c r="BI16" s="65">
        <v>1277280.94</v>
      </c>
      <c r="BJ16" s="65">
        <v>1392309.55</v>
      </c>
      <c r="BK16" s="65">
        <v>1758966.92</v>
      </c>
      <c r="BL16" s="65">
        <v>1773460.86</v>
      </c>
      <c r="BM16" s="65">
        <v>1892288.74</v>
      </c>
      <c r="BN16" s="65">
        <v>2007259.0</v>
      </c>
      <c r="BO16" s="65">
        <v>2126336.3</v>
      </c>
      <c r="BP16" s="65">
        <v>2352474.0</v>
      </c>
      <c r="BQ16" s="65">
        <v>2573545.0</v>
      </c>
      <c r="BR16" s="65">
        <v>2786134.0</v>
      </c>
      <c r="BS16" s="65">
        <v>2814450.77</v>
      </c>
      <c r="BT16" s="88">
        <v>2861943.0</v>
      </c>
      <c r="BU16" s="65">
        <v>3082585.0</v>
      </c>
      <c r="BV16" s="65">
        <v>3115363.0</v>
      </c>
      <c r="BW16" s="90">
        <v>3146930.0</v>
      </c>
      <c r="BX16" s="90">
        <v>3256988.52</v>
      </c>
      <c r="BY16" s="90">
        <f t="array" ref="BY16">XLOOKUP(C16,'PL TOTAL D0'!$A$3:$A$1991,'PL TOTAL D0'!$C$3:$C$1991,"")</f>
        <v>3334568.93</v>
      </c>
    </row>
    <row r="17" ht="15.75" customHeight="1">
      <c r="A17" s="43" t="s">
        <v>24</v>
      </c>
      <c r="B17" s="43" t="s">
        <v>483</v>
      </c>
      <c r="C17" s="94" t="s">
        <v>509</v>
      </c>
      <c r="D17" s="30" t="s">
        <v>142</v>
      </c>
      <c r="E17" s="22" t="s">
        <v>54</v>
      </c>
      <c r="F17" s="30" t="s">
        <v>158</v>
      </c>
      <c r="G17" s="47" t="str">
        <f t="shared" si="1"/>
        <v>David</v>
      </c>
      <c r="H17" s="49" t="s">
        <v>295</v>
      </c>
      <c r="I17" s="49" t="s">
        <v>382</v>
      </c>
      <c r="J17" s="47" t="str">
        <f t="shared" si="2"/>
        <v>Não</v>
      </c>
      <c r="K17" s="54">
        <v>45450.0</v>
      </c>
      <c r="L17" s="32"/>
      <c r="M17" s="32" t="s">
        <v>514</v>
      </c>
      <c r="N17" s="56">
        <v>0.025</v>
      </c>
      <c r="O17" s="23" t="s">
        <v>233</v>
      </c>
      <c r="P17" s="57">
        <v>0.2</v>
      </c>
      <c r="Q17" s="58"/>
      <c r="R17" s="70"/>
      <c r="S17" s="32" t="s">
        <v>194</v>
      </c>
      <c r="T17" s="32" t="s">
        <v>490</v>
      </c>
      <c r="U17" s="33">
        <v>6.2981150222E10</v>
      </c>
      <c r="V17" s="33" t="s">
        <v>182</v>
      </c>
      <c r="W17" s="34">
        <v>28348.0</v>
      </c>
      <c r="X17" s="23" t="s">
        <v>54</v>
      </c>
      <c r="Y17" s="49" t="str">
        <f t="shared" si="4"/>
        <v>Ativo</v>
      </c>
      <c r="Z17" s="32"/>
      <c r="AA17" s="32" t="s">
        <v>165</v>
      </c>
      <c r="AB17" s="64" t="s">
        <v>269</v>
      </c>
      <c r="AC17" s="65"/>
      <c r="AD17" s="54">
        <v>45450.0</v>
      </c>
      <c r="AE17" s="77">
        <v>4.9075100015104E13</v>
      </c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65"/>
      <c r="AW17" s="65"/>
      <c r="AX17" s="65"/>
      <c r="AY17" s="65"/>
      <c r="AZ17" s="65">
        <v>104571.6</v>
      </c>
      <c r="BA17" s="65">
        <v>87237.69</v>
      </c>
      <c r="BB17" s="65">
        <v>91041.85</v>
      </c>
      <c r="BC17" s="65">
        <v>85312.49</v>
      </c>
      <c r="BD17" s="65">
        <v>88737.71</v>
      </c>
      <c r="BE17" s="65">
        <v>0.0</v>
      </c>
      <c r="BF17" s="65">
        <v>0.44</v>
      </c>
      <c r="BG17" s="65">
        <v>0.44</v>
      </c>
      <c r="BH17" s="65">
        <v>0.44</v>
      </c>
      <c r="BI17" s="65">
        <v>0.44</v>
      </c>
      <c r="BJ17" s="65">
        <v>0.0</v>
      </c>
      <c r="BK17" s="65">
        <v>0.0</v>
      </c>
      <c r="BL17" s="65">
        <v>0.0</v>
      </c>
      <c r="BM17" s="65">
        <v>0.0</v>
      </c>
      <c r="BN17" s="65">
        <v>0.0</v>
      </c>
      <c r="BO17" s="65">
        <v>0.0</v>
      </c>
      <c r="BP17" s="65">
        <v>0.0</v>
      </c>
      <c r="BQ17" s="65">
        <v>0.0</v>
      </c>
      <c r="BR17" s="65">
        <v>0.0</v>
      </c>
      <c r="BS17" s="65">
        <v>0.0</v>
      </c>
      <c r="BT17" s="88">
        <v>0.0</v>
      </c>
      <c r="BU17" s="65">
        <v>0.0</v>
      </c>
      <c r="BV17" s="65">
        <v>0.0</v>
      </c>
      <c r="BW17" s="90">
        <v>0.0</v>
      </c>
      <c r="BX17" s="90">
        <v>0.0</v>
      </c>
      <c r="BY17" s="90" t="str">
        <f t="array" ref="BY17">XLOOKUP(C17,'PL TOTAL D0'!$A$3:$A$1991,'PL TOTAL D0'!$C$3:$C$1991,"")</f>
        <v/>
      </c>
    </row>
    <row r="18" ht="15.75" customHeight="1">
      <c r="A18" s="43" t="s">
        <v>24</v>
      </c>
      <c r="B18" s="156" t="s">
        <v>534</v>
      </c>
      <c r="C18" s="94" t="s">
        <v>536</v>
      </c>
      <c r="D18" s="30" t="s">
        <v>89</v>
      </c>
      <c r="E18" s="22" t="s">
        <v>91</v>
      </c>
      <c r="F18" s="30" t="s">
        <v>193</v>
      </c>
      <c r="G18" s="47" t="str">
        <f t="shared" si="1"/>
        <v>Gabriel</v>
      </c>
      <c r="H18" s="49" t="s">
        <v>295</v>
      </c>
      <c r="I18" s="49" t="s">
        <v>447</v>
      </c>
      <c r="J18" s="47" t="str">
        <f t="shared" si="2"/>
        <v>Sim</v>
      </c>
      <c r="K18" s="54">
        <v>45582.0</v>
      </c>
      <c r="L18" s="62"/>
      <c r="M18" s="32" t="s">
        <v>34</v>
      </c>
      <c r="N18" s="56">
        <v>0.012</v>
      </c>
      <c r="O18" s="23" t="s">
        <v>35</v>
      </c>
      <c r="P18" s="57">
        <v>0.1</v>
      </c>
      <c r="Q18" s="58" t="s">
        <v>541</v>
      </c>
      <c r="R18" s="58" t="s">
        <v>542</v>
      </c>
      <c r="S18" s="32" t="s">
        <v>234</v>
      </c>
      <c r="T18" s="32" t="s">
        <v>543</v>
      </c>
      <c r="U18" s="33">
        <v>5.511981868E12</v>
      </c>
      <c r="V18" s="33" t="s">
        <v>546</v>
      </c>
      <c r="W18" s="34">
        <v>39783.0</v>
      </c>
      <c r="X18" s="23" t="s">
        <v>475</v>
      </c>
      <c r="Y18" s="49" t="str">
        <f t="shared" si="4"/>
        <v>Ativo</v>
      </c>
      <c r="Z18" s="32"/>
      <c r="AA18" s="32" t="s">
        <v>47</v>
      </c>
      <c r="AB18" s="64"/>
      <c r="AC18" s="65"/>
      <c r="AD18" s="54">
        <v>45582.0</v>
      </c>
      <c r="AE18" s="77">
        <v>4.9075100016097E13</v>
      </c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65"/>
      <c r="AW18" s="65"/>
      <c r="AX18" s="65"/>
      <c r="AY18" s="65"/>
      <c r="AZ18" s="65"/>
      <c r="BA18" s="65"/>
      <c r="BB18" s="65"/>
      <c r="BC18" s="65"/>
      <c r="BD18" s="65">
        <v>483681.1</v>
      </c>
      <c r="BE18" s="65">
        <v>487885.79</v>
      </c>
      <c r="BF18" s="65">
        <v>489606.03</v>
      </c>
      <c r="BG18" s="65">
        <v>477789.7</v>
      </c>
      <c r="BH18" s="65">
        <v>477589.96</v>
      </c>
      <c r="BI18" s="65">
        <v>236577.61</v>
      </c>
      <c r="BJ18" s="65">
        <v>133028.09</v>
      </c>
      <c r="BK18" s="65">
        <v>136607.22</v>
      </c>
      <c r="BL18" s="65">
        <v>137215.12</v>
      </c>
      <c r="BM18" s="65">
        <v>138721.41</v>
      </c>
      <c r="BN18" s="65">
        <v>140304.7</v>
      </c>
      <c r="BO18" s="65">
        <v>142967.2</v>
      </c>
      <c r="BP18" s="65">
        <v>149312.2</v>
      </c>
      <c r="BQ18" s="65">
        <v>171247.0</v>
      </c>
      <c r="BR18" s="65">
        <v>384258.9</v>
      </c>
      <c r="BS18" s="65">
        <v>399197.96</v>
      </c>
      <c r="BT18" s="88">
        <v>504224.4</v>
      </c>
      <c r="BU18" s="65">
        <v>497980.1</v>
      </c>
      <c r="BV18" s="65">
        <v>507379.0</v>
      </c>
      <c r="BW18" s="90">
        <v>525045.4</v>
      </c>
      <c r="BX18" s="90">
        <v>519751.67</v>
      </c>
      <c r="BY18" s="90">
        <f t="array" ref="BY18">XLOOKUP(C18,'PL TOTAL D0'!$A$3:$A$1991,'PL TOTAL D0'!$C$3:$C$1991,"")</f>
        <v>507506.12</v>
      </c>
    </row>
    <row r="19" ht="15.75" customHeight="1">
      <c r="A19" s="50" t="s">
        <v>24</v>
      </c>
      <c r="B19" s="43" t="s">
        <v>562</v>
      </c>
      <c r="C19" s="94" t="s">
        <v>564</v>
      </c>
      <c r="D19" s="30" t="s">
        <v>120</v>
      </c>
      <c r="E19" s="22" t="s">
        <v>54</v>
      </c>
      <c r="F19" s="30" t="s">
        <v>125</v>
      </c>
      <c r="G19" s="47" t="str">
        <f t="shared" si="1"/>
        <v>David</v>
      </c>
      <c r="H19" s="49" t="s">
        <v>183</v>
      </c>
      <c r="I19" s="49" t="s">
        <v>66</v>
      </c>
      <c r="J19" s="47" t="str">
        <f t="shared" si="2"/>
        <v>Sim</v>
      </c>
      <c r="K19" s="54">
        <v>45357.0</v>
      </c>
      <c r="L19" s="62"/>
      <c r="M19" s="32" t="s">
        <v>568</v>
      </c>
      <c r="N19" s="56">
        <v>0.012</v>
      </c>
      <c r="O19" s="23" t="s">
        <v>35</v>
      </c>
      <c r="P19" s="57">
        <v>0.1</v>
      </c>
      <c r="Q19" s="58" t="s">
        <v>570</v>
      </c>
      <c r="R19" s="70"/>
      <c r="S19" s="32" t="s">
        <v>194</v>
      </c>
      <c r="T19" s="22" t="s">
        <v>571</v>
      </c>
      <c r="U19" s="33">
        <v>5.56198272132E12</v>
      </c>
      <c r="V19" s="33" t="s">
        <v>575</v>
      </c>
      <c r="W19" s="34">
        <v>32888.0</v>
      </c>
      <c r="X19" s="23" t="s">
        <v>54</v>
      </c>
      <c r="Y19" s="49" t="str">
        <f t="shared" si="4"/>
        <v>Ativo</v>
      </c>
      <c r="Z19" s="32"/>
      <c r="AA19" s="32"/>
      <c r="AB19" s="64" t="s">
        <v>269</v>
      </c>
      <c r="AC19" s="65"/>
      <c r="AD19" s="54">
        <v>45357.0</v>
      </c>
      <c r="AE19" s="77">
        <v>4.9075100013713E13</v>
      </c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65">
        <v>0.0</v>
      </c>
      <c r="AW19" s="65">
        <v>33983.76</v>
      </c>
      <c r="AX19" s="65">
        <v>98177.05</v>
      </c>
      <c r="AY19" s="65">
        <v>98794.34</v>
      </c>
      <c r="AZ19" s="65">
        <v>98998.72</v>
      </c>
      <c r="BA19" s="65">
        <v>100281.0</v>
      </c>
      <c r="BB19" s="65">
        <v>101463.62</v>
      </c>
      <c r="BC19" s="65">
        <v>101825.97</v>
      </c>
      <c r="BD19" s="65">
        <v>102496.99</v>
      </c>
      <c r="BE19" s="65">
        <v>102836.03</v>
      </c>
      <c r="BF19" s="65">
        <v>103617.96</v>
      </c>
      <c r="BG19" s="65">
        <v>104550.42</v>
      </c>
      <c r="BH19" s="65">
        <v>105483.12</v>
      </c>
      <c r="BI19" s="65">
        <v>106114.76</v>
      </c>
      <c r="BJ19" s="65">
        <v>105697.46</v>
      </c>
      <c r="BK19" s="65">
        <v>106672.82</v>
      </c>
      <c r="BL19" s="65">
        <v>107723.62</v>
      </c>
      <c r="BM19" s="65">
        <v>108914.2</v>
      </c>
      <c r="BN19" s="65">
        <v>109983.7</v>
      </c>
      <c r="BO19" s="65">
        <v>111106.01</v>
      </c>
      <c r="BP19" s="65">
        <v>112405.1</v>
      </c>
      <c r="BQ19" s="65">
        <v>113095.0</v>
      </c>
      <c r="BR19" s="65">
        <v>113976.9</v>
      </c>
      <c r="BS19" s="65">
        <v>92826.63</v>
      </c>
      <c r="BT19" s="88">
        <v>93627.6</v>
      </c>
      <c r="BU19" s="65">
        <v>94674.27</v>
      </c>
      <c r="BV19" s="65">
        <v>95779.62</v>
      </c>
      <c r="BW19" s="90">
        <v>180147.0</v>
      </c>
      <c r="BX19" s="90">
        <v>195646.56</v>
      </c>
      <c r="BY19" s="90">
        <f t="array" ref="BY19">XLOOKUP(C19,'PL TOTAL D0'!$A$3:$A$1991,'PL TOTAL D0'!$C$3:$C$1991,"")</f>
        <v>202526.35</v>
      </c>
    </row>
    <row r="20" ht="15.75" customHeight="1">
      <c r="A20" s="50" t="s">
        <v>24</v>
      </c>
      <c r="B20" s="43" t="s">
        <v>587</v>
      </c>
      <c r="C20" s="94" t="s">
        <v>589</v>
      </c>
      <c r="D20" s="30" t="s">
        <v>249</v>
      </c>
      <c r="E20" s="22" t="s">
        <v>199</v>
      </c>
      <c r="F20" s="30" t="s">
        <v>251</v>
      </c>
      <c r="G20" s="47" t="str">
        <f t="shared" si="1"/>
        <v>Gabriel</v>
      </c>
      <c r="H20" s="49" t="s">
        <v>183</v>
      </c>
      <c r="I20" s="49" t="s">
        <v>66</v>
      </c>
      <c r="J20" s="47" t="str">
        <f t="shared" si="2"/>
        <v>Sim</v>
      </c>
      <c r="K20" s="54">
        <v>45546.0</v>
      </c>
      <c r="L20" s="62"/>
      <c r="M20" s="32" t="s">
        <v>61</v>
      </c>
      <c r="N20" s="56">
        <v>0.012</v>
      </c>
      <c r="O20" s="23" t="s">
        <v>66</v>
      </c>
      <c r="P20" s="57">
        <v>0.0</v>
      </c>
      <c r="Q20" s="58" t="s">
        <v>596</v>
      </c>
      <c r="R20" s="70"/>
      <c r="S20" s="32" t="s">
        <v>194</v>
      </c>
      <c r="T20" s="22" t="s">
        <v>601</v>
      </c>
      <c r="U20" s="33">
        <v>6.1999715439E10</v>
      </c>
      <c r="V20" s="33" t="s">
        <v>603</v>
      </c>
      <c r="W20" s="34">
        <v>23857.0</v>
      </c>
      <c r="X20" s="23" t="s">
        <v>199</v>
      </c>
      <c r="Y20" s="49" t="str">
        <f t="shared" si="4"/>
        <v>Ativo</v>
      </c>
      <c r="Z20" s="32"/>
      <c r="AA20" s="32" t="s">
        <v>47</v>
      </c>
      <c r="AB20" s="64"/>
      <c r="AC20" s="65"/>
      <c r="AD20" s="54">
        <v>45546.0</v>
      </c>
      <c r="AE20" s="77">
        <v>4.9075100015708E13</v>
      </c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65"/>
      <c r="AW20" s="65"/>
      <c r="AX20" s="65"/>
      <c r="AY20" s="65"/>
      <c r="AZ20" s="65"/>
      <c r="BA20" s="65"/>
      <c r="BB20" s="65"/>
      <c r="BC20" s="65">
        <v>401814.81</v>
      </c>
      <c r="BD20" s="65">
        <v>405330.59</v>
      </c>
      <c r="BE20" s="65">
        <v>408226.49</v>
      </c>
      <c r="BF20" s="65">
        <v>411164.62</v>
      </c>
      <c r="BG20" s="65">
        <v>415332.78</v>
      </c>
      <c r="BH20" s="65">
        <v>419486.15</v>
      </c>
      <c r="BI20" s="65">
        <v>423535.35</v>
      </c>
      <c r="BJ20" s="65">
        <v>428483.6</v>
      </c>
      <c r="BK20" s="65">
        <v>432722.69</v>
      </c>
      <c r="BL20" s="65">
        <v>430542.53</v>
      </c>
      <c r="BM20" s="65">
        <v>421366.38</v>
      </c>
      <c r="BN20" s="65">
        <v>407408.5</v>
      </c>
      <c r="BO20" s="65">
        <v>396416.63</v>
      </c>
      <c r="BP20" s="65">
        <v>379280.6</v>
      </c>
      <c r="BQ20" s="65">
        <v>376706.4</v>
      </c>
      <c r="BR20" s="65">
        <v>376564.8</v>
      </c>
      <c r="BS20" s="65">
        <v>371963.16</v>
      </c>
      <c r="BT20" s="88">
        <v>354311.1</v>
      </c>
      <c r="BU20" s="65">
        <v>387271.0</v>
      </c>
      <c r="BV20" s="65">
        <v>383078.4</v>
      </c>
      <c r="BW20" s="90">
        <v>387174.8</v>
      </c>
      <c r="BX20" s="90">
        <v>400309.75</v>
      </c>
      <c r="BY20" s="90">
        <f t="array" ref="BY20">XLOOKUP(C20,'PL TOTAL D0'!$A$3:$A$1991,'PL TOTAL D0'!$C$3:$C$1991,"")</f>
        <v>395290.08</v>
      </c>
    </row>
    <row r="21" ht="15.75" customHeight="1">
      <c r="A21" s="50" t="s">
        <v>24</v>
      </c>
      <c r="B21" s="50" t="s">
        <v>619</v>
      </c>
      <c r="C21" s="94" t="s">
        <v>620</v>
      </c>
      <c r="D21" s="81" t="s">
        <v>120</v>
      </c>
      <c r="E21" s="95" t="s">
        <v>199</v>
      </c>
      <c r="F21" s="81" t="s">
        <v>290</v>
      </c>
      <c r="G21" s="47" t="str">
        <f t="shared" si="1"/>
        <v>Gabriel</v>
      </c>
      <c r="H21" s="74" t="s">
        <v>183</v>
      </c>
      <c r="I21" s="74" t="s">
        <v>66</v>
      </c>
      <c r="J21" s="47" t="str">
        <f t="shared" si="2"/>
        <v>Sim</v>
      </c>
      <c r="K21" s="97">
        <v>44980.0</v>
      </c>
      <c r="L21" s="62"/>
      <c r="M21" s="62" t="s">
        <v>209</v>
      </c>
      <c r="N21" s="98">
        <v>0.015</v>
      </c>
      <c r="O21" s="47" t="s">
        <v>66</v>
      </c>
      <c r="P21" s="99">
        <v>0.0</v>
      </c>
      <c r="Q21" s="58" t="s">
        <v>627</v>
      </c>
      <c r="R21" s="70"/>
      <c r="S21" s="62" t="s">
        <v>194</v>
      </c>
      <c r="T21" s="32" t="s">
        <v>629</v>
      </c>
      <c r="U21" s="33">
        <v>5.561999845191E12</v>
      </c>
      <c r="V21" s="33" t="s">
        <v>630</v>
      </c>
      <c r="W21" s="34">
        <v>24014.0</v>
      </c>
      <c r="X21" s="23" t="s">
        <v>199</v>
      </c>
      <c r="Y21" s="49" t="str">
        <f t="shared" si="4"/>
        <v>Ativo</v>
      </c>
      <c r="Z21" s="62"/>
      <c r="AA21" s="62"/>
      <c r="AB21" s="64" t="s">
        <v>269</v>
      </c>
      <c r="AC21" s="65"/>
      <c r="AD21" s="54">
        <v>44980.0</v>
      </c>
      <c r="AE21" s="77">
        <v>4.90751000054E13</v>
      </c>
      <c r="AF21" s="79"/>
      <c r="AG21" s="79"/>
      <c r="AH21" s="79"/>
      <c r="AI21" s="65">
        <v>0.0</v>
      </c>
      <c r="AJ21" s="65">
        <v>172295.8</v>
      </c>
      <c r="AK21" s="65">
        <v>482402.02</v>
      </c>
      <c r="AL21" s="65">
        <v>483551.39</v>
      </c>
      <c r="AM21" s="65">
        <v>534786.71</v>
      </c>
      <c r="AN21" s="65">
        <v>567339.85</v>
      </c>
      <c r="AO21" s="65">
        <v>565993.39</v>
      </c>
      <c r="AP21" s="65">
        <v>562995.45</v>
      </c>
      <c r="AQ21" s="65">
        <v>566653.1</v>
      </c>
      <c r="AR21" s="65">
        <v>564056.01</v>
      </c>
      <c r="AS21" s="65">
        <v>587232.97</v>
      </c>
      <c r="AT21" s="65">
        <v>608841.45</v>
      </c>
      <c r="AU21" s="65">
        <v>599756.89</v>
      </c>
      <c r="AV21" s="65">
        <v>605484.0</v>
      </c>
      <c r="AW21" s="65">
        <v>622694.76</v>
      </c>
      <c r="AX21" s="65">
        <v>580164.47</v>
      </c>
      <c r="AY21" s="65">
        <v>559654.4</v>
      </c>
      <c r="AZ21" s="65">
        <v>572944.1</v>
      </c>
      <c r="BA21" s="65">
        <v>585837.0</v>
      </c>
      <c r="BB21" s="65">
        <v>602819.49</v>
      </c>
      <c r="BC21" s="65">
        <v>610879.04</v>
      </c>
      <c r="BD21" s="65">
        <v>529157.64</v>
      </c>
      <c r="BE21" s="65">
        <v>545335.75</v>
      </c>
      <c r="BF21" s="65">
        <v>463775.38</v>
      </c>
      <c r="BG21" s="65">
        <v>478567.58</v>
      </c>
      <c r="BH21" s="65">
        <v>493133.12</v>
      </c>
      <c r="BI21" s="65">
        <v>457393.45</v>
      </c>
      <c r="BJ21" s="65">
        <v>471644.77</v>
      </c>
      <c r="BK21" s="65">
        <v>481920.61</v>
      </c>
      <c r="BL21" s="65">
        <v>491582.81</v>
      </c>
      <c r="BM21" s="65">
        <v>506687.58</v>
      </c>
      <c r="BN21" s="65">
        <v>521512.6</v>
      </c>
      <c r="BO21" s="65">
        <v>536523.28</v>
      </c>
      <c r="BP21" s="65">
        <v>530847.0</v>
      </c>
      <c r="BQ21" s="65">
        <v>545331.1</v>
      </c>
      <c r="BR21" s="65">
        <v>560900.6</v>
      </c>
      <c r="BS21" s="65">
        <v>576247.53</v>
      </c>
      <c r="BT21" s="88">
        <v>586143.5</v>
      </c>
      <c r="BU21" s="65">
        <v>592275.8</v>
      </c>
      <c r="BV21" s="65">
        <v>702290.5</v>
      </c>
      <c r="BW21" s="90">
        <v>709674.2</v>
      </c>
      <c r="BX21" s="90">
        <v>726053.87</v>
      </c>
      <c r="BY21" s="90">
        <f t="array" ref="BY21">XLOOKUP(C21,'PL TOTAL D0'!$A$3:$A$1991,'PL TOTAL D0'!$C$3:$C$1991,"")</f>
        <v>745514.65</v>
      </c>
    </row>
    <row r="22" ht="15.75" customHeight="1">
      <c r="A22" s="43" t="s">
        <v>24</v>
      </c>
      <c r="B22" s="50" t="s">
        <v>651</v>
      </c>
      <c r="C22" s="94" t="s">
        <v>652</v>
      </c>
      <c r="D22" s="30" t="s">
        <v>120</v>
      </c>
      <c r="E22" s="22" t="s">
        <v>199</v>
      </c>
      <c r="F22" s="30" t="s">
        <v>431</v>
      </c>
      <c r="G22" s="47" t="str">
        <f t="shared" si="1"/>
        <v>David</v>
      </c>
      <c r="H22" s="49" t="s">
        <v>295</v>
      </c>
      <c r="I22" s="49" t="s">
        <v>447</v>
      </c>
      <c r="J22" s="47" t="str">
        <f t="shared" si="2"/>
        <v>Sim</v>
      </c>
      <c r="K22" s="54">
        <v>45279.0</v>
      </c>
      <c r="L22" s="62"/>
      <c r="M22" s="32" t="s">
        <v>201</v>
      </c>
      <c r="N22" s="56">
        <v>0.003</v>
      </c>
      <c r="O22" s="23" t="s">
        <v>66</v>
      </c>
      <c r="P22" s="57">
        <v>0.0</v>
      </c>
      <c r="Q22" s="58" t="s">
        <v>656</v>
      </c>
      <c r="R22" s="167"/>
      <c r="S22" s="32" t="s">
        <v>194</v>
      </c>
      <c r="T22" s="32" t="s">
        <v>657</v>
      </c>
      <c r="U22" s="33">
        <v>5.531987441177E12</v>
      </c>
      <c r="V22" s="33" t="s">
        <v>659</v>
      </c>
      <c r="W22" s="34">
        <v>27458.0</v>
      </c>
      <c r="X22" s="23" t="s">
        <v>618</v>
      </c>
      <c r="Y22" s="49" t="str">
        <f t="shared" si="4"/>
        <v>Ativo</v>
      </c>
      <c r="Z22" s="62"/>
      <c r="AA22" s="62"/>
      <c r="AB22" s="64" t="s">
        <v>269</v>
      </c>
      <c r="AC22" s="65"/>
      <c r="AD22" s="54">
        <v>45279.0</v>
      </c>
      <c r="AE22" s="77">
        <v>4.9075100013268E13</v>
      </c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65">
        <v>0.0</v>
      </c>
      <c r="AT22" s="65">
        <v>0.0</v>
      </c>
      <c r="AU22" s="65">
        <v>0.0</v>
      </c>
      <c r="AV22" s="65">
        <v>551.13</v>
      </c>
      <c r="AW22" s="65">
        <v>551.26</v>
      </c>
      <c r="AX22" s="65">
        <v>551.37</v>
      </c>
      <c r="AY22" s="65">
        <v>551.48</v>
      </c>
      <c r="AZ22" s="65">
        <v>555.33</v>
      </c>
      <c r="BA22" s="65">
        <v>380631.3</v>
      </c>
      <c r="BB22" s="65">
        <v>376347.14</v>
      </c>
      <c r="BC22" s="65">
        <v>376252.33</v>
      </c>
      <c r="BD22" s="65">
        <v>2155715.1</v>
      </c>
      <c r="BE22" s="65">
        <v>2155437.83</v>
      </c>
      <c r="BF22" s="65">
        <v>2155439.14</v>
      </c>
      <c r="BG22" s="65">
        <v>2155440.45</v>
      </c>
      <c r="BH22" s="65">
        <v>2155441.8</v>
      </c>
      <c r="BI22" s="65">
        <v>2155443.13</v>
      </c>
      <c r="BJ22" s="65">
        <v>2155444.6</v>
      </c>
      <c r="BK22" s="65">
        <v>2155444.97</v>
      </c>
      <c r="BL22" s="65">
        <v>2155446.53</v>
      </c>
      <c r="BM22" s="65">
        <v>2155448.37</v>
      </c>
      <c r="BN22" s="65">
        <v>2155752.0</v>
      </c>
      <c r="BO22" s="65">
        <v>2155756.88</v>
      </c>
      <c r="BP22" s="65">
        <v>2155863.0</v>
      </c>
      <c r="BQ22" s="65">
        <v>0.0</v>
      </c>
      <c r="BR22" s="65">
        <v>18.73</v>
      </c>
      <c r="BS22" s="65">
        <v>385.91</v>
      </c>
      <c r="BT22" s="88">
        <v>386.03</v>
      </c>
      <c r="BU22" s="65">
        <v>0.0</v>
      </c>
      <c r="BV22" s="65">
        <v>0.0</v>
      </c>
      <c r="BW22" s="90">
        <v>0.0</v>
      </c>
      <c r="BX22" s="90">
        <v>0.0</v>
      </c>
      <c r="BY22" s="90" t="str">
        <f t="array" ref="BY22">XLOOKUP(C22,'PL TOTAL D0'!$A$3:$A$1991,'PL TOTAL D0'!$C$3:$C$1991,"")</f>
        <v/>
      </c>
    </row>
    <row r="23" ht="15.75" customHeight="1">
      <c r="A23" s="50" t="s">
        <v>24</v>
      </c>
      <c r="B23" s="50" t="s">
        <v>674</v>
      </c>
      <c r="C23" s="94" t="s">
        <v>676</v>
      </c>
      <c r="D23" s="81" t="s">
        <v>120</v>
      </c>
      <c r="E23" s="95" t="s">
        <v>199</v>
      </c>
      <c r="F23" s="81" t="s">
        <v>677</v>
      </c>
      <c r="G23" s="47" t="str">
        <f t="shared" si="1"/>
        <v>David</v>
      </c>
      <c r="H23" s="49" t="s">
        <v>224</v>
      </c>
      <c r="I23" s="49" t="s">
        <v>66</v>
      </c>
      <c r="J23" s="47" t="str">
        <f t="shared" si="2"/>
        <v>Não</v>
      </c>
      <c r="K23" s="97">
        <v>45036.0</v>
      </c>
      <c r="L23" s="55">
        <v>45693.0</v>
      </c>
      <c r="M23" s="62" t="s">
        <v>61</v>
      </c>
      <c r="N23" s="98">
        <v>0.012</v>
      </c>
      <c r="O23" s="47" t="s">
        <v>66</v>
      </c>
      <c r="P23" s="99">
        <v>0.0</v>
      </c>
      <c r="Q23" s="58"/>
      <c r="S23" s="62" t="s">
        <v>194</v>
      </c>
      <c r="T23" s="32" t="s">
        <v>685</v>
      </c>
      <c r="U23" s="33" t="s">
        <v>268</v>
      </c>
      <c r="V23" s="33"/>
      <c r="W23" s="33" t="s">
        <v>268</v>
      </c>
      <c r="X23" s="23" t="s">
        <v>199</v>
      </c>
      <c r="Y23" s="49" t="str">
        <f t="shared" si="4"/>
        <v>Encerrado</v>
      </c>
      <c r="Z23" s="62"/>
      <c r="AA23" s="62"/>
      <c r="AB23" s="64" t="s">
        <v>269</v>
      </c>
      <c r="AC23" s="65"/>
      <c r="AD23" s="54">
        <v>45036.0</v>
      </c>
      <c r="AE23" s="77">
        <v>4.9075100003963E13</v>
      </c>
      <c r="AF23" s="79"/>
      <c r="AG23" s="79"/>
      <c r="AH23" s="79"/>
      <c r="AI23" s="79"/>
      <c r="AJ23" s="79"/>
      <c r="AK23" s="79"/>
      <c r="AL23" s="65">
        <v>20036.96</v>
      </c>
      <c r="AM23" s="65">
        <v>20245.2</v>
      </c>
      <c r="AN23" s="65">
        <v>20421.27</v>
      </c>
      <c r="AO23" s="65">
        <v>103098.95</v>
      </c>
      <c r="AP23" s="65">
        <v>104109.61</v>
      </c>
      <c r="AQ23" s="65">
        <v>104930.65</v>
      </c>
      <c r="AR23" s="65">
        <v>105845.33</v>
      </c>
      <c r="AS23" s="65">
        <v>106619.36</v>
      </c>
      <c r="AT23" s="65">
        <v>107450.42</v>
      </c>
      <c r="AU23" s="65">
        <v>128227.68</v>
      </c>
      <c r="AV23" s="65">
        <v>129200.16</v>
      </c>
      <c r="AW23" s="65">
        <v>130282.38</v>
      </c>
      <c r="AX23" s="65">
        <v>131317.71</v>
      </c>
      <c r="AY23" s="65">
        <v>132328.3</v>
      </c>
      <c r="AZ23" s="65">
        <v>9998.49</v>
      </c>
      <c r="BA23" s="65">
        <v>10088.41</v>
      </c>
      <c r="BB23" s="65">
        <v>412821.05</v>
      </c>
      <c r="BC23" s="65">
        <v>415876.47</v>
      </c>
      <c r="BD23" s="65">
        <v>0.0</v>
      </c>
      <c r="BE23" s="65">
        <v>0.0</v>
      </c>
      <c r="BF23" s="65">
        <v>0.0</v>
      </c>
      <c r="BG23" s="65">
        <v>0.0</v>
      </c>
      <c r="BH23" s="65">
        <v>0.0</v>
      </c>
      <c r="BI23" s="65">
        <v>0.0</v>
      </c>
      <c r="BJ23" s="65">
        <v>0.0</v>
      </c>
      <c r="BK23" s="65">
        <v>0.0</v>
      </c>
      <c r="BL23" s="65">
        <v>0.0</v>
      </c>
      <c r="BM23" s="65">
        <v>0.0</v>
      </c>
      <c r="BN23" s="65">
        <v>0.0</v>
      </c>
      <c r="BO23" s="65">
        <v>0.0</v>
      </c>
      <c r="BP23" s="65">
        <v>0.0</v>
      </c>
      <c r="BQ23" s="65">
        <v>0.0</v>
      </c>
      <c r="BR23" s="65">
        <v>0.0</v>
      </c>
      <c r="BS23" s="65">
        <v>0.0</v>
      </c>
      <c r="BT23" s="88">
        <v>0.0</v>
      </c>
      <c r="BU23" s="65">
        <v>0.0</v>
      </c>
      <c r="BV23" s="65">
        <v>0.0</v>
      </c>
      <c r="BW23" s="90">
        <v>0.0</v>
      </c>
      <c r="BX23" s="90">
        <v>0.0</v>
      </c>
      <c r="BY23" s="90" t="str">
        <f t="array" ref="BY23">XLOOKUP(C23,'PL TOTAL D0'!$A$3:$A$1991,'PL TOTAL D0'!$C$3:$C$1991,"")</f>
        <v/>
      </c>
    </row>
    <row r="24" ht="15.75" customHeight="1">
      <c r="A24" s="50" t="s">
        <v>24</v>
      </c>
      <c r="B24" s="43" t="s">
        <v>704</v>
      </c>
      <c r="C24" s="94" t="s">
        <v>705</v>
      </c>
      <c r="D24" s="30" t="s">
        <v>89</v>
      </c>
      <c r="E24" s="22" t="s">
        <v>91</v>
      </c>
      <c r="F24" s="30" t="s">
        <v>521</v>
      </c>
      <c r="G24" s="47" t="str">
        <f t="shared" si="1"/>
        <v>David</v>
      </c>
      <c r="H24" s="49" t="s">
        <v>224</v>
      </c>
      <c r="I24" s="49" t="s">
        <v>66</v>
      </c>
      <c r="J24" s="47" t="str">
        <f t="shared" si="2"/>
        <v>Não</v>
      </c>
      <c r="K24" s="54">
        <v>45544.0</v>
      </c>
      <c r="L24" s="55">
        <v>45692.0</v>
      </c>
      <c r="M24" s="32" t="s">
        <v>201</v>
      </c>
      <c r="N24" s="56">
        <v>0.0</v>
      </c>
      <c r="O24" s="23" t="s">
        <v>66</v>
      </c>
      <c r="P24" s="57">
        <v>0.0</v>
      </c>
      <c r="Q24" s="58"/>
      <c r="R24" s="58" t="s">
        <v>711</v>
      </c>
      <c r="S24" s="32" t="s">
        <v>194</v>
      </c>
      <c r="T24" s="32" t="s">
        <v>713</v>
      </c>
      <c r="U24" s="33" t="s">
        <v>268</v>
      </c>
      <c r="V24" s="33"/>
      <c r="W24" s="33" t="s">
        <v>268</v>
      </c>
      <c r="X24" s="23" t="s">
        <v>221</v>
      </c>
      <c r="Y24" s="49" t="str">
        <f t="shared" si="4"/>
        <v>Encerrado</v>
      </c>
      <c r="Z24" s="62"/>
      <c r="AA24" s="32" t="s">
        <v>47</v>
      </c>
      <c r="AB24" s="64"/>
      <c r="AC24" s="65"/>
      <c r="AD24" s="54">
        <v>45544.0</v>
      </c>
      <c r="AE24" s="77">
        <v>4.9075100016151E13</v>
      </c>
      <c r="AF24" s="79"/>
      <c r="AG24" s="79"/>
      <c r="AH24" s="79"/>
      <c r="AI24" s="79"/>
      <c r="AJ24" s="79"/>
      <c r="AK24" s="79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>
        <v>0.0</v>
      </c>
      <c r="BD24" s="65">
        <v>0.0</v>
      </c>
      <c r="BE24" s="65">
        <v>0.0</v>
      </c>
      <c r="BF24" s="65">
        <v>540312.14</v>
      </c>
      <c r="BG24" s="65">
        <v>423046.77</v>
      </c>
      <c r="BH24" s="65">
        <v>0.0</v>
      </c>
      <c r="BI24" s="65">
        <v>0.0</v>
      </c>
      <c r="BJ24" s="65">
        <v>0.0</v>
      </c>
      <c r="BK24" s="65">
        <v>0.0</v>
      </c>
      <c r="BL24" s="65">
        <v>0.0</v>
      </c>
      <c r="BM24" s="65">
        <v>0.0</v>
      </c>
      <c r="BN24" s="65">
        <v>0.0</v>
      </c>
      <c r="BO24" s="65">
        <v>0.0</v>
      </c>
      <c r="BP24" s="65">
        <v>0.0</v>
      </c>
      <c r="BQ24" s="65">
        <v>0.0</v>
      </c>
      <c r="BR24" s="65">
        <v>0.0</v>
      </c>
      <c r="BS24" s="65">
        <v>0.0</v>
      </c>
      <c r="BT24" s="88">
        <v>0.0</v>
      </c>
      <c r="BU24" s="65">
        <v>0.0</v>
      </c>
      <c r="BV24" s="65">
        <v>0.0</v>
      </c>
      <c r="BW24" s="90">
        <v>0.0</v>
      </c>
      <c r="BX24" s="90">
        <v>0.0</v>
      </c>
      <c r="BY24" s="90" t="str">
        <f t="array" ref="BY24">XLOOKUP(C24,'PL TOTAL D0'!$A$3:$A$1991,'PL TOTAL D0'!$C$3:$C$1991,"")</f>
        <v/>
      </c>
    </row>
    <row r="25" ht="15.75" customHeight="1">
      <c r="A25" s="50" t="s">
        <v>24</v>
      </c>
      <c r="B25" s="50" t="s">
        <v>733</v>
      </c>
      <c r="C25" s="94" t="s">
        <v>734</v>
      </c>
      <c r="D25" s="81" t="s">
        <v>120</v>
      </c>
      <c r="E25" s="95" t="s">
        <v>199</v>
      </c>
      <c r="F25" s="30" t="s">
        <v>332</v>
      </c>
      <c r="G25" s="47" t="str">
        <f t="shared" si="1"/>
        <v>Gabriel</v>
      </c>
      <c r="H25" s="74" t="s">
        <v>183</v>
      </c>
      <c r="I25" s="74" t="s">
        <v>66</v>
      </c>
      <c r="J25" s="47" t="str">
        <f t="shared" si="2"/>
        <v>Não</v>
      </c>
      <c r="K25" s="97">
        <v>45106.0</v>
      </c>
      <c r="L25" s="62"/>
      <c r="M25" s="62" t="s">
        <v>61</v>
      </c>
      <c r="N25" s="98">
        <v>0.012</v>
      </c>
      <c r="O25" s="47" t="s">
        <v>66</v>
      </c>
      <c r="P25" s="99">
        <v>0.0</v>
      </c>
      <c r="Q25" s="58"/>
      <c r="R25" s="70"/>
      <c r="S25" s="62" t="s">
        <v>194</v>
      </c>
      <c r="T25" s="32" t="s">
        <v>737</v>
      </c>
      <c r="U25" s="33">
        <v>5.561992140992E12</v>
      </c>
      <c r="V25" s="33" t="s">
        <v>738</v>
      </c>
      <c r="W25" s="34">
        <v>26973.0</v>
      </c>
      <c r="X25" s="23" t="s">
        <v>199</v>
      </c>
      <c r="Y25" s="49" t="str">
        <f t="shared" si="4"/>
        <v>Ativo</v>
      </c>
      <c r="Z25" s="62"/>
      <c r="AA25" s="62"/>
      <c r="AB25" s="64" t="s">
        <v>269</v>
      </c>
      <c r="AC25" s="65"/>
      <c r="AD25" s="54">
        <v>45106.0</v>
      </c>
      <c r="AE25" s="77">
        <v>4.9075100006857E13</v>
      </c>
      <c r="AF25" s="79"/>
      <c r="AG25" s="79"/>
      <c r="AH25" s="79"/>
      <c r="AI25" s="79"/>
      <c r="AJ25" s="79"/>
      <c r="AK25" s="79"/>
      <c r="AL25" s="79"/>
      <c r="AM25" s="79"/>
      <c r="AN25" s="65">
        <v>70008.87</v>
      </c>
      <c r="AO25" s="65">
        <v>70636.99</v>
      </c>
      <c r="AP25" s="65">
        <v>71354.76</v>
      </c>
      <c r="AQ25" s="65">
        <v>71920.45</v>
      </c>
      <c r="AR25" s="65">
        <v>72317.98</v>
      </c>
      <c r="AS25" s="65">
        <v>72834.21</v>
      </c>
      <c r="AT25" s="65">
        <v>73387.99</v>
      </c>
      <c r="AU25" s="65">
        <v>167576.59</v>
      </c>
      <c r="AV25" s="65">
        <v>191999.9</v>
      </c>
      <c r="AW25" s="65">
        <v>193638.73</v>
      </c>
      <c r="AX25" s="65">
        <v>205029.58</v>
      </c>
      <c r="AY25" s="65">
        <v>206188.7</v>
      </c>
      <c r="AZ25" s="65">
        <v>207731.3</v>
      </c>
      <c r="BA25" s="65">
        <v>209396.6</v>
      </c>
      <c r="BB25" s="65">
        <v>211112.7</v>
      </c>
      <c r="BC25" s="65">
        <v>212369.64</v>
      </c>
      <c r="BD25" s="65">
        <v>214181.97</v>
      </c>
      <c r="BE25" s="65">
        <v>215756.79</v>
      </c>
      <c r="BF25" s="65">
        <v>216568.79</v>
      </c>
      <c r="BG25" s="65">
        <v>218479.1</v>
      </c>
      <c r="BH25" s="65">
        <v>220076.86</v>
      </c>
      <c r="BI25" s="65">
        <v>303240.92</v>
      </c>
      <c r="BJ25" s="65">
        <v>306102.24</v>
      </c>
      <c r="BK25" s="65">
        <v>308447.91</v>
      </c>
      <c r="BL25" s="65">
        <v>311130.11</v>
      </c>
      <c r="BM25" s="65">
        <v>331553.92</v>
      </c>
      <c r="BN25" s="65">
        <v>334803.2</v>
      </c>
      <c r="BO25" s="65">
        <v>337750.82</v>
      </c>
      <c r="BP25" s="65">
        <v>341677.0</v>
      </c>
      <c r="BQ25" s="65">
        <v>344247.0</v>
      </c>
      <c r="BR25" s="65">
        <v>346599.5</v>
      </c>
      <c r="BS25" s="65">
        <v>350378.71</v>
      </c>
      <c r="BT25" s="88">
        <v>353240.9</v>
      </c>
      <c r="BU25" s="65">
        <v>355817.7</v>
      </c>
      <c r="BV25" s="65">
        <v>359291.8</v>
      </c>
      <c r="BW25" s="90">
        <v>363036.7</v>
      </c>
      <c r="BX25" s="90">
        <v>366457.95</v>
      </c>
      <c r="BY25" s="90">
        <f t="array" ref="BY25">XLOOKUP(C25,'PL TOTAL D0'!$A$3:$A$1991,'PL TOTAL D0'!$C$3:$C$1991,"")</f>
        <v>369891.49</v>
      </c>
    </row>
    <row r="26" ht="15.75" customHeight="1">
      <c r="A26" s="43" t="s">
        <v>24</v>
      </c>
      <c r="B26" s="43" t="s">
        <v>750</v>
      </c>
      <c r="C26" s="94" t="s">
        <v>751</v>
      </c>
      <c r="D26" s="30" t="s">
        <v>120</v>
      </c>
      <c r="E26" s="22" t="s">
        <v>199</v>
      </c>
      <c r="F26" s="30" t="s">
        <v>332</v>
      </c>
      <c r="G26" s="47" t="str">
        <f t="shared" si="1"/>
        <v>David</v>
      </c>
      <c r="H26" s="49" t="s">
        <v>295</v>
      </c>
      <c r="I26" s="49" t="s">
        <v>756</v>
      </c>
      <c r="J26" s="47" t="str">
        <f t="shared" si="2"/>
        <v>Não</v>
      </c>
      <c r="K26" s="54">
        <v>45356.0</v>
      </c>
      <c r="L26" s="62"/>
      <c r="M26" s="32" t="s">
        <v>34</v>
      </c>
      <c r="N26" s="56">
        <v>0.01</v>
      </c>
      <c r="O26" s="23" t="s">
        <v>35</v>
      </c>
      <c r="P26" s="57">
        <v>0.1</v>
      </c>
      <c r="Q26" s="58"/>
      <c r="R26" s="70"/>
      <c r="S26" s="32" t="s">
        <v>194</v>
      </c>
      <c r="T26" s="32" t="s">
        <v>737</v>
      </c>
      <c r="U26" s="33">
        <v>5.561992140992E12</v>
      </c>
      <c r="V26" s="33" t="s">
        <v>738</v>
      </c>
      <c r="W26" s="34">
        <v>26973.0</v>
      </c>
      <c r="X26" s="23" t="s">
        <v>199</v>
      </c>
      <c r="Y26" s="49" t="str">
        <f t="shared" si="4"/>
        <v>Inativo</v>
      </c>
      <c r="Z26" s="62"/>
      <c r="AA26" s="62"/>
      <c r="AB26" s="64" t="s">
        <v>269</v>
      </c>
      <c r="AC26" s="65"/>
      <c r="AD26" s="54">
        <v>45356.0</v>
      </c>
      <c r="AE26" s="77">
        <v>4.9075100013721E13</v>
      </c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65">
        <v>0.0</v>
      </c>
      <c r="AW26" s="65">
        <v>0.0</v>
      </c>
      <c r="AX26" s="65">
        <v>0.0</v>
      </c>
      <c r="AY26" s="65">
        <v>0.0</v>
      </c>
      <c r="AZ26" s="65">
        <v>0.0</v>
      </c>
      <c r="BA26" s="65">
        <v>0.0</v>
      </c>
      <c r="BB26" s="65">
        <v>0.0</v>
      </c>
      <c r="BC26" s="65">
        <v>0.0</v>
      </c>
      <c r="BD26" s="65">
        <v>0.0</v>
      </c>
      <c r="BE26" s="65">
        <v>0.0</v>
      </c>
      <c r="BF26" s="65">
        <v>0.0</v>
      </c>
      <c r="BG26" s="65">
        <v>0.0</v>
      </c>
      <c r="BH26" s="65">
        <v>0.0</v>
      </c>
      <c r="BI26" s="65">
        <v>0.0</v>
      </c>
      <c r="BJ26" s="65">
        <v>0.0</v>
      </c>
      <c r="BK26" s="65">
        <v>0.0</v>
      </c>
      <c r="BL26" s="65">
        <v>0.0</v>
      </c>
      <c r="BM26" s="65">
        <v>0.0</v>
      </c>
      <c r="BN26" s="65">
        <v>0.0</v>
      </c>
      <c r="BO26" s="65">
        <v>0.0</v>
      </c>
      <c r="BP26" s="65">
        <v>0.0</v>
      </c>
      <c r="BQ26" s="65">
        <v>0.0</v>
      </c>
      <c r="BR26" s="65">
        <v>0.0</v>
      </c>
      <c r="BS26" s="65">
        <v>0.0</v>
      </c>
      <c r="BT26" s="88">
        <v>0.0</v>
      </c>
      <c r="BU26" s="65">
        <v>0.0</v>
      </c>
      <c r="BV26" s="65">
        <v>0.0</v>
      </c>
      <c r="BW26" s="90">
        <v>0.0</v>
      </c>
      <c r="BX26" s="90">
        <v>0.0</v>
      </c>
      <c r="BY26" s="90" t="str">
        <f t="array" ref="BY26">XLOOKUP(C26,'PL TOTAL D0'!$A$3:$A$1991,'PL TOTAL D0'!$C$3:$C$1991,"")</f>
        <v/>
      </c>
    </row>
    <row r="27" ht="15.75" customHeight="1">
      <c r="A27" s="50" t="s">
        <v>24</v>
      </c>
      <c r="B27" s="50" t="s">
        <v>771</v>
      </c>
      <c r="C27" s="94" t="s">
        <v>772</v>
      </c>
      <c r="D27" s="81" t="s">
        <v>255</v>
      </c>
      <c r="E27" s="95" t="s">
        <v>199</v>
      </c>
      <c r="F27" s="81" t="s">
        <v>257</v>
      </c>
      <c r="G27" s="47" t="str">
        <f t="shared" si="1"/>
        <v>David</v>
      </c>
      <c r="H27" s="49" t="s">
        <v>224</v>
      </c>
      <c r="I27" s="74" t="s">
        <v>66</v>
      </c>
      <c r="J27" s="47" t="str">
        <f t="shared" si="2"/>
        <v>Não</v>
      </c>
      <c r="K27" s="97">
        <v>45148.0</v>
      </c>
      <c r="L27" s="55">
        <v>45513.0</v>
      </c>
      <c r="M27" s="62" t="s">
        <v>774</v>
      </c>
      <c r="N27" s="98">
        <v>0.01</v>
      </c>
      <c r="O27" s="47" t="s">
        <v>66</v>
      </c>
      <c r="P27" s="99">
        <v>0.0</v>
      </c>
      <c r="Q27" s="58"/>
      <c r="R27" s="58"/>
      <c r="S27" s="62" t="s">
        <v>194</v>
      </c>
      <c r="T27" s="32" t="s">
        <v>775</v>
      </c>
      <c r="U27" s="33" t="s">
        <v>268</v>
      </c>
      <c r="V27" s="33"/>
      <c r="W27" s="33" t="s">
        <v>268</v>
      </c>
      <c r="X27" s="23" t="s">
        <v>199</v>
      </c>
      <c r="Y27" s="49" t="str">
        <f t="shared" si="4"/>
        <v>Encerrado</v>
      </c>
      <c r="Z27" s="62"/>
      <c r="AA27" s="62"/>
      <c r="AB27" s="64" t="s">
        <v>269</v>
      </c>
      <c r="AC27" s="65"/>
      <c r="AD27" s="54">
        <v>45148.0</v>
      </c>
      <c r="AE27" s="77">
        <v>4.9075100012156E13</v>
      </c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65">
        <v>221510.59</v>
      </c>
      <c r="AQ27" s="65">
        <v>242583.64</v>
      </c>
      <c r="AR27" s="65">
        <v>243545.23</v>
      </c>
      <c r="AS27" s="65">
        <v>249632.92</v>
      </c>
      <c r="AT27" s="65">
        <v>267670.75</v>
      </c>
      <c r="AU27" s="65">
        <v>267143.19</v>
      </c>
      <c r="AV27" s="65">
        <v>272226.07</v>
      </c>
      <c r="AW27" s="65">
        <v>276789.02</v>
      </c>
      <c r="AX27" s="65">
        <v>291365.65</v>
      </c>
      <c r="AY27" s="65">
        <v>293881.1</v>
      </c>
      <c r="AZ27" s="65">
        <v>295514.8</v>
      </c>
      <c r="BA27" s="65">
        <v>0.0</v>
      </c>
      <c r="BB27" s="65">
        <v>0.0</v>
      </c>
      <c r="BC27" s="65">
        <v>0.0</v>
      </c>
      <c r="BD27" s="65">
        <v>0.0</v>
      </c>
      <c r="BE27" s="65">
        <v>0.0</v>
      </c>
      <c r="BF27" s="65">
        <v>0.0</v>
      </c>
      <c r="BG27" s="65">
        <v>0.0</v>
      </c>
      <c r="BH27" s="65">
        <v>0.0</v>
      </c>
      <c r="BI27" s="65">
        <v>0.0</v>
      </c>
      <c r="BJ27" s="65">
        <v>0.0</v>
      </c>
      <c r="BK27" s="65">
        <v>0.0</v>
      </c>
      <c r="BL27" s="65">
        <v>0.0</v>
      </c>
      <c r="BM27" s="65">
        <v>0.0</v>
      </c>
      <c r="BN27" s="65">
        <v>0.0</v>
      </c>
      <c r="BO27" s="65">
        <v>0.0</v>
      </c>
      <c r="BP27" s="65">
        <v>0.0</v>
      </c>
      <c r="BQ27" s="65">
        <v>0.0</v>
      </c>
      <c r="BR27" s="65">
        <v>0.0</v>
      </c>
      <c r="BS27" s="65">
        <v>0.0</v>
      </c>
      <c r="BT27" s="88">
        <v>0.0</v>
      </c>
      <c r="BU27" s="65">
        <v>0.0</v>
      </c>
      <c r="BV27" s="65">
        <v>0.0</v>
      </c>
      <c r="BW27" s="90">
        <v>0.0</v>
      </c>
      <c r="BX27" s="90">
        <v>0.0</v>
      </c>
      <c r="BY27" s="90" t="str">
        <f t="array" ref="BY27">XLOOKUP(C27,'PL TOTAL D0'!$A$3:$A$1991,'PL TOTAL D0'!$C$3:$C$1991,"")</f>
        <v/>
      </c>
    </row>
    <row r="28" ht="15.75" customHeight="1">
      <c r="A28" s="50" t="s">
        <v>24</v>
      </c>
      <c r="B28" s="43" t="s">
        <v>788</v>
      </c>
      <c r="C28" s="94" t="s">
        <v>789</v>
      </c>
      <c r="D28" s="30" t="s">
        <v>120</v>
      </c>
      <c r="E28" s="22" t="s">
        <v>199</v>
      </c>
      <c r="F28" s="30" t="s">
        <v>290</v>
      </c>
      <c r="G28" s="47" t="str">
        <f t="shared" si="1"/>
        <v>Gabriel</v>
      </c>
      <c r="H28" s="49" t="s">
        <v>183</v>
      </c>
      <c r="I28" s="49" t="s">
        <v>66</v>
      </c>
      <c r="J28" s="47" t="str">
        <f t="shared" si="2"/>
        <v>Não</v>
      </c>
      <c r="K28" s="54">
        <v>45488.0</v>
      </c>
      <c r="L28" s="62"/>
      <c r="M28" s="32" t="s">
        <v>61</v>
      </c>
      <c r="N28" s="56">
        <v>0.012</v>
      </c>
      <c r="O28" s="23" t="s">
        <v>66</v>
      </c>
      <c r="P28" s="57">
        <v>0.0</v>
      </c>
      <c r="Q28" s="58"/>
      <c r="R28" s="58"/>
      <c r="S28" s="32" t="s">
        <v>194</v>
      </c>
      <c r="T28" s="32" t="s">
        <v>791</v>
      </c>
      <c r="U28" s="33">
        <v>6.199801016E10</v>
      </c>
      <c r="V28" s="33" t="s">
        <v>792</v>
      </c>
      <c r="W28" s="48">
        <v>29188.0</v>
      </c>
      <c r="X28" s="23" t="s">
        <v>199</v>
      </c>
      <c r="Y28" s="49" t="str">
        <f t="shared" si="4"/>
        <v>Ativo</v>
      </c>
      <c r="Z28" s="32"/>
      <c r="AA28" s="32" t="s">
        <v>107</v>
      </c>
      <c r="AB28" s="64" t="s">
        <v>269</v>
      </c>
      <c r="AC28" s="65"/>
      <c r="AD28" s="54">
        <v>45488.0</v>
      </c>
      <c r="AE28" s="77">
        <v>4.9075100015473E13</v>
      </c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65"/>
      <c r="AW28" s="65"/>
      <c r="AX28" s="65"/>
      <c r="AY28" s="65"/>
      <c r="AZ28" s="65"/>
      <c r="BA28" s="65">
        <v>80196.25</v>
      </c>
      <c r="BB28" s="65">
        <v>470775.27</v>
      </c>
      <c r="BC28" s="65">
        <v>483335.63</v>
      </c>
      <c r="BD28" s="65">
        <v>487785.93</v>
      </c>
      <c r="BE28" s="65">
        <v>491549.24</v>
      </c>
      <c r="BF28" s="65">
        <v>495553.15</v>
      </c>
      <c r="BG28" s="65">
        <v>500406.42</v>
      </c>
      <c r="BH28" s="65">
        <v>505027.51</v>
      </c>
      <c r="BI28" s="65">
        <v>510415.32</v>
      </c>
      <c r="BJ28" s="65">
        <v>515491.31</v>
      </c>
      <c r="BK28" s="65">
        <v>520845.98</v>
      </c>
      <c r="BL28" s="65">
        <v>525177.79</v>
      </c>
      <c r="BM28" s="65">
        <v>530486.51</v>
      </c>
      <c r="BN28" s="65">
        <v>533248.5</v>
      </c>
      <c r="BO28" s="65">
        <v>538162.47</v>
      </c>
      <c r="BP28" s="65">
        <v>544608.5</v>
      </c>
      <c r="BQ28" s="65">
        <v>549288.8</v>
      </c>
      <c r="BR28" s="65">
        <v>538424.5</v>
      </c>
      <c r="BS28" s="65">
        <v>543859.22</v>
      </c>
      <c r="BT28" s="88">
        <v>544891.8</v>
      </c>
      <c r="BU28" s="65">
        <v>546435.6</v>
      </c>
      <c r="BV28" s="65">
        <v>538739.1</v>
      </c>
      <c r="BW28" s="90">
        <v>544751.1</v>
      </c>
      <c r="BX28" s="90">
        <v>549764.32</v>
      </c>
      <c r="BY28" s="90">
        <f t="array" ref="BY28">XLOOKUP(C28,'PL TOTAL D0'!$A$3:$A$1991,'PL TOTAL D0'!$C$3:$C$1991,"")</f>
        <v>550274.29</v>
      </c>
    </row>
    <row r="29" ht="15.75" customHeight="1">
      <c r="A29" s="50" t="s">
        <v>24</v>
      </c>
      <c r="B29" s="176" t="s">
        <v>805</v>
      </c>
      <c r="C29" s="94" t="s">
        <v>806</v>
      </c>
      <c r="D29" s="81" t="s">
        <v>120</v>
      </c>
      <c r="E29" s="95" t="s">
        <v>199</v>
      </c>
      <c r="F29" s="81" t="s">
        <v>212</v>
      </c>
      <c r="G29" s="47" t="str">
        <f t="shared" si="1"/>
        <v>David</v>
      </c>
      <c r="H29" s="74" t="s">
        <v>183</v>
      </c>
      <c r="I29" s="74" t="s">
        <v>66</v>
      </c>
      <c r="J29" s="47" t="str">
        <f t="shared" si="2"/>
        <v>Sim</v>
      </c>
      <c r="K29" s="97">
        <v>45160.0</v>
      </c>
      <c r="L29" s="62"/>
      <c r="M29" s="62" t="s">
        <v>61</v>
      </c>
      <c r="N29" s="98">
        <v>0.012</v>
      </c>
      <c r="O29" s="47" t="s">
        <v>66</v>
      </c>
      <c r="P29" s="99">
        <v>0.0</v>
      </c>
      <c r="Q29" s="58" t="s">
        <v>812</v>
      </c>
      <c r="R29" s="70"/>
      <c r="S29" s="62" t="s">
        <v>194</v>
      </c>
      <c r="T29" s="32" t="s">
        <v>815</v>
      </c>
      <c r="U29" s="33">
        <v>6.1992757864E10</v>
      </c>
      <c r="V29" s="33" t="s">
        <v>817</v>
      </c>
      <c r="W29" s="34">
        <v>26873.0</v>
      </c>
      <c r="X29" s="23" t="s">
        <v>199</v>
      </c>
      <c r="Y29" s="49" t="str">
        <f t="shared" si="4"/>
        <v>Ativo</v>
      </c>
      <c r="Z29" s="62"/>
      <c r="AA29" s="62"/>
      <c r="AB29" s="64" t="s">
        <v>269</v>
      </c>
      <c r="AC29" s="79"/>
      <c r="AD29" s="54">
        <v>45160.0</v>
      </c>
      <c r="AE29" s="77">
        <v>4.9075100008019E13</v>
      </c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65">
        <v>601175.9</v>
      </c>
      <c r="AQ29" s="65">
        <v>606237.94</v>
      </c>
      <c r="AR29" s="65">
        <v>611489.99</v>
      </c>
      <c r="AS29" s="65">
        <v>615841.54</v>
      </c>
      <c r="AT29" s="65">
        <v>619579.86</v>
      </c>
      <c r="AU29" s="65">
        <v>625184.81</v>
      </c>
      <c r="AV29" s="65">
        <v>629881.63</v>
      </c>
      <c r="AW29" s="65">
        <v>633953.26</v>
      </c>
      <c r="AX29" s="65">
        <v>638440.22</v>
      </c>
      <c r="AY29" s="65">
        <v>643538.6</v>
      </c>
      <c r="AZ29" s="65">
        <v>648288.5</v>
      </c>
      <c r="BA29" s="65">
        <v>653705.9</v>
      </c>
      <c r="BB29" s="65">
        <v>654754.17</v>
      </c>
      <c r="BC29" s="65">
        <v>659134.65</v>
      </c>
      <c r="BD29" s="65">
        <v>665198.12</v>
      </c>
      <c r="BE29" s="65">
        <v>670243.63</v>
      </c>
      <c r="BF29" s="65">
        <v>675415.97</v>
      </c>
      <c r="BG29" s="65">
        <v>681856.15</v>
      </c>
      <c r="BH29" s="65">
        <v>688297.79</v>
      </c>
      <c r="BI29" s="65">
        <v>180510.23</v>
      </c>
      <c r="BJ29" s="65">
        <v>182238.25</v>
      </c>
      <c r="BK29" s="65">
        <v>184182.0</v>
      </c>
      <c r="BL29" s="65">
        <v>185869.95</v>
      </c>
      <c r="BM29" s="65">
        <v>188064.14</v>
      </c>
      <c r="BN29" s="65">
        <v>189376.3</v>
      </c>
      <c r="BO29" s="65">
        <v>191357.53</v>
      </c>
      <c r="BP29" s="65">
        <v>162856.3</v>
      </c>
      <c r="BQ29" s="65">
        <v>164474.0</v>
      </c>
      <c r="BR29" s="65">
        <v>160669.3</v>
      </c>
      <c r="BS29" s="65">
        <v>162463.56</v>
      </c>
      <c r="BT29" s="88">
        <v>128469.9</v>
      </c>
      <c r="BU29" s="65">
        <v>130178.5</v>
      </c>
      <c r="BV29" s="65">
        <v>131884.7</v>
      </c>
      <c r="BW29" s="90">
        <v>126506.8</v>
      </c>
      <c r="BX29" s="90">
        <v>122955.71</v>
      </c>
      <c r="BY29" s="90">
        <f t="array" ref="BY29">XLOOKUP(C29,'PL TOTAL D0'!$A$3:$A$1991,'PL TOTAL D0'!$C$3:$C$1991,"")</f>
        <v>114440.98</v>
      </c>
    </row>
    <row r="30" ht="15.75" customHeight="1">
      <c r="A30" s="50" t="s">
        <v>24</v>
      </c>
      <c r="B30" s="176" t="s">
        <v>343</v>
      </c>
      <c r="C30" s="94" t="s">
        <v>828</v>
      </c>
      <c r="D30" s="81" t="s">
        <v>142</v>
      </c>
      <c r="E30" s="95" t="s">
        <v>54</v>
      </c>
      <c r="F30" s="81" t="s">
        <v>158</v>
      </c>
      <c r="G30" s="23" t="s">
        <v>829</v>
      </c>
      <c r="H30" s="49" t="s">
        <v>183</v>
      </c>
      <c r="I30" s="74" t="s">
        <v>66</v>
      </c>
      <c r="J30" s="47" t="str">
        <f t="shared" si="2"/>
        <v>Não</v>
      </c>
      <c r="K30" s="97">
        <v>46094.0</v>
      </c>
      <c r="L30" s="62"/>
      <c r="M30" s="62" t="s">
        <v>61</v>
      </c>
      <c r="N30" s="98">
        <v>0.012</v>
      </c>
      <c r="O30" s="47" t="s">
        <v>66</v>
      </c>
      <c r="P30" s="99">
        <v>0.0</v>
      </c>
      <c r="Q30" s="58"/>
      <c r="R30" s="70"/>
      <c r="S30" s="62" t="s">
        <v>194</v>
      </c>
      <c r="T30" s="32" t="s">
        <v>347</v>
      </c>
      <c r="U30" s="33" t="s">
        <v>832</v>
      </c>
      <c r="V30" s="33" t="s">
        <v>350</v>
      </c>
      <c r="W30" s="34">
        <v>27672.0</v>
      </c>
      <c r="X30" s="23" t="s">
        <v>54</v>
      </c>
      <c r="Y30" s="49" t="str">
        <f t="shared" si="4"/>
        <v>Ativo</v>
      </c>
      <c r="Z30" s="62"/>
      <c r="AA30" s="62" t="s">
        <v>47</v>
      </c>
      <c r="AB30" s="64"/>
      <c r="AC30" s="79"/>
      <c r="AD30" s="54">
        <v>46203.0</v>
      </c>
      <c r="AE30" s="77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88"/>
      <c r="BU30" s="65">
        <v>688247.0</v>
      </c>
      <c r="BV30" s="65">
        <v>677760.6</v>
      </c>
      <c r="BW30" s="90">
        <v>1619387.0</v>
      </c>
      <c r="BX30" s="90">
        <v>1925112.24</v>
      </c>
      <c r="BY30" s="90">
        <f t="array" ref="BY30">XLOOKUP(C30,'PL TOTAL D0'!$A$3:$A$1991,'PL TOTAL D0'!$C$3:$C$1991,"")</f>
        <v>1950686.58</v>
      </c>
    </row>
    <row r="31" ht="15.75" customHeight="1">
      <c r="A31" s="50" t="s">
        <v>24</v>
      </c>
      <c r="B31" s="39" t="s">
        <v>850</v>
      </c>
      <c r="C31" s="94" t="s">
        <v>851</v>
      </c>
      <c r="D31" s="30" t="s">
        <v>120</v>
      </c>
      <c r="E31" s="22" t="s">
        <v>199</v>
      </c>
      <c r="F31" s="30" t="s">
        <v>290</v>
      </c>
      <c r="G31" s="47" t="str">
        <f t="shared" ref="G31:G114" si="5">IFS($BS$4:$BS$1280&lt;=250000,"David",$BS$4:$BS$1280&lt;=800000,"Gabriel", $BS$4:$BS$1280&gt;800000,"Marcus")</f>
        <v>David</v>
      </c>
      <c r="H31" s="49" t="s">
        <v>183</v>
      </c>
      <c r="I31" s="49" t="s">
        <v>66</v>
      </c>
      <c r="J31" s="47" t="str">
        <f t="shared" si="2"/>
        <v>Sim</v>
      </c>
      <c r="K31" s="54">
        <v>45565.0</v>
      </c>
      <c r="L31" s="62"/>
      <c r="M31" s="32" t="s">
        <v>61</v>
      </c>
      <c r="N31" s="56">
        <v>0.012</v>
      </c>
      <c r="O31" s="23" t="s">
        <v>66</v>
      </c>
      <c r="P31" s="57">
        <v>0.0</v>
      </c>
      <c r="Q31" s="58" t="s">
        <v>853</v>
      </c>
      <c r="R31" s="70"/>
      <c r="S31" s="32" t="s">
        <v>194</v>
      </c>
      <c r="T31" s="32" t="s">
        <v>854</v>
      </c>
      <c r="U31" s="33">
        <v>6.1998002436E10</v>
      </c>
      <c r="V31" s="33" t="s">
        <v>855</v>
      </c>
      <c r="W31" s="34">
        <v>38545.0</v>
      </c>
      <c r="X31" s="23" t="s">
        <v>199</v>
      </c>
      <c r="Y31" s="49" t="str">
        <f t="shared" si="4"/>
        <v>Ativo</v>
      </c>
      <c r="Z31" s="62"/>
      <c r="AA31" s="32" t="s">
        <v>107</v>
      </c>
      <c r="AB31" s="64"/>
      <c r="AC31" s="79"/>
      <c r="AD31" s="54">
        <v>45565.0</v>
      </c>
      <c r="AE31" s="77">
        <v>4.907510001607E13</v>
      </c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>
        <v>0.0</v>
      </c>
      <c r="BD31" s="65">
        <v>144963.23</v>
      </c>
      <c r="BE31" s="65">
        <v>146156.63</v>
      </c>
      <c r="BF31" s="65">
        <v>147289.33</v>
      </c>
      <c r="BG31" s="65">
        <v>148666.98</v>
      </c>
      <c r="BH31" s="65">
        <v>141273.71</v>
      </c>
      <c r="BI31" s="65">
        <v>143140.31</v>
      </c>
      <c r="BJ31" s="65">
        <v>118564.79</v>
      </c>
      <c r="BK31" s="65">
        <v>117015.29</v>
      </c>
      <c r="BL31" s="65">
        <v>118039.22</v>
      </c>
      <c r="BM31" s="65">
        <v>110912.16</v>
      </c>
      <c r="BN31" s="65">
        <v>112195.6</v>
      </c>
      <c r="BO31" s="65">
        <v>112891.31</v>
      </c>
      <c r="BP31" s="65">
        <v>113730.6</v>
      </c>
      <c r="BQ31" s="65">
        <v>107003.4</v>
      </c>
      <c r="BR31" s="65">
        <v>108003.4</v>
      </c>
      <c r="BS31" s="65">
        <v>109198.28</v>
      </c>
      <c r="BT31" s="88">
        <v>106322.0</v>
      </c>
      <c r="BU31" s="65">
        <v>107565.8</v>
      </c>
      <c r="BV31" s="65">
        <v>105829.7</v>
      </c>
      <c r="BW31" s="90">
        <v>106818.8</v>
      </c>
      <c r="BX31" s="90">
        <v>107802.44</v>
      </c>
      <c r="BY31" s="90">
        <f t="array" ref="BY31">XLOOKUP(C31,'PL TOTAL D0'!$A$3:$A$1991,'PL TOTAL D0'!$C$3:$C$1991,"")</f>
        <v>109077.68</v>
      </c>
    </row>
    <row r="32" ht="15.75" customHeight="1">
      <c r="A32" s="50" t="s">
        <v>24</v>
      </c>
      <c r="B32" s="39" t="s">
        <v>850</v>
      </c>
      <c r="C32" s="94" t="s">
        <v>869</v>
      </c>
      <c r="D32" s="30" t="s">
        <v>120</v>
      </c>
      <c r="E32" s="22" t="s">
        <v>199</v>
      </c>
      <c r="F32" s="30" t="s">
        <v>290</v>
      </c>
      <c r="G32" s="47" t="str">
        <f t="shared" si="5"/>
        <v>David</v>
      </c>
      <c r="H32" s="49" t="s">
        <v>295</v>
      </c>
      <c r="I32" s="49" t="s">
        <v>447</v>
      </c>
      <c r="J32" s="47" t="str">
        <f t="shared" si="2"/>
        <v>Não</v>
      </c>
      <c r="K32" s="54">
        <v>45743.0</v>
      </c>
      <c r="L32" s="62"/>
      <c r="M32" s="32" t="s">
        <v>201</v>
      </c>
      <c r="N32" s="56">
        <v>0.005</v>
      </c>
      <c r="O32" s="23" t="s">
        <v>66</v>
      </c>
      <c r="P32" s="57">
        <v>0.0</v>
      </c>
      <c r="Q32" s="58"/>
      <c r="R32" s="70"/>
      <c r="S32" s="32" t="s">
        <v>194</v>
      </c>
      <c r="T32" s="32" t="s">
        <v>854</v>
      </c>
      <c r="U32" s="33">
        <v>6.1998002436E10</v>
      </c>
      <c r="V32" s="33" t="s">
        <v>855</v>
      </c>
      <c r="W32" s="34">
        <v>38545.0</v>
      </c>
      <c r="X32" s="23" t="s">
        <v>199</v>
      </c>
      <c r="Y32" s="49" t="str">
        <f t="shared" si="4"/>
        <v>Ativo</v>
      </c>
      <c r="Z32" s="62"/>
      <c r="AA32" s="32" t="s">
        <v>107</v>
      </c>
      <c r="AB32" s="64"/>
      <c r="AC32" s="79"/>
      <c r="AD32" s="54">
        <v>45757.0</v>
      </c>
      <c r="AE32" s="77">
        <v>4.9075100018723E13</v>
      </c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>
        <v>0.0</v>
      </c>
      <c r="BJ32" s="65">
        <v>20829.9</v>
      </c>
      <c r="BK32" s="65">
        <v>21006.05</v>
      </c>
      <c r="BL32" s="65">
        <v>9091.95</v>
      </c>
      <c r="BM32" s="65">
        <v>9198.3</v>
      </c>
      <c r="BN32" s="65">
        <v>9303.51</v>
      </c>
      <c r="BO32" s="65">
        <v>1270.16</v>
      </c>
      <c r="BP32" s="65">
        <v>1286.84</v>
      </c>
      <c r="BQ32" s="65">
        <v>1287.07</v>
      </c>
      <c r="BR32" s="65">
        <v>0.53</v>
      </c>
      <c r="BS32" s="65">
        <v>0.53</v>
      </c>
      <c r="BT32" s="88">
        <v>0.53</v>
      </c>
      <c r="BU32" s="65">
        <v>0.53</v>
      </c>
      <c r="BV32" s="65">
        <v>2054.0</v>
      </c>
      <c r="BW32" s="90">
        <v>0.0</v>
      </c>
      <c r="BX32" s="90">
        <v>0.02</v>
      </c>
      <c r="BY32" s="90" t="str">
        <f t="array" ref="BY32">XLOOKUP(C32,'PL TOTAL D0'!$A$3:$A$1991,'PL TOTAL D0'!$C$3:$C$1991,"")</f>
        <v/>
      </c>
    </row>
    <row r="33" ht="15.75" customHeight="1">
      <c r="A33" s="50" t="s">
        <v>24</v>
      </c>
      <c r="B33" s="50" t="s">
        <v>889</v>
      </c>
      <c r="C33" s="94" t="s">
        <v>890</v>
      </c>
      <c r="D33" s="30" t="s">
        <v>365</v>
      </c>
      <c r="E33" s="95" t="s">
        <v>199</v>
      </c>
      <c r="F33" s="30" t="s">
        <v>891</v>
      </c>
      <c r="G33" s="47" t="str">
        <f t="shared" si="5"/>
        <v>David</v>
      </c>
      <c r="H33" s="49" t="s">
        <v>224</v>
      </c>
      <c r="I33" s="49" t="s">
        <v>66</v>
      </c>
      <c r="J33" s="47" t="str">
        <f t="shared" si="2"/>
        <v>Não</v>
      </c>
      <c r="K33" s="97">
        <v>44958.0</v>
      </c>
      <c r="L33" s="55">
        <v>45775.0</v>
      </c>
      <c r="M33" s="62" t="s">
        <v>61</v>
      </c>
      <c r="N33" s="98">
        <v>0.012</v>
      </c>
      <c r="O33" s="47" t="s">
        <v>66</v>
      </c>
      <c r="P33" s="99">
        <v>0.0</v>
      </c>
      <c r="Q33" s="58"/>
      <c r="R33" s="58"/>
      <c r="S33" s="62" t="s">
        <v>194</v>
      </c>
      <c r="T33" s="32" t="s">
        <v>893</v>
      </c>
      <c r="U33" s="33" t="s">
        <v>268</v>
      </c>
      <c r="V33" s="33"/>
      <c r="W33" s="33" t="s">
        <v>268</v>
      </c>
      <c r="X33" s="23" t="s">
        <v>199</v>
      </c>
      <c r="Y33" s="49" t="str">
        <f t="shared" si="4"/>
        <v>Encerrado</v>
      </c>
      <c r="Z33" s="62"/>
      <c r="AA33" s="62"/>
      <c r="AB33" s="64" t="s">
        <v>269</v>
      </c>
      <c r="AC33" s="79"/>
      <c r="AD33" s="54">
        <v>44958.0</v>
      </c>
      <c r="AE33" s="77">
        <v>4.9075100010242E13</v>
      </c>
      <c r="AF33" s="79"/>
      <c r="AG33" s="79"/>
      <c r="AH33" s="79"/>
      <c r="AI33" s="79"/>
      <c r="AJ33" s="79"/>
      <c r="AK33" s="65">
        <v>53545.8</v>
      </c>
      <c r="AL33" s="65">
        <v>54182.77</v>
      </c>
      <c r="AM33" s="65">
        <v>288087.22</v>
      </c>
      <c r="AN33" s="65">
        <v>344984.05</v>
      </c>
      <c r="AO33" s="65">
        <v>347862.28</v>
      </c>
      <c r="AP33" s="65">
        <v>400633.57</v>
      </c>
      <c r="AQ33" s="65">
        <v>262688.84</v>
      </c>
      <c r="AR33" s="65">
        <v>405398.15</v>
      </c>
      <c r="AS33" s="65">
        <v>408413.0</v>
      </c>
      <c r="AT33" s="65">
        <v>411553.44</v>
      </c>
      <c r="AU33" s="65">
        <v>415212.78</v>
      </c>
      <c r="AV33" s="65">
        <v>418571.1</v>
      </c>
      <c r="AW33" s="65">
        <v>238572.2</v>
      </c>
      <c r="AX33" s="65">
        <v>239496.64</v>
      </c>
      <c r="AY33" s="65">
        <v>241378.1</v>
      </c>
      <c r="AZ33" s="65">
        <v>242844.8</v>
      </c>
      <c r="BA33" s="65">
        <v>244871.4</v>
      </c>
      <c r="BB33" s="65">
        <v>246300.96</v>
      </c>
      <c r="BC33" s="65">
        <v>247154.56</v>
      </c>
      <c r="BD33" s="65">
        <v>249300.04</v>
      </c>
      <c r="BE33" s="65">
        <v>251095.83</v>
      </c>
      <c r="BF33" s="65">
        <v>252850.55</v>
      </c>
      <c r="BG33" s="65">
        <v>0.0</v>
      </c>
      <c r="BH33" s="65">
        <v>0.0</v>
      </c>
      <c r="BI33" s="65">
        <v>0.0</v>
      </c>
      <c r="BJ33" s="65">
        <v>0.0</v>
      </c>
      <c r="BK33" s="65">
        <v>0.0</v>
      </c>
      <c r="BL33" s="65">
        <v>0.0</v>
      </c>
      <c r="BM33" s="65">
        <v>0.0</v>
      </c>
      <c r="BN33" s="65">
        <v>0.0</v>
      </c>
      <c r="BO33" s="65">
        <v>0.0</v>
      </c>
      <c r="BP33" s="65">
        <v>0.0</v>
      </c>
      <c r="BQ33" s="65">
        <v>0.0</v>
      </c>
      <c r="BR33" s="65">
        <v>0.0</v>
      </c>
      <c r="BS33" s="65">
        <v>0.0</v>
      </c>
      <c r="BT33" s="88">
        <v>0.0</v>
      </c>
      <c r="BU33" s="65">
        <v>0.0</v>
      </c>
      <c r="BV33" s="65">
        <v>0.0</v>
      </c>
      <c r="BW33" s="90">
        <v>0.0</v>
      </c>
      <c r="BX33" s="90">
        <v>0.0</v>
      </c>
      <c r="BY33" s="90" t="str">
        <f t="array" ref="BY33">XLOOKUP(C33,'PL TOTAL D0'!$A$3:$A$1991,'PL TOTAL D0'!$C$3:$C$1991,"")</f>
        <v/>
      </c>
    </row>
    <row r="34" ht="15.75" customHeight="1">
      <c r="A34" s="50" t="s">
        <v>24</v>
      </c>
      <c r="B34" s="50" t="s">
        <v>917</v>
      </c>
      <c r="C34" s="94" t="s">
        <v>918</v>
      </c>
      <c r="D34" s="30" t="s">
        <v>89</v>
      </c>
      <c r="E34" s="95" t="s">
        <v>91</v>
      </c>
      <c r="F34" s="30" t="s">
        <v>193</v>
      </c>
      <c r="G34" s="47" t="str">
        <f t="shared" si="5"/>
        <v>David</v>
      </c>
      <c r="H34" s="49" t="s">
        <v>183</v>
      </c>
      <c r="I34" s="49" t="s">
        <v>66</v>
      </c>
      <c r="J34" s="47" t="str">
        <f t="shared" si="2"/>
        <v>Não</v>
      </c>
      <c r="K34" s="97">
        <v>46083.0</v>
      </c>
      <c r="L34" s="55"/>
      <c r="M34" s="62" t="s">
        <v>209</v>
      </c>
      <c r="N34" s="98">
        <v>0.015</v>
      </c>
      <c r="O34" s="47" t="s">
        <v>35</v>
      </c>
      <c r="P34" s="99">
        <v>0.1</v>
      </c>
      <c r="Q34" s="58"/>
      <c r="R34" s="58"/>
      <c r="S34" s="62" t="s">
        <v>194</v>
      </c>
      <c r="T34" s="32" t="s">
        <v>923</v>
      </c>
      <c r="U34" s="33" t="s">
        <v>924</v>
      </c>
      <c r="V34" s="33" t="s">
        <v>925</v>
      </c>
      <c r="W34" s="33">
        <v>26604.0</v>
      </c>
      <c r="X34" s="23" t="s">
        <v>221</v>
      </c>
      <c r="Y34" s="49" t="str">
        <f t="shared" si="4"/>
        <v>Ativo</v>
      </c>
      <c r="Z34" s="62"/>
      <c r="AA34" s="62" t="s">
        <v>47</v>
      </c>
      <c r="AB34" s="64"/>
      <c r="AC34" s="79"/>
      <c r="AD34" s="54">
        <v>46203.0</v>
      </c>
      <c r="AE34" s="77"/>
      <c r="AF34" s="79"/>
      <c r="AG34" s="79"/>
      <c r="AH34" s="79"/>
      <c r="AI34" s="79"/>
      <c r="AJ34" s="79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88"/>
      <c r="BU34" s="65">
        <v>0.0</v>
      </c>
      <c r="BV34" s="65">
        <v>0.0</v>
      </c>
      <c r="BW34" s="90">
        <v>489347.2</v>
      </c>
      <c r="BX34" s="90">
        <v>495711.5</v>
      </c>
      <c r="BY34" s="90">
        <f t="array" ref="BY34">XLOOKUP(C34,'PL TOTAL D0'!$A$3:$A$1991,'PL TOTAL D0'!$C$3:$C$1991,"")</f>
        <v>534945.84</v>
      </c>
    </row>
    <row r="35" ht="15.75" customHeight="1">
      <c r="A35" s="50" t="s">
        <v>24</v>
      </c>
      <c r="B35" s="43" t="s">
        <v>942</v>
      </c>
      <c r="C35" s="53" t="s">
        <v>943</v>
      </c>
      <c r="D35" s="30" t="s">
        <v>27</v>
      </c>
      <c r="E35" s="22" t="s">
        <v>28</v>
      </c>
      <c r="F35" s="30" t="s">
        <v>29</v>
      </c>
      <c r="G35" s="47" t="str">
        <f t="shared" si="5"/>
        <v>David</v>
      </c>
      <c r="H35" s="49" t="s">
        <v>183</v>
      </c>
      <c r="I35" s="49" t="s">
        <v>66</v>
      </c>
      <c r="J35" s="47" t="str">
        <f t="shared" si="2"/>
        <v>Não</v>
      </c>
      <c r="K35" s="54">
        <v>46212.0</v>
      </c>
      <c r="L35" s="55"/>
      <c r="M35" s="32" t="s">
        <v>209</v>
      </c>
      <c r="N35" s="56">
        <v>0.015</v>
      </c>
      <c r="O35" s="23" t="s">
        <v>35</v>
      </c>
      <c r="P35" s="57">
        <v>0.1</v>
      </c>
      <c r="Q35" s="58"/>
      <c r="R35" s="58"/>
      <c r="S35" s="32" t="s">
        <v>194</v>
      </c>
      <c r="T35" s="32" t="s">
        <v>952</v>
      </c>
      <c r="U35" s="33" t="s">
        <v>954</v>
      </c>
      <c r="V35" s="33" t="s">
        <v>955</v>
      </c>
      <c r="W35" s="48">
        <v>29918.0</v>
      </c>
      <c r="X35" s="23" t="s">
        <v>28</v>
      </c>
      <c r="Y35" s="49" t="str">
        <f t="shared" si="4"/>
        <v>Ativo</v>
      </c>
      <c r="Z35" s="62"/>
      <c r="AA35" s="32" t="s">
        <v>47</v>
      </c>
      <c r="AB35" s="64"/>
      <c r="AC35" s="79"/>
      <c r="AD35" s="54"/>
      <c r="AE35" s="77"/>
      <c r="AF35" s="79"/>
      <c r="AG35" s="79"/>
      <c r="AH35" s="79"/>
      <c r="AI35" s="79"/>
      <c r="AJ35" s="79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88"/>
      <c r="BU35" s="65"/>
      <c r="BV35" s="65"/>
      <c r="BW35" s="90"/>
      <c r="BX35" s="90">
        <v>0.0</v>
      </c>
      <c r="BY35" s="90">
        <f t="array" ref="BY35">XLOOKUP(C35,'PL TOTAL D0'!$A$3:$A$1991,'PL TOTAL D0'!$C$3:$C$1991,"")</f>
        <v>150923.26</v>
      </c>
    </row>
    <row r="36" ht="15.75" customHeight="1">
      <c r="A36" s="50" t="s">
        <v>24</v>
      </c>
      <c r="B36" s="43" t="s">
        <v>966</v>
      </c>
      <c r="C36" s="53" t="s">
        <v>967</v>
      </c>
      <c r="D36" s="30" t="s">
        <v>89</v>
      </c>
      <c r="E36" s="22" t="s">
        <v>91</v>
      </c>
      <c r="F36" s="30" t="s">
        <v>193</v>
      </c>
      <c r="G36" s="47" t="str">
        <f t="shared" si="5"/>
        <v>David</v>
      </c>
      <c r="H36" s="49" t="s">
        <v>183</v>
      </c>
      <c r="I36" s="49" t="s">
        <v>66</v>
      </c>
      <c r="J36" s="47" t="str">
        <f t="shared" si="2"/>
        <v>Não</v>
      </c>
      <c r="K36" s="54">
        <v>46216.0</v>
      </c>
      <c r="L36" s="55"/>
      <c r="M36" s="32" t="s">
        <v>209</v>
      </c>
      <c r="N36" s="56">
        <v>0.015</v>
      </c>
      <c r="O36" s="23" t="s">
        <v>35</v>
      </c>
      <c r="P36" s="57">
        <v>0.1</v>
      </c>
      <c r="Q36" s="58"/>
      <c r="R36" s="58"/>
      <c r="S36" s="32" t="s">
        <v>194</v>
      </c>
      <c r="T36" s="32" t="s">
        <v>969</v>
      </c>
      <c r="U36" s="33" t="s">
        <v>970</v>
      </c>
      <c r="V36" s="33" t="s">
        <v>971</v>
      </c>
      <c r="W36" s="48">
        <v>23797.0</v>
      </c>
      <c r="X36" s="23" t="s">
        <v>221</v>
      </c>
      <c r="Y36" s="49" t="str">
        <f t="shared" si="4"/>
        <v>Ativo</v>
      </c>
      <c r="Z36" s="62"/>
      <c r="AA36" s="32" t="s">
        <v>165</v>
      </c>
      <c r="AB36" s="64"/>
      <c r="AC36" s="79"/>
      <c r="AD36" s="54"/>
      <c r="AE36" s="77"/>
      <c r="AF36" s="79"/>
      <c r="AG36" s="79"/>
      <c r="AH36" s="79"/>
      <c r="AI36" s="79"/>
      <c r="AJ36" s="79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88"/>
      <c r="BU36" s="65"/>
      <c r="BV36" s="65"/>
      <c r="BW36" s="90"/>
      <c r="BX36" s="90">
        <v>0.0</v>
      </c>
      <c r="BY36" s="90">
        <f t="array" ref="BY36">XLOOKUP(C36,'PL TOTAL D0'!$A$3:$A$1991,'PL TOTAL D0'!$C$3:$C$1991,"")</f>
        <v>452141.01</v>
      </c>
    </row>
    <row r="37" ht="15.75" customHeight="1">
      <c r="A37" s="50" t="s">
        <v>24</v>
      </c>
      <c r="B37" s="50" t="s">
        <v>520</v>
      </c>
      <c r="C37" s="94" t="s">
        <v>986</v>
      </c>
      <c r="D37" s="30" t="s">
        <v>89</v>
      </c>
      <c r="E37" s="95" t="s">
        <v>91</v>
      </c>
      <c r="F37" s="81" t="s">
        <v>521</v>
      </c>
      <c r="G37" s="47" t="str">
        <f t="shared" si="5"/>
        <v>David</v>
      </c>
      <c r="H37" s="49" t="s">
        <v>183</v>
      </c>
      <c r="I37" s="49" t="s">
        <v>66</v>
      </c>
      <c r="J37" s="47" t="str">
        <f t="shared" si="2"/>
        <v>Não</v>
      </c>
      <c r="K37" s="54">
        <v>45982.0</v>
      </c>
      <c r="L37" s="186"/>
      <c r="M37" s="32" t="s">
        <v>61</v>
      </c>
      <c r="N37" s="56">
        <v>0.012</v>
      </c>
      <c r="O37" s="23" t="s">
        <v>66</v>
      </c>
      <c r="P37" s="57">
        <v>0.0</v>
      </c>
      <c r="Q37" s="58"/>
      <c r="R37" s="58" t="s">
        <v>1004</v>
      </c>
      <c r="S37" s="62" t="s">
        <v>194</v>
      </c>
      <c r="T37" s="32" t="s">
        <v>523</v>
      </c>
      <c r="U37" s="33" t="s">
        <v>1008</v>
      </c>
      <c r="V37" s="33" t="s">
        <v>525</v>
      </c>
      <c r="W37" s="48">
        <v>25802.0</v>
      </c>
      <c r="X37" s="23" t="s">
        <v>221</v>
      </c>
      <c r="Y37" s="49" t="str">
        <f t="shared" si="4"/>
        <v>Ativo</v>
      </c>
      <c r="Z37" s="62"/>
      <c r="AA37" s="32" t="s">
        <v>47</v>
      </c>
      <c r="AB37" s="64" t="s">
        <v>269</v>
      </c>
      <c r="AC37" s="79"/>
      <c r="AD37" s="54">
        <v>45166.0</v>
      </c>
      <c r="AE37" s="77">
        <v>4.9075100011052E13</v>
      </c>
      <c r="AF37" s="79"/>
      <c r="AG37" s="79"/>
      <c r="AH37" s="79"/>
      <c r="AI37" s="79"/>
      <c r="AJ37" s="79"/>
      <c r="AK37" s="79"/>
      <c r="AL37" s="65">
        <v>0.0</v>
      </c>
      <c r="AM37" s="65">
        <v>0.0</v>
      </c>
      <c r="AN37" s="65">
        <v>0.0</v>
      </c>
      <c r="AO37" s="65">
        <v>0.0</v>
      </c>
      <c r="AP37" s="65">
        <v>0.0</v>
      </c>
      <c r="AQ37" s="65">
        <v>238854.55</v>
      </c>
      <c r="AR37" s="65">
        <v>237988.82</v>
      </c>
      <c r="AS37" s="65">
        <v>243644.48</v>
      </c>
      <c r="AT37" s="65">
        <v>248581.27</v>
      </c>
      <c r="AU37" s="65">
        <v>243901.96</v>
      </c>
      <c r="AV37" s="65">
        <v>22702.09</v>
      </c>
      <c r="AW37" s="65">
        <v>22583.51</v>
      </c>
      <c r="AX37" s="65">
        <v>22731.6</v>
      </c>
      <c r="AY37" s="65">
        <v>22870.18</v>
      </c>
      <c r="AZ37" s="65">
        <v>23007.81</v>
      </c>
      <c r="BA37" s="65">
        <v>23185.59</v>
      </c>
      <c r="BB37" s="65">
        <v>23352.68</v>
      </c>
      <c r="BC37" s="65">
        <v>23514.39</v>
      </c>
      <c r="BD37" s="65">
        <v>0.0</v>
      </c>
      <c r="BE37" s="65">
        <v>0.0</v>
      </c>
      <c r="BF37" s="65">
        <v>0.0</v>
      </c>
      <c r="BG37" s="65">
        <v>0.0</v>
      </c>
      <c r="BH37" s="65">
        <v>0.0</v>
      </c>
      <c r="BI37" s="65">
        <v>0.0</v>
      </c>
      <c r="BJ37" s="65">
        <v>0.0</v>
      </c>
      <c r="BK37" s="65">
        <v>0.0</v>
      </c>
      <c r="BL37" s="65">
        <v>0.0</v>
      </c>
      <c r="BM37" s="65">
        <v>0.0</v>
      </c>
      <c r="BN37" s="65">
        <v>0.0</v>
      </c>
      <c r="BO37" s="65">
        <v>0.0</v>
      </c>
      <c r="BP37" s="65">
        <v>0.0</v>
      </c>
      <c r="BQ37" s="65">
        <v>113570.4</v>
      </c>
      <c r="BR37" s="65">
        <v>114815.4</v>
      </c>
      <c r="BS37" s="65">
        <v>115959.86</v>
      </c>
      <c r="BT37" s="88">
        <v>116980.1</v>
      </c>
      <c r="BU37" s="65">
        <v>118349.3</v>
      </c>
      <c r="BV37" s="65">
        <v>119638.5</v>
      </c>
      <c r="BW37" s="90">
        <v>120916.8</v>
      </c>
      <c r="BX37" s="90">
        <v>121652.51</v>
      </c>
      <c r="BY37" s="90">
        <f t="array" ref="BY37">XLOOKUP(C37,'PL TOTAL D0'!$A$3:$A$1991,'PL TOTAL D0'!$C$3:$C$1991,"")</f>
        <v>122978.6</v>
      </c>
    </row>
    <row r="38" ht="15.75" customHeight="1">
      <c r="A38" s="50" t="s">
        <v>24</v>
      </c>
      <c r="B38" s="188" t="s">
        <v>1069</v>
      </c>
      <c r="C38" s="94" t="s">
        <v>1071</v>
      </c>
      <c r="D38" s="30" t="s">
        <v>365</v>
      </c>
      <c r="E38" s="22" t="s">
        <v>199</v>
      </c>
      <c r="F38" s="30" t="s">
        <v>1074</v>
      </c>
      <c r="G38" s="47" t="str">
        <f t="shared" si="5"/>
        <v>David</v>
      </c>
      <c r="H38" s="49" t="s">
        <v>295</v>
      </c>
      <c r="I38" s="49" t="s">
        <v>382</v>
      </c>
      <c r="J38" s="47" t="str">
        <f t="shared" si="2"/>
        <v>Não</v>
      </c>
      <c r="K38" s="54">
        <v>45426.0</v>
      </c>
      <c r="L38" s="189"/>
      <c r="M38" s="32" t="s">
        <v>61</v>
      </c>
      <c r="N38" s="56">
        <v>0.012</v>
      </c>
      <c r="O38" s="23" t="s">
        <v>66</v>
      </c>
      <c r="P38" s="57">
        <v>0.0</v>
      </c>
      <c r="Q38" s="58"/>
      <c r="R38" s="58"/>
      <c r="S38" s="32" t="s">
        <v>194</v>
      </c>
      <c r="T38" s="177" t="s">
        <v>1079</v>
      </c>
      <c r="U38" s="33">
        <v>5.561995360707E12</v>
      </c>
      <c r="V38" s="33" t="s">
        <v>1080</v>
      </c>
      <c r="W38" s="34">
        <v>20606.0</v>
      </c>
      <c r="X38" s="23" t="s">
        <v>199</v>
      </c>
      <c r="Y38" s="49" t="str">
        <f t="shared" si="4"/>
        <v>Ativo</v>
      </c>
      <c r="Z38" s="32"/>
      <c r="AA38" s="32" t="s">
        <v>107</v>
      </c>
      <c r="AB38" s="64" t="s">
        <v>269</v>
      </c>
      <c r="AC38" s="79"/>
      <c r="AD38" s="54">
        <v>45426.0</v>
      </c>
      <c r="AE38" s="77">
        <v>4.9075100014401E13</v>
      </c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65"/>
      <c r="AW38" s="65"/>
      <c r="AX38" s="65"/>
      <c r="AY38" s="65">
        <v>100500.8</v>
      </c>
      <c r="AZ38" s="65">
        <v>101325.3</v>
      </c>
      <c r="BA38" s="65">
        <v>102220.7</v>
      </c>
      <c r="BB38" s="65">
        <v>103033.35</v>
      </c>
      <c r="BC38" s="65">
        <v>103776.92</v>
      </c>
      <c r="BD38" s="65">
        <v>104644.94</v>
      </c>
      <c r="BE38" s="65">
        <v>105385.27</v>
      </c>
      <c r="BF38" s="65">
        <v>105970.95</v>
      </c>
      <c r="BG38" s="65">
        <v>106908.07</v>
      </c>
      <c r="BH38" s="65">
        <v>107768.52</v>
      </c>
      <c r="BI38" s="65">
        <v>104640.99</v>
      </c>
      <c r="BJ38" s="65">
        <v>105788.83</v>
      </c>
      <c r="BK38" s="65">
        <v>0.0</v>
      </c>
      <c r="BL38" s="65">
        <v>46.08</v>
      </c>
      <c r="BM38" s="65">
        <v>46.08</v>
      </c>
      <c r="BN38" s="65">
        <v>46.08</v>
      </c>
      <c r="BO38" s="65">
        <v>46.08</v>
      </c>
      <c r="BP38" s="65">
        <v>46.08</v>
      </c>
      <c r="BQ38" s="65">
        <v>46.08</v>
      </c>
      <c r="BR38" s="65">
        <v>46.08</v>
      </c>
      <c r="BS38" s="65">
        <v>46.08</v>
      </c>
      <c r="BT38" s="88">
        <v>46.08</v>
      </c>
      <c r="BU38" s="65">
        <v>46.08</v>
      </c>
      <c r="BV38" s="65">
        <v>46.08</v>
      </c>
      <c r="BW38" s="90">
        <v>46.08</v>
      </c>
      <c r="BX38" s="90">
        <v>46.08</v>
      </c>
      <c r="BY38" s="90" t="str">
        <f t="array" ref="BY38">XLOOKUP(C38,'PL TOTAL D0'!$A$3:$A$1991,'PL TOTAL D0'!$C$3:$C$1991,"")</f>
        <v/>
      </c>
    </row>
    <row r="39" ht="15.75" customHeight="1">
      <c r="A39" s="50" t="s">
        <v>24</v>
      </c>
      <c r="B39" s="191" t="s">
        <v>1093</v>
      </c>
      <c r="C39" s="94" t="s">
        <v>1097</v>
      </c>
      <c r="D39" s="81" t="s">
        <v>120</v>
      </c>
      <c r="E39" s="95" t="s">
        <v>199</v>
      </c>
      <c r="F39" s="30" t="s">
        <v>677</v>
      </c>
      <c r="G39" s="47" t="str">
        <f t="shared" si="5"/>
        <v>David</v>
      </c>
      <c r="H39" s="49" t="s">
        <v>224</v>
      </c>
      <c r="I39" s="74" t="s">
        <v>66</v>
      </c>
      <c r="J39" s="47" t="str">
        <f t="shared" si="2"/>
        <v>Não</v>
      </c>
      <c r="K39" s="97">
        <v>45201.0</v>
      </c>
      <c r="L39" s="186">
        <v>45414.0</v>
      </c>
      <c r="M39" s="62" t="s">
        <v>61</v>
      </c>
      <c r="N39" s="98">
        <v>0.01</v>
      </c>
      <c r="O39" s="47" t="s">
        <v>66</v>
      </c>
      <c r="P39" s="99">
        <v>0.0</v>
      </c>
      <c r="Q39" s="58"/>
      <c r="R39" s="42" t="s">
        <v>1103</v>
      </c>
      <c r="S39" s="62" t="s">
        <v>194</v>
      </c>
      <c r="T39" s="32" t="s">
        <v>1105</v>
      </c>
      <c r="U39" s="33" t="s">
        <v>268</v>
      </c>
      <c r="V39" s="33"/>
      <c r="W39" s="33" t="s">
        <v>268</v>
      </c>
      <c r="X39" s="23" t="s">
        <v>199</v>
      </c>
      <c r="Y39" s="49" t="str">
        <f t="shared" si="4"/>
        <v>Encerrado</v>
      </c>
      <c r="Z39" s="62"/>
      <c r="AA39" s="62"/>
      <c r="AB39" s="64" t="s">
        <v>244</v>
      </c>
      <c r="AC39" s="79"/>
      <c r="AD39" s="54">
        <v>45201.0</v>
      </c>
      <c r="AE39" s="77">
        <v>4.9075100011079E13</v>
      </c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65">
        <v>0.0</v>
      </c>
      <c r="AR39" s="65">
        <v>56301.66</v>
      </c>
      <c r="AS39" s="65">
        <v>56710.28</v>
      </c>
      <c r="AT39" s="65">
        <v>57141.5</v>
      </c>
      <c r="AU39" s="65">
        <v>57124.59</v>
      </c>
      <c r="AV39" s="65">
        <v>57677.35</v>
      </c>
      <c r="AW39" s="65">
        <v>58076.04</v>
      </c>
      <c r="AX39" s="65">
        <v>0.0</v>
      </c>
      <c r="AY39" s="65">
        <v>0.0</v>
      </c>
      <c r="AZ39" s="65">
        <v>1.7</v>
      </c>
      <c r="BA39" s="65">
        <v>1.7</v>
      </c>
      <c r="BB39" s="65">
        <v>1.7</v>
      </c>
      <c r="BC39" s="65">
        <v>1.7</v>
      </c>
      <c r="BD39" s="65">
        <v>1.7</v>
      </c>
      <c r="BE39" s="65">
        <v>1.7</v>
      </c>
      <c r="BF39" s="65">
        <v>1.7</v>
      </c>
      <c r="BG39" s="65">
        <v>1.7</v>
      </c>
      <c r="BH39" s="65">
        <v>1.7</v>
      </c>
      <c r="BI39" s="65">
        <v>1.7</v>
      </c>
      <c r="BJ39" s="65">
        <v>0.0</v>
      </c>
      <c r="BK39" s="65">
        <v>0.0</v>
      </c>
      <c r="BL39" s="65">
        <v>0.0</v>
      </c>
      <c r="BM39" s="65">
        <v>0.0</v>
      </c>
      <c r="BN39" s="65">
        <v>0.0</v>
      </c>
      <c r="BO39" s="65">
        <v>0.0</v>
      </c>
      <c r="BP39" s="65">
        <v>0.0</v>
      </c>
      <c r="BQ39" s="65">
        <v>0.0</v>
      </c>
      <c r="BR39" s="65">
        <v>0.0</v>
      </c>
      <c r="BS39" s="65">
        <v>0.0</v>
      </c>
      <c r="BT39" s="88">
        <v>0.0</v>
      </c>
      <c r="BU39" s="65">
        <v>0.0</v>
      </c>
      <c r="BV39" s="65">
        <v>0.0</v>
      </c>
      <c r="BW39" s="90">
        <v>0.0</v>
      </c>
      <c r="BX39" s="90">
        <v>0.0</v>
      </c>
      <c r="BY39" s="90" t="str">
        <f t="array" ref="BY39">XLOOKUP(C39,'PL TOTAL D0'!$A$3:$A$1991,'PL TOTAL D0'!$C$3:$C$1991,"")</f>
        <v/>
      </c>
    </row>
    <row r="40" ht="15.75" customHeight="1">
      <c r="A40" s="50" t="s">
        <v>24</v>
      </c>
      <c r="B40" s="191" t="s">
        <v>1093</v>
      </c>
      <c r="C40" s="94" t="s">
        <v>1123</v>
      </c>
      <c r="D40" s="81" t="s">
        <v>120</v>
      </c>
      <c r="E40" s="95" t="s">
        <v>199</v>
      </c>
      <c r="F40" s="30" t="s">
        <v>677</v>
      </c>
      <c r="G40" s="47" t="str">
        <f t="shared" si="5"/>
        <v>David</v>
      </c>
      <c r="H40" s="49" t="s">
        <v>224</v>
      </c>
      <c r="I40" s="49" t="s">
        <v>66</v>
      </c>
      <c r="J40" s="47" t="str">
        <f t="shared" si="2"/>
        <v>Não</v>
      </c>
      <c r="K40" s="97">
        <v>45196.0</v>
      </c>
      <c r="L40" s="186">
        <v>45414.0</v>
      </c>
      <c r="M40" s="62" t="s">
        <v>231</v>
      </c>
      <c r="N40" s="98">
        <v>0.02</v>
      </c>
      <c r="O40" s="23" t="s">
        <v>233</v>
      </c>
      <c r="P40" s="99">
        <v>0.2</v>
      </c>
      <c r="Q40" s="58"/>
      <c r="R40" s="42" t="s">
        <v>1126</v>
      </c>
      <c r="S40" s="62" t="s">
        <v>194</v>
      </c>
      <c r="T40" s="32" t="s">
        <v>1105</v>
      </c>
      <c r="U40" s="33">
        <v>5.561981567737E12</v>
      </c>
      <c r="V40" s="33" t="s">
        <v>1127</v>
      </c>
      <c r="W40" s="34">
        <v>32257.0</v>
      </c>
      <c r="X40" s="23" t="s">
        <v>199</v>
      </c>
      <c r="Y40" s="49" t="str">
        <f t="shared" si="4"/>
        <v>Encerrado</v>
      </c>
      <c r="Z40" s="62"/>
      <c r="AA40" s="62"/>
      <c r="AB40" s="64" t="s">
        <v>244</v>
      </c>
      <c r="AC40" s="79"/>
      <c r="AD40" s="54">
        <v>45196.0</v>
      </c>
      <c r="AE40" s="77">
        <v>4.907510001106E13</v>
      </c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65">
        <v>0.0</v>
      </c>
      <c r="AR40" s="65">
        <v>0.0</v>
      </c>
      <c r="AS40" s="65">
        <v>0.0</v>
      </c>
      <c r="AT40" s="65">
        <v>0.0</v>
      </c>
      <c r="AU40" s="65">
        <v>0.0</v>
      </c>
      <c r="AV40" s="65">
        <v>1.06</v>
      </c>
      <c r="AW40" s="65">
        <v>1.06</v>
      </c>
      <c r="AX40" s="65">
        <v>0.0</v>
      </c>
      <c r="AY40" s="65">
        <v>0.0</v>
      </c>
      <c r="AZ40" s="65">
        <v>0.0</v>
      </c>
      <c r="BA40" s="65">
        <v>0.0</v>
      </c>
      <c r="BB40" s="65">
        <v>0.0</v>
      </c>
      <c r="BC40" s="65">
        <v>0.0</v>
      </c>
      <c r="BD40" s="65">
        <v>0.0</v>
      </c>
      <c r="BE40" s="65">
        <v>0.0</v>
      </c>
      <c r="BF40" s="65">
        <v>0.0</v>
      </c>
      <c r="BG40" s="65">
        <v>0.0</v>
      </c>
      <c r="BH40" s="65">
        <v>0.0</v>
      </c>
      <c r="BI40" s="65">
        <v>0.0</v>
      </c>
      <c r="BJ40" s="65">
        <v>1.7</v>
      </c>
      <c r="BK40" s="65">
        <v>1.7</v>
      </c>
      <c r="BL40" s="65">
        <v>1.7</v>
      </c>
      <c r="BM40" s="65">
        <v>1.7</v>
      </c>
      <c r="BN40" s="65">
        <v>1.7</v>
      </c>
      <c r="BO40" s="65">
        <v>1.7</v>
      </c>
      <c r="BP40" s="65">
        <v>1.7</v>
      </c>
      <c r="BQ40" s="65">
        <v>1.7</v>
      </c>
      <c r="BR40" s="65">
        <v>1.7</v>
      </c>
      <c r="BS40" s="65">
        <v>1.7</v>
      </c>
      <c r="BT40" s="88">
        <v>1.7</v>
      </c>
      <c r="BU40" s="65">
        <v>1.7</v>
      </c>
      <c r="BV40" s="65">
        <v>1.7</v>
      </c>
      <c r="BW40" s="90">
        <v>1.7</v>
      </c>
      <c r="BX40" s="90">
        <v>1.7</v>
      </c>
      <c r="BY40" s="90" t="str">
        <f t="array" ref="BY40">XLOOKUP(C40,'PL TOTAL D0'!$A$3:$A$1991,'PL TOTAL D0'!$C$3:$C$1991,"")</f>
        <v/>
      </c>
    </row>
    <row r="41" ht="15.75" customHeight="1">
      <c r="A41" s="50" t="s">
        <v>24</v>
      </c>
      <c r="B41" s="191" t="s">
        <v>1093</v>
      </c>
      <c r="C41" s="94" t="s">
        <v>1139</v>
      </c>
      <c r="D41" s="81" t="s">
        <v>120</v>
      </c>
      <c r="E41" s="95" t="s">
        <v>199</v>
      </c>
      <c r="F41" s="30" t="s">
        <v>677</v>
      </c>
      <c r="G41" s="47" t="str">
        <f t="shared" si="5"/>
        <v>David</v>
      </c>
      <c r="H41" s="49" t="s">
        <v>224</v>
      </c>
      <c r="I41" s="49" t="s">
        <v>66</v>
      </c>
      <c r="J41" s="47" t="str">
        <f t="shared" si="2"/>
        <v>Não</v>
      </c>
      <c r="K41" s="97">
        <v>45202.0</v>
      </c>
      <c r="L41" s="186">
        <v>45414.0</v>
      </c>
      <c r="M41" s="62" t="s">
        <v>1142</v>
      </c>
      <c r="N41" s="98">
        <v>0.008</v>
      </c>
      <c r="O41" s="47" t="s">
        <v>1143</v>
      </c>
      <c r="P41" s="99">
        <v>0.1</v>
      </c>
      <c r="Q41" s="58"/>
      <c r="R41" s="192" t="s">
        <v>1144</v>
      </c>
      <c r="S41" s="62" t="s">
        <v>194</v>
      </c>
      <c r="T41" s="32" t="s">
        <v>1105</v>
      </c>
      <c r="U41" s="33">
        <v>5.561981567737E12</v>
      </c>
      <c r="V41" s="33" t="s">
        <v>1127</v>
      </c>
      <c r="W41" s="34">
        <v>32257.0</v>
      </c>
      <c r="X41" s="23" t="s">
        <v>199</v>
      </c>
      <c r="Y41" s="49" t="str">
        <f t="shared" si="4"/>
        <v>Encerrado</v>
      </c>
      <c r="Z41" s="62"/>
      <c r="AA41" s="62"/>
      <c r="AB41" s="64" t="s">
        <v>244</v>
      </c>
      <c r="AC41" s="79"/>
      <c r="AD41" s="54">
        <v>45202.0</v>
      </c>
      <c r="AE41" s="77">
        <v>4.9075100011087E13</v>
      </c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65">
        <v>0.0</v>
      </c>
      <c r="AR41" s="65">
        <v>50.92</v>
      </c>
      <c r="AS41" s="65">
        <v>33.05</v>
      </c>
      <c r="AT41" s="65">
        <v>33.05</v>
      </c>
      <c r="AU41" s="65">
        <v>33.05</v>
      </c>
      <c r="AV41" s="65">
        <v>33.05</v>
      </c>
      <c r="AW41" s="65">
        <v>33.05</v>
      </c>
      <c r="AX41" s="65">
        <v>0.0</v>
      </c>
      <c r="AY41" s="65">
        <v>0.0</v>
      </c>
      <c r="AZ41" s="65">
        <v>0.0</v>
      </c>
      <c r="BA41" s="65">
        <v>0.0</v>
      </c>
      <c r="BB41" s="65">
        <v>0.0</v>
      </c>
      <c r="BC41" s="65">
        <v>0.0</v>
      </c>
      <c r="BD41" s="65">
        <v>0.0</v>
      </c>
      <c r="BE41" s="65">
        <v>0.0</v>
      </c>
      <c r="BF41" s="65">
        <v>0.0</v>
      </c>
      <c r="BG41" s="65">
        <v>0.0</v>
      </c>
      <c r="BH41" s="65">
        <v>0.0</v>
      </c>
      <c r="BI41" s="65">
        <v>0.0</v>
      </c>
      <c r="BJ41" s="65">
        <v>0.0</v>
      </c>
      <c r="BK41" s="65">
        <v>0.0</v>
      </c>
      <c r="BL41" s="65">
        <v>0.0</v>
      </c>
      <c r="BM41" s="65">
        <v>0.0</v>
      </c>
      <c r="BN41" s="65">
        <v>0.0</v>
      </c>
      <c r="BO41" s="65">
        <v>0.0</v>
      </c>
      <c r="BP41" s="65">
        <v>0.0</v>
      </c>
      <c r="BQ41" s="65">
        <v>0.0</v>
      </c>
      <c r="BR41" s="65">
        <v>0.0</v>
      </c>
      <c r="BS41" s="65">
        <v>0.0</v>
      </c>
      <c r="BT41" s="88">
        <v>0.0</v>
      </c>
      <c r="BU41" s="65">
        <v>0.0</v>
      </c>
      <c r="BV41" s="65">
        <v>0.0</v>
      </c>
      <c r="BW41" s="90">
        <v>0.0</v>
      </c>
      <c r="BX41" s="90">
        <v>0.0</v>
      </c>
      <c r="BY41" s="90" t="str">
        <f t="array" ref="BY41">XLOOKUP(C41,'PL TOTAL D0'!$A$3:$A$1991,'PL TOTAL D0'!$C$3:$C$1991,"")</f>
        <v/>
      </c>
    </row>
    <row r="42" ht="15.75" customHeight="1">
      <c r="A42" s="50" t="s">
        <v>24</v>
      </c>
      <c r="B42" s="43" t="s">
        <v>1160</v>
      </c>
      <c r="C42" s="94" t="s">
        <v>1161</v>
      </c>
      <c r="D42" s="30" t="s">
        <v>89</v>
      </c>
      <c r="E42" s="95" t="s">
        <v>91</v>
      </c>
      <c r="F42" s="81" t="s">
        <v>193</v>
      </c>
      <c r="G42" s="47" t="str">
        <f t="shared" si="5"/>
        <v>David</v>
      </c>
      <c r="H42" s="49" t="s">
        <v>183</v>
      </c>
      <c r="I42" s="49" t="s">
        <v>66</v>
      </c>
      <c r="J42" s="47" t="str">
        <f t="shared" si="2"/>
        <v>Não</v>
      </c>
      <c r="K42" s="97">
        <v>45198.0</v>
      </c>
      <c r="L42" s="194"/>
      <c r="M42" s="32" t="s">
        <v>209</v>
      </c>
      <c r="N42" s="56">
        <v>0.015</v>
      </c>
      <c r="O42" s="23" t="s">
        <v>35</v>
      </c>
      <c r="P42" s="57">
        <v>0.1</v>
      </c>
      <c r="Q42" s="58"/>
      <c r="R42" s="195" t="s">
        <v>1166</v>
      </c>
      <c r="S42" s="62" t="s">
        <v>194</v>
      </c>
      <c r="T42" s="32" t="s">
        <v>1167</v>
      </c>
      <c r="U42" s="33">
        <v>5.543999889697E12</v>
      </c>
      <c r="V42" s="33" t="s">
        <v>1168</v>
      </c>
      <c r="W42" s="48">
        <v>28486.0</v>
      </c>
      <c r="X42" s="23" t="s">
        <v>221</v>
      </c>
      <c r="Y42" s="49" t="str">
        <f t="shared" si="4"/>
        <v>Ativo</v>
      </c>
      <c r="Z42" s="62"/>
      <c r="AA42" s="62"/>
      <c r="AB42" s="64" t="s">
        <v>269</v>
      </c>
      <c r="AC42" s="79"/>
      <c r="AD42" s="54">
        <v>45198.0</v>
      </c>
      <c r="AE42" s="77">
        <v>4.9075100011095E13</v>
      </c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65">
        <v>0.0</v>
      </c>
      <c r="AR42" s="65">
        <v>123194.03</v>
      </c>
      <c r="AS42" s="65">
        <v>125199.64</v>
      </c>
      <c r="AT42" s="65">
        <v>127045.25</v>
      </c>
      <c r="AU42" s="65">
        <v>126759.44</v>
      </c>
      <c r="AV42" s="65">
        <v>127792.29</v>
      </c>
      <c r="AW42" s="65">
        <v>129147.26</v>
      </c>
      <c r="AX42" s="65">
        <v>129298.77</v>
      </c>
      <c r="AY42" s="65">
        <v>129527.5</v>
      </c>
      <c r="AZ42" s="65">
        <v>130473.4</v>
      </c>
      <c r="BA42" s="65">
        <v>131745.5</v>
      </c>
      <c r="BB42" s="65">
        <v>147881.88</v>
      </c>
      <c r="BC42" s="65">
        <v>147535.75</v>
      </c>
      <c r="BD42" s="65">
        <v>147662.89</v>
      </c>
      <c r="BE42" s="65">
        <v>146495.06</v>
      </c>
      <c r="BF42" s="65">
        <v>146538.08</v>
      </c>
      <c r="BG42" s="65">
        <v>148280.4</v>
      </c>
      <c r="BH42" s="65">
        <v>149336.18</v>
      </c>
      <c r="BI42" s="65">
        <v>206800.92</v>
      </c>
      <c r="BJ42" s="65">
        <v>211550.33</v>
      </c>
      <c r="BK42" s="65">
        <v>214903.22</v>
      </c>
      <c r="BL42" s="65">
        <v>216333.09</v>
      </c>
      <c r="BM42" s="65">
        <v>161830.94</v>
      </c>
      <c r="BN42" s="65">
        <v>163644.7</v>
      </c>
      <c r="BO42" s="65">
        <v>165660.0</v>
      </c>
      <c r="BP42" s="65">
        <v>167783.5</v>
      </c>
      <c r="BQ42" s="65">
        <v>170397.8</v>
      </c>
      <c r="BR42" s="65">
        <v>172105.6</v>
      </c>
      <c r="BS42" s="65">
        <v>158687.63</v>
      </c>
      <c r="BT42" s="88">
        <v>160528.9</v>
      </c>
      <c r="BU42" s="65">
        <v>162330.8</v>
      </c>
      <c r="BV42" s="65">
        <v>163851.4</v>
      </c>
      <c r="BW42" s="90">
        <v>162103.9</v>
      </c>
      <c r="BX42" s="90">
        <v>169805.87</v>
      </c>
      <c r="BY42" s="90">
        <f t="array" ref="BY42">XLOOKUP(C42,'PL TOTAL D0'!$A$3:$A$1991,'PL TOTAL D0'!$C$3:$C$1991,"")</f>
        <v>165457.44</v>
      </c>
    </row>
    <row r="43">
      <c r="A43" s="50" t="s">
        <v>24</v>
      </c>
      <c r="B43" s="50" t="s">
        <v>1160</v>
      </c>
      <c r="C43" s="94" t="s">
        <v>1181</v>
      </c>
      <c r="D43" s="30" t="s">
        <v>89</v>
      </c>
      <c r="E43" s="95" t="s">
        <v>91</v>
      </c>
      <c r="F43" s="81" t="s">
        <v>193</v>
      </c>
      <c r="G43" s="47" t="str">
        <f t="shared" si="5"/>
        <v>David</v>
      </c>
      <c r="H43" s="74" t="s">
        <v>224</v>
      </c>
      <c r="I43" s="74" t="s">
        <v>66</v>
      </c>
      <c r="J43" s="47" t="str">
        <f t="shared" si="2"/>
        <v>Não</v>
      </c>
      <c r="K43" s="97">
        <v>45131.0</v>
      </c>
      <c r="L43" s="194">
        <v>45163.0</v>
      </c>
      <c r="M43" s="62" t="s">
        <v>61</v>
      </c>
      <c r="N43" s="98">
        <v>0.012</v>
      </c>
      <c r="O43" s="47" t="s">
        <v>66</v>
      </c>
      <c r="P43" s="99">
        <v>0.0</v>
      </c>
      <c r="Q43" s="58"/>
      <c r="R43" s="70"/>
      <c r="S43" s="62" t="s">
        <v>194</v>
      </c>
      <c r="T43" s="32" t="s">
        <v>1167</v>
      </c>
      <c r="U43" s="33" t="s">
        <v>268</v>
      </c>
      <c r="V43" s="33"/>
      <c r="W43" s="33" t="s">
        <v>268</v>
      </c>
      <c r="X43" s="23" t="s">
        <v>221</v>
      </c>
      <c r="Y43" s="49" t="str">
        <f t="shared" si="4"/>
        <v>Encerrado</v>
      </c>
      <c r="Z43" s="62"/>
      <c r="AA43" s="62"/>
      <c r="AB43" s="64"/>
      <c r="AC43" s="79"/>
      <c r="AD43" s="54">
        <v>45131.0</v>
      </c>
      <c r="AE43" s="77"/>
      <c r="AF43" s="79"/>
      <c r="AG43" s="79"/>
      <c r="AH43" s="79"/>
      <c r="AI43" s="79"/>
      <c r="AJ43" s="79"/>
      <c r="AK43" s="79"/>
      <c r="AL43" s="79"/>
      <c r="AM43" s="79"/>
      <c r="AN43" s="79"/>
      <c r="AO43" s="65">
        <v>0.0</v>
      </c>
      <c r="AP43" s="65">
        <v>0.0</v>
      </c>
      <c r="AQ43" s="65">
        <v>0.0</v>
      </c>
      <c r="AR43" s="65">
        <v>0.0</v>
      </c>
      <c r="AS43" s="65">
        <v>0.0</v>
      </c>
      <c r="AT43" s="65">
        <v>0.0</v>
      </c>
      <c r="AU43" s="65">
        <v>0.0</v>
      </c>
      <c r="AV43" s="65">
        <v>0.0</v>
      </c>
      <c r="AW43" s="65">
        <v>0.0</v>
      </c>
      <c r="AX43" s="65">
        <v>0.0</v>
      </c>
      <c r="AY43" s="65">
        <v>0.0</v>
      </c>
      <c r="AZ43" s="65">
        <v>0.0</v>
      </c>
      <c r="BA43" s="65">
        <v>0.0</v>
      </c>
      <c r="BB43" s="65">
        <v>0.0</v>
      </c>
      <c r="BC43" s="65">
        <v>0.0</v>
      </c>
      <c r="BD43" s="65">
        <v>0.0</v>
      </c>
      <c r="BE43" s="65">
        <v>0.0</v>
      </c>
      <c r="BF43" s="65">
        <v>0.0</v>
      </c>
      <c r="BG43" s="65">
        <v>0.0</v>
      </c>
      <c r="BH43" s="65">
        <v>0.0</v>
      </c>
      <c r="BI43" s="65">
        <v>0.0</v>
      </c>
      <c r="BJ43" s="65">
        <v>0.0</v>
      </c>
      <c r="BK43" s="65">
        <v>0.0</v>
      </c>
      <c r="BL43" s="65">
        <v>0.0</v>
      </c>
      <c r="BM43" s="65">
        <v>0.0</v>
      </c>
      <c r="BN43" s="65">
        <v>0.0</v>
      </c>
      <c r="BO43" s="65">
        <v>0.0</v>
      </c>
      <c r="BP43" s="65">
        <v>0.0</v>
      </c>
      <c r="BQ43" s="65">
        <v>0.0</v>
      </c>
      <c r="BR43" s="65">
        <v>0.0</v>
      </c>
      <c r="BS43" s="65">
        <v>0.0</v>
      </c>
      <c r="BT43" s="88">
        <v>0.0</v>
      </c>
      <c r="BU43" s="65">
        <v>0.0</v>
      </c>
      <c r="BV43" s="65">
        <v>0.0</v>
      </c>
      <c r="BW43" s="90">
        <v>0.0</v>
      </c>
      <c r="BX43" s="90">
        <v>0.0</v>
      </c>
      <c r="BY43" s="90" t="str">
        <f t="array" ref="BY43">XLOOKUP(C43,'PL TOTAL D0'!$A$3:$A$1991,'PL TOTAL D0'!$C$3:$C$1991,"")</f>
        <v/>
      </c>
    </row>
    <row r="44">
      <c r="A44" s="50" t="s">
        <v>24</v>
      </c>
      <c r="B44" s="43" t="s">
        <v>1199</v>
      </c>
      <c r="C44" s="94" t="s">
        <v>1203</v>
      </c>
      <c r="D44" s="30" t="s">
        <v>120</v>
      </c>
      <c r="E44" s="22" t="s">
        <v>199</v>
      </c>
      <c r="F44" s="30" t="s">
        <v>388</v>
      </c>
      <c r="G44" s="47" t="str">
        <f t="shared" si="5"/>
        <v>David</v>
      </c>
      <c r="H44" s="49" t="s">
        <v>295</v>
      </c>
      <c r="I44" s="49" t="s">
        <v>382</v>
      </c>
      <c r="J44" s="47" t="str">
        <f t="shared" si="2"/>
        <v>Não</v>
      </c>
      <c r="K44" s="54">
        <v>45639.0</v>
      </c>
      <c r="L44" s="194"/>
      <c r="M44" s="32" t="s">
        <v>61</v>
      </c>
      <c r="N44" s="56">
        <v>0.0</v>
      </c>
      <c r="O44" s="23" t="s">
        <v>66</v>
      </c>
      <c r="P44" s="57">
        <v>0.0</v>
      </c>
      <c r="Q44" s="58"/>
      <c r="R44" s="70"/>
      <c r="S44" s="32" t="s">
        <v>194</v>
      </c>
      <c r="T44" s="32" t="s">
        <v>1207</v>
      </c>
      <c r="U44" s="33">
        <v>5.5619823532E12</v>
      </c>
      <c r="V44" s="33" t="s">
        <v>1208</v>
      </c>
      <c r="W44" s="34">
        <v>37106.0</v>
      </c>
      <c r="X44" s="23" t="s">
        <v>199</v>
      </c>
      <c r="Y44" s="49" t="str">
        <f t="shared" si="4"/>
        <v>Ativo</v>
      </c>
      <c r="Z44" s="62"/>
      <c r="AA44" s="32" t="s">
        <v>107</v>
      </c>
      <c r="AB44" s="64"/>
      <c r="AC44" s="79"/>
      <c r="AD44" s="54">
        <v>45649.0</v>
      </c>
      <c r="AE44" s="77">
        <v>4.9075100016402E13</v>
      </c>
      <c r="AF44" s="79"/>
      <c r="AG44" s="79"/>
      <c r="AH44" s="79"/>
      <c r="AI44" s="79"/>
      <c r="AJ44" s="79"/>
      <c r="AK44" s="79"/>
      <c r="AL44" s="79"/>
      <c r="AM44" s="79"/>
      <c r="AN44" s="79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>
        <v>30100.23</v>
      </c>
      <c r="BG44" s="65">
        <v>30408.97</v>
      </c>
      <c r="BH44" s="65">
        <v>30705.0</v>
      </c>
      <c r="BI44" s="65">
        <v>30997.13</v>
      </c>
      <c r="BJ44" s="65">
        <v>11032.22</v>
      </c>
      <c r="BK44" s="65">
        <v>11070.08</v>
      </c>
      <c r="BL44" s="65">
        <v>0.0</v>
      </c>
      <c r="BM44" s="65">
        <v>0.52</v>
      </c>
      <c r="BN44" s="65">
        <v>0.52</v>
      </c>
      <c r="BO44" s="65">
        <v>0.52</v>
      </c>
      <c r="BP44" s="65">
        <v>0.52</v>
      </c>
      <c r="BQ44" s="65">
        <v>0.52</v>
      </c>
      <c r="BR44" s="65">
        <v>17095.46</v>
      </c>
      <c r="BS44" s="65">
        <v>17293.17</v>
      </c>
      <c r="BT44" s="88">
        <v>17464.83</v>
      </c>
      <c r="BU44" s="65">
        <v>17677.66</v>
      </c>
      <c r="BV44" s="65">
        <v>25903.7</v>
      </c>
      <c r="BW44" s="90">
        <v>38054.81</v>
      </c>
      <c r="BX44" s="90">
        <v>38447.78</v>
      </c>
      <c r="BY44" s="90">
        <f t="array" ref="BY44">XLOOKUP(C44,'PL TOTAL D0'!$A$3:$A$1991,'PL TOTAL D0'!$C$3:$C$1991,"")</f>
        <v>46637.66</v>
      </c>
    </row>
    <row r="45">
      <c r="A45" s="43" t="s">
        <v>24</v>
      </c>
      <c r="B45" s="200" t="s">
        <v>1222</v>
      </c>
      <c r="C45" s="94" t="s">
        <v>1226</v>
      </c>
      <c r="D45" s="30" t="s">
        <v>89</v>
      </c>
      <c r="E45" s="22" t="s">
        <v>91</v>
      </c>
      <c r="F45" s="30" t="s">
        <v>521</v>
      </c>
      <c r="G45" s="47" t="str">
        <f t="shared" si="5"/>
        <v>David</v>
      </c>
      <c r="H45" s="49" t="s">
        <v>224</v>
      </c>
      <c r="I45" s="49" t="s">
        <v>66</v>
      </c>
      <c r="J45" s="47" t="str">
        <f t="shared" si="2"/>
        <v>Não</v>
      </c>
      <c r="K45" s="54">
        <v>46007.0</v>
      </c>
      <c r="L45" s="55">
        <v>46213.0</v>
      </c>
      <c r="M45" s="32" t="s">
        <v>61</v>
      </c>
      <c r="N45" s="56">
        <v>0.012</v>
      </c>
      <c r="O45" s="23" t="s">
        <v>66</v>
      </c>
      <c r="P45" s="57">
        <v>0.0</v>
      </c>
      <c r="Q45" s="58"/>
      <c r="R45" s="58" t="s">
        <v>610</v>
      </c>
      <c r="S45" s="32" t="s">
        <v>194</v>
      </c>
      <c r="T45" s="177" t="s">
        <v>1232</v>
      </c>
      <c r="U45" s="33" t="s">
        <v>1233</v>
      </c>
      <c r="V45" s="33" t="s">
        <v>1236</v>
      </c>
      <c r="W45" s="48">
        <v>34674.0</v>
      </c>
      <c r="X45" s="23" t="s">
        <v>221</v>
      </c>
      <c r="Y45" s="49" t="str">
        <f t="shared" si="4"/>
        <v>Encerrado</v>
      </c>
      <c r="Z45" s="32"/>
      <c r="AA45" s="32" t="s">
        <v>47</v>
      </c>
      <c r="AB45" s="64"/>
      <c r="AC45" s="79"/>
      <c r="AD45" s="23" t="s">
        <v>1239</v>
      </c>
      <c r="AE45" s="77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>
        <v>56946.98</v>
      </c>
      <c r="BS45" s="65">
        <v>57596.63</v>
      </c>
      <c r="BT45" s="88">
        <v>58060.13</v>
      </c>
      <c r="BU45" s="65">
        <v>58703.67</v>
      </c>
      <c r="BV45" s="65">
        <v>69773.57</v>
      </c>
      <c r="BW45" s="90">
        <v>0.0</v>
      </c>
      <c r="BX45" s="90">
        <v>0.0</v>
      </c>
      <c r="BY45" s="90" t="str">
        <f t="array" ref="BY45">XLOOKUP(C45,'PL TOTAL D0'!$A$3:$A$1991,'PL TOTAL D0'!$C$3:$C$1991,"")</f>
        <v/>
      </c>
    </row>
    <row r="46">
      <c r="A46" s="43" t="s">
        <v>24</v>
      </c>
      <c r="B46" s="200" t="s">
        <v>1252</v>
      </c>
      <c r="C46" s="53" t="s">
        <v>1254</v>
      </c>
      <c r="D46" s="30" t="s">
        <v>1257</v>
      </c>
      <c r="E46" s="22" t="s">
        <v>199</v>
      </c>
      <c r="F46" s="30" t="s">
        <v>1257</v>
      </c>
      <c r="G46" s="47" t="str">
        <f t="shared" si="5"/>
        <v>David</v>
      </c>
      <c r="H46" s="49" t="s">
        <v>183</v>
      </c>
      <c r="I46" s="49" t="s">
        <v>66</v>
      </c>
      <c r="J46" s="47" t="str">
        <f t="shared" si="2"/>
        <v>Não</v>
      </c>
      <c r="K46" s="54">
        <v>46139.0</v>
      </c>
      <c r="L46" s="194"/>
      <c r="M46" s="32" t="s">
        <v>1262</v>
      </c>
      <c r="N46" s="56"/>
      <c r="O46" s="23" t="s">
        <v>66</v>
      </c>
      <c r="P46" s="57">
        <v>0.0</v>
      </c>
      <c r="Q46" s="58"/>
      <c r="R46" s="70"/>
      <c r="S46" s="32" t="s">
        <v>194</v>
      </c>
      <c r="T46" s="177" t="s">
        <v>1265</v>
      </c>
      <c r="U46" s="33" t="s">
        <v>1266</v>
      </c>
      <c r="V46" s="33" t="s">
        <v>1267</v>
      </c>
      <c r="W46" s="48">
        <v>40009.0</v>
      </c>
      <c r="X46" s="23"/>
      <c r="Y46" s="49" t="str">
        <f t="shared" si="4"/>
        <v>Ativo</v>
      </c>
      <c r="Z46" s="32"/>
      <c r="AA46" s="32" t="s">
        <v>47</v>
      </c>
      <c r="AB46" s="64"/>
      <c r="AC46" s="79"/>
      <c r="AD46" s="54">
        <v>46203.0</v>
      </c>
      <c r="AE46" s="77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88"/>
      <c r="BU46" s="65"/>
      <c r="BV46" s="65">
        <v>19117.56</v>
      </c>
      <c r="BW46" s="90">
        <v>19212.31</v>
      </c>
      <c r="BX46" s="90">
        <v>19423.15</v>
      </c>
      <c r="BY46" s="90">
        <f t="array" ref="BY46">XLOOKUP(C46,'PL TOTAL D0'!$A$3:$A$1991,'PL TOTAL D0'!$C$3:$C$1991,"")</f>
        <v>19663.05</v>
      </c>
    </row>
    <row r="47">
      <c r="A47" s="43" t="s">
        <v>24</v>
      </c>
      <c r="B47" s="200" t="s">
        <v>1282</v>
      </c>
      <c r="C47" s="94" t="s">
        <v>1284</v>
      </c>
      <c r="D47" s="30" t="s">
        <v>89</v>
      </c>
      <c r="E47" s="22" t="s">
        <v>91</v>
      </c>
      <c r="F47" s="30" t="s">
        <v>193</v>
      </c>
      <c r="G47" s="47" t="str">
        <f t="shared" si="5"/>
        <v>David</v>
      </c>
      <c r="H47" s="49" t="s">
        <v>183</v>
      </c>
      <c r="I47" s="49" t="s">
        <v>66</v>
      </c>
      <c r="J47" s="47" t="str">
        <f t="shared" si="2"/>
        <v>Não</v>
      </c>
      <c r="K47" s="54">
        <v>46014.0</v>
      </c>
      <c r="L47" s="194"/>
      <c r="M47" s="32" t="s">
        <v>61</v>
      </c>
      <c r="N47" s="56">
        <v>0.012</v>
      </c>
      <c r="O47" s="23" t="s">
        <v>66</v>
      </c>
      <c r="P47" s="57">
        <v>0.0</v>
      </c>
      <c r="Q47" s="58"/>
      <c r="R47" s="70"/>
      <c r="S47" s="32" t="s">
        <v>194</v>
      </c>
      <c r="T47" s="177" t="s">
        <v>1291</v>
      </c>
      <c r="U47" s="33" t="s">
        <v>1292</v>
      </c>
      <c r="V47" s="33" t="s">
        <v>1294</v>
      </c>
      <c r="W47" s="48">
        <v>43508.0</v>
      </c>
      <c r="X47" s="23" t="s">
        <v>221</v>
      </c>
      <c r="Y47" s="49" t="str">
        <f t="shared" si="4"/>
        <v>Ativo</v>
      </c>
      <c r="Z47" s="32"/>
      <c r="AA47" s="32" t="s">
        <v>107</v>
      </c>
      <c r="AB47" s="64"/>
      <c r="AC47" s="79"/>
      <c r="AD47" s="54">
        <v>46203.0</v>
      </c>
      <c r="AE47" s="77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>
        <v>200914.8</v>
      </c>
      <c r="BS47" s="65">
        <v>202990.9</v>
      </c>
      <c r="BT47" s="88">
        <v>204741.5</v>
      </c>
      <c r="BU47" s="65">
        <v>207299.3</v>
      </c>
      <c r="BV47" s="65">
        <v>209622.1</v>
      </c>
      <c r="BW47" s="90">
        <v>211510.6</v>
      </c>
      <c r="BX47" s="90">
        <v>213615.04</v>
      </c>
      <c r="BY47" s="90">
        <f t="array" ref="BY47">XLOOKUP(C47,'PL TOTAL D0'!$A$3:$A$1991,'PL TOTAL D0'!$C$3:$C$1991,"")</f>
        <v>215733.94</v>
      </c>
    </row>
    <row r="48">
      <c r="A48" s="50" t="s">
        <v>24</v>
      </c>
      <c r="B48" s="188" t="s">
        <v>1309</v>
      </c>
      <c r="C48" s="94" t="s">
        <v>1310</v>
      </c>
      <c r="D48" s="30" t="s">
        <v>120</v>
      </c>
      <c r="E48" s="22" t="s">
        <v>199</v>
      </c>
      <c r="F48" s="30" t="s">
        <v>1312</v>
      </c>
      <c r="G48" s="47" t="str">
        <f t="shared" si="5"/>
        <v>David</v>
      </c>
      <c r="H48" s="49" t="s">
        <v>295</v>
      </c>
      <c r="I48" s="49" t="s">
        <v>382</v>
      </c>
      <c r="J48" s="47" t="str">
        <f t="shared" si="2"/>
        <v>Não</v>
      </c>
      <c r="K48" s="54">
        <v>45421.0</v>
      </c>
      <c r="L48" s="194"/>
      <c r="M48" s="32" t="s">
        <v>61</v>
      </c>
      <c r="N48" s="56">
        <v>0.012</v>
      </c>
      <c r="O48" s="23" t="s">
        <v>66</v>
      </c>
      <c r="P48" s="57">
        <v>0.0</v>
      </c>
      <c r="Q48" s="58"/>
      <c r="R48" s="70"/>
      <c r="S48" s="32" t="s">
        <v>194</v>
      </c>
      <c r="T48" s="177" t="s">
        <v>1319</v>
      </c>
      <c r="U48" s="33">
        <v>5.561999557063E12</v>
      </c>
      <c r="V48" s="33" t="s">
        <v>1320</v>
      </c>
      <c r="W48" s="48">
        <v>35786.0</v>
      </c>
      <c r="X48" s="23" t="s">
        <v>475</v>
      </c>
      <c r="Y48" s="49" t="str">
        <f t="shared" si="4"/>
        <v>Inativo</v>
      </c>
      <c r="Z48" s="32"/>
      <c r="AA48" s="32" t="s">
        <v>47</v>
      </c>
      <c r="AB48" s="64" t="s">
        <v>269</v>
      </c>
      <c r="AC48" s="79"/>
      <c r="AD48" s="54">
        <v>45421.0</v>
      </c>
      <c r="AE48" s="77">
        <v>4.9075100014418E13</v>
      </c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65"/>
      <c r="AW48" s="65"/>
      <c r="AX48" s="65"/>
      <c r="AY48" s="65">
        <v>0.0</v>
      </c>
      <c r="AZ48" s="65">
        <v>0.0</v>
      </c>
      <c r="BA48" s="65">
        <v>0.0</v>
      </c>
      <c r="BB48" s="65">
        <v>0.0</v>
      </c>
      <c r="BC48" s="65">
        <v>0.0</v>
      </c>
      <c r="BD48" s="65">
        <v>0.0</v>
      </c>
      <c r="BE48" s="65">
        <v>0.0</v>
      </c>
      <c r="BF48" s="65">
        <v>0.0</v>
      </c>
      <c r="BG48" s="65">
        <v>0.0</v>
      </c>
      <c r="BH48" s="65">
        <v>0.0</v>
      </c>
      <c r="BI48" s="65">
        <v>0.0</v>
      </c>
      <c r="BJ48" s="65">
        <v>0.0</v>
      </c>
      <c r="BK48" s="65">
        <v>0.0</v>
      </c>
      <c r="BL48" s="65">
        <v>0.0</v>
      </c>
      <c r="BM48" s="65">
        <v>0.0</v>
      </c>
      <c r="BN48" s="65">
        <v>0.0</v>
      </c>
      <c r="BO48" s="65">
        <v>0.0</v>
      </c>
      <c r="BP48" s="65">
        <v>0.0</v>
      </c>
      <c r="BQ48" s="65">
        <v>0.0</v>
      </c>
      <c r="BR48" s="65">
        <v>0.0</v>
      </c>
      <c r="BS48" s="65">
        <v>0.0</v>
      </c>
      <c r="BT48" s="88">
        <v>0.0</v>
      </c>
      <c r="BU48" s="65">
        <v>0.0</v>
      </c>
      <c r="BV48" s="65">
        <v>0.0</v>
      </c>
      <c r="BW48" s="90">
        <v>0.0</v>
      </c>
      <c r="BX48" s="90">
        <v>0.0</v>
      </c>
      <c r="BY48" s="90" t="str">
        <f t="array" ref="BY48">XLOOKUP(C48,'PL TOTAL D0'!$A$3:$A$1991,'PL TOTAL D0'!$C$3:$C$1991,"")</f>
        <v/>
      </c>
    </row>
    <row r="49">
      <c r="A49" s="50" t="s">
        <v>24</v>
      </c>
      <c r="B49" s="188" t="s">
        <v>1334</v>
      </c>
      <c r="C49" s="94" t="s">
        <v>1335</v>
      </c>
      <c r="D49" s="30" t="s">
        <v>53</v>
      </c>
      <c r="E49" s="22" t="s">
        <v>54</v>
      </c>
      <c r="F49" s="30" t="s">
        <v>608</v>
      </c>
      <c r="G49" s="47" t="str">
        <f t="shared" si="5"/>
        <v>David</v>
      </c>
      <c r="H49" s="49" t="s">
        <v>183</v>
      </c>
      <c r="I49" s="49" t="s">
        <v>66</v>
      </c>
      <c r="J49" s="47" t="str">
        <f t="shared" si="2"/>
        <v>Não</v>
      </c>
      <c r="K49" s="54">
        <v>46063.0</v>
      </c>
      <c r="L49" s="194"/>
      <c r="M49" s="32" t="s">
        <v>231</v>
      </c>
      <c r="N49" s="56">
        <v>0.025</v>
      </c>
      <c r="O49" s="23" t="s">
        <v>233</v>
      </c>
      <c r="P49" s="57">
        <v>0.2</v>
      </c>
      <c r="Q49" s="58"/>
      <c r="R49" s="70"/>
      <c r="S49" s="32" t="s">
        <v>194</v>
      </c>
      <c r="T49" s="177" t="s">
        <v>1344</v>
      </c>
      <c r="U49" s="33" t="s">
        <v>1345</v>
      </c>
      <c r="V49" s="33" t="s">
        <v>1346</v>
      </c>
      <c r="W49" s="48">
        <v>25913.0</v>
      </c>
      <c r="X49" s="23" t="s">
        <v>54</v>
      </c>
      <c r="Y49" s="49" t="str">
        <f t="shared" si="4"/>
        <v>Ativo</v>
      </c>
      <c r="Z49" s="32"/>
      <c r="AA49" s="32" t="s">
        <v>165</v>
      </c>
      <c r="AB49" s="64"/>
      <c r="AC49" s="79"/>
      <c r="AD49" s="54">
        <v>46203.0</v>
      </c>
      <c r="AE49" s="77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88">
        <v>98473.03</v>
      </c>
      <c r="BU49" s="65">
        <v>97392.07</v>
      </c>
      <c r="BV49" s="65">
        <v>97514.27</v>
      </c>
      <c r="BW49" s="90">
        <v>92516.98</v>
      </c>
      <c r="BX49" s="90">
        <v>94100.79</v>
      </c>
      <c r="BY49" s="90">
        <f t="array" ref="BY49">XLOOKUP(C49,'PL TOTAL D0'!$A$3:$A$1991,'PL TOTAL D0'!$C$3:$C$1991,"")</f>
        <v>93462.28</v>
      </c>
    </row>
    <row r="50" ht="15.75" customHeight="1">
      <c r="A50" s="50" t="s">
        <v>24</v>
      </c>
      <c r="B50" s="50" t="s">
        <v>1367</v>
      </c>
      <c r="C50" s="94" t="s">
        <v>1368</v>
      </c>
      <c r="D50" s="81" t="s">
        <v>255</v>
      </c>
      <c r="E50" s="95" t="s">
        <v>199</v>
      </c>
      <c r="F50" s="81" t="s">
        <v>1369</v>
      </c>
      <c r="G50" s="47" t="str">
        <f t="shared" si="5"/>
        <v>Gabriel</v>
      </c>
      <c r="H50" s="74" t="s">
        <v>183</v>
      </c>
      <c r="I50" s="74" t="s">
        <v>66</v>
      </c>
      <c r="J50" s="47" t="str">
        <f t="shared" si="2"/>
        <v>Não</v>
      </c>
      <c r="K50" s="97">
        <v>45208.0</v>
      </c>
      <c r="L50" s="194"/>
      <c r="M50" s="62" t="s">
        <v>231</v>
      </c>
      <c r="N50" s="98">
        <v>0.025</v>
      </c>
      <c r="O50" s="23" t="s">
        <v>233</v>
      </c>
      <c r="P50" s="99">
        <v>0.2</v>
      </c>
      <c r="Q50" s="58"/>
      <c r="R50" s="70"/>
      <c r="S50" s="62" t="s">
        <v>194</v>
      </c>
      <c r="T50" s="32" t="s">
        <v>1372</v>
      </c>
      <c r="U50" s="33">
        <v>6.198128818E10</v>
      </c>
      <c r="V50" s="33" t="s">
        <v>1374</v>
      </c>
      <c r="W50" s="34">
        <v>31384.0</v>
      </c>
      <c r="X50" s="23" t="s">
        <v>199</v>
      </c>
      <c r="Y50" s="49" t="str">
        <f t="shared" si="4"/>
        <v>Ativo</v>
      </c>
      <c r="Z50" s="62"/>
      <c r="AA50" s="62"/>
      <c r="AB50" s="64" t="s">
        <v>269</v>
      </c>
      <c r="AC50" s="79"/>
      <c r="AD50" s="54">
        <v>45208.0</v>
      </c>
      <c r="AE50" s="77">
        <v>4.9075100011109E13</v>
      </c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65">
        <v>300618.08</v>
      </c>
      <c r="AR50" s="65">
        <v>330730.58</v>
      </c>
      <c r="AS50" s="65">
        <v>374414.13</v>
      </c>
      <c r="AT50" s="65">
        <v>391992.13</v>
      </c>
      <c r="AU50" s="65">
        <v>367539.74</v>
      </c>
      <c r="AV50" s="65">
        <v>373189.29</v>
      </c>
      <c r="AW50" s="65">
        <v>378431.57</v>
      </c>
      <c r="AX50" s="65">
        <v>356940.29</v>
      </c>
      <c r="AY50" s="65">
        <v>345480.6</v>
      </c>
      <c r="AZ50" s="65">
        <v>346058.8</v>
      </c>
      <c r="BA50" s="65">
        <v>354935.5</v>
      </c>
      <c r="BB50" s="65">
        <v>363207.4</v>
      </c>
      <c r="BC50" s="65">
        <v>356007.5</v>
      </c>
      <c r="BD50" s="65">
        <v>340611.3</v>
      </c>
      <c r="BE50" s="65">
        <v>327526.99</v>
      </c>
      <c r="BF50" s="65">
        <v>318070.97</v>
      </c>
      <c r="BG50" s="65">
        <v>327732.07</v>
      </c>
      <c r="BH50" s="65">
        <v>330646.43</v>
      </c>
      <c r="BI50" s="65">
        <v>338416.11</v>
      </c>
      <c r="BJ50" s="65">
        <v>328764.76</v>
      </c>
      <c r="BK50" s="65">
        <v>342146.63</v>
      </c>
      <c r="BL50" s="65">
        <v>347143.03</v>
      </c>
      <c r="BM50" s="65">
        <v>339310.03</v>
      </c>
      <c r="BN50" s="65">
        <v>349552.7</v>
      </c>
      <c r="BO50" s="65">
        <v>358027.37</v>
      </c>
      <c r="BP50" s="65">
        <v>363755.9</v>
      </c>
      <c r="BQ50" s="65">
        <v>382861.3</v>
      </c>
      <c r="BR50" s="65">
        <v>392681.4</v>
      </c>
      <c r="BS50" s="65">
        <v>427745.78</v>
      </c>
      <c r="BT50" s="88">
        <v>443423.5</v>
      </c>
      <c r="BU50" s="65">
        <v>438294.9</v>
      </c>
      <c r="BV50" s="65">
        <v>438537.6</v>
      </c>
      <c r="BW50" s="90">
        <v>415434.5</v>
      </c>
      <c r="BX50" s="90">
        <v>420711.81</v>
      </c>
      <c r="BY50" s="90">
        <f t="array" ref="BY50">XLOOKUP(C50,'PL TOTAL D0'!$A$3:$A$1991,'PL TOTAL D0'!$C$3:$C$1991,"")</f>
        <v>420484.85</v>
      </c>
    </row>
    <row r="51" ht="15.75" customHeight="1">
      <c r="A51" s="50" t="s">
        <v>24</v>
      </c>
      <c r="B51" s="50" t="s">
        <v>1391</v>
      </c>
      <c r="C51" s="94" t="s">
        <v>1392</v>
      </c>
      <c r="D51" s="81" t="s">
        <v>120</v>
      </c>
      <c r="E51" s="95" t="s">
        <v>54</v>
      </c>
      <c r="F51" s="81" t="s">
        <v>1393</v>
      </c>
      <c r="G51" s="47" t="str">
        <f t="shared" si="5"/>
        <v>David</v>
      </c>
      <c r="H51" s="49" t="s">
        <v>295</v>
      </c>
      <c r="I51" s="49" t="s">
        <v>382</v>
      </c>
      <c r="J51" s="47" t="str">
        <f t="shared" si="2"/>
        <v>Não</v>
      </c>
      <c r="K51" s="97">
        <v>45013.0</v>
      </c>
      <c r="L51" s="62"/>
      <c r="M51" s="62" t="s">
        <v>61</v>
      </c>
      <c r="N51" s="98">
        <v>0.012</v>
      </c>
      <c r="O51" s="47" t="s">
        <v>66</v>
      </c>
      <c r="P51" s="99">
        <v>0.0</v>
      </c>
      <c r="Q51" s="58"/>
      <c r="R51" s="70"/>
      <c r="S51" s="62" t="s">
        <v>194</v>
      </c>
      <c r="T51" s="32" t="s">
        <v>1400</v>
      </c>
      <c r="U51" s="33">
        <v>6.1999879817E10</v>
      </c>
      <c r="V51" s="33" t="s">
        <v>1401</v>
      </c>
      <c r="W51" s="34">
        <v>32279.0</v>
      </c>
      <c r="X51" s="23" t="s">
        <v>199</v>
      </c>
      <c r="Y51" s="49" t="str">
        <f t="shared" si="4"/>
        <v>Ativo</v>
      </c>
      <c r="Z51" s="62"/>
      <c r="AA51" s="62"/>
      <c r="AB51" s="64" t="s">
        <v>269</v>
      </c>
      <c r="AC51" s="79"/>
      <c r="AD51" s="54">
        <v>45013.0</v>
      </c>
      <c r="AE51" s="77">
        <v>4.9075100007136E13</v>
      </c>
      <c r="AF51" s="79"/>
      <c r="AG51" s="79"/>
      <c r="AH51" s="79"/>
      <c r="AI51" s="79"/>
      <c r="AJ51" s="79"/>
      <c r="AK51" s="65">
        <v>82017.27</v>
      </c>
      <c r="AL51" s="65">
        <v>82865.36</v>
      </c>
      <c r="AM51" s="65">
        <v>83869.63</v>
      </c>
      <c r="AN51" s="65">
        <v>83223.64</v>
      </c>
      <c r="AO51" s="65">
        <v>84064.34</v>
      </c>
      <c r="AP51" s="65">
        <v>85059.73</v>
      </c>
      <c r="AQ51" s="65">
        <v>85685.59</v>
      </c>
      <c r="AR51" s="65">
        <v>86280.89</v>
      </c>
      <c r="AS51" s="65">
        <v>66767.77</v>
      </c>
      <c r="AT51" s="65">
        <v>67319.42</v>
      </c>
      <c r="AU51" s="65">
        <v>67963.36</v>
      </c>
      <c r="AV51" s="65">
        <v>68519.33</v>
      </c>
      <c r="AW51" s="65">
        <v>69098.44</v>
      </c>
      <c r="AX51" s="65">
        <v>69719.36</v>
      </c>
      <c r="AY51" s="65">
        <v>70283.63</v>
      </c>
      <c r="AZ51" s="65">
        <v>69800.56</v>
      </c>
      <c r="BA51" s="65">
        <v>70388.91</v>
      </c>
      <c r="BB51" s="65">
        <v>70945.45</v>
      </c>
      <c r="BC51" s="65">
        <v>30169.58</v>
      </c>
      <c r="BD51" s="65">
        <v>30086.72</v>
      </c>
      <c r="BE51" s="65">
        <v>30207.47</v>
      </c>
      <c r="BF51" s="65">
        <v>30401.47</v>
      </c>
      <c r="BG51" s="65">
        <v>30690.18</v>
      </c>
      <c r="BH51" s="65">
        <v>0.0</v>
      </c>
      <c r="BI51" s="65">
        <v>0.76</v>
      </c>
      <c r="BJ51" s="65">
        <v>0.76</v>
      </c>
      <c r="BK51" s="65">
        <v>0.76</v>
      </c>
      <c r="BL51" s="65">
        <v>0.76</v>
      </c>
      <c r="BM51" s="65">
        <v>0.76</v>
      </c>
      <c r="BN51" s="65">
        <v>0.76</v>
      </c>
      <c r="BO51" s="65">
        <v>0.76</v>
      </c>
      <c r="BP51" s="65">
        <v>0.76</v>
      </c>
      <c r="BQ51" s="65">
        <v>0.76</v>
      </c>
      <c r="BR51" s="65">
        <v>0.76</v>
      </c>
      <c r="BS51" s="65">
        <v>0.76</v>
      </c>
      <c r="BT51" s="88">
        <v>0.76</v>
      </c>
      <c r="BU51" s="65">
        <v>0.76</v>
      </c>
      <c r="BV51" s="65">
        <v>0.76</v>
      </c>
      <c r="BW51" s="90">
        <v>0.76</v>
      </c>
      <c r="BX51" s="90">
        <v>0.76</v>
      </c>
      <c r="BY51" s="90" t="str">
        <f t="array" ref="BY51">XLOOKUP(C51,'PL TOTAL D0'!$A$3:$A$1991,'PL TOTAL D0'!$C$3:$C$1991,"")</f>
        <v/>
      </c>
    </row>
    <row r="52" ht="15.75" customHeight="1">
      <c r="A52" s="50" t="s">
        <v>24</v>
      </c>
      <c r="B52" s="43" t="s">
        <v>1421</v>
      </c>
      <c r="C52" s="94" t="s">
        <v>1423</v>
      </c>
      <c r="D52" s="30" t="s">
        <v>120</v>
      </c>
      <c r="E52" s="22" t="s">
        <v>199</v>
      </c>
      <c r="F52" s="30" t="s">
        <v>677</v>
      </c>
      <c r="G52" s="47" t="str">
        <f t="shared" si="5"/>
        <v>David</v>
      </c>
      <c r="H52" s="49" t="s">
        <v>224</v>
      </c>
      <c r="I52" s="49" t="s">
        <v>66</v>
      </c>
      <c r="J52" s="47" t="str">
        <f t="shared" si="2"/>
        <v>Não</v>
      </c>
      <c r="K52" s="54">
        <v>45498.0</v>
      </c>
      <c r="L52" s="55">
        <v>45771.0</v>
      </c>
      <c r="M52" s="32" t="s">
        <v>61</v>
      </c>
      <c r="N52" s="56">
        <v>0.012</v>
      </c>
      <c r="O52" s="23" t="s">
        <v>66</v>
      </c>
      <c r="P52" s="57">
        <v>0.0</v>
      </c>
      <c r="Q52" s="58"/>
      <c r="R52" s="70"/>
      <c r="S52" s="32" t="s">
        <v>194</v>
      </c>
      <c r="T52" s="32" t="s">
        <v>1427</v>
      </c>
      <c r="U52" s="33" t="s">
        <v>268</v>
      </c>
      <c r="V52" s="33"/>
      <c r="W52" s="33" t="s">
        <v>268</v>
      </c>
      <c r="X52" s="23" t="s">
        <v>199</v>
      </c>
      <c r="Y52" s="49" t="str">
        <f t="shared" si="4"/>
        <v>Encerrado</v>
      </c>
      <c r="Z52" s="32"/>
      <c r="AA52" s="32" t="s">
        <v>107</v>
      </c>
      <c r="AB52" s="64" t="s">
        <v>269</v>
      </c>
      <c r="AC52" s="79"/>
      <c r="AD52" s="54">
        <v>45498.0</v>
      </c>
      <c r="AE52" s="77">
        <v>4.9075100015465E13</v>
      </c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65"/>
      <c r="AW52" s="65"/>
      <c r="AX52" s="65"/>
      <c r="AY52" s="65"/>
      <c r="AZ52" s="65"/>
      <c r="BA52" s="65">
        <v>100133.4</v>
      </c>
      <c r="BB52" s="65">
        <v>131281.05</v>
      </c>
      <c r="BC52" s="65">
        <v>151363.49</v>
      </c>
      <c r="BD52" s="65">
        <v>152846.4</v>
      </c>
      <c r="BE52" s="65">
        <v>0.0</v>
      </c>
      <c r="BF52" s="65">
        <v>0.0</v>
      </c>
      <c r="BG52" s="65">
        <v>0.0</v>
      </c>
      <c r="BH52" s="65">
        <v>0.0</v>
      </c>
      <c r="BI52" s="65">
        <v>0.0</v>
      </c>
      <c r="BJ52" s="65">
        <v>0.0</v>
      </c>
      <c r="BK52" s="65">
        <v>0.0</v>
      </c>
      <c r="BL52" s="65">
        <v>0.0</v>
      </c>
      <c r="BM52" s="65">
        <v>0.0</v>
      </c>
      <c r="BN52" s="65">
        <v>0.0</v>
      </c>
      <c r="BO52" s="65">
        <v>0.0</v>
      </c>
      <c r="BP52" s="65">
        <v>0.0</v>
      </c>
      <c r="BQ52" s="65">
        <v>0.0</v>
      </c>
      <c r="BR52" s="65">
        <v>0.0</v>
      </c>
      <c r="BS52" s="65">
        <v>0.0</v>
      </c>
      <c r="BT52" s="88">
        <v>0.0</v>
      </c>
      <c r="BU52" s="65">
        <v>0.0</v>
      </c>
      <c r="BV52" s="65">
        <v>0.0</v>
      </c>
      <c r="BW52" s="90">
        <v>0.0</v>
      </c>
      <c r="BX52" s="90">
        <v>0.0</v>
      </c>
      <c r="BY52" s="90" t="str">
        <f t="array" ref="BY52">XLOOKUP(C52,'PL TOTAL D0'!$A$3:$A$1991,'PL TOTAL D0'!$C$3:$C$1991,"")</f>
        <v/>
      </c>
    </row>
    <row r="53" ht="15.75" customHeight="1">
      <c r="A53" s="43" t="s">
        <v>24</v>
      </c>
      <c r="B53" s="43" t="s">
        <v>1438</v>
      </c>
      <c r="C53" s="94" t="s">
        <v>1440</v>
      </c>
      <c r="D53" s="30" t="s">
        <v>255</v>
      </c>
      <c r="E53" s="22" t="s">
        <v>199</v>
      </c>
      <c r="F53" s="30" t="s">
        <v>257</v>
      </c>
      <c r="G53" s="47" t="str">
        <f t="shared" si="5"/>
        <v>David</v>
      </c>
      <c r="H53" s="49" t="s">
        <v>224</v>
      </c>
      <c r="I53" s="49" t="s">
        <v>66</v>
      </c>
      <c r="J53" s="23" t="s">
        <v>563</v>
      </c>
      <c r="K53" s="54">
        <v>45355.0</v>
      </c>
      <c r="L53" s="55">
        <v>45513.0</v>
      </c>
      <c r="M53" s="32" t="s">
        <v>1443</v>
      </c>
      <c r="N53" s="56">
        <v>0.01</v>
      </c>
      <c r="O53" s="23" t="s">
        <v>35</v>
      </c>
      <c r="P53" s="57">
        <v>0.1</v>
      </c>
      <c r="Q53" s="58"/>
      <c r="R53" s="58" t="s">
        <v>1449</v>
      </c>
      <c r="S53" s="32" t="s">
        <v>234</v>
      </c>
      <c r="T53" s="32" t="s">
        <v>1450</v>
      </c>
      <c r="U53" s="33" t="s">
        <v>268</v>
      </c>
      <c r="V53" s="33"/>
      <c r="W53" s="33" t="s">
        <v>268</v>
      </c>
      <c r="X53" s="23" t="s">
        <v>475</v>
      </c>
      <c r="Y53" s="49" t="str">
        <f t="shared" si="4"/>
        <v>Encerrado</v>
      </c>
      <c r="Z53" s="32"/>
      <c r="AA53" s="32"/>
      <c r="AB53" s="64"/>
      <c r="AC53" s="79"/>
      <c r="AD53" s="54">
        <v>45355.0</v>
      </c>
      <c r="AE53" s="77">
        <v>4.9075100013942E13</v>
      </c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65"/>
      <c r="AW53" s="65"/>
      <c r="AX53" s="65">
        <v>3006379.39</v>
      </c>
      <c r="AY53" s="65">
        <v>3019379.0</v>
      </c>
      <c r="AZ53" s="65">
        <v>7063776.0</v>
      </c>
      <c r="BA53" s="65">
        <v>0.0</v>
      </c>
      <c r="BB53" s="65">
        <v>0.0</v>
      </c>
      <c r="BC53" s="65">
        <v>0.0</v>
      </c>
      <c r="BD53" s="65">
        <v>0.0</v>
      </c>
      <c r="BE53" s="65">
        <v>0.0</v>
      </c>
      <c r="BF53" s="65">
        <v>0.0</v>
      </c>
      <c r="BG53" s="65">
        <v>0.0</v>
      </c>
      <c r="BH53" s="65">
        <v>0.0</v>
      </c>
      <c r="BI53" s="65">
        <v>0.0</v>
      </c>
      <c r="BJ53" s="65">
        <v>0.0</v>
      </c>
      <c r="BK53" s="65">
        <v>0.0</v>
      </c>
      <c r="BL53" s="65">
        <v>0.0</v>
      </c>
      <c r="BM53" s="65">
        <v>0.0</v>
      </c>
      <c r="BN53" s="65">
        <v>0.0</v>
      </c>
      <c r="BO53" s="65">
        <v>0.0</v>
      </c>
      <c r="BP53" s="65">
        <v>0.0</v>
      </c>
      <c r="BQ53" s="65">
        <v>0.0</v>
      </c>
      <c r="BR53" s="65">
        <v>0.0</v>
      </c>
      <c r="BS53" s="65">
        <v>0.0</v>
      </c>
      <c r="BT53" s="88">
        <v>0.0</v>
      </c>
      <c r="BU53" s="65">
        <v>0.0</v>
      </c>
      <c r="BV53" s="65">
        <v>0.0</v>
      </c>
      <c r="BW53" s="90">
        <v>0.0</v>
      </c>
      <c r="BX53" s="90">
        <v>0.0</v>
      </c>
      <c r="BY53" s="90" t="str">
        <f t="array" ref="BY53">XLOOKUP(C53,'PL TOTAL D0'!$A$3:$A$1991,'PL TOTAL D0'!$C$3:$C$1991,"")</f>
        <v/>
      </c>
    </row>
    <row r="54" ht="15.75" customHeight="1">
      <c r="A54" s="43" t="s">
        <v>24</v>
      </c>
      <c r="B54" s="43" t="s">
        <v>1473</v>
      </c>
      <c r="C54" s="94" t="s">
        <v>1474</v>
      </c>
      <c r="D54" s="30" t="s">
        <v>120</v>
      </c>
      <c r="E54" s="22" t="s">
        <v>199</v>
      </c>
      <c r="F54" s="30" t="s">
        <v>290</v>
      </c>
      <c r="G54" s="47" t="str">
        <f t="shared" si="5"/>
        <v>David</v>
      </c>
      <c r="H54" s="49" t="s">
        <v>183</v>
      </c>
      <c r="I54" s="49" t="s">
        <v>66</v>
      </c>
      <c r="J54" s="23" t="s">
        <v>563</v>
      </c>
      <c r="K54" s="54">
        <v>46077.0</v>
      </c>
      <c r="L54" s="55"/>
      <c r="M54" s="32" t="s">
        <v>61</v>
      </c>
      <c r="N54" s="56">
        <v>0.012</v>
      </c>
      <c r="O54" s="23" t="s">
        <v>66</v>
      </c>
      <c r="P54" s="57">
        <v>0.0</v>
      </c>
      <c r="Q54" s="58"/>
      <c r="R54" s="58"/>
      <c r="S54" s="32" t="s">
        <v>194</v>
      </c>
      <c r="T54" s="32" t="s">
        <v>1476</v>
      </c>
      <c r="U54" s="33" t="s">
        <v>1477</v>
      </c>
      <c r="V54" s="33" t="s">
        <v>1478</v>
      </c>
      <c r="W54" s="33">
        <v>38746.0</v>
      </c>
      <c r="X54" s="23" t="s">
        <v>199</v>
      </c>
      <c r="Y54" s="49" t="str">
        <f t="shared" si="4"/>
        <v>Ativo</v>
      </c>
      <c r="Z54" s="32"/>
      <c r="AA54" s="32" t="s">
        <v>107</v>
      </c>
      <c r="AB54" s="64"/>
      <c r="AC54" s="79"/>
      <c r="AD54" s="54"/>
      <c r="AE54" s="77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88">
        <v>0.0</v>
      </c>
      <c r="BU54" s="65">
        <v>0.0</v>
      </c>
      <c r="BV54" s="65">
        <v>0.0</v>
      </c>
      <c r="BW54" s="90">
        <v>0.0</v>
      </c>
      <c r="BX54" s="90">
        <v>0.0</v>
      </c>
      <c r="BY54" s="90" t="str">
        <f t="array" ref="BY54">XLOOKUP(C54,'PL TOTAL D0'!$A$3:$A$1991,'PL TOTAL D0'!$C$3:$C$1991,"")</f>
        <v/>
      </c>
    </row>
    <row r="55" ht="15.75" customHeight="1">
      <c r="A55" s="43" t="s">
        <v>24</v>
      </c>
      <c r="B55" s="43" t="s">
        <v>1487</v>
      </c>
      <c r="C55" s="94" t="s">
        <v>1490</v>
      </c>
      <c r="D55" s="30" t="s">
        <v>53</v>
      </c>
      <c r="E55" s="22" t="s">
        <v>54</v>
      </c>
      <c r="F55" s="30" t="s">
        <v>507</v>
      </c>
      <c r="G55" s="47" t="str">
        <f t="shared" si="5"/>
        <v>Gabriel</v>
      </c>
      <c r="H55" s="49" t="s">
        <v>183</v>
      </c>
      <c r="I55" s="49" t="s">
        <v>66</v>
      </c>
      <c r="J55" s="23" t="s">
        <v>563</v>
      </c>
      <c r="K55" s="54">
        <v>45728.0</v>
      </c>
      <c r="L55" s="55"/>
      <c r="M55" s="32" t="s">
        <v>209</v>
      </c>
      <c r="N55" s="56">
        <v>0.015</v>
      </c>
      <c r="O55" s="23" t="s">
        <v>35</v>
      </c>
      <c r="P55" s="57">
        <v>0.1</v>
      </c>
      <c r="Q55" s="58"/>
      <c r="R55" s="58"/>
      <c r="S55" s="32" t="s">
        <v>194</v>
      </c>
      <c r="T55" s="32" t="s">
        <v>1498</v>
      </c>
      <c r="U55" s="33">
        <v>5.562984052232E12</v>
      </c>
      <c r="V55" s="33" t="s">
        <v>1499</v>
      </c>
      <c r="W55" s="48">
        <v>20384.0</v>
      </c>
      <c r="X55" s="23" t="s">
        <v>54</v>
      </c>
      <c r="Y55" s="49" t="str">
        <f t="shared" si="4"/>
        <v>Ativo</v>
      </c>
      <c r="Z55" s="32"/>
      <c r="AA55" s="32" t="s">
        <v>165</v>
      </c>
      <c r="AB55" s="64"/>
      <c r="AC55" s="79"/>
      <c r="AD55" s="54">
        <v>45729.0</v>
      </c>
      <c r="AE55" s="77">
        <v>4.9075100018383E13</v>
      </c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>
        <v>276112.88</v>
      </c>
      <c r="BJ55" s="65">
        <v>292854.18</v>
      </c>
      <c r="BK55" s="65">
        <v>308138.27</v>
      </c>
      <c r="BL55" s="65">
        <v>311388.02</v>
      </c>
      <c r="BM55" s="65">
        <v>313977.77</v>
      </c>
      <c r="BN55" s="65">
        <v>316957.4</v>
      </c>
      <c r="BO55" s="65">
        <v>321034.28</v>
      </c>
      <c r="BP55" s="65">
        <v>325050.1</v>
      </c>
      <c r="BQ55" s="65">
        <v>330790.5</v>
      </c>
      <c r="BR55" s="65">
        <v>333754.1</v>
      </c>
      <c r="BS55" s="65">
        <v>339825.33</v>
      </c>
      <c r="BT55" s="88">
        <v>443486.1</v>
      </c>
      <c r="BU55" s="65">
        <v>446225.3</v>
      </c>
      <c r="BV55" s="65">
        <v>449531.8</v>
      </c>
      <c r="BW55" s="90">
        <v>444030.9</v>
      </c>
      <c r="BX55" s="90">
        <v>459224.23</v>
      </c>
      <c r="BY55" s="90">
        <f t="array" ref="BY55">XLOOKUP(C55,'PL TOTAL D0'!$A$3:$A$1991,'PL TOTAL D0'!$C$3:$C$1991,"")</f>
        <v>453657.36</v>
      </c>
    </row>
    <row r="56" ht="15.75" customHeight="1">
      <c r="A56" s="43" t="s">
        <v>24</v>
      </c>
      <c r="B56" s="43" t="s">
        <v>1509</v>
      </c>
      <c r="C56" s="94" t="s">
        <v>1510</v>
      </c>
      <c r="D56" s="30" t="s">
        <v>120</v>
      </c>
      <c r="E56" s="22" t="s">
        <v>199</v>
      </c>
      <c r="F56" s="30" t="s">
        <v>212</v>
      </c>
      <c r="G56" s="47" t="str">
        <f t="shared" si="5"/>
        <v>David</v>
      </c>
      <c r="H56" s="49" t="s">
        <v>183</v>
      </c>
      <c r="I56" s="49" t="s">
        <v>66</v>
      </c>
      <c r="J56" s="23" t="s">
        <v>563</v>
      </c>
      <c r="K56" s="54">
        <v>46093.0</v>
      </c>
      <c r="L56" s="55"/>
      <c r="M56" s="32" t="s">
        <v>213</v>
      </c>
      <c r="N56" s="56">
        <v>0.003</v>
      </c>
      <c r="O56" s="23" t="s">
        <v>66</v>
      </c>
      <c r="P56" s="57">
        <v>0.0</v>
      </c>
      <c r="Q56" s="58"/>
      <c r="R56" s="58"/>
      <c r="S56" s="32" t="s">
        <v>194</v>
      </c>
      <c r="T56" s="32" t="s">
        <v>1515</v>
      </c>
      <c r="U56" s="33" t="s">
        <v>1516</v>
      </c>
      <c r="V56" s="33" t="s">
        <v>1517</v>
      </c>
      <c r="W56" s="48">
        <v>46001.0</v>
      </c>
      <c r="X56" s="23" t="s">
        <v>199</v>
      </c>
      <c r="Y56" s="49" t="str">
        <f t="shared" si="4"/>
        <v>Ativo</v>
      </c>
      <c r="Z56" s="32"/>
      <c r="AA56" s="32" t="s">
        <v>107</v>
      </c>
      <c r="AB56" s="64"/>
      <c r="AC56" s="79"/>
      <c r="AD56" s="54">
        <v>46203.0</v>
      </c>
      <c r="AE56" s="77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88"/>
      <c r="BU56" s="65">
        <v>50000.0</v>
      </c>
      <c r="BV56" s="65">
        <v>50000.0</v>
      </c>
      <c r="BW56" s="90">
        <v>50313.46</v>
      </c>
      <c r="BX56" s="90">
        <v>101035.81</v>
      </c>
      <c r="BY56" s="90">
        <f t="array" ref="BY56">XLOOKUP(C56,'PL TOTAL D0'!$A$3:$A$1991,'PL TOTAL D0'!$C$3:$C$1991,"")</f>
        <v>132469.35</v>
      </c>
    </row>
    <row r="57" ht="15.75" customHeight="1">
      <c r="A57" s="50" t="s">
        <v>24</v>
      </c>
      <c r="B57" s="50" t="s">
        <v>1535</v>
      </c>
      <c r="C57" s="94" t="s">
        <v>1536</v>
      </c>
      <c r="D57" s="81" t="s">
        <v>255</v>
      </c>
      <c r="E57" s="95" t="s">
        <v>199</v>
      </c>
      <c r="F57" s="81" t="s">
        <v>1538</v>
      </c>
      <c r="G57" s="47" t="str">
        <f t="shared" si="5"/>
        <v>David</v>
      </c>
      <c r="H57" s="74" t="s">
        <v>295</v>
      </c>
      <c r="I57" s="74" t="s">
        <v>382</v>
      </c>
      <c r="J57" s="47" t="str">
        <f t="shared" ref="J57:J68" si="6">IF(Q57=0,"Não","Sim")</f>
        <v>Não</v>
      </c>
      <c r="K57" s="97">
        <v>44973.0</v>
      </c>
      <c r="L57" s="62"/>
      <c r="M57" s="62" t="s">
        <v>209</v>
      </c>
      <c r="N57" s="98">
        <v>0.02</v>
      </c>
      <c r="O57" s="47" t="s">
        <v>35</v>
      </c>
      <c r="P57" s="99">
        <v>0.2</v>
      </c>
      <c r="Q57" s="58"/>
      <c r="R57" s="243"/>
      <c r="S57" s="62" t="s">
        <v>194</v>
      </c>
      <c r="T57" s="32" t="s">
        <v>1543</v>
      </c>
      <c r="U57" s="33">
        <v>5.561996624638E12</v>
      </c>
      <c r="V57" s="33" t="s">
        <v>1546</v>
      </c>
      <c r="W57" s="34">
        <v>18708.0</v>
      </c>
      <c r="X57" s="23" t="s">
        <v>199</v>
      </c>
      <c r="Y57" s="49" t="str">
        <f t="shared" si="4"/>
        <v>Ativo</v>
      </c>
      <c r="Z57" s="62"/>
      <c r="AA57" s="62"/>
      <c r="AB57" s="64" t="s">
        <v>269</v>
      </c>
      <c r="AC57" s="79"/>
      <c r="AD57" s="54">
        <v>44973.0</v>
      </c>
      <c r="AE57" s="77">
        <v>4.9075100011117E13</v>
      </c>
      <c r="AF57" s="79"/>
      <c r="AG57" s="79"/>
      <c r="AH57" s="79"/>
      <c r="AI57" s="65">
        <v>0.0</v>
      </c>
      <c r="AJ57" s="65">
        <v>40303.5</v>
      </c>
      <c r="AK57" s="65">
        <v>68939.38</v>
      </c>
      <c r="AL57" s="65">
        <v>69815.35</v>
      </c>
      <c r="AM57" s="65">
        <v>107537.03</v>
      </c>
      <c r="AN57" s="65">
        <v>108917.8</v>
      </c>
      <c r="AO57" s="65">
        <v>109573.66</v>
      </c>
      <c r="AP57" s="65">
        <v>109854.09</v>
      </c>
      <c r="AQ57" s="65">
        <v>17.86</v>
      </c>
      <c r="AR57" s="65">
        <v>17.86</v>
      </c>
      <c r="AS57" s="65">
        <v>17.86</v>
      </c>
      <c r="AT57" s="65">
        <v>17.86</v>
      </c>
      <c r="AU57" s="65">
        <v>17.86</v>
      </c>
      <c r="AV57" s="65">
        <v>18.77</v>
      </c>
      <c r="AW57" s="65">
        <v>18.77</v>
      </c>
      <c r="AX57" s="65">
        <v>18.77</v>
      </c>
      <c r="AY57" s="65">
        <v>18.77</v>
      </c>
      <c r="AZ57" s="65">
        <v>18.77</v>
      </c>
      <c r="BA57" s="65">
        <v>18.77</v>
      </c>
      <c r="BB57" s="65">
        <v>18.77</v>
      </c>
      <c r="BC57" s="65">
        <v>18.77</v>
      </c>
      <c r="BD57" s="65">
        <v>18.77</v>
      </c>
      <c r="BE57" s="65">
        <v>18.77</v>
      </c>
      <c r="BF57" s="65">
        <v>18.77</v>
      </c>
      <c r="BG57" s="65">
        <v>18.77</v>
      </c>
      <c r="BH57" s="65">
        <v>18.77</v>
      </c>
      <c r="BI57" s="65">
        <v>18.77</v>
      </c>
      <c r="BJ57" s="65">
        <v>0.0</v>
      </c>
      <c r="BK57" s="65">
        <v>0.0</v>
      </c>
      <c r="BL57" s="65">
        <v>0.0</v>
      </c>
      <c r="BM57" s="65">
        <v>0.0</v>
      </c>
      <c r="BN57" s="65">
        <v>0.0</v>
      </c>
      <c r="BO57" s="65">
        <v>0.0</v>
      </c>
      <c r="BP57" s="65">
        <v>0.0</v>
      </c>
      <c r="BQ57" s="65">
        <v>0.0</v>
      </c>
      <c r="BR57" s="65">
        <v>0.0</v>
      </c>
      <c r="BS57" s="65">
        <v>0.0</v>
      </c>
      <c r="BT57" s="88">
        <v>0.0</v>
      </c>
      <c r="BU57" s="65">
        <v>0.0</v>
      </c>
      <c r="BV57" s="65">
        <v>0.0</v>
      </c>
      <c r="BW57" s="90">
        <v>0.0</v>
      </c>
      <c r="BX57" s="90">
        <v>0.0</v>
      </c>
      <c r="BY57" s="90" t="str">
        <f t="array" ref="BY57">XLOOKUP(C57,'PL TOTAL D0'!$A$3:$A$1991,'PL TOTAL D0'!$C$3:$C$1991,"")</f>
        <v/>
      </c>
    </row>
    <row r="58" ht="15.75" customHeight="1">
      <c r="A58" s="43" t="s">
        <v>24</v>
      </c>
      <c r="B58" s="43" t="s">
        <v>285</v>
      </c>
      <c r="C58" s="94" t="s">
        <v>1559</v>
      </c>
      <c r="D58" s="30" t="s">
        <v>120</v>
      </c>
      <c r="E58" s="22" t="s">
        <v>199</v>
      </c>
      <c r="F58" s="30" t="s">
        <v>290</v>
      </c>
      <c r="G58" s="47" t="str">
        <f t="shared" si="5"/>
        <v>Marcus</v>
      </c>
      <c r="H58" s="49" t="s">
        <v>183</v>
      </c>
      <c r="I58" s="49" t="s">
        <v>66</v>
      </c>
      <c r="J58" s="47" t="str">
        <f t="shared" si="6"/>
        <v>Não</v>
      </c>
      <c r="K58" s="54">
        <v>45301.0</v>
      </c>
      <c r="L58" s="62"/>
      <c r="M58" s="32" t="s">
        <v>209</v>
      </c>
      <c r="N58" s="56">
        <v>0.015</v>
      </c>
      <c r="O58" s="23" t="s">
        <v>66</v>
      </c>
      <c r="P58" s="57">
        <v>0.0</v>
      </c>
      <c r="Q58" s="58"/>
      <c r="R58" s="190"/>
      <c r="S58" s="32" t="s">
        <v>194</v>
      </c>
      <c r="T58" s="32" t="s">
        <v>305</v>
      </c>
      <c r="U58" s="33">
        <v>6.1999115995E10</v>
      </c>
      <c r="V58" s="33" t="s">
        <v>310</v>
      </c>
      <c r="W58" s="34">
        <v>23776.0</v>
      </c>
      <c r="X58" s="23" t="s">
        <v>312</v>
      </c>
      <c r="Y58" s="49" t="str">
        <f t="shared" si="4"/>
        <v>Ativo</v>
      </c>
      <c r="Z58" s="62"/>
      <c r="AA58" s="62"/>
      <c r="AB58" s="64" t="s">
        <v>269</v>
      </c>
      <c r="AC58" s="79"/>
      <c r="AD58" s="54">
        <v>45301.0</v>
      </c>
      <c r="AE58" s="77">
        <v>4.9075100013128E13</v>
      </c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65">
        <v>852917.92</v>
      </c>
      <c r="AV58" s="65">
        <v>861609.97</v>
      </c>
      <c r="AW58" s="65">
        <v>870146.9</v>
      </c>
      <c r="AX58" s="65">
        <v>855001.44</v>
      </c>
      <c r="AY58" s="65">
        <v>853811.2</v>
      </c>
      <c r="AZ58" s="65">
        <v>858755.8</v>
      </c>
      <c r="BA58" s="65">
        <v>871451.1</v>
      </c>
      <c r="BB58" s="65">
        <v>892575.51</v>
      </c>
      <c r="BC58" s="65">
        <v>910861.8</v>
      </c>
      <c r="BD58" s="65">
        <v>925960.25</v>
      </c>
      <c r="BE58" s="65">
        <v>922974.08</v>
      </c>
      <c r="BF58" s="65">
        <v>923486.93</v>
      </c>
      <c r="BG58" s="65">
        <v>951864.95</v>
      </c>
      <c r="BH58" s="65">
        <v>971076.46</v>
      </c>
      <c r="BI58" s="65">
        <v>963330.2</v>
      </c>
      <c r="BJ58" s="65">
        <v>974803.05</v>
      </c>
      <c r="BK58" s="65">
        <v>986144.42</v>
      </c>
      <c r="BL58" s="65">
        <v>995083.5</v>
      </c>
      <c r="BM58" s="65">
        <v>1010554.43</v>
      </c>
      <c r="BN58" s="65">
        <v>1030410.0</v>
      </c>
      <c r="BO58" s="65">
        <v>1064711.26</v>
      </c>
      <c r="BP58" s="65">
        <v>1072171.0</v>
      </c>
      <c r="BQ58" s="65">
        <v>1097177.0</v>
      </c>
      <c r="BR58" s="65">
        <v>1109546.0</v>
      </c>
      <c r="BS58" s="65">
        <v>1127391.49</v>
      </c>
      <c r="BT58" s="88">
        <v>1126197.0</v>
      </c>
      <c r="BU58" s="65">
        <v>1122897.0</v>
      </c>
      <c r="BV58" s="65">
        <v>1123286.0</v>
      </c>
      <c r="BW58" s="90">
        <v>1099666.0</v>
      </c>
      <c r="BX58" s="90">
        <v>1173971.28</v>
      </c>
      <c r="BY58" s="90">
        <f t="array" ref="BY58">XLOOKUP(C58,'PL TOTAL D0'!$A$3:$A$1991,'PL TOTAL D0'!$C$3:$C$1991,"")</f>
        <v>1111750.83</v>
      </c>
    </row>
    <row r="59" ht="15.75" customHeight="1">
      <c r="A59" s="43" t="s">
        <v>24</v>
      </c>
      <c r="B59" s="43" t="s">
        <v>1578</v>
      </c>
      <c r="C59" s="94" t="s">
        <v>1579</v>
      </c>
      <c r="D59" s="30" t="s">
        <v>120</v>
      </c>
      <c r="E59" s="22" t="s">
        <v>199</v>
      </c>
      <c r="F59" s="30" t="s">
        <v>1582</v>
      </c>
      <c r="G59" s="47" t="str">
        <f t="shared" si="5"/>
        <v>David</v>
      </c>
      <c r="H59" s="49" t="s">
        <v>295</v>
      </c>
      <c r="I59" s="49" t="s">
        <v>447</v>
      </c>
      <c r="J59" s="47" t="str">
        <f t="shared" si="6"/>
        <v>Não</v>
      </c>
      <c r="K59" s="54">
        <v>45848.0</v>
      </c>
      <c r="L59" s="62"/>
      <c r="M59" s="32" t="s">
        <v>201</v>
      </c>
      <c r="N59" s="56">
        <v>0.0</v>
      </c>
      <c r="O59" s="23" t="s">
        <v>66</v>
      </c>
      <c r="P59" s="57">
        <v>0.0</v>
      </c>
      <c r="Q59" s="58"/>
      <c r="R59" s="190"/>
      <c r="S59" s="32" t="s">
        <v>194</v>
      </c>
      <c r="T59" s="32" t="s">
        <v>1587</v>
      </c>
      <c r="U59" s="33">
        <v>5.56199947701E12</v>
      </c>
      <c r="V59" s="33" t="s">
        <v>1589</v>
      </c>
      <c r="W59" s="34">
        <v>37507.0</v>
      </c>
      <c r="X59" s="23" t="s">
        <v>199</v>
      </c>
      <c r="Y59" s="49" t="str">
        <f t="shared" si="4"/>
        <v>Ativo</v>
      </c>
      <c r="Z59" s="62"/>
      <c r="AA59" s="32" t="s">
        <v>107</v>
      </c>
      <c r="AB59" s="64"/>
      <c r="AC59" s="79"/>
      <c r="AD59" s="54">
        <v>45848.0</v>
      </c>
      <c r="AE59" s="77">
        <v>4.9075100019045E13</v>
      </c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>
        <v>12170.8</v>
      </c>
      <c r="BN59" s="65">
        <v>12429.12</v>
      </c>
      <c r="BO59" s="65">
        <v>12569.8</v>
      </c>
      <c r="BP59" s="65">
        <v>12732.52</v>
      </c>
      <c r="BQ59" s="65">
        <v>12853.33</v>
      </c>
      <c r="BR59" s="65">
        <v>12996.9</v>
      </c>
      <c r="BS59" s="65">
        <v>0.86</v>
      </c>
      <c r="BT59" s="88">
        <v>1.73</v>
      </c>
      <c r="BU59" s="65">
        <v>1.73</v>
      </c>
      <c r="BV59" s="65">
        <v>1.73</v>
      </c>
      <c r="BW59" s="90">
        <v>1.73</v>
      </c>
      <c r="BX59" s="90">
        <v>0.0</v>
      </c>
      <c r="BY59" s="90" t="str">
        <f t="array" ref="BY59">XLOOKUP(C59,'PL TOTAL D0'!$A$3:$A$1991,'PL TOTAL D0'!$C$3:$C$1991,"")</f>
        <v/>
      </c>
    </row>
    <row r="60" ht="15.75" customHeight="1">
      <c r="A60" s="43" t="s">
        <v>24</v>
      </c>
      <c r="B60" s="43" t="s">
        <v>1595</v>
      </c>
      <c r="C60" s="94" t="s">
        <v>1596</v>
      </c>
      <c r="D60" s="30" t="s">
        <v>89</v>
      </c>
      <c r="E60" s="22" t="s">
        <v>91</v>
      </c>
      <c r="F60" s="30" t="s">
        <v>193</v>
      </c>
      <c r="G60" s="47" t="str">
        <f t="shared" si="5"/>
        <v>David</v>
      </c>
      <c r="H60" s="49" t="s">
        <v>183</v>
      </c>
      <c r="I60" s="49" t="s">
        <v>66</v>
      </c>
      <c r="J60" s="47" t="str">
        <f t="shared" si="6"/>
        <v>Sim</v>
      </c>
      <c r="K60" s="54">
        <v>45736.0</v>
      </c>
      <c r="L60" s="62"/>
      <c r="M60" s="32" t="s">
        <v>34</v>
      </c>
      <c r="N60" s="56">
        <v>0.012</v>
      </c>
      <c r="O60" s="23" t="s">
        <v>35</v>
      </c>
      <c r="P60" s="57">
        <v>0.1</v>
      </c>
      <c r="Q60" s="58" t="s">
        <v>1607</v>
      </c>
      <c r="R60" s="190"/>
      <c r="S60" s="32" t="s">
        <v>194</v>
      </c>
      <c r="T60" s="32" t="s">
        <v>1608</v>
      </c>
      <c r="U60" s="33">
        <v>5.514991285902E12</v>
      </c>
      <c r="V60" s="33" t="s">
        <v>1609</v>
      </c>
      <c r="W60" s="34">
        <v>32785.0</v>
      </c>
      <c r="X60" s="23" t="s">
        <v>475</v>
      </c>
      <c r="Y60" s="49" t="str">
        <f t="shared" si="4"/>
        <v>Ativo</v>
      </c>
      <c r="Z60" s="62"/>
      <c r="AA60" s="32" t="s">
        <v>107</v>
      </c>
      <c r="AB60" s="64"/>
      <c r="AC60" s="79"/>
      <c r="AD60" s="54">
        <v>45736.0</v>
      </c>
      <c r="AE60" s="77">
        <v>4.9075100018391E13</v>
      </c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>
        <v>52414.72</v>
      </c>
      <c r="BJ60" s="65">
        <v>52511.57</v>
      </c>
      <c r="BK60" s="65">
        <v>53508.2</v>
      </c>
      <c r="BL60" s="65">
        <v>53833.45</v>
      </c>
      <c r="BM60" s="65">
        <v>54372.97</v>
      </c>
      <c r="BN60" s="65">
        <v>54801.94</v>
      </c>
      <c r="BO60" s="65">
        <v>55299.27</v>
      </c>
      <c r="BP60" s="65">
        <v>55910.69</v>
      </c>
      <c r="BQ60" s="65">
        <v>71333.97</v>
      </c>
      <c r="BR60" s="65">
        <v>72017.57</v>
      </c>
      <c r="BS60" s="65">
        <v>72638.6</v>
      </c>
      <c r="BT60" s="88">
        <v>73473.6</v>
      </c>
      <c r="BU60" s="65">
        <v>74245.16</v>
      </c>
      <c r="BV60" s="65">
        <v>74969.66</v>
      </c>
      <c r="BW60" s="90">
        <v>75187.59</v>
      </c>
      <c r="BX60" s="90">
        <v>75882.18</v>
      </c>
      <c r="BY60" s="90">
        <f t="array" ref="BY60">XLOOKUP(C60,'PL TOTAL D0'!$A$3:$A$1991,'PL TOTAL D0'!$C$3:$C$1991,"")</f>
        <v>76620.54</v>
      </c>
    </row>
    <row r="61" ht="15.75" customHeight="1">
      <c r="A61" s="43" t="s">
        <v>24</v>
      </c>
      <c r="B61" s="43" t="s">
        <v>1624</v>
      </c>
      <c r="C61" s="94" t="s">
        <v>1626</v>
      </c>
      <c r="D61" s="30" t="s">
        <v>120</v>
      </c>
      <c r="E61" s="22" t="s">
        <v>199</v>
      </c>
      <c r="F61" s="30" t="s">
        <v>290</v>
      </c>
      <c r="G61" s="47" t="str">
        <f t="shared" si="5"/>
        <v>David</v>
      </c>
      <c r="H61" s="49" t="s">
        <v>183</v>
      </c>
      <c r="I61" s="49" t="s">
        <v>66</v>
      </c>
      <c r="J61" s="47" t="str">
        <f t="shared" si="6"/>
        <v>Não</v>
      </c>
      <c r="K61" s="54">
        <v>46014.0</v>
      </c>
      <c r="L61" s="55"/>
      <c r="M61" s="32" t="s">
        <v>34</v>
      </c>
      <c r="N61" s="56">
        <v>0.012</v>
      </c>
      <c r="O61" s="23" t="s">
        <v>35</v>
      </c>
      <c r="P61" s="57">
        <v>0.1</v>
      </c>
      <c r="Q61" s="58"/>
      <c r="R61" s="190"/>
      <c r="S61" s="32" t="s">
        <v>194</v>
      </c>
      <c r="T61" s="32" t="s">
        <v>531</v>
      </c>
      <c r="U61" s="33" t="s">
        <v>1628</v>
      </c>
      <c r="V61" s="33" t="s">
        <v>1629</v>
      </c>
      <c r="W61" s="48">
        <v>27818.0</v>
      </c>
      <c r="X61" s="23" t="s">
        <v>199</v>
      </c>
      <c r="Y61" s="49" t="str">
        <f t="shared" si="4"/>
        <v>Ativo</v>
      </c>
      <c r="Z61" s="62"/>
      <c r="AA61" s="32" t="s">
        <v>47</v>
      </c>
      <c r="AB61" s="64"/>
      <c r="AC61" s="79"/>
      <c r="AD61" s="54">
        <v>46203.0</v>
      </c>
      <c r="AE61" s="77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>
        <v>0.0</v>
      </c>
      <c r="BS61" s="65">
        <v>64454.01</v>
      </c>
      <c r="BT61" s="88">
        <v>551037.5</v>
      </c>
      <c r="BU61" s="65">
        <v>577237.5</v>
      </c>
      <c r="BV61" s="65">
        <v>616809.6</v>
      </c>
      <c r="BW61" s="90">
        <v>913467.3</v>
      </c>
      <c r="BX61" s="90">
        <v>1002519.5</v>
      </c>
      <c r="BY61" s="90">
        <f t="array" ref="BY61">XLOOKUP(C61,'PL TOTAL D0'!$A$3:$A$1991,'PL TOTAL D0'!$C$3:$C$1991,"")</f>
        <v>1015435.11</v>
      </c>
    </row>
    <row r="62" ht="15.75" customHeight="1">
      <c r="A62" s="43" t="s">
        <v>24</v>
      </c>
      <c r="B62" s="43" t="s">
        <v>1639</v>
      </c>
      <c r="C62" s="94" t="s">
        <v>1640</v>
      </c>
      <c r="D62" s="30" t="s">
        <v>120</v>
      </c>
      <c r="E62" s="22" t="s">
        <v>199</v>
      </c>
      <c r="F62" s="30" t="s">
        <v>1641</v>
      </c>
      <c r="G62" s="47" t="str">
        <f t="shared" si="5"/>
        <v>David</v>
      </c>
      <c r="H62" s="49" t="s">
        <v>183</v>
      </c>
      <c r="I62" s="49" t="s">
        <v>66</v>
      </c>
      <c r="J62" s="47" t="str">
        <f t="shared" si="6"/>
        <v>Não</v>
      </c>
      <c r="K62" s="54">
        <v>45995.0</v>
      </c>
      <c r="L62" s="62"/>
      <c r="M62" s="32" t="s">
        <v>390</v>
      </c>
      <c r="N62" s="56">
        <v>0.007</v>
      </c>
      <c r="O62" s="23" t="s">
        <v>66</v>
      </c>
      <c r="P62" s="57">
        <v>0.0</v>
      </c>
      <c r="Q62" s="58"/>
      <c r="R62" s="190"/>
      <c r="S62" s="32" t="s">
        <v>194</v>
      </c>
      <c r="T62" s="32" t="s">
        <v>1645</v>
      </c>
      <c r="U62" s="33" t="s">
        <v>1646</v>
      </c>
      <c r="V62" s="33" t="s">
        <v>1647</v>
      </c>
      <c r="W62" s="34">
        <v>34834.0</v>
      </c>
      <c r="X62" s="23" t="s">
        <v>199</v>
      </c>
      <c r="Y62" s="49" t="str">
        <f t="shared" si="4"/>
        <v>Ativo</v>
      </c>
      <c r="Z62" s="62"/>
      <c r="AA62" s="32" t="s">
        <v>47</v>
      </c>
      <c r="AB62" s="64"/>
      <c r="AC62" s="79"/>
      <c r="AD62" s="54">
        <v>46203.0</v>
      </c>
      <c r="AE62" s="77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>
        <v>0.0</v>
      </c>
      <c r="BS62" s="65">
        <v>1000.0</v>
      </c>
      <c r="BT62" s="88">
        <v>4017.4</v>
      </c>
      <c r="BU62" s="65">
        <v>5078.04</v>
      </c>
      <c r="BV62" s="65">
        <v>48317.39</v>
      </c>
      <c r="BW62" s="90">
        <v>50835.14</v>
      </c>
      <c r="BX62" s="90">
        <v>51359.33</v>
      </c>
      <c r="BY62" s="90">
        <f t="array" ref="BY62">XLOOKUP(C62,'PL TOTAL D0'!$A$3:$A$1991,'PL TOTAL D0'!$C$3:$C$1991,"")</f>
        <v>51676.5</v>
      </c>
    </row>
    <row r="63" ht="15.75" customHeight="1">
      <c r="A63" s="43" t="s">
        <v>24</v>
      </c>
      <c r="B63" s="43" t="s">
        <v>1660</v>
      </c>
      <c r="C63" s="94" t="s">
        <v>1662</v>
      </c>
      <c r="D63" s="30" t="s">
        <v>1664</v>
      </c>
      <c r="E63" s="22" t="s">
        <v>54</v>
      </c>
      <c r="F63" s="30" t="s">
        <v>1667</v>
      </c>
      <c r="G63" s="47" t="str">
        <f t="shared" si="5"/>
        <v>David</v>
      </c>
      <c r="H63" s="49" t="s">
        <v>224</v>
      </c>
      <c r="I63" s="49" t="s">
        <v>66</v>
      </c>
      <c r="J63" s="47" t="str">
        <f t="shared" si="6"/>
        <v>Não</v>
      </c>
      <c r="K63" s="54">
        <v>45652.0</v>
      </c>
      <c r="L63" s="55">
        <v>45937.0</v>
      </c>
      <c r="M63" s="32" t="s">
        <v>61</v>
      </c>
      <c r="N63" s="56">
        <v>0.012</v>
      </c>
      <c r="O63" s="23" t="s">
        <v>66</v>
      </c>
      <c r="P63" s="57">
        <v>0.0</v>
      </c>
      <c r="Q63" s="58"/>
      <c r="R63" s="190"/>
      <c r="S63" s="32" t="s">
        <v>194</v>
      </c>
      <c r="T63" s="32" t="s">
        <v>1669</v>
      </c>
      <c r="U63" s="33" t="s">
        <v>268</v>
      </c>
      <c r="V63" s="33"/>
      <c r="W63" s="33" t="s">
        <v>268</v>
      </c>
      <c r="X63" s="23" t="s">
        <v>475</v>
      </c>
      <c r="Y63" s="49" t="str">
        <f t="shared" si="4"/>
        <v>Encerrado</v>
      </c>
      <c r="Z63" s="62"/>
      <c r="AA63" s="32" t="s">
        <v>107</v>
      </c>
      <c r="AB63" s="64"/>
      <c r="AC63" s="79"/>
      <c r="AD63" s="54">
        <v>45652.0</v>
      </c>
      <c r="AE63" s="77">
        <v>4.9075100016445E13</v>
      </c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>
        <v>820.03</v>
      </c>
      <c r="BG63" s="65">
        <v>204261.72</v>
      </c>
      <c r="BH63" s="65">
        <v>206021.05</v>
      </c>
      <c r="BI63" s="65">
        <v>155957.66</v>
      </c>
      <c r="BJ63" s="65">
        <v>157524.62</v>
      </c>
      <c r="BK63" s="65">
        <v>159184.81</v>
      </c>
      <c r="BL63" s="65">
        <v>140354.69</v>
      </c>
      <c r="BM63" s="65">
        <v>0.0</v>
      </c>
      <c r="BN63" s="65">
        <v>0.0</v>
      </c>
      <c r="BO63" s="65">
        <v>0.0</v>
      </c>
      <c r="BP63" s="65">
        <v>0.0</v>
      </c>
      <c r="BQ63" s="65">
        <v>0.0</v>
      </c>
      <c r="BR63" s="65">
        <v>0.0</v>
      </c>
      <c r="BS63" s="65">
        <v>0.0</v>
      </c>
      <c r="BT63" s="88">
        <v>0.0</v>
      </c>
      <c r="BU63" s="65">
        <v>0.0</v>
      </c>
      <c r="BV63" s="65">
        <v>0.0</v>
      </c>
      <c r="BW63" s="90">
        <v>0.0</v>
      </c>
      <c r="BX63" s="90">
        <v>0.0</v>
      </c>
      <c r="BY63" s="90" t="str">
        <f t="array" ref="BY63">XLOOKUP(C63,'PL TOTAL D0'!$A$3:$A$1991,'PL TOTAL D0'!$C$3:$C$1991,"")</f>
        <v/>
      </c>
    </row>
    <row r="64" ht="16.5" customHeight="1">
      <c r="A64" s="50" t="s">
        <v>24</v>
      </c>
      <c r="B64" s="50" t="s">
        <v>1679</v>
      </c>
      <c r="C64" s="94" t="s">
        <v>1680</v>
      </c>
      <c r="D64" s="81" t="s">
        <v>120</v>
      </c>
      <c r="E64" s="95" t="s">
        <v>54</v>
      </c>
      <c r="F64" s="81" t="s">
        <v>348</v>
      </c>
      <c r="G64" s="47" t="str">
        <f t="shared" si="5"/>
        <v>David</v>
      </c>
      <c r="H64" s="49" t="s">
        <v>224</v>
      </c>
      <c r="I64" s="49" t="s">
        <v>66</v>
      </c>
      <c r="J64" s="47" t="str">
        <f t="shared" si="6"/>
        <v>Não</v>
      </c>
      <c r="K64" s="97">
        <v>44938.0</v>
      </c>
      <c r="L64" s="121">
        <v>45980.0</v>
      </c>
      <c r="M64" s="62" t="s">
        <v>61</v>
      </c>
      <c r="N64" s="98">
        <v>0.012</v>
      </c>
      <c r="O64" s="47" t="s">
        <v>66</v>
      </c>
      <c r="P64" s="99">
        <v>0.0</v>
      </c>
      <c r="Q64" s="58"/>
      <c r="R64" s="58" t="s">
        <v>1684</v>
      </c>
      <c r="S64" s="62" t="s">
        <v>194</v>
      </c>
      <c r="T64" s="32" t="s">
        <v>1685</v>
      </c>
      <c r="U64" s="33" t="s">
        <v>268</v>
      </c>
      <c r="V64" s="33"/>
      <c r="W64" s="33" t="s">
        <v>268</v>
      </c>
      <c r="X64" s="23" t="s">
        <v>54</v>
      </c>
      <c r="Y64" s="49" t="str">
        <f t="shared" si="4"/>
        <v>Encerrado</v>
      </c>
      <c r="Z64" s="62"/>
      <c r="AA64" s="62"/>
      <c r="AB64" s="64" t="s">
        <v>244</v>
      </c>
      <c r="AC64" s="79"/>
      <c r="AD64" s="54">
        <v>44938.0</v>
      </c>
      <c r="AE64" s="77">
        <v>4.9075100003661E13</v>
      </c>
      <c r="AF64" s="79"/>
      <c r="AG64" s="79"/>
      <c r="AH64" s="79"/>
      <c r="AI64" s="65">
        <v>108567.08</v>
      </c>
      <c r="AJ64" s="65">
        <v>109412.19</v>
      </c>
      <c r="AK64" s="65">
        <v>110591.27</v>
      </c>
      <c r="AL64" s="65">
        <v>131524.98</v>
      </c>
      <c r="AM64" s="65">
        <v>117722.06</v>
      </c>
      <c r="AN64" s="65">
        <v>118731.32</v>
      </c>
      <c r="AO64" s="65">
        <v>139849.87</v>
      </c>
      <c r="AP64" s="65">
        <v>141196.37</v>
      </c>
      <c r="AQ64" s="65">
        <v>162330.96</v>
      </c>
      <c r="AR64" s="65">
        <v>163717.89</v>
      </c>
      <c r="AS64" s="65">
        <v>154515.38</v>
      </c>
      <c r="AT64" s="65">
        <v>155660.59</v>
      </c>
      <c r="AU64" s="65">
        <v>156763.01</v>
      </c>
      <c r="AV64" s="65">
        <v>167964.34</v>
      </c>
      <c r="AW64" s="65">
        <v>169309.23</v>
      </c>
      <c r="AX64" s="65">
        <v>170521.51</v>
      </c>
      <c r="AY64" s="65">
        <v>171729.8</v>
      </c>
      <c r="AZ64" s="65">
        <v>162558.9</v>
      </c>
      <c r="BA64" s="65">
        <v>163460.0</v>
      </c>
      <c r="BB64" s="65">
        <v>164847.32</v>
      </c>
      <c r="BC64" s="65">
        <v>165531.13</v>
      </c>
      <c r="BD64" s="65">
        <v>166964.72</v>
      </c>
      <c r="BE64" s="65">
        <v>158116.79</v>
      </c>
      <c r="BF64" s="65">
        <v>117889.01</v>
      </c>
      <c r="BG64" s="65">
        <v>46451.27</v>
      </c>
      <c r="BH64" s="65">
        <v>31386.27</v>
      </c>
      <c r="BI64" s="65">
        <v>31665.17</v>
      </c>
      <c r="BJ64" s="65">
        <v>11569.32</v>
      </c>
      <c r="BK64" s="65">
        <v>11679.92</v>
      </c>
      <c r="BL64" s="65">
        <v>16812.41</v>
      </c>
      <c r="BM64" s="65">
        <v>0.0</v>
      </c>
      <c r="BN64" s="65">
        <v>0.0</v>
      </c>
      <c r="BO64" s="65">
        <v>0.0</v>
      </c>
      <c r="BP64" s="65">
        <v>0.0</v>
      </c>
      <c r="BQ64" s="65">
        <v>0.0</v>
      </c>
      <c r="BR64" s="65">
        <v>0.0</v>
      </c>
      <c r="BS64" s="65">
        <v>0.0</v>
      </c>
      <c r="BT64" s="88">
        <v>0.0</v>
      </c>
      <c r="BU64" s="65">
        <v>0.0</v>
      </c>
      <c r="BV64" s="65">
        <v>0.0</v>
      </c>
      <c r="BW64" s="90">
        <v>0.0</v>
      </c>
      <c r="BX64" s="90">
        <v>0.0</v>
      </c>
      <c r="BY64" s="90" t="str">
        <f t="array" ref="BY64">XLOOKUP(C64,'PL TOTAL D0'!$A$3:$A$1991,'PL TOTAL D0'!$C$3:$C$1991,"")</f>
        <v/>
      </c>
    </row>
    <row r="65" ht="16.5" customHeight="1">
      <c r="A65" s="50" t="s">
        <v>24</v>
      </c>
      <c r="B65" s="50" t="s">
        <v>1692</v>
      </c>
      <c r="C65" s="94" t="s">
        <v>1693</v>
      </c>
      <c r="D65" s="81" t="s">
        <v>120</v>
      </c>
      <c r="E65" s="95" t="s">
        <v>54</v>
      </c>
      <c r="F65" s="81" t="s">
        <v>125</v>
      </c>
      <c r="G65" s="47" t="str">
        <f t="shared" si="5"/>
        <v>David</v>
      </c>
      <c r="H65" s="49" t="s">
        <v>295</v>
      </c>
      <c r="I65" s="49" t="s">
        <v>382</v>
      </c>
      <c r="J65" s="47" t="str">
        <f t="shared" si="6"/>
        <v>Não</v>
      </c>
      <c r="K65" s="97">
        <v>45247.0</v>
      </c>
      <c r="L65" s="62"/>
      <c r="M65" s="62" t="s">
        <v>61</v>
      </c>
      <c r="N65" s="98">
        <v>0.012</v>
      </c>
      <c r="O65" s="47" t="s">
        <v>66</v>
      </c>
      <c r="P65" s="99">
        <v>0.0</v>
      </c>
      <c r="Q65" s="58"/>
      <c r="R65" s="70"/>
      <c r="S65" s="62" t="s">
        <v>194</v>
      </c>
      <c r="T65" s="32" t="s">
        <v>1698</v>
      </c>
      <c r="U65" s="33">
        <v>5.562999982702E12</v>
      </c>
      <c r="V65" s="33" t="s">
        <v>1699</v>
      </c>
      <c r="W65" s="34">
        <v>35632.0</v>
      </c>
      <c r="X65" s="23" t="s">
        <v>54</v>
      </c>
      <c r="Y65" s="49" t="str">
        <f t="shared" si="4"/>
        <v>Ativo</v>
      </c>
      <c r="Z65" s="62"/>
      <c r="AA65" s="62"/>
      <c r="AB65" s="64" t="s">
        <v>269</v>
      </c>
      <c r="AC65" s="79"/>
      <c r="AD65" s="54">
        <v>45247.0</v>
      </c>
      <c r="AE65" s="77">
        <v>4.9075100012164E13</v>
      </c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65">
        <v>0.0</v>
      </c>
      <c r="AT65" s="65">
        <v>0.0</v>
      </c>
      <c r="AU65" s="65">
        <v>0.0</v>
      </c>
      <c r="AV65" s="65">
        <v>0.0</v>
      </c>
      <c r="AW65" s="65">
        <v>0.0</v>
      </c>
      <c r="AX65" s="65">
        <v>0.0</v>
      </c>
      <c r="AY65" s="65">
        <v>0.0</v>
      </c>
      <c r="AZ65" s="65">
        <v>0.0</v>
      </c>
      <c r="BA65" s="65">
        <v>0.0</v>
      </c>
      <c r="BB65" s="65">
        <v>0.0</v>
      </c>
      <c r="BC65" s="65">
        <v>0.0</v>
      </c>
      <c r="BD65" s="65">
        <v>0.0</v>
      </c>
      <c r="BE65" s="65">
        <v>0.0</v>
      </c>
      <c r="BF65" s="65">
        <v>60026.7</v>
      </c>
      <c r="BG65" s="65">
        <v>110840.99</v>
      </c>
      <c r="BH65" s="65">
        <v>172477.54</v>
      </c>
      <c r="BI65" s="65">
        <v>174186.57</v>
      </c>
      <c r="BJ65" s="65">
        <v>185648.17</v>
      </c>
      <c r="BK65" s="65">
        <v>187144.73</v>
      </c>
      <c r="BL65" s="65">
        <v>0.0</v>
      </c>
      <c r="BM65" s="65">
        <v>1.56</v>
      </c>
      <c r="BN65" s="65">
        <v>1.56</v>
      </c>
      <c r="BO65" s="65">
        <v>1.56</v>
      </c>
      <c r="BP65" s="65">
        <v>1.56</v>
      </c>
      <c r="BQ65" s="65">
        <v>30033.52</v>
      </c>
      <c r="BR65" s="65">
        <v>30397.46</v>
      </c>
      <c r="BS65" s="65">
        <v>1.64</v>
      </c>
      <c r="BT65" s="88">
        <v>0.6</v>
      </c>
      <c r="BU65" s="65">
        <v>0.6</v>
      </c>
      <c r="BV65" s="65">
        <v>0.6</v>
      </c>
      <c r="BW65" s="90">
        <v>0.6</v>
      </c>
      <c r="BX65" s="90">
        <v>0.6</v>
      </c>
      <c r="BY65" s="90" t="str">
        <f t="array" ref="BY65">XLOOKUP(C65,'PL TOTAL D0'!$A$3:$A$1991,'PL TOTAL D0'!$C$3:$C$1991,"")</f>
        <v/>
      </c>
    </row>
    <row r="66" ht="16.5" customHeight="1">
      <c r="A66" s="50" t="s">
        <v>24</v>
      </c>
      <c r="B66" s="188" t="s">
        <v>1712</v>
      </c>
      <c r="C66" s="94" t="s">
        <v>1713</v>
      </c>
      <c r="D66" s="30" t="s">
        <v>255</v>
      </c>
      <c r="E66" s="22" t="s">
        <v>199</v>
      </c>
      <c r="F66" s="30" t="s">
        <v>257</v>
      </c>
      <c r="G66" s="47" t="str">
        <f t="shared" si="5"/>
        <v>David</v>
      </c>
      <c r="H66" s="49" t="s">
        <v>224</v>
      </c>
      <c r="I66" s="49" t="s">
        <v>66</v>
      </c>
      <c r="J66" s="47" t="str">
        <f t="shared" si="6"/>
        <v>Não</v>
      </c>
      <c r="K66" s="54">
        <v>45383.0</v>
      </c>
      <c r="L66" s="55">
        <v>45527.0</v>
      </c>
      <c r="M66" s="32" t="s">
        <v>201</v>
      </c>
      <c r="N66" s="56">
        <v>0.0</v>
      </c>
      <c r="O66" s="23" t="s">
        <v>66</v>
      </c>
      <c r="P66" s="57">
        <v>0.0</v>
      </c>
      <c r="Q66" s="58"/>
      <c r="R66" s="70"/>
      <c r="S66" s="32" t="s">
        <v>194</v>
      </c>
      <c r="T66" s="22" t="s">
        <v>1715</v>
      </c>
      <c r="U66" s="33" t="s">
        <v>268</v>
      </c>
      <c r="V66" s="33"/>
      <c r="W66" s="33" t="s">
        <v>268</v>
      </c>
      <c r="X66" s="23" t="s">
        <v>199</v>
      </c>
      <c r="Y66" s="49" t="str">
        <f t="shared" si="4"/>
        <v>Encerrado</v>
      </c>
      <c r="Z66" s="62"/>
      <c r="AA66" s="62"/>
      <c r="AB66" s="64"/>
      <c r="AC66" s="79"/>
      <c r="AD66" s="54">
        <v>45383.0</v>
      </c>
      <c r="AE66" s="77">
        <v>4.9075100014E13</v>
      </c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65"/>
      <c r="AW66" s="65">
        <v>450.54</v>
      </c>
      <c r="AX66" s="65">
        <v>454.49</v>
      </c>
      <c r="AY66" s="65">
        <v>457.01</v>
      </c>
      <c r="AZ66" s="65">
        <v>460.58</v>
      </c>
      <c r="BA66" s="65">
        <v>0.0</v>
      </c>
      <c r="BB66" s="65">
        <v>0.0</v>
      </c>
      <c r="BC66" s="65">
        <v>0.0</v>
      </c>
      <c r="BD66" s="65">
        <v>0.0</v>
      </c>
      <c r="BE66" s="65">
        <v>0.0</v>
      </c>
      <c r="BF66" s="65">
        <v>0.0</v>
      </c>
      <c r="BG66" s="65">
        <v>0.0</v>
      </c>
      <c r="BH66" s="65">
        <v>0.0</v>
      </c>
      <c r="BI66" s="65">
        <v>0.0</v>
      </c>
      <c r="BJ66" s="65">
        <v>0.0</v>
      </c>
      <c r="BK66" s="65">
        <v>0.0</v>
      </c>
      <c r="BL66" s="65">
        <v>0.0</v>
      </c>
      <c r="BM66" s="65">
        <v>0.0</v>
      </c>
      <c r="BN66" s="65">
        <v>0.0</v>
      </c>
      <c r="BO66" s="65">
        <v>0.0</v>
      </c>
      <c r="BP66" s="65">
        <v>0.0</v>
      </c>
      <c r="BQ66" s="65">
        <v>0.0</v>
      </c>
      <c r="BR66" s="65">
        <v>0.0</v>
      </c>
      <c r="BS66" s="65">
        <v>0.0</v>
      </c>
      <c r="BT66" s="88">
        <v>0.0</v>
      </c>
      <c r="BU66" s="65">
        <v>0.0</v>
      </c>
      <c r="BV66" s="65">
        <v>0.0</v>
      </c>
      <c r="BW66" s="90">
        <v>0.0</v>
      </c>
      <c r="BX66" s="90">
        <v>0.0</v>
      </c>
      <c r="BY66" s="90" t="str">
        <f t="array" ref="BY66">XLOOKUP(C66,'PL TOTAL D0'!$A$3:$A$1991,'PL TOTAL D0'!$C$3:$C$1991,"")</f>
        <v/>
      </c>
    </row>
    <row r="67" ht="16.5" customHeight="1">
      <c r="A67" s="50" t="s">
        <v>24</v>
      </c>
      <c r="B67" s="188" t="s">
        <v>1727</v>
      </c>
      <c r="C67" s="94" t="s">
        <v>1728</v>
      </c>
      <c r="D67" s="30" t="s">
        <v>53</v>
      </c>
      <c r="E67" s="22" t="s">
        <v>54</v>
      </c>
      <c r="F67" s="30" t="s">
        <v>401</v>
      </c>
      <c r="G67" s="47" t="str">
        <f t="shared" si="5"/>
        <v>David</v>
      </c>
      <c r="H67" s="49" t="s">
        <v>183</v>
      </c>
      <c r="I67" s="49" t="s">
        <v>66</v>
      </c>
      <c r="J67" s="47" t="str">
        <f t="shared" si="6"/>
        <v>Sim</v>
      </c>
      <c r="K67" s="54">
        <v>46083.0</v>
      </c>
      <c r="L67" s="55"/>
      <c r="M67" s="32" t="s">
        <v>61</v>
      </c>
      <c r="N67" s="56">
        <v>0.012</v>
      </c>
      <c r="O67" s="23" t="s">
        <v>66</v>
      </c>
      <c r="P67" s="57">
        <v>0.0</v>
      </c>
      <c r="Q67" s="58" t="s">
        <v>1729</v>
      </c>
      <c r="R67" s="70"/>
      <c r="S67" s="32" t="s">
        <v>194</v>
      </c>
      <c r="T67" s="22" t="s">
        <v>1730</v>
      </c>
      <c r="U67" s="33" t="s">
        <v>1731</v>
      </c>
      <c r="V67" s="33" t="s">
        <v>1732</v>
      </c>
      <c r="W67" s="33">
        <v>31613.0</v>
      </c>
      <c r="X67" s="23" t="s">
        <v>54</v>
      </c>
      <c r="Y67" s="49" t="str">
        <f t="shared" si="4"/>
        <v>Ativo</v>
      </c>
      <c r="Z67" s="62"/>
      <c r="AA67" s="62" t="s">
        <v>107</v>
      </c>
      <c r="AB67" s="64"/>
      <c r="AC67" s="79"/>
      <c r="AD67" s="54">
        <v>46203.0</v>
      </c>
      <c r="AE67" s="77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88" t="s">
        <v>1739</v>
      </c>
      <c r="BU67" s="65">
        <v>353606.5</v>
      </c>
      <c r="BV67" s="65">
        <v>357585.8</v>
      </c>
      <c r="BW67" s="90">
        <v>360739.9</v>
      </c>
      <c r="BX67" s="90">
        <v>364205.47</v>
      </c>
      <c r="BY67" s="90">
        <f t="array" ref="BY67">XLOOKUP(C67,'PL TOTAL D0'!$A$3:$A$1991,'PL TOTAL D0'!$C$3:$C$1991,"")</f>
        <v>368310.4</v>
      </c>
    </row>
    <row r="68" ht="16.5" customHeight="1">
      <c r="A68" s="50" t="s">
        <v>24</v>
      </c>
      <c r="B68" s="166" t="s">
        <v>1741</v>
      </c>
      <c r="C68" s="94" t="s">
        <v>1742</v>
      </c>
      <c r="D68" s="30" t="s">
        <v>89</v>
      </c>
      <c r="E68" s="95" t="s">
        <v>91</v>
      </c>
      <c r="F68" s="81" t="s">
        <v>193</v>
      </c>
      <c r="G68" s="47" t="str">
        <f t="shared" si="5"/>
        <v>David</v>
      </c>
      <c r="H68" s="49" t="s">
        <v>224</v>
      </c>
      <c r="I68" s="49" t="s">
        <v>66</v>
      </c>
      <c r="J68" s="47" t="str">
        <f t="shared" si="6"/>
        <v>Não</v>
      </c>
      <c r="K68" s="97">
        <v>45203.0</v>
      </c>
      <c r="L68" s="55">
        <v>45764.0</v>
      </c>
      <c r="M68" s="62" t="s">
        <v>61</v>
      </c>
      <c r="N68" s="98">
        <v>0.012</v>
      </c>
      <c r="O68" s="47" t="s">
        <v>66</v>
      </c>
      <c r="P68" s="99">
        <v>0.0</v>
      </c>
      <c r="Q68" s="58"/>
      <c r="R68" s="70"/>
      <c r="S68" s="62" t="s">
        <v>194</v>
      </c>
      <c r="T68" s="32" t="s">
        <v>1747</v>
      </c>
      <c r="U68" s="33" t="s">
        <v>268</v>
      </c>
      <c r="V68" s="33"/>
      <c r="W68" s="33" t="s">
        <v>268</v>
      </c>
      <c r="X68" s="23" t="s">
        <v>221</v>
      </c>
      <c r="Y68" s="49" t="str">
        <f t="shared" si="4"/>
        <v>Encerrado</v>
      </c>
      <c r="Z68" s="62"/>
      <c r="AA68" s="62"/>
      <c r="AB68" s="64" t="s">
        <v>269</v>
      </c>
      <c r="AC68" s="79"/>
      <c r="AD68" s="54">
        <v>45203.0</v>
      </c>
      <c r="AE68" s="77">
        <v>4.9075100011125E13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65">
        <v>0.0</v>
      </c>
      <c r="AR68" s="65">
        <v>0.0</v>
      </c>
      <c r="AS68" s="65">
        <v>10072.32</v>
      </c>
      <c r="AT68" s="65">
        <v>20154.5</v>
      </c>
      <c r="AU68" s="65">
        <v>20328.42</v>
      </c>
      <c r="AV68" s="65">
        <v>20490.56</v>
      </c>
      <c r="AW68" s="65">
        <v>20653.07</v>
      </c>
      <c r="AX68" s="65">
        <v>20796.53</v>
      </c>
      <c r="AY68" s="65">
        <v>20931.7</v>
      </c>
      <c r="AZ68" s="65">
        <v>21081.77</v>
      </c>
      <c r="BA68" s="65">
        <v>21242.82</v>
      </c>
      <c r="BB68" s="65">
        <v>21395.16</v>
      </c>
      <c r="BC68" s="65">
        <v>21534.01</v>
      </c>
      <c r="BD68" s="65">
        <v>0.0</v>
      </c>
      <c r="BE68" s="65">
        <v>0.0</v>
      </c>
      <c r="BF68" s="65">
        <v>0.0</v>
      </c>
      <c r="BG68" s="65">
        <v>0.0</v>
      </c>
      <c r="BH68" s="65">
        <v>0.0</v>
      </c>
      <c r="BI68" s="65">
        <v>0.0</v>
      </c>
      <c r="BJ68" s="65">
        <v>0.0</v>
      </c>
      <c r="BK68" s="65">
        <v>0.0</v>
      </c>
      <c r="BL68" s="65">
        <v>0.0</v>
      </c>
      <c r="BM68" s="65">
        <v>0.0</v>
      </c>
      <c r="BN68" s="65">
        <v>0.0</v>
      </c>
      <c r="BO68" s="65">
        <v>0.0</v>
      </c>
      <c r="BP68" s="65">
        <v>0.0</v>
      </c>
      <c r="BQ68" s="65">
        <v>0.0</v>
      </c>
      <c r="BR68" s="65">
        <v>0.0</v>
      </c>
      <c r="BS68" s="65">
        <v>0.0</v>
      </c>
      <c r="BT68" s="88">
        <v>0.0</v>
      </c>
      <c r="BU68" s="65">
        <v>0.0</v>
      </c>
      <c r="BV68" s="65">
        <v>0.0</v>
      </c>
      <c r="BW68" s="90">
        <v>0.0</v>
      </c>
      <c r="BX68" s="90">
        <v>0.0</v>
      </c>
      <c r="BY68" s="90" t="str">
        <f t="array" ref="BY68">XLOOKUP(C68,'PL TOTAL D0'!$A$3:$A$1991,'PL TOTAL D0'!$C$3:$C$1991,"")</f>
        <v/>
      </c>
    </row>
    <row r="69" ht="15.75" customHeight="1">
      <c r="A69" s="50" t="s">
        <v>24</v>
      </c>
      <c r="B69" s="50" t="s">
        <v>1756</v>
      </c>
      <c r="C69" s="94" t="s">
        <v>1758</v>
      </c>
      <c r="D69" s="81" t="s">
        <v>120</v>
      </c>
      <c r="E69" s="95" t="s">
        <v>199</v>
      </c>
      <c r="F69" s="81" t="s">
        <v>677</v>
      </c>
      <c r="G69" s="47" t="str">
        <f t="shared" si="5"/>
        <v>David</v>
      </c>
      <c r="H69" s="49" t="s">
        <v>224</v>
      </c>
      <c r="I69" s="49" t="s">
        <v>66</v>
      </c>
      <c r="J69" s="47" t="str">
        <f t="shared" ref="J69:J70" si="7">IF(R69=0,"Não","Sim")</f>
        <v>Sim</v>
      </c>
      <c r="K69" s="97">
        <v>45042.0</v>
      </c>
      <c r="L69" s="55">
        <v>45449.0</v>
      </c>
      <c r="M69" s="62" t="s">
        <v>61</v>
      </c>
      <c r="N69" s="98">
        <v>0.01</v>
      </c>
      <c r="O69" s="47" t="s">
        <v>66</v>
      </c>
      <c r="P69" s="99">
        <v>0.0</v>
      </c>
      <c r="Q69" s="58"/>
      <c r="R69" s="195" t="s">
        <v>1767</v>
      </c>
      <c r="S69" s="62" t="s">
        <v>194</v>
      </c>
      <c r="T69" s="32" t="s">
        <v>1768</v>
      </c>
      <c r="U69" s="33" t="s">
        <v>268</v>
      </c>
      <c r="V69" s="33"/>
      <c r="W69" s="33" t="s">
        <v>268</v>
      </c>
      <c r="X69" s="23" t="s">
        <v>199</v>
      </c>
      <c r="Y69" s="49" t="str">
        <f t="shared" si="4"/>
        <v>Encerrado</v>
      </c>
      <c r="Z69" s="62"/>
      <c r="AA69" s="62"/>
      <c r="AB69" s="64" t="s">
        <v>269</v>
      </c>
      <c r="AC69" s="79"/>
      <c r="AD69" s="54">
        <v>45042.0</v>
      </c>
      <c r="AE69" s="77">
        <v>4.9075100011133E13</v>
      </c>
      <c r="AF69" s="79"/>
      <c r="AG69" s="79"/>
      <c r="AH69" s="79"/>
      <c r="AI69" s="79"/>
      <c r="AJ69" s="79"/>
      <c r="AK69" s="79"/>
      <c r="AL69" s="65">
        <v>1684755.32</v>
      </c>
      <c r="AM69" s="65">
        <v>1644341.39</v>
      </c>
      <c r="AN69" s="65">
        <v>1637940.49</v>
      </c>
      <c r="AO69" s="65">
        <v>0.0</v>
      </c>
      <c r="AP69" s="65">
        <v>0.0</v>
      </c>
      <c r="AQ69" s="65">
        <v>0.0</v>
      </c>
      <c r="AR69" s="65">
        <v>0.0</v>
      </c>
      <c r="AS69" s="65">
        <v>0.0</v>
      </c>
      <c r="AT69" s="65">
        <v>0.0</v>
      </c>
      <c r="AU69" s="65">
        <v>0.0</v>
      </c>
      <c r="AV69" s="65">
        <v>0.0</v>
      </c>
      <c r="AW69" s="65">
        <v>0.0</v>
      </c>
      <c r="AX69" s="65">
        <v>0.0</v>
      </c>
      <c r="AY69" s="65">
        <v>0.0</v>
      </c>
      <c r="AZ69" s="65">
        <v>0.0</v>
      </c>
      <c r="BA69" s="65">
        <v>0.0</v>
      </c>
      <c r="BB69" s="65">
        <v>0.0</v>
      </c>
      <c r="BC69" s="65">
        <v>0.0</v>
      </c>
      <c r="BD69" s="65">
        <v>0.0</v>
      </c>
      <c r="BE69" s="65">
        <v>0.0</v>
      </c>
      <c r="BF69" s="65">
        <v>0.0</v>
      </c>
      <c r="BG69" s="65">
        <v>0.0</v>
      </c>
      <c r="BH69" s="65">
        <v>0.0</v>
      </c>
      <c r="BI69" s="65">
        <v>0.0</v>
      </c>
      <c r="BJ69" s="65">
        <v>0.0</v>
      </c>
      <c r="BK69" s="65">
        <v>0.0</v>
      </c>
      <c r="BL69" s="65">
        <v>0.0</v>
      </c>
      <c r="BM69" s="65">
        <v>0.0</v>
      </c>
      <c r="BN69" s="65">
        <v>0.0</v>
      </c>
      <c r="BO69" s="65">
        <v>0.0</v>
      </c>
      <c r="BP69" s="65">
        <v>0.0</v>
      </c>
      <c r="BQ69" s="65">
        <v>0.0</v>
      </c>
      <c r="BR69" s="65">
        <v>0.0</v>
      </c>
      <c r="BS69" s="65">
        <v>0.0</v>
      </c>
      <c r="BT69" s="88">
        <v>0.0</v>
      </c>
      <c r="BU69" s="65">
        <v>0.0</v>
      </c>
      <c r="BV69" s="65">
        <v>0.0</v>
      </c>
      <c r="BW69" s="90">
        <v>0.0</v>
      </c>
      <c r="BX69" s="90">
        <v>0.0</v>
      </c>
      <c r="BY69" s="90" t="str">
        <f t="array" ref="BY69">XLOOKUP(C69,'PL TOTAL D0'!$A$3:$A$1991,'PL TOTAL D0'!$C$3:$C$1991,"")</f>
        <v/>
      </c>
    </row>
    <row r="70" ht="15.75" customHeight="1">
      <c r="A70" s="50" t="s">
        <v>24</v>
      </c>
      <c r="B70" s="43" t="s">
        <v>1774</v>
      </c>
      <c r="C70" s="94" t="s">
        <v>1775</v>
      </c>
      <c r="D70" s="30" t="s">
        <v>120</v>
      </c>
      <c r="E70" s="22" t="s">
        <v>199</v>
      </c>
      <c r="F70" s="30" t="s">
        <v>431</v>
      </c>
      <c r="G70" s="47" t="str">
        <f t="shared" si="5"/>
        <v>David</v>
      </c>
      <c r="H70" s="49" t="s">
        <v>295</v>
      </c>
      <c r="I70" s="49" t="s">
        <v>447</v>
      </c>
      <c r="J70" s="47" t="str">
        <f t="shared" si="7"/>
        <v>Não</v>
      </c>
      <c r="K70" s="54">
        <v>45580.0</v>
      </c>
      <c r="L70" s="55"/>
      <c r="M70" s="32" t="s">
        <v>201</v>
      </c>
      <c r="N70" s="290">
        <v>0.003</v>
      </c>
      <c r="O70" s="291" t="s">
        <v>66</v>
      </c>
      <c r="P70" s="292">
        <v>0.0</v>
      </c>
      <c r="Q70" s="58" t="s">
        <v>1779</v>
      </c>
      <c r="R70" s="195"/>
      <c r="S70" s="32" t="s">
        <v>194</v>
      </c>
      <c r="T70" s="32" t="s">
        <v>1780</v>
      </c>
      <c r="U70" s="33">
        <v>3.1999447575E10</v>
      </c>
      <c r="V70" s="33" t="s">
        <v>1781</v>
      </c>
      <c r="W70" s="34">
        <v>20859.0</v>
      </c>
      <c r="X70" s="23" t="s">
        <v>618</v>
      </c>
      <c r="Y70" s="49" t="str">
        <f t="shared" si="4"/>
        <v>Ativo</v>
      </c>
      <c r="Z70" s="62"/>
      <c r="AA70" s="32" t="s">
        <v>47</v>
      </c>
      <c r="AB70" s="64"/>
      <c r="AC70" s="79"/>
      <c r="AD70" s="54">
        <v>45580.0</v>
      </c>
      <c r="AE70" s="77">
        <v>4.9075100016003E13</v>
      </c>
      <c r="AF70" s="79"/>
      <c r="AG70" s="79"/>
      <c r="AH70" s="79"/>
      <c r="AI70" s="79"/>
      <c r="AJ70" s="79"/>
      <c r="AK70" s="79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>
        <v>4.3</v>
      </c>
      <c r="BE70" s="65">
        <v>63754.61</v>
      </c>
      <c r="BF70" s="65">
        <v>7.74</v>
      </c>
      <c r="BG70" s="65">
        <v>0.92</v>
      </c>
      <c r="BH70" s="65">
        <v>0.83</v>
      </c>
      <c r="BI70" s="65">
        <v>0.9</v>
      </c>
      <c r="BJ70" s="65">
        <v>0.92</v>
      </c>
      <c r="BK70" s="65">
        <v>1.32</v>
      </c>
      <c r="BL70" s="65">
        <v>1.32</v>
      </c>
      <c r="BM70" s="65">
        <v>1.35</v>
      </c>
      <c r="BN70" s="65">
        <v>1.36</v>
      </c>
      <c r="BO70" s="65">
        <v>1.36</v>
      </c>
      <c r="BP70" s="65">
        <v>1.36</v>
      </c>
      <c r="BQ70" s="65">
        <v>1.36</v>
      </c>
      <c r="BR70" s="65">
        <v>1.36</v>
      </c>
      <c r="BS70" s="65">
        <v>1.36</v>
      </c>
      <c r="BT70" s="88">
        <v>1.36</v>
      </c>
      <c r="BU70" s="65">
        <v>1.36</v>
      </c>
      <c r="BV70" s="65">
        <v>1.36</v>
      </c>
      <c r="BW70" s="90">
        <v>1.36</v>
      </c>
      <c r="BX70" s="90">
        <v>1.36</v>
      </c>
      <c r="BY70" s="90" t="str">
        <f t="array" ref="BY70">XLOOKUP(C70,'PL TOTAL D0'!$A$3:$A$1991,'PL TOTAL D0'!$C$3:$C$1991,"")</f>
        <v/>
      </c>
    </row>
    <row r="71" ht="15.75" customHeight="1">
      <c r="A71" s="43" t="s">
        <v>24</v>
      </c>
      <c r="B71" s="296" t="s">
        <v>1784</v>
      </c>
      <c r="C71" s="94" t="s">
        <v>1786</v>
      </c>
      <c r="D71" s="30" t="s">
        <v>89</v>
      </c>
      <c r="E71" s="22" t="s">
        <v>91</v>
      </c>
      <c r="F71" s="81" t="s">
        <v>521</v>
      </c>
      <c r="G71" s="47" t="str">
        <f t="shared" si="5"/>
        <v>David</v>
      </c>
      <c r="H71" s="49" t="s">
        <v>183</v>
      </c>
      <c r="I71" s="49" t="s">
        <v>66</v>
      </c>
      <c r="J71" s="47" t="str">
        <f t="shared" ref="J71:J79" si="8">IF(Q71=0,"Não","Sim")</f>
        <v>Sim</v>
      </c>
      <c r="K71" s="54">
        <v>45279.0</v>
      </c>
      <c r="L71" s="62"/>
      <c r="M71" s="62" t="s">
        <v>61</v>
      </c>
      <c r="N71" s="297">
        <v>0.012</v>
      </c>
      <c r="O71" s="299" t="s">
        <v>35</v>
      </c>
      <c r="P71" s="300">
        <v>0.1</v>
      </c>
      <c r="Q71" s="58" t="s">
        <v>1790</v>
      </c>
      <c r="R71" s="195" t="s">
        <v>1791</v>
      </c>
      <c r="S71" s="32" t="s">
        <v>194</v>
      </c>
      <c r="T71" s="32" t="s">
        <v>1792</v>
      </c>
      <c r="U71" s="33">
        <v>5.543999985851E12</v>
      </c>
      <c r="V71" s="33" t="s">
        <v>1794</v>
      </c>
      <c r="W71" s="34">
        <v>23808.0</v>
      </c>
      <c r="X71" s="23" t="s">
        <v>221</v>
      </c>
      <c r="Y71" s="49" t="str">
        <f t="shared" si="4"/>
        <v>Ativo</v>
      </c>
      <c r="Z71" s="62"/>
      <c r="AA71" s="62"/>
      <c r="AB71" s="64" t="s">
        <v>269</v>
      </c>
      <c r="AC71" s="79"/>
      <c r="AD71" s="54">
        <v>45279.0</v>
      </c>
      <c r="AE71" s="77">
        <v>4.9075100012911E13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65">
        <v>0.0</v>
      </c>
      <c r="AU71" s="65">
        <v>157121.73</v>
      </c>
      <c r="AV71" s="65">
        <v>158173.05</v>
      </c>
      <c r="AW71" s="65">
        <v>158825.91</v>
      </c>
      <c r="AX71" s="65">
        <v>160025.75</v>
      </c>
      <c r="AY71" s="65">
        <v>161160.4</v>
      </c>
      <c r="AZ71" s="65">
        <v>162345.4</v>
      </c>
      <c r="BA71" s="65">
        <v>163296.8</v>
      </c>
      <c r="BB71" s="65">
        <v>164602.91</v>
      </c>
      <c r="BC71" s="65">
        <v>165708.53</v>
      </c>
      <c r="BD71" s="65">
        <v>167128.36</v>
      </c>
      <c r="BE71" s="65">
        <v>168293.65</v>
      </c>
      <c r="BF71" s="65">
        <v>169173.05</v>
      </c>
      <c r="BG71" s="65">
        <v>165006.43</v>
      </c>
      <c r="BH71" s="65">
        <v>161193.94</v>
      </c>
      <c r="BI71" s="65">
        <v>162468.97</v>
      </c>
      <c r="BJ71" s="65">
        <v>161793.22</v>
      </c>
      <c r="BK71" s="65">
        <v>163520.17</v>
      </c>
      <c r="BL71" s="65">
        <v>164584.73</v>
      </c>
      <c r="BM71" s="65">
        <v>166330.99</v>
      </c>
      <c r="BN71" s="65">
        <v>167954.9</v>
      </c>
      <c r="BO71" s="65">
        <v>163437.36</v>
      </c>
      <c r="BP71" s="65">
        <v>157562.3</v>
      </c>
      <c r="BQ71" s="65">
        <v>155815.6</v>
      </c>
      <c r="BR71" s="65">
        <v>174346.6</v>
      </c>
      <c r="BS71" s="65">
        <v>173483.02</v>
      </c>
      <c r="BT71" s="88">
        <v>169882.5</v>
      </c>
      <c r="BU71" s="65">
        <v>171454.6</v>
      </c>
      <c r="BV71" s="65">
        <v>173359.5</v>
      </c>
      <c r="BW71" s="90">
        <v>171935.9</v>
      </c>
      <c r="BX71" s="90">
        <v>173549.83</v>
      </c>
      <c r="BY71" s="90">
        <f t="array" ref="BY71">XLOOKUP(C71,'PL TOTAL D0'!$A$3:$A$1991,'PL TOTAL D0'!$C$3:$C$1991,"")</f>
        <v>174724.2</v>
      </c>
    </row>
    <row r="72" ht="15.75" customHeight="1">
      <c r="A72" s="50" t="s">
        <v>24</v>
      </c>
      <c r="B72" s="176" t="s">
        <v>547</v>
      </c>
      <c r="C72" s="94" t="s">
        <v>1802</v>
      </c>
      <c r="D72" s="30" t="s">
        <v>89</v>
      </c>
      <c r="E72" s="95" t="s">
        <v>91</v>
      </c>
      <c r="F72" s="81" t="s">
        <v>521</v>
      </c>
      <c r="G72" s="47" t="str">
        <f t="shared" si="5"/>
        <v>Gabriel</v>
      </c>
      <c r="H72" s="49" t="s">
        <v>183</v>
      </c>
      <c r="I72" s="49" t="s">
        <v>66</v>
      </c>
      <c r="J72" s="47" t="str">
        <f t="shared" si="8"/>
        <v>Não</v>
      </c>
      <c r="K72" s="97">
        <v>45027.0</v>
      </c>
      <c r="L72" s="62"/>
      <c r="M72" s="32" t="s">
        <v>1349</v>
      </c>
      <c r="N72" s="56">
        <v>0.012</v>
      </c>
      <c r="O72" s="23" t="s">
        <v>66</v>
      </c>
      <c r="P72" s="57">
        <v>0.0</v>
      </c>
      <c r="Q72" s="58"/>
      <c r="R72" s="70"/>
      <c r="S72" s="62" t="s">
        <v>194</v>
      </c>
      <c r="T72" s="32" t="s">
        <v>553</v>
      </c>
      <c r="U72" s="33">
        <v>5.544999926511E12</v>
      </c>
      <c r="V72" s="33" t="s">
        <v>556</v>
      </c>
      <c r="W72" s="34">
        <v>22196.0</v>
      </c>
      <c r="X72" s="23" t="s">
        <v>221</v>
      </c>
      <c r="Y72" s="49" t="str">
        <f t="shared" si="4"/>
        <v>Ativo</v>
      </c>
      <c r="Z72" s="62"/>
      <c r="AA72" s="32" t="s">
        <v>47</v>
      </c>
      <c r="AB72" s="64" t="s">
        <v>269</v>
      </c>
      <c r="AC72" s="79"/>
      <c r="AD72" s="54">
        <v>45027.0</v>
      </c>
      <c r="AE72" s="77">
        <v>4.9075100012172E13</v>
      </c>
      <c r="AF72" s="79"/>
      <c r="AG72" s="79"/>
      <c r="AH72" s="79"/>
      <c r="AI72" s="79"/>
      <c r="AJ72" s="79"/>
      <c r="AK72" s="65">
        <v>0.0</v>
      </c>
      <c r="AL72" s="65">
        <v>194185.85</v>
      </c>
      <c r="AM72" s="65">
        <v>461665.96</v>
      </c>
      <c r="AN72" s="65">
        <v>473644.04</v>
      </c>
      <c r="AO72" s="65">
        <v>276192.79</v>
      </c>
      <c r="AP72" s="65">
        <v>274251.9</v>
      </c>
      <c r="AQ72" s="65">
        <v>276050.98</v>
      </c>
      <c r="AR72" s="65">
        <v>276097.3</v>
      </c>
      <c r="AS72" s="65">
        <v>282389.02</v>
      </c>
      <c r="AT72" s="65">
        <v>287907.38</v>
      </c>
      <c r="AU72" s="65">
        <v>283734.05</v>
      </c>
      <c r="AV72" s="65">
        <v>286191.43</v>
      </c>
      <c r="AW72" s="65">
        <v>540494.52</v>
      </c>
      <c r="AX72" s="65">
        <v>465561.03</v>
      </c>
      <c r="AY72" s="65">
        <v>704252.2</v>
      </c>
      <c r="AZ72" s="65">
        <v>708956.3</v>
      </c>
      <c r="BA72" s="65">
        <v>717389.2</v>
      </c>
      <c r="BB72" s="65">
        <v>724415.59</v>
      </c>
      <c r="BC72" s="65">
        <v>744957.57</v>
      </c>
      <c r="BD72" s="65">
        <v>711517.98</v>
      </c>
      <c r="BE72" s="65">
        <v>726221.86</v>
      </c>
      <c r="BF72" s="65">
        <v>705318.2</v>
      </c>
      <c r="BG72" s="65">
        <v>715298.64</v>
      </c>
      <c r="BH72" s="65">
        <v>733245.12</v>
      </c>
      <c r="BI72" s="65">
        <v>741997.66</v>
      </c>
      <c r="BJ72" s="65">
        <v>714657.39</v>
      </c>
      <c r="BK72" s="65">
        <v>722202.06</v>
      </c>
      <c r="BL72" s="65">
        <v>728303.57</v>
      </c>
      <c r="BM72" s="65">
        <v>747775.16</v>
      </c>
      <c r="BN72" s="65">
        <v>755172.7</v>
      </c>
      <c r="BO72" s="65">
        <v>249766.71</v>
      </c>
      <c r="BP72" s="65">
        <v>321812.9</v>
      </c>
      <c r="BQ72" s="65">
        <v>324848.5</v>
      </c>
      <c r="BR72" s="65">
        <v>328278.1</v>
      </c>
      <c r="BS72" s="65">
        <v>331631.37</v>
      </c>
      <c r="BT72" s="88">
        <v>334461.5</v>
      </c>
      <c r="BU72" s="65">
        <v>338465.7</v>
      </c>
      <c r="BV72" s="65">
        <v>137973.9</v>
      </c>
      <c r="BW72" s="90">
        <v>139575.4</v>
      </c>
      <c r="BX72" s="90">
        <v>140924.1</v>
      </c>
      <c r="BY72" s="90">
        <f t="array" ref="BY72">XLOOKUP(C72,'PL TOTAL D0'!$A$3:$A$1991,'PL TOTAL D0'!$C$3:$C$1991,"")</f>
        <v>142790.17</v>
      </c>
    </row>
    <row r="73" ht="15.75" customHeight="1">
      <c r="A73" s="50" t="s">
        <v>24</v>
      </c>
      <c r="B73" s="50" t="s">
        <v>547</v>
      </c>
      <c r="C73" s="94" t="s">
        <v>1808</v>
      </c>
      <c r="D73" s="30" t="s">
        <v>89</v>
      </c>
      <c r="E73" s="95" t="s">
        <v>91</v>
      </c>
      <c r="F73" s="81" t="s">
        <v>521</v>
      </c>
      <c r="G73" s="47" t="str">
        <f t="shared" si="5"/>
        <v>David</v>
      </c>
      <c r="H73" s="49" t="s">
        <v>224</v>
      </c>
      <c r="I73" s="49" t="s">
        <v>66</v>
      </c>
      <c r="J73" s="47" t="str">
        <f t="shared" si="8"/>
        <v>Não</v>
      </c>
      <c r="K73" s="97">
        <v>44998.0</v>
      </c>
      <c r="L73" s="121">
        <v>45980.0</v>
      </c>
      <c r="M73" s="62" t="s">
        <v>61</v>
      </c>
      <c r="N73" s="98">
        <v>0.012</v>
      </c>
      <c r="O73" s="47" t="s">
        <v>66</v>
      </c>
      <c r="P73" s="99">
        <v>0.0</v>
      </c>
      <c r="Q73" s="58"/>
      <c r="R73" s="70"/>
      <c r="S73" s="62" t="s">
        <v>194</v>
      </c>
      <c r="T73" s="32" t="s">
        <v>553</v>
      </c>
      <c r="U73" s="33">
        <v>5.544999926511E12</v>
      </c>
      <c r="V73" s="33" t="s">
        <v>556</v>
      </c>
      <c r="W73" s="34">
        <v>22196.0</v>
      </c>
      <c r="X73" s="23" t="s">
        <v>221</v>
      </c>
      <c r="Y73" s="49" t="str">
        <f t="shared" si="4"/>
        <v>Encerrado</v>
      </c>
      <c r="Z73" s="62"/>
      <c r="AA73" s="62"/>
      <c r="AB73" s="64" t="s">
        <v>269</v>
      </c>
      <c r="AC73" s="79"/>
      <c r="AD73" s="54">
        <v>44998.0</v>
      </c>
      <c r="AE73" s="77">
        <v>4.9075100008647E13</v>
      </c>
      <c r="AF73" s="79"/>
      <c r="AG73" s="79"/>
      <c r="AH73" s="79"/>
      <c r="AI73" s="79"/>
      <c r="AJ73" s="79"/>
      <c r="AK73" s="65">
        <v>3571441.62</v>
      </c>
      <c r="AL73" s="65">
        <v>3908519.48</v>
      </c>
      <c r="AM73" s="65">
        <v>3182425.32</v>
      </c>
      <c r="AN73" s="65">
        <v>2082493.54</v>
      </c>
      <c r="AO73" s="65">
        <v>1015957.57</v>
      </c>
      <c r="AP73" s="65">
        <v>657075.8</v>
      </c>
      <c r="AQ73" s="65">
        <v>296915.45</v>
      </c>
      <c r="AR73" s="65">
        <v>299398.27</v>
      </c>
      <c r="AS73" s="65">
        <v>99133.3</v>
      </c>
      <c r="AT73" s="65">
        <v>99661.46</v>
      </c>
      <c r="AU73" s="65">
        <v>100730.48</v>
      </c>
      <c r="AV73" s="65">
        <v>101401.17</v>
      </c>
      <c r="AW73" s="65">
        <v>0.0</v>
      </c>
      <c r="AX73" s="65">
        <v>0.0</v>
      </c>
      <c r="AY73" s="65">
        <v>0.0</v>
      </c>
      <c r="AZ73" s="65">
        <v>1.61</v>
      </c>
      <c r="BA73" s="65">
        <v>1.61</v>
      </c>
      <c r="BB73" s="65">
        <v>1.61</v>
      </c>
      <c r="BC73" s="65">
        <v>0.0</v>
      </c>
      <c r="BD73" s="65">
        <v>0.0</v>
      </c>
      <c r="BE73" s="65">
        <v>0.0</v>
      </c>
      <c r="BF73" s="65">
        <v>0.0</v>
      </c>
      <c r="BG73" s="65">
        <v>0.0</v>
      </c>
      <c r="BH73" s="65">
        <v>0.0</v>
      </c>
      <c r="BI73" s="65">
        <v>0.0</v>
      </c>
      <c r="BJ73" s="65">
        <v>0.0</v>
      </c>
      <c r="BK73" s="65">
        <v>0.0</v>
      </c>
      <c r="BL73" s="65">
        <v>0.0</v>
      </c>
      <c r="BM73" s="65">
        <v>0.0</v>
      </c>
      <c r="BN73" s="65">
        <v>0.0</v>
      </c>
      <c r="BO73" s="65">
        <v>0.0</v>
      </c>
      <c r="BP73" s="65">
        <v>0.0</v>
      </c>
      <c r="BQ73" s="65">
        <v>0.0</v>
      </c>
      <c r="BR73" s="65">
        <v>0.0</v>
      </c>
      <c r="BS73" s="65">
        <v>0.0</v>
      </c>
      <c r="BT73" s="88">
        <v>0.0</v>
      </c>
      <c r="BU73" s="65">
        <v>0.0</v>
      </c>
      <c r="BV73" s="65">
        <v>0.0</v>
      </c>
      <c r="BW73" s="90">
        <v>0.0</v>
      </c>
      <c r="BX73" s="90">
        <v>0.0</v>
      </c>
      <c r="BY73" s="90" t="str">
        <f t="array" ref="BY73">XLOOKUP(C73,'PL TOTAL D0'!$A$3:$A$1991,'PL TOTAL D0'!$C$3:$C$1991,"")</f>
        <v/>
      </c>
    </row>
    <row r="74" ht="15.75" customHeight="1">
      <c r="A74" s="50" t="s">
        <v>24</v>
      </c>
      <c r="B74" s="50" t="s">
        <v>1817</v>
      </c>
      <c r="C74" s="94" t="s">
        <v>1818</v>
      </c>
      <c r="D74" s="30" t="s">
        <v>89</v>
      </c>
      <c r="E74" s="95" t="s">
        <v>91</v>
      </c>
      <c r="F74" s="81" t="s">
        <v>521</v>
      </c>
      <c r="G74" s="47" t="str">
        <f t="shared" si="5"/>
        <v>David</v>
      </c>
      <c r="H74" s="49" t="s">
        <v>183</v>
      </c>
      <c r="I74" s="74" t="s">
        <v>66</v>
      </c>
      <c r="J74" s="47" t="str">
        <f t="shared" si="8"/>
        <v>Não</v>
      </c>
      <c r="K74" s="97">
        <v>45020.0</v>
      </c>
      <c r="L74" s="62"/>
      <c r="M74" s="32" t="s">
        <v>34</v>
      </c>
      <c r="N74" s="98">
        <v>0.012</v>
      </c>
      <c r="O74" s="23" t="s">
        <v>35</v>
      </c>
      <c r="P74" s="57">
        <v>0.1</v>
      </c>
      <c r="Q74" s="58"/>
      <c r="R74" s="58" t="s">
        <v>1819</v>
      </c>
      <c r="S74" s="62" t="s">
        <v>194</v>
      </c>
      <c r="T74" s="32" t="s">
        <v>1820</v>
      </c>
      <c r="U74" s="33">
        <v>4.3999259245E10</v>
      </c>
      <c r="V74" s="33" t="s">
        <v>1821</v>
      </c>
      <c r="W74" s="34">
        <v>28881.0</v>
      </c>
      <c r="X74" s="23" t="s">
        <v>221</v>
      </c>
      <c r="Y74" s="49" t="str">
        <f t="shared" si="4"/>
        <v>Ativo</v>
      </c>
      <c r="Z74" s="62"/>
      <c r="AA74" s="62"/>
      <c r="AB74" s="64" t="s">
        <v>269</v>
      </c>
      <c r="AC74" s="79"/>
      <c r="AD74" s="54">
        <v>45020.0</v>
      </c>
      <c r="AE74" s="77">
        <v>4.9075100004544E13</v>
      </c>
      <c r="AF74" s="79"/>
      <c r="AG74" s="79"/>
      <c r="AH74" s="79"/>
      <c r="AI74" s="79"/>
      <c r="AJ74" s="79"/>
      <c r="AK74" s="65">
        <v>0.0</v>
      </c>
      <c r="AL74" s="65">
        <v>60428.36</v>
      </c>
      <c r="AM74" s="65">
        <v>81126.58</v>
      </c>
      <c r="AN74" s="65">
        <v>101955.21</v>
      </c>
      <c r="AO74" s="65">
        <v>102832.14</v>
      </c>
      <c r="AP74" s="65">
        <v>103894.93</v>
      </c>
      <c r="AQ74" s="65">
        <v>104759.85</v>
      </c>
      <c r="AR74" s="65">
        <v>105447.51</v>
      </c>
      <c r="AS74" s="65">
        <v>106231.64</v>
      </c>
      <c r="AT74" s="65">
        <v>156714.47</v>
      </c>
      <c r="AU74" s="65">
        <v>158148.68</v>
      </c>
      <c r="AV74" s="65">
        <v>159430.74</v>
      </c>
      <c r="AW74" s="65">
        <v>160710.31</v>
      </c>
      <c r="AX74" s="65">
        <v>161769.12</v>
      </c>
      <c r="AY74" s="65">
        <v>161921.1</v>
      </c>
      <c r="AZ74" s="65">
        <v>162917.4</v>
      </c>
      <c r="BA74" s="65">
        <v>164692.1</v>
      </c>
      <c r="BB74" s="65">
        <v>166315.49</v>
      </c>
      <c r="BC74" s="65">
        <v>166798.85</v>
      </c>
      <c r="BD74" s="65">
        <v>166621.6</v>
      </c>
      <c r="BE74" s="65">
        <v>166830.58</v>
      </c>
      <c r="BF74" s="65">
        <v>166706.45</v>
      </c>
      <c r="BG74" s="65">
        <v>168416.58</v>
      </c>
      <c r="BH74" s="65">
        <v>169921.32</v>
      </c>
      <c r="BI74" s="65">
        <v>171748.02</v>
      </c>
      <c r="BJ74" s="65">
        <v>173593.07</v>
      </c>
      <c r="BK74" s="65">
        <v>175441.27</v>
      </c>
      <c r="BL74" s="65">
        <v>176557.9</v>
      </c>
      <c r="BM74" s="65">
        <v>178421.88</v>
      </c>
      <c r="BN74" s="65">
        <v>179998.8</v>
      </c>
      <c r="BO74" s="65">
        <v>181959.7</v>
      </c>
      <c r="BP74" s="65">
        <v>183497.1</v>
      </c>
      <c r="BQ74" s="65">
        <v>185055.1</v>
      </c>
      <c r="BR74" s="65">
        <v>186643.1</v>
      </c>
      <c r="BS74" s="65">
        <v>188726.82</v>
      </c>
      <c r="BT74" s="88">
        <v>190255.8</v>
      </c>
      <c r="BU74" s="65">
        <v>192763.3</v>
      </c>
      <c r="BV74" s="65">
        <v>194166.3</v>
      </c>
      <c r="BW74" s="90">
        <v>194867.7</v>
      </c>
      <c r="BX74" s="90">
        <v>203618.02</v>
      </c>
      <c r="BY74" s="90">
        <f t="array" ref="BY74">XLOOKUP(C74,'PL TOTAL D0'!$A$3:$A$1991,'PL TOTAL D0'!$C$3:$C$1991,"")</f>
        <v>198974.48</v>
      </c>
    </row>
    <row r="75" ht="15.75" customHeight="1">
      <c r="A75" s="50" t="s">
        <v>24</v>
      </c>
      <c r="B75" s="43" t="s">
        <v>1825</v>
      </c>
      <c r="C75" s="94" t="s">
        <v>1826</v>
      </c>
      <c r="D75" s="81" t="s">
        <v>120</v>
      </c>
      <c r="E75" s="95" t="s">
        <v>54</v>
      </c>
      <c r="F75" s="81" t="s">
        <v>379</v>
      </c>
      <c r="G75" s="47" t="str">
        <f t="shared" si="5"/>
        <v>David</v>
      </c>
      <c r="H75" s="49" t="s">
        <v>295</v>
      </c>
      <c r="I75" s="74" t="s">
        <v>382</v>
      </c>
      <c r="J75" s="47" t="str">
        <f t="shared" si="8"/>
        <v>Não</v>
      </c>
      <c r="K75" s="97">
        <v>45166.0</v>
      </c>
      <c r="L75" s="189"/>
      <c r="M75" s="62" t="s">
        <v>61</v>
      </c>
      <c r="N75" s="98">
        <v>0.012</v>
      </c>
      <c r="O75" s="47" t="s">
        <v>66</v>
      </c>
      <c r="P75" s="99">
        <v>0.0</v>
      </c>
      <c r="Q75" s="58"/>
      <c r="R75" s="58" t="s">
        <v>1827</v>
      </c>
      <c r="S75" s="62" t="s">
        <v>194</v>
      </c>
      <c r="T75" s="32" t="s">
        <v>1828</v>
      </c>
      <c r="U75" s="33">
        <v>5.537991732003E12</v>
      </c>
      <c r="V75" s="33" t="s">
        <v>1829</v>
      </c>
      <c r="W75" s="34">
        <v>32648.0</v>
      </c>
      <c r="X75" s="23" t="s">
        <v>54</v>
      </c>
      <c r="Y75" s="49" t="str">
        <f t="shared" si="4"/>
        <v>Inativo</v>
      </c>
      <c r="Z75" s="62"/>
      <c r="AA75" s="62"/>
      <c r="AB75" s="64" t="s">
        <v>269</v>
      </c>
      <c r="AC75" s="79"/>
      <c r="AD75" s="54">
        <v>45166.0</v>
      </c>
      <c r="AE75" s="77">
        <v>4.9075100011141E13</v>
      </c>
      <c r="AF75" s="79"/>
      <c r="AG75" s="79"/>
      <c r="AH75" s="79"/>
      <c r="AI75" s="65">
        <v>0.0</v>
      </c>
      <c r="AJ75" s="65">
        <v>0.0</v>
      </c>
      <c r="AK75" s="65">
        <v>0.0</v>
      </c>
      <c r="AL75" s="65">
        <v>0.0</v>
      </c>
      <c r="AM75" s="65">
        <v>0.0</v>
      </c>
      <c r="AN75" s="65">
        <v>0.0</v>
      </c>
      <c r="AO75" s="65">
        <v>0.0</v>
      </c>
      <c r="AP75" s="65">
        <v>0.0</v>
      </c>
      <c r="AQ75" s="65">
        <v>0.0</v>
      </c>
      <c r="AR75" s="65">
        <v>0.0</v>
      </c>
      <c r="AS75" s="65">
        <v>0.0</v>
      </c>
      <c r="AT75" s="65">
        <v>0.0</v>
      </c>
      <c r="AU75" s="65">
        <v>0.0</v>
      </c>
      <c r="AV75" s="65">
        <v>0.0</v>
      </c>
      <c r="AW75" s="65">
        <v>0.0</v>
      </c>
      <c r="AX75" s="65">
        <v>0.0</v>
      </c>
      <c r="AY75" s="65">
        <v>0.0</v>
      </c>
      <c r="AZ75" s="65">
        <v>0.0</v>
      </c>
      <c r="BA75" s="65">
        <v>0.0</v>
      </c>
      <c r="BB75" s="65">
        <v>0.0</v>
      </c>
      <c r="BC75" s="65">
        <v>0.0</v>
      </c>
      <c r="BD75" s="65">
        <v>0.0</v>
      </c>
      <c r="BE75" s="65">
        <v>0.0</v>
      </c>
      <c r="BF75" s="65">
        <v>0.0</v>
      </c>
      <c r="BG75" s="65">
        <v>0.0</v>
      </c>
      <c r="BH75" s="65">
        <v>0.0</v>
      </c>
      <c r="BI75" s="65">
        <v>0.0</v>
      </c>
      <c r="BJ75" s="65">
        <v>0.0</v>
      </c>
      <c r="BK75" s="65">
        <v>0.0</v>
      </c>
      <c r="BL75" s="65">
        <v>0.0</v>
      </c>
      <c r="BM75" s="65">
        <v>0.0</v>
      </c>
      <c r="BN75" s="65">
        <v>0.0</v>
      </c>
      <c r="BO75" s="65">
        <v>0.0</v>
      </c>
      <c r="BP75" s="65">
        <v>0.0</v>
      </c>
      <c r="BQ75" s="65">
        <v>0.0</v>
      </c>
      <c r="BR75" s="65">
        <v>0.0</v>
      </c>
      <c r="BS75" s="65">
        <v>0.0</v>
      </c>
      <c r="BT75" s="88">
        <v>0.0</v>
      </c>
      <c r="BU75" s="65">
        <v>0.0</v>
      </c>
      <c r="BV75" s="65">
        <v>0.0</v>
      </c>
      <c r="BW75" s="90">
        <v>0.0</v>
      </c>
      <c r="BX75" s="90">
        <v>0.0</v>
      </c>
      <c r="BY75" s="90" t="str">
        <f t="array" ref="BY75">XLOOKUP(C75,'PL TOTAL D0'!$A$3:$A$1991,'PL TOTAL D0'!$C$3:$C$1991,"")</f>
        <v/>
      </c>
    </row>
    <row r="76" ht="15.75" customHeight="1">
      <c r="A76" s="50" t="s">
        <v>24</v>
      </c>
      <c r="B76" s="191" t="s">
        <v>1840</v>
      </c>
      <c r="C76" s="94" t="s">
        <v>1841</v>
      </c>
      <c r="D76" s="30" t="s">
        <v>89</v>
      </c>
      <c r="E76" s="95" t="s">
        <v>91</v>
      </c>
      <c r="F76" s="81" t="s">
        <v>193</v>
      </c>
      <c r="G76" s="47" t="str">
        <f t="shared" si="5"/>
        <v>David</v>
      </c>
      <c r="H76" s="74" t="s">
        <v>183</v>
      </c>
      <c r="I76" s="74" t="s">
        <v>66</v>
      </c>
      <c r="J76" s="47" t="str">
        <f t="shared" si="8"/>
        <v>Não</v>
      </c>
      <c r="K76" s="97">
        <v>45190.0</v>
      </c>
      <c r="L76" s="189"/>
      <c r="M76" s="62" t="s">
        <v>61</v>
      </c>
      <c r="N76" s="98">
        <v>0.012</v>
      </c>
      <c r="O76" s="47" t="s">
        <v>66</v>
      </c>
      <c r="P76" s="99">
        <v>0.0</v>
      </c>
      <c r="Q76" s="58"/>
      <c r="R76" s="195" t="s">
        <v>1842</v>
      </c>
      <c r="S76" s="62" t="s">
        <v>194</v>
      </c>
      <c r="T76" s="32" t="s">
        <v>566</v>
      </c>
      <c r="U76" s="33">
        <v>4.3996462444E10</v>
      </c>
      <c r="V76" s="33" t="s">
        <v>569</v>
      </c>
      <c r="W76" s="34">
        <v>22847.0</v>
      </c>
      <c r="X76" s="23" t="s">
        <v>221</v>
      </c>
      <c r="Y76" s="49" t="str">
        <f t="shared" si="4"/>
        <v>Ativo</v>
      </c>
      <c r="Z76" s="62"/>
      <c r="AA76" s="62"/>
      <c r="AB76" s="64" t="s">
        <v>269</v>
      </c>
      <c r="AC76" s="79"/>
      <c r="AD76" s="54">
        <v>45190.0</v>
      </c>
      <c r="AE76" s="77">
        <v>4.9075100011151E13</v>
      </c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65">
        <v>0.0</v>
      </c>
      <c r="AR76" s="65">
        <v>67426.7</v>
      </c>
      <c r="AS76" s="65">
        <v>68192.13</v>
      </c>
      <c r="AT76" s="65">
        <v>68851.25</v>
      </c>
      <c r="AU76" s="65">
        <v>75391.26</v>
      </c>
      <c r="AV76" s="65">
        <v>75875.32</v>
      </c>
      <c r="AW76" s="65">
        <v>76475.19</v>
      </c>
      <c r="AX76" s="65">
        <v>76884.54</v>
      </c>
      <c r="AY76" s="65">
        <v>76922.19</v>
      </c>
      <c r="AZ76" s="65">
        <v>77386.57</v>
      </c>
      <c r="BA76" s="65">
        <v>77924.93</v>
      </c>
      <c r="BB76" s="65">
        <v>78469.18</v>
      </c>
      <c r="BC76" s="65">
        <v>79054.89</v>
      </c>
      <c r="BD76" s="65">
        <v>98748.6</v>
      </c>
      <c r="BE76" s="65">
        <v>99466.66</v>
      </c>
      <c r="BF76" s="65">
        <v>150430.48</v>
      </c>
      <c r="BG76" s="65">
        <v>152275.59</v>
      </c>
      <c r="BH76" s="65">
        <v>153157.24</v>
      </c>
      <c r="BI76" s="65">
        <v>175377.67</v>
      </c>
      <c r="BJ76" s="65">
        <v>52039.64</v>
      </c>
      <c r="BK76" s="65">
        <v>52543.0</v>
      </c>
      <c r="BL76" s="65">
        <v>53048.14</v>
      </c>
      <c r="BM76" s="65">
        <v>53617.44</v>
      </c>
      <c r="BN76" s="65">
        <v>54151.82</v>
      </c>
      <c r="BO76" s="65">
        <v>54679.43</v>
      </c>
      <c r="BP76" s="65">
        <v>55135.06</v>
      </c>
      <c r="BQ76" s="65">
        <v>55652.04</v>
      </c>
      <c r="BR76" s="65">
        <v>56174.06</v>
      </c>
      <c r="BS76" s="65">
        <v>56684.76</v>
      </c>
      <c r="BT76" s="88">
        <v>57156.15</v>
      </c>
      <c r="BU76" s="65">
        <v>57837.6</v>
      </c>
      <c r="BV76" s="65">
        <v>58507.44</v>
      </c>
      <c r="BW76" s="90">
        <v>59213.18</v>
      </c>
      <c r="BX76" s="90">
        <v>59793.77</v>
      </c>
      <c r="BY76" s="90">
        <f t="array" ref="BY76">XLOOKUP(C76,'PL TOTAL D0'!$A$3:$A$1991,'PL TOTAL D0'!$C$3:$C$1991,"")</f>
        <v>64774.65</v>
      </c>
    </row>
    <row r="77" ht="15.75" customHeight="1">
      <c r="A77" s="50" t="s">
        <v>24</v>
      </c>
      <c r="B77" s="322" t="s">
        <v>1847</v>
      </c>
      <c r="C77" s="94" t="s">
        <v>1848</v>
      </c>
      <c r="D77" s="30" t="s">
        <v>365</v>
      </c>
      <c r="E77" s="22" t="s">
        <v>199</v>
      </c>
      <c r="F77" s="30" t="s">
        <v>368</v>
      </c>
      <c r="G77" s="47" t="str">
        <f t="shared" si="5"/>
        <v>Gabriel</v>
      </c>
      <c r="H77" s="49" t="s">
        <v>183</v>
      </c>
      <c r="I77" s="49" t="s">
        <v>66</v>
      </c>
      <c r="J77" s="47" t="str">
        <f t="shared" si="8"/>
        <v>Sim</v>
      </c>
      <c r="K77" s="54">
        <v>45523.0</v>
      </c>
      <c r="L77" s="189"/>
      <c r="M77" s="32" t="s">
        <v>61</v>
      </c>
      <c r="N77" s="56">
        <v>0.009</v>
      </c>
      <c r="O77" s="23" t="s">
        <v>66</v>
      </c>
      <c r="P77" s="57">
        <v>0.0</v>
      </c>
      <c r="Q77" s="58" t="s">
        <v>1849</v>
      </c>
      <c r="R77" s="195"/>
      <c r="S77" s="32" t="s">
        <v>194</v>
      </c>
      <c r="T77" s="32" t="s">
        <v>1850</v>
      </c>
      <c r="U77" s="33">
        <v>5.56199989647E12</v>
      </c>
      <c r="V77" s="33" t="s">
        <v>1851</v>
      </c>
      <c r="W77" s="34">
        <v>17376.0</v>
      </c>
      <c r="X77" s="23" t="s">
        <v>199</v>
      </c>
      <c r="Y77" s="49" t="str">
        <f t="shared" si="4"/>
        <v>Ativo</v>
      </c>
      <c r="Z77" s="32"/>
      <c r="AA77" s="32" t="s">
        <v>47</v>
      </c>
      <c r="AB77" s="64" t="s">
        <v>269</v>
      </c>
      <c r="AC77" s="79"/>
      <c r="AD77" s="54">
        <v>45523.0</v>
      </c>
      <c r="AE77" s="77">
        <v>4.9075100015562E13</v>
      </c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65"/>
      <c r="AW77" s="65"/>
      <c r="AX77" s="65"/>
      <c r="AY77" s="65"/>
      <c r="AZ77" s="65"/>
      <c r="BA77" s="65"/>
      <c r="BB77" s="65">
        <v>697441.25</v>
      </c>
      <c r="BC77" s="65">
        <v>679986.27</v>
      </c>
      <c r="BD77" s="65">
        <v>683673.45</v>
      </c>
      <c r="BE77" s="65">
        <v>689007.14</v>
      </c>
      <c r="BF77" s="65">
        <v>693620.11</v>
      </c>
      <c r="BG77" s="65">
        <v>699642.44</v>
      </c>
      <c r="BH77" s="65">
        <v>688295.02</v>
      </c>
      <c r="BI77" s="65">
        <v>694586.76</v>
      </c>
      <c r="BJ77" s="65">
        <v>720703.77</v>
      </c>
      <c r="BK77" s="65">
        <v>266750.29</v>
      </c>
      <c r="BL77" s="65">
        <v>268964.28</v>
      </c>
      <c r="BM77" s="65">
        <v>276569.97</v>
      </c>
      <c r="BN77" s="65">
        <v>279037.6</v>
      </c>
      <c r="BO77" s="65">
        <v>274475.09</v>
      </c>
      <c r="BP77" s="65">
        <v>277447.4</v>
      </c>
      <c r="BQ77" s="65">
        <v>279739.3</v>
      </c>
      <c r="BR77" s="65">
        <v>282426.1</v>
      </c>
      <c r="BS77" s="65">
        <v>285587.62</v>
      </c>
      <c r="BT77" s="88">
        <v>287742.7</v>
      </c>
      <c r="BU77" s="65">
        <v>290322.8</v>
      </c>
      <c r="BV77" s="65">
        <v>293516.2</v>
      </c>
      <c r="BW77" s="90">
        <v>296740.1</v>
      </c>
      <c r="BX77" s="90">
        <v>299967.45</v>
      </c>
      <c r="BY77" s="90">
        <f t="array" ref="BY77">XLOOKUP(C77,'PL TOTAL D0'!$A$3:$A$1991,'PL TOTAL D0'!$C$3:$C$1991,"")</f>
        <v>303185.9</v>
      </c>
    </row>
    <row r="78" ht="15.75" customHeight="1">
      <c r="A78" s="50" t="s">
        <v>24</v>
      </c>
      <c r="B78" s="176" t="s">
        <v>576</v>
      </c>
      <c r="C78" s="94" t="s">
        <v>1854</v>
      </c>
      <c r="D78" s="30" t="s">
        <v>89</v>
      </c>
      <c r="E78" s="95" t="s">
        <v>91</v>
      </c>
      <c r="F78" s="81" t="s">
        <v>521</v>
      </c>
      <c r="G78" s="47" t="str">
        <f t="shared" si="5"/>
        <v>Gabriel</v>
      </c>
      <c r="H78" s="49" t="s">
        <v>183</v>
      </c>
      <c r="I78" s="49" t="s">
        <v>66</v>
      </c>
      <c r="J78" s="47" t="str">
        <f t="shared" si="8"/>
        <v>Sim</v>
      </c>
      <c r="K78" s="97">
        <v>45034.0</v>
      </c>
      <c r="L78" s="62"/>
      <c r="M78" s="32" t="s">
        <v>1349</v>
      </c>
      <c r="N78" s="98">
        <v>0.012</v>
      </c>
      <c r="O78" s="47" t="s">
        <v>66</v>
      </c>
      <c r="P78" s="99">
        <v>0.0</v>
      </c>
      <c r="Q78" s="58" t="s">
        <v>1855</v>
      </c>
      <c r="R78" s="70"/>
      <c r="S78" s="62" t="s">
        <v>194</v>
      </c>
      <c r="T78" s="32" t="s">
        <v>580</v>
      </c>
      <c r="U78" s="33">
        <v>5.543999353031E12</v>
      </c>
      <c r="V78" s="33" t="s">
        <v>583</v>
      </c>
      <c r="W78" s="34">
        <v>19914.0</v>
      </c>
      <c r="X78" s="23" t="s">
        <v>221</v>
      </c>
      <c r="Y78" s="49" t="str">
        <f t="shared" si="4"/>
        <v>Ativo</v>
      </c>
      <c r="Z78" s="62"/>
      <c r="AA78" s="32" t="s">
        <v>47</v>
      </c>
      <c r="AB78" s="64" t="s">
        <v>269</v>
      </c>
      <c r="AC78" s="79"/>
      <c r="AD78" s="54">
        <v>45034.0</v>
      </c>
      <c r="AE78" s="77">
        <v>4.9075100008345E13</v>
      </c>
      <c r="AF78" s="79"/>
      <c r="AG78" s="79"/>
      <c r="AH78" s="79"/>
      <c r="AI78" s="79"/>
      <c r="AJ78" s="79"/>
      <c r="AK78" s="65">
        <v>0.0</v>
      </c>
      <c r="AL78" s="65">
        <v>2005947.36</v>
      </c>
      <c r="AM78" s="65">
        <v>2027949.47</v>
      </c>
      <c r="AN78" s="65">
        <v>1913063.17</v>
      </c>
      <c r="AO78" s="65">
        <v>1929869.86</v>
      </c>
      <c r="AP78" s="65">
        <v>1948995.52</v>
      </c>
      <c r="AQ78" s="65">
        <v>1965765.18</v>
      </c>
      <c r="AR78" s="65">
        <v>1984304.2</v>
      </c>
      <c r="AS78" s="65">
        <v>1999758.85</v>
      </c>
      <c r="AT78" s="65">
        <v>1812508.56</v>
      </c>
      <c r="AU78" s="65">
        <v>1828516.55</v>
      </c>
      <c r="AV78" s="65">
        <v>1513471.02</v>
      </c>
      <c r="AW78" s="65">
        <v>1485219.16</v>
      </c>
      <c r="AX78" s="65">
        <v>1439637.51</v>
      </c>
      <c r="AY78" s="65">
        <v>1449978.0</v>
      </c>
      <c r="AZ78" s="65">
        <v>1459640.0</v>
      </c>
      <c r="BA78" s="65">
        <v>1471903.0</v>
      </c>
      <c r="BB78" s="65">
        <v>1475210.61</v>
      </c>
      <c r="BC78" s="65">
        <v>1484970.8</v>
      </c>
      <c r="BD78" s="65">
        <v>1490495.64</v>
      </c>
      <c r="BE78" s="65">
        <v>1500780.44</v>
      </c>
      <c r="BF78" s="65">
        <v>1511084.6</v>
      </c>
      <c r="BG78" s="65">
        <v>1525920.19</v>
      </c>
      <c r="BH78" s="65">
        <v>1540477.41</v>
      </c>
      <c r="BI78" s="65">
        <v>1555980.07</v>
      </c>
      <c r="BJ78" s="65">
        <v>1573192.68</v>
      </c>
      <c r="BK78" s="65">
        <v>1603180.26</v>
      </c>
      <c r="BL78" s="65">
        <v>1615112.34</v>
      </c>
      <c r="BM78" s="65">
        <v>1632570.53</v>
      </c>
      <c r="BN78" s="65">
        <v>1648711.0</v>
      </c>
      <c r="BO78" s="65">
        <v>586810.07</v>
      </c>
      <c r="BP78" s="65">
        <v>508384.9</v>
      </c>
      <c r="BQ78" s="65">
        <v>512056.3</v>
      </c>
      <c r="BR78" s="65">
        <v>501161.8</v>
      </c>
      <c r="BS78" s="65">
        <v>506728.74</v>
      </c>
      <c r="BT78" s="88">
        <v>510303.4</v>
      </c>
      <c r="BU78" s="65">
        <v>515865.6</v>
      </c>
      <c r="BV78" s="65">
        <v>521223.0</v>
      </c>
      <c r="BW78" s="90">
        <v>524781.8</v>
      </c>
      <c r="BX78" s="90">
        <v>528595.9</v>
      </c>
      <c r="BY78" s="90">
        <f t="array" ref="BY78">XLOOKUP(C78,'PL TOTAL D0'!$A$3:$A$1991,'PL TOTAL D0'!$C$3:$C$1991,"")</f>
        <v>526492.11</v>
      </c>
    </row>
    <row r="79" ht="15.75" customHeight="1">
      <c r="A79" s="50" t="s">
        <v>24</v>
      </c>
      <c r="B79" s="50" t="s">
        <v>1858</v>
      </c>
      <c r="C79" s="94" t="s">
        <v>1859</v>
      </c>
      <c r="D79" s="81" t="s">
        <v>255</v>
      </c>
      <c r="E79" s="95" t="s">
        <v>199</v>
      </c>
      <c r="F79" s="81" t="s">
        <v>257</v>
      </c>
      <c r="G79" s="47" t="str">
        <f t="shared" si="5"/>
        <v>David</v>
      </c>
      <c r="H79" s="49" t="s">
        <v>224</v>
      </c>
      <c r="I79" s="49" t="s">
        <v>66</v>
      </c>
      <c r="J79" s="47" t="str">
        <f t="shared" si="8"/>
        <v>Não</v>
      </c>
      <c r="K79" s="97">
        <v>45098.0</v>
      </c>
      <c r="L79" s="55">
        <v>45525.0</v>
      </c>
      <c r="M79" s="62" t="s">
        <v>361</v>
      </c>
      <c r="N79" s="98">
        <v>0.006</v>
      </c>
      <c r="O79" s="47" t="s">
        <v>66</v>
      </c>
      <c r="P79" s="99">
        <v>0.0</v>
      </c>
      <c r="Q79" s="58"/>
      <c r="R79" s="58" t="s">
        <v>1861</v>
      </c>
      <c r="S79" s="62" t="s">
        <v>194</v>
      </c>
      <c r="T79" s="32" t="s">
        <v>1862</v>
      </c>
      <c r="U79" s="33" t="s">
        <v>268</v>
      </c>
      <c r="V79" s="33"/>
      <c r="W79" s="33" t="s">
        <v>268</v>
      </c>
      <c r="X79" s="23" t="s">
        <v>475</v>
      </c>
      <c r="Y79" s="49" t="str">
        <f t="shared" si="4"/>
        <v>Encerrado</v>
      </c>
      <c r="Z79" s="62"/>
      <c r="AA79" s="62"/>
      <c r="AB79" s="64" t="s">
        <v>269</v>
      </c>
      <c r="AC79" s="79"/>
      <c r="AD79" s="54">
        <v>45098.0</v>
      </c>
      <c r="AE79" s="77">
        <v>4.9075100003114E13</v>
      </c>
      <c r="AF79" s="79"/>
      <c r="AG79" s="79"/>
      <c r="AH79" s="79"/>
      <c r="AI79" s="79"/>
      <c r="AJ79" s="79"/>
      <c r="AK79" s="79"/>
      <c r="AL79" s="79"/>
      <c r="AM79" s="79"/>
      <c r="AN79" s="65">
        <v>175858.96</v>
      </c>
      <c r="AO79" s="65">
        <v>394420.72</v>
      </c>
      <c r="AP79" s="65">
        <v>674215.24</v>
      </c>
      <c r="AQ79" s="65">
        <v>706487.76</v>
      </c>
      <c r="AR79" s="65">
        <v>737416.96</v>
      </c>
      <c r="AS79" s="65">
        <v>779564.59</v>
      </c>
      <c r="AT79" s="65">
        <v>791423.31</v>
      </c>
      <c r="AU79" s="65">
        <v>4701.33</v>
      </c>
      <c r="AV79" s="65">
        <v>4888.27</v>
      </c>
      <c r="AW79" s="65">
        <v>171.31</v>
      </c>
      <c r="AX79" s="65">
        <v>171.31</v>
      </c>
      <c r="AY79" s="65">
        <v>171.31</v>
      </c>
      <c r="AZ79" s="65">
        <v>171.31</v>
      </c>
      <c r="BA79" s="65">
        <v>0.0</v>
      </c>
      <c r="BB79" s="65">
        <v>0.0</v>
      </c>
      <c r="BC79" s="65">
        <v>0.0</v>
      </c>
      <c r="BD79" s="65">
        <v>0.0</v>
      </c>
      <c r="BE79" s="65">
        <v>0.0</v>
      </c>
      <c r="BF79" s="65">
        <v>0.0</v>
      </c>
      <c r="BG79" s="65">
        <v>0.0</v>
      </c>
      <c r="BH79" s="65">
        <v>0.0</v>
      </c>
      <c r="BI79" s="65">
        <v>0.0</v>
      </c>
      <c r="BJ79" s="65">
        <v>0.0</v>
      </c>
      <c r="BK79" s="65">
        <v>0.0</v>
      </c>
      <c r="BL79" s="65">
        <v>0.0</v>
      </c>
      <c r="BM79" s="65">
        <v>0.0</v>
      </c>
      <c r="BN79" s="65">
        <v>0.0</v>
      </c>
      <c r="BO79" s="65">
        <v>0.0</v>
      </c>
      <c r="BP79" s="65">
        <v>0.0</v>
      </c>
      <c r="BQ79" s="65">
        <v>0.0</v>
      </c>
      <c r="BR79" s="65">
        <v>0.0</v>
      </c>
      <c r="BS79" s="65">
        <v>0.0</v>
      </c>
      <c r="BT79" s="88">
        <v>0.0</v>
      </c>
      <c r="BU79" s="65">
        <v>0.0</v>
      </c>
      <c r="BV79" s="65">
        <v>0.0</v>
      </c>
      <c r="BW79" s="90">
        <v>0.0</v>
      </c>
      <c r="BX79" s="90">
        <v>0.0</v>
      </c>
      <c r="BY79" s="90" t="str">
        <f t="array" ref="BY79">XLOOKUP(C79,'PL TOTAL D0'!$A$3:$A$1991,'PL TOTAL D0'!$C$3:$C$1991,"")</f>
        <v/>
      </c>
    </row>
    <row r="80" ht="15.75" customHeight="1">
      <c r="A80" s="43" t="s">
        <v>24</v>
      </c>
      <c r="B80" s="43" t="s">
        <v>1866</v>
      </c>
      <c r="C80" s="94" t="s">
        <v>1867</v>
      </c>
      <c r="D80" s="30" t="s">
        <v>255</v>
      </c>
      <c r="E80" s="22" t="s">
        <v>199</v>
      </c>
      <c r="F80" s="30" t="s">
        <v>257</v>
      </c>
      <c r="G80" s="47" t="str">
        <f t="shared" si="5"/>
        <v>David</v>
      </c>
      <c r="H80" s="49" t="s">
        <v>224</v>
      </c>
      <c r="I80" s="49" t="s">
        <v>66</v>
      </c>
      <c r="J80" s="23" t="s">
        <v>563</v>
      </c>
      <c r="K80" s="54">
        <v>45296.0</v>
      </c>
      <c r="L80" s="55">
        <v>45492.0</v>
      </c>
      <c r="M80" s="32" t="s">
        <v>716</v>
      </c>
      <c r="N80" s="56">
        <v>0.006</v>
      </c>
      <c r="O80" s="23" t="s">
        <v>66</v>
      </c>
      <c r="P80" s="57">
        <v>0.0</v>
      </c>
      <c r="Q80" s="58"/>
      <c r="R80" s="355" t="s">
        <v>1868</v>
      </c>
      <c r="S80" s="32" t="s">
        <v>194</v>
      </c>
      <c r="T80" s="32" t="s">
        <v>1862</v>
      </c>
      <c r="U80" s="33" t="s">
        <v>268</v>
      </c>
      <c r="V80" s="33"/>
      <c r="W80" s="33" t="s">
        <v>268</v>
      </c>
      <c r="X80" s="23" t="s">
        <v>475</v>
      </c>
      <c r="Y80" s="49" t="str">
        <f t="shared" si="4"/>
        <v>Encerrado</v>
      </c>
      <c r="Z80" s="62"/>
      <c r="AA80" s="62"/>
      <c r="AB80" s="64"/>
      <c r="AC80" s="79"/>
      <c r="AD80" s="54">
        <v>45296.0</v>
      </c>
      <c r="AE80" s="77">
        <v>4.9075100013551E13</v>
      </c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65">
        <v>788851.1</v>
      </c>
      <c r="AV80" s="65">
        <v>795557.28</v>
      </c>
      <c r="AW80" s="65">
        <v>807149.98</v>
      </c>
      <c r="AX80" s="65">
        <v>812679.39</v>
      </c>
      <c r="AY80" s="65">
        <v>826075.4</v>
      </c>
      <c r="AZ80" s="65">
        <v>832664.4</v>
      </c>
      <c r="BA80" s="65">
        <v>0.0</v>
      </c>
      <c r="BB80" s="65">
        <v>0.0</v>
      </c>
      <c r="BC80" s="65">
        <v>0.0</v>
      </c>
      <c r="BD80" s="65">
        <v>0.0</v>
      </c>
      <c r="BE80" s="65">
        <v>0.0</v>
      </c>
      <c r="BF80" s="65">
        <v>0.0</v>
      </c>
      <c r="BG80" s="65">
        <v>0.0</v>
      </c>
      <c r="BH80" s="65">
        <v>0.0</v>
      </c>
      <c r="BI80" s="65">
        <v>0.0</v>
      </c>
      <c r="BJ80" s="65">
        <v>0.0</v>
      </c>
      <c r="BK80" s="65">
        <v>0.0</v>
      </c>
      <c r="BL80" s="65">
        <v>0.0</v>
      </c>
      <c r="BM80" s="65">
        <v>0.0</v>
      </c>
      <c r="BN80" s="65">
        <v>0.0</v>
      </c>
      <c r="BO80" s="65">
        <v>0.0</v>
      </c>
      <c r="BP80" s="65">
        <v>0.0</v>
      </c>
      <c r="BQ80" s="65">
        <v>0.0</v>
      </c>
      <c r="BR80" s="65">
        <v>0.0</v>
      </c>
      <c r="BS80" s="65">
        <v>0.0</v>
      </c>
      <c r="BT80" s="88">
        <v>0.0</v>
      </c>
      <c r="BU80" s="65">
        <v>0.0</v>
      </c>
      <c r="BV80" s="65">
        <v>0.0</v>
      </c>
      <c r="BW80" s="90">
        <v>0.0</v>
      </c>
      <c r="BX80" s="90">
        <v>0.0</v>
      </c>
      <c r="BY80" s="90" t="str">
        <f t="array" ref="BY80">XLOOKUP(C80,'PL TOTAL D0'!$A$3:$A$1991,'PL TOTAL D0'!$C$3:$C$1991,"")</f>
        <v/>
      </c>
    </row>
    <row r="81" ht="15.75" customHeight="1">
      <c r="A81" s="43" t="s">
        <v>24</v>
      </c>
      <c r="B81" s="43" t="s">
        <v>83</v>
      </c>
      <c r="C81" s="94" t="s">
        <v>86</v>
      </c>
      <c r="D81" s="30" t="s">
        <v>89</v>
      </c>
      <c r="E81" s="22" t="s">
        <v>91</v>
      </c>
      <c r="F81" s="30" t="s">
        <v>1869</v>
      </c>
      <c r="G81" s="47" t="str">
        <f t="shared" si="5"/>
        <v>David</v>
      </c>
      <c r="H81" s="49" t="s">
        <v>295</v>
      </c>
      <c r="I81" s="49" t="s">
        <v>1807</v>
      </c>
      <c r="J81" s="23" t="s">
        <v>563</v>
      </c>
      <c r="K81" s="54">
        <v>45716.0</v>
      </c>
      <c r="L81" s="55"/>
      <c r="M81" s="32" t="s">
        <v>209</v>
      </c>
      <c r="N81" s="56">
        <v>0.015</v>
      </c>
      <c r="O81" s="23" t="s">
        <v>35</v>
      </c>
      <c r="P81" s="57">
        <v>0.1</v>
      </c>
      <c r="Q81" s="58" t="s">
        <v>1870</v>
      </c>
      <c r="R81" s="355"/>
      <c r="S81" s="32" t="s">
        <v>194</v>
      </c>
      <c r="T81" s="32" t="s">
        <v>1871</v>
      </c>
      <c r="U81" s="33">
        <v>5.543999226163E12</v>
      </c>
      <c r="V81" s="33" t="s">
        <v>101</v>
      </c>
      <c r="W81" s="34">
        <v>32365.0</v>
      </c>
      <c r="X81" s="23" t="s">
        <v>221</v>
      </c>
      <c r="Y81" s="49" t="str">
        <f t="shared" si="4"/>
        <v>Ativo</v>
      </c>
      <c r="Z81" s="62"/>
      <c r="AA81" s="32" t="s">
        <v>47</v>
      </c>
      <c r="AB81" s="64"/>
      <c r="AC81" s="79"/>
      <c r="AD81" s="54">
        <v>45722.0</v>
      </c>
      <c r="AE81" s="77">
        <v>4.9075100018235E13</v>
      </c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>
        <v>0.0</v>
      </c>
      <c r="BI81" s="65">
        <v>82908.14</v>
      </c>
      <c r="BJ81" s="65">
        <v>82110.56</v>
      </c>
      <c r="BK81" s="65">
        <v>84039.62</v>
      </c>
      <c r="BL81" s="65">
        <v>126901.85</v>
      </c>
      <c r="BM81" s="65">
        <v>128107.48</v>
      </c>
      <c r="BN81" s="65">
        <v>129475.8</v>
      </c>
      <c r="BO81" s="65">
        <v>131428.55</v>
      </c>
      <c r="BP81" s="65">
        <v>134096.2</v>
      </c>
      <c r="BQ81" s="65">
        <v>136512.9</v>
      </c>
      <c r="BR81" s="65">
        <v>139230.0</v>
      </c>
      <c r="BS81" s="65">
        <v>141703.06</v>
      </c>
      <c r="BT81" s="88">
        <v>143472.7</v>
      </c>
      <c r="BU81" s="65">
        <v>160978.0</v>
      </c>
      <c r="BV81" s="65">
        <v>156065.6</v>
      </c>
      <c r="BW81" s="90">
        <v>156135.1</v>
      </c>
      <c r="BX81" s="90">
        <v>157805.33</v>
      </c>
      <c r="BY81" s="90">
        <f t="array" ref="BY81">XLOOKUP(C81,'PL TOTAL D0'!$A$3:$A$1991,'PL TOTAL D0'!$C$3:$C$1991,"")</f>
        <v>159237.64</v>
      </c>
    </row>
    <row r="82" ht="15.75" customHeight="1">
      <c r="A82" s="43" t="s">
        <v>24</v>
      </c>
      <c r="B82" s="43" t="s">
        <v>1872</v>
      </c>
      <c r="C82" s="94" t="s">
        <v>1873</v>
      </c>
      <c r="D82" s="30" t="s">
        <v>89</v>
      </c>
      <c r="E82" s="22" t="s">
        <v>91</v>
      </c>
      <c r="F82" s="30" t="s">
        <v>521</v>
      </c>
      <c r="G82" s="47" t="str">
        <f t="shared" si="5"/>
        <v>David</v>
      </c>
      <c r="H82" s="49" t="s">
        <v>295</v>
      </c>
      <c r="I82" s="49" t="s">
        <v>382</v>
      </c>
      <c r="J82" s="23" t="s">
        <v>563</v>
      </c>
      <c r="K82" s="54">
        <v>45924.0</v>
      </c>
      <c r="L82" s="55"/>
      <c r="M82" s="32" t="s">
        <v>209</v>
      </c>
      <c r="N82" s="56">
        <v>0.015</v>
      </c>
      <c r="O82" s="23" t="s">
        <v>35</v>
      </c>
      <c r="P82" s="57">
        <v>0.1</v>
      </c>
      <c r="Q82" s="58"/>
      <c r="R82" s="355"/>
      <c r="S82" s="32" t="s">
        <v>194</v>
      </c>
      <c r="T82" s="32" t="s">
        <v>1874</v>
      </c>
      <c r="U82" s="33" t="s">
        <v>1875</v>
      </c>
      <c r="V82" s="33" t="s">
        <v>606</v>
      </c>
      <c r="W82" s="34">
        <v>28372.0</v>
      </c>
      <c r="X82" s="23" t="s">
        <v>221</v>
      </c>
      <c r="Y82" s="49" t="str">
        <f t="shared" si="4"/>
        <v>Ativo</v>
      </c>
      <c r="Z82" s="62"/>
      <c r="AA82" s="32" t="s">
        <v>47</v>
      </c>
      <c r="AB82" s="64"/>
      <c r="AC82" s="79"/>
      <c r="AD82" s="54"/>
      <c r="AE82" s="77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>
        <v>0.0</v>
      </c>
      <c r="BP82" s="65">
        <v>0.0</v>
      </c>
      <c r="BQ82" s="65">
        <v>0.0</v>
      </c>
      <c r="BR82" s="65">
        <v>0.0</v>
      </c>
      <c r="BS82" s="65">
        <v>0.0</v>
      </c>
      <c r="BT82" s="88">
        <v>0.0</v>
      </c>
      <c r="BU82" s="65">
        <v>0.0</v>
      </c>
      <c r="BV82" s="65">
        <v>0.0</v>
      </c>
      <c r="BW82" s="90">
        <v>0.0</v>
      </c>
      <c r="BX82" s="90">
        <v>0.0</v>
      </c>
      <c r="BY82" s="90" t="str">
        <f t="array" ref="BY82">XLOOKUP(C82,'PL TOTAL D0'!$A$3:$A$1991,'PL TOTAL D0'!$C$3:$C$1991,"")</f>
        <v/>
      </c>
    </row>
    <row r="83" ht="15.75" customHeight="1">
      <c r="A83" s="50" t="s">
        <v>24</v>
      </c>
      <c r="B83" s="188" t="s">
        <v>1876</v>
      </c>
      <c r="C83" s="94" t="s">
        <v>1877</v>
      </c>
      <c r="D83" s="30" t="s">
        <v>365</v>
      </c>
      <c r="E83" s="22" t="s">
        <v>199</v>
      </c>
      <c r="F83" s="30" t="s">
        <v>368</v>
      </c>
      <c r="G83" s="47" t="str">
        <f t="shared" si="5"/>
        <v>David</v>
      </c>
      <c r="H83" s="49" t="s">
        <v>183</v>
      </c>
      <c r="I83" s="49" t="s">
        <v>382</v>
      </c>
      <c r="J83" s="47" t="str">
        <f t="shared" ref="J83:J123" si="9">IF(Q83=0,"Não","Sim")</f>
        <v>Sim</v>
      </c>
      <c r="K83" s="362">
        <v>45383.0</v>
      </c>
      <c r="L83" s="62"/>
      <c r="M83" s="32" t="s">
        <v>61</v>
      </c>
      <c r="N83" s="56">
        <v>0.012</v>
      </c>
      <c r="O83" s="23" t="s">
        <v>66</v>
      </c>
      <c r="P83" s="57">
        <v>0.0</v>
      </c>
      <c r="Q83" s="58" t="s">
        <v>1878</v>
      </c>
      <c r="R83" s="58"/>
      <c r="S83" s="32" t="s">
        <v>194</v>
      </c>
      <c r="T83" s="32" t="s">
        <v>1879</v>
      </c>
      <c r="U83" s="33">
        <v>5.561982203222E12</v>
      </c>
      <c r="V83" s="33" t="s">
        <v>1880</v>
      </c>
      <c r="W83" s="34">
        <v>29716.0</v>
      </c>
      <c r="X83" s="23" t="s">
        <v>199</v>
      </c>
      <c r="Y83" s="49" t="str">
        <f t="shared" si="4"/>
        <v>Ativo</v>
      </c>
      <c r="Z83" s="62"/>
      <c r="AA83" s="62"/>
      <c r="AB83" s="64" t="s">
        <v>269</v>
      </c>
      <c r="AC83" s="79"/>
      <c r="AD83" s="54">
        <v>45383.0</v>
      </c>
      <c r="AE83" s="77">
        <v>4.9075100014019E13</v>
      </c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65"/>
      <c r="AW83" s="65"/>
      <c r="AX83" s="65">
        <v>452720.26</v>
      </c>
      <c r="AY83" s="65">
        <v>737235.4</v>
      </c>
      <c r="AZ83" s="65">
        <v>742704.6</v>
      </c>
      <c r="BA83" s="65">
        <v>859814.5</v>
      </c>
      <c r="BB83" s="65">
        <v>864957.49</v>
      </c>
      <c r="BC83" s="65">
        <v>869391.93</v>
      </c>
      <c r="BD83" s="65">
        <v>876861.15</v>
      </c>
      <c r="BE83" s="65">
        <v>865305.82</v>
      </c>
      <c r="BF83" s="65">
        <v>870553.4</v>
      </c>
      <c r="BG83" s="65">
        <v>878733.9</v>
      </c>
      <c r="BH83" s="65">
        <v>881770.39</v>
      </c>
      <c r="BI83" s="65">
        <v>891056.32</v>
      </c>
      <c r="BJ83" s="65">
        <v>1150583.71</v>
      </c>
      <c r="BK83" s="65">
        <v>1230746.39</v>
      </c>
      <c r="BL83" s="65">
        <v>1241524.02</v>
      </c>
      <c r="BM83" s="65">
        <v>17433.61</v>
      </c>
      <c r="BN83" s="65">
        <v>0.0</v>
      </c>
      <c r="BO83" s="65">
        <v>0.0</v>
      </c>
      <c r="BP83" s="65">
        <v>0.0</v>
      </c>
      <c r="BQ83" s="65">
        <v>0.0</v>
      </c>
      <c r="BR83" s="65">
        <v>0.0</v>
      </c>
      <c r="BS83" s="65">
        <v>0.0</v>
      </c>
      <c r="BT83" s="88">
        <v>0.0</v>
      </c>
      <c r="BU83" s="65">
        <v>0.0</v>
      </c>
      <c r="BV83" s="65">
        <v>0.0</v>
      </c>
      <c r="BW83" s="90">
        <v>0.0</v>
      </c>
      <c r="BX83" s="90">
        <v>0.0</v>
      </c>
      <c r="BY83" s="90" t="str">
        <f t="array" ref="BY83">XLOOKUP(C83,'PL TOTAL D0'!$A$3:$A$1991,'PL TOTAL D0'!$C$3:$C$1991,"")</f>
        <v/>
      </c>
    </row>
    <row r="84" ht="15.75" customHeight="1">
      <c r="A84" s="50" t="s">
        <v>24</v>
      </c>
      <c r="B84" s="200" t="s">
        <v>1881</v>
      </c>
      <c r="C84" s="53" t="s">
        <v>1882</v>
      </c>
      <c r="D84" s="30" t="s">
        <v>120</v>
      </c>
      <c r="E84" s="22" t="s">
        <v>54</v>
      </c>
      <c r="F84" s="30" t="s">
        <v>1883</v>
      </c>
      <c r="G84" s="47" t="str">
        <f t="shared" si="5"/>
        <v>David</v>
      </c>
      <c r="H84" s="49" t="s">
        <v>183</v>
      </c>
      <c r="I84" s="49" t="s">
        <v>66</v>
      </c>
      <c r="J84" s="47" t="str">
        <f t="shared" si="9"/>
        <v>Não</v>
      </c>
      <c r="K84" s="362">
        <v>46160.0</v>
      </c>
      <c r="L84" s="62"/>
      <c r="M84" s="32" t="s">
        <v>61</v>
      </c>
      <c r="N84" s="56">
        <v>0.012</v>
      </c>
      <c r="O84" s="23" t="s">
        <v>66</v>
      </c>
      <c r="P84" s="57">
        <v>0.0</v>
      </c>
      <c r="Q84" s="58"/>
      <c r="R84" s="58"/>
      <c r="S84" s="32" t="s">
        <v>194</v>
      </c>
      <c r="T84" s="32" t="s">
        <v>1884</v>
      </c>
      <c r="U84" s="33" t="s">
        <v>1885</v>
      </c>
      <c r="V84" s="33" t="s">
        <v>1886</v>
      </c>
      <c r="W84" s="34">
        <v>32641.0</v>
      </c>
      <c r="X84" s="23" t="s">
        <v>54</v>
      </c>
      <c r="Y84" s="49" t="str">
        <f t="shared" si="4"/>
        <v>Ativo</v>
      </c>
      <c r="Z84" s="62"/>
      <c r="AA84" s="32" t="s">
        <v>107</v>
      </c>
      <c r="AB84" s="64"/>
      <c r="AC84" s="79"/>
      <c r="AD84" s="54">
        <v>46203.0</v>
      </c>
      <c r="AE84" s="77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88"/>
      <c r="BU84" s="65"/>
      <c r="BV84" s="65"/>
      <c r="BW84" s="90">
        <v>0.0</v>
      </c>
      <c r="BX84" s="90">
        <v>25013.32</v>
      </c>
      <c r="BY84" s="90">
        <f t="array" ref="BY84">XLOOKUP(C84,'PL TOTAL D0'!$A$3:$A$1991,'PL TOTAL D0'!$C$3:$C$1991,"")</f>
        <v>151954.71</v>
      </c>
    </row>
    <row r="85" ht="15.75" customHeight="1">
      <c r="A85" s="43" t="s">
        <v>24</v>
      </c>
      <c r="B85" s="50" t="s">
        <v>1887</v>
      </c>
      <c r="C85" s="94" t="s">
        <v>1888</v>
      </c>
      <c r="D85" s="30" t="s">
        <v>120</v>
      </c>
      <c r="E85" s="22" t="s">
        <v>199</v>
      </c>
      <c r="F85" s="30" t="s">
        <v>332</v>
      </c>
      <c r="G85" s="47" t="str">
        <f t="shared" si="5"/>
        <v>David</v>
      </c>
      <c r="H85" s="49" t="s">
        <v>295</v>
      </c>
      <c r="I85" s="49" t="s">
        <v>382</v>
      </c>
      <c r="J85" s="47" t="str">
        <f t="shared" si="9"/>
        <v>Não</v>
      </c>
      <c r="K85" s="54">
        <v>45296.0</v>
      </c>
      <c r="L85" s="62"/>
      <c r="M85" s="66" t="s">
        <v>557</v>
      </c>
      <c r="N85" s="366">
        <v>0.007</v>
      </c>
      <c r="O85" s="81" t="s">
        <v>66</v>
      </c>
      <c r="P85" s="367">
        <v>0.0</v>
      </c>
      <c r="Q85" s="58"/>
      <c r="R85" s="58"/>
      <c r="S85" s="32" t="s">
        <v>194</v>
      </c>
      <c r="T85" s="32" t="s">
        <v>1889</v>
      </c>
      <c r="U85" s="33">
        <v>5.561999330992E12</v>
      </c>
      <c r="V85" s="33" t="s">
        <v>1890</v>
      </c>
      <c r="W85" s="34">
        <v>25617.0</v>
      </c>
      <c r="X85" s="23" t="s">
        <v>199</v>
      </c>
      <c r="Y85" s="49" t="str">
        <f t="shared" si="4"/>
        <v>Inativo</v>
      </c>
      <c r="Z85" s="62"/>
      <c r="AA85" s="62"/>
      <c r="AB85" s="64" t="s">
        <v>269</v>
      </c>
      <c r="AC85" s="79"/>
      <c r="AD85" s="54">
        <v>45296.0</v>
      </c>
      <c r="AE85" s="77">
        <v>4.9075100013276E13</v>
      </c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65">
        <v>0.0</v>
      </c>
      <c r="AV85" s="65">
        <v>0.0</v>
      </c>
      <c r="AW85" s="65">
        <v>0.0</v>
      </c>
      <c r="AX85" s="65">
        <v>0.0</v>
      </c>
      <c r="AY85" s="65">
        <v>0.0</v>
      </c>
      <c r="AZ85" s="65">
        <v>0.0</v>
      </c>
      <c r="BA85" s="65">
        <v>0.0</v>
      </c>
      <c r="BB85" s="65">
        <v>0.0</v>
      </c>
      <c r="BC85" s="65">
        <v>0.0</v>
      </c>
      <c r="BD85" s="65">
        <v>0.0</v>
      </c>
      <c r="BE85" s="65">
        <v>0.0</v>
      </c>
      <c r="BF85" s="65">
        <v>0.0</v>
      </c>
      <c r="BG85" s="65">
        <v>0.0</v>
      </c>
      <c r="BH85" s="65">
        <v>0.0</v>
      </c>
      <c r="BI85" s="65">
        <v>0.0</v>
      </c>
      <c r="BJ85" s="65">
        <v>0.0</v>
      </c>
      <c r="BK85" s="65">
        <v>0.0</v>
      </c>
      <c r="BL85" s="65">
        <v>0.0</v>
      </c>
      <c r="BM85" s="65">
        <v>0.0</v>
      </c>
      <c r="BN85" s="65">
        <v>0.0</v>
      </c>
      <c r="BO85" s="65">
        <v>0.0</v>
      </c>
      <c r="BP85" s="65">
        <v>0.0</v>
      </c>
      <c r="BQ85" s="65">
        <v>0.0</v>
      </c>
      <c r="BR85" s="65">
        <v>0.0</v>
      </c>
      <c r="BS85" s="65">
        <v>0.0</v>
      </c>
      <c r="BT85" s="88">
        <v>0.0</v>
      </c>
      <c r="BU85" s="65">
        <v>0.0</v>
      </c>
      <c r="BV85" s="65">
        <v>0.0</v>
      </c>
      <c r="BW85" s="90">
        <v>0.0</v>
      </c>
      <c r="BX85" s="90">
        <v>0.0</v>
      </c>
      <c r="BY85" s="90" t="str">
        <f t="array" ref="BY85">XLOOKUP(C85,'PL TOTAL D0'!$A$3:$A$1991,'PL TOTAL D0'!$C$3:$C$1991,"")</f>
        <v/>
      </c>
    </row>
    <row r="86" ht="15.75" customHeight="1">
      <c r="A86" s="50" t="s">
        <v>24</v>
      </c>
      <c r="B86" s="368" t="s">
        <v>1891</v>
      </c>
      <c r="C86" s="94" t="s">
        <v>1892</v>
      </c>
      <c r="D86" s="81" t="s">
        <v>120</v>
      </c>
      <c r="E86" s="95" t="s">
        <v>54</v>
      </c>
      <c r="F86" s="81" t="s">
        <v>125</v>
      </c>
      <c r="G86" s="47" t="str">
        <f t="shared" si="5"/>
        <v>David</v>
      </c>
      <c r="H86" s="74" t="s">
        <v>183</v>
      </c>
      <c r="I86" s="74" t="s">
        <v>66</v>
      </c>
      <c r="J86" s="47" t="str">
        <f t="shared" si="9"/>
        <v>Não</v>
      </c>
      <c r="K86" s="97">
        <v>45208.0</v>
      </c>
      <c r="L86" s="62"/>
      <c r="M86" s="62" t="s">
        <v>61</v>
      </c>
      <c r="N86" s="98">
        <v>0.012</v>
      </c>
      <c r="O86" s="47" t="s">
        <v>66</v>
      </c>
      <c r="P86" s="99">
        <v>0.0</v>
      </c>
      <c r="Q86" s="58"/>
      <c r="R86" s="70"/>
      <c r="S86" s="62" t="s">
        <v>194</v>
      </c>
      <c r="T86" s="32" t="s">
        <v>1893</v>
      </c>
      <c r="U86" s="33">
        <v>5.593992243003E12</v>
      </c>
      <c r="V86" s="33" t="s">
        <v>1894</v>
      </c>
      <c r="W86" s="34">
        <v>32424.0</v>
      </c>
      <c r="X86" s="23" t="s">
        <v>975</v>
      </c>
      <c r="Y86" s="49" t="str">
        <f t="shared" si="4"/>
        <v>Ativo</v>
      </c>
      <c r="Z86" s="62"/>
      <c r="AA86" s="62"/>
      <c r="AB86" s="64" t="s">
        <v>269</v>
      </c>
      <c r="AC86" s="79"/>
      <c r="AD86" s="54">
        <v>45208.0</v>
      </c>
      <c r="AE86" s="77">
        <v>4.9075100011168E13</v>
      </c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65">
        <v>0.0</v>
      </c>
      <c r="AR86" s="65">
        <v>100000.0</v>
      </c>
      <c r="AS86" s="65">
        <v>100890.32</v>
      </c>
      <c r="AT86" s="65">
        <v>101746.1</v>
      </c>
      <c r="AU86" s="65">
        <v>172788.35</v>
      </c>
      <c r="AV86" s="65">
        <v>160874.86</v>
      </c>
      <c r="AW86" s="65">
        <v>134780.95</v>
      </c>
      <c r="AX86" s="65">
        <v>109895.79</v>
      </c>
      <c r="AY86" s="65">
        <v>81373.72</v>
      </c>
      <c r="AZ86" s="65">
        <v>81892.74</v>
      </c>
      <c r="BA86" s="65">
        <v>52354.03</v>
      </c>
      <c r="BB86" s="65">
        <v>52685.32</v>
      </c>
      <c r="BC86" s="65">
        <v>53036.9</v>
      </c>
      <c r="BD86" s="65">
        <v>22366.05</v>
      </c>
      <c r="BE86" s="65">
        <v>5034.87</v>
      </c>
      <c r="BF86" s="65">
        <v>5083.65</v>
      </c>
      <c r="BG86" s="65">
        <v>5129.64</v>
      </c>
      <c r="BH86" s="65">
        <v>5173.13</v>
      </c>
      <c r="BI86" s="65">
        <v>5222.35</v>
      </c>
      <c r="BJ86" s="65">
        <v>5276.75</v>
      </c>
      <c r="BK86" s="65">
        <v>5290.6</v>
      </c>
      <c r="BL86" s="65">
        <v>5341.59</v>
      </c>
      <c r="BM86" s="65">
        <v>5403.21</v>
      </c>
      <c r="BN86" s="65">
        <v>5458.75</v>
      </c>
      <c r="BO86" s="65">
        <v>5515.46</v>
      </c>
      <c r="BP86" s="65">
        <v>5581.15</v>
      </c>
      <c r="BQ86" s="65">
        <v>5576.16</v>
      </c>
      <c r="BR86" s="65">
        <v>5638.08</v>
      </c>
      <c r="BS86" s="65">
        <v>5697.14</v>
      </c>
      <c r="BT86" s="88">
        <v>5747.45</v>
      </c>
      <c r="BU86" s="65">
        <v>5816.84</v>
      </c>
      <c r="BV86" s="65">
        <v>5870.96</v>
      </c>
      <c r="BW86" s="90">
        <v>5869.16</v>
      </c>
      <c r="BX86" s="90">
        <v>5921.45</v>
      </c>
      <c r="BY86" s="90" t="str">
        <f t="array" ref="BY86">XLOOKUP(C86,'PL TOTAL D0'!$A$3:$A$1991,'PL TOTAL D0'!$C$3:$C$1991,"")</f>
        <v/>
      </c>
    </row>
    <row r="87" ht="15.75" customHeight="1">
      <c r="A87" s="50" t="s">
        <v>24</v>
      </c>
      <c r="B87" s="368" t="s">
        <v>1895</v>
      </c>
      <c r="C87" s="94" t="s">
        <v>1896</v>
      </c>
      <c r="D87" s="81" t="s">
        <v>89</v>
      </c>
      <c r="E87" s="95" t="s">
        <v>91</v>
      </c>
      <c r="F87" s="81" t="s">
        <v>193</v>
      </c>
      <c r="G87" s="47" t="str">
        <f t="shared" si="5"/>
        <v>Gabriel</v>
      </c>
      <c r="H87" s="49" t="s">
        <v>183</v>
      </c>
      <c r="I87" s="74" t="s">
        <v>66</v>
      </c>
      <c r="J87" s="47" t="str">
        <f t="shared" si="9"/>
        <v>Sim</v>
      </c>
      <c r="K87" s="97">
        <v>46028.0</v>
      </c>
      <c r="L87" s="62"/>
      <c r="M87" s="62" t="s">
        <v>61</v>
      </c>
      <c r="N87" s="98">
        <v>0.012</v>
      </c>
      <c r="O87" s="47" t="s">
        <v>66</v>
      </c>
      <c r="P87" s="99">
        <v>0.0</v>
      </c>
      <c r="Q87" s="58" t="s">
        <v>1897</v>
      </c>
      <c r="R87" s="70"/>
      <c r="S87" s="62" t="s">
        <v>194</v>
      </c>
      <c r="T87" s="32" t="s">
        <v>1898</v>
      </c>
      <c r="U87" s="33" t="s">
        <v>1292</v>
      </c>
      <c r="V87" s="33" t="s">
        <v>1294</v>
      </c>
      <c r="W87" s="34">
        <v>29325.0</v>
      </c>
      <c r="X87" s="23" t="s">
        <v>221</v>
      </c>
      <c r="Y87" s="49" t="str">
        <f t="shared" si="4"/>
        <v>Ativo</v>
      </c>
      <c r="Z87" s="62"/>
      <c r="AA87" s="62" t="s">
        <v>107</v>
      </c>
      <c r="AB87" s="64"/>
      <c r="AC87" s="79"/>
      <c r="AD87" s="54">
        <v>46203.0</v>
      </c>
      <c r="AE87" s="77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>
        <v>403435.17</v>
      </c>
      <c r="BT87" s="88">
        <v>406724.4</v>
      </c>
      <c r="BU87" s="65">
        <v>562607.3</v>
      </c>
      <c r="BV87" s="65">
        <v>573355.1</v>
      </c>
      <c r="BW87" s="90">
        <v>780475.9</v>
      </c>
      <c r="BX87" s="90">
        <v>787688.6</v>
      </c>
      <c r="BY87" s="90">
        <f t="array" ref="BY87">XLOOKUP(C87,'PL TOTAL D0'!$A$3:$A$1991,'PL TOTAL D0'!$C$3:$C$1991,"")</f>
        <v>896977.05</v>
      </c>
    </row>
    <row r="88" ht="15.75" customHeight="1">
      <c r="A88" s="50" t="s">
        <v>24</v>
      </c>
      <c r="B88" s="167" t="s">
        <v>1899</v>
      </c>
      <c r="C88" s="53" t="s">
        <v>1900</v>
      </c>
      <c r="D88" s="30" t="s">
        <v>27</v>
      </c>
      <c r="E88" s="22" t="s">
        <v>28</v>
      </c>
      <c r="F88" s="30" t="s">
        <v>29</v>
      </c>
      <c r="G88" s="47" t="str">
        <f t="shared" si="5"/>
        <v>David</v>
      </c>
      <c r="H88" s="49" t="s">
        <v>183</v>
      </c>
      <c r="I88" s="49" t="s">
        <v>66</v>
      </c>
      <c r="J88" s="47" t="str">
        <f t="shared" si="9"/>
        <v>Não</v>
      </c>
      <c r="K88" s="54">
        <v>46218.0</v>
      </c>
      <c r="L88" s="62"/>
      <c r="M88" s="32" t="s">
        <v>568</v>
      </c>
      <c r="N88" s="56">
        <v>0.013</v>
      </c>
      <c r="O88" s="23" t="s">
        <v>66</v>
      </c>
      <c r="P88" s="57">
        <v>0.0</v>
      </c>
      <c r="Q88" s="58"/>
      <c r="R88" s="70"/>
      <c r="S88" s="32" t="s">
        <v>194</v>
      </c>
      <c r="T88" s="32" t="s">
        <v>1901</v>
      </c>
      <c r="U88" s="33" t="s">
        <v>1902</v>
      </c>
      <c r="V88" s="33" t="s">
        <v>1903</v>
      </c>
      <c r="W88" s="34">
        <v>31365.0</v>
      </c>
      <c r="X88" s="23" t="s">
        <v>28</v>
      </c>
      <c r="Y88" s="49" t="str">
        <f t="shared" si="4"/>
        <v>Ativo</v>
      </c>
      <c r="Z88" s="62"/>
      <c r="AA88" s="32" t="s">
        <v>47</v>
      </c>
      <c r="AB88" s="64"/>
      <c r="AC88" s="79"/>
      <c r="AD88" s="54"/>
      <c r="AE88" s="77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88"/>
      <c r="BU88" s="65"/>
      <c r="BV88" s="65"/>
      <c r="BW88" s="90"/>
      <c r="BX88" s="90">
        <v>0.0</v>
      </c>
      <c r="BY88" s="90">
        <f t="array" ref="BY88">XLOOKUP(C88,'PL TOTAL D0'!$A$3:$A$1991,'PL TOTAL D0'!$C$3:$C$1991,"")</f>
        <v>335441.31</v>
      </c>
    </row>
    <row r="89" ht="15.75" customHeight="1">
      <c r="A89" s="50" t="s">
        <v>24</v>
      </c>
      <c r="B89" s="43" t="s">
        <v>1904</v>
      </c>
      <c r="C89" s="94" t="s">
        <v>1905</v>
      </c>
      <c r="D89" s="30" t="s">
        <v>89</v>
      </c>
      <c r="E89" s="95" t="s">
        <v>91</v>
      </c>
      <c r="F89" s="81" t="s">
        <v>521</v>
      </c>
      <c r="G89" s="47" t="str">
        <f t="shared" si="5"/>
        <v>David</v>
      </c>
      <c r="H89" s="49" t="s">
        <v>224</v>
      </c>
      <c r="I89" s="49" t="s">
        <v>66</v>
      </c>
      <c r="J89" s="47" t="str">
        <f t="shared" si="9"/>
        <v>Não</v>
      </c>
      <c r="K89" s="97">
        <v>44970.0</v>
      </c>
      <c r="L89" s="55">
        <v>45799.0</v>
      </c>
      <c r="M89" s="32" t="s">
        <v>1906</v>
      </c>
      <c r="N89" s="56">
        <v>0.009</v>
      </c>
      <c r="O89" s="47" t="s">
        <v>66</v>
      </c>
      <c r="P89" s="99">
        <v>0.0</v>
      </c>
      <c r="Q89" s="58"/>
      <c r="R89" s="58" t="s">
        <v>610</v>
      </c>
      <c r="S89" s="62" t="s">
        <v>194</v>
      </c>
      <c r="T89" s="32" t="s">
        <v>1907</v>
      </c>
      <c r="U89" s="33" t="s">
        <v>268</v>
      </c>
      <c r="V89" s="33"/>
      <c r="W89" s="33" t="s">
        <v>268</v>
      </c>
      <c r="X89" s="23" t="s">
        <v>221</v>
      </c>
      <c r="Y89" s="49" t="str">
        <f t="shared" si="4"/>
        <v>Encerrado</v>
      </c>
      <c r="Z89" s="62"/>
      <c r="AA89" s="32" t="s">
        <v>165</v>
      </c>
      <c r="AB89" s="64" t="s">
        <v>269</v>
      </c>
      <c r="AC89" s="79"/>
      <c r="AD89" s="54">
        <v>44970.0</v>
      </c>
      <c r="AE89" s="77">
        <v>4.9075100005443E13</v>
      </c>
      <c r="AF89" s="79"/>
      <c r="AG89" s="79"/>
      <c r="AH89" s="79"/>
      <c r="AI89" s="65">
        <v>1222961.01</v>
      </c>
      <c r="AJ89" s="65">
        <v>1391813.01</v>
      </c>
      <c r="AK89" s="65">
        <v>1394564.19</v>
      </c>
      <c r="AL89" s="65">
        <v>1263788.53</v>
      </c>
      <c r="AM89" s="65">
        <v>1307731.72</v>
      </c>
      <c r="AN89" s="65">
        <v>1320623.24</v>
      </c>
      <c r="AO89" s="65">
        <v>1332023.96</v>
      </c>
      <c r="AP89" s="65">
        <v>1360026.96</v>
      </c>
      <c r="AQ89" s="65">
        <v>1371280.16</v>
      </c>
      <c r="AR89" s="65">
        <v>1366216.04</v>
      </c>
      <c r="AS89" s="65">
        <v>1370110.38</v>
      </c>
      <c r="AT89" s="65">
        <v>1377123.7</v>
      </c>
      <c r="AU89" s="65">
        <v>1285051.88</v>
      </c>
      <c r="AV89" s="65">
        <v>1295132.71</v>
      </c>
      <c r="AW89" s="65">
        <v>1303972.44</v>
      </c>
      <c r="AX89" s="65">
        <v>1615481.99</v>
      </c>
      <c r="AY89" s="65">
        <v>1602822.0</v>
      </c>
      <c r="AZ89" s="65">
        <v>1613280.0</v>
      </c>
      <c r="BA89" s="65">
        <v>1635665.0</v>
      </c>
      <c r="BB89" s="65">
        <v>1656213.46</v>
      </c>
      <c r="BC89" s="65">
        <v>1655185.01</v>
      </c>
      <c r="BD89" s="65">
        <v>1640352.37</v>
      </c>
      <c r="BE89" s="65">
        <v>1628985.83</v>
      </c>
      <c r="BF89" s="65">
        <v>1639040.6</v>
      </c>
      <c r="BG89" s="65">
        <v>1671679.55</v>
      </c>
      <c r="BH89" s="65">
        <v>0.0</v>
      </c>
      <c r="BI89" s="65">
        <v>0.0</v>
      </c>
      <c r="BJ89" s="65">
        <v>0.0</v>
      </c>
      <c r="BK89" s="65">
        <v>0.0</v>
      </c>
      <c r="BL89" s="65">
        <v>0.0</v>
      </c>
      <c r="BM89" s="65">
        <v>0.0</v>
      </c>
      <c r="BN89" s="65">
        <v>0.0</v>
      </c>
      <c r="BO89" s="65">
        <v>0.0</v>
      </c>
      <c r="BP89" s="65">
        <v>0.0</v>
      </c>
      <c r="BQ89" s="65">
        <v>0.0</v>
      </c>
      <c r="BR89" s="65">
        <v>0.0</v>
      </c>
      <c r="BS89" s="65">
        <v>0.0</v>
      </c>
      <c r="BT89" s="88">
        <v>0.0</v>
      </c>
      <c r="BU89" s="65">
        <v>0.0</v>
      </c>
      <c r="BV89" s="65">
        <v>0.0</v>
      </c>
      <c r="BW89" s="90">
        <v>0.0</v>
      </c>
      <c r="BX89" s="90">
        <v>0.0</v>
      </c>
      <c r="BY89" s="90" t="str">
        <f t="array" ref="BY89">XLOOKUP(C89,'PL TOTAL D0'!$A$3:$A$1991,'PL TOTAL D0'!$C$3:$C$1991,"")</f>
        <v/>
      </c>
    </row>
    <row r="90" ht="15.75" customHeight="1">
      <c r="A90" s="50" t="s">
        <v>24</v>
      </c>
      <c r="B90" s="50" t="s">
        <v>1904</v>
      </c>
      <c r="C90" s="94" t="s">
        <v>1908</v>
      </c>
      <c r="D90" s="30" t="s">
        <v>89</v>
      </c>
      <c r="E90" s="95" t="s">
        <v>91</v>
      </c>
      <c r="F90" s="81" t="s">
        <v>521</v>
      </c>
      <c r="G90" s="47" t="str">
        <f t="shared" si="5"/>
        <v>David</v>
      </c>
      <c r="H90" s="74" t="s">
        <v>224</v>
      </c>
      <c r="I90" s="74" t="s">
        <v>66</v>
      </c>
      <c r="J90" s="47" t="str">
        <f t="shared" si="9"/>
        <v>Não</v>
      </c>
      <c r="K90" s="97">
        <v>44970.0</v>
      </c>
      <c r="L90" s="194">
        <v>44661.0</v>
      </c>
      <c r="M90" s="62" t="s">
        <v>1142</v>
      </c>
      <c r="N90" s="98">
        <v>0.008</v>
      </c>
      <c r="O90" s="47" t="s">
        <v>1143</v>
      </c>
      <c r="P90" s="99">
        <v>0.1</v>
      </c>
      <c r="Q90" s="58"/>
      <c r="R90" s="70"/>
      <c r="S90" s="62" t="s">
        <v>194</v>
      </c>
      <c r="T90" s="32" t="s">
        <v>1907</v>
      </c>
      <c r="U90" s="33" t="s">
        <v>268</v>
      </c>
      <c r="V90" s="33"/>
      <c r="W90" s="33" t="s">
        <v>268</v>
      </c>
      <c r="X90" s="23" t="s">
        <v>221</v>
      </c>
      <c r="Y90" s="49" t="str">
        <f t="shared" si="4"/>
        <v>Encerrado</v>
      </c>
      <c r="Z90" s="62"/>
      <c r="AA90" s="62"/>
      <c r="AB90" s="64"/>
      <c r="AC90" s="79"/>
      <c r="AD90" s="54">
        <v>44970.0</v>
      </c>
      <c r="AE90" s="77"/>
      <c r="AF90" s="79"/>
      <c r="AG90" s="79"/>
      <c r="AH90" s="79"/>
      <c r="AI90" s="79"/>
      <c r="AJ90" s="65">
        <v>0.0</v>
      </c>
      <c r="AK90" s="65">
        <v>0.0</v>
      </c>
      <c r="AL90" s="65">
        <v>0.0</v>
      </c>
      <c r="AM90" s="65">
        <v>0.0</v>
      </c>
      <c r="AN90" s="65">
        <v>0.0</v>
      </c>
      <c r="AO90" s="65">
        <v>0.0</v>
      </c>
      <c r="AP90" s="65">
        <v>0.0</v>
      </c>
      <c r="AQ90" s="65">
        <v>0.0</v>
      </c>
      <c r="AR90" s="65">
        <v>0.0</v>
      </c>
      <c r="AS90" s="65">
        <v>0.0</v>
      </c>
      <c r="AT90" s="65">
        <v>0.0</v>
      </c>
      <c r="AU90" s="65">
        <v>0.0</v>
      </c>
      <c r="AV90" s="65">
        <v>0.0</v>
      </c>
      <c r="AW90" s="65">
        <v>0.0</v>
      </c>
      <c r="AX90" s="65">
        <v>0.0</v>
      </c>
      <c r="AY90" s="65">
        <v>0.0</v>
      </c>
      <c r="AZ90" s="65">
        <v>0.0</v>
      </c>
      <c r="BA90" s="65">
        <v>0.0</v>
      </c>
      <c r="BB90" s="65">
        <v>0.0</v>
      </c>
      <c r="BC90" s="65">
        <v>0.0</v>
      </c>
      <c r="BD90" s="65">
        <v>0.0</v>
      </c>
      <c r="BE90" s="65">
        <v>0.0</v>
      </c>
      <c r="BF90" s="65">
        <v>0.0</v>
      </c>
      <c r="BG90" s="65">
        <v>0.0</v>
      </c>
      <c r="BH90" s="65">
        <v>0.0</v>
      </c>
      <c r="BI90" s="65">
        <v>0.0</v>
      </c>
      <c r="BJ90" s="65">
        <v>0.0</v>
      </c>
      <c r="BK90" s="65">
        <v>0.0</v>
      </c>
      <c r="BL90" s="65">
        <v>0.0</v>
      </c>
      <c r="BM90" s="65">
        <v>0.0</v>
      </c>
      <c r="BN90" s="65">
        <v>0.0</v>
      </c>
      <c r="BO90" s="65">
        <v>0.0</v>
      </c>
      <c r="BP90" s="65">
        <v>0.0</v>
      </c>
      <c r="BQ90" s="65">
        <v>0.0</v>
      </c>
      <c r="BR90" s="65">
        <v>0.0</v>
      </c>
      <c r="BS90" s="65">
        <v>0.0</v>
      </c>
      <c r="BT90" s="88">
        <v>0.0</v>
      </c>
      <c r="BU90" s="65">
        <v>0.0</v>
      </c>
      <c r="BV90" s="65">
        <v>0.0</v>
      </c>
      <c r="BW90" s="90">
        <v>0.0</v>
      </c>
      <c r="BX90" s="90">
        <v>0.0</v>
      </c>
      <c r="BY90" s="90" t="str">
        <f t="array" ref="BY90">XLOOKUP(C90,'PL TOTAL D0'!$A$3:$A$1991,'PL TOTAL D0'!$C$3:$C$1991,"")</f>
        <v/>
      </c>
    </row>
    <row r="91" ht="15.75" customHeight="1">
      <c r="A91" s="50" t="s">
        <v>24</v>
      </c>
      <c r="B91" s="50" t="s">
        <v>1909</v>
      </c>
      <c r="C91" s="94" t="s">
        <v>1910</v>
      </c>
      <c r="D91" s="30" t="s">
        <v>89</v>
      </c>
      <c r="E91" s="95" t="s">
        <v>91</v>
      </c>
      <c r="F91" s="81" t="s">
        <v>521</v>
      </c>
      <c r="G91" s="47" t="str">
        <f t="shared" si="5"/>
        <v>David</v>
      </c>
      <c r="H91" s="49" t="s">
        <v>295</v>
      </c>
      <c r="I91" s="49" t="s">
        <v>382</v>
      </c>
      <c r="J91" s="47" t="str">
        <f t="shared" si="9"/>
        <v>Não</v>
      </c>
      <c r="K91" s="97">
        <v>45020.0</v>
      </c>
      <c r="L91" s="62"/>
      <c r="M91" s="62" t="s">
        <v>231</v>
      </c>
      <c r="N91" s="98">
        <v>0.025</v>
      </c>
      <c r="O91" s="23" t="s">
        <v>233</v>
      </c>
      <c r="P91" s="99">
        <v>0.2</v>
      </c>
      <c r="Q91" s="58"/>
      <c r="R91" s="70" t="s">
        <v>1911</v>
      </c>
      <c r="S91" s="62" t="s">
        <v>194</v>
      </c>
      <c r="T91" s="32" t="s">
        <v>1907</v>
      </c>
      <c r="U91" s="33" t="s">
        <v>268</v>
      </c>
      <c r="V91" s="33"/>
      <c r="W91" s="33" t="s">
        <v>268</v>
      </c>
      <c r="X91" s="23" t="s">
        <v>221</v>
      </c>
      <c r="Y91" s="49" t="str">
        <f t="shared" si="4"/>
        <v>Ativo</v>
      </c>
      <c r="Z91" s="62"/>
      <c r="AA91" s="32" t="s">
        <v>165</v>
      </c>
      <c r="AB91" s="64" t="s">
        <v>269</v>
      </c>
      <c r="AC91" s="79"/>
      <c r="AD91" s="54">
        <v>45020.0</v>
      </c>
      <c r="AE91" s="77">
        <v>4.9075100003246E13</v>
      </c>
      <c r="AF91" s="79"/>
      <c r="AG91" s="79"/>
      <c r="AH91" s="79"/>
      <c r="AI91" s="65">
        <v>0.0</v>
      </c>
      <c r="AJ91" s="65">
        <v>0.0</v>
      </c>
      <c r="AK91" s="65">
        <v>0.0</v>
      </c>
      <c r="AL91" s="65">
        <v>155956.48</v>
      </c>
      <c r="AM91" s="65">
        <v>171559.12</v>
      </c>
      <c r="AN91" s="65">
        <v>185313.16</v>
      </c>
      <c r="AO91" s="65">
        <v>195637.75</v>
      </c>
      <c r="AP91" s="65">
        <v>205565.4</v>
      </c>
      <c r="AQ91" s="65">
        <v>204852.83</v>
      </c>
      <c r="AR91" s="65">
        <v>196248.7</v>
      </c>
      <c r="AS91" s="65">
        <v>211119.27</v>
      </c>
      <c r="AT91" s="65">
        <v>221616.84</v>
      </c>
      <c r="AU91" s="65">
        <v>303272.69</v>
      </c>
      <c r="AV91" s="65">
        <v>307694.41</v>
      </c>
      <c r="AW91" s="65">
        <v>313646.34</v>
      </c>
      <c r="AX91" s="65">
        <v>907.07</v>
      </c>
      <c r="AY91" s="65">
        <v>907.07</v>
      </c>
      <c r="AZ91" s="65">
        <v>910.15</v>
      </c>
      <c r="BA91" s="65">
        <v>910.15</v>
      </c>
      <c r="BB91" s="65">
        <v>910.15</v>
      </c>
      <c r="BC91" s="65">
        <v>910.46</v>
      </c>
      <c r="BD91" s="65">
        <v>911.65</v>
      </c>
      <c r="BE91" s="65">
        <v>912.38</v>
      </c>
      <c r="BF91" s="65">
        <v>915.12</v>
      </c>
      <c r="BG91" s="65">
        <v>229.74</v>
      </c>
      <c r="BH91" s="65">
        <v>229.74</v>
      </c>
      <c r="BI91" s="65">
        <v>229.74</v>
      </c>
      <c r="BJ91" s="65">
        <v>0.0</v>
      </c>
      <c r="BK91" s="65">
        <v>0.0</v>
      </c>
      <c r="BL91" s="65">
        <v>0.0</v>
      </c>
      <c r="BM91" s="65">
        <v>0.0</v>
      </c>
      <c r="BN91" s="65">
        <v>0.0</v>
      </c>
      <c r="BO91" s="65">
        <v>0.0</v>
      </c>
      <c r="BP91" s="65">
        <v>0.0</v>
      </c>
      <c r="BQ91" s="65">
        <v>0.0</v>
      </c>
      <c r="BR91" s="65">
        <v>0.0</v>
      </c>
      <c r="BS91" s="65">
        <v>0.0</v>
      </c>
      <c r="BT91" s="88">
        <v>0.0</v>
      </c>
      <c r="BU91" s="65">
        <v>0.0</v>
      </c>
      <c r="BV91" s="65">
        <v>0.0</v>
      </c>
      <c r="BW91" s="90">
        <v>0.0</v>
      </c>
      <c r="BX91" s="90">
        <v>0.0</v>
      </c>
      <c r="BY91" s="90" t="str">
        <f t="array" ref="BY91">XLOOKUP(C91,'PL TOTAL D0'!$A$3:$A$1991,'PL TOTAL D0'!$C$3:$C$1991,"")</f>
        <v/>
      </c>
    </row>
    <row r="92" ht="15.75" customHeight="1">
      <c r="A92" s="50" t="s">
        <v>24</v>
      </c>
      <c r="B92" s="43" t="s">
        <v>1912</v>
      </c>
      <c r="C92" s="94" t="s">
        <v>1913</v>
      </c>
      <c r="D92" s="30" t="s">
        <v>120</v>
      </c>
      <c r="E92" s="22" t="s">
        <v>199</v>
      </c>
      <c r="F92" s="30" t="s">
        <v>1914</v>
      </c>
      <c r="G92" s="47" t="str">
        <f t="shared" si="5"/>
        <v>David</v>
      </c>
      <c r="H92" s="49" t="s">
        <v>224</v>
      </c>
      <c r="I92" s="49" t="s">
        <v>66</v>
      </c>
      <c r="J92" s="47" t="str">
        <f t="shared" si="9"/>
        <v>Não</v>
      </c>
      <c r="K92" s="54">
        <v>45447.0</v>
      </c>
      <c r="L92" s="55">
        <v>45562.0</v>
      </c>
      <c r="M92" s="32" t="s">
        <v>61</v>
      </c>
      <c r="N92" s="56">
        <v>0.011</v>
      </c>
      <c r="O92" s="23" t="s">
        <v>66</v>
      </c>
      <c r="P92" s="57">
        <v>0.0</v>
      </c>
      <c r="Q92" s="58"/>
      <c r="R92" s="70"/>
      <c r="S92" s="32" t="s">
        <v>194</v>
      </c>
      <c r="T92" s="32" t="s">
        <v>1915</v>
      </c>
      <c r="U92" s="33" t="s">
        <v>268</v>
      </c>
      <c r="V92" s="33"/>
      <c r="W92" s="33" t="s">
        <v>268</v>
      </c>
      <c r="X92" s="23" t="s">
        <v>199</v>
      </c>
      <c r="Y92" s="49" t="str">
        <f t="shared" si="4"/>
        <v>Encerrado</v>
      </c>
      <c r="Z92" s="32"/>
      <c r="AA92" s="32" t="s">
        <v>47</v>
      </c>
      <c r="AB92" s="64" t="s">
        <v>269</v>
      </c>
      <c r="AC92" s="79"/>
      <c r="AD92" s="54">
        <v>45447.0</v>
      </c>
      <c r="AE92" s="77">
        <v>4.9075100015007E13</v>
      </c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65"/>
      <c r="AW92" s="65"/>
      <c r="AX92" s="65"/>
      <c r="AY92" s="65"/>
      <c r="AZ92" s="65">
        <v>334241.8</v>
      </c>
      <c r="BA92" s="65">
        <v>337347.5</v>
      </c>
      <c r="BB92" s="65">
        <v>340143.86</v>
      </c>
      <c r="BC92" s="65">
        <v>347758.49</v>
      </c>
      <c r="BD92" s="65">
        <v>0.0</v>
      </c>
      <c r="BE92" s="65">
        <v>0.0</v>
      </c>
      <c r="BF92" s="65">
        <v>0.0</v>
      </c>
      <c r="BG92" s="65">
        <v>0.0</v>
      </c>
      <c r="BH92" s="65">
        <v>0.0</v>
      </c>
      <c r="BI92" s="65">
        <v>0.0</v>
      </c>
      <c r="BJ92" s="65">
        <v>0.0</v>
      </c>
      <c r="BK92" s="65">
        <v>0.0</v>
      </c>
      <c r="BL92" s="65">
        <v>0.0</v>
      </c>
      <c r="BM92" s="65">
        <v>0.0</v>
      </c>
      <c r="BN92" s="65">
        <v>0.0</v>
      </c>
      <c r="BO92" s="65">
        <v>0.0</v>
      </c>
      <c r="BP92" s="65">
        <v>0.0</v>
      </c>
      <c r="BQ92" s="65">
        <v>0.0</v>
      </c>
      <c r="BR92" s="65">
        <v>0.0</v>
      </c>
      <c r="BS92" s="65">
        <v>0.0</v>
      </c>
      <c r="BT92" s="88">
        <v>0.0</v>
      </c>
      <c r="BU92" s="65">
        <v>0.0</v>
      </c>
      <c r="BV92" s="65">
        <v>0.0</v>
      </c>
      <c r="BW92" s="90">
        <v>0.0</v>
      </c>
      <c r="BX92" s="90">
        <v>0.0</v>
      </c>
      <c r="BY92" s="90" t="str">
        <f t="array" ref="BY92">XLOOKUP(C92,'PL TOTAL D0'!$A$3:$A$1991,'PL TOTAL D0'!$C$3:$C$1991,"")</f>
        <v/>
      </c>
    </row>
    <row r="93" ht="15.75" customHeight="1">
      <c r="A93" s="50" t="s">
        <v>24</v>
      </c>
      <c r="B93" s="50" t="s">
        <v>1916</v>
      </c>
      <c r="C93" s="94" t="s">
        <v>1917</v>
      </c>
      <c r="D93" s="30" t="s">
        <v>89</v>
      </c>
      <c r="E93" s="95" t="s">
        <v>91</v>
      </c>
      <c r="F93" s="81" t="s">
        <v>193</v>
      </c>
      <c r="G93" s="47" t="str">
        <f t="shared" si="5"/>
        <v>David</v>
      </c>
      <c r="H93" s="49" t="s">
        <v>295</v>
      </c>
      <c r="I93" s="49" t="s">
        <v>382</v>
      </c>
      <c r="J93" s="47" t="str">
        <f t="shared" si="9"/>
        <v>Não</v>
      </c>
      <c r="K93" s="97">
        <v>45166.0</v>
      </c>
      <c r="L93" s="189"/>
      <c r="M93" s="62" t="s">
        <v>209</v>
      </c>
      <c r="N93" s="98">
        <v>0.015</v>
      </c>
      <c r="O93" s="47" t="s">
        <v>35</v>
      </c>
      <c r="P93" s="99">
        <v>0.1</v>
      </c>
      <c r="Q93" s="58"/>
      <c r="R93" s="58" t="s">
        <v>1918</v>
      </c>
      <c r="S93" s="62" t="s">
        <v>194</v>
      </c>
      <c r="T93" s="32" t="s">
        <v>1919</v>
      </c>
      <c r="U93" s="33">
        <v>5.543988161543E12</v>
      </c>
      <c r="V93" s="33" t="s">
        <v>1920</v>
      </c>
      <c r="W93" s="48">
        <v>26264.0</v>
      </c>
      <c r="X93" s="23" t="s">
        <v>221</v>
      </c>
      <c r="Y93" s="49" t="str">
        <f t="shared" si="4"/>
        <v>Ativo</v>
      </c>
      <c r="Z93" s="62"/>
      <c r="AA93" s="62"/>
      <c r="AB93" s="64" t="s">
        <v>269</v>
      </c>
      <c r="AC93" s="79"/>
      <c r="AD93" s="54">
        <v>45166.0</v>
      </c>
      <c r="AE93" s="77">
        <v>4.907510000683E13</v>
      </c>
      <c r="AF93" s="79"/>
      <c r="AG93" s="79"/>
      <c r="AH93" s="79"/>
      <c r="AI93" s="79"/>
      <c r="AJ93" s="79"/>
      <c r="AK93" s="79"/>
      <c r="AL93" s="65">
        <v>0.0</v>
      </c>
      <c r="AM93" s="65">
        <v>0.0</v>
      </c>
      <c r="AN93" s="65">
        <v>0.0</v>
      </c>
      <c r="AO93" s="65">
        <v>0.0</v>
      </c>
      <c r="AP93" s="65">
        <v>95343.18</v>
      </c>
      <c r="AQ93" s="65">
        <v>103773.77</v>
      </c>
      <c r="AR93" s="65">
        <v>103586.63</v>
      </c>
      <c r="AS93" s="65">
        <v>105703.53</v>
      </c>
      <c r="AT93" s="65">
        <v>107753.21</v>
      </c>
      <c r="AU93" s="65">
        <v>106220.49</v>
      </c>
      <c r="AV93" s="65">
        <v>107091.21</v>
      </c>
      <c r="AW93" s="65">
        <v>108303.4</v>
      </c>
      <c r="AX93" s="65">
        <v>107556.65</v>
      </c>
      <c r="AY93" s="65">
        <v>107101.3</v>
      </c>
      <c r="AZ93" s="65">
        <v>107674.0</v>
      </c>
      <c r="BA93" s="65">
        <v>109133.6</v>
      </c>
      <c r="BB93" s="65">
        <v>110448.89</v>
      </c>
      <c r="BC93" s="65">
        <v>110362.14</v>
      </c>
      <c r="BD93" s="65">
        <v>109689.94</v>
      </c>
      <c r="BE93" s="65">
        <v>109122.3</v>
      </c>
      <c r="BF93" s="65">
        <v>109103.31</v>
      </c>
      <c r="BG93" s="65">
        <v>57423.12</v>
      </c>
      <c r="BH93" s="65">
        <v>58001.36</v>
      </c>
      <c r="BI93" s="65">
        <v>58631.61</v>
      </c>
      <c r="BJ93" s="65">
        <v>528.63</v>
      </c>
      <c r="BK93" s="65">
        <v>749.86</v>
      </c>
      <c r="BL93" s="65">
        <v>754.63</v>
      </c>
      <c r="BM93" s="65">
        <v>762.14</v>
      </c>
      <c r="BN93" s="65">
        <v>769.07</v>
      </c>
      <c r="BO93" s="65">
        <v>776.07</v>
      </c>
      <c r="BP93" s="65">
        <v>784.12</v>
      </c>
      <c r="BQ93" s="65">
        <v>784.52</v>
      </c>
      <c r="BR93" s="65">
        <v>792.07</v>
      </c>
      <c r="BS93" s="65">
        <v>800.39</v>
      </c>
      <c r="BT93" s="88">
        <v>808.26</v>
      </c>
      <c r="BU93" s="65">
        <v>818.03</v>
      </c>
      <c r="BV93" s="65">
        <v>826.77</v>
      </c>
      <c r="BW93" s="90">
        <v>827.91</v>
      </c>
      <c r="BX93" s="90">
        <v>836.54</v>
      </c>
      <c r="BY93" s="90" t="str">
        <f t="array" ref="BY93">XLOOKUP(C93,'PL TOTAL D0'!$A$3:$A$1991,'PL TOTAL D0'!$C$3:$C$1991,"")</f>
        <v/>
      </c>
    </row>
    <row r="94" ht="15.75" customHeight="1">
      <c r="A94" s="50" t="s">
        <v>24</v>
      </c>
      <c r="B94" s="368" t="s">
        <v>1921</v>
      </c>
      <c r="C94" s="94" t="s">
        <v>1922</v>
      </c>
      <c r="D94" s="81" t="s">
        <v>120</v>
      </c>
      <c r="E94" s="95" t="s">
        <v>199</v>
      </c>
      <c r="F94" s="66" t="s">
        <v>431</v>
      </c>
      <c r="G94" s="47" t="str">
        <f t="shared" si="5"/>
        <v>David</v>
      </c>
      <c r="H94" s="49" t="s">
        <v>295</v>
      </c>
      <c r="I94" s="49" t="s">
        <v>447</v>
      </c>
      <c r="J94" s="47" t="str">
        <f t="shared" si="9"/>
        <v>Não</v>
      </c>
      <c r="K94" s="97">
        <v>45222.0</v>
      </c>
      <c r="L94" s="62"/>
      <c r="M94" s="32" t="s">
        <v>201</v>
      </c>
      <c r="N94" s="56">
        <v>0.0</v>
      </c>
      <c r="O94" s="47" t="s">
        <v>66</v>
      </c>
      <c r="P94" s="99">
        <v>0.0</v>
      </c>
      <c r="Q94" s="58"/>
      <c r="R94" s="58" t="s">
        <v>1923</v>
      </c>
      <c r="S94" s="62" t="s">
        <v>194</v>
      </c>
      <c r="T94" s="32" t="s">
        <v>1924</v>
      </c>
      <c r="U94" s="33">
        <v>5.561996549735E12</v>
      </c>
      <c r="V94" s="33" t="s">
        <v>1925</v>
      </c>
      <c r="W94" s="34">
        <v>26364.0</v>
      </c>
      <c r="X94" s="23" t="s">
        <v>199</v>
      </c>
      <c r="Y94" s="49" t="str">
        <f t="shared" si="4"/>
        <v>Ativo</v>
      </c>
      <c r="Z94" s="62"/>
      <c r="AA94" s="62"/>
      <c r="AB94" s="64" t="s">
        <v>269</v>
      </c>
      <c r="AC94" s="79"/>
      <c r="AD94" s="54">
        <v>45222.0</v>
      </c>
      <c r="AE94" s="77">
        <v>4.907510001218E13</v>
      </c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65">
        <v>48822.53</v>
      </c>
      <c r="AS94" s="65">
        <v>75424.98</v>
      </c>
      <c r="AT94" s="65">
        <v>81632.83</v>
      </c>
      <c r="AU94" s="65">
        <v>75566.95</v>
      </c>
      <c r="AV94" s="65">
        <v>72113.04</v>
      </c>
      <c r="AW94" s="65">
        <v>79278.76</v>
      </c>
      <c r="AX94" s="65">
        <v>82893.79</v>
      </c>
      <c r="AY94" s="65">
        <v>4132.46</v>
      </c>
      <c r="AZ94" s="65">
        <v>4165.21</v>
      </c>
      <c r="BA94" s="65">
        <v>4191.55</v>
      </c>
      <c r="BB94" s="65">
        <v>4221.83</v>
      </c>
      <c r="BC94" s="65">
        <v>4236.21</v>
      </c>
      <c r="BD94" s="65">
        <v>4273.2</v>
      </c>
      <c r="BE94" s="65">
        <v>4308.06</v>
      </c>
      <c r="BF94" s="65">
        <v>4340.73</v>
      </c>
      <c r="BG94" s="65">
        <v>0.0</v>
      </c>
      <c r="BH94" s="65">
        <v>0.0</v>
      </c>
      <c r="BI94" s="65">
        <v>0.0</v>
      </c>
      <c r="BJ94" s="65">
        <v>0.0</v>
      </c>
      <c r="BK94" s="65">
        <v>0.0</v>
      </c>
      <c r="BL94" s="65">
        <v>0.0</v>
      </c>
      <c r="BM94" s="65">
        <v>7450.71</v>
      </c>
      <c r="BN94" s="65">
        <v>7641.0</v>
      </c>
      <c r="BO94" s="65">
        <v>8041.76</v>
      </c>
      <c r="BP94" s="65">
        <v>8147.94</v>
      </c>
      <c r="BQ94" s="65">
        <v>8713.81</v>
      </c>
      <c r="BR94" s="65">
        <v>8930.75</v>
      </c>
      <c r="BS94" s="65">
        <v>9478.68</v>
      </c>
      <c r="BT94" s="88">
        <v>9760.85</v>
      </c>
      <c r="BU94" s="65">
        <v>9728.94</v>
      </c>
      <c r="BV94" s="65">
        <v>9743.55</v>
      </c>
      <c r="BW94" s="90">
        <v>9653.21</v>
      </c>
      <c r="BX94" s="90">
        <v>117914.75</v>
      </c>
      <c r="BY94" s="90">
        <f t="array" ref="BY94">XLOOKUP(C94,'PL TOTAL D0'!$A$3:$A$1991,'PL TOTAL D0'!$C$3:$C$1991,"")</f>
        <v>120270.81</v>
      </c>
    </row>
    <row r="95" ht="15.75" customHeight="1">
      <c r="A95" s="43" t="s">
        <v>24</v>
      </c>
      <c r="B95" s="43" t="s">
        <v>1921</v>
      </c>
      <c r="C95" s="94" t="s">
        <v>1926</v>
      </c>
      <c r="D95" s="30" t="s">
        <v>120</v>
      </c>
      <c r="E95" s="22" t="s">
        <v>199</v>
      </c>
      <c r="F95" s="66" t="s">
        <v>431</v>
      </c>
      <c r="G95" s="47" t="str">
        <f t="shared" si="5"/>
        <v>David</v>
      </c>
      <c r="H95" s="49" t="s">
        <v>295</v>
      </c>
      <c r="I95" s="49" t="s">
        <v>447</v>
      </c>
      <c r="J95" s="47" t="str">
        <f t="shared" si="9"/>
        <v>Não</v>
      </c>
      <c r="K95" s="54">
        <v>45293.0</v>
      </c>
      <c r="L95" s="62"/>
      <c r="M95" s="32" t="s">
        <v>201</v>
      </c>
      <c r="N95" s="56">
        <v>0.0</v>
      </c>
      <c r="O95" s="23" t="s">
        <v>66</v>
      </c>
      <c r="P95" s="57">
        <v>0.0</v>
      </c>
      <c r="Q95" s="58"/>
      <c r="R95" s="370" t="s">
        <v>1927</v>
      </c>
      <c r="S95" s="32" t="s">
        <v>194</v>
      </c>
      <c r="T95" s="32" t="s">
        <v>1924</v>
      </c>
      <c r="U95" s="33">
        <v>5.561996549735E12</v>
      </c>
      <c r="V95" s="33" t="s">
        <v>1925</v>
      </c>
      <c r="W95" s="34">
        <v>26364.0</v>
      </c>
      <c r="X95" s="23" t="s">
        <v>199</v>
      </c>
      <c r="Y95" s="49" t="str">
        <f t="shared" si="4"/>
        <v>Ativo</v>
      </c>
      <c r="Z95" s="62"/>
      <c r="AA95" s="62"/>
      <c r="AB95" s="64" t="s">
        <v>269</v>
      </c>
      <c r="AC95" s="79"/>
      <c r="AD95" s="54">
        <v>45293.0</v>
      </c>
      <c r="AE95" s="77">
        <v>4.9075100013284E13</v>
      </c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65">
        <v>0.0</v>
      </c>
      <c r="AU95" s="65">
        <v>16116.88</v>
      </c>
      <c r="AV95" s="65">
        <v>21365.67</v>
      </c>
      <c r="AW95" s="65">
        <v>28193.34</v>
      </c>
      <c r="AX95" s="65">
        <v>30082.51</v>
      </c>
      <c r="AY95" s="65">
        <v>21100.83</v>
      </c>
      <c r="AZ95" s="65">
        <v>27090.56</v>
      </c>
      <c r="BA95" s="65">
        <v>27951.61</v>
      </c>
      <c r="BB95" s="65">
        <v>28896.18</v>
      </c>
      <c r="BC95" s="65">
        <v>27203.09</v>
      </c>
      <c r="BD95" s="65">
        <v>29966.53</v>
      </c>
      <c r="BE95" s="65">
        <v>32741.68</v>
      </c>
      <c r="BF95" s="65">
        <v>39507.11</v>
      </c>
      <c r="BG95" s="65">
        <v>47163.15</v>
      </c>
      <c r="BH95" s="65">
        <v>50124.31</v>
      </c>
      <c r="BI95" s="65">
        <v>52126.29</v>
      </c>
      <c r="BJ95" s="65">
        <v>55531.99</v>
      </c>
      <c r="BK95" s="65">
        <v>62212.66</v>
      </c>
      <c r="BL95" s="65">
        <v>65675.0</v>
      </c>
      <c r="BM95" s="65">
        <v>66270.84</v>
      </c>
      <c r="BN95" s="65">
        <v>71124.49</v>
      </c>
      <c r="BO95" s="65">
        <v>129033.16</v>
      </c>
      <c r="BP95" s="65">
        <v>133872.2</v>
      </c>
      <c r="BQ95" s="65">
        <v>141002.8</v>
      </c>
      <c r="BR95" s="65">
        <v>147587.5</v>
      </c>
      <c r="BS95" s="65">
        <v>157318.27</v>
      </c>
      <c r="BT95" s="88">
        <v>166176.5</v>
      </c>
      <c r="BU95" s="65">
        <v>176376.4</v>
      </c>
      <c r="BV95" s="65">
        <v>181411.9</v>
      </c>
      <c r="BW95" s="90">
        <v>182778.8</v>
      </c>
      <c r="BX95" s="90">
        <v>451691.06</v>
      </c>
      <c r="BY95" s="90">
        <f t="array" ref="BY95">XLOOKUP(C95,'PL TOTAL D0'!$A$3:$A$1991,'PL TOTAL D0'!$C$3:$C$1991,"")</f>
        <v>462782.67</v>
      </c>
    </row>
    <row r="96" ht="15.75" customHeight="1">
      <c r="A96" s="43" t="s">
        <v>24</v>
      </c>
      <c r="B96" s="43" t="s">
        <v>1928</v>
      </c>
      <c r="C96" s="94" t="s">
        <v>1929</v>
      </c>
      <c r="D96" s="30" t="s">
        <v>365</v>
      </c>
      <c r="E96" s="22" t="s">
        <v>199</v>
      </c>
      <c r="F96" s="27" t="s">
        <v>1111</v>
      </c>
      <c r="G96" s="47" t="str">
        <f t="shared" si="5"/>
        <v>David</v>
      </c>
      <c r="H96" s="49" t="s">
        <v>295</v>
      </c>
      <c r="I96" s="49" t="s">
        <v>756</v>
      </c>
      <c r="J96" s="47" t="str">
        <f t="shared" si="9"/>
        <v>Sim</v>
      </c>
      <c r="K96" s="54">
        <v>45475.0</v>
      </c>
      <c r="L96" s="62"/>
      <c r="M96" s="32" t="s">
        <v>61</v>
      </c>
      <c r="N96" s="56">
        <v>0.012</v>
      </c>
      <c r="O96" s="23" t="s">
        <v>66</v>
      </c>
      <c r="P96" s="57">
        <v>0.0</v>
      </c>
      <c r="Q96" s="58" t="s">
        <v>1930</v>
      </c>
      <c r="R96" s="370"/>
      <c r="S96" s="32" t="s">
        <v>194</v>
      </c>
      <c r="T96" s="32" t="s">
        <v>1931</v>
      </c>
      <c r="U96" s="33">
        <v>5.561999720222E12</v>
      </c>
      <c r="V96" s="33" t="s">
        <v>1932</v>
      </c>
      <c r="W96" s="48">
        <v>24789.0</v>
      </c>
      <c r="X96" s="23" t="s">
        <v>199</v>
      </c>
      <c r="Y96" s="49" t="str">
        <f t="shared" si="4"/>
        <v>Ativo</v>
      </c>
      <c r="Z96" s="32"/>
      <c r="AA96" s="32" t="s">
        <v>107</v>
      </c>
      <c r="AB96" s="64" t="s">
        <v>269</v>
      </c>
      <c r="AC96" s="79"/>
      <c r="AD96" s="54">
        <v>45475.0</v>
      </c>
      <c r="AE96" s="77">
        <v>4.9075100015511E13</v>
      </c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65"/>
      <c r="AW96" s="65"/>
      <c r="AX96" s="65"/>
      <c r="AY96" s="65"/>
      <c r="AZ96" s="65"/>
      <c r="BA96" s="65">
        <v>0.0</v>
      </c>
      <c r="BB96" s="65">
        <v>0.0</v>
      </c>
      <c r="BC96" s="65">
        <v>0.0</v>
      </c>
      <c r="BD96" s="65">
        <v>0.0</v>
      </c>
      <c r="BE96" s="65">
        <v>0.0</v>
      </c>
      <c r="BF96" s="65">
        <v>0.0</v>
      </c>
      <c r="BG96" s="65">
        <v>0.0</v>
      </c>
      <c r="BH96" s="65">
        <v>0.0</v>
      </c>
      <c r="BI96" s="65">
        <v>0.0</v>
      </c>
      <c r="BJ96" s="65">
        <v>0.0</v>
      </c>
      <c r="BK96" s="65">
        <v>0.0</v>
      </c>
      <c r="BL96" s="65">
        <v>0.0</v>
      </c>
      <c r="BM96" s="65">
        <v>0.0</v>
      </c>
      <c r="BN96" s="65">
        <v>0.0</v>
      </c>
      <c r="BO96" s="65">
        <v>0.0</v>
      </c>
      <c r="BP96" s="65">
        <v>0.0</v>
      </c>
      <c r="BQ96" s="65">
        <v>0.0</v>
      </c>
      <c r="BR96" s="65">
        <v>0.0</v>
      </c>
      <c r="BS96" s="65">
        <v>0.0</v>
      </c>
      <c r="BT96" s="88">
        <v>0.0</v>
      </c>
      <c r="BU96" s="65">
        <v>0.0</v>
      </c>
      <c r="BV96" s="65">
        <v>0.0</v>
      </c>
      <c r="BW96" s="90">
        <v>0.0</v>
      </c>
      <c r="BX96" s="90">
        <v>0.0</v>
      </c>
      <c r="BY96" s="90" t="str">
        <f t="array" ref="BY96">XLOOKUP(C96,'PL TOTAL D0'!$A$3:$A$1991,'PL TOTAL D0'!$C$3:$C$1991,"")</f>
        <v/>
      </c>
    </row>
    <row r="97" ht="15.75" customHeight="1">
      <c r="A97" s="43" t="s">
        <v>24</v>
      </c>
      <c r="B97" s="43" t="s">
        <v>1933</v>
      </c>
      <c r="C97" s="53" t="s">
        <v>1934</v>
      </c>
      <c r="D97" s="30" t="s">
        <v>142</v>
      </c>
      <c r="E97" s="22" t="s">
        <v>54</v>
      </c>
      <c r="F97" s="27" t="s">
        <v>158</v>
      </c>
      <c r="G97" s="47" t="str">
        <f t="shared" si="5"/>
        <v>David</v>
      </c>
      <c r="H97" s="49" t="s">
        <v>183</v>
      </c>
      <c r="I97" s="49" t="s">
        <v>382</v>
      </c>
      <c r="J97" s="47" t="str">
        <f t="shared" si="9"/>
        <v>Não</v>
      </c>
      <c r="K97" s="54">
        <v>46190.0</v>
      </c>
      <c r="L97" s="62"/>
      <c r="M97" s="32" t="s">
        <v>61</v>
      </c>
      <c r="N97" s="56">
        <v>0.012</v>
      </c>
      <c r="O97" s="23" t="s">
        <v>66</v>
      </c>
      <c r="P97" s="57">
        <v>0.0</v>
      </c>
      <c r="Q97" s="58"/>
      <c r="R97" s="370"/>
      <c r="S97" s="32" t="s">
        <v>194</v>
      </c>
      <c r="T97" s="32" t="s">
        <v>1935</v>
      </c>
      <c r="U97" s="33" t="s">
        <v>1936</v>
      </c>
      <c r="V97" s="33" t="s">
        <v>1937</v>
      </c>
      <c r="W97" s="48">
        <v>25165.0</v>
      </c>
      <c r="X97" s="23" t="s">
        <v>1586</v>
      </c>
      <c r="Y97" s="49" t="str">
        <f t="shared" si="4"/>
        <v>Ativo</v>
      </c>
      <c r="Z97" s="32"/>
      <c r="AA97" s="32" t="s">
        <v>47</v>
      </c>
      <c r="AB97" s="64"/>
      <c r="AC97" s="79"/>
      <c r="AD97" s="54"/>
      <c r="AE97" s="77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88"/>
      <c r="BU97" s="65"/>
      <c r="BV97" s="65"/>
      <c r="BW97" s="90"/>
      <c r="BX97" s="90">
        <v>0.0</v>
      </c>
      <c r="BY97" s="90" t="str">
        <f t="array" ref="BY97">XLOOKUP(C97,'PL TOTAL D0'!$A$3:$A$1991,'PL TOTAL D0'!$C$3:$C$1991,"")</f>
        <v/>
      </c>
    </row>
    <row r="98" ht="15.75" customHeight="1">
      <c r="A98" s="43" t="s">
        <v>24</v>
      </c>
      <c r="B98" s="43" t="s">
        <v>1939</v>
      </c>
      <c r="C98" s="53" t="s">
        <v>1940</v>
      </c>
      <c r="D98" s="30" t="s">
        <v>120</v>
      </c>
      <c r="E98" s="22" t="s">
        <v>199</v>
      </c>
      <c r="F98" s="27" t="s">
        <v>707</v>
      </c>
      <c r="G98" s="47" t="str">
        <f t="shared" si="5"/>
        <v>David</v>
      </c>
      <c r="H98" s="49" t="s">
        <v>183</v>
      </c>
      <c r="I98" s="49" t="s">
        <v>66</v>
      </c>
      <c r="J98" s="47" t="str">
        <f t="shared" si="9"/>
        <v>Sim</v>
      </c>
      <c r="K98" s="54">
        <v>46157.0</v>
      </c>
      <c r="L98" s="62"/>
      <c r="M98" s="32" t="s">
        <v>61</v>
      </c>
      <c r="N98" s="56">
        <v>0.012</v>
      </c>
      <c r="O98" s="23" t="s">
        <v>66</v>
      </c>
      <c r="P98" s="57">
        <v>0.0</v>
      </c>
      <c r="Q98" s="58" t="s">
        <v>1942</v>
      </c>
      <c r="R98" s="370"/>
      <c r="S98" s="32" t="s">
        <v>194</v>
      </c>
      <c r="T98" s="32" t="s">
        <v>1943</v>
      </c>
      <c r="U98" s="33" t="s">
        <v>1944</v>
      </c>
      <c r="V98" s="33" t="s">
        <v>1945</v>
      </c>
      <c r="W98" s="48">
        <v>24058.0</v>
      </c>
      <c r="X98" s="23" t="s">
        <v>199</v>
      </c>
      <c r="Y98" s="49" t="str">
        <f t="shared" si="4"/>
        <v>Ativo</v>
      </c>
      <c r="Z98" s="32"/>
      <c r="AA98" s="32" t="s">
        <v>47</v>
      </c>
      <c r="AB98" s="64"/>
      <c r="AC98" s="79"/>
      <c r="AD98" s="54">
        <v>46203.0</v>
      </c>
      <c r="AE98" s="77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88"/>
      <c r="BU98" s="65"/>
      <c r="BV98" s="65"/>
      <c r="BW98" s="90">
        <v>564693.5</v>
      </c>
      <c r="BX98" s="90">
        <v>628401.32</v>
      </c>
      <c r="BY98" s="90">
        <f t="array" ref="BY98">XLOOKUP(C98,'PL TOTAL D0'!$A$3:$A$1991,'PL TOTAL D0'!$C$3:$C$1991,"")</f>
        <v>628577.51</v>
      </c>
    </row>
    <row r="99" ht="15.75" customHeight="1">
      <c r="A99" s="50" t="s">
        <v>24</v>
      </c>
      <c r="B99" s="50" t="s">
        <v>1946</v>
      </c>
      <c r="C99" s="94" t="s">
        <v>1947</v>
      </c>
      <c r="D99" s="81" t="s">
        <v>120</v>
      </c>
      <c r="E99" s="95" t="s">
        <v>199</v>
      </c>
      <c r="F99" s="81" t="s">
        <v>290</v>
      </c>
      <c r="G99" s="47" t="str">
        <f t="shared" si="5"/>
        <v>Gabriel</v>
      </c>
      <c r="H99" s="74" t="s">
        <v>183</v>
      </c>
      <c r="I99" s="74" t="s">
        <v>66</v>
      </c>
      <c r="J99" s="47" t="str">
        <f t="shared" si="9"/>
        <v>Não</v>
      </c>
      <c r="K99" s="97">
        <v>45202.0</v>
      </c>
      <c r="L99" s="189"/>
      <c r="M99" s="62" t="s">
        <v>61</v>
      </c>
      <c r="N99" s="98">
        <v>0.0</v>
      </c>
      <c r="O99" s="47" t="s">
        <v>66</v>
      </c>
      <c r="P99" s="99">
        <v>0.0</v>
      </c>
      <c r="Q99" s="58"/>
      <c r="R99" s="379"/>
      <c r="S99" s="62" t="s">
        <v>194</v>
      </c>
      <c r="T99" s="32" t="s">
        <v>1949</v>
      </c>
      <c r="U99" s="33">
        <v>5.561981155555E12</v>
      </c>
      <c r="V99" s="33" t="s">
        <v>1950</v>
      </c>
      <c r="W99" s="34">
        <v>23623.0</v>
      </c>
      <c r="X99" s="23" t="s">
        <v>199</v>
      </c>
      <c r="Y99" s="49" t="str">
        <f t="shared" si="4"/>
        <v>Ativo</v>
      </c>
      <c r="Z99" s="62"/>
      <c r="AA99" s="62"/>
      <c r="AB99" s="64" t="s">
        <v>269</v>
      </c>
      <c r="AC99" s="79"/>
      <c r="AD99" s="54">
        <v>45202.0</v>
      </c>
      <c r="AE99" s="77">
        <v>4.9075100011176E13</v>
      </c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65">
        <v>0.0</v>
      </c>
      <c r="AR99" s="65">
        <v>194378.52</v>
      </c>
      <c r="AS99" s="65">
        <v>674378.81</v>
      </c>
      <c r="AT99" s="65">
        <v>681890.11</v>
      </c>
      <c r="AU99" s="65">
        <v>677840.76</v>
      </c>
      <c r="AV99" s="65">
        <v>682786.1</v>
      </c>
      <c r="AW99" s="65">
        <v>688196.81</v>
      </c>
      <c r="AX99" s="65">
        <v>682735.49</v>
      </c>
      <c r="AY99" s="65">
        <v>682566.4</v>
      </c>
      <c r="AZ99" s="65">
        <v>687302.1</v>
      </c>
      <c r="BA99" s="65">
        <v>693824.3</v>
      </c>
      <c r="BB99" s="65">
        <v>700759.12</v>
      </c>
      <c r="BC99" s="65">
        <v>705618.56</v>
      </c>
      <c r="BD99" s="65">
        <v>710881.27</v>
      </c>
      <c r="BE99" s="65">
        <v>717301.09</v>
      </c>
      <c r="BF99" s="65">
        <v>515967.06</v>
      </c>
      <c r="BG99" s="65">
        <v>730483.91</v>
      </c>
      <c r="BH99" s="65">
        <v>735459.94</v>
      </c>
      <c r="BI99" s="65">
        <v>741364.76</v>
      </c>
      <c r="BJ99" s="65">
        <v>750882.36</v>
      </c>
      <c r="BK99" s="65">
        <v>761657.08</v>
      </c>
      <c r="BL99" s="65">
        <v>639144.82</v>
      </c>
      <c r="BM99" s="65">
        <v>646181.58</v>
      </c>
      <c r="BN99" s="65">
        <v>652846.3</v>
      </c>
      <c r="BO99" s="65">
        <v>660292.41</v>
      </c>
      <c r="BP99" s="65">
        <v>669872.3</v>
      </c>
      <c r="BQ99" s="65">
        <v>675299.7</v>
      </c>
      <c r="BR99" s="65">
        <v>682408.8</v>
      </c>
      <c r="BS99" s="65">
        <v>690188.83</v>
      </c>
      <c r="BT99" s="88">
        <v>695157.3</v>
      </c>
      <c r="BU99" s="65">
        <v>697812.2</v>
      </c>
      <c r="BV99" s="65">
        <v>709658.3</v>
      </c>
      <c r="BW99" s="90">
        <v>717331.3</v>
      </c>
      <c r="BX99" s="90">
        <v>725166.4</v>
      </c>
      <c r="BY99" s="90">
        <f t="array" ref="BY99">XLOOKUP(C99,'PL TOTAL D0'!$A$3:$A$1991,'PL TOTAL D0'!$C$3:$C$1991,"")</f>
        <v>734516.7</v>
      </c>
    </row>
    <row r="100" ht="15.75" customHeight="1">
      <c r="A100" s="50" t="s">
        <v>24</v>
      </c>
      <c r="B100" s="43" t="s">
        <v>1951</v>
      </c>
      <c r="C100" s="53" t="s">
        <v>1952</v>
      </c>
      <c r="D100" s="30" t="s">
        <v>142</v>
      </c>
      <c r="E100" s="22" t="s">
        <v>54</v>
      </c>
      <c r="F100" s="30" t="s">
        <v>158</v>
      </c>
      <c r="G100" s="47" t="str">
        <f t="shared" si="5"/>
        <v>David</v>
      </c>
      <c r="H100" s="49" t="s">
        <v>183</v>
      </c>
      <c r="I100" s="49" t="s">
        <v>66</v>
      </c>
      <c r="J100" s="47" t="str">
        <f t="shared" si="9"/>
        <v>Não</v>
      </c>
      <c r="K100" s="54">
        <v>46170.0</v>
      </c>
      <c r="L100" s="189"/>
      <c r="M100" s="32" t="s">
        <v>61</v>
      </c>
      <c r="N100" s="56">
        <v>0.012</v>
      </c>
      <c r="O100" s="23" t="s">
        <v>66</v>
      </c>
      <c r="P100" s="57">
        <v>0.0</v>
      </c>
      <c r="Q100" s="58"/>
      <c r="R100" s="379"/>
      <c r="S100" s="32" t="s">
        <v>194</v>
      </c>
      <c r="T100" s="32" t="s">
        <v>1953</v>
      </c>
      <c r="U100" s="33" t="s">
        <v>1954</v>
      </c>
      <c r="V100" s="33" t="s">
        <v>1955</v>
      </c>
      <c r="W100" s="34">
        <v>27667.0</v>
      </c>
      <c r="X100" s="23" t="s">
        <v>199</v>
      </c>
      <c r="Y100" s="49" t="str">
        <f t="shared" si="4"/>
        <v>Ativo</v>
      </c>
      <c r="Z100" s="62"/>
      <c r="AA100" s="32" t="s">
        <v>47</v>
      </c>
      <c r="AB100" s="64"/>
      <c r="AC100" s="79"/>
      <c r="AD100" s="54">
        <v>46203.0</v>
      </c>
      <c r="AE100" s="77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88"/>
      <c r="BU100" s="65"/>
      <c r="BV100" s="65"/>
      <c r="BW100" s="90">
        <v>0.0</v>
      </c>
      <c r="BX100" s="90">
        <v>100574.66</v>
      </c>
      <c r="BY100" s="90">
        <f t="array" ref="BY100">XLOOKUP(C100,'PL TOTAL D0'!$A$3:$A$1991,'PL TOTAL D0'!$C$3:$C$1991,"")</f>
        <v>132694.62</v>
      </c>
    </row>
    <row r="101" ht="15.75" customHeight="1">
      <c r="A101" s="50" t="s">
        <v>24</v>
      </c>
      <c r="B101" s="43" t="s">
        <v>1960</v>
      </c>
      <c r="C101" s="94" t="s">
        <v>1961</v>
      </c>
      <c r="D101" s="30" t="s">
        <v>120</v>
      </c>
      <c r="E101" s="22" t="s">
        <v>199</v>
      </c>
      <c r="F101" s="81" t="s">
        <v>290</v>
      </c>
      <c r="G101" s="47" t="str">
        <f t="shared" si="5"/>
        <v>David</v>
      </c>
      <c r="H101" s="49" t="s">
        <v>295</v>
      </c>
      <c r="I101" s="49" t="s">
        <v>756</v>
      </c>
      <c r="J101" s="47" t="str">
        <f t="shared" si="9"/>
        <v>Não</v>
      </c>
      <c r="K101" s="54">
        <v>45698.0</v>
      </c>
      <c r="L101" s="189"/>
      <c r="M101" s="32" t="s">
        <v>61</v>
      </c>
      <c r="N101" s="56">
        <v>0.012</v>
      </c>
      <c r="O101" s="23" t="s">
        <v>66</v>
      </c>
      <c r="P101" s="57">
        <v>0.0</v>
      </c>
      <c r="Q101" s="58"/>
      <c r="R101" s="379"/>
      <c r="S101" s="32" t="s">
        <v>194</v>
      </c>
      <c r="T101" s="32" t="s">
        <v>1962</v>
      </c>
      <c r="U101" s="33">
        <v>5.56199819723E11</v>
      </c>
      <c r="V101" s="33" t="s">
        <v>1963</v>
      </c>
      <c r="W101" s="48">
        <v>19279.0</v>
      </c>
      <c r="X101" s="23" t="s">
        <v>199</v>
      </c>
      <c r="Y101" s="49" t="str">
        <f t="shared" si="4"/>
        <v>Ativo</v>
      </c>
      <c r="Z101" s="62"/>
      <c r="AA101" s="32" t="s">
        <v>165</v>
      </c>
      <c r="AB101" s="64"/>
      <c r="AC101" s="79"/>
      <c r="AD101" s="54">
        <v>45698.0</v>
      </c>
      <c r="AE101" s="77">
        <v>4.9075100018243E13</v>
      </c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>
        <v>0.0</v>
      </c>
      <c r="BI101" s="65">
        <v>0.0</v>
      </c>
      <c r="BJ101" s="65">
        <v>0.0</v>
      </c>
      <c r="BK101" s="65">
        <v>0.0</v>
      </c>
      <c r="BL101" s="65">
        <v>0.0</v>
      </c>
      <c r="BM101" s="65">
        <v>0.0</v>
      </c>
      <c r="BN101" s="65">
        <v>0.0</v>
      </c>
      <c r="BO101" s="65">
        <v>0.0</v>
      </c>
      <c r="BP101" s="65">
        <v>0.0</v>
      </c>
      <c r="BQ101" s="65">
        <v>0.0</v>
      </c>
      <c r="BR101" s="65">
        <v>0.0</v>
      </c>
      <c r="BS101" s="65">
        <v>0.0</v>
      </c>
      <c r="BT101" s="88">
        <v>0.0</v>
      </c>
      <c r="BU101" s="65">
        <v>0.0</v>
      </c>
      <c r="BV101" s="65">
        <v>0.0</v>
      </c>
      <c r="BW101" s="90">
        <v>0.0</v>
      </c>
      <c r="BX101" s="90">
        <v>0.0</v>
      </c>
      <c r="BY101" s="90" t="str">
        <f t="array" ref="BY101">XLOOKUP(C101,'PL TOTAL D0'!$A$3:$A$1991,'PL TOTAL D0'!$C$3:$C$1991,"")</f>
        <v/>
      </c>
    </row>
    <row r="102" ht="15.75" customHeight="1">
      <c r="A102" s="50" t="s">
        <v>24</v>
      </c>
      <c r="B102" s="43" t="s">
        <v>1965</v>
      </c>
      <c r="C102" s="94" t="s">
        <v>1966</v>
      </c>
      <c r="D102" s="30" t="s">
        <v>120</v>
      </c>
      <c r="E102" s="22" t="s">
        <v>54</v>
      </c>
      <c r="F102" s="30" t="s">
        <v>125</v>
      </c>
      <c r="G102" s="47" t="str">
        <f t="shared" si="5"/>
        <v>David</v>
      </c>
      <c r="H102" s="49" t="s">
        <v>183</v>
      </c>
      <c r="I102" s="49" t="s">
        <v>66</v>
      </c>
      <c r="J102" s="47" t="str">
        <f t="shared" si="9"/>
        <v>Não</v>
      </c>
      <c r="K102" s="54">
        <v>45576.0</v>
      </c>
      <c r="L102" s="189"/>
      <c r="M102" s="32" t="s">
        <v>61</v>
      </c>
      <c r="N102" s="56">
        <v>0.012</v>
      </c>
      <c r="O102" s="23" t="s">
        <v>66</v>
      </c>
      <c r="P102" s="57">
        <v>0.0</v>
      </c>
      <c r="Q102" s="58"/>
      <c r="R102" s="379"/>
      <c r="S102" s="32" t="s">
        <v>194</v>
      </c>
      <c r="T102" s="32" t="s">
        <v>1967</v>
      </c>
      <c r="U102" s="33">
        <v>5.562999806549E12</v>
      </c>
      <c r="V102" s="33" t="s">
        <v>1968</v>
      </c>
      <c r="W102" s="48">
        <v>26658.0</v>
      </c>
      <c r="X102" s="23" t="s">
        <v>54</v>
      </c>
      <c r="Y102" s="49" t="str">
        <f t="shared" si="4"/>
        <v>Ativo</v>
      </c>
      <c r="Z102" s="62"/>
      <c r="AA102" s="32" t="s">
        <v>47</v>
      </c>
      <c r="AB102" s="64"/>
      <c r="AC102" s="79"/>
      <c r="AD102" s="54">
        <v>45576.0</v>
      </c>
      <c r="AE102" s="77">
        <v>4.9075100015971E13</v>
      </c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>
        <v>40191.16</v>
      </c>
      <c r="BE102" s="65">
        <v>40530.41</v>
      </c>
      <c r="BF102" s="65">
        <v>40894.79</v>
      </c>
      <c r="BG102" s="65">
        <v>41318.51</v>
      </c>
      <c r="BH102" s="65">
        <v>41656.71</v>
      </c>
      <c r="BI102" s="65">
        <v>42191.95</v>
      </c>
      <c r="BJ102" s="65">
        <v>42562.73</v>
      </c>
      <c r="BK102" s="65">
        <v>42978.21</v>
      </c>
      <c r="BL102" s="65">
        <v>43291.66</v>
      </c>
      <c r="BM102" s="65">
        <v>43744.89</v>
      </c>
      <c r="BN102" s="65">
        <v>44160.52</v>
      </c>
      <c r="BO102" s="65">
        <v>44273.16</v>
      </c>
      <c r="BP102" s="65">
        <v>44263.36</v>
      </c>
      <c r="BQ102" s="65">
        <v>44643.62</v>
      </c>
      <c r="BR102" s="65">
        <v>45063.13</v>
      </c>
      <c r="BS102" s="65">
        <v>45588.21</v>
      </c>
      <c r="BT102" s="88">
        <v>45954.52</v>
      </c>
      <c r="BU102" s="65">
        <v>46520.76</v>
      </c>
      <c r="BV102" s="65">
        <v>47066.96</v>
      </c>
      <c r="BW102" s="90">
        <v>47301.58</v>
      </c>
      <c r="BX102" s="90">
        <v>47824.0</v>
      </c>
      <c r="BY102" s="90">
        <f t="array" ref="BY102">XLOOKUP(C102,'PL TOTAL D0'!$A$3:$A$1991,'PL TOTAL D0'!$C$3:$C$1991,"")</f>
        <v>48351.73</v>
      </c>
    </row>
    <row r="103" ht="15.75" customHeight="1">
      <c r="A103" s="50" t="s">
        <v>24</v>
      </c>
      <c r="B103" s="43" t="s">
        <v>1970</v>
      </c>
      <c r="C103" s="53" t="s">
        <v>1971</v>
      </c>
      <c r="D103" s="30" t="s">
        <v>89</v>
      </c>
      <c r="E103" s="22" t="s">
        <v>91</v>
      </c>
      <c r="F103" s="30" t="s">
        <v>521</v>
      </c>
      <c r="G103" s="47" t="str">
        <f t="shared" si="5"/>
        <v>David</v>
      </c>
      <c r="H103" s="49" t="s">
        <v>183</v>
      </c>
      <c r="I103" s="49" t="s">
        <v>66</v>
      </c>
      <c r="J103" s="47" t="str">
        <f t="shared" si="9"/>
        <v>Não</v>
      </c>
      <c r="K103" s="54">
        <v>46146.0</v>
      </c>
      <c r="L103" s="189"/>
      <c r="M103" s="32" t="s">
        <v>34</v>
      </c>
      <c r="N103" s="56">
        <v>0.012</v>
      </c>
      <c r="O103" s="23" t="s">
        <v>35</v>
      </c>
      <c r="P103" s="57">
        <v>0.1</v>
      </c>
      <c r="Q103" s="58"/>
      <c r="R103" s="379"/>
      <c r="S103" s="32" t="s">
        <v>194</v>
      </c>
      <c r="T103" s="32" t="s">
        <v>1972</v>
      </c>
      <c r="U103" s="33" t="s">
        <v>1973</v>
      </c>
      <c r="V103" s="33" t="s">
        <v>1974</v>
      </c>
      <c r="W103" s="48">
        <v>23418.0</v>
      </c>
      <c r="X103" s="23" t="s">
        <v>221</v>
      </c>
      <c r="Y103" s="49" t="str">
        <f t="shared" si="4"/>
        <v>Ativo</v>
      </c>
      <c r="Z103" s="62"/>
      <c r="AA103" s="32" t="s">
        <v>165</v>
      </c>
      <c r="AB103" s="64"/>
      <c r="AC103" s="79"/>
      <c r="AD103" s="54"/>
      <c r="AE103" s="77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88"/>
      <c r="BU103" s="65"/>
      <c r="BV103" s="65">
        <v>0.0</v>
      </c>
      <c r="BW103" s="90">
        <v>0.0</v>
      </c>
      <c r="BX103" s="90">
        <v>0.0</v>
      </c>
      <c r="BY103" s="90" t="str">
        <f t="array" ref="BY103">XLOOKUP(C103,'PL TOTAL D0'!$A$3:$A$1991,'PL TOTAL D0'!$C$3:$C$1991,"")</f>
        <v/>
      </c>
    </row>
    <row r="104" ht="15.75" customHeight="1">
      <c r="A104" s="50" t="s">
        <v>24</v>
      </c>
      <c r="B104" s="50" t="s">
        <v>1975</v>
      </c>
      <c r="C104" s="94" t="s">
        <v>1976</v>
      </c>
      <c r="D104" s="81" t="s">
        <v>120</v>
      </c>
      <c r="E104" s="95" t="s">
        <v>199</v>
      </c>
      <c r="F104" s="30" t="s">
        <v>332</v>
      </c>
      <c r="G104" s="47" t="str">
        <f t="shared" si="5"/>
        <v>David</v>
      </c>
      <c r="H104" s="49" t="s">
        <v>295</v>
      </c>
      <c r="I104" s="49" t="s">
        <v>382</v>
      </c>
      <c r="J104" s="47" t="str">
        <f t="shared" si="9"/>
        <v>Não</v>
      </c>
      <c r="K104" s="97">
        <v>44973.0</v>
      </c>
      <c r="L104" s="62"/>
      <c r="M104" s="62" t="s">
        <v>61</v>
      </c>
      <c r="N104" s="98">
        <v>0.012</v>
      </c>
      <c r="O104" s="47" t="s">
        <v>66</v>
      </c>
      <c r="P104" s="99">
        <v>0.0</v>
      </c>
      <c r="Q104" s="58"/>
      <c r="R104" s="70"/>
      <c r="S104" s="62" t="s">
        <v>194</v>
      </c>
      <c r="T104" s="32" t="s">
        <v>1977</v>
      </c>
      <c r="U104" s="33">
        <v>6.1991160166E10</v>
      </c>
      <c r="V104" s="33" t="s">
        <v>1978</v>
      </c>
      <c r="W104" s="34">
        <v>23320.0</v>
      </c>
      <c r="X104" s="23" t="s">
        <v>199</v>
      </c>
      <c r="Y104" s="49" t="str">
        <f t="shared" si="4"/>
        <v>Ativo</v>
      </c>
      <c r="Z104" s="62"/>
      <c r="AA104" s="62"/>
      <c r="AB104" s="64" t="s">
        <v>269</v>
      </c>
      <c r="AC104" s="79"/>
      <c r="AD104" s="54">
        <v>44973.0</v>
      </c>
      <c r="AE104" s="77">
        <v>4.9075100009211E13</v>
      </c>
      <c r="AF104" s="79"/>
      <c r="AG104" s="79"/>
      <c r="AH104" s="79"/>
      <c r="AI104" s="65">
        <v>0.0</v>
      </c>
      <c r="AJ104" s="65">
        <v>205400.96</v>
      </c>
      <c r="AK104" s="65">
        <v>207992.18</v>
      </c>
      <c r="AL104" s="65">
        <v>191564.02</v>
      </c>
      <c r="AM104" s="65">
        <v>178117.61</v>
      </c>
      <c r="AN104" s="65">
        <v>179706.97</v>
      </c>
      <c r="AO104" s="65">
        <v>161227.33</v>
      </c>
      <c r="AP104" s="65">
        <v>139805.06</v>
      </c>
      <c r="AQ104" s="65">
        <v>114175.85</v>
      </c>
      <c r="AR104" s="65">
        <v>114006.86</v>
      </c>
      <c r="AS104" s="65">
        <v>97661.65</v>
      </c>
      <c r="AT104" s="65">
        <v>98971.16</v>
      </c>
      <c r="AU104" s="65">
        <v>84112.58</v>
      </c>
      <c r="AV104" s="65">
        <v>69883.43</v>
      </c>
      <c r="AW104" s="65">
        <v>0.0</v>
      </c>
      <c r="AX104" s="65">
        <v>26.37</v>
      </c>
      <c r="AY104" s="65">
        <v>26.37</v>
      </c>
      <c r="AZ104" s="65">
        <v>28.73</v>
      </c>
      <c r="BA104" s="65">
        <v>28.73</v>
      </c>
      <c r="BB104" s="65">
        <v>28.73</v>
      </c>
      <c r="BC104" s="65">
        <v>28.73</v>
      </c>
      <c r="BD104" s="65">
        <v>28.73</v>
      </c>
      <c r="BE104" s="65">
        <v>28.73</v>
      </c>
      <c r="BF104" s="65">
        <v>28.73</v>
      </c>
      <c r="BG104" s="65">
        <v>28.73</v>
      </c>
      <c r="BH104" s="65">
        <v>28.73</v>
      </c>
      <c r="BI104" s="65">
        <v>28.73</v>
      </c>
      <c r="BJ104" s="65">
        <v>0.0</v>
      </c>
      <c r="BK104" s="65">
        <v>0.0</v>
      </c>
      <c r="BL104" s="65">
        <v>0.0</v>
      </c>
      <c r="BM104" s="65">
        <v>0.0</v>
      </c>
      <c r="BN104" s="65">
        <v>0.0</v>
      </c>
      <c r="BO104" s="65">
        <v>0.0</v>
      </c>
      <c r="BP104" s="65">
        <v>0.0</v>
      </c>
      <c r="BQ104" s="65">
        <v>0.0</v>
      </c>
      <c r="BR104" s="65">
        <v>0.0</v>
      </c>
      <c r="BS104" s="65">
        <v>0.0</v>
      </c>
      <c r="BT104" s="88">
        <v>0.0</v>
      </c>
      <c r="BU104" s="65">
        <v>0.0</v>
      </c>
      <c r="BV104" s="65">
        <v>0.0</v>
      </c>
      <c r="BW104" s="90">
        <v>0.0</v>
      </c>
      <c r="BX104" s="90">
        <v>0.0</v>
      </c>
      <c r="BY104" s="90" t="str">
        <f t="array" ref="BY104">XLOOKUP(C104,'PL TOTAL D0'!$A$3:$A$1991,'PL TOTAL D0'!$C$3:$C$1991,"")</f>
        <v/>
      </c>
    </row>
    <row r="105" ht="15.75" customHeight="1">
      <c r="A105" s="50" t="s">
        <v>24</v>
      </c>
      <c r="B105" s="50" t="s">
        <v>1981</v>
      </c>
      <c r="C105" s="94" t="s">
        <v>1982</v>
      </c>
      <c r="D105" s="81" t="s">
        <v>120</v>
      </c>
      <c r="E105" s="95" t="s">
        <v>54</v>
      </c>
      <c r="F105" s="81" t="s">
        <v>1393</v>
      </c>
      <c r="G105" s="47" t="str">
        <f t="shared" si="5"/>
        <v>David</v>
      </c>
      <c r="H105" s="49" t="s">
        <v>295</v>
      </c>
      <c r="I105" s="49" t="s">
        <v>382</v>
      </c>
      <c r="J105" s="47" t="str">
        <f t="shared" si="9"/>
        <v>Não</v>
      </c>
      <c r="K105" s="97">
        <v>44949.0</v>
      </c>
      <c r="L105" s="62"/>
      <c r="M105" s="62" t="s">
        <v>61</v>
      </c>
      <c r="N105" s="98">
        <v>0.012</v>
      </c>
      <c r="O105" s="47" t="s">
        <v>66</v>
      </c>
      <c r="P105" s="99">
        <v>0.0</v>
      </c>
      <c r="Q105" s="58"/>
      <c r="R105" s="70"/>
      <c r="S105" s="62" t="s">
        <v>194</v>
      </c>
      <c r="T105" s="32" t="s">
        <v>1984</v>
      </c>
      <c r="U105" s="33">
        <v>6.2981687801E10</v>
      </c>
      <c r="V105" s="33" t="s">
        <v>1985</v>
      </c>
      <c r="W105" s="48">
        <v>25915.0</v>
      </c>
      <c r="X105" s="23" t="s">
        <v>54</v>
      </c>
      <c r="Y105" s="49" t="str">
        <f t="shared" si="4"/>
        <v>Ativo</v>
      </c>
      <c r="Z105" s="62"/>
      <c r="AA105" s="62"/>
      <c r="AB105" s="64" t="s">
        <v>244</v>
      </c>
      <c r="AC105" s="79"/>
      <c r="AD105" s="54">
        <v>44949.0</v>
      </c>
      <c r="AE105" s="77">
        <v>4.9075100005461E13</v>
      </c>
      <c r="AF105" s="79"/>
      <c r="AG105" s="79"/>
      <c r="AH105" s="79"/>
      <c r="AI105" s="65">
        <v>488327.59</v>
      </c>
      <c r="AJ105" s="65">
        <v>497674.32</v>
      </c>
      <c r="AK105" s="65">
        <v>487428.52</v>
      </c>
      <c r="AL105" s="65">
        <v>490845.49</v>
      </c>
      <c r="AM105" s="65">
        <v>414552.97</v>
      </c>
      <c r="AN105" s="65">
        <v>417043.39</v>
      </c>
      <c r="AO105" s="65">
        <v>419792.77</v>
      </c>
      <c r="AP105" s="65">
        <v>391724.01</v>
      </c>
      <c r="AQ105" s="65">
        <v>394426.75</v>
      </c>
      <c r="AR105" s="65">
        <v>384393.43</v>
      </c>
      <c r="AS105" s="65">
        <v>880468.69</v>
      </c>
      <c r="AT105" s="65">
        <v>481718.89</v>
      </c>
      <c r="AU105" s="65">
        <v>56915.16</v>
      </c>
      <c r="AV105" s="65">
        <v>50642.57</v>
      </c>
      <c r="AW105" s="65">
        <v>51013.45</v>
      </c>
      <c r="AX105" s="65">
        <v>85.13</v>
      </c>
      <c r="AY105" s="65">
        <v>72.95</v>
      </c>
      <c r="AZ105" s="65">
        <v>80306.81</v>
      </c>
      <c r="BA105" s="65">
        <v>0.0</v>
      </c>
      <c r="BB105" s="65">
        <v>31.25</v>
      </c>
      <c r="BC105" s="65">
        <v>31.25</v>
      </c>
      <c r="BD105" s="65">
        <v>31.25</v>
      </c>
      <c r="BE105" s="65">
        <v>31.25</v>
      </c>
      <c r="BF105" s="65">
        <v>804352.15</v>
      </c>
      <c r="BG105" s="65">
        <v>813509.14</v>
      </c>
      <c r="BH105" s="65">
        <v>821494.59</v>
      </c>
      <c r="BI105" s="65">
        <v>829124.96</v>
      </c>
      <c r="BJ105" s="65">
        <v>52920.94</v>
      </c>
      <c r="BK105" s="65">
        <v>53233.91</v>
      </c>
      <c r="BL105" s="65">
        <v>53759.4</v>
      </c>
      <c r="BM105" s="65">
        <v>54390.81</v>
      </c>
      <c r="BN105" s="65">
        <v>54958.32</v>
      </c>
      <c r="BO105" s="65">
        <v>55538.39</v>
      </c>
      <c r="BP105" s="65">
        <v>56065.3</v>
      </c>
      <c r="BQ105" s="65">
        <v>56162.68</v>
      </c>
      <c r="BR105" s="65">
        <v>56816.16</v>
      </c>
      <c r="BS105" s="65">
        <v>57439.78</v>
      </c>
      <c r="BT105" s="88">
        <v>2.29</v>
      </c>
      <c r="BU105" s="65">
        <v>0.55</v>
      </c>
      <c r="BV105" s="65">
        <v>0.55</v>
      </c>
      <c r="BW105" s="90">
        <v>0.55</v>
      </c>
      <c r="BX105" s="90">
        <v>0.55</v>
      </c>
      <c r="BY105" s="90" t="str">
        <f t="array" ref="BY105">XLOOKUP(C105,'PL TOTAL D0'!$A$3:$A$1991,'PL TOTAL D0'!$C$3:$C$1991,"")</f>
        <v/>
      </c>
    </row>
    <row r="106" ht="15.75" customHeight="1">
      <c r="A106" s="50" t="s">
        <v>24</v>
      </c>
      <c r="B106" s="50" t="s">
        <v>1987</v>
      </c>
      <c r="C106" s="94" t="s">
        <v>1988</v>
      </c>
      <c r="D106" s="81" t="s">
        <v>120</v>
      </c>
      <c r="E106" s="95" t="s">
        <v>54</v>
      </c>
      <c r="F106" s="81" t="s">
        <v>348</v>
      </c>
      <c r="G106" s="47" t="str">
        <f t="shared" si="5"/>
        <v>David</v>
      </c>
      <c r="H106" s="74" t="s">
        <v>224</v>
      </c>
      <c r="I106" s="74" t="s">
        <v>66</v>
      </c>
      <c r="J106" s="47" t="str">
        <f t="shared" si="9"/>
        <v>Não</v>
      </c>
      <c r="K106" s="97">
        <v>44988.0</v>
      </c>
      <c r="L106" s="194">
        <v>45174.0</v>
      </c>
      <c r="M106" s="62" t="s">
        <v>61</v>
      </c>
      <c r="N106" s="98">
        <v>0.002</v>
      </c>
      <c r="O106" s="47" t="s">
        <v>66</v>
      </c>
      <c r="P106" s="99">
        <v>0.0</v>
      </c>
      <c r="Q106" s="58"/>
      <c r="R106" s="386" t="s">
        <v>1991</v>
      </c>
      <c r="S106" s="62" t="s">
        <v>194</v>
      </c>
      <c r="T106" s="32" t="s">
        <v>1992</v>
      </c>
      <c r="U106" s="33" t="s">
        <v>268</v>
      </c>
      <c r="V106" s="33"/>
      <c r="W106" s="33" t="s">
        <v>268</v>
      </c>
      <c r="X106" s="23" t="s">
        <v>54</v>
      </c>
      <c r="Y106" s="49" t="str">
        <f t="shared" si="4"/>
        <v>Encerrado</v>
      </c>
      <c r="Z106" s="62"/>
      <c r="AA106" s="62"/>
      <c r="AB106" s="64"/>
      <c r="AC106" s="79"/>
      <c r="AD106" s="54">
        <v>44988.0</v>
      </c>
      <c r="AE106" s="77"/>
      <c r="AF106" s="79"/>
      <c r="AG106" s="79"/>
      <c r="AH106" s="79"/>
      <c r="AI106" s="65">
        <v>0.0</v>
      </c>
      <c r="AJ106" s="65">
        <v>0.0</v>
      </c>
      <c r="AK106" s="65">
        <v>100841.03</v>
      </c>
      <c r="AL106" s="65">
        <v>101642.93</v>
      </c>
      <c r="AM106" s="65">
        <v>102937.17</v>
      </c>
      <c r="AN106" s="65">
        <v>104060.87</v>
      </c>
      <c r="AO106" s="65">
        <v>105138.59</v>
      </c>
      <c r="AP106" s="65">
        <v>0.0</v>
      </c>
      <c r="AQ106" s="65">
        <v>0.0</v>
      </c>
      <c r="AR106" s="65">
        <v>0.0</v>
      </c>
      <c r="AS106" s="65">
        <v>0.0</v>
      </c>
      <c r="AT106" s="65">
        <v>0.0</v>
      </c>
      <c r="AU106" s="65">
        <v>0.0</v>
      </c>
      <c r="AV106" s="65">
        <v>0.0</v>
      </c>
      <c r="AW106" s="65">
        <v>0.0</v>
      </c>
      <c r="AX106" s="65">
        <v>0.0</v>
      </c>
      <c r="AY106" s="65">
        <v>0.0</v>
      </c>
      <c r="AZ106" s="65">
        <v>0.0</v>
      </c>
      <c r="BA106" s="65">
        <v>0.0</v>
      </c>
      <c r="BB106" s="65">
        <v>0.0</v>
      </c>
      <c r="BC106" s="65">
        <v>0.0</v>
      </c>
      <c r="BD106" s="65">
        <v>0.0</v>
      </c>
      <c r="BE106" s="65">
        <v>0.0</v>
      </c>
      <c r="BF106" s="65">
        <v>0.0</v>
      </c>
      <c r="BG106" s="65">
        <v>0.0</v>
      </c>
      <c r="BH106" s="65">
        <v>0.0</v>
      </c>
      <c r="BI106" s="65">
        <v>0.0</v>
      </c>
      <c r="BJ106" s="65">
        <v>0.0</v>
      </c>
      <c r="BK106" s="65">
        <v>0.0</v>
      </c>
      <c r="BL106" s="65">
        <v>0.0</v>
      </c>
      <c r="BM106" s="65">
        <v>0.0</v>
      </c>
      <c r="BN106" s="65">
        <v>0.0</v>
      </c>
      <c r="BO106" s="65">
        <v>0.0</v>
      </c>
      <c r="BP106" s="65">
        <v>0.0</v>
      </c>
      <c r="BQ106" s="65">
        <v>0.0</v>
      </c>
      <c r="BR106" s="65">
        <v>0.0</v>
      </c>
      <c r="BS106" s="65">
        <v>0.0</v>
      </c>
      <c r="BT106" s="88">
        <v>0.0</v>
      </c>
      <c r="BU106" s="65">
        <v>0.0</v>
      </c>
      <c r="BV106" s="65">
        <v>0.0</v>
      </c>
      <c r="BW106" s="90">
        <v>0.0</v>
      </c>
      <c r="BX106" s="90">
        <v>0.0</v>
      </c>
      <c r="BY106" s="90" t="str">
        <f t="array" ref="BY106">XLOOKUP(C106,'PL TOTAL D0'!$A$3:$A$1991,'PL TOTAL D0'!$C$3:$C$1991,"")</f>
        <v/>
      </c>
    </row>
    <row r="107" ht="15.75" customHeight="1">
      <c r="A107" s="50" t="s">
        <v>24</v>
      </c>
      <c r="B107" s="50" t="s">
        <v>1994</v>
      </c>
      <c r="C107" s="94" t="s">
        <v>1995</v>
      </c>
      <c r="D107" s="81" t="s">
        <v>120</v>
      </c>
      <c r="E107" s="95" t="s">
        <v>54</v>
      </c>
      <c r="F107" s="30" t="s">
        <v>125</v>
      </c>
      <c r="G107" s="47" t="str">
        <f t="shared" si="5"/>
        <v>David</v>
      </c>
      <c r="H107" s="49" t="s">
        <v>295</v>
      </c>
      <c r="I107" s="49" t="s">
        <v>382</v>
      </c>
      <c r="J107" s="47" t="str">
        <f t="shared" si="9"/>
        <v>Não</v>
      </c>
      <c r="K107" s="97">
        <v>44973.0</v>
      </c>
      <c r="L107" s="62"/>
      <c r="M107" s="32" t="s">
        <v>61</v>
      </c>
      <c r="N107" s="56">
        <v>0.012</v>
      </c>
      <c r="O107" s="23" t="s">
        <v>66</v>
      </c>
      <c r="P107" s="57">
        <v>0.0</v>
      </c>
      <c r="Q107" s="58"/>
      <c r="R107" s="58" t="s">
        <v>1996</v>
      </c>
      <c r="S107" s="62" t="s">
        <v>194</v>
      </c>
      <c r="T107" s="32" t="s">
        <v>1997</v>
      </c>
      <c r="U107" s="33">
        <v>6.2999146307E10</v>
      </c>
      <c r="V107" s="33" t="s">
        <v>1998</v>
      </c>
      <c r="W107" s="34">
        <v>31101.0</v>
      </c>
      <c r="X107" s="23" t="s">
        <v>54</v>
      </c>
      <c r="Y107" s="49" t="str">
        <f t="shared" si="4"/>
        <v>Ativo</v>
      </c>
      <c r="Z107" s="62"/>
      <c r="AA107" s="32" t="s">
        <v>47</v>
      </c>
      <c r="AB107" s="64" t="s">
        <v>269</v>
      </c>
      <c r="AC107" s="79"/>
      <c r="AD107" s="54">
        <v>44973.0</v>
      </c>
      <c r="AE107" s="77">
        <v>4.9075100005478E13</v>
      </c>
      <c r="AF107" s="79"/>
      <c r="AG107" s="79"/>
      <c r="AH107" s="79"/>
      <c r="AI107" s="79"/>
      <c r="AJ107" s="65">
        <v>378063.59</v>
      </c>
      <c r="AK107" s="65">
        <v>412014.46</v>
      </c>
      <c r="AL107" s="65">
        <v>415110.81</v>
      </c>
      <c r="AM107" s="65">
        <v>627525.17</v>
      </c>
      <c r="AN107" s="65">
        <v>640821.67</v>
      </c>
      <c r="AO107" s="65">
        <v>648299.81</v>
      </c>
      <c r="AP107" s="65">
        <v>645446.74</v>
      </c>
      <c r="AQ107" s="65">
        <v>647232.4</v>
      </c>
      <c r="AR107" s="65">
        <v>648936.31</v>
      </c>
      <c r="AS107" s="65">
        <v>658994.24</v>
      </c>
      <c r="AT107" s="65">
        <v>668204.47</v>
      </c>
      <c r="AU107" s="65">
        <v>670288.78</v>
      </c>
      <c r="AV107" s="65">
        <v>673873.7</v>
      </c>
      <c r="AW107" s="65">
        <v>680459.13</v>
      </c>
      <c r="AX107" s="65">
        <v>670476.35</v>
      </c>
      <c r="AY107" s="65">
        <v>671584.1</v>
      </c>
      <c r="AZ107" s="65">
        <v>573746.1</v>
      </c>
      <c r="BA107" s="65">
        <v>482425.7</v>
      </c>
      <c r="BB107" s="65">
        <v>497468.63</v>
      </c>
      <c r="BC107" s="65">
        <v>498449.51</v>
      </c>
      <c r="BD107" s="65">
        <v>497035.16</v>
      </c>
      <c r="BE107" s="65">
        <v>498896.06</v>
      </c>
      <c r="BF107" s="65">
        <v>502035.86</v>
      </c>
      <c r="BG107" s="65">
        <v>509172.31</v>
      </c>
      <c r="BH107" s="65">
        <v>512754.82</v>
      </c>
      <c r="BI107" s="65">
        <v>514150.48</v>
      </c>
      <c r="BJ107" s="65">
        <v>518819.58</v>
      </c>
      <c r="BK107" s="65">
        <v>302862.56</v>
      </c>
      <c r="BL107" s="65">
        <v>305885.89</v>
      </c>
      <c r="BM107" s="65">
        <v>267292.62</v>
      </c>
      <c r="BN107" s="65">
        <v>269999.4</v>
      </c>
      <c r="BO107" s="65">
        <v>272884.06</v>
      </c>
      <c r="BP107" s="65">
        <v>234713.3</v>
      </c>
      <c r="BQ107" s="65">
        <v>236600.4</v>
      </c>
      <c r="BR107" s="65">
        <v>238932.1</v>
      </c>
      <c r="BS107" s="65">
        <v>0.0</v>
      </c>
      <c r="BT107" s="88">
        <v>0.27</v>
      </c>
      <c r="BU107" s="65">
        <v>0.27</v>
      </c>
      <c r="BV107" s="65">
        <v>0.27</v>
      </c>
      <c r="BW107" s="90">
        <v>0.27</v>
      </c>
      <c r="BX107" s="90">
        <v>0.0</v>
      </c>
      <c r="BY107" s="90" t="str">
        <f t="array" ref="BY107">XLOOKUP(C107,'PL TOTAL D0'!$A$3:$A$1991,'PL TOTAL D0'!$C$3:$C$1991,"")</f>
        <v/>
      </c>
    </row>
    <row r="108" ht="15.75" customHeight="1">
      <c r="A108" s="50" t="s">
        <v>24</v>
      </c>
      <c r="B108" s="43" t="s">
        <v>2001</v>
      </c>
      <c r="C108" s="94" t="s">
        <v>2002</v>
      </c>
      <c r="D108" s="30" t="s">
        <v>120</v>
      </c>
      <c r="E108" s="22" t="s">
        <v>54</v>
      </c>
      <c r="F108" s="30" t="s">
        <v>125</v>
      </c>
      <c r="G108" s="47" t="str">
        <f t="shared" si="5"/>
        <v>David</v>
      </c>
      <c r="H108" s="49" t="s">
        <v>295</v>
      </c>
      <c r="I108" s="49" t="s">
        <v>447</v>
      </c>
      <c r="J108" s="47" t="str">
        <f t="shared" si="9"/>
        <v>Não</v>
      </c>
      <c r="K108" s="54">
        <v>45845.0</v>
      </c>
      <c r="L108" s="62"/>
      <c r="M108" s="32" t="s">
        <v>201</v>
      </c>
      <c r="N108" s="56">
        <v>0.0</v>
      </c>
      <c r="O108" s="23" t="s">
        <v>66</v>
      </c>
      <c r="P108" s="57">
        <v>0.0</v>
      </c>
      <c r="Q108" s="58"/>
      <c r="R108" s="58"/>
      <c r="S108" s="62" t="s">
        <v>194</v>
      </c>
      <c r="T108" s="32" t="s">
        <v>1997</v>
      </c>
      <c r="U108" s="33">
        <v>6.2999146307E10</v>
      </c>
      <c r="V108" s="33" t="s">
        <v>1998</v>
      </c>
      <c r="W108" s="34">
        <v>31101.0</v>
      </c>
      <c r="X108" s="23" t="s">
        <v>54</v>
      </c>
      <c r="Y108" s="49" t="str">
        <f t="shared" si="4"/>
        <v>Ativo</v>
      </c>
      <c r="Z108" s="62"/>
      <c r="AA108" s="32" t="s">
        <v>47</v>
      </c>
      <c r="AB108" s="64"/>
      <c r="AC108" s="79"/>
      <c r="AD108" s="54">
        <v>45847.0</v>
      </c>
      <c r="AE108" s="77">
        <v>4.9075100019185E13</v>
      </c>
      <c r="AF108" s="79"/>
      <c r="AG108" s="79"/>
      <c r="AH108" s="79"/>
      <c r="AI108" s="79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>
        <v>42490.97</v>
      </c>
      <c r="BN108" s="65">
        <v>43850.45</v>
      </c>
      <c r="BO108" s="65">
        <v>46102.24</v>
      </c>
      <c r="BP108" s="65">
        <v>48113.6</v>
      </c>
      <c r="BQ108" s="65">
        <v>48534.2</v>
      </c>
      <c r="BR108" s="65">
        <v>48836.54</v>
      </c>
      <c r="BS108" s="65">
        <v>49126.5</v>
      </c>
      <c r="BT108" s="88">
        <v>28430.99</v>
      </c>
      <c r="BU108" s="65">
        <v>26066.35</v>
      </c>
      <c r="BV108" s="65">
        <v>29349.96</v>
      </c>
      <c r="BW108" s="90">
        <v>31124.37</v>
      </c>
      <c r="BX108" s="90">
        <v>30068.05</v>
      </c>
      <c r="BY108" s="90">
        <f t="array" ref="BY108">XLOOKUP(C108,'PL TOTAL D0'!$A$3:$A$1991,'PL TOTAL D0'!$C$3:$C$1991,"")</f>
        <v>30812.13</v>
      </c>
    </row>
    <row r="109" ht="15.75" customHeight="1">
      <c r="A109" s="50" t="s">
        <v>24</v>
      </c>
      <c r="B109" s="50" t="s">
        <v>2004</v>
      </c>
      <c r="C109" s="94" t="s">
        <v>2005</v>
      </c>
      <c r="D109" s="81" t="s">
        <v>120</v>
      </c>
      <c r="E109" s="95" t="s">
        <v>54</v>
      </c>
      <c r="F109" s="81" t="s">
        <v>125</v>
      </c>
      <c r="G109" s="47" t="str">
        <f t="shared" si="5"/>
        <v>David</v>
      </c>
      <c r="H109" s="49" t="s">
        <v>224</v>
      </c>
      <c r="I109" s="49" t="s">
        <v>66</v>
      </c>
      <c r="J109" s="47" t="str">
        <f t="shared" si="9"/>
        <v>Não</v>
      </c>
      <c r="K109" s="97">
        <v>45086.0</v>
      </c>
      <c r="L109" s="55">
        <v>45817.0</v>
      </c>
      <c r="M109" s="62" t="s">
        <v>61</v>
      </c>
      <c r="N109" s="98">
        <v>0.012</v>
      </c>
      <c r="O109" s="47" t="s">
        <v>66</v>
      </c>
      <c r="P109" s="99">
        <v>0.0</v>
      </c>
      <c r="Q109" s="58"/>
      <c r="R109" s="70"/>
      <c r="S109" s="62" t="s">
        <v>194</v>
      </c>
      <c r="T109" s="32" t="s">
        <v>2008</v>
      </c>
      <c r="U109" s="33" t="s">
        <v>268</v>
      </c>
      <c r="V109" s="33"/>
      <c r="W109" s="33" t="s">
        <v>268</v>
      </c>
      <c r="X109" s="23" t="s">
        <v>199</v>
      </c>
      <c r="Y109" s="49" t="str">
        <f t="shared" si="4"/>
        <v>Encerrado</v>
      </c>
      <c r="Z109" s="62"/>
      <c r="AA109" s="62"/>
      <c r="AB109" s="64" t="s">
        <v>269</v>
      </c>
      <c r="AC109" s="79"/>
      <c r="AD109" s="54">
        <v>45086.0</v>
      </c>
      <c r="AE109" s="77">
        <v>4.907510000828E13</v>
      </c>
      <c r="AF109" s="79"/>
      <c r="AG109" s="79"/>
      <c r="AH109" s="79"/>
      <c r="AI109" s="79"/>
      <c r="AJ109" s="79"/>
      <c r="AK109" s="79"/>
      <c r="AL109" s="79"/>
      <c r="AM109" s="79"/>
      <c r="AN109" s="65">
        <v>100410.67</v>
      </c>
      <c r="AO109" s="65">
        <v>101431.94</v>
      </c>
      <c r="AP109" s="65">
        <v>102078.59</v>
      </c>
      <c r="AQ109" s="65">
        <v>97069.76</v>
      </c>
      <c r="AR109" s="65">
        <v>97860.25</v>
      </c>
      <c r="AS109" s="65">
        <v>98666.32</v>
      </c>
      <c r="AT109" s="65">
        <v>99541.39</v>
      </c>
      <c r="AU109" s="65">
        <v>90200.82</v>
      </c>
      <c r="AV109" s="65">
        <v>90926.93</v>
      </c>
      <c r="AW109" s="65">
        <v>43467.77</v>
      </c>
      <c r="AX109" s="65">
        <v>43687.14</v>
      </c>
      <c r="AY109" s="65">
        <v>44032.35</v>
      </c>
      <c r="AZ109" s="65">
        <v>36453.73</v>
      </c>
      <c r="BA109" s="65">
        <v>36768.29</v>
      </c>
      <c r="BB109" s="65">
        <v>37068.69</v>
      </c>
      <c r="BC109" s="65">
        <v>37288.18</v>
      </c>
      <c r="BD109" s="65">
        <v>37556.14</v>
      </c>
      <c r="BE109" s="65">
        <v>35421.59</v>
      </c>
      <c r="BF109" s="65">
        <v>34117.48</v>
      </c>
      <c r="BG109" s="65">
        <v>33468.32</v>
      </c>
      <c r="BH109" s="65">
        <v>32623.51</v>
      </c>
      <c r="BI109" s="65">
        <v>26845.06</v>
      </c>
      <c r="BJ109" s="65">
        <v>0.79</v>
      </c>
      <c r="BK109" s="65">
        <v>0.92</v>
      </c>
      <c r="BL109" s="65">
        <v>0.0</v>
      </c>
      <c r="BM109" s="65">
        <v>0.0</v>
      </c>
      <c r="BN109" s="65">
        <v>0.0</v>
      </c>
      <c r="BO109" s="65">
        <v>0.0</v>
      </c>
      <c r="BP109" s="65">
        <v>0.0</v>
      </c>
      <c r="BQ109" s="65">
        <v>0.0</v>
      </c>
      <c r="BR109" s="65">
        <v>0.0</v>
      </c>
      <c r="BS109" s="65">
        <v>0.0</v>
      </c>
      <c r="BT109" s="88">
        <v>0.0</v>
      </c>
      <c r="BU109" s="65">
        <v>0.0</v>
      </c>
      <c r="BV109" s="65">
        <v>0.0</v>
      </c>
      <c r="BW109" s="90">
        <v>0.0</v>
      </c>
      <c r="BX109" s="90">
        <v>0.0</v>
      </c>
      <c r="BY109" s="90" t="str">
        <f t="array" ref="BY109">XLOOKUP(C109,'PL TOTAL D0'!$A$3:$A$1991,'PL TOTAL D0'!$C$3:$C$1991,"")</f>
        <v/>
      </c>
    </row>
    <row r="110" ht="15.75" customHeight="1">
      <c r="A110" s="50" t="s">
        <v>24</v>
      </c>
      <c r="B110" s="43" t="s">
        <v>2010</v>
      </c>
      <c r="C110" s="94" t="s">
        <v>2011</v>
      </c>
      <c r="D110" s="30" t="s">
        <v>365</v>
      </c>
      <c r="E110" s="22" t="s">
        <v>199</v>
      </c>
      <c r="F110" s="30" t="s">
        <v>368</v>
      </c>
      <c r="G110" s="47" t="str">
        <f t="shared" si="5"/>
        <v>David</v>
      </c>
      <c r="H110" s="49" t="s">
        <v>295</v>
      </c>
      <c r="I110" s="49" t="s">
        <v>756</v>
      </c>
      <c r="J110" s="47" t="str">
        <f t="shared" si="9"/>
        <v>Não</v>
      </c>
      <c r="K110" s="54">
        <v>45454.0</v>
      </c>
      <c r="L110" s="189"/>
      <c r="M110" s="32" t="s">
        <v>61</v>
      </c>
      <c r="N110" s="56">
        <v>0.012</v>
      </c>
      <c r="O110" s="23" t="s">
        <v>66</v>
      </c>
      <c r="P110" s="57">
        <v>0.0</v>
      </c>
      <c r="Q110" s="58"/>
      <c r="R110" s="70"/>
      <c r="S110" s="32" t="s">
        <v>194</v>
      </c>
      <c r="T110" s="32" t="s">
        <v>2012</v>
      </c>
      <c r="U110" s="33">
        <v>5.56199287674E12</v>
      </c>
      <c r="V110" s="33" t="s">
        <v>2013</v>
      </c>
      <c r="W110" s="34">
        <v>28739.0</v>
      </c>
      <c r="X110" s="23" t="s">
        <v>199</v>
      </c>
      <c r="Y110" s="49" t="str">
        <f t="shared" si="4"/>
        <v>Inativo</v>
      </c>
      <c r="Z110" s="32"/>
      <c r="AA110" s="32" t="s">
        <v>47</v>
      </c>
      <c r="AB110" s="64" t="s">
        <v>269</v>
      </c>
      <c r="AC110" s="79"/>
      <c r="AD110" s="54">
        <v>45454.0</v>
      </c>
      <c r="AE110" s="77">
        <v>4.9075100014868E13</v>
      </c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65"/>
      <c r="AW110" s="65"/>
      <c r="AX110" s="65"/>
      <c r="AY110" s="65"/>
      <c r="AZ110" s="65">
        <v>0.0</v>
      </c>
      <c r="BA110" s="65">
        <v>0.0</v>
      </c>
      <c r="BB110" s="65">
        <v>0.0</v>
      </c>
      <c r="BC110" s="65">
        <v>0.0</v>
      </c>
      <c r="BD110" s="65">
        <v>0.0</v>
      </c>
      <c r="BE110" s="65">
        <v>0.0</v>
      </c>
      <c r="BF110" s="65">
        <v>0.0</v>
      </c>
      <c r="BG110" s="65">
        <v>0.0</v>
      </c>
      <c r="BH110" s="65">
        <v>0.0</v>
      </c>
      <c r="BI110" s="65">
        <v>0.0</v>
      </c>
      <c r="BJ110" s="65">
        <v>0.0</v>
      </c>
      <c r="BK110" s="65">
        <v>0.0</v>
      </c>
      <c r="BL110" s="65">
        <v>0.0</v>
      </c>
      <c r="BM110" s="65">
        <v>0.0</v>
      </c>
      <c r="BN110" s="65">
        <v>0.0</v>
      </c>
      <c r="BO110" s="65">
        <v>0.0</v>
      </c>
      <c r="BP110" s="65">
        <v>0.0</v>
      </c>
      <c r="BQ110" s="65">
        <v>0.0</v>
      </c>
      <c r="BR110" s="65">
        <v>0.0</v>
      </c>
      <c r="BS110" s="65">
        <v>0.0</v>
      </c>
      <c r="BT110" s="88">
        <v>0.0</v>
      </c>
      <c r="BU110" s="65">
        <v>0.0</v>
      </c>
      <c r="BV110" s="65">
        <v>0.0</v>
      </c>
      <c r="BW110" s="90">
        <v>0.0</v>
      </c>
      <c r="BX110" s="90">
        <v>0.0</v>
      </c>
      <c r="BY110" s="90" t="str">
        <f t="array" ref="BY110">XLOOKUP(C110,'PL TOTAL D0'!$A$3:$A$1991,'PL TOTAL D0'!$C$3:$C$1991,"")</f>
        <v/>
      </c>
    </row>
    <row r="111" ht="15.75" customHeight="1">
      <c r="A111" s="50" t="s">
        <v>24</v>
      </c>
      <c r="B111" s="50" t="s">
        <v>2017</v>
      </c>
      <c r="C111" s="94" t="s">
        <v>2018</v>
      </c>
      <c r="D111" s="81" t="s">
        <v>120</v>
      </c>
      <c r="E111" s="95" t="s">
        <v>54</v>
      </c>
      <c r="F111" s="81" t="s">
        <v>125</v>
      </c>
      <c r="G111" s="47" t="str">
        <f t="shared" si="5"/>
        <v>David</v>
      </c>
      <c r="H111" s="49" t="s">
        <v>183</v>
      </c>
      <c r="I111" s="49" t="s">
        <v>66</v>
      </c>
      <c r="J111" s="47" t="str">
        <f t="shared" si="9"/>
        <v>Sim</v>
      </c>
      <c r="K111" s="97">
        <v>45012.0</v>
      </c>
      <c r="L111" s="62"/>
      <c r="M111" s="62" t="s">
        <v>61</v>
      </c>
      <c r="N111" s="98">
        <v>0.012</v>
      </c>
      <c r="O111" s="47" t="s">
        <v>66</v>
      </c>
      <c r="P111" s="99">
        <v>0.0</v>
      </c>
      <c r="Q111" s="58" t="s">
        <v>2019</v>
      </c>
      <c r="R111" s="70"/>
      <c r="S111" s="62" t="s">
        <v>194</v>
      </c>
      <c r="T111" s="32" t="s">
        <v>2020</v>
      </c>
      <c r="U111" s="33">
        <v>5.56299971706E12</v>
      </c>
      <c r="V111" s="33" t="s">
        <v>2021</v>
      </c>
      <c r="W111" s="34">
        <v>34960.0</v>
      </c>
      <c r="X111" s="23" t="s">
        <v>54</v>
      </c>
      <c r="Y111" s="49" t="str">
        <f t="shared" si="4"/>
        <v>Inativo</v>
      </c>
      <c r="Z111" s="62"/>
      <c r="AA111" s="32" t="s">
        <v>165</v>
      </c>
      <c r="AB111" s="64" t="s">
        <v>269</v>
      </c>
      <c r="AC111" s="79"/>
      <c r="AD111" s="54">
        <v>45012.0</v>
      </c>
      <c r="AE111" s="77">
        <v>4.9075100011184E13</v>
      </c>
      <c r="AF111" s="79"/>
      <c r="AG111" s="79"/>
      <c r="AH111" s="79"/>
      <c r="AI111" s="79"/>
      <c r="AJ111" s="65">
        <v>0.0</v>
      </c>
      <c r="AK111" s="65">
        <v>1348.85</v>
      </c>
      <c r="AL111" s="65">
        <v>0.0</v>
      </c>
      <c r="AM111" s="65">
        <v>0.0</v>
      </c>
      <c r="AN111" s="65">
        <v>0.0</v>
      </c>
      <c r="AO111" s="65">
        <v>0.0</v>
      </c>
      <c r="AP111" s="65">
        <v>0.0</v>
      </c>
      <c r="AQ111" s="65">
        <v>0.0</v>
      </c>
      <c r="AR111" s="65">
        <v>0.0</v>
      </c>
      <c r="AS111" s="65">
        <v>0.0</v>
      </c>
      <c r="AT111" s="65">
        <v>0.0</v>
      </c>
      <c r="AU111" s="65">
        <v>0.0</v>
      </c>
      <c r="AV111" s="65">
        <v>0.0</v>
      </c>
      <c r="AW111" s="65">
        <v>0.0</v>
      </c>
      <c r="AX111" s="65">
        <v>0.0</v>
      </c>
      <c r="AY111" s="65">
        <v>0.0</v>
      </c>
      <c r="AZ111" s="65">
        <v>0.0</v>
      </c>
      <c r="BA111" s="65">
        <v>0.0</v>
      </c>
      <c r="BB111" s="65">
        <v>0.0</v>
      </c>
      <c r="BC111" s="65">
        <v>0.0</v>
      </c>
      <c r="BD111" s="65">
        <v>0.0</v>
      </c>
      <c r="BE111" s="65">
        <v>0.0</v>
      </c>
      <c r="BF111" s="65">
        <v>0.0</v>
      </c>
      <c r="BG111" s="65">
        <v>0.0</v>
      </c>
      <c r="BH111" s="65">
        <v>0.0</v>
      </c>
      <c r="BI111" s="65">
        <v>0.0</v>
      </c>
      <c r="BJ111" s="65">
        <v>0.0</v>
      </c>
      <c r="BK111" s="65">
        <v>0.0</v>
      </c>
      <c r="BL111" s="65">
        <v>44317.63</v>
      </c>
      <c r="BM111" s="65">
        <v>40814.8</v>
      </c>
      <c r="BN111" s="65">
        <v>41235.88</v>
      </c>
      <c r="BO111" s="65">
        <v>32532.43</v>
      </c>
      <c r="BP111" s="65">
        <v>32925.03</v>
      </c>
      <c r="BQ111" s="65">
        <v>18057.27</v>
      </c>
      <c r="BR111" s="65">
        <v>18256.81</v>
      </c>
      <c r="BS111" s="65">
        <v>18454.6</v>
      </c>
      <c r="BT111" s="88">
        <v>16595.27</v>
      </c>
      <c r="BU111" s="65">
        <v>10440.0</v>
      </c>
      <c r="BV111" s="65">
        <v>10440.11</v>
      </c>
      <c r="BW111" s="90">
        <v>10440.11</v>
      </c>
      <c r="BX111" s="90">
        <v>10440.11</v>
      </c>
      <c r="BY111" s="90">
        <f t="array" ref="BY111">XLOOKUP(C111,'PL TOTAL D0'!$A$3:$A$1991,'PL TOTAL D0'!$C$3:$C$1991,"")</f>
        <v>10440.11</v>
      </c>
    </row>
    <row r="112" ht="15.75" customHeight="1">
      <c r="A112" s="50" t="s">
        <v>24</v>
      </c>
      <c r="B112" s="50" t="s">
        <v>2022</v>
      </c>
      <c r="C112" s="94" t="s">
        <v>2024</v>
      </c>
      <c r="D112" s="81" t="s">
        <v>142</v>
      </c>
      <c r="E112" s="95" t="s">
        <v>54</v>
      </c>
      <c r="F112" s="81" t="s">
        <v>158</v>
      </c>
      <c r="G112" s="47" t="str">
        <f t="shared" si="5"/>
        <v>Marcus</v>
      </c>
      <c r="H112" s="49" t="s">
        <v>183</v>
      </c>
      <c r="I112" s="49" t="s">
        <v>66</v>
      </c>
      <c r="J112" s="47" t="str">
        <f t="shared" si="9"/>
        <v>Não</v>
      </c>
      <c r="K112" s="97">
        <v>46001.0</v>
      </c>
      <c r="L112" s="62"/>
      <c r="M112" s="62" t="s">
        <v>716</v>
      </c>
      <c r="N112" s="98">
        <v>0.012</v>
      </c>
      <c r="O112" s="47" t="s">
        <v>66</v>
      </c>
      <c r="P112" s="99">
        <v>0.0</v>
      </c>
      <c r="Q112" s="58"/>
      <c r="R112" s="70"/>
      <c r="S112" s="62" t="s">
        <v>194</v>
      </c>
      <c r="T112" s="32" t="s">
        <v>2026</v>
      </c>
      <c r="U112" s="33" t="s">
        <v>2027</v>
      </c>
      <c r="V112" s="33" t="s">
        <v>2028</v>
      </c>
      <c r="W112" s="34">
        <v>30749.0</v>
      </c>
      <c r="X112" s="23" t="s">
        <v>54</v>
      </c>
      <c r="Y112" s="49" t="str">
        <f t="shared" si="4"/>
        <v>Ativo</v>
      </c>
      <c r="Z112" s="62"/>
      <c r="AA112" s="32" t="s">
        <v>47</v>
      </c>
      <c r="AB112" s="64"/>
      <c r="AC112" s="79"/>
      <c r="AD112" s="54">
        <v>46203.0</v>
      </c>
      <c r="AE112" s="77"/>
      <c r="AF112" s="79"/>
      <c r="AG112" s="79"/>
      <c r="AH112" s="79"/>
      <c r="AI112" s="79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>
        <v>1057469.0</v>
      </c>
      <c r="BS112" s="65">
        <v>1665168.08</v>
      </c>
      <c r="BT112" s="88">
        <v>1676111.0</v>
      </c>
      <c r="BU112" s="65">
        <v>1681831.0</v>
      </c>
      <c r="BV112" s="65">
        <v>1696744.0</v>
      </c>
      <c r="BW112" s="90">
        <v>1696974.0</v>
      </c>
      <c r="BX112" s="90">
        <v>1697124.8</v>
      </c>
      <c r="BY112" s="90">
        <f t="array" ref="BY112">XLOOKUP(C112,'PL TOTAL D0'!$A$3:$A$1991,'PL TOTAL D0'!$C$3:$C$1991,"")</f>
        <v>1702516.47</v>
      </c>
    </row>
    <row r="113" ht="15.75" customHeight="1">
      <c r="A113" s="50" t="s">
        <v>24</v>
      </c>
      <c r="B113" s="43" t="s">
        <v>2029</v>
      </c>
      <c r="C113" s="94" t="s">
        <v>2030</v>
      </c>
      <c r="D113" s="30" t="s">
        <v>1664</v>
      </c>
      <c r="E113" s="22" t="s">
        <v>54</v>
      </c>
      <c r="F113" s="30" t="s">
        <v>1667</v>
      </c>
      <c r="G113" s="47" t="str">
        <f t="shared" si="5"/>
        <v>David</v>
      </c>
      <c r="H113" s="49" t="s">
        <v>224</v>
      </c>
      <c r="I113" s="49" t="s">
        <v>66</v>
      </c>
      <c r="J113" s="47" t="str">
        <f t="shared" si="9"/>
        <v>Não</v>
      </c>
      <c r="K113" s="54">
        <v>45659.0</v>
      </c>
      <c r="L113" s="121">
        <v>45946.0</v>
      </c>
      <c r="M113" s="32" t="s">
        <v>61</v>
      </c>
      <c r="N113" s="56">
        <v>0.012</v>
      </c>
      <c r="O113" s="23" t="s">
        <v>66</v>
      </c>
      <c r="P113" s="57">
        <v>0.0</v>
      </c>
      <c r="Q113" s="58"/>
      <c r="R113" s="70"/>
      <c r="S113" s="32" t="s">
        <v>194</v>
      </c>
      <c r="T113" s="32" t="s">
        <v>2031</v>
      </c>
      <c r="U113" s="33" t="s">
        <v>268</v>
      </c>
      <c r="V113" s="33"/>
      <c r="W113" s="33" t="s">
        <v>268</v>
      </c>
      <c r="X113" s="23" t="s">
        <v>54</v>
      </c>
      <c r="Y113" s="49" t="str">
        <f t="shared" si="4"/>
        <v>Encerrado</v>
      </c>
      <c r="Z113" s="62"/>
      <c r="AA113" s="32" t="s">
        <v>107</v>
      </c>
      <c r="AB113" s="64"/>
      <c r="AC113" s="79"/>
      <c r="AD113" s="54">
        <v>45660.0</v>
      </c>
      <c r="AE113" s="77">
        <v>4.9075100017743E13</v>
      </c>
      <c r="AF113" s="79"/>
      <c r="AG113" s="79"/>
      <c r="AH113" s="79"/>
      <c r="AI113" s="79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>
        <v>60504.9</v>
      </c>
      <c r="BH113" s="65">
        <v>61077.42</v>
      </c>
      <c r="BI113" s="65">
        <v>61649.46</v>
      </c>
      <c r="BJ113" s="65">
        <v>62281.84</v>
      </c>
      <c r="BK113" s="65">
        <v>62650.95</v>
      </c>
      <c r="BL113" s="65">
        <v>63276.16</v>
      </c>
      <c r="BM113" s="65">
        <v>0.0</v>
      </c>
      <c r="BN113" s="65">
        <v>0.0</v>
      </c>
      <c r="BO113" s="65">
        <v>0.0</v>
      </c>
      <c r="BP113" s="65">
        <v>0.0</v>
      </c>
      <c r="BQ113" s="65">
        <v>0.0</v>
      </c>
      <c r="BR113" s="65">
        <v>0.0</v>
      </c>
      <c r="BS113" s="65">
        <v>0.0</v>
      </c>
      <c r="BT113" s="88">
        <v>0.0</v>
      </c>
      <c r="BU113" s="65">
        <v>0.0</v>
      </c>
      <c r="BV113" s="65">
        <v>0.0</v>
      </c>
      <c r="BW113" s="90">
        <v>0.0</v>
      </c>
      <c r="BX113" s="90">
        <v>0.0</v>
      </c>
      <c r="BY113" s="90" t="str">
        <f t="array" ref="BY113">XLOOKUP(C113,'PL TOTAL D0'!$A$3:$A$1991,'PL TOTAL D0'!$C$3:$C$1991,"")</f>
        <v/>
      </c>
    </row>
    <row r="114" ht="15.75" customHeight="1">
      <c r="A114" s="43" t="s">
        <v>24</v>
      </c>
      <c r="B114" s="43" t="s">
        <v>2033</v>
      </c>
      <c r="C114" s="94" t="s">
        <v>2034</v>
      </c>
      <c r="D114" s="30" t="s">
        <v>365</v>
      </c>
      <c r="E114" s="22" t="s">
        <v>199</v>
      </c>
      <c r="F114" s="30" t="s">
        <v>1111</v>
      </c>
      <c r="G114" s="47" t="str">
        <f t="shared" si="5"/>
        <v>David</v>
      </c>
      <c r="H114" s="49" t="s">
        <v>183</v>
      </c>
      <c r="I114" s="49" t="s">
        <v>66</v>
      </c>
      <c r="J114" s="47" t="str">
        <f t="shared" si="9"/>
        <v>Sim</v>
      </c>
      <c r="K114" s="54">
        <v>45323.0</v>
      </c>
      <c r="L114" s="62"/>
      <c r="M114" s="32" t="s">
        <v>61</v>
      </c>
      <c r="N114" s="56">
        <v>0.012</v>
      </c>
      <c r="O114" s="23" t="s">
        <v>66</v>
      </c>
      <c r="P114" s="57">
        <v>0.0</v>
      </c>
      <c r="Q114" s="58" t="s">
        <v>2035</v>
      </c>
      <c r="R114" s="70"/>
      <c r="S114" s="32" t="s">
        <v>194</v>
      </c>
      <c r="T114" s="32" t="s">
        <v>2036</v>
      </c>
      <c r="U114" s="33">
        <v>6.1999059686E10</v>
      </c>
      <c r="V114" s="33" t="s">
        <v>2037</v>
      </c>
      <c r="W114" s="34">
        <v>20487.0</v>
      </c>
      <c r="X114" s="23" t="s">
        <v>199</v>
      </c>
      <c r="Y114" s="49" t="str">
        <f t="shared" si="4"/>
        <v>Ativo</v>
      </c>
      <c r="Z114" s="62"/>
      <c r="AA114" s="62"/>
      <c r="AB114" s="64" t="s">
        <v>269</v>
      </c>
      <c r="AC114" s="79"/>
      <c r="AD114" s="54">
        <v>45323.0</v>
      </c>
      <c r="AE114" s="77">
        <v>4.9075100013292E13</v>
      </c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65">
        <v>428703.97</v>
      </c>
      <c r="AV114" s="65">
        <v>603129.69</v>
      </c>
      <c r="AW114" s="65">
        <v>607761.38</v>
      </c>
      <c r="AX114" s="65">
        <v>611000.0</v>
      </c>
      <c r="AY114" s="65">
        <v>615584.5</v>
      </c>
      <c r="AZ114" s="65">
        <v>619982.2</v>
      </c>
      <c r="BA114" s="65">
        <v>625209.3</v>
      </c>
      <c r="BB114" s="65">
        <v>630141.14</v>
      </c>
      <c r="BC114" s="65">
        <v>632242.28</v>
      </c>
      <c r="BD114" s="65">
        <v>637334.32</v>
      </c>
      <c r="BE114" s="65">
        <v>132480.73</v>
      </c>
      <c r="BF114" s="65">
        <v>133647.39</v>
      </c>
      <c r="BG114" s="65">
        <v>135002.41</v>
      </c>
      <c r="BH114" s="65">
        <v>136241.4</v>
      </c>
      <c r="BI114" s="65">
        <v>137451.84</v>
      </c>
      <c r="BJ114" s="65">
        <v>139086.69</v>
      </c>
      <c r="BK114" s="65">
        <v>140627.89</v>
      </c>
      <c r="BL114" s="65">
        <v>142097.32</v>
      </c>
      <c r="BM114" s="65">
        <v>143806.81</v>
      </c>
      <c r="BN114" s="65">
        <v>145346.2</v>
      </c>
      <c r="BO114" s="65">
        <v>146747.94</v>
      </c>
      <c r="BP114" s="65">
        <v>178874.2</v>
      </c>
      <c r="BQ114" s="65">
        <v>180488.9</v>
      </c>
      <c r="BR114" s="65">
        <v>182444.7</v>
      </c>
      <c r="BS114" s="65">
        <v>184523.81</v>
      </c>
      <c r="BT114" s="88">
        <v>186090.5</v>
      </c>
      <c r="BU114" s="65">
        <v>188087.8</v>
      </c>
      <c r="BV114" s="65">
        <v>190130.0</v>
      </c>
      <c r="BW114" s="90">
        <v>191995.2</v>
      </c>
      <c r="BX114" s="90">
        <v>193779.9</v>
      </c>
      <c r="BY114" s="90">
        <f t="array" ref="BY114">XLOOKUP(C114,'PL TOTAL D0'!$A$3:$A$1991,'PL TOTAL D0'!$C$3:$C$1991,"")</f>
        <v>196038.01</v>
      </c>
    </row>
    <row r="115" ht="15.75" customHeight="1">
      <c r="A115" s="43" t="s">
        <v>24</v>
      </c>
      <c r="B115" s="43" t="s">
        <v>2044</v>
      </c>
      <c r="C115" s="94" t="s">
        <v>2045</v>
      </c>
      <c r="D115" s="30" t="s">
        <v>89</v>
      </c>
      <c r="E115" s="22" t="s">
        <v>91</v>
      </c>
      <c r="F115" s="30" t="s">
        <v>193</v>
      </c>
      <c r="G115" s="23" t="s">
        <v>829</v>
      </c>
      <c r="H115" s="49" t="s">
        <v>183</v>
      </c>
      <c r="I115" s="49" t="s">
        <v>66</v>
      </c>
      <c r="J115" s="47" t="str">
        <f t="shared" si="9"/>
        <v>Não</v>
      </c>
      <c r="K115" s="54">
        <v>46090.0</v>
      </c>
      <c r="L115" s="62"/>
      <c r="M115" s="32" t="s">
        <v>1349</v>
      </c>
      <c r="N115" s="56">
        <v>0.012</v>
      </c>
      <c r="O115" s="23" t="s">
        <v>66</v>
      </c>
      <c r="P115" s="57">
        <v>0.0</v>
      </c>
      <c r="Q115" s="58"/>
      <c r="R115" s="70"/>
      <c r="S115" s="32" t="s">
        <v>194</v>
      </c>
      <c r="T115" s="32" t="s">
        <v>2046</v>
      </c>
      <c r="U115" s="33" t="s">
        <v>2047</v>
      </c>
      <c r="V115" s="33" t="s">
        <v>2048</v>
      </c>
      <c r="W115" s="34">
        <v>23648.0</v>
      </c>
      <c r="X115" s="23" t="s">
        <v>221</v>
      </c>
      <c r="Y115" s="49" t="str">
        <f t="shared" si="4"/>
        <v>Ativo</v>
      </c>
      <c r="Z115" s="62"/>
      <c r="AA115" s="32" t="s">
        <v>47</v>
      </c>
      <c r="AB115" s="64"/>
      <c r="AC115" s="79"/>
      <c r="AD115" s="54">
        <v>46203.0</v>
      </c>
      <c r="AE115" s="77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88"/>
      <c r="BU115" s="65">
        <v>455445.8</v>
      </c>
      <c r="BV115" s="65">
        <v>460385.1</v>
      </c>
      <c r="BW115" s="90">
        <v>570207.6</v>
      </c>
      <c r="BX115" s="90">
        <v>575541.68</v>
      </c>
      <c r="BY115" s="90">
        <f t="array" ref="BY115">XLOOKUP(C115,'PL TOTAL D0'!$A$3:$A$1991,'PL TOTAL D0'!$C$3:$C$1991,"")</f>
        <v>582678.26</v>
      </c>
    </row>
    <row r="116" ht="15.75" customHeight="1">
      <c r="A116" s="50" t="s">
        <v>24</v>
      </c>
      <c r="B116" s="176" t="s">
        <v>609</v>
      </c>
      <c r="C116" s="94" t="s">
        <v>2050</v>
      </c>
      <c r="D116" s="30" t="s">
        <v>89</v>
      </c>
      <c r="E116" s="95" t="s">
        <v>91</v>
      </c>
      <c r="F116" s="81" t="s">
        <v>521</v>
      </c>
      <c r="G116" s="47" t="str">
        <f t="shared" ref="G116:G179" si="10">IFS($BS$4:$BS$1280&lt;=250000,"David",$BS$4:$BS$1280&lt;=800000,"Gabriel", $BS$4:$BS$1280&gt;800000,"Marcus")</f>
        <v>Marcus</v>
      </c>
      <c r="H116" s="49" t="s">
        <v>183</v>
      </c>
      <c r="I116" s="49" t="s">
        <v>66</v>
      </c>
      <c r="J116" s="47" t="str">
        <f t="shared" si="9"/>
        <v>Não</v>
      </c>
      <c r="K116" s="97">
        <v>45035.0</v>
      </c>
      <c r="L116" s="62"/>
      <c r="M116" s="32" t="s">
        <v>1360</v>
      </c>
      <c r="N116" s="56">
        <v>0.015</v>
      </c>
      <c r="O116" s="47" t="s">
        <v>66</v>
      </c>
      <c r="P116" s="99">
        <v>0.0</v>
      </c>
      <c r="Q116" s="58"/>
      <c r="R116" s="58" t="s">
        <v>2051</v>
      </c>
      <c r="S116" s="62" t="s">
        <v>194</v>
      </c>
      <c r="T116" s="32" t="s">
        <v>615</v>
      </c>
      <c r="U116" s="33">
        <v>4.399115901E10</v>
      </c>
      <c r="V116" s="33" t="s">
        <v>2052</v>
      </c>
      <c r="W116" s="34">
        <v>18114.0</v>
      </c>
      <c r="X116" s="23" t="s">
        <v>618</v>
      </c>
      <c r="Y116" s="49" t="str">
        <f t="shared" si="4"/>
        <v>Ativo</v>
      </c>
      <c r="Z116" s="62"/>
      <c r="AA116" s="32" t="s">
        <v>165</v>
      </c>
      <c r="AB116" s="64" t="s">
        <v>269</v>
      </c>
      <c r="AC116" s="79"/>
      <c r="AD116" s="54">
        <v>45035.0</v>
      </c>
      <c r="AE116" s="77">
        <v>4.9075100011192E13</v>
      </c>
      <c r="AF116" s="79"/>
      <c r="AG116" s="79"/>
      <c r="AH116" s="79"/>
      <c r="AI116" s="79"/>
      <c r="AJ116" s="79"/>
      <c r="AK116" s="65">
        <v>0.0</v>
      </c>
      <c r="AL116" s="65">
        <v>2338313.82</v>
      </c>
      <c r="AM116" s="65">
        <v>2484801.55</v>
      </c>
      <c r="AN116" s="65">
        <v>2522741.14</v>
      </c>
      <c r="AO116" s="65">
        <v>5935459.35</v>
      </c>
      <c r="AP116" s="65">
        <v>5957345.32</v>
      </c>
      <c r="AQ116" s="65">
        <v>6005596.18</v>
      </c>
      <c r="AR116" s="65">
        <v>6026667.02</v>
      </c>
      <c r="AS116" s="65">
        <v>6098388.92</v>
      </c>
      <c r="AT116" s="65">
        <v>6183506.47</v>
      </c>
      <c r="AU116" s="65">
        <v>6198048.03</v>
      </c>
      <c r="AV116" s="65">
        <v>6242860.74</v>
      </c>
      <c r="AW116" s="65">
        <v>6273001.62</v>
      </c>
      <c r="AX116" s="65">
        <v>6221345.06</v>
      </c>
      <c r="AY116" s="65">
        <v>6244633.0</v>
      </c>
      <c r="AZ116" s="65">
        <v>6274035.0</v>
      </c>
      <c r="BA116" s="65">
        <v>6335268.0</v>
      </c>
      <c r="BB116" s="65">
        <v>6399683.41</v>
      </c>
      <c r="BC116" s="65">
        <v>6437574.16</v>
      </c>
      <c r="BD116" s="65">
        <v>6467270.36</v>
      </c>
      <c r="BE116" s="65">
        <v>6500053.36</v>
      </c>
      <c r="BF116" s="65">
        <v>6535679.62</v>
      </c>
      <c r="BG116" s="65">
        <v>6598733.25</v>
      </c>
      <c r="BH116" s="65">
        <v>6650630.57</v>
      </c>
      <c r="BI116" s="65">
        <v>6694841.15</v>
      </c>
      <c r="BJ116" s="65">
        <v>6778447.18</v>
      </c>
      <c r="BK116" s="65">
        <v>6864400.0</v>
      </c>
      <c r="BL116" s="65">
        <v>6914675.81</v>
      </c>
      <c r="BM116" s="65">
        <v>7013976.27</v>
      </c>
      <c r="BN116" s="65">
        <v>7077584.0</v>
      </c>
      <c r="BO116" s="65">
        <v>7147257.1</v>
      </c>
      <c r="BP116" s="65">
        <v>7236239.0</v>
      </c>
      <c r="BQ116" s="65">
        <v>7293670.0</v>
      </c>
      <c r="BR116" s="65">
        <v>7358649.0</v>
      </c>
      <c r="BS116" s="65">
        <v>7415743.13</v>
      </c>
      <c r="BT116" s="88">
        <v>7463879.0</v>
      </c>
      <c r="BU116" s="65">
        <v>7417823.0</v>
      </c>
      <c r="BV116" s="65">
        <v>7503628.0</v>
      </c>
      <c r="BW116" s="90">
        <v>7584918.0</v>
      </c>
      <c r="BX116" s="90">
        <v>7768057.18</v>
      </c>
      <c r="BY116" s="90">
        <f t="array" ref="BY116">XLOOKUP(C116,'PL TOTAL D0'!$A$3:$A$1991,'PL TOTAL D0'!$C$3:$C$1991,"")</f>
        <v>7741530.29</v>
      </c>
    </row>
    <row r="117" ht="15.75" customHeight="1">
      <c r="A117" s="50" t="s">
        <v>24</v>
      </c>
      <c r="B117" s="176" t="s">
        <v>609</v>
      </c>
      <c r="C117" s="53" t="s">
        <v>2053</v>
      </c>
      <c r="D117" s="30" t="s">
        <v>89</v>
      </c>
      <c r="E117" s="95" t="s">
        <v>91</v>
      </c>
      <c r="F117" s="81" t="s">
        <v>521</v>
      </c>
      <c r="G117" s="47" t="str">
        <f t="shared" si="10"/>
        <v>David</v>
      </c>
      <c r="H117" s="49" t="s">
        <v>183</v>
      </c>
      <c r="I117" s="49" t="s">
        <v>2054</v>
      </c>
      <c r="J117" s="47" t="str">
        <f t="shared" si="9"/>
        <v>Não</v>
      </c>
      <c r="K117" s="54">
        <v>46164.0</v>
      </c>
      <c r="L117" s="62"/>
      <c r="M117" s="32" t="s">
        <v>201</v>
      </c>
      <c r="N117" s="56">
        <v>0.0</v>
      </c>
      <c r="O117" s="23" t="s">
        <v>66</v>
      </c>
      <c r="P117" s="57">
        <v>0.0</v>
      </c>
      <c r="Q117" s="58"/>
      <c r="R117" s="58"/>
      <c r="S117" s="62" t="s">
        <v>194</v>
      </c>
      <c r="T117" s="32" t="s">
        <v>615</v>
      </c>
      <c r="U117" s="33">
        <v>4.399115901E10</v>
      </c>
      <c r="V117" s="33" t="s">
        <v>2052</v>
      </c>
      <c r="W117" s="34">
        <v>18114.0</v>
      </c>
      <c r="X117" s="23" t="s">
        <v>618</v>
      </c>
      <c r="Y117" s="49" t="str">
        <f t="shared" si="4"/>
        <v>Ativo</v>
      </c>
      <c r="Z117" s="62"/>
      <c r="AA117" s="32" t="s">
        <v>165</v>
      </c>
      <c r="AB117" s="64"/>
      <c r="AC117" s="79"/>
      <c r="AD117" s="54"/>
      <c r="AE117" s="77"/>
      <c r="AF117" s="79"/>
      <c r="AG117" s="79"/>
      <c r="AH117" s="79"/>
      <c r="AI117" s="79"/>
      <c r="AJ117" s="79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88"/>
      <c r="BU117" s="65"/>
      <c r="BV117" s="65"/>
      <c r="BW117" s="90">
        <v>0.0</v>
      </c>
      <c r="BX117" s="90">
        <v>0.0</v>
      </c>
      <c r="BY117" s="90" t="str">
        <f t="array" ref="BY117">XLOOKUP(C117,'PL TOTAL D0'!$A$3:$A$1991,'PL TOTAL D0'!$C$3:$C$1991,"")</f>
        <v/>
      </c>
    </row>
    <row r="118" ht="15.75" customHeight="1">
      <c r="A118" s="50" t="s">
        <v>24</v>
      </c>
      <c r="B118" s="50" t="s">
        <v>2057</v>
      </c>
      <c r="C118" s="94" t="s">
        <v>2059</v>
      </c>
      <c r="D118" s="81" t="s">
        <v>120</v>
      </c>
      <c r="E118" s="95" t="s">
        <v>199</v>
      </c>
      <c r="F118" s="81" t="s">
        <v>212</v>
      </c>
      <c r="G118" s="47" t="str">
        <f t="shared" si="10"/>
        <v>David</v>
      </c>
      <c r="H118" s="74" t="s">
        <v>183</v>
      </c>
      <c r="I118" s="74" t="s">
        <v>66</v>
      </c>
      <c r="J118" s="47" t="str">
        <f t="shared" si="9"/>
        <v>Não</v>
      </c>
      <c r="K118" s="97">
        <v>44985.0</v>
      </c>
      <c r="L118" s="62"/>
      <c r="M118" s="62" t="s">
        <v>61</v>
      </c>
      <c r="N118" s="98">
        <v>0.012</v>
      </c>
      <c r="O118" s="47" t="s">
        <v>66</v>
      </c>
      <c r="P118" s="99">
        <v>0.0</v>
      </c>
      <c r="Q118" s="58"/>
      <c r="R118" s="70"/>
      <c r="S118" s="62" t="s">
        <v>194</v>
      </c>
      <c r="T118" s="32" t="s">
        <v>2003</v>
      </c>
      <c r="U118" s="33">
        <v>6.1981999771E10</v>
      </c>
      <c r="V118" s="33" t="s">
        <v>2060</v>
      </c>
      <c r="W118" s="34">
        <v>30561.0</v>
      </c>
      <c r="X118" s="23" t="s">
        <v>199</v>
      </c>
      <c r="Y118" s="49" t="str">
        <f t="shared" si="4"/>
        <v>Ativo</v>
      </c>
      <c r="Z118" s="62"/>
      <c r="AA118" s="62"/>
      <c r="AB118" s="64" t="s">
        <v>269</v>
      </c>
      <c r="AC118" s="79"/>
      <c r="AD118" s="54">
        <v>44985.0</v>
      </c>
      <c r="AE118" s="77">
        <v>4.9075100005486E13</v>
      </c>
      <c r="AF118" s="79"/>
      <c r="AG118" s="79"/>
      <c r="AH118" s="79"/>
      <c r="AI118" s="79"/>
      <c r="AJ118" s="65">
        <v>560421.19</v>
      </c>
      <c r="AK118" s="65">
        <v>916687.06</v>
      </c>
      <c r="AL118" s="65">
        <v>922926.96</v>
      </c>
      <c r="AM118" s="65">
        <v>930674.54</v>
      </c>
      <c r="AN118" s="65">
        <v>939224.97</v>
      </c>
      <c r="AO118" s="65">
        <v>946529.43</v>
      </c>
      <c r="AP118" s="65">
        <v>678596.76</v>
      </c>
      <c r="AQ118" s="65">
        <v>684079.55</v>
      </c>
      <c r="AR118" s="65">
        <v>690269.86</v>
      </c>
      <c r="AS118" s="65">
        <v>694735.41</v>
      </c>
      <c r="AT118" s="65">
        <v>700472.95</v>
      </c>
      <c r="AU118" s="65">
        <v>706805.5</v>
      </c>
      <c r="AV118" s="65">
        <v>712203.48</v>
      </c>
      <c r="AW118" s="65">
        <v>718812.51</v>
      </c>
      <c r="AX118" s="65">
        <v>724821.85</v>
      </c>
      <c r="AY118" s="65">
        <v>729942.1</v>
      </c>
      <c r="AZ118" s="65">
        <v>730139.3</v>
      </c>
      <c r="BA118" s="65">
        <v>583088.0</v>
      </c>
      <c r="BB118" s="65">
        <v>586649.13</v>
      </c>
      <c r="BC118" s="65">
        <v>590059.74</v>
      </c>
      <c r="BD118" s="65">
        <v>594946.34</v>
      </c>
      <c r="BE118" s="65">
        <v>309734.95</v>
      </c>
      <c r="BF118" s="65">
        <v>312286.81</v>
      </c>
      <c r="BG118" s="65">
        <v>264323.92</v>
      </c>
      <c r="BH118" s="65">
        <v>264665.29</v>
      </c>
      <c r="BI118" s="65">
        <v>267214.02</v>
      </c>
      <c r="BJ118" s="65">
        <v>270416.91</v>
      </c>
      <c r="BK118" s="65">
        <v>272394.85</v>
      </c>
      <c r="BL118" s="65">
        <v>274815.36</v>
      </c>
      <c r="BM118" s="65">
        <v>158673.77</v>
      </c>
      <c r="BN118" s="65">
        <v>159895.1</v>
      </c>
      <c r="BO118" s="65">
        <v>161148.03</v>
      </c>
      <c r="BP118" s="65">
        <v>162633.9</v>
      </c>
      <c r="BQ118" s="65">
        <v>163998.0</v>
      </c>
      <c r="BR118" s="65">
        <v>165351.5</v>
      </c>
      <c r="BS118" s="65">
        <v>166818.04</v>
      </c>
      <c r="BT118" s="88">
        <v>168184.7</v>
      </c>
      <c r="BU118" s="65">
        <v>168416.0</v>
      </c>
      <c r="BV118" s="65">
        <v>170512.6</v>
      </c>
      <c r="BW118" s="90">
        <v>172598.2</v>
      </c>
      <c r="BX118" s="90">
        <v>174404.8</v>
      </c>
      <c r="BY118" s="90">
        <f t="array" ref="BY118">XLOOKUP(C118,'PL TOTAL D0'!$A$3:$A$1991,'PL TOTAL D0'!$C$3:$C$1991,"")</f>
        <v>176576.24</v>
      </c>
    </row>
    <row r="119" ht="15.75" customHeight="1">
      <c r="A119" s="50" t="s">
        <v>24</v>
      </c>
      <c r="B119" s="43" t="s">
        <v>2063</v>
      </c>
      <c r="C119" s="94" t="s">
        <v>2064</v>
      </c>
      <c r="D119" s="30" t="s">
        <v>120</v>
      </c>
      <c r="E119" s="22" t="s">
        <v>199</v>
      </c>
      <c r="F119" s="30" t="s">
        <v>290</v>
      </c>
      <c r="G119" s="47" t="str">
        <f t="shared" si="10"/>
        <v>David</v>
      </c>
      <c r="H119" s="49" t="s">
        <v>183</v>
      </c>
      <c r="I119" s="49" t="s">
        <v>66</v>
      </c>
      <c r="J119" s="47" t="str">
        <f t="shared" si="9"/>
        <v>Não</v>
      </c>
      <c r="K119" s="54">
        <v>45894.0</v>
      </c>
      <c r="L119" s="62"/>
      <c r="M119" s="32" t="s">
        <v>390</v>
      </c>
      <c r="N119" s="56">
        <v>0.005</v>
      </c>
      <c r="O119" s="23" t="s">
        <v>66</v>
      </c>
      <c r="P119" s="57">
        <v>0.0</v>
      </c>
      <c r="Q119" s="58"/>
      <c r="R119" s="70"/>
      <c r="S119" s="32" t="s">
        <v>194</v>
      </c>
      <c r="T119" s="32" t="s">
        <v>2066</v>
      </c>
      <c r="U119" s="33" t="s">
        <v>2067</v>
      </c>
      <c r="V119" s="33" t="s">
        <v>2068</v>
      </c>
      <c r="W119" s="34">
        <v>45769.0</v>
      </c>
      <c r="X119" s="23" t="s">
        <v>28</v>
      </c>
      <c r="Y119" s="49" t="str">
        <f t="shared" si="4"/>
        <v>Ativo</v>
      </c>
      <c r="Z119" s="62"/>
      <c r="AA119" s="32" t="s">
        <v>107</v>
      </c>
      <c r="AB119" s="64"/>
      <c r="AC119" s="79"/>
      <c r="AD119" s="54">
        <v>45895.0</v>
      </c>
      <c r="AE119" s="77">
        <v>4.9075100019381E13</v>
      </c>
      <c r="AF119" s="79"/>
      <c r="AG119" s="79"/>
      <c r="AH119" s="79"/>
      <c r="AI119" s="79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>
        <v>0.0</v>
      </c>
      <c r="BN119" s="65">
        <v>10008.36</v>
      </c>
      <c r="BO119" s="65">
        <v>10117.81</v>
      </c>
      <c r="BP119" s="65">
        <v>10251.07</v>
      </c>
      <c r="BQ119" s="65">
        <v>10329.12</v>
      </c>
      <c r="BR119" s="65">
        <v>12934.54</v>
      </c>
      <c r="BS119" s="65">
        <v>13120.06</v>
      </c>
      <c r="BT119" s="88">
        <v>13205.04</v>
      </c>
      <c r="BU119" s="65">
        <v>13354.17</v>
      </c>
      <c r="BV119" s="65">
        <v>13491.73</v>
      </c>
      <c r="BW119" s="90">
        <v>13552.07</v>
      </c>
      <c r="BX119" s="90">
        <v>13618.92</v>
      </c>
      <c r="BY119" s="90">
        <f t="array" ref="BY119">XLOOKUP(C119,'PL TOTAL D0'!$A$3:$A$1991,'PL TOTAL D0'!$C$3:$C$1991,"")</f>
        <v>13775.83</v>
      </c>
    </row>
    <row r="120" ht="15.75" customHeight="1">
      <c r="A120" s="50" t="s">
        <v>24</v>
      </c>
      <c r="B120" s="50" t="s">
        <v>2071</v>
      </c>
      <c r="C120" s="94" t="s">
        <v>2072</v>
      </c>
      <c r="D120" s="30" t="s">
        <v>89</v>
      </c>
      <c r="E120" s="95" t="s">
        <v>91</v>
      </c>
      <c r="F120" s="81" t="s">
        <v>193</v>
      </c>
      <c r="G120" s="47" t="str">
        <f t="shared" si="10"/>
        <v>Marcus</v>
      </c>
      <c r="H120" s="74" t="s">
        <v>183</v>
      </c>
      <c r="I120" s="74" t="s">
        <v>66</v>
      </c>
      <c r="J120" s="47" t="str">
        <f t="shared" si="9"/>
        <v>Não</v>
      </c>
      <c r="K120" s="97">
        <v>45096.0</v>
      </c>
      <c r="L120" s="62"/>
      <c r="M120" s="62" t="s">
        <v>209</v>
      </c>
      <c r="N120" s="98">
        <v>0.015</v>
      </c>
      <c r="O120" s="47" t="s">
        <v>35</v>
      </c>
      <c r="P120" s="99">
        <v>0.1</v>
      </c>
      <c r="Q120" s="58"/>
      <c r="R120" s="70"/>
      <c r="S120" s="62" t="s">
        <v>194</v>
      </c>
      <c r="T120" s="32" t="s">
        <v>2074</v>
      </c>
      <c r="U120" s="33">
        <v>5.53999918696E11</v>
      </c>
      <c r="V120" s="33" t="s">
        <v>2075</v>
      </c>
      <c r="W120" s="34">
        <v>14845.0</v>
      </c>
      <c r="X120" s="23" t="s">
        <v>221</v>
      </c>
      <c r="Y120" s="49" t="str">
        <f t="shared" si="4"/>
        <v>Ativo</v>
      </c>
      <c r="Z120" s="62"/>
      <c r="AA120" s="62"/>
      <c r="AB120" s="64" t="s">
        <v>269</v>
      </c>
      <c r="AC120" s="79"/>
      <c r="AD120" s="54">
        <v>45096.0</v>
      </c>
      <c r="AE120" s="77">
        <v>4.9075100004811E13</v>
      </c>
      <c r="AF120" s="79"/>
      <c r="AG120" s="79"/>
      <c r="AH120" s="79"/>
      <c r="AI120" s="79"/>
      <c r="AJ120" s="79"/>
      <c r="AK120" s="79"/>
      <c r="AL120" s="65">
        <v>0.0</v>
      </c>
      <c r="AM120" s="65">
        <v>0.0</v>
      </c>
      <c r="AN120" s="65">
        <v>1903309.48</v>
      </c>
      <c r="AO120" s="65">
        <v>1910989.17</v>
      </c>
      <c r="AP120" s="65">
        <v>1904031.27</v>
      </c>
      <c r="AQ120" s="65">
        <v>1911128.37</v>
      </c>
      <c r="AR120" s="65">
        <v>1905968.81</v>
      </c>
      <c r="AS120" s="65">
        <v>1953970.63</v>
      </c>
      <c r="AT120" s="65">
        <v>1991456.49</v>
      </c>
      <c r="AU120" s="65">
        <v>1962597.82</v>
      </c>
      <c r="AV120" s="65">
        <v>1976819.21</v>
      </c>
      <c r="AW120" s="65">
        <v>1998699.75</v>
      </c>
      <c r="AX120" s="65">
        <v>1962590.62</v>
      </c>
      <c r="AY120" s="65">
        <v>1954476.0</v>
      </c>
      <c r="AZ120" s="65">
        <v>1967081.0</v>
      </c>
      <c r="BA120" s="65">
        <v>1994497.0</v>
      </c>
      <c r="BB120" s="65">
        <v>2018985.77</v>
      </c>
      <c r="BC120" s="65">
        <v>2015014.3</v>
      </c>
      <c r="BD120" s="65">
        <v>2004337.51</v>
      </c>
      <c r="BE120" s="65">
        <v>1993140.7</v>
      </c>
      <c r="BF120" s="65">
        <v>1993112.11</v>
      </c>
      <c r="BG120" s="65">
        <v>2021440.2</v>
      </c>
      <c r="BH120" s="65">
        <v>2039740.76</v>
      </c>
      <c r="BI120" s="65">
        <v>2060252.65</v>
      </c>
      <c r="BJ120" s="65">
        <v>2082034.15</v>
      </c>
      <c r="BK120" s="65">
        <v>2108493.76</v>
      </c>
      <c r="BL120" s="65">
        <v>2128057.63</v>
      </c>
      <c r="BM120" s="65">
        <v>2139733.23</v>
      </c>
      <c r="BN120" s="65">
        <v>2162274.0</v>
      </c>
      <c r="BO120" s="65">
        <v>2186440.6</v>
      </c>
      <c r="BP120" s="65">
        <v>2210913.0</v>
      </c>
      <c r="BQ120" s="65">
        <v>2239958.0</v>
      </c>
      <c r="BR120" s="65">
        <v>2255306.0</v>
      </c>
      <c r="BS120" s="65">
        <v>2296114.6</v>
      </c>
      <c r="BT120" s="88">
        <v>2321137.0</v>
      </c>
      <c r="BU120" s="65">
        <v>2346184.0</v>
      </c>
      <c r="BV120" s="65">
        <v>2358294.0</v>
      </c>
      <c r="BW120" s="90">
        <v>2344381.0</v>
      </c>
      <c r="BX120" s="90">
        <v>2467762.39</v>
      </c>
      <c r="BY120" s="90">
        <f t="array" ref="BY120">XLOOKUP(C120,'PL TOTAL D0'!$A$3:$A$1991,'PL TOTAL D0'!$C$3:$C$1991,"")</f>
        <v>2393841.89</v>
      </c>
    </row>
    <row r="121" ht="15.75" customHeight="1">
      <c r="A121" s="50" t="s">
        <v>24</v>
      </c>
      <c r="B121" s="43" t="s">
        <v>2078</v>
      </c>
      <c r="C121" s="94" t="s">
        <v>2079</v>
      </c>
      <c r="D121" s="30" t="s">
        <v>1664</v>
      </c>
      <c r="E121" s="22" t="s">
        <v>54</v>
      </c>
      <c r="F121" s="30" t="s">
        <v>1667</v>
      </c>
      <c r="G121" s="47" t="str">
        <f t="shared" si="10"/>
        <v>David</v>
      </c>
      <c r="H121" s="49" t="s">
        <v>224</v>
      </c>
      <c r="I121" s="49" t="s">
        <v>66</v>
      </c>
      <c r="J121" s="47" t="str">
        <f t="shared" si="9"/>
        <v>Não</v>
      </c>
      <c r="K121" s="54">
        <v>45603.0</v>
      </c>
      <c r="L121" s="121">
        <v>45943.0</v>
      </c>
      <c r="M121" s="32" t="s">
        <v>61</v>
      </c>
      <c r="N121" s="56">
        <v>0.012</v>
      </c>
      <c r="O121" s="23" t="s">
        <v>66</v>
      </c>
      <c r="P121" s="57">
        <v>0.0</v>
      </c>
      <c r="Q121" s="58"/>
      <c r="R121" s="70"/>
      <c r="S121" s="32" t="s">
        <v>194</v>
      </c>
      <c r="T121" s="32" t="s">
        <v>2081</v>
      </c>
      <c r="U121" s="33" t="s">
        <v>268</v>
      </c>
      <c r="V121" s="33"/>
      <c r="W121" s="33" t="s">
        <v>268</v>
      </c>
      <c r="X121" s="23" t="s">
        <v>54</v>
      </c>
      <c r="Y121" s="49" t="str">
        <f t="shared" si="4"/>
        <v>Encerrado</v>
      </c>
      <c r="Z121" s="62"/>
      <c r="AA121" s="32" t="s">
        <v>107</v>
      </c>
      <c r="AB121" s="64"/>
      <c r="AC121" s="79"/>
      <c r="AD121" s="54">
        <v>45608.0</v>
      </c>
      <c r="AE121" s="77">
        <v>4.9075100016364E13</v>
      </c>
      <c r="AF121" s="79"/>
      <c r="AG121" s="79"/>
      <c r="AH121" s="79"/>
      <c r="AI121" s="79"/>
      <c r="AJ121" s="79"/>
      <c r="AK121" s="79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>
        <v>100448.47</v>
      </c>
      <c r="BF121" s="65">
        <v>101371.77</v>
      </c>
      <c r="BG121" s="65">
        <v>102334.01</v>
      </c>
      <c r="BH121" s="65">
        <v>103221.21</v>
      </c>
      <c r="BI121" s="65">
        <v>104151.24</v>
      </c>
      <c r="BJ121" s="65">
        <v>79693.02</v>
      </c>
      <c r="BK121" s="65">
        <v>80100.34</v>
      </c>
      <c r="BL121" s="65">
        <v>65702.6</v>
      </c>
      <c r="BM121" s="65">
        <v>0.0</v>
      </c>
      <c r="BN121" s="65">
        <v>0.0</v>
      </c>
      <c r="BO121" s="65">
        <v>0.0</v>
      </c>
      <c r="BP121" s="65">
        <v>0.0</v>
      </c>
      <c r="BQ121" s="65">
        <v>0.0</v>
      </c>
      <c r="BR121" s="65">
        <v>0.0</v>
      </c>
      <c r="BS121" s="65">
        <v>0.0</v>
      </c>
      <c r="BT121" s="88">
        <v>0.0</v>
      </c>
      <c r="BU121" s="65">
        <v>0.0</v>
      </c>
      <c r="BV121" s="65">
        <v>0.0</v>
      </c>
      <c r="BW121" s="90">
        <v>0.0</v>
      </c>
      <c r="BX121" s="90">
        <v>0.0</v>
      </c>
      <c r="BY121" s="90" t="str">
        <f t="array" ref="BY121">XLOOKUP(C121,'PL TOTAL D0'!$A$3:$A$1991,'PL TOTAL D0'!$C$3:$C$1991,"")</f>
        <v/>
      </c>
    </row>
    <row r="122" ht="15.75" customHeight="1">
      <c r="A122" s="50" t="s">
        <v>24</v>
      </c>
      <c r="B122" s="43" t="s">
        <v>2085</v>
      </c>
      <c r="C122" s="94" t="s">
        <v>2086</v>
      </c>
      <c r="D122" s="30" t="s">
        <v>120</v>
      </c>
      <c r="E122" s="22" t="s">
        <v>199</v>
      </c>
      <c r="F122" s="30" t="s">
        <v>290</v>
      </c>
      <c r="G122" s="47" t="str">
        <f t="shared" si="10"/>
        <v>David</v>
      </c>
      <c r="H122" s="49" t="s">
        <v>295</v>
      </c>
      <c r="I122" s="49" t="s">
        <v>382</v>
      </c>
      <c r="J122" s="47" t="str">
        <f t="shared" si="9"/>
        <v>Não</v>
      </c>
      <c r="K122" s="54">
        <v>45677.0</v>
      </c>
      <c r="L122" s="62"/>
      <c r="M122" s="32" t="s">
        <v>390</v>
      </c>
      <c r="N122" s="56">
        <v>0.0</v>
      </c>
      <c r="O122" s="23" t="s">
        <v>66</v>
      </c>
      <c r="P122" s="57">
        <v>0.0</v>
      </c>
      <c r="Q122" s="58"/>
      <c r="R122" s="70"/>
      <c r="S122" s="32" t="s">
        <v>194</v>
      </c>
      <c r="T122" s="32" t="s">
        <v>2088</v>
      </c>
      <c r="U122" s="33">
        <v>5.561984011504E12</v>
      </c>
      <c r="V122" s="33" t="s">
        <v>2089</v>
      </c>
      <c r="W122" s="34">
        <v>39187.0</v>
      </c>
      <c r="X122" s="23" t="s">
        <v>199</v>
      </c>
      <c r="Y122" s="49" t="str">
        <f t="shared" si="4"/>
        <v>Ativo</v>
      </c>
      <c r="Z122" s="62"/>
      <c r="AA122" s="32" t="s">
        <v>47</v>
      </c>
      <c r="AB122" s="64"/>
      <c r="AC122" s="79"/>
      <c r="AD122" s="54">
        <v>45677.0</v>
      </c>
      <c r="AE122" s="77">
        <v>4.90751000177E13</v>
      </c>
      <c r="AF122" s="79"/>
      <c r="AG122" s="79"/>
      <c r="AH122" s="79"/>
      <c r="AI122" s="79"/>
      <c r="AJ122" s="79"/>
      <c r="AK122" s="79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>
        <v>6352.86</v>
      </c>
      <c r="BH122" s="65">
        <v>6414.59</v>
      </c>
      <c r="BI122" s="65">
        <v>6475.63</v>
      </c>
      <c r="BJ122" s="65">
        <v>6543.08</v>
      </c>
      <c r="BK122" s="65">
        <v>6574.72</v>
      </c>
      <c r="BL122" s="65">
        <v>6646.31</v>
      </c>
      <c r="BM122" s="65">
        <v>6730.74</v>
      </c>
      <c r="BN122" s="65">
        <v>6808.5</v>
      </c>
      <c r="BO122" s="65">
        <v>6887.17</v>
      </c>
      <c r="BP122" s="65">
        <v>6977.61</v>
      </c>
      <c r="BQ122" s="65">
        <v>6978.89</v>
      </c>
      <c r="BR122" s="65">
        <v>7063.71</v>
      </c>
      <c r="BS122" s="65">
        <v>7145.59</v>
      </c>
      <c r="BT122" s="88">
        <v>7216.49</v>
      </c>
      <c r="BU122" s="65">
        <v>7304.4</v>
      </c>
      <c r="BV122" s="65">
        <v>8076.59</v>
      </c>
      <c r="BW122" s="90">
        <v>8786.32</v>
      </c>
      <c r="BX122" s="90">
        <v>9511.2</v>
      </c>
      <c r="BY122" s="90">
        <f t="array" ref="BY122">XLOOKUP(C122,'PL TOTAL D0'!$A$3:$A$1991,'PL TOTAL D0'!$C$3:$C$1991,"")</f>
        <v>10012.86</v>
      </c>
    </row>
    <row r="123" ht="15.75" customHeight="1">
      <c r="A123" s="50" t="s">
        <v>24</v>
      </c>
      <c r="B123" s="405" t="s">
        <v>2091</v>
      </c>
      <c r="C123" s="94" t="s">
        <v>2092</v>
      </c>
      <c r="D123" s="30" t="s">
        <v>255</v>
      </c>
      <c r="E123" s="22" t="s">
        <v>199</v>
      </c>
      <c r="F123" s="30" t="s">
        <v>2093</v>
      </c>
      <c r="G123" s="47" t="str">
        <f t="shared" si="10"/>
        <v>Marcus</v>
      </c>
      <c r="H123" s="49" t="s">
        <v>224</v>
      </c>
      <c r="I123" s="49" t="s">
        <v>66</v>
      </c>
      <c r="J123" s="47" t="str">
        <f t="shared" si="9"/>
        <v>Sim</v>
      </c>
      <c r="K123" s="54">
        <v>45432.0</v>
      </c>
      <c r="L123" s="55">
        <v>46213.0</v>
      </c>
      <c r="M123" s="32" t="s">
        <v>34</v>
      </c>
      <c r="N123" s="56">
        <v>0.014</v>
      </c>
      <c r="O123" s="23" t="s">
        <v>35</v>
      </c>
      <c r="P123" s="57">
        <v>0.1</v>
      </c>
      <c r="Q123" s="58" t="s">
        <v>2096</v>
      </c>
      <c r="R123" s="70"/>
      <c r="S123" s="32" t="s">
        <v>194</v>
      </c>
      <c r="T123" s="177" t="s">
        <v>2097</v>
      </c>
      <c r="U123" s="33">
        <v>6.1996962324E10</v>
      </c>
      <c r="V123" s="33" t="s">
        <v>2098</v>
      </c>
      <c r="W123" s="34">
        <v>20618.0</v>
      </c>
      <c r="X123" s="23" t="s">
        <v>199</v>
      </c>
      <c r="Y123" s="49" t="str">
        <f t="shared" si="4"/>
        <v>Encerrado</v>
      </c>
      <c r="Z123" s="32"/>
      <c r="AA123" s="32" t="s">
        <v>165</v>
      </c>
      <c r="AB123" s="64" t="s">
        <v>2099</v>
      </c>
      <c r="AC123" s="79"/>
      <c r="AD123" s="54">
        <v>45432.0</v>
      </c>
      <c r="AE123" s="77">
        <v>4.9075100014426E13</v>
      </c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65"/>
      <c r="AW123" s="65"/>
      <c r="AX123" s="65"/>
      <c r="AY123" s="65">
        <v>169168.6</v>
      </c>
      <c r="AZ123" s="65">
        <v>170497.2</v>
      </c>
      <c r="BA123" s="65">
        <v>303700.4</v>
      </c>
      <c r="BB123" s="65">
        <v>396787.2</v>
      </c>
      <c r="BC123" s="65">
        <v>465783.06</v>
      </c>
      <c r="BD123" s="65">
        <v>466114.29</v>
      </c>
      <c r="BE123" s="65">
        <v>515853.88</v>
      </c>
      <c r="BF123" s="65">
        <v>554621.82</v>
      </c>
      <c r="BG123" s="65">
        <v>605742.5</v>
      </c>
      <c r="BH123" s="65">
        <v>610956.5</v>
      </c>
      <c r="BI123" s="65">
        <v>616800.44</v>
      </c>
      <c r="BJ123" s="65">
        <v>623734.55</v>
      </c>
      <c r="BK123" s="65">
        <v>627980.87</v>
      </c>
      <c r="BL123" s="65">
        <v>633193.05</v>
      </c>
      <c r="BM123" s="65">
        <v>705398.97</v>
      </c>
      <c r="BN123" s="65">
        <v>710656.7</v>
      </c>
      <c r="BO123" s="65">
        <v>717734.62</v>
      </c>
      <c r="BP123" s="65">
        <v>724966.4</v>
      </c>
      <c r="BQ123" s="65">
        <v>742141.7</v>
      </c>
      <c r="BR123" s="65">
        <v>805377.6</v>
      </c>
      <c r="BS123" s="65">
        <v>1029031.98</v>
      </c>
      <c r="BT123" s="88">
        <v>1074935.0</v>
      </c>
      <c r="BU123" s="65">
        <v>1113852.0</v>
      </c>
      <c r="BV123" s="65">
        <v>1125303.0</v>
      </c>
      <c r="BW123" s="90">
        <v>1126606.0</v>
      </c>
      <c r="BX123" s="90">
        <v>0.0</v>
      </c>
      <c r="BY123" s="90" t="str">
        <f t="array" ref="BY123">XLOOKUP(C123,'PL TOTAL D0'!$A$3:$A$1991,'PL TOTAL D0'!$C$3:$C$1991,"")</f>
        <v/>
      </c>
    </row>
    <row r="124" ht="15.75" customHeight="1">
      <c r="A124" s="43" t="s">
        <v>24</v>
      </c>
      <c r="B124" s="406" t="s">
        <v>2102</v>
      </c>
      <c r="C124" s="94" t="s">
        <v>2103</v>
      </c>
      <c r="D124" s="30" t="s">
        <v>255</v>
      </c>
      <c r="E124" s="22" t="s">
        <v>199</v>
      </c>
      <c r="F124" s="30" t="s">
        <v>257</v>
      </c>
      <c r="G124" s="47" t="str">
        <f t="shared" si="10"/>
        <v>David</v>
      </c>
      <c r="H124" s="49" t="s">
        <v>224</v>
      </c>
      <c r="I124" s="49" t="s">
        <v>66</v>
      </c>
      <c r="J124" s="23" t="s">
        <v>563</v>
      </c>
      <c r="K124" s="54">
        <v>45113.0</v>
      </c>
      <c r="L124" s="55">
        <v>45513.0</v>
      </c>
      <c r="M124" s="32" t="s">
        <v>716</v>
      </c>
      <c r="N124" s="56">
        <v>0.006</v>
      </c>
      <c r="O124" s="23" t="s">
        <v>66</v>
      </c>
      <c r="P124" s="57">
        <v>0.0</v>
      </c>
      <c r="Q124" s="58"/>
      <c r="R124" s="58" t="s">
        <v>1449</v>
      </c>
      <c r="S124" s="32" t="s">
        <v>234</v>
      </c>
      <c r="T124" s="177" t="s">
        <v>2106</v>
      </c>
      <c r="U124" s="33" t="s">
        <v>268</v>
      </c>
      <c r="V124" s="33"/>
      <c r="W124" s="33" t="s">
        <v>268</v>
      </c>
      <c r="X124" s="23"/>
      <c r="Y124" s="49" t="str">
        <f t="shared" si="4"/>
        <v>Encerrado</v>
      </c>
      <c r="Z124" s="32"/>
      <c r="AA124" s="32"/>
      <c r="AB124" s="64"/>
      <c r="AC124" s="79"/>
      <c r="AD124" s="54">
        <v>45113.0</v>
      </c>
      <c r="AE124" s="77">
        <v>4.9075100013561E13</v>
      </c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124">
        <v>336615.92</v>
      </c>
      <c r="AV124" s="124">
        <v>339106.59</v>
      </c>
      <c r="AW124" s="124">
        <v>336551.07</v>
      </c>
      <c r="AX124" s="65">
        <v>339151.2</v>
      </c>
      <c r="AY124" s="65">
        <v>341248.2</v>
      </c>
      <c r="AZ124" s="65">
        <v>343610.6</v>
      </c>
      <c r="BA124" s="65">
        <v>0.0</v>
      </c>
      <c r="BB124" s="65">
        <v>0.0</v>
      </c>
      <c r="BC124" s="65">
        <v>0.0</v>
      </c>
      <c r="BD124" s="65">
        <v>0.0</v>
      </c>
      <c r="BE124" s="65">
        <v>0.0</v>
      </c>
      <c r="BF124" s="65">
        <v>0.0</v>
      </c>
      <c r="BG124" s="65">
        <v>0.0</v>
      </c>
      <c r="BH124" s="65">
        <v>0.0</v>
      </c>
      <c r="BI124" s="65">
        <v>0.0</v>
      </c>
      <c r="BJ124" s="65">
        <v>0.0</v>
      </c>
      <c r="BK124" s="65">
        <v>0.0</v>
      </c>
      <c r="BL124" s="65">
        <v>0.0</v>
      </c>
      <c r="BM124" s="65">
        <v>0.0</v>
      </c>
      <c r="BN124" s="65">
        <v>0.0</v>
      </c>
      <c r="BO124" s="65">
        <v>0.0</v>
      </c>
      <c r="BP124" s="65">
        <v>0.0</v>
      </c>
      <c r="BQ124" s="65">
        <v>0.0</v>
      </c>
      <c r="BR124" s="65">
        <v>0.0</v>
      </c>
      <c r="BS124" s="65">
        <v>0.0</v>
      </c>
      <c r="BT124" s="88">
        <v>0.0</v>
      </c>
      <c r="BU124" s="65">
        <v>0.0</v>
      </c>
      <c r="BV124" s="65">
        <v>0.0</v>
      </c>
      <c r="BW124" s="90">
        <v>0.0</v>
      </c>
      <c r="BX124" s="90">
        <v>0.0</v>
      </c>
      <c r="BY124" s="90" t="str">
        <f t="array" ref="BY124">XLOOKUP(C124,'PL TOTAL D0'!$A$3:$A$1991,'PL TOTAL D0'!$C$3:$C$1991,"")</f>
        <v/>
      </c>
    </row>
    <row r="125" ht="15.75" customHeight="1">
      <c r="A125" s="50" t="s">
        <v>24</v>
      </c>
      <c r="B125" s="43" t="s">
        <v>2113</v>
      </c>
      <c r="C125" s="53" t="s">
        <v>2114</v>
      </c>
      <c r="D125" s="30" t="s">
        <v>89</v>
      </c>
      <c r="E125" s="22" t="s">
        <v>91</v>
      </c>
      <c r="F125" s="30" t="s">
        <v>193</v>
      </c>
      <c r="G125" s="47" t="str">
        <f t="shared" si="10"/>
        <v>David</v>
      </c>
      <c r="H125" s="49" t="s">
        <v>183</v>
      </c>
      <c r="I125" s="49" t="s">
        <v>66</v>
      </c>
      <c r="J125" s="23" t="s">
        <v>563</v>
      </c>
      <c r="K125" s="54">
        <v>46220.0</v>
      </c>
      <c r="L125" s="62"/>
      <c r="M125" s="32" t="s">
        <v>209</v>
      </c>
      <c r="N125" s="56">
        <v>0.015</v>
      </c>
      <c r="O125" s="23" t="s">
        <v>35</v>
      </c>
      <c r="P125" s="57">
        <v>0.1</v>
      </c>
      <c r="Q125" s="58"/>
      <c r="R125" s="70"/>
      <c r="S125" s="32" t="s">
        <v>194</v>
      </c>
      <c r="T125" s="32" t="s">
        <v>2115</v>
      </c>
      <c r="U125" s="33" t="s">
        <v>2116</v>
      </c>
      <c r="V125" s="33" t="s">
        <v>2117</v>
      </c>
      <c r="W125" s="34">
        <v>31572.0</v>
      </c>
      <c r="X125" s="23" t="s">
        <v>221</v>
      </c>
      <c r="Y125" s="49" t="str">
        <f t="shared" si="4"/>
        <v>Ativo</v>
      </c>
      <c r="Z125" s="62"/>
      <c r="AA125" s="32" t="s">
        <v>165</v>
      </c>
      <c r="AB125" s="64"/>
      <c r="AC125" s="79"/>
      <c r="AD125" s="54"/>
      <c r="AE125" s="77"/>
      <c r="AF125" s="79"/>
      <c r="AG125" s="79"/>
      <c r="AH125" s="79"/>
      <c r="AI125" s="79"/>
      <c r="AJ125" s="79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88"/>
      <c r="BU125" s="65"/>
      <c r="BV125" s="65"/>
      <c r="BW125" s="90"/>
      <c r="BX125" s="90"/>
      <c r="BY125" s="90"/>
    </row>
    <row r="126" ht="15.75" customHeight="1">
      <c r="A126" s="50" t="s">
        <v>24</v>
      </c>
      <c r="B126" s="176" t="s">
        <v>2122</v>
      </c>
      <c r="C126" s="94" t="s">
        <v>2123</v>
      </c>
      <c r="D126" s="30" t="s">
        <v>89</v>
      </c>
      <c r="E126" s="95" t="s">
        <v>91</v>
      </c>
      <c r="F126" s="81" t="s">
        <v>521</v>
      </c>
      <c r="G126" s="47" t="str">
        <f t="shared" si="10"/>
        <v>Marcus</v>
      </c>
      <c r="H126" s="49" t="s">
        <v>183</v>
      </c>
      <c r="I126" s="49" t="s">
        <v>66</v>
      </c>
      <c r="J126" s="47" t="str">
        <f t="shared" ref="J126:J197" si="11">IF(Q126=0,"Não","Sim")</f>
        <v>Sim</v>
      </c>
      <c r="K126" s="97">
        <v>45012.0</v>
      </c>
      <c r="L126" s="62"/>
      <c r="M126" s="32" t="s">
        <v>1360</v>
      </c>
      <c r="N126" s="98">
        <v>0.0065</v>
      </c>
      <c r="O126" s="47" t="s">
        <v>66</v>
      </c>
      <c r="P126" s="99">
        <v>0.0</v>
      </c>
      <c r="Q126" s="58" t="s">
        <v>2125</v>
      </c>
      <c r="R126" s="58" t="s">
        <v>2051</v>
      </c>
      <c r="S126" s="62" t="s">
        <v>194</v>
      </c>
      <c r="T126" s="32" t="s">
        <v>2126</v>
      </c>
      <c r="U126" s="33">
        <v>5.543996552991E12</v>
      </c>
      <c r="V126" s="33" t="s">
        <v>2127</v>
      </c>
      <c r="W126" s="34">
        <v>21771.0</v>
      </c>
      <c r="X126" s="23" t="s">
        <v>221</v>
      </c>
      <c r="Y126" s="49" t="str">
        <f t="shared" si="4"/>
        <v>Ativo</v>
      </c>
      <c r="Z126" s="62"/>
      <c r="AA126" s="32" t="s">
        <v>165</v>
      </c>
      <c r="AB126" s="64" t="s">
        <v>269</v>
      </c>
      <c r="AC126" s="79"/>
      <c r="AD126" s="54">
        <v>45012.0</v>
      </c>
      <c r="AE126" s="77">
        <v>4.9075100007268E13</v>
      </c>
      <c r="AF126" s="79"/>
      <c r="AG126" s="79"/>
      <c r="AH126" s="79"/>
      <c r="AI126" s="79"/>
      <c r="AJ126" s="79"/>
      <c r="AK126" s="65">
        <v>7449482.68</v>
      </c>
      <c r="AL126" s="65">
        <v>7434949.61</v>
      </c>
      <c r="AM126" s="65">
        <v>8788058.62</v>
      </c>
      <c r="AN126" s="65">
        <v>8874098.43</v>
      </c>
      <c r="AO126" s="65">
        <v>8956806.0</v>
      </c>
      <c r="AP126" s="65">
        <v>8235068.8</v>
      </c>
      <c r="AQ126" s="65">
        <v>8286387.7</v>
      </c>
      <c r="AR126" s="65">
        <v>8338874.47</v>
      </c>
      <c r="AS126" s="65">
        <v>8101725.94</v>
      </c>
      <c r="AT126" s="65">
        <v>8169228.5</v>
      </c>
      <c r="AU126" s="65">
        <v>8236926.36</v>
      </c>
      <c r="AV126" s="65">
        <v>8294948.26</v>
      </c>
      <c r="AW126" s="65">
        <v>8080494.59</v>
      </c>
      <c r="AX126" s="65">
        <v>8140955.26</v>
      </c>
      <c r="AY126" s="65">
        <v>8199969.0</v>
      </c>
      <c r="AZ126" s="65">
        <v>8268411.0</v>
      </c>
      <c r="BA126" s="65">
        <v>8340392.0</v>
      </c>
      <c r="BB126" s="65">
        <v>8408338.27</v>
      </c>
      <c r="BC126" s="65">
        <v>8465661.23</v>
      </c>
      <c r="BD126" s="65">
        <v>8541947.62</v>
      </c>
      <c r="BE126" s="65">
        <v>9249006.39</v>
      </c>
      <c r="BF126" s="65">
        <v>9378214.52</v>
      </c>
      <c r="BG126" s="65">
        <v>9773201.02</v>
      </c>
      <c r="BH126" s="65">
        <v>9751808.07</v>
      </c>
      <c r="BI126" s="65">
        <v>1.028160754E7</v>
      </c>
      <c r="BJ126" s="65">
        <v>1.040900109E7</v>
      </c>
      <c r="BK126" s="65">
        <v>1.054594553E7</v>
      </c>
      <c r="BL126" s="65">
        <v>1.062661847E7</v>
      </c>
      <c r="BM126" s="65">
        <v>1.068794152E7</v>
      </c>
      <c r="BN126" s="65">
        <v>1.0772298E7</v>
      </c>
      <c r="BO126" s="65">
        <v>1.087258454E7</v>
      </c>
      <c r="BP126" s="65">
        <v>1.101108E7</v>
      </c>
      <c r="BQ126" s="65">
        <v>1.107307E7</v>
      </c>
      <c r="BR126" s="65">
        <v>1.1145863E7</v>
      </c>
      <c r="BS126" s="65">
        <v>1.119843132E7</v>
      </c>
      <c r="BT126" s="88">
        <v>1.1161112E7</v>
      </c>
      <c r="BU126" s="65">
        <v>1.090648E7</v>
      </c>
      <c r="BV126" s="65">
        <v>1.1020941E7</v>
      </c>
      <c r="BW126" s="90">
        <v>1.1143936E7</v>
      </c>
      <c r="BX126" s="90">
        <v>1.164409886E7</v>
      </c>
      <c r="BY126" s="90">
        <f t="array" ref="BY126">XLOOKUP(C126,'PL TOTAL D0'!$A$3:$A$1991,'PL TOTAL D0'!$C$3:$C$1991,"")</f>
        <v>11294567.6</v>
      </c>
    </row>
    <row r="127" ht="15.75" customHeight="1">
      <c r="A127" s="50" t="s">
        <v>24</v>
      </c>
      <c r="B127" s="50" t="s">
        <v>2122</v>
      </c>
      <c r="C127" s="94" t="s">
        <v>2130</v>
      </c>
      <c r="D127" s="30" t="s">
        <v>89</v>
      </c>
      <c r="E127" s="95" t="s">
        <v>91</v>
      </c>
      <c r="F127" s="81" t="s">
        <v>521</v>
      </c>
      <c r="G127" s="47" t="str">
        <f t="shared" si="10"/>
        <v>David</v>
      </c>
      <c r="H127" s="49" t="s">
        <v>224</v>
      </c>
      <c r="I127" s="49" t="s">
        <v>66</v>
      </c>
      <c r="J127" s="47" t="str">
        <f t="shared" si="11"/>
        <v>Não</v>
      </c>
      <c r="K127" s="97">
        <v>45163.0</v>
      </c>
      <c r="L127" s="55">
        <v>45524.0</v>
      </c>
      <c r="M127" s="62" t="s">
        <v>231</v>
      </c>
      <c r="N127" s="98">
        <v>0.0</v>
      </c>
      <c r="O127" s="47" t="s">
        <v>66</v>
      </c>
      <c r="P127" s="99">
        <v>0.0</v>
      </c>
      <c r="Q127" s="58"/>
      <c r="R127" s="58" t="s">
        <v>2133</v>
      </c>
      <c r="S127" s="62" t="s">
        <v>194</v>
      </c>
      <c r="T127" s="32" t="s">
        <v>2126</v>
      </c>
      <c r="U127" s="33" t="s">
        <v>268</v>
      </c>
      <c r="V127" s="33"/>
      <c r="W127" s="33" t="s">
        <v>268</v>
      </c>
      <c r="X127" s="23" t="s">
        <v>221</v>
      </c>
      <c r="Y127" s="49" t="str">
        <f t="shared" si="4"/>
        <v>Encerrado</v>
      </c>
      <c r="Z127" s="62"/>
      <c r="AA127" s="32" t="s">
        <v>165</v>
      </c>
      <c r="AB127" s="64" t="s">
        <v>269</v>
      </c>
      <c r="AC127" s="79"/>
      <c r="AD127" s="54">
        <v>45163.0</v>
      </c>
      <c r="AE127" s="77">
        <v>4.9075100011206E13</v>
      </c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65">
        <v>0.0</v>
      </c>
      <c r="AQ127" s="65">
        <v>6102.0</v>
      </c>
      <c r="AR127" s="65">
        <v>7514.41</v>
      </c>
      <c r="AS127" s="65">
        <v>9904.51</v>
      </c>
      <c r="AT127" s="65">
        <v>12040.4</v>
      </c>
      <c r="AU127" s="65">
        <v>12904.64</v>
      </c>
      <c r="AV127" s="65">
        <v>14539.84</v>
      </c>
      <c r="AW127" s="65">
        <v>15935.1</v>
      </c>
      <c r="AX127" s="65">
        <v>17176.7</v>
      </c>
      <c r="AY127" s="65">
        <v>18069.89</v>
      </c>
      <c r="AZ127" s="65">
        <v>19852.56</v>
      </c>
      <c r="BA127" s="65">
        <v>22022.06</v>
      </c>
      <c r="BB127" s="65">
        <v>0.0</v>
      </c>
      <c r="BC127" s="65">
        <v>0.0</v>
      </c>
      <c r="BD127" s="65">
        <v>0.0</v>
      </c>
      <c r="BE127" s="65">
        <v>0.0</v>
      </c>
      <c r="BF127" s="65">
        <v>0.0</v>
      </c>
      <c r="BG127" s="65">
        <v>0.0</v>
      </c>
      <c r="BH127" s="65">
        <v>0.0</v>
      </c>
      <c r="BI127" s="65">
        <v>0.0</v>
      </c>
      <c r="BJ127" s="65">
        <v>0.0</v>
      </c>
      <c r="BK127" s="65">
        <v>0.0</v>
      </c>
      <c r="BL127" s="65">
        <v>0.0</v>
      </c>
      <c r="BM127" s="65">
        <v>0.0</v>
      </c>
      <c r="BN127" s="65">
        <v>0.0</v>
      </c>
      <c r="BO127" s="65">
        <v>0.0</v>
      </c>
      <c r="BP127" s="65">
        <v>0.0</v>
      </c>
      <c r="BQ127" s="65">
        <v>0.0</v>
      </c>
      <c r="BR127" s="65">
        <v>0.0</v>
      </c>
      <c r="BS127" s="65">
        <v>0.0</v>
      </c>
      <c r="BT127" s="88">
        <v>0.0</v>
      </c>
      <c r="BU127" s="65">
        <v>35269.17</v>
      </c>
      <c r="BV127" s="65">
        <v>35673.88</v>
      </c>
      <c r="BW127" s="90">
        <v>33212.26</v>
      </c>
      <c r="BX127" s="90">
        <v>33053.12</v>
      </c>
      <c r="BY127" s="90">
        <f t="array" ref="BY127">XLOOKUP(C127,'PL TOTAL D0'!$A$3:$A$1991,'PL TOTAL D0'!$C$3:$C$1991,"")</f>
        <v>34010.85</v>
      </c>
    </row>
    <row r="128" ht="15.75" customHeight="1">
      <c r="A128" s="50" t="s">
        <v>24</v>
      </c>
      <c r="B128" s="50" t="s">
        <v>2122</v>
      </c>
      <c r="C128" s="94" t="s">
        <v>2137</v>
      </c>
      <c r="D128" s="30" t="s">
        <v>89</v>
      </c>
      <c r="E128" s="95" t="s">
        <v>91</v>
      </c>
      <c r="F128" s="81" t="s">
        <v>521</v>
      </c>
      <c r="G128" s="47" t="str">
        <f t="shared" si="10"/>
        <v>David</v>
      </c>
      <c r="H128" s="49" t="s">
        <v>224</v>
      </c>
      <c r="I128" s="49" t="s">
        <v>66</v>
      </c>
      <c r="J128" s="47" t="str">
        <f t="shared" si="11"/>
        <v>Não</v>
      </c>
      <c r="K128" s="97">
        <v>45139.0</v>
      </c>
      <c r="L128" s="55">
        <v>45938.0</v>
      </c>
      <c r="M128" s="62" t="s">
        <v>231</v>
      </c>
      <c r="N128" s="98">
        <v>0.0065</v>
      </c>
      <c r="O128" s="23" t="s">
        <v>233</v>
      </c>
      <c r="P128" s="99">
        <v>0.2</v>
      </c>
      <c r="Q128" s="58"/>
      <c r="R128" s="70"/>
      <c r="S128" s="62" t="s">
        <v>194</v>
      </c>
      <c r="T128" s="32" t="s">
        <v>2126</v>
      </c>
      <c r="U128" s="33">
        <v>5.543996552991E12</v>
      </c>
      <c r="V128" s="33" t="s">
        <v>2127</v>
      </c>
      <c r="W128" s="34">
        <v>21771.0</v>
      </c>
      <c r="X128" s="23" t="s">
        <v>221</v>
      </c>
      <c r="Y128" s="49" t="str">
        <f t="shared" si="4"/>
        <v>Encerrado</v>
      </c>
      <c r="Z128" s="62"/>
      <c r="AA128" s="32" t="s">
        <v>165</v>
      </c>
      <c r="AB128" s="64" t="s">
        <v>269</v>
      </c>
      <c r="AC128" s="79"/>
      <c r="AD128" s="54">
        <v>45139.0</v>
      </c>
      <c r="AE128" s="77">
        <v>4.9075100010171E13</v>
      </c>
      <c r="AF128" s="79"/>
      <c r="AG128" s="79"/>
      <c r="AH128" s="79"/>
      <c r="AI128" s="79"/>
      <c r="AJ128" s="79"/>
      <c r="AK128" s="79"/>
      <c r="AL128" s="79"/>
      <c r="AM128" s="79"/>
      <c r="AN128" s="79"/>
      <c r="AO128" s="65">
        <v>0.0</v>
      </c>
      <c r="AP128" s="65">
        <v>773124.25</v>
      </c>
      <c r="AQ128" s="65">
        <v>771807.13</v>
      </c>
      <c r="AR128" s="65">
        <v>738799.22</v>
      </c>
      <c r="AS128" s="65">
        <v>795165.85</v>
      </c>
      <c r="AT128" s="65">
        <v>835269.28</v>
      </c>
      <c r="AU128" s="65">
        <v>777749.68</v>
      </c>
      <c r="AV128" s="65">
        <v>789707.18</v>
      </c>
      <c r="AW128" s="65">
        <v>803507.43</v>
      </c>
      <c r="AX128" s="65">
        <v>771158.64</v>
      </c>
      <c r="AY128" s="65">
        <v>746237.7</v>
      </c>
      <c r="AZ128" s="65">
        <v>748438.8</v>
      </c>
      <c r="BA128" s="65">
        <v>769831.0</v>
      </c>
      <c r="BB128" s="65">
        <v>788088.67</v>
      </c>
      <c r="BC128" s="65">
        <v>775478.95</v>
      </c>
      <c r="BD128" s="65">
        <v>741560.95</v>
      </c>
      <c r="BE128" s="65">
        <v>65936.88</v>
      </c>
      <c r="BF128" s="65">
        <v>3057.41</v>
      </c>
      <c r="BG128" s="65">
        <v>3057.71</v>
      </c>
      <c r="BH128" s="65">
        <v>3057.71</v>
      </c>
      <c r="BI128" s="65">
        <v>3057.71</v>
      </c>
      <c r="BJ128" s="65">
        <v>1955.48</v>
      </c>
      <c r="BK128" s="65">
        <v>0.0</v>
      </c>
      <c r="BL128" s="65">
        <v>0.0</v>
      </c>
      <c r="BM128" s="65">
        <v>0.0</v>
      </c>
      <c r="BN128" s="65">
        <v>0.0</v>
      </c>
      <c r="BO128" s="65">
        <v>0.0</v>
      </c>
      <c r="BP128" s="65">
        <v>0.0</v>
      </c>
      <c r="BQ128" s="65">
        <v>0.0</v>
      </c>
      <c r="BR128" s="65">
        <v>0.0</v>
      </c>
      <c r="BS128" s="65">
        <v>0.0</v>
      </c>
      <c r="BT128" s="88">
        <v>0.0</v>
      </c>
      <c r="BU128" s="65">
        <v>0.0</v>
      </c>
      <c r="BV128" s="65">
        <v>0.0</v>
      </c>
      <c r="BW128" s="90">
        <v>0.0</v>
      </c>
      <c r="BX128" s="90">
        <v>0.0</v>
      </c>
      <c r="BY128" s="90" t="str">
        <f t="array" ref="BY128">XLOOKUP(C128,'PL TOTAL D0'!$A$3:$A$1991,'PL TOTAL D0'!$C$3:$C$1991,"")</f>
        <v/>
      </c>
    </row>
    <row r="129" ht="15.75" customHeight="1">
      <c r="A129" s="50" t="s">
        <v>24</v>
      </c>
      <c r="B129" s="50" t="s">
        <v>2144</v>
      </c>
      <c r="C129" s="94" t="s">
        <v>2145</v>
      </c>
      <c r="D129" s="81" t="s">
        <v>120</v>
      </c>
      <c r="E129" s="95" t="s">
        <v>54</v>
      </c>
      <c r="F129" s="81" t="s">
        <v>348</v>
      </c>
      <c r="G129" s="47" t="str">
        <f t="shared" si="10"/>
        <v>David</v>
      </c>
      <c r="H129" s="49" t="s">
        <v>224</v>
      </c>
      <c r="I129" s="49" t="s">
        <v>66</v>
      </c>
      <c r="J129" s="47" t="str">
        <f t="shared" si="11"/>
        <v>Não</v>
      </c>
      <c r="K129" s="97">
        <v>45006.0</v>
      </c>
      <c r="L129" s="55">
        <v>45854.0</v>
      </c>
      <c r="M129" s="62" t="s">
        <v>61</v>
      </c>
      <c r="N129" s="98">
        <v>0.012</v>
      </c>
      <c r="O129" s="47" t="s">
        <v>66</v>
      </c>
      <c r="P129" s="99">
        <v>0.0</v>
      </c>
      <c r="Q129" s="58"/>
      <c r="R129" s="70"/>
      <c r="S129" s="62" t="s">
        <v>234</v>
      </c>
      <c r="T129" s="32" t="s">
        <v>2146</v>
      </c>
      <c r="U129" s="33" t="s">
        <v>268</v>
      </c>
      <c r="V129" s="33"/>
      <c r="W129" s="33" t="s">
        <v>268</v>
      </c>
      <c r="X129" s="23" t="s">
        <v>54</v>
      </c>
      <c r="Y129" s="49" t="str">
        <f t="shared" si="4"/>
        <v>Encerrado</v>
      </c>
      <c r="Z129" s="62"/>
      <c r="AA129" s="62"/>
      <c r="AB129" s="64" t="s">
        <v>269</v>
      </c>
      <c r="AC129" s="79"/>
      <c r="AD129" s="54">
        <v>45006.0</v>
      </c>
      <c r="AE129" s="77">
        <v>4.9075100006881E13</v>
      </c>
      <c r="AF129" s="79"/>
      <c r="AG129" s="79"/>
      <c r="AH129" s="79"/>
      <c r="AI129" s="79"/>
      <c r="AJ129" s="79"/>
      <c r="AK129" s="65">
        <v>140275.53</v>
      </c>
      <c r="AL129" s="65">
        <v>142994.83</v>
      </c>
      <c r="AM129" s="65">
        <v>146491.67</v>
      </c>
      <c r="AN129" s="65">
        <v>149699.12</v>
      </c>
      <c r="AO129" s="65">
        <v>151065.74</v>
      </c>
      <c r="AP129" s="65">
        <v>151119.77</v>
      </c>
      <c r="AQ129" s="65">
        <v>149512.97</v>
      </c>
      <c r="AR129" s="65">
        <v>239681.0</v>
      </c>
      <c r="AS129" s="65">
        <v>242849.11</v>
      </c>
      <c r="AT129" s="65">
        <v>246542.64</v>
      </c>
      <c r="AU129" s="65">
        <v>248220.18</v>
      </c>
      <c r="AV129" s="65">
        <v>251027.22</v>
      </c>
      <c r="AW129" s="65">
        <v>252228.48</v>
      </c>
      <c r="AX129" s="65">
        <v>250223.77</v>
      </c>
      <c r="AY129" s="65">
        <v>252643.0</v>
      </c>
      <c r="AZ129" s="65">
        <v>252054.2</v>
      </c>
      <c r="BA129" s="65">
        <v>255773.5</v>
      </c>
      <c r="BB129" s="65">
        <v>276203.34</v>
      </c>
      <c r="BC129" s="65">
        <v>274425.64</v>
      </c>
      <c r="BD129" s="65">
        <v>273894.46</v>
      </c>
      <c r="BE129" s="65">
        <v>273822.01</v>
      </c>
      <c r="BF129" s="65">
        <v>273352.56</v>
      </c>
      <c r="BG129" s="65">
        <v>273696.27</v>
      </c>
      <c r="BH129" s="65">
        <v>273794.1</v>
      </c>
      <c r="BI129" s="65">
        <v>274773.17</v>
      </c>
      <c r="BJ129" s="65">
        <v>274729.76</v>
      </c>
      <c r="BK129" s="65">
        <v>275219.17</v>
      </c>
      <c r="BL129" s="65">
        <v>274356.54</v>
      </c>
      <c r="BM129" s="65">
        <v>0.0</v>
      </c>
      <c r="BN129" s="65">
        <v>0.0</v>
      </c>
      <c r="BO129" s="65">
        <v>0.0</v>
      </c>
      <c r="BP129" s="65">
        <v>0.0</v>
      </c>
      <c r="BQ129" s="65">
        <v>0.0</v>
      </c>
      <c r="BR129" s="65">
        <v>0.0</v>
      </c>
      <c r="BS129" s="65">
        <v>0.0</v>
      </c>
      <c r="BT129" s="88">
        <v>0.0</v>
      </c>
      <c r="BU129" s="65">
        <v>0.0</v>
      </c>
      <c r="BV129" s="65">
        <v>0.0</v>
      </c>
      <c r="BW129" s="90">
        <v>0.0</v>
      </c>
      <c r="BX129" s="90">
        <v>0.0</v>
      </c>
      <c r="BY129" s="90" t="str">
        <f t="array" ref="BY129">XLOOKUP(C129,'PL TOTAL D0'!$A$3:$A$1991,'PL TOTAL D0'!$C$3:$C$1991,"")</f>
        <v/>
      </c>
    </row>
    <row r="130" ht="15.75" customHeight="1">
      <c r="A130" s="50" t="s">
        <v>24</v>
      </c>
      <c r="B130" s="50" t="s">
        <v>2153</v>
      </c>
      <c r="C130" s="94" t="s">
        <v>2154</v>
      </c>
      <c r="D130" s="81" t="s">
        <v>120</v>
      </c>
      <c r="E130" s="95" t="s">
        <v>199</v>
      </c>
      <c r="F130" s="81" t="s">
        <v>388</v>
      </c>
      <c r="G130" s="47" t="str">
        <f t="shared" si="10"/>
        <v>David</v>
      </c>
      <c r="H130" s="74" t="s">
        <v>295</v>
      </c>
      <c r="I130" s="49" t="s">
        <v>447</v>
      </c>
      <c r="J130" s="47" t="str">
        <f t="shared" si="11"/>
        <v>Não</v>
      </c>
      <c r="K130" s="97">
        <v>44988.0</v>
      </c>
      <c r="L130" s="62"/>
      <c r="M130" s="62" t="s">
        <v>201</v>
      </c>
      <c r="N130" s="98">
        <v>0.0</v>
      </c>
      <c r="O130" s="47" t="s">
        <v>66</v>
      </c>
      <c r="P130" s="99">
        <v>0.0</v>
      </c>
      <c r="Q130" s="58"/>
      <c r="R130" s="70"/>
      <c r="S130" s="62" t="s">
        <v>234</v>
      </c>
      <c r="T130" s="32" t="s">
        <v>2157</v>
      </c>
      <c r="U130" s="33" t="s">
        <v>268</v>
      </c>
      <c r="V130" s="33"/>
      <c r="W130" s="33" t="s">
        <v>268</v>
      </c>
      <c r="X130" s="23" t="s">
        <v>475</v>
      </c>
      <c r="Y130" s="49" t="str">
        <f t="shared" si="4"/>
        <v>Inativo</v>
      </c>
      <c r="Z130" s="62"/>
      <c r="AA130" s="62"/>
      <c r="AB130" s="64" t="s">
        <v>2158</v>
      </c>
      <c r="AC130" s="79"/>
      <c r="AD130" s="54">
        <v>44988.0</v>
      </c>
      <c r="AE130" s="77">
        <v>4.9075100011214E13</v>
      </c>
      <c r="AF130" s="79"/>
      <c r="AG130" s="79"/>
      <c r="AH130" s="79"/>
      <c r="AI130" s="79"/>
      <c r="AJ130" s="79"/>
      <c r="AK130" s="65">
        <v>1.006735542E7</v>
      </c>
      <c r="AL130" s="65">
        <v>1.018181238E7</v>
      </c>
      <c r="AM130" s="65">
        <v>3332193.62</v>
      </c>
      <c r="AN130" s="65">
        <v>3378633.61</v>
      </c>
      <c r="AO130" s="65">
        <v>3417528.18</v>
      </c>
      <c r="AP130" s="65">
        <v>3461095.04</v>
      </c>
      <c r="AQ130" s="65">
        <v>3449103.61</v>
      </c>
      <c r="AR130" s="65">
        <v>3468512.14</v>
      </c>
      <c r="AS130" s="65">
        <v>3513893.33</v>
      </c>
      <c r="AT130" s="65">
        <v>3558685.77</v>
      </c>
      <c r="AU130" s="65">
        <v>3589657.17</v>
      </c>
      <c r="AV130" s="65">
        <v>3609855.72</v>
      </c>
      <c r="AW130" s="65">
        <v>2277301.51</v>
      </c>
      <c r="AX130" s="65">
        <v>2297292.34</v>
      </c>
      <c r="AY130" s="65">
        <v>2319695.0</v>
      </c>
      <c r="AZ130" s="65">
        <v>0.0</v>
      </c>
      <c r="BA130" s="65">
        <v>0.0</v>
      </c>
      <c r="BB130" s="65">
        <v>0.0</v>
      </c>
      <c r="BC130" s="65">
        <v>0.0</v>
      </c>
      <c r="BD130" s="65">
        <v>0.0</v>
      </c>
      <c r="BE130" s="65">
        <v>0.0</v>
      </c>
      <c r="BF130" s="65">
        <v>0.0</v>
      </c>
      <c r="BG130" s="65">
        <v>0.0</v>
      </c>
      <c r="BH130" s="65">
        <v>0.0</v>
      </c>
      <c r="BI130" s="65">
        <v>0.0</v>
      </c>
      <c r="BJ130" s="65">
        <v>0.0</v>
      </c>
      <c r="BK130" s="65">
        <v>0.0</v>
      </c>
      <c r="BL130" s="65">
        <v>0.0</v>
      </c>
      <c r="BM130" s="65">
        <v>0.0</v>
      </c>
      <c r="BN130" s="65">
        <v>0.0</v>
      </c>
      <c r="BO130" s="65">
        <v>0.0</v>
      </c>
      <c r="BP130" s="65">
        <v>0.0</v>
      </c>
      <c r="BQ130" s="65">
        <v>0.0</v>
      </c>
      <c r="BR130" s="65">
        <v>0.0</v>
      </c>
      <c r="BS130" s="65">
        <v>0.0</v>
      </c>
      <c r="BT130" s="88">
        <v>0.0</v>
      </c>
      <c r="BU130" s="65">
        <v>0.0</v>
      </c>
      <c r="BV130" s="65">
        <v>0.0</v>
      </c>
      <c r="BW130" s="90">
        <v>0.0</v>
      </c>
      <c r="BX130" s="90">
        <v>0.0</v>
      </c>
      <c r="BY130" s="90" t="str">
        <f t="array" ref="BY130">XLOOKUP(C130,'PL TOTAL D0'!$A$3:$A$1991,'PL TOTAL D0'!$C$3:$C$1991,"")</f>
        <v/>
      </c>
    </row>
    <row r="131" ht="15.75" customHeight="1">
      <c r="A131" s="50" t="s">
        <v>24</v>
      </c>
      <c r="B131" s="43" t="s">
        <v>2165</v>
      </c>
      <c r="C131" s="53" t="s">
        <v>2166</v>
      </c>
      <c r="D131" s="30" t="s">
        <v>210</v>
      </c>
      <c r="E131" s="22" t="s">
        <v>199</v>
      </c>
      <c r="F131" s="30" t="s">
        <v>275</v>
      </c>
      <c r="G131" s="47" t="str">
        <f t="shared" si="10"/>
        <v>David</v>
      </c>
      <c r="H131" s="49" t="s">
        <v>183</v>
      </c>
      <c r="I131" s="49" t="s">
        <v>66</v>
      </c>
      <c r="J131" s="47" t="str">
        <f t="shared" si="11"/>
        <v>Sim</v>
      </c>
      <c r="K131" s="54">
        <v>46205.0</v>
      </c>
      <c r="L131" s="62"/>
      <c r="M131" s="32" t="s">
        <v>61</v>
      </c>
      <c r="N131" s="56">
        <v>0.012</v>
      </c>
      <c r="O131" s="23" t="s">
        <v>66</v>
      </c>
      <c r="P131" s="57">
        <v>0.0</v>
      </c>
      <c r="Q131" s="58" t="s">
        <v>2170</v>
      </c>
      <c r="R131" s="70"/>
      <c r="S131" s="32" t="s">
        <v>194</v>
      </c>
      <c r="T131" s="32" t="s">
        <v>2171</v>
      </c>
      <c r="U131" s="33" t="s">
        <v>2172</v>
      </c>
      <c r="V131" s="33" t="s">
        <v>2173</v>
      </c>
      <c r="W131" s="34">
        <v>31959.0</v>
      </c>
      <c r="X131" s="23" t="s">
        <v>199</v>
      </c>
      <c r="Y131" s="49" t="str">
        <f t="shared" si="4"/>
        <v>Ativo</v>
      </c>
      <c r="Z131" s="62"/>
      <c r="AA131" s="32" t="s">
        <v>107</v>
      </c>
      <c r="AB131" s="64"/>
      <c r="AC131" s="79"/>
      <c r="AD131" s="54"/>
      <c r="AE131" s="77"/>
      <c r="AF131" s="79"/>
      <c r="AG131" s="79"/>
      <c r="AH131" s="79"/>
      <c r="AI131" s="79"/>
      <c r="AJ131" s="79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88"/>
      <c r="BU131" s="65"/>
      <c r="BV131" s="65"/>
      <c r="BW131" s="90"/>
      <c r="BX131" s="90">
        <v>0.0</v>
      </c>
      <c r="BY131" s="90">
        <f t="array" ref="BY131">XLOOKUP(C131,'PL TOTAL D0'!$A$3:$A$1991,'PL TOTAL D0'!$C$3:$C$1991,"")</f>
        <v>100000</v>
      </c>
    </row>
    <row r="132" ht="15.75" customHeight="1">
      <c r="A132" s="50" t="s">
        <v>24</v>
      </c>
      <c r="B132" s="50" t="s">
        <v>2177</v>
      </c>
      <c r="C132" s="94" t="s">
        <v>2178</v>
      </c>
      <c r="D132" s="81" t="s">
        <v>142</v>
      </c>
      <c r="E132" s="95" t="s">
        <v>54</v>
      </c>
      <c r="F132" s="81" t="s">
        <v>158</v>
      </c>
      <c r="G132" s="47" t="str">
        <f t="shared" si="10"/>
        <v>David</v>
      </c>
      <c r="H132" s="49" t="s">
        <v>183</v>
      </c>
      <c r="I132" s="49" t="s">
        <v>66</v>
      </c>
      <c r="J132" s="47" t="str">
        <f t="shared" si="11"/>
        <v>Não</v>
      </c>
      <c r="K132" s="97">
        <v>46132.0</v>
      </c>
      <c r="L132" s="62"/>
      <c r="M132" s="62" t="s">
        <v>34</v>
      </c>
      <c r="N132" s="98">
        <v>0.012</v>
      </c>
      <c r="O132" s="47" t="s">
        <v>35</v>
      </c>
      <c r="P132" s="99">
        <v>0.1</v>
      </c>
      <c r="Q132" s="58"/>
      <c r="R132" s="70"/>
      <c r="S132" s="62" t="s">
        <v>194</v>
      </c>
      <c r="T132" s="32" t="s">
        <v>2183</v>
      </c>
      <c r="U132" s="33" t="s">
        <v>2184</v>
      </c>
      <c r="V132" s="33" t="s">
        <v>2185</v>
      </c>
      <c r="W132" s="33">
        <v>36259.0</v>
      </c>
      <c r="X132" s="23" t="s">
        <v>54</v>
      </c>
      <c r="Y132" s="49" t="str">
        <f t="shared" si="4"/>
        <v>Ativo</v>
      </c>
      <c r="Z132" s="62"/>
      <c r="AA132" s="62" t="s">
        <v>107</v>
      </c>
      <c r="AB132" s="64"/>
      <c r="AC132" s="79"/>
      <c r="AD132" s="54">
        <v>46203.0</v>
      </c>
      <c r="AE132" s="77"/>
      <c r="AF132" s="79"/>
      <c r="AG132" s="79"/>
      <c r="AH132" s="79"/>
      <c r="AI132" s="79"/>
      <c r="AJ132" s="79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88"/>
      <c r="BU132" s="65"/>
      <c r="BV132" s="65">
        <v>100053.8</v>
      </c>
      <c r="BW132" s="90">
        <v>87812.58</v>
      </c>
      <c r="BX132" s="90">
        <v>88601.67</v>
      </c>
      <c r="BY132" s="90">
        <f t="array" ref="BY132">XLOOKUP(C132,'PL TOTAL D0'!$A$3:$A$1991,'PL TOTAL D0'!$C$3:$C$1991,"")</f>
        <v>89535.91</v>
      </c>
    </row>
    <row r="133" ht="15.75" customHeight="1">
      <c r="A133" s="50" t="s">
        <v>24</v>
      </c>
      <c r="B133" s="50" t="s">
        <v>2191</v>
      </c>
      <c r="C133" s="94" t="s">
        <v>2192</v>
      </c>
      <c r="D133" s="81" t="s">
        <v>120</v>
      </c>
      <c r="E133" s="95" t="s">
        <v>54</v>
      </c>
      <c r="F133" s="81" t="s">
        <v>348</v>
      </c>
      <c r="G133" s="47" t="str">
        <f t="shared" si="10"/>
        <v>David</v>
      </c>
      <c r="H133" s="49" t="s">
        <v>224</v>
      </c>
      <c r="I133" s="49" t="s">
        <v>66</v>
      </c>
      <c r="J133" s="47" t="str">
        <f t="shared" si="11"/>
        <v>Não</v>
      </c>
      <c r="K133" s="97">
        <v>44960.0</v>
      </c>
      <c r="L133" s="55">
        <v>45922.0</v>
      </c>
      <c r="M133" s="32" t="s">
        <v>61</v>
      </c>
      <c r="N133" s="56">
        <v>0.012</v>
      </c>
      <c r="O133" s="23" t="s">
        <v>66</v>
      </c>
      <c r="P133" s="57">
        <v>0.0</v>
      </c>
      <c r="Q133" s="58"/>
      <c r="R133" s="58" t="s">
        <v>610</v>
      </c>
      <c r="S133" s="62" t="s">
        <v>194</v>
      </c>
      <c r="T133" s="32" t="s">
        <v>2193</v>
      </c>
      <c r="U133" s="33" t="s">
        <v>268</v>
      </c>
      <c r="V133" s="33"/>
      <c r="W133" s="33" t="s">
        <v>268</v>
      </c>
      <c r="X133" s="23" t="s">
        <v>54</v>
      </c>
      <c r="Y133" s="49" t="str">
        <f t="shared" si="4"/>
        <v>Encerrado</v>
      </c>
      <c r="Z133" s="62"/>
      <c r="AA133" s="62"/>
      <c r="AB133" s="64" t="s">
        <v>269</v>
      </c>
      <c r="AC133" s="79"/>
      <c r="AD133" s="54">
        <v>44960.0</v>
      </c>
      <c r="AE133" s="77">
        <v>4.9075100005494E13</v>
      </c>
      <c r="AF133" s="79"/>
      <c r="AG133" s="79"/>
      <c r="AH133" s="79"/>
      <c r="AI133" s="65">
        <v>80004.47</v>
      </c>
      <c r="AJ133" s="65">
        <v>80773.53</v>
      </c>
      <c r="AK133" s="65">
        <v>81445.48</v>
      </c>
      <c r="AL133" s="65">
        <v>81833.22</v>
      </c>
      <c r="AM133" s="65">
        <v>83333.43</v>
      </c>
      <c r="AN133" s="65">
        <v>84647.01</v>
      </c>
      <c r="AO133" s="65">
        <v>86692.7</v>
      </c>
      <c r="AP133" s="65">
        <v>115422.5</v>
      </c>
      <c r="AQ133" s="65">
        <v>115882.48</v>
      </c>
      <c r="AR133" s="65">
        <v>114698.6</v>
      </c>
      <c r="AS133" s="65">
        <v>118054.86</v>
      </c>
      <c r="AT133" s="65">
        <v>120387.71</v>
      </c>
      <c r="AU133" s="65">
        <v>117585.39</v>
      </c>
      <c r="AV133" s="65">
        <v>118751.93</v>
      </c>
      <c r="AW133" s="65">
        <v>119901.52</v>
      </c>
      <c r="AX133" s="65">
        <v>118975.26</v>
      </c>
      <c r="AY133" s="65">
        <v>118480.1</v>
      </c>
      <c r="AZ133" s="65">
        <v>119193.5</v>
      </c>
      <c r="BA133" s="65">
        <v>120833.8</v>
      </c>
      <c r="BB133" s="65">
        <v>121974.61</v>
      </c>
      <c r="BC133" s="65">
        <v>121805.96</v>
      </c>
      <c r="BD133" s="65">
        <v>120818.36</v>
      </c>
      <c r="BE133" s="65">
        <v>119993.04</v>
      </c>
      <c r="BF133" s="65">
        <v>121021.74</v>
      </c>
      <c r="BG133" s="65">
        <v>121831.63</v>
      </c>
      <c r="BH133" s="65">
        <v>122803.3</v>
      </c>
      <c r="BI133" s="65">
        <v>123865.09</v>
      </c>
      <c r="BJ133" s="65">
        <v>125289.28</v>
      </c>
      <c r="BK133" s="65">
        <v>4099.62</v>
      </c>
      <c r="BL133" s="65">
        <v>4145.42</v>
      </c>
      <c r="BM133" s="65">
        <v>0.0</v>
      </c>
      <c r="BN133" s="65">
        <v>0.0</v>
      </c>
      <c r="BO133" s="65">
        <v>0.0</v>
      </c>
      <c r="BP133" s="65">
        <v>0.0</v>
      </c>
      <c r="BQ133" s="65">
        <v>0.0</v>
      </c>
      <c r="BR133" s="65">
        <v>0.0</v>
      </c>
      <c r="BS133" s="65">
        <v>0.0</v>
      </c>
      <c r="BT133" s="88">
        <v>0.0</v>
      </c>
      <c r="BU133" s="65">
        <v>0.0</v>
      </c>
      <c r="BV133" s="65">
        <v>0.0</v>
      </c>
      <c r="BW133" s="90">
        <v>0.0</v>
      </c>
      <c r="BX133" s="90">
        <v>0.0</v>
      </c>
      <c r="BY133" s="90" t="str">
        <f t="array" ref="BY133">XLOOKUP(C133,'PL TOTAL D0'!$A$3:$A$1991,'PL TOTAL D0'!$C$3:$C$1991,"")</f>
        <v/>
      </c>
    </row>
    <row r="134" ht="15.75" customHeight="1">
      <c r="A134" s="50" t="s">
        <v>24</v>
      </c>
      <c r="B134" s="50" t="s">
        <v>2201</v>
      </c>
      <c r="C134" s="94" t="s">
        <v>2202</v>
      </c>
      <c r="D134" s="81" t="s">
        <v>120</v>
      </c>
      <c r="E134" s="95" t="s">
        <v>54</v>
      </c>
      <c r="F134" s="81" t="s">
        <v>348</v>
      </c>
      <c r="G134" s="47" t="str">
        <f t="shared" si="10"/>
        <v>David</v>
      </c>
      <c r="H134" s="49" t="s">
        <v>224</v>
      </c>
      <c r="I134" s="49" t="s">
        <v>66</v>
      </c>
      <c r="J134" s="47" t="str">
        <f t="shared" si="11"/>
        <v>Não</v>
      </c>
      <c r="K134" s="97">
        <v>45001.0</v>
      </c>
      <c r="L134" s="55">
        <v>45922.0</v>
      </c>
      <c r="M134" s="62" t="s">
        <v>61</v>
      </c>
      <c r="N134" s="98">
        <v>0.01</v>
      </c>
      <c r="O134" s="47" t="s">
        <v>66</v>
      </c>
      <c r="P134" s="99">
        <v>0.0</v>
      </c>
      <c r="Q134" s="58"/>
      <c r="R134" s="58" t="s">
        <v>610</v>
      </c>
      <c r="S134" s="62" t="s">
        <v>194</v>
      </c>
      <c r="T134" s="32" t="s">
        <v>2207</v>
      </c>
      <c r="U134" s="33" t="s">
        <v>268</v>
      </c>
      <c r="V134" s="33"/>
      <c r="W134" s="33" t="s">
        <v>268</v>
      </c>
      <c r="X134" s="23" t="s">
        <v>54</v>
      </c>
      <c r="Y134" s="49" t="str">
        <f t="shared" si="4"/>
        <v>Encerrado</v>
      </c>
      <c r="Z134" s="62"/>
      <c r="AA134" s="62"/>
      <c r="AB134" s="64" t="s">
        <v>269</v>
      </c>
      <c r="AC134" s="79"/>
      <c r="AD134" s="54">
        <v>45001.0</v>
      </c>
      <c r="AE134" s="77">
        <v>4.9075100010234E13</v>
      </c>
      <c r="AF134" s="79"/>
      <c r="AG134" s="79"/>
      <c r="AH134" s="79"/>
      <c r="AI134" s="65">
        <v>0.0</v>
      </c>
      <c r="AJ134" s="65">
        <v>0.0</v>
      </c>
      <c r="AK134" s="65">
        <v>48822.54</v>
      </c>
      <c r="AL134" s="65">
        <v>84549.19</v>
      </c>
      <c r="AM134" s="65">
        <v>107103.66</v>
      </c>
      <c r="AN134" s="65">
        <v>108032.27</v>
      </c>
      <c r="AO134" s="65">
        <v>224043.27</v>
      </c>
      <c r="AP134" s="65">
        <v>238446.53</v>
      </c>
      <c r="AQ134" s="65">
        <v>243260.86</v>
      </c>
      <c r="AR134" s="65">
        <v>258437.49</v>
      </c>
      <c r="AS134" s="65">
        <v>260336.98</v>
      </c>
      <c r="AT134" s="65">
        <v>265381.57</v>
      </c>
      <c r="AU134" s="65">
        <v>274443.32</v>
      </c>
      <c r="AV134" s="65">
        <v>278310.59</v>
      </c>
      <c r="AW134" s="65">
        <v>282668.5</v>
      </c>
      <c r="AX134" s="65">
        <v>287205.11</v>
      </c>
      <c r="AY134" s="65">
        <v>291116.2</v>
      </c>
      <c r="AZ134" s="65">
        <v>296289.3</v>
      </c>
      <c r="BA134" s="65">
        <v>301185.4</v>
      </c>
      <c r="BB134" s="65">
        <v>304535.37</v>
      </c>
      <c r="BC134" s="65">
        <v>308158.72</v>
      </c>
      <c r="BD134" s="65">
        <v>312167.07</v>
      </c>
      <c r="BE134" s="65">
        <v>316288.86</v>
      </c>
      <c r="BF134" s="65">
        <v>319898.85</v>
      </c>
      <c r="BG134" s="65">
        <v>324570.49</v>
      </c>
      <c r="BH134" s="65">
        <v>328833.19</v>
      </c>
      <c r="BI134" s="65">
        <v>323466.04</v>
      </c>
      <c r="BJ134" s="65">
        <v>328555.75</v>
      </c>
      <c r="BK134" s="65">
        <v>209528.71</v>
      </c>
      <c r="BL134" s="65">
        <v>212866.39</v>
      </c>
      <c r="BM134" s="65">
        <v>0.0</v>
      </c>
      <c r="BN134" s="65">
        <v>0.0</v>
      </c>
      <c r="BO134" s="65">
        <v>0.0</v>
      </c>
      <c r="BP134" s="65">
        <v>0.0</v>
      </c>
      <c r="BQ134" s="65">
        <v>0.0</v>
      </c>
      <c r="BR134" s="65">
        <v>0.0</v>
      </c>
      <c r="BS134" s="65">
        <v>0.0</v>
      </c>
      <c r="BT134" s="88">
        <v>0.0</v>
      </c>
      <c r="BU134" s="65">
        <v>0.0</v>
      </c>
      <c r="BV134" s="65">
        <v>0.0</v>
      </c>
      <c r="BW134" s="90">
        <v>0.0</v>
      </c>
      <c r="BX134" s="90">
        <v>0.0</v>
      </c>
      <c r="BY134" s="90" t="str">
        <f t="array" ref="BY134">XLOOKUP(C134,'PL TOTAL D0'!$A$3:$A$1991,'PL TOTAL D0'!$C$3:$C$1991,"")</f>
        <v/>
      </c>
    </row>
    <row r="135" ht="15.75" customHeight="1">
      <c r="A135" s="50" t="s">
        <v>24</v>
      </c>
      <c r="B135" s="43" t="s">
        <v>2209</v>
      </c>
      <c r="C135" s="94" t="s">
        <v>2210</v>
      </c>
      <c r="D135" s="30" t="s">
        <v>120</v>
      </c>
      <c r="E135" s="22" t="s">
        <v>54</v>
      </c>
      <c r="F135" s="81" t="s">
        <v>348</v>
      </c>
      <c r="G135" s="47" t="str">
        <f t="shared" si="10"/>
        <v>David</v>
      </c>
      <c r="H135" s="49" t="s">
        <v>224</v>
      </c>
      <c r="I135" s="49" t="s">
        <v>66</v>
      </c>
      <c r="J135" s="47" t="str">
        <f t="shared" si="11"/>
        <v>Não</v>
      </c>
      <c r="K135" s="54">
        <v>45742.0</v>
      </c>
      <c r="L135" s="55">
        <v>45966.0</v>
      </c>
      <c r="M135" s="32" t="s">
        <v>61</v>
      </c>
      <c r="N135" s="56">
        <v>0.012</v>
      </c>
      <c r="O135" s="23" t="s">
        <v>66</v>
      </c>
      <c r="P135" s="57">
        <v>0.0</v>
      </c>
      <c r="Q135" s="58"/>
      <c r="R135" s="58" t="s">
        <v>610</v>
      </c>
      <c r="S135" s="62" t="s">
        <v>194</v>
      </c>
      <c r="T135" s="32" t="s">
        <v>2207</v>
      </c>
      <c r="U135" s="33" t="s">
        <v>268</v>
      </c>
      <c r="V135" s="33"/>
      <c r="W135" s="33" t="s">
        <v>268</v>
      </c>
      <c r="X135" s="23" t="s">
        <v>54</v>
      </c>
      <c r="Y135" s="49" t="str">
        <f t="shared" si="4"/>
        <v>Encerrado</v>
      </c>
      <c r="Z135" s="62"/>
      <c r="AA135" s="32" t="s">
        <v>107</v>
      </c>
      <c r="AB135" s="64"/>
      <c r="AC135" s="79"/>
      <c r="AD135" s="54">
        <v>45743.0</v>
      </c>
      <c r="AE135" s="77">
        <v>4.9075100018413E13</v>
      </c>
      <c r="AF135" s="79"/>
      <c r="AG135" s="79"/>
      <c r="AH135" s="79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>
        <v>1603.47</v>
      </c>
      <c r="BJ135" s="65">
        <v>1620.1</v>
      </c>
      <c r="BK135" s="65">
        <v>8635.23</v>
      </c>
      <c r="BL135" s="65">
        <v>29284.69</v>
      </c>
      <c r="BM135" s="65">
        <v>0.0</v>
      </c>
      <c r="BN135" s="65">
        <v>0.0</v>
      </c>
      <c r="BO135" s="65">
        <v>0.0</v>
      </c>
      <c r="BP135" s="65">
        <v>0.0</v>
      </c>
      <c r="BQ135" s="65">
        <v>0.0</v>
      </c>
      <c r="BR135" s="65">
        <v>0.0</v>
      </c>
      <c r="BS135" s="65">
        <v>0.0</v>
      </c>
      <c r="BT135" s="88">
        <v>0.0</v>
      </c>
      <c r="BU135" s="65">
        <v>0.0</v>
      </c>
      <c r="BV135" s="65">
        <v>0.0</v>
      </c>
      <c r="BW135" s="90">
        <v>0.0</v>
      </c>
      <c r="BX135" s="90">
        <v>0.0</v>
      </c>
      <c r="BY135" s="90" t="str">
        <f t="array" ref="BY135">XLOOKUP(C135,'PL TOTAL D0'!$A$3:$A$1991,'PL TOTAL D0'!$C$3:$C$1991,"")</f>
        <v/>
      </c>
    </row>
    <row r="136" ht="15.75" customHeight="1">
      <c r="A136" s="50" t="s">
        <v>24</v>
      </c>
      <c r="B136" s="50" t="s">
        <v>2222</v>
      </c>
      <c r="C136" s="94" t="s">
        <v>2223</v>
      </c>
      <c r="D136" s="81" t="s">
        <v>120</v>
      </c>
      <c r="E136" s="95" t="s">
        <v>54</v>
      </c>
      <c r="F136" s="81" t="s">
        <v>348</v>
      </c>
      <c r="G136" s="47" t="str">
        <f t="shared" si="10"/>
        <v>David</v>
      </c>
      <c r="H136" s="49" t="s">
        <v>224</v>
      </c>
      <c r="I136" s="49" t="s">
        <v>66</v>
      </c>
      <c r="J136" s="47" t="str">
        <f t="shared" si="11"/>
        <v>Não</v>
      </c>
      <c r="K136" s="97">
        <v>45183.0</v>
      </c>
      <c r="L136" s="55">
        <v>45937.0</v>
      </c>
      <c r="M136" s="62" t="s">
        <v>61</v>
      </c>
      <c r="N136" s="98">
        <v>0.012</v>
      </c>
      <c r="O136" s="47" t="s">
        <v>66</v>
      </c>
      <c r="P136" s="99">
        <v>0.0</v>
      </c>
      <c r="Q136" s="58"/>
      <c r="R136" s="70"/>
      <c r="S136" s="62" t="s">
        <v>194</v>
      </c>
      <c r="T136" s="32" t="s">
        <v>2225</v>
      </c>
      <c r="U136" s="33" t="s">
        <v>268</v>
      </c>
      <c r="V136" s="33"/>
      <c r="W136" s="33" t="s">
        <v>268</v>
      </c>
      <c r="X136" s="23" t="s">
        <v>54</v>
      </c>
      <c r="Y136" s="49" t="str">
        <f t="shared" si="4"/>
        <v>Encerrado</v>
      </c>
      <c r="Z136" s="62"/>
      <c r="AA136" s="62"/>
      <c r="AB136" s="64" t="s">
        <v>269</v>
      </c>
      <c r="AC136" s="79"/>
      <c r="AD136" s="54">
        <v>45183.0</v>
      </c>
      <c r="AE136" s="77">
        <v>4.9075100011222E13</v>
      </c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65">
        <v>70254.3</v>
      </c>
      <c r="AR136" s="65">
        <v>71890.2</v>
      </c>
      <c r="AS136" s="65">
        <v>72434.01</v>
      </c>
      <c r="AT136" s="65">
        <v>72968.67</v>
      </c>
      <c r="AU136" s="65">
        <v>73597.21</v>
      </c>
      <c r="AV136" s="65">
        <v>74171.41</v>
      </c>
      <c r="AW136" s="65">
        <v>74734.14</v>
      </c>
      <c r="AX136" s="65">
        <v>75319.83</v>
      </c>
      <c r="AY136" s="65">
        <v>75857.87</v>
      </c>
      <c r="AZ136" s="65">
        <v>76423.1</v>
      </c>
      <c r="BA136" s="65">
        <v>77073.64</v>
      </c>
      <c r="BB136" s="65">
        <v>77718.66</v>
      </c>
      <c r="BC136" s="65">
        <v>77799.42</v>
      </c>
      <c r="BD136" s="65">
        <v>74218.05</v>
      </c>
      <c r="BE136" s="65">
        <v>74692.08</v>
      </c>
      <c r="BF136" s="65">
        <v>75256.81</v>
      </c>
      <c r="BG136" s="65">
        <v>58789.74</v>
      </c>
      <c r="BH136" s="65">
        <v>59280.89</v>
      </c>
      <c r="BI136" s="65">
        <v>56808.97</v>
      </c>
      <c r="BJ136" s="65">
        <v>54295.28</v>
      </c>
      <c r="BK136" s="65">
        <v>129989.01</v>
      </c>
      <c r="BL136" s="65">
        <v>130600.62</v>
      </c>
      <c r="BM136" s="65">
        <v>0.0</v>
      </c>
      <c r="BN136" s="65">
        <v>0.0</v>
      </c>
      <c r="BO136" s="65">
        <v>0.0</v>
      </c>
      <c r="BP136" s="65">
        <v>0.0</v>
      </c>
      <c r="BQ136" s="65">
        <v>0.0</v>
      </c>
      <c r="BR136" s="65">
        <v>0.0</v>
      </c>
      <c r="BS136" s="65">
        <v>0.0</v>
      </c>
      <c r="BT136" s="88">
        <v>0.0</v>
      </c>
      <c r="BU136" s="65">
        <v>0.0</v>
      </c>
      <c r="BV136" s="65">
        <v>0.0</v>
      </c>
      <c r="BW136" s="90">
        <v>0.0</v>
      </c>
      <c r="BX136" s="90">
        <v>0.0</v>
      </c>
      <c r="BY136" s="90" t="str">
        <f t="array" ref="BY136">XLOOKUP(C136,'PL TOTAL D0'!$A$3:$A$1991,'PL TOTAL D0'!$C$3:$C$1991,"")</f>
        <v/>
      </c>
    </row>
    <row r="137" ht="15.75" customHeight="1">
      <c r="A137" s="43" t="s">
        <v>24</v>
      </c>
      <c r="B137" s="43" t="s">
        <v>2232</v>
      </c>
      <c r="C137" s="94" t="s">
        <v>2233</v>
      </c>
      <c r="D137" s="30" t="s">
        <v>120</v>
      </c>
      <c r="E137" s="22" t="s">
        <v>199</v>
      </c>
      <c r="F137" s="66" t="s">
        <v>431</v>
      </c>
      <c r="G137" s="47" t="str">
        <f t="shared" si="10"/>
        <v>David</v>
      </c>
      <c r="H137" s="49" t="s">
        <v>183</v>
      </c>
      <c r="I137" s="49" t="s">
        <v>66</v>
      </c>
      <c r="J137" s="47" t="str">
        <f t="shared" si="11"/>
        <v>Não</v>
      </c>
      <c r="K137" s="54">
        <v>45945.0</v>
      </c>
      <c r="L137" s="62"/>
      <c r="M137" s="32" t="s">
        <v>61</v>
      </c>
      <c r="N137" s="56">
        <v>0.012</v>
      </c>
      <c r="O137" s="23" t="s">
        <v>66</v>
      </c>
      <c r="P137" s="57">
        <v>0.0</v>
      </c>
      <c r="Q137" s="58"/>
      <c r="R137" s="70"/>
      <c r="S137" s="32" t="s">
        <v>194</v>
      </c>
      <c r="T137" s="32" t="s">
        <v>2236</v>
      </c>
      <c r="U137" s="33" t="s">
        <v>2237</v>
      </c>
      <c r="V137" s="33" t="s">
        <v>2238</v>
      </c>
      <c r="W137" s="34">
        <v>35423.0</v>
      </c>
      <c r="X137" s="23" t="s">
        <v>199</v>
      </c>
      <c r="Y137" s="49" t="str">
        <f t="shared" si="4"/>
        <v>Ativo</v>
      </c>
      <c r="Z137" s="62"/>
      <c r="AA137" s="32" t="s">
        <v>47</v>
      </c>
      <c r="AB137" s="64"/>
      <c r="AC137" s="79"/>
      <c r="AD137" s="54">
        <v>45946.0</v>
      </c>
      <c r="AE137" s="148">
        <v>4.9075100019614E13</v>
      </c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>
        <v>50342.95</v>
      </c>
      <c r="BQ137" s="65">
        <v>70789.37</v>
      </c>
      <c r="BR137" s="65">
        <v>71598.69</v>
      </c>
      <c r="BS137" s="65">
        <v>80483.99</v>
      </c>
      <c r="BT137" s="88">
        <v>81148.25</v>
      </c>
      <c r="BU137" s="65">
        <v>82157.64</v>
      </c>
      <c r="BV137" s="65">
        <v>83020.08</v>
      </c>
      <c r="BW137" s="90">
        <v>102422.7</v>
      </c>
      <c r="BX137" s="90">
        <v>103391.18</v>
      </c>
      <c r="BY137" s="90">
        <f t="array" ref="BY137">XLOOKUP(C137,'PL TOTAL D0'!$A$3:$A$1991,'PL TOTAL D0'!$C$3:$C$1991,"")</f>
        <v>104468.27</v>
      </c>
    </row>
    <row r="138" ht="15.75" customHeight="1">
      <c r="A138" s="50" t="s">
        <v>24</v>
      </c>
      <c r="B138" s="43" t="s">
        <v>2243</v>
      </c>
      <c r="C138" s="94" t="s">
        <v>2244</v>
      </c>
      <c r="D138" s="30" t="s">
        <v>120</v>
      </c>
      <c r="E138" s="22" t="s">
        <v>199</v>
      </c>
      <c r="F138" s="30" t="s">
        <v>1582</v>
      </c>
      <c r="G138" s="47" t="str">
        <f t="shared" si="10"/>
        <v>Gabriel</v>
      </c>
      <c r="H138" s="49" t="s">
        <v>295</v>
      </c>
      <c r="I138" s="49" t="s">
        <v>447</v>
      </c>
      <c r="J138" s="47" t="str">
        <f t="shared" si="11"/>
        <v>Não</v>
      </c>
      <c r="K138" s="54">
        <v>45870.0</v>
      </c>
      <c r="L138" s="62"/>
      <c r="M138" s="32" t="s">
        <v>201</v>
      </c>
      <c r="N138" s="56">
        <v>0.0</v>
      </c>
      <c r="O138" s="23" t="s">
        <v>66</v>
      </c>
      <c r="P138" s="57">
        <v>0.0</v>
      </c>
      <c r="Q138" s="58"/>
      <c r="R138" s="70"/>
      <c r="S138" s="32" t="s">
        <v>194</v>
      </c>
      <c r="T138" s="32" t="s">
        <v>2246</v>
      </c>
      <c r="U138" s="33">
        <v>5.561999177658E12</v>
      </c>
      <c r="V138" s="33" t="s">
        <v>2247</v>
      </c>
      <c r="W138" s="34">
        <v>26452.0</v>
      </c>
      <c r="X138" s="23" t="s">
        <v>199</v>
      </c>
      <c r="Y138" s="49" t="str">
        <f t="shared" si="4"/>
        <v>Ativo</v>
      </c>
      <c r="Z138" s="62"/>
      <c r="AA138" s="32" t="s">
        <v>165</v>
      </c>
      <c r="AB138" s="64"/>
      <c r="AC138" s="79"/>
      <c r="AD138" s="54">
        <v>45870.0</v>
      </c>
      <c r="AE138" s="77">
        <v>4.907510001929E13</v>
      </c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>
        <v>0.0</v>
      </c>
      <c r="BN138" s="65">
        <v>296872.9</v>
      </c>
      <c r="BO138" s="65">
        <v>301622.57</v>
      </c>
      <c r="BP138" s="65">
        <v>306240.2</v>
      </c>
      <c r="BQ138" s="65">
        <v>310516.2</v>
      </c>
      <c r="BR138" s="65">
        <v>314639.5</v>
      </c>
      <c r="BS138" s="65">
        <v>319628.46</v>
      </c>
      <c r="BT138" s="88">
        <v>307678.1</v>
      </c>
      <c r="BU138" s="65">
        <v>308080.8</v>
      </c>
      <c r="BV138" s="65">
        <v>312181.8</v>
      </c>
      <c r="BW138" s="90">
        <v>316712.8</v>
      </c>
      <c r="BX138" s="90">
        <v>320599.45</v>
      </c>
      <c r="BY138" s="90">
        <f t="array" ref="BY138">XLOOKUP(C138,'PL TOTAL D0'!$A$3:$A$1991,'PL TOTAL D0'!$C$3:$C$1991,"")</f>
        <v>325895.36</v>
      </c>
    </row>
    <row r="139" ht="15.0" customHeight="1">
      <c r="A139" s="50" t="s">
        <v>24</v>
      </c>
      <c r="B139" s="191" t="s">
        <v>2253</v>
      </c>
      <c r="C139" s="94" t="s">
        <v>2255</v>
      </c>
      <c r="D139" s="81" t="s">
        <v>120</v>
      </c>
      <c r="E139" s="95" t="s">
        <v>54</v>
      </c>
      <c r="F139" s="426" t="s">
        <v>1883</v>
      </c>
      <c r="G139" s="47" t="str">
        <f t="shared" si="10"/>
        <v>David</v>
      </c>
      <c r="H139" s="49" t="s">
        <v>183</v>
      </c>
      <c r="I139" s="49" t="s">
        <v>66</v>
      </c>
      <c r="J139" s="47" t="str">
        <f t="shared" si="11"/>
        <v>Não</v>
      </c>
      <c r="K139" s="97">
        <v>45191.0</v>
      </c>
      <c r="L139" s="62"/>
      <c r="M139" s="62" t="s">
        <v>213</v>
      </c>
      <c r="N139" s="98">
        <v>0.007</v>
      </c>
      <c r="O139" s="47" t="s">
        <v>66</v>
      </c>
      <c r="P139" s="99">
        <v>0.0</v>
      </c>
      <c r="Q139" s="58"/>
      <c r="R139" s="70"/>
      <c r="S139" s="62" t="s">
        <v>234</v>
      </c>
      <c r="T139" s="32" t="s">
        <v>2260</v>
      </c>
      <c r="U139" s="33">
        <v>5.562999672523E12</v>
      </c>
      <c r="V139" s="33" t="s">
        <v>2261</v>
      </c>
      <c r="W139" s="34">
        <v>33821.0</v>
      </c>
      <c r="X139" s="23" t="s">
        <v>54</v>
      </c>
      <c r="Y139" s="49" t="str">
        <f t="shared" si="4"/>
        <v>Ativo</v>
      </c>
      <c r="Z139" s="62"/>
      <c r="AA139" s="62"/>
      <c r="AB139" s="64" t="s">
        <v>269</v>
      </c>
      <c r="AC139" s="79"/>
      <c r="AD139" s="54">
        <v>45191.0</v>
      </c>
      <c r="AE139" s="77">
        <v>4.907510001123E13</v>
      </c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65">
        <v>3001534.49</v>
      </c>
      <c r="AR139" s="65">
        <v>3031897.57</v>
      </c>
      <c r="AS139" s="65">
        <v>3052799.55</v>
      </c>
      <c r="AT139" s="65">
        <v>3079102.94</v>
      </c>
      <c r="AU139" s="65">
        <v>3103296.77</v>
      </c>
      <c r="AV139" s="65">
        <v>3124030.29</v>
      </c>
      <c r="AW139" s="65">
        <v>2130656.17</v>
      </c>
      <c r="AX139" s="65">
        <v>0.0</v>
      </c>
      <c r="AY139" s="65">
        <v>0.0</v>
      </c>
      <c r="AZ139" s="65">
        <v>300.28</v>
      </c>
      <c r="BA139" s="65">
        <v>302.4</v>
      </c>
      <c r="BB139" s="65">
        <v>305.0</v>
      </c>
      <c r="BC139" s="65">
        <v>307.54</v>
      </c>
      <c r="BD139" s="65">
        <v>310.4</v>
      </c>
      <c r="BE139" s="65">
        <v>310.99</v>
      </c>
      <c r="BF139" s="65">
        <v>313.83</v>
      </c>
      <c r="BG139" s="65">
        <v>317.06</v>
      </c>
      <c r="BH139" s="65">
        <v>320.15</v>
      </c>
      <c r="BI139" s="65">
        <v>323.2</v>
      </c>
      <c r="BJ139" s="65">
        <v>0.02</v>
      </c>
      <c r="BK139" s="65">
        <v>0.03</v>
      </c>
      <c r="BL139" s="65">
        <v>0.03</v>
      </c>
      <c r="BM139" s="65">
        <v>0.03</v>
      </c>
      <c r="BN139" s="65">
        <v>0.03</v>
      </c>
      <c r="BO139" s="65">
        <v>0.03</v>
      </c>
      <c r="BP139" s="65">
        <v>0.03</v>
      </c>
      <c r="BQ139" s="65">
        <v>0.03</v>
      </c>
      <c r="BR139" s="65">
        <v>0.03</v>
      </c>
      <c r="BS139" s="65">
        <v>0.03</v>
      </c>
      <c r="BT139" s="88">
        <v>12718.79</v>
      </c>
      <c r="BU139" s="65">
        <v>12810.45</v>
      </c>
      <c r="BV139" s="65">
        <v>12939.06</v>
      </c>
      <c r="BW139" s="90">
        <v>0.63</v>
      </c>
      <c r="BX139" s="90">
        <v>0.63</v>
      </c>
      <c r="BY139" s="90" t="str">
        <f t="array" ref="BY139">XLOOKUP(C139,'PL TOTAL D0'!$A$3:$A$1991,'PL TOTAL D0'!$C$3:$C$1991,"")</f>
        <v/>
      </c>
    </row>
    <row r="140" ht="15.75" customHeight="1">
      <c r="A140" s="50" t="s">
        <v>24</v>
      </c>
      <c r="B140" s="50" t="s">
        <v>2267</v>
      </c>
      <c r="C140" s="94" t="s">
        <v>2268</v>
      </c>
      <c r="D140" s="30" t="s">
        <v>89</v>
      </c>
      <c r="E140" s="95" t="s">
        <v>91</v>
      </c>
      <c r="F140" s="81" t="s">
        <v>521</v>
      </c>
      <c r="G140" s="47" t="str">
        <f t="shared" si="10"/>
        <v>David</v>
      </c>
      <c r="H140" s="49" t="s">
        <v>224</v>
      </c>
      <c r="I140" s="74" t="s">
        <v>66</v>
      </c>
      <c r="J140" s="47" t="str">
        <f t="shared" si="11"/>
        <v>Não</v>
      </c>
      <c r="K140" s="97">
        <v>45163.0</v>
      </c>
      <c r="L140" s="55">
        <v>45383.0</v>
      </c>
      <c r="M140" s="62" t="s">
        <v>231</v>
      </c>
      <c r="N140" s="98">
        <v>0.025</v>
      </c>
      <c r="O140" s="23" t="s">
        <v>233</v>
      </c>
      <c r="P140" s="99">
        <v>0.2</v>
      </c>
      <c r="Q140" s="58"/>
      <c r="R140" s="58" t="s">
        <v>2269</v>
      </c>
      <c r="S140" s="62" t="s">
        <v>194</v>
      </c>
      <c r="T140" s="32" t="s">
        <v>2271</v>
      </c>
      <c r="U140" s="33" t="s">
        <v>268</v>
      </c>
      <c r="V140" s="33"/>
      <c r="W140" s="33" t="s">
        <v>268</v>
      </c>
      <c r="X140" s="23" t="s">
        <v>221</v>
      </c>
      <c r="Y140" s="49" t="str">
        <f t="shared" si="4"/>
        <v>Encerrado</v>
      </c>
      <c r="Z140" s="62"/>
      <c r="AA140" s="62"/>
      <c r="AB140" s="64" t="s">
        <v>269</v>
      </c>
      <c r="AC140" s="79"/>
      <c r="AD140" s="54">
        <v>45163.0</v>
      </c>
      <c r="AE140" s="77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65">
        <v>639942.68</v>
      </c>
      <c r="AQ140" s="65">
        <v>670430.24</v>
      </c>
      <c r="AR140" s="65">
        <v>420511.08</v>
      </c>
      <c r="AS140" s="65">
        <v>425435.34</v>
      </c>
      <c r="AT140" s="65">
        <v>446569.35</v>
      </c>
      <c r="AU140" s="65">
        <v>409645.1</v>
      </c>
      <c r="AV140" s="65">
        <v>414810.38</v>
      </c>
      <c r="AW140" s="65">
        <v>0.0</v>
      </c>
      <c r="AX140" s="65">
        <v>0.0</v>
      </c>
      <c r="AY140" s="65">
        <v>0.0</v>
      </c>
      <c r="AZ140" s="65">
        <v>0.0</v>
      </c>
      <c r="BA140" s="65">
        <v>0.0</v>
      </c>
      <c r="BB140" s="65">
        <v>0.0</v>
      </c>
      <c r="BC140" s="65">
        <v>0.0</v>
      </c>
      <c r="BD140" s="65">
        <v>0.0</v>
      </c>
      <c r="BE140" s="65">
        <v>0.0</v>
      </c>
      <c r="BF140" s="65">
        <v>0.0</v>
      </c>
      <c r="BG140" s="65">
        <v>0.0</v>
      </c>
      <c r="BH140" s="65">
        <v>0.0</v>
      </c>
      <c r="BI140" s="65">
        <v>0.0</v>
      </c>
      <c r="BJ140" s="65">
        <v>0.0</v>
      </c>
      <c r="BK140" s="65">
        <v>0.0</v>
      </c>
      <c r="BL140" s="65">
        <v>0.0</v>
      </c>
      <c r="BM140" s="65">
        <v>0.0</v>
      </c>
      <c r="BN140" s="65">
        <v>0.0</v>
      </c>
      <c r="BO140" s="65">
        <v>0.0</v>
      </c>
      <c r="BP140" s="65">
        <v>0.0</v>
      </c>
      <c r="BQ140" s="65">
        <v>0.0</v>
      </c>
      <c r="BR140" s="65">
        <v>0.0</v>
      </c>
      <c r="BS140" s="65">
        <v>0.0</v>
      </c>
      <c r="BT140" s="88">
        <v>0.0</v>
      </c>
      <c r="BU140" s="65">
        <v>0.0</v>
      </c>
      <c r="BV140" s="65">
        <v>0.0</v>
      </c>
      <c r="BW140" s="90">
        <v>0.0</v>
      </c>
      <c r="BX140" s="90">
        <v>0.0</v>
      </c>
      <c r="BY140" s="90" t="str">
        <f t="array" ref="BY140">XLOOKUP(C140,'PL TOTAL D0'!$A$3:$A$1991,'PL TOTAL D0'!$C$3:$C$1991,"")</f>
        <v/>
      </c>
    </row>
    <row r="141" ht="15.75" customHeight="1">
      <c r="A141" s="50" t="s">
        <v>24</v>
      </c>
      <c r="B141" s="50" t="s">
        <v>2267</v>
      </c>
      <c r="C141" s="94" t="s">
        <v>2281</v>
      </c>
      <c r="D141" s="30" t="s">
        <v>89</v>
      </c>
      <c r="E141" s="95" t="s">
        <v>91</v>
      </c>
      <c r="F141" s="81" t="s">
        <v>521</v>
      </c>
      <c r="G141" s="47" t="str">
        <f t="shared" si="10"/>
        <v>David</v>
      </c>
      <c r="H141" s="49" t="s">
        <v>224</v>
      </c>
      <c r="I141" s="49" t="s">
        <v>66</v>
      </c>
      <c r="J141" s="47" t="str">
        <f t="shared" si="11"/>
        <v>Não</v>
      </c>
      <c r="K141" s="97">
        <v>45163.0</v>
      </c>
      <c r="L141" s="55">
        <v>45383.0</v>
      </c>
      <c r="M141" s="62" t="s">
        <v>61</v>
      </c>
      <c r="N141" s="98">
        <v>0.012</v>
      </c>
      <c r="O141" s="47" t="s">
        <v>66</v>
      </c>
      <c r="P141" s="99">
        <v>0.0</v>
      </c>
      <c r="Q141" s="58"/>
      <c r="R141" s="58" t="s">
        <v>2269</v>
      </c>
      <c r="S141" s="62" t="s">
        <v>194</v>
      </c>
      <c r="T141" s="32" t="s">
        <v>2271</v>
      </c>
      <c r="U141" s="33" t="s">
        <v>268</v>
      </c>
      <c r="V141" s="33"/>
      <c r="W141" s="33" t="s">
        <v>268</v>
      </c>
      <c r="X141" s="23" t="s">
        <v>221</v>
      </c>
      <c r="Y141" s="49" t="str">
        <f t="shared" si="4"/>
        <v>Encerrado</v>
      </c>
      <c r="Z141" s="62"/>
      <c r="AA141" s="62"/>
      <c r="AB141" s="64" t="s">
        <v>269</v>
      </c>
      <c r="AC141" s="79"/>
      <c r="AD141" s="54">
        <v>45163.0</v>
      </c>
      <c r="AE141" s="77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65">
        <v>1155551.7</v>
      </c>
      <c r="AQ141" s="65">
        <v>1186917.76</v>
      </c>
      <c r="AR141" s="65">
        <v>437400.25</v>
      </c>
      <c r="AS141" s="65">
        <v>440335.02</v>
      </c>
      <c r="AT141" s="65">
        <v>443817.26</v>
      </c>
      <c r="AU141" s="65">
        <v>447861.32</v>
      </c>
      <c r="AV141" s="65">
        <v>91645.86</v>
      </c>
      <c r="AW141" s="65">
        <v>0.0</v>
      </c>
      <c r="AX141" s="65">
        <v>0.0</v>
      </c>
      <c r="AY141" s="65">
        <v>0.0</v>
      </c>
      <c r="AZ141" s="65">
        <v>0.0</v>
      </c>
      <c r="BA141" s="65">
        <v>0.0</v>
      </c>
      <c r="BB141" s="65">
        <v>0.0</v>
      </c>
      <c r="BC141" s="65">
        <v>0.0</v>
      </c>
      <c r="BD141" s="65">
        <v>0.0</v>
      </c>
      <c r="BE141" s="65">
        <v>0.0</v>
      </c>
      <c r="BF141" s="65">
        <v>0.0</v>
      </c>
      <c r="BG141" s="65">
        <v>0.0</v>
      </c>
      <c r="BH141" s="65">
        <v>0.0</v>
      </c>
      <c r="BI141" s="65">
        <v>0.0</v>
      </c>
      <c r="BJ141" s="65">
        <v>0.0</v>
      </c>
      <c r="BK141" s="65">
        <v>0.0</v>
      </c>
      <c r="BL141" s="65">
        <v>0.0</v>
      </c>
      <c r="BM141" s="65">
        <v>0.0</v>
      </c>
      <c r="BN141" s="65">
        <v>0.0</v>
      </c>
      <c r="BO141" s="65">
        <v>0.0</v>
      </c>
      <c r="BP141" s="65">
        <v>0.0</v>
      </c>
      <c r="BQ141" s="65">
        <v>0.0</v>
      </c>
      <c r="BR141" s="65">
        <v>0.0</v>
      </c>
      <c r="BS141" s="65">
        <v>0.0</v>
      </c>
      <c r="BT141" s="88">
        <v>0.0</v>
      </c>
      <c r="BU141" s="65">
        <v>0.0</v>
      </c>
      <c r="BV141" s="65">
        <v>0.0</v>
      </c>
      <c r="BW141" s="90">
        <v>0.0</v>
      </c>
      <c r="BX141" s="90">
        <v>0.0</v>
      </c>
      <c r="BY141" s="90" t="str">
        <f t="array" ref="BY141">XLOOKUP(C141,'PL TOTAL D0'!$A$3:$A$1991,'PL TOTAL D0'!$C$3:$C$1991,"")</f>
        <v/>
      </c>
    </row>
    <row r="142" ht="15.75" customHeight="1">
      <c r="A142" s="50" t="s">
        <v>24</v>
      </c>
      <c r="B142" s="191" t="s">
        <v>2267</v>
      </c>
      <c r="C142" s="94" t="s">
        <v>2282</v>
      </c>
      <c r="D142" s="30" t="s">
        <v>89</v>
      </c>
      <c r="E142" s="95" t="s">
        <v>91</v>
      </c>
      <c r="F142" s="81" t="s">
        <v>521</v>
      </c>
      <c r="G142" s="47" t="str">
        <f t="shared" si="10"/>
        <v>David</v>
      </c>
      <c r="H142" s="49" t="s">
        <v>224</v>
      </c>
      <c r="I142" s="49" t="s">
        <v>66</v>
      </c>
      <c r="J142" s="47" t="str">
        <f t="shared" si="11"/>
        <v>Não</v>
      </c>
      <c r="K142" s="97">
        <v>45197.0</v>
      </c>
      <c r="L142" s="55">
        <v>45383.0</v>
      </c>
      <c r="M142" s="62" t="s">
        <v>201</v>
      </c>
      <c r="N142" s="98">
        <v>0.0</v>
      </c>
      <c r="O142" s="47" t="s">
        <v>66</v>
      </c>
      <c r="P142" s="99">
        <v>0.0</v>
      </c>
      <c r="Q142" s="58"/>
      <c r="R142" s="70"/>
      <c r="S142" s="62" t="s">
        <v>194</v>
      </c>
      <c r="T142" s="32" t="s">
        <v>2271</v>
      </c>
      <c r="U142" s="33" t="s">
        <v>268</v>
      </c>
      <c r="V142" s="33"/>
      <c r="W142" s="33" t="s">
        <v>268</v>
      </c>
      <c r="X142" s="23" t="s">
        <v>221</v>
      </c>
      <c r="Y142" s="49" t="str">
        <f t="shared" si="4"/>
        <v>Encerrado</v>
      </c>
      <c r="Z142" s="62"/>
      <c r="AA142" s="62"/>
      <c r="AB142" s="64" t="s">
        <v>269</v>
      </c>
      <c r="AC142" s="79"/>
      <c r="AD142" s="54">
        <v>45197.0</v>
      </c>
      <c r="AE142" s="77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65">
        <v>0.0</v>
      </c>
      <c r="AR142" s="65">
        <v>994268.77</v>
      </c>
      <c r="AS142" s="65">
        <v>1018728.75</v>
      </c>
      <c r="AT142" s="65">
        <v>1051464.13</v>
      </c>
      <c r="AU142" s="65">
        <v>1074749.39</v>
      </c>
      <c r="AV142" s="65">
        <v>290707.79</v>
      </c>
      <c r="AW142" s="65">
        <v>0.0</v>
      </c>
      <c r="AX142" s="65">
        <v>0.0</v>
      </c>
      <c r="AY142" s="65">
        <v>0.0</v>
      </c>
      <c r="AZ142" s="65">
        <v>0.0</v>
      </c>
      <c r="BA142" s="65">
        <v>0.0</v>
      </c>
      <c r="BB142" s="65">
        <v>0.0</v>
      </c>
      <c r="BC142" s="65">
        <v>0.0</v>
      </c>
      <c r="BD142" s="65">
        <v>0.0</v>
      </c>
      <c r="BE142" s="65">
        <v>0.0</v>
      </c>
      <c r="BF142" s="65">
        <v>0.0</v>
      </c>
      <c r="BG142" s="65">
        <v>0.0</v>
      </c>
      <c r="BH142" s="65">
        <v>0.0</v>
      </c>
      <c r="BI142" s="65">
        <v>0.0</v>
      </c>
      <c r="BJ142" s="65">
        <v>0.0</v>
      </c>
      <c r="BK142" s="65">
        <v>0.0</v>
      </c>
      <c r="BL142" s="65">
        <v>0.0</v>
      </c>
      <c r="BM142" s="65">
        <v>0.0</v>
      </c>
      <c r="BN142" s="65">
        <v>0.0</v>
      </c>
      <c r="BO142" s="65">
        <v>0.0</v>
      </c>
      <c r="BP142" s="65">
        <v>0.0</v>
      </c>
      <c r="BQ142" s="65">
        <v>0.0</v>
      </c>
      <c r="BR142" s="65">
        <v>0.0</v>
      </c>
      <c r="BS142" s="65">
        <v>0.0</v>
      </c>
      <c r="BT142" s="88">
        <v>0.0</v>
      </c>
      <c r="BU142" s="65">
        <v>0.0</v>
      </c>
      <c r="BV142" s="65">
        <v>0.0</v>
      </c>
      <c r="BW142" s="90">
        <v>0.0</v>
      </c>
      <c r="BX142" s="90">
        <v>0.0</v>
      </c>
      <c r="BY142" s="90" t="str">
        <f t="array" ref="BY142">XLOOKUP(C142,'PL TOTAL D0'!$A$3:$A$1991,'PL TOTAL D0'!$C$3:$C$1991,"")</f>
        <v/>
      </c>
    </row>
    <row r="143" ht="15.75" customHeight="1">
      <c r="A143" s="43" t="s">
        <v>24</v>
      </c>
      <c r="B143" s="428" t="s">
        <v>2284</v>
      </c>
      <c r="C143" s="94" t="s">
        <v>2285</v>
      </c>
      <c r="D143" s="30" t="s">
        <v>120</v>
      </c>
      <c r="E143" s="22" t="s">
        <v>199</v>
      </c>
      <c r="F143" s="30" t="s">
        <v>290</v>
      </c>
      <c r="G143" s="47" t="str">
        <f t="shared" si="10"/>
        <v>David</v>
      </c>
      <c r="H143" s="49" t="s">
        <v>183</v>
      </c>
      <c r="I143" s="49" t="s">
        <v>66</v>
      </c>
      <c r="J143" s="47" t="str">
        <f t="shared" si="11"/>
        <v>Não</v>
      </c>
      <c r="K143" s="54">
        <v>45364.0</v>
      </c>
      <c r="L143" s="62"/>
      <c r="M143" s="32" t="s">
        <v>390</v>
      </c>
      <c r="N143" s="56">
        <v>0.0</v>
      </c>
      <c r="O143" s="23" t="s">
        <v>66</v>
      </c>
      <c r="P143" s="57">
        <v>0.0</v>
      </c>
      <c r="Q143" s="58"/>
      <c r="R143" s="70"/>
      <c r="S143" s="32" t="s">
        <v>194</v>
      </c>
      <c r="T143" s="22" t="s">
        <v>2286</v>
      </c>
      <c r="U143" s="33">
        <v>5.561981191208E12</v>
      </c>
      <c r="V143" s="33" t="s">
        <v>2287</v>
      </c>
      <c r="W143" s="34">
        <v>44778.0</v>
      </c>
      <c r="X143" s="23" t="s">
        <v>199</v>
      </c>
      <c r="Y143" s="49" t="str">
        <f t="shared" si="4"/>
        <v>Ativo</v>
      </c>
      <c r="Z143" s="62"/>
      <c r="AA143" s="62"/>
      <c r="AB143" s="64" t="s">
        <v>269</v>
      </c>
      <c r="AC143" s="79"/>
      <c r="AD143" s="54">
        <v>45364.0</v>
      </c>
      <c r="AE143" s="77">
        <v>4.9075100013731E13</v>
      </c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65"/>
      <c r="AW143" s="65">
        <v>6000.0</v>
      </c>
      <c r="AX143" s="65">
        <v>12048.81</v>
      </c>
      <c r="AY143" s="65">
        <v>12143.78</v>
      </c>
      <c r="AZ143" s="65">
        <v>12219.3</v>
      </c>
      <c r="BA143" s="65">
        <v>12333.62</v>
      </c>
      <c r="BB143" s="65">
        <v>12438.93</v>
      </c>
      <c r="BC143" s="65">
        <v>12537.15</v>
      </c>
      <c r="BD143" s="65">
        <v>12657.71</v>
      </c>
      <c r="BE143" s="65">
        <v>12656.24</v>
      </c>
      <c r="BF143" s="65">
        <v>12755.12</v>
      </c>
      <c r="BG143" s="65">
        <v>12900.96</v>
      </c>
      <c r="BH143" s="65">
        <v>13054.3</v>
      </c>
      <c r="BI143" s="65">
        <v>13197.38</v>
      </c>
      <c r="BJ143" s="65">
        <v>13308.69</v>
      </c>
      <c r="BK143" s="65">
        <v>13451.22</v>
      </c>
      <c r="BL143" s="65">
        <v>13513.7</v>
      </c>
      <c r="BM143" s="65">
        <v>13688.23</v>
      </c>
      <c r="BN143" s="65">
        <v>13852.95</v>
      </c>
      <c r="BO143" s="65">
        <v>13980.92</v>
      </c>
      <c r="BP143" s="65">
        <v>14174.34</v>
      </c>
      <c r="BQ143" s="65">
        <v>14298.81</v>
      </c>
      <c r="BR143" s="65">
        <v>14413.95</v>
      </c>
      <c r="BS143" s="65">
        <v>14635.21</v>
      </c>
      <c r="BT143" s="88">
        <v>14738.76</v>
      </c>
      <c r="BU143" s="65">
        <v>14911.99</v>
      </c>
      <c r="BV143" s="65">
        <v>15085.04</v>
      </c>
      <c r="BW143" s="90">
        <v>15223.94</v>
      </c>
      <c r="BX143" s="90">
        <v>15309.77</v>
      </c>
      <c r="BY143" s="90">
        <f t="array" ref="BY143">XLOOKUP(C143,'PL TOTAL D0'!$A$3:$A$1991,'PL TOTAL D0'!$C$3:$C$1991,"")</f>
        <v>15517.14</v>
      </c>
    </row>
    <row r="144" ht="15.75" customHeight="1">
      <c r="A144" s="43" t="s">
        <v>24</v>
      </c>
      <c r="B144" s="431" t="s">
        <v>2290</v>
      </c>
      <c r="C144" s="94" t="s">
        <v>2291</v>
      </c>
      <c r="D144" s="30" t="s">
        <v>120</v>
      </c>
      <c r="E144" s="22" t="s">
        <v>199</v>
      </c>
      <c r="F144" s="30" t="s">
        <v>431</v>
      </c>
      <c r="G144" s="47" t="str">
        <f t="shared" si="10"/>
        <v>David</v>
      </c>
      <c r="H144" s="49" t="s">
        <v>295</v>
      </c>
      <c r="I144" s="49" t="s">
        <v>447</v>
      </c>
      <c r="J144" s="47" t="str">
        <f t="shared" si="11"/>
        <v>Sim</v>
      </c>
      <c r="K144" s="54">
        <v>45414.0</v>
      </c>
      <c r="L144" s="62"/>
      <c r="M144" s="32" t="s">
        <v>201</v>
      </c>
      <c r="N144" s="56">
        <v>0.003</v>
      </c>
      <c r="O144" s="23" t="s">
        <v>66</v>
      </c>
      <c r="P144" s="57">
        <v>0.0</v>
      </c>
      <c r="Q144" s="58" t="s">
        <v>656</v>
      </c>
      <c r="R144" s="70"/>
      <c r="S144" s="32" t="s">
        <v>194</v>
      </c>
      <c r="T144" s="177" t="s">
        <v>2293</v>
      </c>
      <c r="U144" s="33">
        <v>5.511943422609E12</v>
      </c>
      <c r="V144" s="33" t="s">
        <v>2294</v>
      </c>
      <c r="W144" s="34">
        <v>39717.0</v>
      </c>
      <c r="X144" s="23" t="s">
        <v>475</v>
      </c>
      <c r="Y144" s="49" t="str">
        <f t="shared" si="4"/>
        <v>Inativo</v>
      </c>
      <c r="Z144" s="32"/>
      <c r="AA144" s="32" t="s">
        <v>47</v>
      </c>
      <c r="AB144" s="64" t="s">
        <v>269</v>
      </c>
      <c r="AC144" s="79"/>
      <c r="AD144" s="54">
        <v>45414.0</v>
      </c>
      <c r="AE144" s="77">
        <v>4.9075100014434E13</v>
      </c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65"/>
      <c r="AW144" s="65"/>
      <c r="AX144" s="65"/>
      <c r="AY144" s="65">
        <v>0.0</v>
      </c>
      <c r="AZ144" s="65">
        <v>0.0</v>
      </c>
      <c r="BA144" s="65">
        <v>0.0</v>
      </c>
      <c r="BB144" s="65">
        <v>0.0</v>
      </c>
      <c r="BC144" s="65">
        <v>0.0</v>
      </c>
      <c r="BD144" s="65">
        <v>0.0</v>
      </c>
      <c r="BE144" s="65">
        <v>0.0</v>
      </c>
      <c r="BF144" s="65">
        <v>0.0</v>
      </c>
      <c r="BG144" s="65">
        <v>0.0</v>
      </c>
      <c r="BH144" s="65">
        <v>0.0</v>
      </c>
      <c r="BI144" s="65">
        <v>0.0</v>
      </c>
      <c r="BJ144" s="65">
        <v>0.0</v>
      </c>
      <c r="BK144" s="65">
        <v>0.0</v>
      </c>
      <c r="BL144" s="65">
        <v>0.0</v>
      </c>
      <c r="BM144" s="65">
        <v>0.0</v>
      </c>
      <c r="BN144" s="65">
        <v>0.0</v>
      </c>
      <c r="BO144" s="65">
        <v>0.0</v>
      </c>
      <c r="BP144" s="65">
        <v>0.0</v>
      </c>
      <c r="BQ144" s="65">
        <v>0.0</v>
      </c>
      <c r="BR144" s="65">
        <v>53000.13</v>
      </c>
      <c r="BS144" s="65">
        <v>50141.87</v>
      </c>
      <c r="BT144" s="88">
        <v>50625.9</v>
      </c>
      <c r="BU144" s="65">
        <v>50328.33</v>
      </c>
      <c r="BV144" s="65">
        <v>50856.79</v>
      </c>
      <c r="BW144" s="90">
        <v>50992.55</v>
      </c>
      <c r="BX144" s="90">
        <v>51514.28</v>
      </c>
      <c r="BY144" s="90">
        <f t="array" ref="BY144">XLOOKUP(C144,'PL TOTAL D0'!$A$3:$A$1991,'PL TOTAL D0'!$C$3:$C$1991,"")</f>
        <v>52161.29</v>
      </c>
    </row>
    <row r="145" ht="15.75" customHeight="1">
      <c r="A145" s="50" t="s">
        <v>24</v>
      </c>
      <c r="B145" s="43" t="s">
        <v>2299</v>
      </c>
      <c r="C145" s="94" t="s">
        <v>2300</v>
      </c>
      <c r="D145" s="30" t="s">
        <v>89</v>
      </c>
      <c r="E145" s="22" t="s">
        <v>91</v>
      </c>
      <c r="F145" s="81" t="s">
        <v>521</v>
      </c>
      <c r="G145" s="47" t="str">
        <f t="shared" si="10"/>
        <v>David</v>
      </c>
      <c r="H145" s="49" t="s">
        <v>183</v>
      </c>
      <c r="I145" s="49" t="s">
        <v>382</v>
      </c>
      <c r="J145" s="47" t="str">
        <f t="shared" si="11"/>
        <v>Não</v>
      </c>
      <c r="K145" s="54">
        <v>45315.0</v>
      </c>
      <c r="L145" s="62"/>
      <c r="M145" s="32" t="s">
        <v>390</v>
      </c>
      <c r="N145" s="56">
        <v>0.0</v>
      </c>
      <c r="O145" s="23" t="s">
        <v>66</v>
      </c>
      <c r="P145" s="57">
        <v>0.0</v>
      </c>
      <c r="Q145" s="58"/>
      <c r="R145" s="70"/>
      <c r="S145" s="32" t="s">
        <v>194</v>
      </c>
      <c r="T145" s="32" t="s">
        <v>2307</v>
      </c>
      <c r="U145" s="33">
        <v>5.543991837538E12</v>
      </c>
      <c r="V145" s="33" t="s">
        <v>2308</v>
      </c>
      <c r="W145" s="48">
        <v>40533.0</v>
      </c>
      <c r="X145" s="23" t="s">
        <v>221</v>
      </c>
      <c r="Y145" s="49" t="str">
        <f t="shared" si="4"/>
        <v>Ativo</v>
      </c>
      <c r="Z145" s="62"/>
      <c r="AA145" s="62"/>
      <c r="AB145" s="64" t="s">
        <v>269</v>
      </c>
      <c r="AC145" s="79"/>
      <c r="AD145" s="54">
        <v>45315.0</v>
      </c>
      <c r="AE145" s="77">
        <v>4.9075100013136E13</v>
      </c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65">
        <v>0.0</v>
      </c>
      <c r="AV145" s="65">
        <v>0.0</v>
      </c>
      <c r="AW145" s="65">
        <v>7188.3</v>
      </c>
      <c r="AX145" s="65">
        <v>7220.99</v>
      </c>
      <c r="AY145" s="65">
        <v>7277.91</v>
      </c>
      <c r="AZ145" s="65">
        <v>7321.3</v>
      </c>
      <c r="BA145" s="65">
        <v>7389.79</v>
      </c>
      <c r="BB145" s="65">
        <v>7452.89</v>
      </c>
      <c r="BC145" s="65">
        <v>7511.74</v>
      </c>
      <c r="BD145" s="65">
        <v>7583.97</v>
      </c>
      <c r="BE145" s="65">
        <v>7620.31</v>
      </c>
      <c r="BF145" s="65">
        <v>7637.13</v>
      </c>
      <c r="BG145" s="65">
        <v>7721.57</v>
      </c>
      <c r="BH145" s="65">
        <v>7822.83</v>
      </c>
      <c r="BI145" s="65">
        <v>7892.05</v>
      </c>
      <c r="BJ145" s="65">
        <v>7975.96</v>
      </c>
      <c r="BK145" s="65">
        <v>8066.52</v>
      </c>
      <c r="BL145" s="65">
        <v>8075.48</v>
      </c>
      <c r="BM145" s="65">
        <v>8179.57</v>
      </c>
      <c r="BN145" s="65">
        <v>8279.03</v>
      </c>
      <c r="BO145" s="65">
        <v>0.0</v>
      </c>
      <c r="BP145" s="65">
        <v>0.0</v>
      </c>
      <c r="BQ145" s="65">
        <v>0.0</v>
      </c>
      <c r="BR145" s="65">
        <v>0.0</v>
      </c>
      <c r="BS145" s="65">
        <v>0.0</v>
      </c>
      <c r="BT145" s="88">
        <v>0.0</v>
      </c>
      <c r="BU145" s="65">
        <v>0.0</v>
      </c>
      <c r="BV145" s="65">
        <v>0.0</v>
      </c>
      <c r="BW145" s="90">
        <v>0.0</v>
      </c>
      <c r="BX145" s="90">
        <v>0.0</v>
      </c>
      <c r="BY145" s="90" t="str">
        <f t="array" ref="BY145">XLOOKUP(C145,'PL TOTAL D0'!$A$3:$A$1991,'PL TOTAL D0'!$C$3:$C$1991,"")</f>
        <v/>
      </c>
    </row>
    <row r="146" ht="15.75" customHeight="1">
      <c r="A146" s="50" t="s">
        <v>24</v>
      </c>
      <c r="B146" s="166" t="s">
        <v>2310</v>
      </c>
      <c r="C146" s="94" t="s">
        <v>2312</v>
      </c>
      <c r="D146" s="30" t="s">
        <v>89</v>
      </c>
      <c r="E146" s="95" t="s">
        <v>91</v>
      </c>
      <c r="F146" s="81" t="s">
        <v>193</v>
      </c>
      <c r="G146" s="47" t="str">
        <f t="shared" si="10"/>
        <v>Gabriel</v>
      </c>
      <c r="H146" s="49" t="s">
        <v>183</v>
      </c>
      <c r="I146" s="49" t="s">
        <v>66</v>
      </c>
      <c r="J146" s="47" t="str">
        <f t="shared" si="11"/>
        <v>Não</v>
      </c>
      <c r="K146" s="97">
        <v>45212.0</v>
      </c>
      <c r="L146" s="62"/>
      <c r="M146" s="32" t="s">
        <v>1349</v>
      </c>
      <c r="N146" s="98">
        <v>0.012</v>
      </c>
      <c r="O146" s="23" t="s">
        <v>66</v>
      </c>
      <c r="P146" s="57">
        <v>0.0</v>
      </c>
      <c r="Q146" s="58"/>
      <c r="R146" s="58" t="s">
        <v>2315</v>
      </c>
      <c r="S146" s="62" t="s">
        <v>194</v>
      </c>
      <c r="T146" s="32" t="s">
        <v>2316</v>
      </c>
      <c r="U146" s="33">
        <v>5.543999334785E12</v>
      </c>
      <c r="V146" s="33" t="s">
        <v>2317</v>
      </c>
      <c r="W146" s="34">
        <v>35237.0</v>
      </c>
      <c r="X146" s="23" t="s">
        <v>221</v>
      </c>
      <c r="Y146" s="49" t="str">
        <f t="shared" si="4"/>
        <v>Ativo</v>
      </c>
      <c r="Z146" s="62"/>
      <c r="AA146" s="62"/>
      <c r="AB146" s="64" t="s">
        <v>269</v>
      </c>
      <c r="AC146" s="79"/>
      <c r="AD146" s="54">
        <v>45212.0</v>
      </c>
      <c r="AE146" s="77">
        <v>4.9075100012199E13</v>
      </c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65">
        <v>100266.31</v>
      </c>
      <c r="AS146" s="65">
        <v>142155.29</v>
      </c>
      <c r="AT146" s="65">
        <v>164016.57</v>
      </c>
      <c r="AU146" s="65">
        <v>183966.57</v>
      </c>
      <c r="AV146" s="65">
        <v>205524.11</v>
      </c>
      <c r="AW146" s="65">
        <v>227436.61</v>
      </c>
      <c r="AX146" s="65">
        <v>227492.11</v>
      </c>
      <c r="AY146" s="65">
        <v>248080.3</v>
      </c>
      <c r="AZ146" s="65">
        <v>249776.6</v>
      </c>
      <c r="BA146" s="65">
        <v>242034.3</v>
      </c>
      <c r="BB146" s="65">
        <v>244423.35</v>
      </c>
      <c r="BC146" s="65">
        <v>275345.39</v>
      </c>
      <c r="BD146" s="65">
        <v>300479.29</v>
      </c>
      <c r="BE146" s="65">
        <v>300362.8</v>
      </c>
      <c r="BF146" s="65">
        <v>301544.13</v>
      </c>
      <c r="BG146" s="65">
        <v>324138.97</v>
      </c>
      <c r="BH146" s="65">
        <v>346567.48</v>
      </c>
      <c r="BI146" s="65">
        <v>361877.21</v>
      </c>
      <c r="BJ146" s="65">
        <v>370484.43</v>
      </c>
      <c r="BK146" s="65">
        <v>358774.72</v>
      </c>
      <c r="BL146" s="65">
        <v>346684.91</v>
      </c>
      <c r="BM146" s="65">
        <v>350642.63</v>
      </c>
      <c r="BN146" s="65">
        <v>327875.4</v>
      </c>
      <c r="BO146" s="65">
        <v>330661.66</v>
      </c>
      <c r="BP146" s="65">
        <v>339489.3</v>
      </c>
      <c r="BQ146" s="65">
        <v>346599.1</v>
      </c>
      <c r="BR146" s="65">
        <v>350080.3</v>
      </c>
      <c r="BS146" s="65">
        <v>353768.87</v>
      </c>
      <c r="BT146" s="88">
        <v>345560.2</v>
      </c>
      <c r="BU146" s="65">
        <v>316537.8</v>
      </c>
      <c r="BV146" s="65">
        <v>309696.4</v>
      </c>
      <c r="BW146" s="90">
        <v>304334.3</v>
      </c>
      <c r="BX146" s="90">
        <v>303134.88</v>
      </c>
      <c r="BY146" s="90">
        <f t="array" ref="BY146">XLOOKUP(C146,'PL TOTAL D0'!$A$3:$A$1991,'PL TOTAL D0'!$C$3:$C$1991,"")</f>
        <v>306339.46</v>
      </c>
    </row>
    <row r="147" ht="15.75" customHeight="1">
      <c r="A147" s="50" t="s">
        <v>24</v>
      </c>
      <c r="B147" s="50" t="s">
        <v>2326</v>
      </c>
      <c r="C147" s="94" t="s">
        <v>2327</v>
      </c>
      <c r="D147" s="81" t="s">
        <v>255</v>
      </c>
      <c r="E147" s="95" t="s">
        <v>199</v>
      </c>
      <c r="F147" s="81" t="s">
        <v>2328</v>
      </c>
      <c r="G147" s="47" t="str">
        <f t="shared" si="10"/>
        <v>David</v>
      </c>
      <c r="H147" s="49" t="s">
        <v>224</v>
      </c>
      <c r="I147" s="49" t="s">
        <v>66</v>
      </c>
      <c r="J147" s="47" t="str">
        <f t="shared" si="11"/>
        <v>Não</v>
      </c>
      <c r="K147" s="97">
        <v>45083.0</v>
      </c>
      <c r="L147" s="55">
        <v>45565.0</v>
      </c>
      <c r="M147" s="62" t="s">
        <v>61</v>
      </c>
      <c r="N147" s="98">
        <v>0.007</v>
      </c>
      <c r="O147" s="47" t="s">
        <v>66</v>
      </c>
      <c r="P147" s="99">
        <v>0.0</v>
      </c>
      <c r="Q147" s="58"/>
      <c r="R147" s="70"/>
      <c r="S147" s="62" t="s">
        <v>194</v>
      </c>
      <c r="T147" s="32" t="s">
        <v>2332</v>
      </c>
      <c r="U147" s="33" t="s">
        <v>268</v>
      </c>
      <c r="V147" s="33"/>
      <c r="W147" s="33" t="s">
        <v>268</v>
      </c>
      <c r="X147" s="23" t="s">
        <v>199</v>
      </c>
      <c r="Y147" s="49" t="str">
        <f t="shared" si="4"/>
        <v>Encerrado</v>
      </c>
      <c r="Z147" s="62"/>
      <c r="AA147" s="62"/>
      <c r="AB147" s="64" t="s">
        <v>269</v>
      </c>
      <c r="AC147" s="79"/>
      <c r="AD147" s="54">
        <v>45083.0</v>
      </c>
      <c r="AE147" s="77">
        <v>4.9075100007871E13</v>
      </c>
      <c r="AF147" s="79"/>
      <c r="AG147" s="79"/>
      <c r="AH147" s="79"/>
      <c r="AI147" s="79"/>
      <c r="AJ147" s="79"/>
      <c r="AK147" s="79"/>
      <c r="AL147" s="79"/>
      <c r="AM147" s="79"/>
      <c r="AN147" s="65">
        <v>3553838.57</v>
      </c>
      <c r="AO147" s="65">
        <v>3583128.63</v>
      </c>
      <c r="AP147" s="65">
        <v>3606773.39</v>
      </c>
      <c r="AQ147" s="65">
        <v>3627523.86</v>
      </c>
      <c r="AR147" s="65">
        <v>3653413.64</v>
      </c>
      <c r="AS147" s="65">
        <v>3688194.04</v>
      </c>
      <c r="AT147" s="65">
        <v>3717376.72</v>
      </c>
      <c r="AU147" s="65">
        <v>3749944.01</v>
      </c>
      <c r="AV147" s="65">
        <v>3780231.62</v>
      </c>
      <c r="AW147" s="65">
        <v>3819221.34</v>
      </c>
      <c r="AX147" s="65">
        <v>3828588.27</v>
      </c>
      <c r="AY147" s="65">
        <v>3822686.0</v>
      </c>
      <c r="AZ147" s="65">
        <v>3850951.0</v>
      </c>
      <c r="BA147" s="65">
        <v>3888839.0</v>
      </c>
      <c r="BB147" s="65">
        <v>0.0</v>
      </c>
      <c r="BC147" s="65">
        <v>0.0</v>
      </c>
      <c r="BD147" s="65">
        <v>0.0</v>
      </c>
      <c r="BE147" s="65">
        <v>0.0</v>
      </c>
      <c r="BF147" s="65">
        <v>0.0</v>
      </c>
      <c r="BG147" s="65">
        <v>0.0</v>
      </c>
      <c r="BH147" s="65">
        <v>0.0</v>
      </c>
      <c r="BI147" s="65">
        <v>0.0</v>
      </c>
      <c r="BJ147" s="65">
        <v>0.0</v>
      </c>
      <c r="BK147" s="65">
        <v>0.0</v>
      </c>
      <c r="BL147" s="65">
        <v>0.0</v>
      </c>
      <c r="BM147" s="65">
        <v>0.0</v>
      </c>
      <c r="BN147" s="65">
        <v>0.0</v>
      </c>
      <c r="BO147" s="65">
        <v>0.0</v>
      </c>
      <c r="BP147" s="65">
        <v>0.0</v>
      </c>
      <c r="BQ147" s="65">
        <v>0.0</v>
      </c>
      <c r="BR147" s="65">
        <v>0.0</v>
      </c>
      <c r="BS147" s="65">
        <v>0.0</v>
      </c>
      <c r="BT147" s="88">
        <v>0.0</v>
      </c>
      <c r="BU147" s="65">
        <v>0.0</v>
      </c>
      <c r="BV147" s="65">
        <v>0.0</v>
      </c>
      <c r="BW147" s="90">
        <v>0.0</v>
      </c>
      <c r="BX147" s="90">
        <v>0.0</v>
      </c>
      <c r="BY147" s="90" t="str">
        <f t="array" ref="BY147">XLOOKUP(C147,'PL TOTAL D0'!$A$3:$A$1991,'PL TOTAL D0'!$C$3:$C$1991,"")</f>
        <v/>
      </c>
    </row>
    <row r="148" ht="15.75" customHeight="1">
      <c r="A148" s="50" t="s">
        <v>24</v>
      </c>
      <c r="B148" s="50" t="s">
        <v>2350</v>
      </c>
      <c r="C148" s="94" t="s">
        <v>2351</v>
      </c>
      <c r="D148" s="81" t="s">
        <v>120</v>
      </c>
      <c r="E148" s="95" t="s">
        <v>199</v>
      </c>
      <c r="F148" s="81" t="s">
        <v>1914</v>
      </c>
      <c r="G148" s="47" t="str">
        <f t="shared" si="10"/>
        <v>David</v>
      </c>
      <c r="H148" s="49" t="s">
        <v>224</v>
      </c>
      <c r="I148" s="49" t="s">
        <v>66</v>
      </c>
      <c r="J148" s="47" t="str">
        <f t="shared" si="11"/>
        <v>Não</v>
      </c>
      <c r="K148" s="97">
        <v>44909.0</v>
      </c>
      <c r="L148" s="121">
        <v>45581.0</v>
      </c>
      <c r="M148" s="62" t="s">
        <v>231</v>
      </c>
      <c r="N148" s="98">
        <v>0.025</v>
      </c>
      <c r="O148" s="23" t="s">
        <v>233</v>
      </c>
      <c r="P148" s="99">
        <v>0.2</v>
      </c>
      <c r="Q148" s="58"/>
      <c r="R148" s="58" t="s">
        <v>2352</v>
      </c>
      <c r="S148" s="62" t="s">
        <v>194</v>
      </c>
      <c r="T148" s="32" t="s">
        <v>2009</v>
      </c>
      <c r="U148" s="33" t="s">
        <v>268</v>
      </c>
      <c r="V148" s="33"/>
      <c r="W148" s="33" t="s">
        <v>268</v>
      </c>
      <c r="X148" s="23" t="s">
        <v>199</v>
      </c>
      <c r="Y148" s="49" t="str">
        <f t="shared" si="4"/>
        <v>Encerrado</v>
      </c>
      <c r="Z148" s="62"/>
      <c r="AA148" s="62"/>
      <c r="AB148" s="64" t="s">
        <v>244</v>
      </c>
      <c r="AC148" s="79"/>
      <c r="AD148" s="54">
        <v>44909.0</v>
      </c>
      <c r="AE148" s="77">
        <v>4.9075100009732E13</v>
      </c>
      <c r="AF148" s="79"/>
      <c r="AG148" s="79"/>
      <c r="AH148" s="65">
        <v>208225.34</v>
      </c>
      <c r="AI148" s="65">
        <v>199132.11</v>
      </c>
      <c r="AJ148" s="65">
        <v>445715.68</v>
      </c>
      <c r="AK148" s="65">
        <v>484136.36</v>
      </c>
      <c r="AL148" s="65">
        <v>292820.86</v>
      </c>
      <c r="AM148" s="65">
        <v>430183.62</v>
      </c>
      <c r="AN148" s="65">
        <v>458436.4</v>
      </c>
      <c r="AO148" s="65">
        <v>480581.05</v>
      </c>
      <c r="AP148" s="65">
        <v>460141.61</v>
      </c>
      <c r="AQ148" s="65">
        <v>454523.52</v>
      </c>
      <c r="AR148" s="65">
        <v>432464.51</v>
      </c>
      <c r="AS148" s="65">
        <v>464777.09</v>
      </c>
      <c r="AT148" s="65">
        <v>486661.08</v>
      </c>
      <c r="AU148" s="65">
        <v>452304.01</v>
      </c>
      <c r="AV148" s="65">
        <v>458425.63</v>
      </c>
      <c r="AW148" s="65">
        <v>466830.27</v>
      </c>
      <c r="AX148" s="65">
        <v>448658.28</v>
      </c>
      <c r="AY148" s="65">
        <v>434181.2</v>
      </c>
      <c r="AZ148" s="65">
        <v>435247.7</v>
      </c>
      <c r="BA148" s="65">
        <v>446535.8</v>
      </c>
      <c r="BB148" s="65">
        <v>505731.73</v>
      </c>
      <c r="BC148" s="65">
        <v>497974.23</v>
      </c>
      <c r="BD148" s="65">
        <v>0.0</v>
      </c>
      <c r="BE148" s="65">
        <v>0.0</v>
      </c>
      <c r="BF148" s="65">
        <v>0.0</v>
      </c>
      <c r="BG148" s="65">
        <v>0.0</v>
      </c>
      <c r="BH148" s="65">
        <v>0.0</v>
      </c>
      <c r="BI148" s="65">
        <v>0.0</v>
      </c>
      <c r="BJ148" s="65">
        <v>0.0</v>
      </c>
      <c r="BK148" s="65">
        <v>0.0</v>
      </c>
      <c r="BL148" s="65">
        <v>0.0</v>
      </c>
      <c r="BM148" s="65">
        <v>0.0</v>
      </c>
      <c r="BN148" s="65">
        <v>0.0</v>
      </c>
      <c r="BO148" s="65">
        <v>0.0</v>
      </c>
      <c r="BP148" s="65">
        <v>0.0</v>
      </c>
      <c r="BQ148" s="65">
        <v>0.0</v>
      </c>
      <c r="BR148" s="65">
        <v>0.0</v>
      </c>
      <c r="BS148" s="65">
        <v>0.0</v>
      </c>
      <c r="BT148" s="88">
        <v>0.0</v>
      </c>
      <c r="BU148" s="65">
        <v>0.0</v>
      </c>
      <c r="BV148" s="65">
        <v>0.0</v>
      </c>
      <c r="BW148" s="90">
        <v>0.0</v>
      </c>
      <c r="BX148" s="90">
        <v>0.0</v>
      </c>
      <c r="BY148" s="90" t="str">
        <f t="array" ref="BY148">XLOOKUP(C148,'PL TOTAL D0'!$A$3:$A$1991,'PL TOTAL D0'!$C$3:$C$1991,"")</f>
        <v/>
      </c>
    </row>
    <row r="149" ht="15.75" customHeight="1">
      <c r="A149" s="50" t="s">
        <v>24</v>
      </c>
      <c r="B149" s="50" t="s">
        <v>2350</v>
      </c>
      <c r="C149" s="94" t="s">
        <v>2360</v>
      </c>
      <c r="D149" s="81" t="s">
        <v>120</v>
      </c>
      <c r="E149" s="95" t="s">
        <v>199</v>
      </c>
      <c r="F149" s="81" t="s">
        <v>1914</v>
      </c>
      <c r="G149" s="47" t="str">
        <f t="shared" si="10"/>
        <v>David</v>
      </c>
      <c r="H149" s="49" t="s">
        <v>224</v>
      </c>
      <c r="I149" s="49" t="s">
        <v>66</v>
      </c>
      <c r="J149" s="47" t="str">
        <f t="shared" si="11"/>
        <v>Não</v>
      </c>
      <c r="K149" s="97">
        <v>45000.0</v>
      </c>
      <c r="L149" s="121">
        <v>45581.0</v>
      </c>
      <c r="M149" s="62" t="s">
        <v>2364</v>
      </c>
      <c r="N149" s="98">
        <v>0.02</v>
      </c>
      <c r="O149" s="23" t="s">
        <v>233</v>
      </c>
      <c r="P149" s="99">
        <v>0.2</v>
      </c>
      <c r="Q149" s="58"/>
      <c r="R149" s="58" t="s">
        <v>2352</v>
      </c>
      <c r="S149" s="62" t="s">
        <v>194</v>
      </c>
      <c r="T149" s="32" t="s">
        <v>2009</v>
      </c>
      <c r="U149" s="33" t="s">
        <v>268</v>
      </c>
      <c r="V149" s="33"/>
      <c r="W149" s="33" t="s">
        <v>268</v>
      </c>
      <c r="X149" s="23" t="s">
        <v>199</v>
      </c>
      <c r="Y149" s="49" t="str">
        <f t="shared" si="4"/>
        <v>Encerrado</v>
      </c>
      <c r="Z149" s="62"/>
      <c r="AA149" s="62"/>
      <c r="AB149" s="64" t="s">
        <v>244</v>
      </c>
      <c r="AC149" s="79"/>
      <c r="AD149" s="54">
        <v>45000.0</v>
      </c>
      <c r="AE149" s="77">
        <v>4.9075100008655E13</v>
      </c>
      <c r="AF149" s="79"/>
      <c r="AG149" s="79"/>
      <c r="AH149" s="79"/>
      <c r="AI149" s="65">
        <v>0.0</v>
      </c>
      <c r="AJ149" s="65">
        <v>0.0</v>
      </c>
      <c r="AK149" s="65">
        <v>38619.74</v>
      </c>
      <c r="AL149" s="65">
        <v>39585.71</v>
      </c>
      <c r="AM149" s="65">
        <v>43353.84</v>
      </c>
      <c r="AN149" s="65">
        <v>46351.99</v>
      </c>
      <c r="AO149" s="65">
        <v>50159.6</v>
      </c>
      <c r="AP149" s="65">
        <v>51186.8</v>
      </c>
      <c r="AQ149" s="65">
        <v>50747.86</v>
      </c>
      <c r="AR149" s="65">
        <v>46192.47</v>
      </c>
      <c r="AS149" s="65">
        <v>49495.0</v>
      </c>
      <c r="AT149" s="65">
        <v>52418.97</v>
      </c>
      <c r="AU149" s="65">
        <v>49646.1</v>
      </c>
      <c r="AV149" s="65">
        <v>49063.18</v>
      </c>
      <c r="AW149" s="65">
        <v>51054.53</v>
      </c>
      <c r="AX149" s="65">
        <v>47973.39</v>
      </c>
      <c r="AY149" s="65">
        <v>44787.31</v>
      </c>
      <c r="AZ149" s="65">
        <v>44765.22</v>
      </c>
      <c r="BA149" s="65">
        <v>47476.75</v>
      </c>
      <c r="BB149" s="65">
        <v>48270.03</v>
      </c>
      <c r="BC149" s="65">
        <v>46154.53</v>
      </c>
      <c r="BD149" s="65">
        <v>0.0</v>
      </c>
      <c r="BE149" s="65">
        <v>0.0</v>
      </c>
      <c r="BF149" s="65">
        <v>0.0</v>
      </c>
      <c r="BG149" s="65">
        <v>0.0</v>
      </c>
      <c r="BH149" s="65">
        <v>0.0</v>
      </c>
      <c r="BI149" s="65">
        <v>0.0</v>
      </c>
      <c r="BJ149" s="65">
        <v>0.0</v>
      </c>
      <c r="BK149" s="65">
        <v>0.0</v>
      </c>
      <c r="BL149" s="65">
        <v>0.0</v>
      </c>
      <c r="BM149" s="65">
        <v>0.0</v>
      </c>
      <c r="BN149" s="65">
        <v>0.0</v>
      </c>
      <c r="BO149" s="65">
        <v>0.0</v>
      </c>
      <c r="BP149" s="65">
        <v>0.0</v>
      </c>
      <c r="BQ149" s="65">
        <v>0.0</v>
      </c>
      <c r="BR149" s="65">
        <v>0.0</v>
      </c>
      <c r="BS149" s="65">
        <v>0.0</v>
      </c>
      <c r="BT149" s="88">
        <v>0.0</v>
      </c>
      <c r="BU149" s="65">
        <v>0.0</v>
      </c>
      <c r="BV149" s="65">
        <v>0.0</v>
      </c>
      <c r="BW149" s="90">
        <v>0.0</v>
      </c>
      <c r="BX149" s="90">
        <v>0.0</v>
      </c>
      <c r="BY149" s="90" t="str">
        <f t="array" ref="BY149">XLOOKUP(C149,'PL TOTAL D0'!$A$3:$A$1991,'PL TOTAL D0'!$C$3:$C$1991,"")</f>
        <v/>
      </c>
    </row>
    <row r="150" ht="15.75" customHeight="1">
      <c r="A150" s="50" t="s">
        <v>24</v>
      </c>
      <c r="B150" s="50" t="s">
        <v>2350</v>
      </c>
      <c r="C150" s="94" t="s">
        <v>2368</v>
      </c>
      <c r="D150" s="81" t="s">
        <v>120</v>
      </c>
      <c r="E150" s="95" t="s">
        <v>199</v>
      </c>
      <c r="F150" s="81" t="s">
        <v>1914</v>
      </c>
      <c r="G150" s="47" t="str">
        <f t="shared" si="10"/>
        <v>David</v>
      </c>
      <c r="H150" s="49" t="s">
        <v>224</v>
      </c>
      <c r="I150" s="49" t="s">
        <v>66</v>
      </c>
      <c r="J150" s="47" t="str">
        <f t="shared" si="11"/>
        <v>Não</v>
      </c>
      <c r="K150" s="97">
        <v>44914.0</v>
      </c>
      <c r="L150" s="121">
        <v>45581.0</v>
      </c>
      <c r="M150" s="62" t="s">
        <v>2371</v>
      </c>
      <c r="N150" s="98">
        <v>0.007</v>
      </c>
      <c r="O150" s="47" t="s">
        <v>66</v>
      </c>
      <c r="P150" s="99">
        <v>0.0</v>
      </c>
      <c r="Q150" s="58"/>
      <c r="R150" s="58" t="s">
        <v>2352</v>
      </c>
      <c r="S150" s="62" t="s">
        <v>194</v>
      </c>
      <c r="T150" s="32" t="s">
        <v>2009</v>
      </c>
      <c r="U150" s="33" t="s">
        <v>268</v>
      </c>
      <c r="V150" s="33"/>
      <c r="W150" s="33" t="s">
        <v>268</v>
      </c>
      <c r="X150" s="23" t="s">
        <v>199</v>
      </c>
      <c r="Y150" s="49" t="str">
        <f t="shared" si="4"/>
        <v>Encerrado</v>
      </c>
      <c r="Z150" s="62"/>
      <c r="AA150" s="62"/>
      <c r="AB150" s="64" t="s">
        <v>244</v>
      </c>
      <c r="AC150" s="79"/>
      <c r="AD150" s="54">
        <v>44914.0</v>
      </c>
      <c r="AE150" s="77">
        <v>4.9075100005516E13</v>
      </c>
      <c r="AF150" s="79"/>
      <c r="AG150" s="79"/>
      <c r="AH150" s="65">
        <v>251665.93</v>
      </c>
      <c r="AI150" s="65">
        <v>253101.08</v>
      </c>
      <c r="AJ150" s="65">
        <v>253309.58</v>
      </c>
      <c r="AK150" s="65">
        <v>254947.94</v>
      </c>
      <c r="AL150" s="65">
        <v>256691.1</v>
      </c>
      <c r="AM150" s="65">
        <v>259544.42</v>
      </c>
      <c r="AN150" s="65">
        <v>262967.65</v>
      </c>
      <c r="AO150" s="65">
        <v>266291.47</v>
      </c>
      <c r="AP150" s="65">
        <v>267662.59</v>
      </c>
      <c r="AQ150" s="65">
        <v>268625.62</v>
      </c>
      <c r="AR150" s="65">
        <v>269955.31</v>
      </c>
      <c r="AS150" s="65">
        <v>275516.03</v>
      </c>
      <c r="AT150" s="65">
        <v>281427.46</v>
      </c>
      <c r="AU150" s="65">
        <v>282605.19</v>
      </c>
      <c r="AV150" s="65">
        <v>284292.04</v>
      </c>
      <c r="AW150" s="65">
        <v>286943.12</v>
      </c>
      <c r="AX150" s="65">
        <v>287652.28</v>
      </c>
      <c r="AY150" s="65">
        <v>289949.1</v>
      </c>
      <c r="AZ150" s="65">
        <v>292522.6</v>
      </c>
      <c r="BA150" s="65">
        <v>295898.5</v>
      </c>
      <c r="BB150" s="65">
        <v>297135.75</v>
      </c>
      <c r="BC150" s="65">
        <v>300088.24</v>
      </c>
      <c r="BD150" s="65">
        <v>0.0</v>
      </c>
      <c r="BE150" s="65">
        <v>0.0</v>
      </c>
      <c r="BF150" s="65">
        <v>0.0</v>
      </c>
      <c r="BG150" s="65">
        <v>0.0</v>
      </c>
      <c r="BH150" s="65">
        <v>0.0</v>
      </c>
      <c r="BI150" s="65">
        <v>0.0</v>
      </c>
      <c r="BJ150" s="65">
        <v>0.0</v>
      </c>
      <c r="BK150" s="65">
        <v>0.0</v>
      </c>
      <c r="BL150" s="65">
        <v>0.0</v>
      </c>
      <c r="BM150" s="65">
        <v>0.0</v>
      </c>
      <c r="BN150" s="65">
        <v>0.0</v>
      </c>
      <c r="BO150" s="65">
        <v>0.0</v>
      </c>
      <c r="BP150" s="65">
        <v>0.0</v>
      </c>
      <c r="BQ150" s="65">
        <v>0.0</v>
      </c>
      <c r="BR150" s="65">
        <v>0.0</v>
      </c>
      <c r="BS150" s="65">
        <v>0.0</v>
      </c>
      <c r="BT150" s="88">
        <v>0.0</v>
      </c>
      <c r="BU150" s="65">
        <v>0.0</v>
      </c>
      <c r="BV150" s="65">
        <v>0.0</v>
      </c>
      <c r="BW150" s="90">
        <v>0.0</v>
      </c>
      <c r="BX150" s="90">
        <v>0.0</v>
      </c>
      <c r="BY150" s="90" t="str">
        <f t="array" ref="BY150">XLOOKUP(C150,'PL TOTAL D0'!$A$3:$A$1991,'PL TOTAL D0'!$C$3:$C$1991,"")</f>
        <v/>
      </c>
    </row>
    <row r="151" ht="15.75" customHeight="1">
      <c r="A151" s="50" t="s">
        <v>24</v>
      </c>
      <c r="B151" s="50" t="s">
        <v>2350</v>
      </c>
      <c r="C151" s="94" t="s">
        <v>2380</v>
      </c>
      <c r="D151" s="81" t="s">
        <v>120</v>
      </c>
      <c r="E151" s="95" t="s">
        <v>199</v>
      </c>
      <c r="F151" s="81" t="s">
        <v>1914</v>
      </c>
      <c r="G151" s="47" t="str">
        <f t="shared" si="10"/>
        <v>David</v>
      </c>
      <c r="H151" s="49" t="s">
        <v>224</v>
      </c>
      <c r="I151" s="49" t="s">
        <v>66</v>
      </c>
      <c r="J151" s="47" t="str">
        <f t="shared" si="11"/>
        <v>Não</v>
      </c>
      <c r="K151" s="189">
        <v>45026.0</v>
      </c>
      <c r="L151" s="121">
        <v>45581.0</v>
      </c>
      <c r="M151" s="62" t="s">
        <v>61</v>
      </c>
      <c r="N151" s="98">
        <v>0.012</v>
      </c>
      <c r="O151" s="47" t="s">
        <v>66</v>
      </c>
      <c r="P151" s="99">
        <v>0.0</v>
      </c>
      <c r="Q151" s="58"/>
      <c r="R151" s="58" t="s">
        <v>2352</v>
      </c>
      <c r="S151" s="62" t="s">
        <v>194</v>
      </c>
      <c r="T151" s="32" t="s">
        <v>2009</v>
      </c>
      <c r="U151" s="33" t="s">
        <v>268</v>
      </c>
      <c r="V151" s="33"/>
      <c r="W151" s="33" t="s">
        <v>268</v>
      </c>
      <c r="X151" s="23" t="s">
        <v>199</v>
      </c>
      <c r="Y151" s="49" t="str">
        <f t="shared" si="4"/>
        <v>Encerrado</v>
      </c>
      <c r="Z151" s="62"/>
      <c r="AA151" s="62"/>
      <c r="AB151" s="64" t="s">
        <v>244</v>
      </c>
      <c r="AC151" s="79"/>
      <c r="AD151" s="54">
        <v>45026.0</v>
      </c>
      <c r="AE151" s="77">
        <v>4.9075100012202E13</v>
      </c>
      <c r="AF151" s="79"/>
      <c r="AG151" s="79"/>
      <c r="AH151" s="79"/>
      <c r="AI151" s="65">
        <v>0.0</v>
      </c>
      <c r="AJ151" s="65">
        <v>0.0</v>
      </c>
      <c r="AK151" s="65">
        <v>0.0</v>
      </c>
      <c r="AL151" s="65">
        <v>180408.94</v>
      </c>
      <c r="AM151" s="65">
        <v>182350.83</v>
      </c>
      <c r="AN151" s="65">
        <v>184021.08</v>
      </c>
      <c r="AO151" s="65">
        <v>185673.7</v>
      </c>
      <c r="AP151" s="65">
        <v>187477.34</v>
      </c>
      <c r="AQ151" s="65">
        <v>189009.11</v>
      </c>
      <c r="AR151" s="65">
        <v>190678.08</v>
      </c>
      <c r="AS151" s="65">
        <v>192060.09</v>
      </c>
      <c r="AT151" s="65">
        <v>193515.77</v>
      </c>
      <c r="AU151" s="65">
        <v>192079.67</v>
      </c>
      <c r="AV151" s="65">
        <v>193429.54</v>
      </c>
      <c r="AW151" s="65">
        <v>194882.55</v>
      </c>
      <c r="AX151" s="65">
        <v>195978.42</v>
      </c>
      <c r="AY151" s="65">
        <v>197386.4</v>
      </c>
      <c r="AZ151" s="65">
        <v>198823.4</v>
      </c>
      <c r="BA151" s="65">
        <v>200003.7</v>
      </c>
      <c r="BB151" s="65">
        <v>201499.45</v>
      </c>
      <c r="BC151" s="65">
        <v>303546.38</v>
      </c>
      <c r="BD151" s="65">
        <v>0.0</v>
      </c>
      <c r="BE151" s="65">
        <v>0.0</v>
      </c>
      <c r="BF151" s="65">
        <v>0.0</v>
      </c>
      <c r="BG151" s="65">
        <v>0.0</v>
      </c>
      <c r="BH151" s="65">
        <v>0.0</v>
      </c>
      <c r="BI151" s="65">
        <v>0.0</v>
      </c>
      <c r="BJ151" s="65">
        <v>0.0</v>
      </c>
      <c r="BK151" s="65">
        <v>0.0</v>
      </c>
      <c r="BL151" s="65">
        <v>0.0</v>
      </c>
      <c r="BM151" s="65">
        <v>0.0</v>
      </c>
      <c r="BN151" s="65">
        <v>0.0</v>
      </c>
      <c r="BO151" s="65">
        <v>0.0</v>
      </c>
      <c r="BP151" s="65">
        <v>0.0</v>
      </c>
      <c r="BQ151" s="65">
        <v>0.0</v>
      </c>
      <c r="BR151" s="65">
        <v>0.0</v>
      </c>
      <c r="BS151" s="65">
        <v>0.0</v>
      </c>
      <c r="BT151" s="88">
        <v>0.0</v>
      </c>
      <c r="BU151" s="65">
        <v>0.0</v>
      </c>
      <c r="BV151" s="65">
        <v>0.0</v>
      </c>
      <c r="BW151" s="90">
        <v>0.0</v>
      </c>
      <c r="BX151" s="90">
        <v>0.0</v>
      </c>
      <c r="BY151" s="90" t="str">
        <f t="array" ref="BY151">XLOOKUP(C151,'PL TOTAL D0'!$A$3:$A$1991,'PL TOTAL D0'!$C$3:$C$1991,"")</f>
        <v/>
      </c>
    </row>
    <row r="152" ht="15.75" customHeight="1">
      <c r="A152" s="50" t="s">
        <v>24</v>
      </c>
      <c r="B152" s="50" t="s">
        <v>2350</v>
      </c>
      <c r="C152" s="94" t="s">
        <v>2390</v>
      </c>
      <c r="D152" s="81" t="s">
        <v>120</v>
      </c>
      <c r="E152" s="95" t="s">
        <v>199</v>
      </c>
      <c r="F152" s="81" t="s">
        <v>1914</v>
      </c>
      <c r="G152" s="47" t="str">
        <f t="shared" si="10"/>
        <v>David</v>
      </c>
      <c r="H152" s="49" t="s">
        <v>224</v>
      </c>
      <c r="I152" s="49" t="s">
        <v>66</v>
      </c>
      <c r="J152" s="47" t="str">
        <f t="shared" si="11"/>
        <v>Não</v>
      </c>
      <c r="K152" s="97">
        <v>45166.0</v>
      </c>
      <c r="L152" s="121">
        <v>45581.0</v>
      </c>
      <c r="M152" s="62" t="s">
        <v>1142</v>
      </c>
      <c r="N152" s="98">
        <v>0.008</v>
      </c>
      <c r="O152" s="47" t="s">
        <v>1143</v>
      </c>
      <c r="P152" s="99">
        <v>0.1</v>
      </c>
      <c r="Q152" s="58"/>
      <c r="R152" s="58" t="s">
        <v>2352</v>
      </c>
      <c r="S152" s="62" t="s">
        <v>194</v>
      </c>
      <c r="T152" s="32" t="s">
        <v>2009</v>
      </c>
      <c r="U152" s="33" t="s">
        <v>268</v>
      </c>
      <c r="V152" s="33"/>
      <c r="W152" s="33" t="s">
        <v>268</v>
      </c>
      <c r="X152" s="23" t="s">
        <v>199</v>
      </c>
      <c r="Y152" s="49" t="str">
        <f t="shared" si="4"/>
        <v>Encerrado</v>
      </c>
      <c r="Z152" s="62"/>
      <c r="AA152" s="62"/>
      <c r="AB152" s="64" t="s">
        <v>244</v>
      </c>
      <c r="AC152" s="79"/>
      <c r="AD152" s="54">
        <v>45166.0</v>
      </c>
      <c r="AE152" s="77">
        <v>4.9075100011257E13</v>
      </c>
      <c r="AF152" s="79"/>
      <c r="AG152" s="79"/>
      <c r="AH152" s="79"/>
      <c r="AI152" s="65">
        <v>0.0</v>
      </c>
      <c r="AJ152" s="65">
        <v>0.0</v>
      </c>
      <c r="AK152" s="65">
        <v>0.0</v>
      </c>
      <c r="AL152" s="65">
        <v>0.0</v>
      </c>
      <c r="AM152" s="65">
        <v>0.0</v>
      </c>
      <c r="AN152" s="65">
        <v>0.0</v>
      </c>
      <c r="AO152" s="65">
        <v>0.0</v>
      </c>
      <c r="AP152" s="65">
        <v>0.0</v>
      </c>
      <c r="AQ152" s="65">
        <v>0.0</v>
      </c>
      <c r="AR152" s="65">
        <v>0.0</v>
      </c>
      <c r="AS152" s="65">
        <v>0.0</v>
      </c>
      <c r="AT152" s="65">
        <v>0.0</v>
      </c>
      <c r="AU152" s="65">
        <v>0.0</v>
      </c>
      <c r="AV152" s="65">
        <v>0.0</v>
      </c>
      <c r="AW152" s="65">
        <v>0.0</v>
      </c>
      <c r="AX152" s="65">
        <v>0.0</v>
      </c>
      <c r="AY152" s="65">
        <v>0.0</v>
      </c>
      <c r="AZ152" s="65">
        <v>0.0</v>
      </c>
      <c r="BA152" s="65">
        <v>0.0</v>
      </c>
      <c r="BB152" s="65">
        <v>0.0</v>
      </c>
      <c r="BC152" s="65">
        <v>0.0</v>
      </c>
      <c r="BD152" s="65">
        <v>0.0</v>
      </c>
      <c r="BE152" s="65">
        <v>0.0</v>
      </c>
      <c r="BF152" s="65">
        <v>0.0</v>
      </c>
      <c r="BG152" s="65">
        <v>0.0</v>
      </c>
      <c r="BH152" s="65">
        <v>0.0</v>
      </c>
      <c r="BI152" s="65">
        <v>0.0</v>
      </c>
      <c r="BJ152" s="65">
        <v>0.0</v>
      </c>
      <c r="BK152" s="65">
        <v>0.0</v>
      </c>
      <c r="BL152" s="65">
        <v>0.0</v>
      </c>
      <c r="BM152" s="65">
        <v>0.0</v>
      </c>
      <c r="BN152" s="65">
        <v>0.0</v>
      </c>
      <c r="BO152" s="65">
        <v>0.0</v>
      </c>
      <c r="BP152" s="65">
        <v>0.0</v>
      </c>
      <c r="BQ152" s="65">
        <v>0.0</v>
      </c>
      <c r="BR152" s="65">
        <v>0.0</v>
      </c>
      <c r="BS152" s="65">
        <v>0.0</v>
      </c>
      <c r="BT152" s="88">
        <v>0.0</v>
      </c>
      <c r="BU152" s="65">
        <v>0.0</v>
      </c>
      <c r="BV152" s="65">
        <v>0.0</v>
      </c>
      <c r="BW152" s="90">
        <v>0.0</v>
      </c>
      <c r="BX152" s="90">
        <v>0.0</v>
      </c>
      <c r="BY152" s="90" t="str">
        <f t="array" ref="BY152">XLOOKUP(C152,'PL TOTAL D0'!$A$3:$A$1991,'PL TOTAL D0'!$C$3:$C$1991,"")</f>
        <v/>
      </c>
    </row>
    <row r="153" ht="15.75" customHeight="1">
      <c r="A153" s="43" t="s">
        <v>24</v>
      </c>
      <c r="B153" s="43" t="s">
        <v>2394</v>
      </c>
      <c r="C153" s="94" t="s">
        <v>2395</v>
      </c>
      <c r="D153" s="30" t="s">
        <v>120</v>
      </c>
      <c r="E153" s="22" t="s">
        <v>199</v>
      </c>
      <c r="F153" s="30" t="s">
        <v>1914</v>
      </c>
      <c r="G153" s="47" t="str">
        <f t="shared" si="10"/>
        <v>David</v>
      </c>
      <c r="H153" s="49" t="s">
        <v>224</v>
      </c>
      <c r="I153" s="49" t="s">
        <v>66</v>
      </c>
      <c r="J153" s="47" t="str">
        <f t="shared" si="11"/>
        <v>Não</v>
      </c>
      <c r="K153" s="54">
        <v>45350.0</v>
      </c>
      <c r="L153" s="55">
        <v>45796.0</v>
      </c>
      <c r="M153" s="32" t="s">
        <v>61</v>
      </c>
      <c r="N153" s="56">
        <v>0.012</v>
      </c>
      <c r="O153" s="23" t="s">
        <v>66</v>
      </c>
      <c r="P153" s="57">
        <v>0.0</v>
      </c>
      <c r="Q153" s="58"/>
      <c r="R153" s="58" t="s">
        <v>2352</v>
      </c>
      <c r="S153" s="32" t="s">
        <v>194</v>
      </c>
      <c r="T153" s="177" t="s">
        <v>2399</v>
      </c>
      <c r="U153" s="33" t="s">
        <v>268</v>
      </c>
      <c r="V153" s="33"/>
      <c r="W153" s="33" t="s">
        <v>268</v>
      </c>
      <c r="X153" s="23" t="s">
        <v>475</v>
      </c>
      <c r="Y153" s="49" t="str">
        <f t="shared" si="4"/>
        <v>Encerrado</v>
      </c>
      <c r="Z153" s="62"/>
      <c r="AA153" s="62"/>
      <c r="AB153" s="64" t="s">
        <v>269</v>
      </c>
      <c r="AC153" s="79"/>
      <c r="AD153" s="54">
        <v>45350.0</v>
      </c>
      <c r="AE153" s="77">
        <v>4.9075100013306E13</v>
      </c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65">
        <v>397851.93</v>
      </c>
      <c r="AW153" s="65">
        <v>1000991.59</v>
      </c>
      <c r="AX153" s="65">
        <v>998239.39</v>
      </c>
      <c r="AY153" s="65">
        <v>1001239.0</v>
      </c>
      <c r="AZ153" s="65">
        <v>1008290.0</v>
      </c>
      <c r="BA153" s="65">
        <v>1036785.0</v>
      </c>
      <c r="BB153" s="65">
        <v>1043968.84</v>
      </c>
      <c r="BC153" s="65">
        <v>1013749.31</v>
      </c>
      <c r="BD153" s="65">
        <v>1023061.78</v>
      </c>
      <c r="BE153" s="65">
        <v>0.0</v>
      </c>
      <c r="BF153" s="65">
        <v>0.0</v>
      </c>
      <c r="BG153" s="65">
        <v>0.0</v>
      </c>
      <c r="BH153" s="65">
        <v>0.0</v>
      </c>
      <c r="BI153" s="65">
        <v>0.0</v>
      </c>
      <c r="BJ153" s="65">
        <v>0.0</v>
      </c>
      <c r="BK153" s="65">
        <v>0.0</v>
      </c>
      <c r="BL153" s="65">
        <v>0.0</v>
      </c>
      <c r="BM153" s="65">
        <v>0.0</v>
      </c>
      <c r="BN153" s="65">
        <v>0.0</v>
      </c>
      <c r="BO153" s="65">
        <v>0.0</v>
      </c>
      <c r="BP153" s="65">
        <v>0.0</v>
      </c>
      <c r="BQ153" s="65">
        <v>0.0</v>
      </c>
      <c r="BR153" s="65">
        <v>0.0</v>
      </c>
      <c r="BS153" s="65">
        <v>0.0</v>
      </c>
      <c r="BT153" s="88">
        <v>0.0</v>
      </c>
      <c r="BU153" s="65">
        <v>0.0</v>
      </c>
      <c r="BV153" s="65">
        <v>0.0</v>
      </c>
      <c r="BW153" s="90">
        <v>0.0</v>
      </c>
      <c r="BX153" s="90">
        <v>0.0</v>
      </c>
      <c r="BY153" s="90" t="str">
        <f t="array" ref="BY153">XLOOKUP(C153,'PL TOTAL D0'!$A$3:$A$1991,'PL TOTAL D0'!$C$3:$C$1991,"")</f>
        <v/>
      </c>
    </row>
    <row r="154" ht="15.75" customHeight="1">
      <c r="A154" s="43" t="s">
        <v>24</v>
      </c>
      <c r="B154" s="43" t="s">
        <v>2403</v>
      </c>
      <c r="C154" s="94" t="s">
        <v>2404</v>
      </c>
      <c r="D154" s="30" t="s">
        <v>120</v>
      </c>
      <c r="E154" s="22" t="s">
        <v>199</v>
      </c>
      <c r="F154" s="30" t="s">
        <v>431</v>
      </c>
      <c r="G154" s="47" t="str">
        <f t="shared" si="10"/>
        <v>David</v>
      </c>
      <c r="H154" s="49" t="s">
        <v>295</v>
      </c>
      <c r="I154" s="49" t="s">
        <v>447</v>
      </c>
      <c r="J154" s="47" t="str">
        <f t="shared" si="11"/>
        <v>Não</v>
      </c>
      <c r="K154" s="54">
        <v>45573.0</v>
      </c>
      <c r="L154" s="62"/>
      <c r="M154" s="32" t="s">
        <v>201</v>
      </c>
      <c r="N154" s="56">
        <v>0.0</v>
      </c>
      <c r="O154" s="23" t="s">
        <v>66</v>
      </c>
      <c r="P154" s="57">
        <v>0.0</v>
      </c>
      <c r="Q154" s="58"/>
      <c r="R154" s="58"/>
      <c r="S154" s="32" t="s">
        <v>194</v>
      </c>
      <c r="T154" s="177" t="s">
        <v>2409</v>
      </c>
      <c r="U154" s="33">
        <v>6.199847395E10</v>
      </c>
      <c r="V154" s="33" t="s">
        <v>2410</v>
      </c>
      <c r="W154" s="34">
        <v>35328.0</v>
      </c>
      <c r="X154" s="23" t="s">
        <v>199</v>
      </c>
      <c r="Y154" s="49" t="str">
        <f t="shared" si="4"/>
        <v>Ativo</v>
      </c>
      <c r="Z154" s="62"/>
      <c r="AA154" s="32" t="s">
        <v>165</v>
      </c>
      <c r="AB154" s="64"/>
      <c r="AC154" s="79"/>
      <c r="AD154" s="54">
        <v>45573.0</v>
      </c>
      <c r="AE154" s="77">
        <v>4.9075100016127E13</v>
      </c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65"/>
      <c r="AW154" s="65"/>
      <c r="AX154" s="65"/>
      <c r="AY154" s="65"/>
      <c r="AZ154" s="65"/>
      <c r="BA154" s="65"/>
      <c r="BB154" s="65"/>
      <c r="BC154" s="65"/>
      <c r="BD154" s="65">
        <v>10634.48</v>
      </c>
      <c r="BE154" s="65">
        <v>18569.31</v>
      </c>
      <c r="BF154" s="65">
        <v>23249.7</v>
      </c>
      <c r="BG154" s="65">
        <v>22530.75</v>
      </c>
      <c r="BH154" s="65">
        <v>22820.65</v>
      </c>
      <c r="BI154" s="65">
        <v>23087.75</v>
      </c>
      <c r="BJ154" s="65">
        <v>29560.66</v>
      </c>
      <c r="BK154" s="65">
        <v>29959.15</v>
      </c>
      <c r="BL154" s="65">
        <v>38386.67</v>
      </c>
      <c r="BM154" s="65">
        <v>38948.85</v>
      </c>
      <c r="BN154" s="65">
        <v>39461.11</v>
      </c>
      <c r="BO154" s="65">
        <v>39959.8</v>
      </c>
      <c r="BP154" s="65">
        <v>40565.33</v>
      </c>
      <c r="BQ154" s="65">
        <v>40990.5</v>
      </c>
      <c r="BR154" s="65">
        <v>41178.5</v>
      </c>
      <c r="BS154" s="65">
        <v>41444.07</v>
      </c>
      <c r="BT154" s="88">
        <v>41762.82</v>
      </c>
      <c r="BU154" s="65">
        <v>42280.12</v>
      </c>
      <c r="BV154" s="65">
        <v>42853.84</v>
      </c>
      <c r="BW154" s="90">
        <v>43369.56</v>
      </c>
      <c r="BX154" s="90">
        <v>43756.17</v>
      </c>
      <c r="BY154" s="90">
        <f t="array" ref="BY154">XLOOKUP(C154,'PL TOTAL D0'!$A$3:$A$1991,'PL TOTAL D0'!$C$3:$C$1991,"")</f>
        <v>44328.73</v>
      </c>
    </row>
    <row r="155" ht="15.75" customHeight="1">
      <c r="A155" s="43" t="s">
        <v>24</v>
      </c>
      <c r="B155" s="43" t="s">
        <v>2403</v>
      </c>
      <c r="C155" s="94" t="s">
        <v>2413</v>
      </c>
      <c r="D155" s="30" t="s">
        <v>120</v>
      </c>
      <c r="E155" s="22" t="s">
        <v>199</v>
      </c>
      <c r="F155" s="30" t="s">
        <v>431</v>
      </c>
      <c r="G155" s="47" t="str">
        <f t="shared" si="10"/>
        <v>David</v>
      </c>
      <c r="H155" s="49" t="s">
        <v>295</v>
      </c>
      <c r="I155" s="49" t="s">
        <v>447</v>
      </c>
      <c r="J155" s="47" t="str">
        <f t="shared" si="11"/>
        <v>Não</v>
      </c>
      <c r="K155" s="54">
        <v>45755.0</v>
      </c>
      <c r="L155" s="62"/>
      <c r="M155" s="32" t="s">
        <v>201</v>
      </c>
      <c r="N155" s="56">
        <v>0.0</v>
      </c>
      <c r="O155" s="23" t="s">
        <v>66</v>
      </c>
      <c r="P155" s="57">
        <v>0.0</v>
      </c>
      <c r="Q155" s="58"/>
      <c r="R155" s="58"/>
      <c r="S155" s="32" t="s">
        <v>194</v>
      </c>
      <c r="T155" s="177" t="s">
        <v>2409</v>
      </c>
      <c r="U155" s="33">
        <v>6.199847395E10</v>
      </c>
      <c r="V155" s="33" t="s">
        <v>2410</v>
      </c>
      <c r="W155" s="34">
        <v>35328.0</v>
      </c>
      <c r="X155" s="23" t="s">
        <v>199</v>
      </c>
      <c r="Y155" s="49" t="str">
        <f t="shared" si="4"/>
        <v>Ativo</v>
      </c>
      <c r="Z155" s="62"/>
      <c r="AA155" s="32" t="s">
        <v>165</v>
      </c>
      <c r="AB155" s="64"/>
      <c r="AC155" s="79"/>
      <c r="AD155" s="54">
        <v>45762.0</v>
      </c>
      <c r="AE155" s="77">
        <v>4.9075100018677E13</v>
      </c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>
        <v>2213.93</v>
      </c>
      <c r="BK155" s="65">
        <v>2246.48</v>
      </c>
      <c r="BL155" s="65">
        <v>6265.98</v>
      </c>
      <c r="BM155" s="65">
        <v>1722.25</v>
      </c>
      <c r="BN155" s="65">
        <v>1746.09</v>
      </c>
      <c r="BO155" s="65">
        <v>1770.44</v>
      </c>
      <c r="BP155" s="65">
        <v>1798.43</v>
      </c>
      <c r="BQ155" s="65">
        <v>1816.15</v>
      </c>
      <c r="BR155" s="65">
        <v>1842.85</v>
      </c>
      <c r="BS155" s="65">
        <v>1868.48</v>
      </c>
      <c r="BT155" s="88">
        <v>1890.9</v>
      </c>
      <c r="BU155" s="65">
        <v>1918.71</v>
      </c>
      <c r="BV155" s="65">
        <v>1905.5</v>
      </c>
      <c r="BW155" s="90">
        <v>1916.79</v>
      </c>
      <c r="BX155" s="90">
        <v>1936.98</v>
      </c>
      <c r="BY155" s="90" t="str">
        <f t="array" ref="BY155">XLOOKUP(C155,'PL TOTAL D0'!$A$3:$A$1991,'PL TOTAL D0'!$C$3:$C$1991,"")</f>
        <v/>
      </c>
    </row>
    <row r="156" ht="15.75" customHeight="1">
      <c r="A156" s="43" t="s">
        <v>24</v>
      </c>
      <c r="B156" s="431" t="s">
        <v>409</v>
      </c>
      <c r="C156" s="94" t="s">
        <v>2421</v>
      </c>
      <c r="D156" s="30" t="s">
        <v>120</v>
      </c>
      <c r="E156" s="22" t="s">
        <v>199</v>
      </c>
      <c r="F156" s="30" t="s">
        <v>290</v>
      </c>
      <c r="G156" s="47" t="str">
        <f t="shared" si="10"/>
        <v>Gabriel</v>
      </c>
      <c r="H156" s="49" t="s">
        <v>183</v>
      </c>
      <c r="I156" s="49" t="s">
        <v>66</v>
      </c>
      <c r="J156" s="47" t="str">
        <f t="shared" si="11"/>
        <v>Não</v>
      </c>
      <c r="K156" s="54">
        <v>45390.0</v>
      </c>
      <c r="L156" s="62"/>
      <c r="M156" s="32" t="s">
        <v>209</v>
      </c>
      <c r="N156" s="56">
        <v>0.015</v>
      </c>
      <c r="O156" s="23" t="s">
        <v>35</v>
      </c>
      <c r="P156" s="57">
        <v>0.1</v>
      </c>
      <c r="Q156" s="58"/>
      <c r="R156" s="70"/>
      <c r="S156" s="32" t="s">
        <v>194</v>
      </c>
      <c r="T156" s="22" t="s">
        <v>418</v>
      </c>
      <c r="U156" s="33">
        <v>6.1981303088E10</v>
      </c>
      <c r="V156" s="33" t="s">
        <v>420</v>
      </c>
      <c r="W156" s="34">
        <v>29558.0</v>
      </c>
      <c r="X156" s="23" t="s">
        <v>199</v>
      </c>
      <c r="Y156" s="49" t="str">
        <f t="shared" si="4"/>
        <v>Ativo</v>
      </c>
      <c r="Z156" s="32"/>
      <c r="AA156" s="32" t="s">
        <v>47</v>
      </c>
      <c r="AB156" s="64" t="s">
        <v>269</v>
      </c>
      <c r="AC156" s="79"/>
      <c r="AD156" s="54">
        <v>45390.0</v>
      </c>
      <c r="AE156" s="77">
        <v>4.9075100014027E13</v>
      </c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65"/>
      <c r="AW156" s="65"/>
      <c r="AX156" s="65">
        <v>211189.07</v>
      </c>
      <c r="AY156" s="65">
        <v>200754.9</v>
      </c>
      <c r="AZ156" s="65">
        <v>201925.5</v>
      </c>
      <c r="BA156" s="65">
        <v>204803.1</v>
      </c>
      <c r="BB156" s="65">
        <v>207257.87</v>
      </c>
      <c r="BC156" s="65">
        <v>206351.39</v>
      </c>
      <c r="BD156" s="65">
        <v>204839.57</v>
      </c>
      <c r="BE156" s="65">
        <v>203841.28</v>
      </c>
      <c r="BF156" s="65">
        <v>162847.62</v>
      </c>
      <c r="BG156" s="65">
        <v>164470.87</v>
      </c>
      <c r="BH156" s="65">
        <v>166271.69</v>
      </c>
      <c r="BI156" s="65">
        <v>195056.92</v>
      </c>
      <c r="BJ156" s="65">
        <v>231457.71</v>
      </c>
      <c r="BK156" s="65">
        <v>277195.73</v>
      </c>
      <c r="BL156" s="65">
        <v>280193.72</v>
      </c>
      <c r="BM156" s="65">
        <v>335388.2</v>
      </c>
      <c r="BN156" s="65">
        <v>339222.5</v>
      </c>
      <c r="BO156" s="65">
        <v>343724.76</v>
      </c>
      <c r="BP156" s="65">
        <v>348103.0</v>
      </c>
      <c r="BQ156" s="65">
        <v>354460.2</v>
      </c>
      <c r="BR156" s="65">
        <v>358450.9</v>
      </c>
      <c r="BS156" s="65">
        <v>364842.01</v>
      </c>
      <c r="BT156" s="88">
        <v>369219.7</v>
      </c>
      <c r="BU156" s="65">
        <v>373503.4</v>
      </c>
      <c r="BV156" s="65">
        <v>404036.7</v>
      </c>
      <c r="BW156" s="90">
        <v>402764.4</v>
      </c>
      <c r="BX156" s="90">
        <v>408092.88</v>
      </c>
      <c r="BY156" s="90">
        <f t="array" ref="BY156">XLOOKUP(C156,'PL TOTAL D0'!$A$3:$A$1991,'PL TOTAL D0'!$C$3:$C$1991,"")</f>
        <v>422112.72</v>
      </c>
    </row>
    <row r="157" ht="15.75" customHeight="1">
      <c r="A157" s="50" t="s">
        <v>24</v>
      </c>
      <c r="B157" s="176" t="s">
        <v>2426</v>
      </c>
      <c r="C157" s="94" t="s">
        <v>2427</v>
      </c>
      <c r="D157" s="81" t="s">
        <v>120</v>
      </c>
      <c r="E157" s="95" t="s">
        <v>54</v>
      </c>
      <c r="F157" s="95" t="s">
        <v>348</v>
      </c>
      <c r="G157" s="47" t="str">
        <f t="shared" si="10"/>
        <v>David</v>
      </c>
      <c r="H157" s="49" t="s">
        <v>224</v>
      </c>
      <c r="I157" s="49" t="s">
        <v>66</v>
      </c>
      <c r="J157" s="47" t="str">
        <f t="shared" si="11"/>
        <v>Não</v>
      </c>
      <c r="K157" s="97">
        <v>44964.0</v>
      </c>
      <c r="L157" s="55">
        <v>45937.0</v>
      </c>
      <c r="M157" s="32" t="s">
        <v>61</v>
      </c>
      <c r="N157" s="56">
        <v>0.012</v>
      </c>
      <c r="O157" s="23" t="s">
        <v>66</v>
      </c>
      <c r="P157" s="57">
        <v>0.0</v>
      </c>
      <c r="Q157" s="58"/>
      <c r="R157" s="70"/>
      <c r="S157" s="62" t="s">
        <v>234</v>
      </c>
      <c r="T157" s="32" t="s">
        <v>2432</v>
      </c>
      <c r="U157" s="33" t="s">
        <v>268</v>
      </c>
      <c r="V157" s="33"/>
      <c r="W157" s="33" t="s">
        <v>268</v>
      </c>
      <c r="X157" s="23" t="s">
        <v>54</v>
      </c>
      <c r="Y157" s="49" t="str">
        <f t="shared" si="4"/>
        <v>Encerrado</v>
      </c>
      <c r="Z157" s="62"/>
      <c r="AA157" s="32" t="s">
        <v>107</v>
      </c>
      <c r="AB157" s="64" t="s">
        <v>244</v>
      </c>
      <c r="AC157" s="79"/>
      <c r="AD157" s="54">
        <v>44964.0</v>
      </c>
      <c r="AE157" s="77">
        <v>4.9075100009708E13</v>
      </c>
      <c r="AF157" s="79"/>
      <c r="AG157" s="79"/>
      <c r="AH157" s="79"/>
      <c r="AI157" s="65">
        <v>0.0</v>
      </c>
      <c r="AJ157" s="65">
        <v>424706.47</v>
      </c>
      <c r="AK157" s="65">
        <v>428705.7</v>
      </c>
      <c r="AL157" s="65">
        <v>431156.36</v>
      </c>
      <c r="AM157" s="65">
        <v>439840.02</v>
      </c>
      <c r="AN157" s="65">
        <v>446395.97</v>
      </c>
      <c r="AO157" s="65">
        <v>449077.62</v>
      </c>
      <c r="AP157" s="65">
        <v>447110.31</v>
      </c>
      <c r="AQ157" s="65">
        <v>449892.29</v>
      </c>
      <c r="AR157" s="65">
        <v>449202.07</v>
      </c>
      <c r="AS157" s="65">
        <v>458954.86</v>
      </c>
      <c r="AT157" s="65">
        <v>618719.08</v>
      </c>
      <c r="AU157" s="65">
        <v>613591.21</v>
      </c>
      <c r="AV157" s="65">
        <v>619436.47</v>
      </c>
      <c r="AW157" s="65">
        <v>626479.97</v>
      </c>
      <c r="AX157" s="65">
        <v>622178.19</v>
      </c>
      <c r="AY157" s="65">
        <v>619409.8</v>
      </c>
      <c r="AZ157" s="65">
        <v>621983.2</v>
      </c>
      <c r="BA157" s="65">
        <v>630768.8</v>
      </c>
      <c r="BB157" s="65">
        <v>635184.64</v>
      </c>
      <c r="BC157" s="65">
        <v>634705.64</v>
      </c>
      <c r="BD157" s="65">
        <v>629108.2</v>
      </c>
      <c r="BE157" s="65">
        <v>625054.55</v>
      </c>
      <c r="BF157" s="65">
        <v>478581.62</v>
      </c>
      <c r="BG157" s="65">
        <v>480756.46</v>
      </c>
      <c r="BH157" s="65">
        <v>485351.76</v>
      </c>
      <c r="BI157" s="65">
        <v>489607.1</v>
      </c>
      <c r="BJ157" s="65">
        <v>494943.98</v>
      </c>
      <c r="BK157" s="65">
        <v>500463.33</v>
      </c>
      <c r="BL157" s="65">
        <v>505077.44</v>
      </c>
      <c r="BM157" s="65">
        <v>0.0</v>
      </c>
      <c r="BN157" s="65">
        <v>0.0</v>
      </c>
      <c r="BO157" s="65">
        <v>0.0</v>
      </c>
      <c r="BP157" s="65">
        <v>0.0</v>
      </c>
      <c r="BQ157" s="65">
        <v>0.0</v>
      </c>
      <c r="BR157" s="65">
        <v>0.0</v>
      </c>
      <c r="BS157" s="65">
        <v>0.0</v>
      </c>
      <c r="BT157" s="88">
        <v>0.0</v>
      </c>
      <c r="BU157" s="65">
        <v>0.0</v>
      </c>
      <c r="BV157" s="65">
        <v>0.0</v>
      </c>
      <c r="BW157" s="90">
        <v>0.0</v>
      </c>
      <c r="BX157" s="90">
        <v>0.0</v>
      </c>
      <c r="BY157" s="90" t="str">
        <f t="array" ref="BY157">XLOOKUP(C157,'PL TOTAL D0'!$A$3:$A$1991,'PL TOTAL D0'!$C$3:$C$1991,"")</f>
        <v/>
      </c>
    </row>
    <row r="158" ht="15.75" customHeight="1">
      <c r="A158" s="50" t="s">
        <v>24</v>
      </c>
      <c r="B158" s="39" t="s">
        <v>2442</v>
      </c>
      <c r="C158" s="94" t="s">
        <v>2443</v>
      </c>
      <c r="D158" s="30" t="s">
        <v>120</v>
      </c>
      <c r="E158" s="22" t="s">
        <v>199</v>
      </c>
      <c r="F158" s="30" t="s">
        <v>332</v>
      </c>
      <c r="G158" s="47" t="str">
        <f t="shared" si="10"/>
        <v>David</v>
      </c>
      <c r="H158" s="49" t="s">
        <v>295</v>
      </c>
      <c r="I158" s="49" t="s">
        <v>447</v>
      </c>
      <c r="J158" s="47" t="str">
        <f t="shared" si="11"/>
        <v>Não</v>
      </c>
      <c r="K158" s="97">
        <v>45415.0</v>
      </c>
      <c r="L158" s="62"/>
      <c r="M158" s="32" t="s">
        <v>201</v>
      </c>
      <c r="N158" s="56">
        <v>0.0</v>
      </c>
      <c r="O158" s="23" t="s">
        <v>66</v>
      </c>
      <c r="P158" s="23">
        <v>0.0</v>
      </c>
      <c r="Q158" s="58"/>
      <c r="R158" s="70"/>
      <c r="S158" s="32" t="s">
        <v>234</v>
      </c>
      <c r="T158" s="32" t="s">
        <v>2448</v>
      </c>
      <c r="U158" s="33">
        <v>5.561999880033E12</v>
      </c>
      <c r="V158" s="33" t="s">
        <v>2449</v>
      </c>
      <c r="W158" s="34">
        <v>39552.0</v>
      </c>
      <c r="X158" s="23" t="s">
        <v>199</v>
      </c>
      <c r="Y158" s="49" t="str">
        <f t="shared" si="4"/>
        <v>Ativo</v>
      </c>
      <c r="Z158" s="62"/>
      <c r="AA158" s="62"/>
      <c r="AB158" s="64" t="s">
        <v>2099</v>
      </c>
      <c r="AC158" s="79"/>
      <c r="AD158" s="54">
        <v>45415.0</v>
      </c>
      <c r="AE158" s="77">
        <v>4.9075100014442E13</v>
      </c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65"/>
      <c r="AW158" s="65"/>
      <c r="AX158" s="65"/>
      <c r="AY158" s="65">
        <v>5233.53</v>
      </c>
      <c r="AZ158" s="65">
        <v>713.12</v>
      </c>
      <c r="BA158" s="65">
        <v>9826.69</v>
      </c>
      <c r="BB158" s="65">
        <v>24552.58</v>
      </c>
      <c r="BC158" s="65">
        <v>21641.69</v>
      </c>
      <c r="BD158" s="65">
        <v>12492.56</v>
      </c>
      <c r="BE158" s="65">
        <v>1461.76</v>
      </c>
      <c r="BF158" s="65">
        <v>0.0</v>
      </c>
      <c r="BG158" s="65">
        <v>0.0</v>
      </c>
      <c r="BH158" s="65">
        <v>0.0</v>
      </c>
      <c r="BI158" s="65">
        <v>0.0</v>
      </c>
      <c r="BJ158" s="65">
        <v>0.0</v>
      </c>
      <c r="BK158" s="65">
        <v>0.0</v>
      </c>
      <c r="BL158" s="65">
        <v>14924.39</v>
      </c>
      <c r="BM158" s="65">
        <v>103269.04</v>
      </c>
      <c r="BN158" s="65">
        <v>72856.16</v>
      </c>
      <c r="BO158" s="65">
        <v>64384.28</v>
      </c>
      <c r="BP158" s="65">
        <v>23947.16</v>
      </c>
      <c r="BQ158" s="65">
        <v>3572.13</v>
      </c>
      <c r="BR158" s="65">
        <v>0.0</v>
      </c>
      <c r="BS158" s="65">
        <v>35541.73</v>
      </c>
      <c r="BT158" s="88">
        <v>20098.62</v>
      </c>
      <c r="BU158" s="65">
        <v>10.21</v>
      </c>
      <c r="BV158" s="65">
        <v>0.0</v>
      </c>
      <c r="BW158" s="90">
        <v>5834.15</v>
      </c>
      <c r="BX158" s="90">
        <v>60192.75</v>
      </c>
      <c r="BY158" s="90">
        <f t="array" ref="BY158">XLOOKUP(C158,'PL TOTAL D0'!$A$3:$A$1991,'PL TOTAL D0'!$C$3:$C$1991,"")</f>
        <v>88895.34</v>
      </c>
    </row>
    <row r="159" ht="15.75" customHeight="1">
      <c r="A159" s="50" t="s">
        <v>24</v>
      </c>
      <c r="B159" s="39" t="s">
        <v>2457</v>
      </c>
      <c r="C159" s="94" t="s">
        <v>2458</v>
      </c>
      <c r="D159" s="30" t="s">
        <v>120</v>
      </c>
      <c r="E159" s="22" t="s">
        <v>199</v>
      </c>
      <c r="F159" s="30" t="s">
        <v>332</v>
      </c>
      <c r="G159" s="47" t="str">
        <f t="shared" si="10"/>
        <v>David</v>
      </c>
      <c r="H159" s="49" t="s">
        <v>183</v>
      </c>
      <c r="I159" s="49" t="s">
        <v>382</v>
      </c>
      <c r="J159" s="47" t="str">
        <f t="shared" si="11"/>
        <v>Não</v>
      </c>
      <c r="K159" s="54">
        <v>45826.0</v>
      </c>
      <c r="L159" s="62"/>
      <c r="M159" s="32" t="s">
        <v>61</v>
      </c>
      <c r="N159" s="56">
        <v>0.0</v>
      </c>
      <c r="O159" s="23" t="s">
        <v>66</v>
      </c>
      <c r="P159" s="23">
        <v>0.0</v>
      </c>
      <c r="Q159" s="58"/>
      <c r="R159" s="70"/>
      <c r="S159" s="32" t="s">
        <v>234</v>
      </c>
      <c r="T159" s="32" t="s">
        <v>2462</v>
      </c>
      <c r="U159" s="33">
        <v>5.561999880033E12</v>
      </c>
      <c r="V159" s="33" t="s">
        <v>2449</v>
      </c>
      <c r="W159" s="34">
        <v>44035.0</v>
      </c>
      <c r="X159" s="23" t="s">
        <v>199</v>
      </c>
      <c r="Y159" s="49" t="str">
        <f t="shared" si="4"/>
        <v>Ativo</v>
      </c>
      <c r="Z159" s="62"/>
      <c r="AA159" s="32" t="s">
        <v>47</v>
      </c>
      <c r="AB159" s="64"/>
      <c r="AC159" s="79"/>
      <c r="AD159" s="54"/>
      <c r="AE159" s="77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>
        <v>0.0</v>
      </c>
      <c r="BM159" s="65">
        <v>0.0</v>
      </c>
      <c r="BN159" s="65">
        <v>0.0</v>
      </c>
      <c r="BO159" s="65">
        <v>0.0</v>
      </c>
      <c r="BP159" s="65">
        <v>0.0</v>
      </c>
      <c r="BQ159" s="65">
        <v>0.0</v>
      </c>
      <c r="BR159" s="65">
        <v>0.0</v>
      </c>
      <c r="BS159" s="65">
        <v>0.0</v>
      </c>
      <c r="BT159" s="88">
        <v>0.0</v>
      </c>
      <c r="BU159" s="65">
        <v>0.0</v>
      </c>
      <c r="BV159" s="65">
        <v>0.0</v>
      </c>
      <c r="BW159" s="90">
        <v>0.0</v>
      </c>
      <c r="BX159" s="90">
        <v>0.0</v>
      </c>
      <c r="BY159" s="90" t="str">
        <f t="array" ref="BY159">XLOOKUP(C159,'PL TOTAL D0'!$A$3:$A$1991,'PL TOTAL D0'!$C$3:$C$1991,"")</f>
        <v/>
      </c>
    </row>
    <row r="160" ht="15.75" customHeight="1">
      <c r="A160" s="50" t="s">
        <v>24</v>
      </c>
      <c r="B160" s="176" t="s">
        <v>2478</v>
      </c>
      <c r="C160" s="94" t="s">
        <v>2479</v>
      </c>
      <c r="D160" s="30" t="s">
        <v>365</v>
      </c>
      <c r="E160" s="95" t="s">
        <v>199</v>
      </c>
      <c r="F160" s="22" t="s">
        <v>368</v>
      </c>
      <c r="G160" s="47" t="str">
        <f t="shared" si="10"/>
        <v>Marcus</v>
      </c>
      <c r="H160" s="74" t="s">
        <v>183</v>
      </c>
      <c r="I160" s="74" t="s">
        <v>66</v>
      </c>
      <c r="J160" s="47" t="str">
        <f t="shared" si="11"/>
        <v>Não</v>
      </c>
      <c r="K160" s="97">
        <v>44993.0</v>
      </c>
      <c r="L160" s="62"/>
      <c r="M160" s="62" t="s">
        <v>361</v>
      </c>
      <c r="N160" s="98">
        <v>0.02</v>
      </c>
      <c r="O160" s="47" t="s">
        <v>35</v>
      </c>
      <c r="P160" s="99">
        <v>0.2</v>
      </c>
      <c r="Q160" s="58"/>
      <c r="R160" s="70"/>
      <c r="S160" s="62" t="s">
        <v>234</v>
      </c>
      <c r="T160" s="32" t="s">
        <v>2483</v>
      </c>
      <c r="U160" s="33">
        <v>5.561981119988E12</v>
      </c>
      <c r="V160" s="33" t="s">
        <v>2484</v>
      </c>
      <c r="W160" s="34">
        <v>31910.0</v>
      </c>
      <c r="X160" s="23" t="s">
        <v>199</v>
      </c>
      <c r="Y160" s="49" t="str">
        <f t="shared" si="4"/>
        <v>Ativo</v>
      </c>
      <c r="Z160" s="62"/>
      <c r="AA160" s="62"/>
      <c r="AB160" s="64" t="s">
        <v>269</v>
      </c>
      <c r="AC160" s="79"/>
      <c r="AD160" s="54">
        <v>44993.0</v>
      </c>
      <c r="AE160" s="77">
        <v>4.9075100009491E13</v>
      </c>
      <c r="AF160" s="79"/>
      <c r="AG160" s="79"/>
      <c r="AH160" s="79"/>
      <c r="AI160" s="79"/>
      <c r="AJ160" s="79"/>
      <c r="AK160" s="65">
        <v>2346598.11</v>
      </c>
      <c r="AL160" s="65">
        <v>3047635.57</v>
      </c>
      <c r="AM160" s="65">
        <v>3122146.91</v>
      </c>
      <c r="AN160" s="65">
        <v>3243875.86</v>
      </c>
      <c r="AO160" s="65">
        <v>3303894.64</v>
      </c>
      <c r="AP160" s="65">
        <v>3242700.75</v>
      </c>
      <c r="AQ160" s="65">
        <v>3246859.38</v>
      </c>
      <c r="AR160" s="65">
        <v>4104623.12</v>
      </c>
      <c r="AS160" s="65">
        <v>4251143.04</v>
      </c>
      <c r="AT160" s="65">
        <v>4357260.2</v>
      </c>
      <c r="AU160" s="65">
        <v>4220625.06</v>
      </c>
      <c r="AV160" s="65">
        <v>4260472.45</v>
      </c>
      <c r="AW160" s="65">
        <v>4312662.84</v>
      </c>
      <c r="AX160" s="65">
        <v>4234923.86</v>
      </c>
      <c r="AY160" s="65">
        <v>4187826.0</v>
      </c>
      <c r="AZ160" s="65">
        <v>4205193.0</v>
      </c>
      <c r="BA160" s="65">
        <v>4268893.0</v>
      </c>
      <c r="BB160" s="65">
        <v>4327970.47</v>
      </c>
      <c r="BC160" s="65">
        <v>4298658.34</v>
      </c>
      <c r="BD160" s="65">
        <v>4209978.58</v>
      </c>
      <c r="BE160" s="65">
        <v>4131592.74</v>
      </c>
      <c r="BF160" s="65">
        <v>4109861.3</v>
      </c>
      <c r="BG160" s="65">
        <v>4176934.58</v>
      </c>
      <c r="BH160" s="65">
        <v>4217915.66</v>
      </c>
      <c r="BI160" s="65">
        <v>4267090.9</v>
      </c>
      <c r="BJ160" s="65">
        <v>4324984.08</v>
      </c>
      <c r="BK160" s="65">
        <v>4384234.96</v>
      </c>
      <c r="BL160" s="65">
        <v>4424349.18</v>
      </c>
      <c r="BM160" s="65">
        <v>4424904.45</v>
      </c>
      <c r="BN160" s="65">
        <v>4474340.0</v>
      </c>
      <c r="BO160" s="65">
        <v>4530820.92</v>
      </c>
      <c r="BP160" s="65">
        <v>4585297.0</v>
      </c>
      <c r="BQ160" s="65">
        <v>4660815.0</v>
      </c>
      <c r="BR160" s="65">
        <v>4708019.0</v>
      </c>
      <c r="BS160" s="65">
        <v>4805862.28</v>
      </c>
      <c r="BT160" s="88">
        <v>4858985.0</v>
      </c>
      <c r="BU160" s="65">
        <v>4904602.0</v>
      </c>
      <c r="BV160" s="65">
        <v>4942029.0</v>
      </c>
      <c r="BW160" s="90">
        <v>4872043.0</v>
      </c>
      <c r="BX160" s="90">
        <v>4924517.31</v>
      </c>
      <c r="BY160" s="90">
        <f t="array" ref="BY160">XLOOKUP(C160,'PL TOTAL D0'!$A$3:$A$1991,'PL TOTAL D0'!$C$3:$C$1991,"")</f>
        <v>4954105.93</v>
      </c>
    </row>
    <row r="161" ht="15.75" customHeight="1">
      <c r="A161" s="50" t="s">
        <v>24</v>
      </c>
      <c r="B161" s="50" t="s">
        <v>2500</v>
      </c>
      <c r="C161" s="94" t="s">
        <v>2502</v>
      </c>
      <c r="D161" s="81" t="s">
        <v>120</v>
      </c>
      <c r="E161" s="95" t="s">
        <v>54</v>
      </c>
      <c r="F161" s="95" t="s">
        <v>348</v>
      </c>
      <c r="G161" s="47" t="str">
        <f t="shared" si="10"/>
        <v>David</v>
      </c>
      <c r="H161" s="49" t="s">
        <v>224</v>
      </c>
      <c r="I161" s="49" t="s">
        <v>66</v>
      </c>
      <c r="J161" s="47" t="str">
        <f t="shared" si="11"/>
        <v>Não</v>
      </c>
      <c r="K161" s="97">
        <v>45261.0</v>
      </c>
      <c r="L161" s="55">
        <v>45873.0</v>
      </c>
      <c r="M161" s="62" t="s">
        <v>61</v>
      </c>
      <c r="N161" s="366">
        <v>0.012</v>
      </c>
      <c r="O161" s="81" t="s">
        <v>66</v>
      </c>
      <c r="P161" s="367">
        <v>0.0</v>
      </c>
      <c r="Q161" s="58"/>
      <c r="R161" s="58" t="s">
        <v>610</v>
      </c>
      <c r="S161" s="62" t="s">
        <v>234</v>
      </c>
      <c r="T161" s="32" t="s">
        <v>2509</v>
      </c>
      <c r="U161" s="33" t="s">
        <v>268</v>
      </c>
      <c r="V161" s="33"/>
      <c r="W161" s="33" t="s">
        <v>268</v>
      </c>
      <c r="X161" s="23" t="s">
        <v>54</v>
      </c>
      <c r="Y161" s="49" t="str">
        <f t="shared" si="4"/>
        <v>Encerrado</v>
      </c>
      <c r="Z161" s="62"/>
      <c r="AA161" s="62"/>
      <c r="AB161" s="64" t="s">
        <v>269</v>
      </c>
      <c r="AC161" s="79"/>
      <c r="AD161" s="54">
        <v>45261.0</v>
      </c>
      <c r="AE161" s="77">
        <v>4.9075100012921E13</v>
      </c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65">
        <v>0.0</v>
      </c>
      <c r="AT161" s="65">
        <v>533982.57</v>
      </c>
      <c r="AU161" s="65">
        <v>539299.95</v>
      </c>
      <c r="AV161" s="65">
        <v>2632293.06</v>
      </c>
      <c r="AW161" s="65">
        <v>2756883.68</v>
      </c>
      <c r="AX161" s="65">
        <v>2845937.21</v>
      </c>
      <c r="AY161" s="65">
        <v>2868951.0</v>
      </c>
      <c r="AZ161" s="65">
        <v>2892247.0</v>
      </c>
      <c r="BA161" s="65">
        <v>2916364.0</v>
      </c>
      <c r="BB161" s="65">
        <v>2936960.82</v>
      </c>
      <c r="BC161" s="65">
        <v>2955328.36</v>
      </c>
      <c r="BD161" s="65">
        <v>2981736.08</v>
      </c>
      <c r="BE161" s="65">
        <v>3003041.21</v>
      </c>
      <c r="BF161" s="65">
        <v>3315616.68</v>
      </c>
      <c r="BG161" s="65">
        <v>3960673.64</v>
      </c>
      <c r="BH161" s="65">
        <v>3984543.13</v>
      </c>
      <c r="BI161" s="65">
        <v>4026855.26</v>
      </c>
      <c r="BJ161" s="65">
        <v>4068385.04</v>
      </c>
      <c r="BK161" s="65">
        <v>4110268.4</v>
      </c>
      <c r="BL161" s="65">
        <v>0.0</v>
      </c>
      <c r="BM161" s="65">
        <v>0.0</v>
      </c>
      <c r="BN161" s="65">
        <v>0.0</v>
      </c>
      <c r="BO161" s="65">
        <v>0.0</v>
      </c>
      <c r="BP161" s="65">
        <v>0.0</v>
      </c>
      <c r="BQ161" s="65">
        <v>0.0</v>
      </c>
      <c r="BR161" s="65">
        <v>0.0</v>
      </c>
      <c r="BS161" s="65">
        <v>0.0</v>
      </c>
      <c r="BT161" s="88">
        <v>0.0</v>
      </c>
      <c r="BU161" s="65">
        <v>0.0</v>
      </c>
      <c r="BV161" s="65">
        <v>0.0</v>
      </c>
      <c r="BW161" s="90">
        <v>0.0</v>
      </c>
      <c r="BX161" s="90">
        <v>0.0</v>
      </c>
      <c r="BY161" s="90" t="str">
        <f t="array" ref="BY161">XLOOKUP(C161,'PL TOTAL D0'!$A$3:$A$1991,'PL TOTAL D0'!$C$3:$C$1991,"")</f>
        <v/>
      </c>
    </row>
    <row r="162" ht="15.75" customHeight="1">
      <c r="A162" s="50" t="s">
        <v>24</v>
      </c>
      <c r="B162" s="43" t="s">
        <v>2523</v>
      </c>
      <c r="C162" s="94" t="s">
        <v>2524</v>
      </c>
      <c r="D162" s="30" t="s">
        <v>89</v>
      </c>
      <c r="E162" s="22" t="s">
        <v>91</v>
      </c>
      <c r="F162" s="22" t="s">
        <v>521</v>
      </c>
      <c r="G162" s="47" t="str">
        <f t="shared" si="10"/>
        <v>David</v>
      </c>
      <c r="H162" s="49" t="s">
        <v>183</v>
      </c>
      <c r="I162" s="49" t="s">
        <v>66</v>
      </c>
      <c r="J162" s="47" t="str">
        <f t="shared" si="11"/>
        <v>Não</v>
      </c>
      <c r="K162" s="54">
        <v>45607.0</v>
      </c>
      <c r="L162" s="62"/>
      <c r="M162" s="32" t="s">
        <v>61</v>
      </c>
      <c r="N162" s="29">
        <v>0.012</v>
      </c>
      <c r="O162" s="30" t="s">
        <v>66</v>
      </c>
      <c r="P162" s="31">
        <v>0.0</v>
      </c>
      <c r="Q162" s="58"/>
      <c r="R162" s="70"/>
      <c r="S162" s="32" t="s">
        <v>194</v>
      </c>
      <c r="T162" s="32" t="s">
        <v>2529</v>
      </c>
      <c r="U162" s="33">
        <v>5.534993027171E12</v>
      </c>
      <c r="V162" s="33" t="s">
        <v>2532</v>
      </c>
      <c r="W162" s="34">
        <v>30375.0</v>
      </c>
      <c r="X162" s="23" t="s">
        <v>618</v>
      </c>
      <c r="Y162" s="49" t="str">
        <f t="shared" si="4"/>
        <v>Ativo</v>
      </c>
      <c r="Z162" s="62"/>
      <c r="AA162" s="32" t="s">
        <v>47</v>
      </c>
      <c r="AB162" s="64"/>
      <c r="AC162" s="79"/>
      <c r="AD162" s="54">
        <v>45608.0</v>
      </c>
      <c r="AE162" s="77">
        <v>4.9075100016275E13</v>
      </c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>
        <v>44757.51</v>
      </c>
      <c r="BF162" s="65">
        <v>65866.19</v>
      </c>
      <c r="BG162" s="65">
        <v>66649.94</v>
      </c>
      <c r="BH162" s="65">
        <v>67295.75</v>
      </c>
      <c r="BI162" s="65">
        <v>69913.99</v>
      </c>
      <c r="BJ162" s="65">
        <v>70639.5</v>
      </c>
      <c r="BK162" s="65">
        <v>71174.16</v>
      </c>
      <c r="BL162" s="65">
        <v>74983.04</v>
      </c>
      <c r="BM162" s="65">
        <v>75843.15</v>
      </c>
      <c r="BN162" s="65">
        <v>76505.2</v>
      </c>
      <c r="BO162" s="65">
        <v>77302.39</v>
      </c>
      <c r="BP162" s="65">
        <v>78197.29</v>
      </c>
      <c r="BQ162" s="65">
        <v>79273.68</v>
      </c>
      <c r="BR162" s="65">
        <v>80045.28</v>
      </c>
      <c r="BS162" s="65">
        <v>80954.32</v>
      </c>
      <c r="BT162" s="88">
        <v>81607.98</v>
      </c>
      <c r="BU162" s="65">
        <v>82631.55</v>
      </c>
      <c r="BV162" s="65">
        <v>83594.18</v>
      </c>
      <c r="BW162" s="90">
        <v>84457.45</v>
      </c>
      <c r="BX162" s="90">
        <v>85106.89</v>
      </c>
      <c r="BY162" s="90">
        <f t="array" ref="BY162">XLOOKUP(C162,'PL TOTAL D0'!$A$3:$A$1991,'PL TOTAL D0'!$C$3:$C$1991,"")</f>
        <v>85985.38</v>
      </c>
    </row>
    <row r="163" ht="15.75" customHeight="1">
      <c r="A163" s="50" t="s">
        <v>24</v>
      </c>
      <c r="B163" s="513" t="s">
        <v>2551</v>
      </c>
      <c r="C163" s="94" t="s">
        <v>2553</v>
      </c>
      <c r="D163" s="30" t="s">
        <v>120</v>
      </c>
      <c r="E163" s="22" t="s">
        <v>199</v>
      </c>
      <c r="F163" s="30" t="s">
        <v>431</v>
      </c>
      <c r="G163" s="47" t="str">
        <f t="shared" si="10"/>
        <v>David</v>
      </c>
      <c r="H163" s="49" t="s">
        <v>295</v>
      </c>
      <c r="I163" s="49" t="s">
        <v>447</v>
      </c>
      <c r="J163" s="47" t="str">
        <f t="shared" si="11"/>
        <v>Não</v>
      </c>
      <c r="K163" s="54">
        <v>45377.0</v>
      </c>
      <c r="L163" s="62"/>
      <c r="M163" s="32" t="s">
        <v>201</v>
      </c>
      <c r="N163" s="56">
        <v>0.0</v>
      </c>
      <c r="O163" s="23" t="s">
        <v>66</v>
      </c>
      <c r="P163" s="57">
        <v>0.0</v>
      </c>
      <c r="Q163" s="58"/>
      <c r="R163" s="70"/>
      <c r="S163" s="32" t="s">
        <v>194</v>
      </c>
      <c r="T163" s="177" t="s">
        <v>2560</v>
      </c>
      <c r="U163" s="33">
        <v>6.1991051771E10</v>
      </c>
      <c r="V163" s="33" t="s">
        <v>2562</v>
      </c>
      <c r="W163" s="34">
        <v>35911.0</v>
      </c>
      <c r="X163" s="23" t="s">
        <v>199</v>
      </c>
      <c r="Y163" s="49" t="str">
        <f t="shared" si="4"/>
        <v>Ativo</v>
      </c>
      <c r="Z163" s="62"/>
      <c r="AA163" s="62"/>
      <c r="AB163" s="64" t="s">
        <v>269</v>
      </c>
      <c r="AC163" s="79"/>
      <c r="AD163" s="54">
        <v>45377.0</v>
      </c>
      <c r="AE163" s="77">
        <v>4.9075100013748E13</v>
      </c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65"/>
      <c r="AW163" s="65">
        <v>5194.78</v>
      </c>
      <c r="AX163" s="65">
        <v>5244.49</v>
      </c>
      <c r="AY163" s="65">
        <v>16430.55</v>
      </c>
      <c r="AZ163" s="65">
        <v>23232.19</v>
      </c>
      <c r="BA163" s="65">
        <v>25418.47</v>
      </c>
      <c r="BB163" s="65">
        <v>25708.52</v>
      </c>
      <c r="BC163" s="65">
        <v>31266.37</v>
      </c>
      <c r="BD163" s="65">
        <v>22898.26</v>
      </c>
      <c r="BE163" s="65">
        <v>15211.88</v>
      </c>
      <c r="BF163" s="65">
        <v>14278.72</v>
      </c>
      <c r="BG163" s="65">
        <v>14460.2</v>
      </c>
      <c r="BH163" s="65">
        <v>14615.02</v>
      </c>
      <c r="BI163" s="65">
        <v>118678.54</v>
      </c>
      <c r="BJ163" s="65">
        <v>115534.1</v>
      </c>
      <c r="BK163" s="65">
        <v>116969.02</v>
      </c>
      <c r="BL163" s="65">
        <v>105098.33</v>
      </c>
      <c r="BM163" s="65">
        <v>104702.8</v>
      </c>
      <c r="BN163" s="65">
        <v>106049.8</v>
      </c>
      <c r="BO163" s="65">
        <v>107388.46</v>
      </c>
      <c r="BP163" s="65">
        <v>107396.1</v>
      </c>
      <c r="BQ163" s="65">
        <v>108612.1</v>
      </c>
      <c r="BR163" s="65">
        <v>185451.8</v>
      </c>
      <c r="BS163" s="65">
        <v>182307.68</v>
      </c>
      <c r="BT163" s="88">
        <v>197127.2</v>
      </c>
      <c r="BU163" s="65">
        <v>195582.2</v>
      </c>
      <c r="BV163" s="65">
        <v>209579.6</v>
      </c>
      <c r="BW163" s="90">
        <v>210264.9</v>
      </c>
      <c r="BX163" s="90">
        <v>211656.15</v>
      </c>
      <c r="BY163" s="90">
        <f t="array" ref="BY163">XLOOKUP(C163,'PL TOTAL D0'!$A$3:$A$1991,'PL TOTAL D0'!$C$3:$C$1991,"")</f>
        <v>270419.59</v>
      </c>
    </row>
    <row r="164" ht="15.75" customHeight="1">
      <c r="A164" s="50" t="s">
        <v>24</v>
      </c>
      <c r="B164" s="513" t="s">
        <v>2578</v>
      </c>
      <c r="C164" s="53" t="s">
        <v>2579</v>
      </c>
      <c r="D164" s="30" t="s">
        <v>53</v>
      </c>
      <c r="E164" s="22" t="s">
        <v>54</v>
      </c>
      <c r="F164" s="30" t="s">
        <v>55</v>
      </c>
      <c r="G164" s="47" t="str">
        <f t="shared" si="10"/>
        <v>David</v>
      </c>
      <c r="H164" s="49" t="s">
        <v>183</v>
      </c>
      <c r="I164" s="49" t="s">
        <v>66</v>
      </c>
      <c r="J164" s="47" t="str">
        <f t="shared" si="11"/>
        <v>Não</v>
      </c>
      <c r="K164" s="54">
        <v>46203.0</v>
      </c>
      <c r="L164" s="62"/>
      <c r="M164" s="32" t="s">
        <v>568</v>
      </c>
      <c r="N164" s="56">
        <v>0.013</v>
      </c>
      <c r="O164" s="23" t="s">
        <v>66</v>
      </c>
      <c r="P164" s="57">
        <v>0.0</v>
      </c>
      <c r="Q164" s="58"/>
      <c r="R164" s="70"/>
      <c r="S164" s="32" t="s">
        <v>194</v>
      </c>
      <c r="T164" s="177" t="s">
        <v>2589</v>
      </c>
      <c r="U164" s="33" t="s">
        <v>2590</v>
      </c>
      <c r="V164" s="33" t="s">
        <v>2591</v>
      </c>
      <c r="W164" s="33" t="s">
        <v>2592</v>
      </c>
      <c r="X164" s="23" t="s">
        <v>77</v>
      </c>
      <c r="Y164" s="49" t="str">
        <f t="shared" si="4"/>
        <v>Ativo</v>
      </c>
      <c r="Z164" s="62"/>
      <c r="AA164" s="32" t="s">
        <v>47</v>
      </c>
      <c r="AB164" s="64"/>
      <c r="AC164" s="79"/>
      <c r="AD164" s="54"/>
      <c r="AE164" s="77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88"/>
      <c r="BU164" s="65"/>
      <c r="BV164" s="65"/>
      <c r="BW164" s="90"/>
      <c r="BX164" s="90">
        <v>0.0</v>
      </c>
      <c r="BY164" s="90">
        <f t="array" ref="BY164">XLOOKUP(C164,'PL TOTAL D0'!$A$3:$A$1991,'PL TOTAL D0'!$C$3:$C$1991,"")</f>
        <v>248357.35</v>
      </c>
    </row>
    <row r="165" ht="15.75" customHeight="1">
      <c r="A165" s="50" t="s">
        <v>24</v>
      </c>
      <c r="B165" s="513" t="s">
        <v>436</v>
      </c>
      <c r="C165" s="94" t="s">
        <v>2609</v>
      </c>
      <c r="D165" s="30" t="s">
        <v>120</v>
      </c>
      <c r="E165" s="22" t="s">
        <v>199</v>
      </c>
      <c r="F165" s="30" t="s">
        <v>388</v>
      </c>
      <c r="G165" s="47" t="str">
        <f t="shared" si="10"/>
        <v>David</v>
      </c>
      <c r="H165" s="49" t="s">
        <v>183</v>
      </c>
      <c r="I165" s="49" t="s">
        <v>66</v>
      </c>
      <c r="J165" s="47" t="str">
        <f t="shared" si="11"/>
        <v>Não</v>
      </c>
      <c r="K165" s="54">
        <v>46063.0</v>
      </c>
      <c r="L165" s="62"/>
      <c r="M165" s="32" t="s">
        <v>61</v>
      </c>
      <c r="N165" s="56">
        <v>0.0</v>
      </c>
      <c r="O165" s="23" t="s">
        <v>66</v>
      </c>
      <c r="P165" s="57">
        <v>0.0</v>
      </c>
      <c r="Q165" s="58"/>
      <c r="R165" s="70"/>
      <c r="S165" s="32" t="s">
        <v>194</v>
      </c>
      <c r="T165" s="177" t="s">
        <v>440</v>
      </c>
      <c r="U165" s="33">
        <v>6.198602515E10</v>
      </c>
      <c r="V165" s="33" t="s">
        <v>442</v>
      </c>
      <c r="W165" s="34">
        <v>36203.0</v>
      </c>
      <c r="X165" s="23" t="s">
        <v>397</v>
      </c>
      <c r="Y165" s="49" t="str">
        <f t="shared" si="4"/>
        <v>Ativo</v>
      </c>
      <c r="Z165" s="62"/>
      <c r="AA165" s="62" t="s">
        <v>47</v>
      </c>
      <c r="AB165" s="64"/>
      <c r="AC165" s="79"/>
      <c r="AD165" s="54">
        <v>46203.0</v>
      </c>
      <c r="AE165" s="77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88">
        <v>40236.88</v>
      </c>
      <c r="BU165" s="65">
        <v>80002.44</v>
      </c>
      <c r="BV165" s="65">
        <v>99982.56</v>
      </c>
      <c r="BW165" s="90">
        <v>101114.2</v>
      </c>
      <c r="BX165" s="90">
        <v>101765.74</v>
      </c>
      <c r="BY165" s="90">
        <f t="array" ref="BY165">XLOOKUP(C165,'PL TOTAL D0'!$A$3:$A$1991,'PL TOTAL D0'!$C$3:$C$1991,"")</f>
        <v>103219.82</v>
      </c>
    </row>
    <row r="166" ht="15.75" customHeight="1">
      <c r="A166" s="50" t="s">
        <v>24</v>
      </c>
      <c r="B166" s="39" t="s">
        <v>2629</v>
      </c>
      <c r="C166" s="94" t="s">
        <v>2630</v>
      </c>
      <c r="D166" s="81" t="s">
        <v>120</v>
      </c>
      <c r="E166" s="95" t="s">
        <v>54</v>
      </c>
      <c r="F166" s="95" t="s">
        <v>348</v>
      </c>
      <c r="G166" s="47" t="str">
        <f t="shared" si="10"/>
        <v>David</v>
      </c>
      <c r="H166" s="49" t="s">
        <v>295</v>
      </c>
      <c r="I166" s="49" t="s">
        <v>382</v>
      </c>
      <c r="J166" s="47" t="str">
        <f t="shared" si="11"/>
        <v>Não</v>
      </c>
      <c r="K166" s="97">
        <v>44950.0</v>
      </c>
      <c r="L166" s="62"/>
      <c r="M166" s="62" t="s">
        <v>61</v>
      </c>
      <c r="N166" s="98">
        <v>0.01</v>
      </c>
      <c r="O166" s="47" t="s">
        <v>66</v>
      </c>
      <c r="P166" s="99">
        <v>0.0</v>
      </c>
      <c r="Q166" s="58"/>
      <c r="R166" s="70"/>
      <c r="S166" s="62" t="s">
        <v>194</v>
      </c>
      <c r="T166" s="32" t="s">
        <v>2639</v>
      </c>
      <c r="U166" s="33">
        <v>5.562992690055E12</v>
      </c>
      <c r="V166" s="33" t="s">
        <v>2640</v>
      </c>
      <c r="W166" s="34">
        <v>29999.0</v>
      </c>
      <c r="X166" s="23" t="s">
        <v>54</v>
      </c>
      <c r="Y166" s="49" t="str">
        <f t="shared" si="4"/>
        <v>Ativo</v>
      </c>
      <c r="Z166" s="62"/>
      <c r="AA166" s="62"/>
      <c r="AB166" s="64" t="s">
        <v>269</v>
      </c>
      <c r="AC166" s="79"/>
      <c r="AD166" s="54">
        <v>44950.0</v>
      </c>
      <c r="AE166" s="77">
        <v>4.9075100005532E13</v>
      </c>
      <c r="AF166" s="79"/>
      <c r="AG166" s="79"/>
      <c r="AH166" s="79"/>
      <c r="AI166" s="65">
        <v>50146.76</v>
      </c>
      <c r="AJ166" s="65">
        <v>50596.26</v>
      </c>
      <c r="AK166" s="65">
        <v>51063.01</v>
      </c>
      <c r="AL166" s="65">
        <v>52548.06</v>
      </c>
      <c r="AM166" s="65">
        <v>38402.56</v>
      </c>
      <c r="AN166" s="65">
        <v>20613.26</v>
      </c>
      <c r="AO166" s="65">
        <v>20817.53</v>
      </c>
      <c r="AP166" s="65">
        <v>21044.03</v>
      </c>
      <c r="AQ166" s="65">
        <v>21235.62</v>
      </c>
      <c r="AR166" s="65">
        <v>0.0</v>
      </c>
      <c r="AS166" s="65">
        <v>0.0</v>
      </c>
      <c r="AT166" s="65">
        <v>0.0</v>
      </c>
      <c r="AU166" s="65">
        <v>0.0</v>
      </c>
      <c r="AV166" s="65">
        <v>0.78</v>
      </c>
      <c r="AW166" s="65">
        <v>0.78</v>
      </c>
      <c r="AX166" s="65">
        <v>0.78</v>
      </c>
      <c r="AY166" s="65">
        <v>0.78</v>
      </c>
      <c r="AZ166" s="65">
        <v>0.78</v>
      </c>
      <c r="BA166" s="65">
        <v>0.78</v>
      </c>
      <c r="BB166" s="65">
        <v>0.78</v>
      </c>
      <c r="BC166" s="65">
        <v>0.78</v>
      </c>
      <c r="BD166" s="65">
        <v>0.78</v>
      </c>
      <c r="BE166" s="65">
        <v>0.78</v>
      </c>
      <c r="BF166" s="65">
        <v>0.78</v>
      </c>
      <c r="BG166" s="65">
        <v>0.78</v>
      </c>
      <c r="BH166" s="65">
        <v>0.78</v>
      </c>
      <c r="BI166" s="65">
        <v>0.78</v>
      </c>
      <c r="BJ166" s="65">
        <v>0.0</v>
      </c>
      <c r="BK166" s="65">
        <v>0.0</v>
      </c>
      <c r="BL166" s="65">
        <v>0.0</v>
      </c>
      <c r="BM166" s="65">
        <v>0.0</v>
      </c>
      <c r="BN166" s="65">
        <v>0.0</v>
      </c>
      <c r="BO166" s="65">
        <v>0.0</v>
      </c>
      <c r="BP166" s="65">
        <v>0.0</v>
      </c>
      <c r="BQ166" s="65">
        <v>0.0</v>
      </c>
      <c r="BR166" s="65">
        <v>0.0</v>
      </c>
      <c r="BS166" s="65">
        <v>0.0</v>
      </c>
      <c r="BT166" s="88">
        <v>0.0</v>
      </c>
      <c r="BU166" s="65">
        <v>0.0</v>
      </c>
      <c r="BV166" s="65">
        <v>0.0</v>
      </c>
      <c r="BW166" s="90">
        <v>0.0</v>
      </c>
      <c r="BX166" s="90">
        <v>0.0</v>
      </c>
      <c r="BY166" s="90" t="str">
        <f t="array" ref="BY166">XLOOKUP(C166,'PL TOTAL D0'!$A$3:$A$1991,'PL TOTAL D0'!$C$3:$C$1991,"")</f>
        <v/>
      </c>
    </row>
    <row r="167" ht="15.75" customHeight="1">
      <c r="A167" s="50" t="s">
        <v>24</v>
      </c>
      <c r="B167" s="39" t="s">
        <v>2723</v>
      </c>
      <c r="C167" s="53" t="s">
        <v>2726</v>
      </c>
      <c r="D167" s="30" t="s">
        <v>89</v>
      </c>
      <c r="E167" s="22" t="s">
        <v>91</v>
      </c>
      <c r="F167" s="22" t="s">
        <v>521</v>
      </c>
      <c r="G167" s="47" t="str">
        <f t="shared" si="10"/>
        <v>David</v>
      </c>
      <c r="H167" s="49" t="s">
        <v>183</v>
      </c>
      <c r="I167" s="49" t="s">
        <v>66</v>
      </c>
      <c r="J167" s="47" t="str">
        <f t="shared" si="11"/>
        <v>Não</v>
      </c>
      <c r="K167" s="54">
        <v>46163.0</v>
      </c>
      <c r="L167" s="62"/>
      <c r="M167" s="32" t="s">
        <v>209</v>
      </c>
      <c r="N167" s="56">
        <v>0.015</v>
      </c>
      <c r="O167" s="23" t="s">
        <v>35</v>
      </c>
      <c r="P167" s="57">
        <v>0.1</v>
      </c>
      <c r="Q167" s="58"/>
      <c r="R167" s="70"/>
      <c r="S167" s="32" t="s">
        <v>194</v>
      </c>
      <c r="T167" s="32" t="s">
        <v>2734</v>
      </c>
      <c r="U167" s="33" t="s">
        <v>2736</v>
      </c>
      <c r="V167" s="33" t="s">
        <v>2738</v>
      </c>
      <c r="W167" s="34">
        <v>40729.0</v>
      </c>
      <c r="X167" s="23" t="s">
        <v>221</v>
      </c>
      <c r="Y167" s="49" t="str">
        <f t="shared" si="4"/>
        <v>Ativo</v>
      </c>
      <c r="Z167" s="62"/>
      <c r="AA167" s="32" t="s">
        <v>165</v>
      </c>
      <c r="AB167" s="64"/>
      <c r="AC167" s="79"/>
      <c r="AD167" s="54">
        <v>46203.0</v>
      </c>
      <c r="AE167" s="77"/>
      <c r="AF167" s="79"/>
      <c r="AG167" s="79"/>
      <c r="AH167" s="79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88"/>
      <c r="BU167" s="65"/>
      <c r="BV167" s="65"/>
      <c r="BW167" s="90">
        <v>34027.64</v>
      </c>
      <c r="BX167" s="90">
        <v>34343.87</v>
      </c>
      <c r="BY167" s="90">
        <f t="array" ref="BY167">XLOOKUP(C167,'PL TOTAL D0'!$A$3:$A$1991,'PL TOTAL D0'!$C$3:$C$1991,"")</f>
        <v>34560.24</v>
      </c>
    </row>
    <row r="168" ht="15.75" customHeight="1">
      <c r="A168" s="43" t="s">
        <v>24</v>
      </c>
      <c r="B168" s="43" t="s">
        <v>437</v>
      </c>
      <c r="C168" s="94" t="s">
        <v>2633</v>
      </c>
      <c r="D168" s="30" t="s">
        <v>120</v>
      </c>
      <c r="E168" s="22" t="s">
        <v>199</v>
      </c>
      <c r="F168" s="22" t="s">
        <v>803</v>
      </c>
      <c r="G168" s="47" t="str">
        <f t="shared" si="10"/>
        <v>Marcus</v>
      </c>
      <c r="H168" s="49" t="s">
        <v>183</v>
      </c>
      <c r="I168" s="49" t="s">
        <v>66</v>
      </c>
      <c r="J168" s="47" t="str">
        <f t="shared" si="11"/>
        <v>Não</v>
      </c>
      <c r="K168" s="54">
        <v>45925.0</v>
      </c>
      <c r="L168" s="189"/>
      <c r="M168" s="32" t="s">
        <v>361</v>
      </c>
      <c r="N168" s="56">
        <v>0.018</v>
      </c>
      <c r="O168" s="23" t="s">
        <v>35</v>
      </c>
      <c r="P168" s="57">
        <v>0.2</v>
      </c>
      <c r="Q168" s="58"/>
      <c r="R168" s="70"/>
      <c r="S168" s="32" t="s">
        <v>194</v>
      </c>
      <c r="T168" s="32" t="s">
        <v>445</v>
      </c>
      <c r="U168" s="33" t="s">
        <v>2766</v>
      </c>
      <c r="V168" s="33" t="s">
        <v>448</v>
      </c>
      <c r="W168" s="34">
        <v>29186.0</v>
      </c>
      <c r="X168" s="23" t="s">
        <v>199</v>
      </c>
      <c r="Y168" s="49" t="s">
        <v>183</v>
      </c>
      <c r="Z168" s="62"/>
      <c r="AA168" s="32" t="s">
        <v>165</v>
      </c>
      <c r="AB168" s="64"/>
      <c r="AC168" s="79"/>
      <c r="AD168" s="54"/>
      <c r="AE168" s="77"/>
      <c r="AF168" s="79"/>
      <c r="AG168" s="79"/>
      <c r="AH168" s="79"/>
      <c r="AI168" s="79"/>
      <c r="AJ168" s="79"/>
      <c r="AK168" s="79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>
        <v>0.0</v>
      </c>
      <c r="BP168" s="65">
        <v>1238191.0</v>
      </c>
      <c r="BQ168" s="65">
        <v>1256031.0</v>
      </c>
      <c r="BR168" s="65">
        <v>1362172.0</v>
      </c>
      <c r="BS168" s="65">
        <v>1524201.52</v>
      </c>
      <c r="BT168" s="88">
        <v>1543278.0</v>
      </c>
      <c r="BU168" s="65">
        <v>1560841.0</v>
      </c>
      <c r="BV168" s="65">
        <v>1576093.0</v>
      </c>
      <c r="BW168" s="90">
        <v>1561941.0</v>
      </c>
      <c r="BX168" s="90">
        <v>1629097.33</v>
      </c>
      <c r="BY168" s="90">
        <f t="array" ref="BY168">XLOOKUP(C168,'PL TOTAL D0'!$A$3:$A$1991,'PL TOTAL D0'!$C$3:$C$1991,"")</f>
        <v>1591858.99</v>
      </c>
    </row>
    <row r="169" ht="15.75" customHeight="1">
      <c r="A169" s="50" t="s">
        <v>24</v>
      </c>
      <c r="B169" s="50" t="s">
        <v>2780</v>
      </c>
      <c r="C169" s="94" t="s">
        <v>2781</v>
      </c>
      <c r="D169" s="30" t="s">
        <v>89</v>
      </c>
      <c r="E169" s="95" t="s">
        <v>91</v>
      </c>
      <c r="F169" s="95" t="s">
        <v>521</v>
      </c>
      <c r="G169" s="47" t="str">
        <f t="shared" si="10"/>
        <v>Gabriel</v>
      </c>
      <c r="H169" s="49" t="s">
        <v>183</v>
      </c>
      <c r="I169" s="49" t="s">
        <v>66</v>
      </c>
      <c r="J169" s="47" t="str">
        <f t="shared" si="11"/>
        <v>Não</v>
      </c>
      <c r="K169" s="97">
        <v>45070.0</v>
      </c>
      <c r="L169" s="189"/>
      <c r="M169" s="62" t="s">
        <v>209</v>
      </c>
      <c r="N169" s="98">
        <v>0.015</v>
      </c>
      <c r="O169" s="47" t="s">
        <v>35</v>
      </c>
      <c r="P169" s="99">
        <v>0.1</v>
      </c>
      <c r="Q169" s="58"/>
      <c r="R169" s="70"/>
      <c r="S169" s="62" t="s">
        <v>194</v>
      </c>
      <c r="T169" s="32" t="s">
        <v>2788</v>
      </c>
      <c r="U169" s="33">
        <v>5.551999207979E12</v>
      </c>
      <c r="V169" s="33" t="s">
        <v>2789</v>
      </c>
      <c r="W169" s="34">
        <v>28859.0</v>
      </c>
      <c r="X169" s="23" t="s">
        <v>1620</v>
      </c>
      <c r="Y169" s="49" t="str">
        <f t="shared" ref="Y169:Y183" si="12">IFS(H:H="Encerrado","Encerrado",COUNTBLANK(AZ169:BK169)&gt;0,"Ativo",SUM(AZ169:BK169)=0,"Inativo",SUM(AZ169:BK169)&gt;0,"Ativo")</f>
        <v>Ativo</v>
      </c>
      <c r="Z169" s="62"/>
      <c r="AA169" s="62"/>
      <c r="AB169" s="64" t="s">
        <v>269</v>
      </c>
      <c r="AC169" s="79"/>
      <c r="AD169" s="54">
        <v>45070.0</v>
      </c>
      <c r="AE169" s="77">
        <v>4.9075100008574E13</v>
      </c>
      <c r="AF169" s="79"/>
      <c r="AG169" s="79"/>
      <c r="AH169" s="79"/>
      <c r="AI169" s="79"/>
      <c r="AJ169" s="79"/>
      <c r="AK169" s="79"/>
      <c r="AL169" s="65">
        <v>0.0</v>
      </c>
      <c r="AM169" s="65">
        <v>0.0</v>
      </c>
      <c r="AN169" s="65">
        <v>153290.86</v>
      </c>
      <c r="AO169" s="65">
        <v>156154.21</v>
      </c>
      <c r="AP169" s="65">
        <v>159693.13</v>
      </c>
      <c r="AQ169" s="65">
        <v>160546.72</v>
      </c>
      <c r="AR169" s="65">
        <v>177487.27</v>
      </c>
      <c r="AS169" s="65">
        <v>181353.63</v>
      </c>
      <c r="AT169" s="65">
        <v>191895.27</v>
      </c>
      <c r="AU169" s="65">
        <v>195075.61</v>
      </c>
      <c r="AV169" s="65">
        <v>198908.76</v>
      </c>
      <c r="AW169" s="65">
        <v>205686.07</v>
      </c>
      <c r="AX169" s="65">
        <v>214463.58</v>
      </c>
      <c r="AY169" s="65">
        <v>218645.7</v>
      </c>
      <c r="AZ169" s="65">
        <v>234039.8</v>
      </c>
      <c r="BA169" s="65">
        <v>251872.1</v>
      </c>
      <c r="BB169" s="65">
        <v>266395.7</v>
      </c>
      <c r="BC169" s="65">
        <v>273483.83</v>
      </c>
      <c r="BD169" s="65">
        <v>280258.11</v>
      </c>
      <c r="BE169" s="65">
        <v>283082.3</v>
      </c>
      <c r="BF169" s="65">
        <v>286596.96</v>
      </c>
      <c r="BG169" s="65">
        <v>296500.88</v>
      </c>
      <c r="BH169" s="65">
        <v>303422.51</v>
      </c>
      <c r="BI169" s="65">
        <v>309586.2</v>
      </c>
      <c r="BJ169" s="65">
        <v>315648.8</v>
      </c>
      <c r="BK169" s="65">
        <v>320387.91</v>
      </c>
      <c r="BL169" s="65">
        <v>324494.76</v>
      </c>
      <c r="BM169" s="65">
        <v>329997.91</v>
      </c>
      <c r="BN169" s="65">
        <v>336522.1</v>
      </c>
      <c r="BO169" s="65">
        <v>340935.5</v>
      </c>
      <c r="BP169" s="65">
        <v>352115.3</v>
      </c>
      <c r="BQ169" s="65">
        <v>358443.6</v>
      </c>
      <c r="BR169" s="65">
        <v>384517.5</v>
      </c>
      <c r="BS169" s="65">
        <v>404593.11</v>
      </c>
      <c r="BT169" s="88">
        <v>417464.2</v>
      </c>
      <c r="BU169" s="65">
        <v>442465.9</v>
      </c>
      <c r="BV169" s="65">
        <v>430315.2</v>
      </c>
      <c r="BW169" s="90">
        <v>427183.8</v>
      </c>
      <c r="BX169" s="90">
        <v>452090.78</v>
      </c>
      <c r="BY169" s="90">
        <f t="array" ref="BY169">XLOOKUP(C169,'PL TOTAL D0'!$A$3:$A$1991,'PL TOTAL D0'!$C$3:$C$1991,"")</f>
        <v>448588.46</v>
      </c>
    </row>
    <row r="170" ht="15.75" customHeight="1">
      <c r="A170" s="50" t="s">
        <v>24</v>
      </c>
      <c r="B170" s="43" t="s">
        <v>2805</v>
      </c>
      <c r="C170" s="53" t="s">
        <v>2709</v>
      </c>
      <c r="D170" s="30" t="s">
        <v>27</v>
      </c>
      <c r="E170" s="22" t="s">
        <v>28</v>
      </c>
      <c r="F170" s="22" t="s">
        <v>908</v>
      </c>
      <c r="G170" s="47" t="str">
        <f t="shared" si="10"/>
        <v>David</v>
      </c>
      <c r="H170" s="49" t="s">
        <v>183</v>
      </c>
      <c r="I170" s="49" t="s">
        <v>66</v>
      </c>
      <c r="J170" s="47" t="str">
        <f t="shared" si="11"/>
        <v>Não</v>
      </c>
      <c r="K170" s="54">
        <v>46202.0</v>
      </c>
      <c r="L170" s="189"/>
      <c r="M170" s="32" t="s">
        <v>34</v>
      </c>
      <c r="N170" s="56">
        <v>0.012</v>
      </c>
      <c r="O170" s="23" t="s">
        <v>35</v>
      </c>
      <c r="P170" s="57">
        <v>0.1</v>
      </c>
      <c r="Q170" s="58"/>
      <c r="R170" s="70"/>
      <c r="S170" s="32" t="s">
        <v>194</v>
      </c>
      <c r="T170" s="32" t="s">
        <v>2809</v>
      </c>
      <c r="U170" s="33" t="s">
        <v>2811</v>
      </c>
      <c r="V170" s="33" t="s">
        <v>2812</v>
      </c>
      <c r="W170" s="34">
        <v>29803.0</v>
      </c>
      <c r="X170" s="23" t="s">
        <v>475</v>
      </c>
      <c r="Y170" s="49" t="str">
        <f t="shared" si="12"/>
        <v>Ativo</v>
      </c>
      <c r="Z170" s="62"/>
      <c r="AA170" s="32" t="s">
        <v>47</v>
      </c>
      <c r="AB170" s="64"/>
      <c r="AC170" s="79"/>
      <c r="AD170" s="54"/>
      <c r="AE170" s="77"/>
      <c r="AF170" s="79"/>
      <c r="AG170" s="79"/>
      <c r="AH170" s="79"/>
      <c r="AI170" s="79"/>
      <c r="AJ170" s="79"/>
      <c r="AK170" s="79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88"/>
      <c r="BU170" s="65"/>
      <c r="BV170" s="65"/>
      <c r="BW170" s="90"/>
      <c r="BX170" s="90">
        <v>0.0</v>
      </c>
      <c r="BY170" s="90">
        <f t="array" ref="BY170">XLOOKUP(C170,'PL TOTAL D0'!$A$3:$A$1991,'PL TOTAL D0'!$C$3:$C$1991,"")</f>
        <v>959437.13</v>
      </c>
    </row>
    <row r="171" ht="15.75" customHeight="1">
      <c r="A171" s="43" t="s">
        <v>24</v>
      </c>
      <c r="B171" s="43" t="s">
        <v>446</v>
      </c>
      <c r="C171" s="94" t="s">
        <v>2830</v>
      </c>
      <c r="D171" s="30" t="s">
        <v>120</v>
      </c>
      <c r="E171" s="22" t="s">
        <v>199</v>
      </c>
      <c r="F171" s="22" t="s">
        <v>431</v>
      </c>
      <c r="G171" s="47" t="str">
        <f t="shared" si="10"/>
        <v>David</v>
      </c>
      <c r="H171" s="49" t="s">
        <v>295</v>
      </c>
      <c r="I171" s="49" t="s">
        <v>447</v>
      </c>
      <c r="J171" s="47" t="str">
        <f t="shared" si="11"/>
        <v>Não</v>
      </c>
      <c r="K171" s="54">
        <v>45281.0</v>
      </c>
      <c r="L171" s="189"/>
      <c r="M171" s="32" t="s">
        <v>201</v>
      </c>
      <c r="N171" s="56">
        <v>0.0</v>
      </c>
      <c r="O171" s="23" t="s">
        <v>66</v>
      </c>
      <c r="P171" s="57">
        <v>0.0</v>
      </c>
      <c r="Q171" s="58"/>
      <c r="R171" s="70"/>
      <c r="S171" s="32" t="s">
        <v>194</v>
      </c>
      <c r="T171" s="32" t="s">
        <v>450</v>
      </c>
      <c r="U171" s="33">
        <v>5.561982666915E12</v>
      </c>
      <c r="V171" s="33" t="s">
        <v>452</v>
      </c>
      <c r="W171" s="34">
        <v>34915.0</v>
      </c>
      <c r="X171" s="23" t="s">
        <v>199</v>
      </c>
      <c r="Y171" s="49" t="str">
        <f t="shared" si="12"/>
        <v>Ativo</v>
      </c>
      <c r="Z171" s="62"/>
      <c r="AA171" s="32" t="s">
        <v>165</v>
      </c>
      <c r="AB171" s="64" t="s">
        <v>269</v>
      </c>
      <c r="AC171" s="79"/>
      <c r="AD171" s="54">
        <v>45281.0</v>
      </c>
      <c r="AE171" s="77">
        <v>4.9075100013314E13</v>
      </c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65">
        <v>548.45</v>
      </c>
      <c r="AU171" s="65">
        <v>1812.67</v>
      </c>
      <c r="AV171" s="65">
        <v>1735.32</v>
      </c>
      <c r="AW171" s="65">
        <v>2050.86</v>
      </c>
      <c r="AX171" s="65">
        <v>2085.39</v>
      </c>
      <c r="AY171" s="65">
        <v>2197.64</v>
      </c>
      <c r="AZ171" s="65">
        <v>2898.31</v>
      </c>
      <c r="BA171" s="65">
        <v>3446.23</v>
      </c>
      <c r="BB171" s="65">
        <v>4447.58</v>
      </c>
      <c r="BC171" s="65">
        <v>4212.15</v>
      </c>
      <c r="BD171" s="65">
        <v>4702.63</v>
      </c>
      <c r="BE171" s="65">
        <v>5072.78</v>
      </c>
      <c r="BF171" s="65">
        <v>5615.54</v>
      </c>
      <c r="BG171" s="65">
        <v>6641.76</v>
      </c>
      <c r="BH171" s="65">
        <v>59.43</v>
      </c>
      <c r="BI171" s="65">
        <v>30.85</v>
      </c>
      <c r="BJ171" s="65">
        <v>0.0</v>
      </c>
      <c r="BK171" s="65">
        <v>0.0</v>
      </c>
      <c r="BL171" s="65">
        <v>1.75</v>
      </c>
      <c r="BM171" s="65">
        <v>1.75</v>
      </c>
      <c r="BN171" s="65">
        <v>1.75</v>
      </c>
      <c r="BO171" s="65">
        <v>1.75</v>
      </c>
      <c r="BP171" s="65">
        <v>1.75</v>
      </c>
      <c r="BQ171" s="65">
        <v>1.75</v>
      </c>
      <c r="BR171" s="65">
        <v>0.0</v>
      </c>
      <c r="BS171" s="65">
        <v>0.0</v>
      </c>
      <c r="BT171" s="88">
        <v>0.0</v>
      </c>
      <c r="BU171" s="65">
        <v>0.0</v>
      </c>
      <c r="BV171" s="65">
        <v>0.0</v>
      </c>
      <c r="BW171" s="90">
        <v>0.0</v>
      </c>
      <c r="BX171" s="90">
        <v>0.0</v>
      </c>
      <c r="BY171" s="90" t="str">
        <f t="array" ref="BY171">XLOOKUP(C171,'PL TOTAL D0'!$A$3:$A$1991,'PL TOTAL D0'!$C$3:$C$1991,"")</f>
        <v/>
      </c>
    </row>
    <row r="172" ht="15.75" customHeight="1">
      <c r="A172" s="43" t="s">
        <v>24</v>
      </c>
      <c r="B172" s="43" t="s">
        <v>446</v>
      </c>
      <c r="C172" s="94" t="s">
        <v>2858</v>
      </c>
      <c r="D172" s="30" t="s">
        <v>120</v>
      </c>
      <c r="E172" s="22" t="s">
        <v>199</v>
      </c>
      <c r="F172" s="22" t="s">
        <v>431</v>
      </c>
      <c r="G172" s="47" t="str">
        <f t="shared" si="10"/>
        <v>David</v>
      </c>
      <c r="H172" s="49" t="s">
        <v>295</v>
      </c>
      <c r="I172" s="49" t="s">
        <v>447</v>
      </c>
      <c r="J172" s="47" t="str">
        <f t="shared" si="11"/>
        <v>Não</v>
      </c>
      <c r="K172" s="54">
        <v>45695.0</v>
      </c>
      <c r="L172" s="189"/>
      <c r="M172" s="32" t="s">
        <v>201</v>
      </c>
      <c r="N172" s="56">
        <v>0.0</v>
      </c>
      <c r="O172" s="23" t="s">
        <v>66</v>
      </c>
      <c r="P172" s="57">
        <v>0.0</v>
      </c>
      <c r="Q172" s="58"/>
      <c r="R172" s="70"/>
      <c r="S172" s="32" t="s">
        <v>194</v>
      </c>
      <c r="T172" s="32" t="s">
        <v>450</v>
      </c>
      <c r="U172" s="33">
        <v>5.561982666915E12</v>
      </c>
      <c r="V172" s="33" t="s">
        <v>452</v>
      </c>
      <c r="W172" s="34">
        <v>34915.0</v>
      </c>
      <c r="X172" s="23" t="s">
        <v>199</v>
      </c>
      <c r="Y172" s="49" t="str">
        <f t="shared" si="12"/>
        <v>Ativo</v>
      </c>
      <c r="Z172" s="62"/>
      <c r="AA172" s="32" t="s">
        <v>165</v>
      </c>
      <c r="AB172" s="64"/>
      <c r="AC172" s="79"/>
      <c r="AD172" s="54">
        <v>45695.0</v>
      </c>
      <c r="AE172" s="77">
        <v>4.9075100018332E13</v>
      </c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>
        <v>7768.49</v>
      </c>
      <c r="BI172" s="65">
        <v>9134.82</v>
      </c>
      <c r="BJ172" s="65">
        <v>10459.43</v>
      </c>
      <c r="BK172" s="65">
        <v>10325.62</v>
      </c>
      <c r="BL172" s="65">
        <v>11217.2</v>
      </c>
      <c r="BM172" s="65">
        <v>8498.21</v>
      </c>
      <c r="BN172" s="65">
        <v>10631.2</v>
      </c>
      <c r="BO172" s="65">
        <v>12654.98</v>
      </c>
      <c r="BP172" s="65">
        <v>12820.64</v>
      </c>
      <c r="BQ172" s="65">
        <v>13755.1</v>
      </c>
      <c r="BR172" s="65">
        <v>14291.02</v>
      </c>
      <c r="BS172" s="65">
        <v>12466.35</v>
      </c>
      <c r="BT172" s="88">
        <v>13182.12</v>
      </c>
      <c r="BU172" s="65">
        <v>14818.51</v>
      </c>
      <c r="BV172" s="65">
        <v>12131.02</v>
      </c>
      <c r="BW172" s="90">
        <v>14694.37</v>
      </c>
      <c r="BX172" s="90">
        <v>15379.25</v>
      </c>
      <c r="BY172" s="90">
        <f t="array" ref="BY172">XLOOKUP(C172,'PL TOTAL D0'!$A$3:$A$1991,'PL TOTAL D0'!$C$3:$C$1991,"")</f>
        <v>18738.6</v>
      </c>
    </row>
    <row r="173" ht="15.75" customHeight="1">
      <c r="A173" s="50" t="s">
        <v>24</v>
      </c>
      <c r="B173" s="176" t="s">
        <v>2877</v>
      </c>
      <c r="C173" s="94" t="s">
        <v>2878</v>
      </c>
      <c r="D173" s="30" t="s">
        <v>89</v>
      </c>
      <c r="E173" s="95" t="s">
        <v>91</v>
      </c>
      <c r="F173" s="66" t="s">
        <v>521</v>
      </c>
      <c r="G173" s="47" t="str">
        <f t="shared" si="10"/>
        <v>David</v>
      </c>
      <c r="H173" s="49" t="s">
        <v>183</v>
      </c>
      <c r="I173" s="49" t="s">
        <v>66</v>
      </c>
      <c r="J173" s="47" t="str">
        <f t="shared" si="11"/>
        <v>Não</v>
      </c>
      <c r="K173" s="97">
        <v>45222.0</v>
      </c>
      <c r="L173" s="189"/>
      <c r="M173" s="62" t="s">
        <v>361</v>
      </c>
      <c r="N173" s="98">
        <v>0.02</v>
      </c>
      <c r="O173" s="47" t="s">
        <v>35</v>
      </c>
      <c r="P173" s="99">
        <v>0.2</v>
      </c>
      <c r="Q173" s="58"/>
      <c r="R173" s="70"/>
      <c r="S173" s="62" t="s">
        <v>194</v>
      </c>
      <c r="T173" s="32" t="s">
        <v>2888</v>
      </c>
      <c r="U173" s="33">
        <v>4.3996110743E10</v>
      </c>
      <c r="V173" s="33" t="s">
        <v>2889</v>
      </c>
      <c r="W173" s="48">
        <v>28854.0</v>
      </c>
      <c r="X173" s="23" t="s">
        <v>221</v>
      </c>
      <c r="Y173" s="49" t="str">
        <f t="shared" si="12"/>
        <v>Ativo</v>
      </c>
      <c r="Z173" s="62"/>
      <c r="AA173" s="62"/>
      <c r="AB173" s="64" t="s">
        <v>269</v>
      </c>
      <c r="AC173" s="79"/>
      <c r="AD173" s="54">
        <v>45222.0</v>
      </c>
      <c r="AE173" s="77">
        <v>4.907510001221E13</v>
      </c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65">
        <v>0.0</v>
      </c>
      <c r="AS173" s="65">
        <v>277932.23</v>
      </c>
      <c r="AT173" s="65">
        <v>289239.67</v>
      </c>
      <c r="AU173" s="65">
        <v>278382.04</v>
      </c>
      <c r="AV173" s="65">
        <v>220820.08</v>
      </c>
      <c r="AW173" s="65">
        <v>223808.12</v>
      </c>
      <c r="AX173" s="65">
        <v>219655.87</v>
      </c>
      <c r="AY173" s="65">
        <v>217168.4</v>
      </c>
      <c r="AZ173" s="65">
        <v>218200.6</v>
      </c>
      <c r="BA173" s="65">
        <v>222044.8</v>
      </c>
      <c r="BB173" s="65">
        <v>225233.45</v>
      </c>
      <c r="BC173" s="65">
        <v>223646.41</v>
      </c>
      <c r="BD173" s="65">
        <v>219974.49</v>
      </c>
      <c r="BE173" s="65">
        <v>216316.15</v>
      </c>
      <c r="BF173" s="65">
        <v>143959.51</v>
      </c>
      <c r="BG173" s="65">
        <v>146296.7</v>
      </c>
      <c r="BH173" s="65">
        <v>147634.35</v>
      </c>
      <c r="BI173" s="65">
        <v>149165.57</v>
      </c>
      <c r="BJ173" s="65">
        <v>151274.11</v>
      </c>
      <c r="BK173" s="65">
        <v>153149.08</v>
      </c>
      <c r="BL173" s="65">
        <v>154647.77</v>
      </c>
      <c r="BM173" s="65">
        <v>154748.03</v>
      </c>
      <c r="BN173" s="65">
        <v>156332.4</v>
      </c>
      <c r="BO173" s="65">
        <v>158500.3</v>
      </c>
      <c r="BP173" s="65">
        <v>160559.4</v>
      </c>
      <c r="BQ173" s="65">
        <v>163382.8</v>
      </c>
      <c r="BR173" s="65">
        <v>165176.6</v>
      </c>
      <c r="BS173" s="65">
        <v>167465.22</v>
      </c>
      <c r="BT173" s="88">
        <v>169385.9</v>
      </c>
      <c r="BU173" s="65">
        <v>171447.5</v>
      </c>
      <c r="BV173" s="65">
        <v>172878.9</v>
      </c>
      <c r="BW173" s="90">
        <v>170686.6</v>
      </c>
      <c r="BX173" s="90">
        <v>178661.53</v>
      </c>
      <c r="BY173" s="90">
        <f t="array" ref="BY173">XLOOKUP(C173,'PL TOTAL D0'!$A$3:$A$1991,'PL TOTAL D0'!$C$3:$C$1991,"")</f>
        <v>174090.92</v>
      </c>
    </row>
    <row r="174" ht="15.75" customHeight="1">
      <c r="A174" s="50" t="s">
        <v>24</v>
      </c>
      <c r="B174" s="176" t="s">
        <v>2912</v>
      </c>
      <c r="C174" s="94" t="s">
        <v>2771</v>
      </c>
      <c r="D174" s="30" t="s">
        <v>89</v>
      </c>
      <c r="E174" s="95" t="s">
        <v>91</v>
      </c>
      <c r="F174" s="81" t="s">
        <v>193</v>
      </c>
      <c r="G174" s="47" t="str">
        <f t="shared" si="10"/>
        <v>Gabriel</v>
      </c>
      <c r="H174" s="74" t="s">
        <v>183</v>
      </c>
      <c r="I174" s="74" t="s">
        <v>66</v>
      </c>
      <c r="J174" s="47" t="str">
        <f t="shared" si="11"/>
        <v>Não</v>
      </c>
      <c r="K174" s="97">
        <v>45042.0</v>
      </c>
      <c r="L174" s="62"/>
      <c r="M174" s="62" t="s">
        <v>209</v>
      </c>
      <c r="N174" s="98">
        <v>0.015</v>
      </c>
      <c r="O174" s="47" t="s">
        <v>35</v>
      </c>
      <c r="P174" s="99">
        <v>0.1</v>
      </c>
      <c r="Q174" s="58"/>
      <c r="R174" s="70"/>
      <c r="S174" s="62" t="s">
        <v>194</v>
      </c>
      <c r="T174" s="32" t="s">
        <v>2921</v>
      </c>
      <c r="U174" s="33">
        <v>5.543999935349E12</v>
      </c>
      <c r="V174" s="33" t="s">
        <v>2922</v>
      </c>
      <c r="W174" s="34">
        <v>28379.0</v>
      </c>
      <c r="X174" s="23" t="s">
        <v>221</v>
      </c>
      <c r="Y174" s="49" t="str">
        <f t="shared" si="12"/>
        <v>Ativo</v>
      </c>
      <c r="Z174" s="62"/>
      <c r="AA174" s="62"/>
      <c r="AB174" s="64" t="s">
        <v>269</v>
      </c>
      <c r="AC174" s="79"/>
      <c r="AD174" s="54">
        <v>45042.0</v>
      </c>
      <c r="AE174" s="77">
        <v>4.9075100008485E13</v>
      </c>
      <c r="AF174" s="79"/>
      <c r="AG174" s="79"/>
      <c r="AH174" s="79"/>
      <c r="AI174" s="79"/>
      <c r="AJ174" s="79"/>
      <c r="AK174" s="65">
        <v>0.0</v>
      </c>
      <c r="AL174" s="65">
        <v>542346.66</v>
      </c>
      <c r="AM174" s="65">
        <v>584340.22</v>
      </c>
      <c r="AN174" s="65">
        <v>594830.28</v>
      </c>
      <c r="AO174" s="65">
        <v>602056.04</v>
      </c>
      <c r="AP174" s="65">
        <v>598199.86</v>
      </c>
      <c r="AQ174" s="65">
        <v>600995.9</v>
      </c>
      <c r="AR174" s="65">
        <v>599761.88</v>
      </c>
      <c r="AS174" s="65">
        <v>613288.51</v>
      </c>
      <c r="AT174" s="65">
        <v>625453.34</v>
      </c>
      <c r="AU174" s="65">
        <v>616152.86</v>
      </c>
      <c r="AV174" s="65">
        <v>620014.59</v>
      </c>
      <c r="AW174" s="65">
        <v>626625.64</v>
      </c>
      <c r="AX174" s="65">
        <v>617212.34</v>
      </c>
      <c r="AY174" s="65">
        <v>614698.6</v>
      </c>
      <c r="AZ174" s="65">
        <v>618528.0</v>
      </c>
      <c r="BA174" s="65">
        <v>622875.8</v>
      </c>
      <c r="BB174" s="65">
        <v>630161.31</v>
      </c>
      <c r="BC174" s="65">
        <v>629345.32</v>
      </c>
      <c r="BD174" s="65">
        <v>624399.69</v>
      </c>
      <c r="BE174" s="65">
        <v>621087.52</v>
      </c>
      <c r="BF174" s="65">
        <v>621337.46</v>
      </c>
      <c r="BG174" s="65">
        <v>630353.53</v>
      </c>
      <c r="BH174" s="65">
        <v>636392.56</v>
      </c>
      <c r="BI174" s="65">
        <v>642908.1</v>
      </c>
      <c r="BJ174" s="65">
        <v>646486.55</v>
      </c>
      <c r="BK174" s="65">
        <v>656513.7</v>
      </c>
      <c r="BL174" s="65">
        <v>662757.16</v>
      </c>
      <c r="BM174" s="65">
        <v>666712.06</v>
      </c>
      <c r="BN174" s="65">
        <v>673594.7</v>
      </c>
      <c r="BO174" s="65">
        <v>682491.95</v>
      </c>
      <c r="BP174" s="65">
        <v>690001.8</v>
      </c>
      <c r="BQ174" s="65">
        <v>702665.6</v>
      </c>
      <c r="BR174" s="65">
        <v>710282.4</v>
      </c>
      <c r="BS174" s="65">
        <v>723098.98</v>
      </c>
      <c r="BT174" s="88">
        <v>731056.2</v>
      </c>
      <c r="BU174" s="65">
        <v>740013.6</v>
      </c>
      <c r="BV174" s="65">
        <v>745385.2</v>
      </c>
      <c r="BW174" s="90">
        <v>740602.5</v>
      </c>
      <c r="BX174" s="90">
        <v>771877.61</v>
      </c>
      <c r="BY174" s="90">
        <f t="array" ref="BY174">XLOOKUP(C174,'PL TOTAL D0'!$A$3:$A$1991,'PL TOTAL D0'!$C$3:$C$1991,"")</f>
        <v>753539.73</v>
      </c>
    </row>
    <row r="175" ht="15.75" customHeight="1">
      <c r="A175" s="50" t="s">
        <v>24</v>
      </c>
      <c r="B175" s="39" t="s">
        <v>2937</v>
      </c>
      <c r="C175" s="94" t="s">
        <v>2752</v>
      </c>
      <c r="D175" s="30" t="s">
        <v>142</v>
      </c>
      <c r="E175" s="22" t="s">
        <v>54</v>
      </c>
      <c r="F175" s="30" t="s">
        <v>158</v>
      </c>
      <c r="G175" s="47" t="str">
        <f t="shared" si="10"/>
        <v>Marcus</v>
      </c>
      <c r="H175" s="49" t="s">
        <v>183</v>
      </c>
      <c r="I175" s="49" t="s">
        <v>66</v>
      </c>
      <c r="J175" s="47" t="str">
        <f t="shared" si="11"/>
        <v>Não</v>
      </c>
      <c r="K175" s="54">
        <v>45483.0</v>
      </c>
      <c r="L175" s="62"/>
      <c r="M175" s="32" t="s">
        <v>61</v>
      </c>
      <c r="N175" s="56">
        <v>0.012</v>
      </c>
      <c r="O175" s="23" t="s">
        <v>66</v>
      </c>
      <c r="P175" s="57">
        <v>0.0</v>
      </c>
      <c r="Q175" s="58"/>
      <c r="R175" s="70"/>
      <c r="S175" s="32" t="s">
        <v>194</v>
      </c>
      <c r="T175" s="32" t="s">
        <v>2944</v>
      </c>
      <c r="U175" s="33">
        <v>6.2982555353E10</v>
      </c>
      <c r="V175" s="33" t="s">
        <v>2946</v>
      </c>
      <c r="W175" s="48">
        <v>29140.0</v>
      </c>
      <c r="X175" s="23" t="s">
        <v>54</v>
      </c>
      <c r="Y175" s="49" t="str">
        <f t="shared" si="12"/>
        <v>Ativo</v>
      </c>
      <c r="Z175" s="32"/>
      <c r="AA175" s="32" t="s">
        <v>47</v>
      </c>
      <c r="AB175" s="64" t="s">
        <v>269</v>
      </c>
      <c r="AC175" s="79"/>
      <c r="AD175" s="54">
        <v>45483.0</v>
      </c>
      <c r="AE175" s="77">
        <v>4.9075100015376E13</v>
      </c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65"/>
      <c r="AW175" s="65"/>
      <c r="AX175" s="65"/>
      <c r="AY175" s="65"/>
      <c r="AZ175" s="65"/>
      <c r="BA175" s="65">
        <v>581501.7</v>
      </c>
      <c r="BB175" s="65">
        <v>598304.03</v>
      </c>
      <c r="BC175" s="65">
        <v>666676.45</v>
      </c>
      <c r="BD175" s="65">
        <v>681733.41</v>
      </c>
      <c r="BE175" s="65">
        <v>677770.38</v>
      </c>
      <c r="BF175" s="65">
        <v>673175.44</v>
      </c>
      <c r="BG175" s="65">
        <v>697362.9</v>
      </c>
      <c r="BH175" s="65">
        <v>696970.67</v>
      </c>
      <c r="BI175" s="65">
        <v>682187.9</v>
      </c>
      <c r="BJ175" s="65">
        <v>555140.77</v>
      </c>
      <c r="BK175" s="65">
        <v>563820.42</v>
      </c>
      <c r="BL175" s="65">
        <v>569808.76</v>
      </c>
      <c r="BM175" s="65">
        <v>641925.96</v>
      </c>
      <c r="BN175" s="65">
        <v>650677.8</v>
      </c>
      <c r="BO175" s="65">
        <v>661964.05</v>
      </c>
      <c r="BP175" s="65">
        <v>774122.4</v>
      </c>
      <c r="BQ175" s="65">
        <v>780552.2</v>
      </c>
      <c r="BR175" s="65">
        <v>809992.5</v>
      </c>
      <c r="BS175" s="65">
        <v>815913.19</v>
      </c>
      <c r="BT175" s="88">
        <v>815343.0</v>
      </c>
      <c r="BU175" s="65">
        <v>815277.0</v>
      </c>
      <c r="BV175" s="65">
        <v>831998.6</v>
      </c>
      <c r="BW175" s="90">
        <v>843666.2</v>
      </c>
      <c r="BX175" s="90">
        <v>867840.87</v>
      </c>
      <c r="BY175" s="90">
        <f t="array" ref="BY175">XLOOKUP(C175,'PL TOTAL D0'!$A$3:$A$1991,'PL TOTAL D0'!$C$3:$C$1991,"")</f>
        <v>877689.88</v>
      </c>
    </row>
    <row r="176" ht="15.75" customHeight="1">
      <c r="A176" s="50" t="s">
        <v>24</v>
      </c>
      <c r="B176" s="176" t="s">
        <v>2966</v>
      </c>
      <c r="C176" s="94" t="s">
        <v>2505</v>
      </c>
      <c r="D176" s="30" t="s">
        <v>89</v>
      </c>
      <c r="E176" s="95" t="s">
        <v>91</v>
      </c>
      <c r="F176" s="81" t="s">
        <v>521</v>
      </c>
      <c r="G176" s="47" t="str">
        <f t="shared" si="10"/>
        <v>Marcus</v>
      </c>
      <c r="H176" s="49" t="s">
        <v>183</v>
      </c>
      <c r="I176" s="49" t="s">
        <v>66</v>
      </c>
      <c r="J176" s="47" t="str">
        <f t="shared" si="11"/>
        <v>Sim</v>
      </c>
      <c r="K176" s="97">
        <v>45069.0</v>
      </c>
      <c r="L176" s="62"/>
      <c r="M176" s="32" t="s">
        <v>1906</v>
      </c>
      <c r="N176" s="98">
        <v>0.015</v>
      </c>
      <c r="O176" s="23" t="s">
        <v>66</v>
      </c>
      <c r="P176" s="57">
        <v>0.0</v>
      </c>
      <c r="Q176" s="58" t="s">
        <v>2976</v>
      </c>
      <c r="R176" s="58" t="s">
        <v>2977</v>
      </c>
      <c r="S176" s="62" t="s">
        <v>194</v>
      </c>
      <c r="T176" s="32" t="s">
        <v>2979</v>
      </c>
      <c r="U176" s="33">
        <v>5.54399953605E11</v>
      </c>
      <c r="V176" s="33" t="s">
        <v>2980</v>
      </c>
      <c r="W176" s="48">
        <v>16355.0</v>
      </c>
      <c r="X176" s="23" t="s">
        <v>221</v>
      </c>
      <c r="Y176" s="49" t="str">
        <f t="shared" si="12"/>
        <v>Ativo</v>
      </c>
      <c r="Z176" s="62"/>
      <c r="AA176" s="32" t="s">
        <v>47</v>
      </c>
      <c r="AB176" s="64" t="s">
        <v>269</v>
      </c>
      <c r="AC176" s="79"/>
      <c r="AD176" s="54">
        <v>45069.0</v>
      </c>
      <c r="AE176" s="77">
        <v>4.9075100008493E13</v>
      </c>
      <c r="AF176" s="79"/>
      <c r="AG176" s="79"/>
      <c r="AH176" s="79"/>
      <c r="AI176" s="79"/>
      <c r="AJ176" s="79"/>
      <c r="AK176" s="65">
        <v>0.0</v>
      </c>
      <c r="AL176" s="65">
        <v>0.0</v>
      </c>
      <c r="AM176" s="65">
        <v>2070022.35</v>
      </c>
      <c r="AN176" s="65">
        <v>2103502.64</v>
      </c>
      <c r="AO176" s="65">
        <v>2127232.49</v>
      </c>
      <c r="AP176" s="65">
        <v>2116358.07</v>
      </c>
      <c r="AQ176" s="65">
        <v>2243640.55</v>
      </c>
      <c r="AR176" s="65">
        <v>2235994.67</v>
      </c>
      <c r="AS176" s="65">
        <v>2377416.49</v>
      </c>
      <c r="AT176" s="65">
        <v>2415030.57</v>
      </c>
      <c r="AU176" s="65">
        <v>2380802.78</v>
      </c>
      <c r="AV176" s="65">
        <v>2399647.77</v>
      </c>
      <c r="AW176" s="65">
        <v>2426511.51</v>
      </c>
      <c r="AX176" s="65">
        <v>2528771.03</v>
      </c>
      <c r="AY176" s="65">
        <v>2517554.0</v>
      </c>
      <c r="AZ176" s="65">
        <v>2532958.0</v>
      </c>
      <c r="BA176" s="65">
        <v>2568443.0</v>
      </c>
      <c r="BB176" s="65">
        <v>2601018.17</v>
      </c>
      <c r="BC176" s="65">
        <v>2776688.94</v>
      </c>
      <c r="BD176" s="65">
        <v>2753016.07</v>
      </c>
      <c r="BE176" s="65">
        <v>3268402.99</v>
      </c>
      <c r="BF176" s="65">
        <v>3181118.42</v>
      </c>
      <c r="BG176" s="65">
        <v>3410685.12</v>
      </c>
      <c r="BH176" s="65">
        <v>3409503.86</v>
      </c>
      <c r="BI176" s="65">
        <v>3407887.06</v>
      </c>
      <c r="BJ176" s="65">
        <v>3468714.8</v>
      </c>
      <c r="BK176" s="65">
        <v>3539969.83</v>
      </c>
      <c r="BL176" s="65">
        <v>3562973.8</v>
      </c>
      <c r="BM176" s="65">
        <v>3649790.41</v>
      </c>
      <c r="BN176" s="65">
        <v>4064083.0</v>
      </c>
      <c r="BO176" s="65">
        <v>4091055.05</v>
      </c>
      <c r="BP176" s="65">
        <v>3938161.0</v>
      </c>
      <c r="BQ176" s="65">
        <v>4076188.0</v>
      </c>
      <c r="BR176" s="65">
        <v>4069704.0</v>
      </c>
      <c r="BS176" s="65">
        <v>4158583.15</v>
      </c>
      <c r="BT176" s="88">
        <v>3784439.0</v>
      </c>
      <c r="BU176" s="65">
        <v>3813544.0</v>
      </c>
      <c r="BV176" s="65">
        <v>3851039.0</v>
      </c>
      <c r="BW176" s="90">
        <v>3901308.0</v>
      </c>
      <c r="BX176" s="90">
        <v>3936091.98</v>
      </c>
      <c r="BY176" s="90">
        <f t="array" ref="BY176">XLOOKUP(C176,'PL TOTAL D0'!$A$3:$A$1991,'PL TOTAL D0'!$C$3:$C$1991,"")</f>
        <v>3995316.27</v>
      </c>
    </row>
    <row r="177" ht="15.75" customHeight="1">
      <c r="A177" s="50" t="s">
        <v>24</v>
      </c>
      <c r="B177" s="368" t="s">
        <v>2966</v>
      </c>
      <c r="C177" s="94" t="s">
        <v>2994</v>
      </c>
      <c r="D177" s="30" t="s">
        <v>89</v>
      </c>
      <c r="E177" s="95" t="s">
        <v>91</v>
      </c>
      <c r="F177" s="81" t="s">
        <v>521</v>
      </c>
      <c r="G177" s="47" t="str">
        <f t="shared" si="10"/>
        <v>David</v>
      </c>
      <c r="H177" s="49" t="s">
        <v>224</v>
      </c>
      <c r="I177" s="49" t="s">
        <v>66</v>
      </c>
      <c r="J177" s="47" t="str">
        <f t="shared" si="11"/>
        <v>Não</v>
      </c>
      <c r="K177" s="97">
        <v>45238.0</v>
      </c>
      <c r="L177" s="121">
        <v>45980.0</v>
      </c>
      <c r="M177" s="62" t="s">
        <v>231</v>
      </c>
      <c r="N177" s="144">
        <v>0.025</v>
      </c>
      <c r="O177" s="23" t="s">
        <v>233</v>
      </c>
      <c r="P177" s="520">
        <v>0.2</v>
      </c>
      <c r="Q177" s="58"/>
      <c r="R177" s="58" t="s">
        <v>2999</v>
      </c>
      <c r="S177" s="62" t="s">
        <v>194</v>
      </c>
      <c r="T177" s="32" t="s">
        <v>2979</v>
      </c>
      <c r="U177" s="33">
        <v>5.54399953605E11</v>
      </c>
      <c r="V177" s="33" t="s">
        <v>2980</v>
      </c>
      <c r="W177" s="48">
        <v>16355.0</v>
      </c>
      <c r="X177" s="23" t="s">
        <v>221</v>
      </c>
      <c r="Y177" s="49" t="str">
        <f t="shared" si="12"/>
        <v>Encerrado</v>
      </c>
      <c r="Z177" s="62"/>
      <c r="AA177" s="62"/>
      <c r="AB177" s="64" t="s">
        <v>269</v>
      </c>
      <c r="AC177" s="79"/>
      <c r="AD177" s="54">
        <v>45238.0</v>
      </c>
      <c r="AE177" s="77">
        <v>4.9075100012229E13</v>
      </c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65">
        <v>652851.99</v>
      </c>
      <c r="AT177" s="65">
        <v>684298.56</v>
      </c>
      <c r="AU177" s="65">
        <v>637688.03</v>
      </c>
      <c r="AV177" s="65">
        <v>645978.53</v>
      </c>
      <c r="AW177" s="65">
        <v>656283.35</v>
      </c>
      <c r="AX177" s="65">
        <v>626648.49</v>
      </c>
      <c r="AY177" s="65">
        <v>616981.8</v>
      </c>
      <c r="AZ177" s="65">
        <v>618421.3</v>
      </c>
      <c r="BA177" s="65">
        <v>634907.7</v>
      </c>
      <c r="BB177" s="65">
        <v>648656.62</v>
      </c>
      <c r="BC177" s="65">
        <v>637359.26</v>
      </c>
      <c r="BD177" s="65">
        <v>608549.78</v>
      </c>
      <c r="BE177" s="65">
        <v>50831.41</v>
      </c>
      <c r="BF177" s="65">
        <v>2493.83</v>
      </c>
      <c r="BG177" s="65">
        <v>2494.06</v>
      </c>
      <c r="BH177" s="65">
        <v>2494.06</v>
      </c>
      <c r="BI177" s="65">
        <v>2494.06</v>
      </c>
      <c r="BJ177" s="65">
        <v>1660.52</v>
      </c>
      <c r="BK177" s="65">
        <v>0.0</v>
      </c>
      <c r="BL177" s="65">
        <v>0.0</v>
      </c>
      <c r="BM177" s="65">
        <v>0.0</v>
      </c>
      <c r="BN177" s="65">
        <v>0.0</v>
      </c>
      <c r="BO177" s="65">
        <v>0.0</v>
      </c>
      <c r="BP177" s="65">
        <v>0.0</v>
      </c>
      <c r="BQ177" s="65">
        <v>0.0</v>
      </c>
      <c r="BR177" s="65">
        <v>0.0</v>
      </c>
      <c r="BS177" s="65">
        <v>0.0</v>
      </c>
      <c r="BT177" s="88">
        <v>0.0</v>
      </c>
      <c r="BU177" s="65">
        <v>0.0</v>
      </c>
      <c r="BV177" s="65">
        <v>0.0</v>
      </c>
      <c r="BW177" s="90">
        <v>0.0</v>
      </c>
      <c r="BX177" s="90">
        <v>0.0</v>
      </c>
      <c r="BY177" s="90" t="str">
        <f t="array" ref="BY177">XLOOKUP(C177,'PL TOTAL D0'!$A$3:$A$1991,'PL TOTAL D0'!$C$3:$C$1991,"")</f>
        <v/>
      </c>
    </row>
    <row r="178" ht="15.75" customHeight="1">
      <c r="A178" s="50" t="s">
        <v>24</v>
      </c>
      <c r="B178" s="50" t="s">
        <v>3017</v>
      </c>
      <c r="C178" s="94" t="s">
        <v>3018</v>
      </c>
      <c r="D178" s="30" t="s">
        <v>89</v>
      </c>
      <c r="E178" s="95" t="s">
        <v>91</v>
      </c>
      <c r="F178" s="81" t="s">
        <v>521</v>
      </c>
      <c r="G178" s="47" t="str">
        <f t="shared" si="10"/>
        <v>David</v>
      </c>
      <c r="H178" s="49" t="s">
        <v>224</v>
      </c>
      <c r="I178" s="49" t="s">
        <v>66</v>
      </c>
      <c r="J178" s="47" t="str">
        <f t="shared" si="11"/>
        <v>Não</v>
      </c>
      <c r="K178" s="97">
        <v>45113.0</v>
      </c>
      <c r="L178" s="186">
        <v>45940.0</v>
      </c>
      <c r="M178" s="62" t="s">
        <v>231</v>
      </c>
      <c r="N178" s="98">
        <v>0.025</v>
      </c>
      <c r="O178" s="23" t="s">
        <v>233</v>
      </c>
      <c r="P178" s="99">
        <v>0.2</v>
      </c>
      <c r="Q178" s="58"/>
      <c r="R178" s="70"/>
      <c r="S178" s="62" t="s">
        <v>194</v>
      </c>
      <c r="T178" s="32" t="s">
        <v>3023</v>
      </c>
      <c r="U178" s="33">
        <v>5.543988015439E12</v>
      </c>
      <c r="V178" s="33" t="s">
        <v>3024</v>
      </c>
      <c r="W178" s="34">
        <v>23469.0</v>
      </c>
      <c r="X178" s="23" t="s">
        <v>221</v>
      </c>
      <c r="Y178" s="49" t="str">
        <f t="shared" si="12"/>
        <v>Encerrado</v>
      </c>
      <c r="Z178" s="62"/>
      <c r="AA178" s="62"/>
      <c r="AB178" s="64" t="s">
        <v>269</v>
      </c>
      <c r="AC178" s="79"/>
      <c r="AD178" s="54">
        <v>45113.0</v>
      </c>
      <c r="AE178" s="77">
        <v>4.9075100012237E13</v>
      </c>
      <c r="AF178" s="79"/>
      <c r="AG178" s="79"/>
      <c r="AH178" s="79"/>
      <c r="AI178" s="79"/>
      <c r="AJ178" s="79"/>
      <c r="AK178" s="79"/>
      <c r="AL178" s="79"/>
      <c r="AM178" s="79"/>
      <c r="AN178" s="65">
        <v>0.0</v>
      </c>
      <c r="AO178" s="65">
        <v>51041.15</v>
      </c>
      <c r="AP178" s="65">
        <v>49917.84</v>
      </c>
      <c r="AQ178" s="65">
        <v>49755.82</v>
      </c>
      <c r="AR178" s="65">
        <v>47504.14</v>
      </c>
      <c r="AS178" s="65">
        <v>51103.35</v>
      </c>
      <c r="AT178" s="65">
        <v>53544.78</v>
      </c>
      <c r="AU178" s="65">
        <v>49830.07</v>
      </c>
      <c r="AV178" s="65">
        <v>99800.43</v>
      </c>
      <c r="AW178" s="65">
        <v>101505.39</v>
      </c>
      <c r="AX178" s="65">
        <v>97140.19</v>
      </c>
      <c r="AY178" s="65">
        <v>94921.19</v>
      </c>
      <c r="AZ178" s="65">
        <v>94769.16</v>
      </c>
      <c r="BA178" s="65">
        <v>96896.35</v>
      </c>
      <c r="BB178" s="65">
        <v>98107.41</v>
      </c>
      <c r="BC178" s="65">
        <v>96448.11</v>
      </c>
      <c r="BD178" s="65">
        <v>93253.98</v>
      </c>
      <c r="BE178" s="65">
        <v>30506.1</v>
      </c>
      <c r="BF178" s="65">
        <v>506.41</v>
      </c>
      <c r="BG178" s="65">
        <v>299.86</v>
      </c>
      <c r="BH178" s="65">
        <v>299.86</v>
      </c>
      <c r="BI178" s="65">
        <v>299.86</v>
      </c>
      <c r="BJ178" s="65">
        <v>299.87</v>
      </c>
      <c r="BK178" s="65">
        <v>0.0</v>
      </c>
      <c r="BL178" s="65">
        <v>0.0</v>
      </c>
      <c r="BM178" s="65">
        <v>0.0</v>
      </c>
      <c r="BN178" s="65">
        <v>0.0</v>
      </c>
      <c r="BO178" s="65">
        <v>0.0</v>
      </c>
      <c r="BP178" s="65">
        <v>0.0</v>
      </c>
      <c r="BQ178" s="65">
        <v>0.0</v>
      </c>
      <c r="BR178" s="65">
        <v>0.0</v>
      </c>
      <c r="BS178" s="65">
        <v>0.0</v>
      </c>
      <c r="BT178" s="88">
        <v>0.0</v>
      </c>
      <c r="BU178" s="65">
        <v>0.0</v>
      </c>
      <c r="BV178" s="65">
        <v>0.0</v>
      </c>
      <c r="BW178" s="90">
        <v>0.0</v>
      </c>
      <c r="BX178" s="90">
        <v>0.0</v>
      </c>
      <c r="BY178" s="90" t="str">
        <f t="array" ref="BY178">XLOOKUP(C178,'PL TOTAL D0'!$A$3:$A$1991,'PL TOTAL D0'!$C$3:$C$1991,"")</f>
        <v/>
      </c>
    </row>
    <row r="179" ht="15.75" customHeight="1">
      <c r="A179" s="50" t="s">
        <v>24</v>
      </c>
      <c r="B179" s="50" t="s">
        <v>3017</v>
      </c>
      <c r="C179" s="94" t="s">
        <v>2777</v>
      </c>
      <c r="D179" s="30" t="s">
        <v>89</v>
      </c>
      <c r="E179" s="95" t="s">
        <v>91</v>
      </c>
      <c r="F179" s="81" t="s">
        <v>521</v>
      </c>
      <c r="G179" s="47" t="str">
        <f t="shared" si="10"/>
        <v>Gabriel</v>
      </c>
      <c r="H179" s="49" t="s">
        <v>183</v>
      </c>
      <c r="I179" s="49" t="s">
        <v>66</v>
      </c>
      <c r="J179" s="47" t="str">
        <f t="shared" si="11"/>
        <v>Não</v>
      </c>
      <c r="K179" s="97">
        <v>45075.0</v>
      </c>
      <c r="L179" s="62"/>
      <c r="M179" s="32" t="s">
        <v>1360</v>
      </c>
      <c r="N179" s="56">
        <v>0.015</v>
      </c>
      <c r="O179" s="47" t="s">
        <v>66</v>
      </c>
      <c r="P179" s="99">
        <v>0.0</v>
      </c>
      <c r="Q179" s="58"/>
      <c r="R179" s="70"/>
      <c r="S179" s="62" t="s">
        <v>194</v>
      </c>
      <c r="T179" s="32" t="s">
        <v>3023</v>
      </c>
      <c r="U179" s="33">
        <v>5.543988015439E12</v>
      </c>
      <c r="V179" s="33" t="s">
        <v>3024</v>
      </c>
      <c r="W179" s="34">
        <v>23469.0</v>
      </c>
      <c r="X179" s="23" t="s">
        <v>221</v>
      </c>
      <c r="Y179" s="49" t="str">
        <f t="shared" si="12"/>
        <v>Ativo</v>
      </c>
      <c r="Z179" s="62"/>
      <c r="AA179" s="32" t="s">
        <v>47</v>
      </c>
      <c r="AB179" s="64" t="s">
        <v>269</v>
      </c>
      <c r="AC179" s="79"/>
      <c r="AD179" s="54">
        <v>45075.0</v>
      </c>
      <c r="AE179" s="77">
        <v>4.9075100008051E13</v>
      </c>
      <c r="AF179" s="79"/>
      <c r="AG179" s="79"/>
      <c r="AH179" s="79"/>
      <c r="AI179" s="79"/>
      <c r="AJ179" s="79"/>
      <c r="AK179" s="65">
        <v>0.0</v>
      </c>
      <c r="AL179" s="65">
        <v>0.0</v>
      </c>
      <c r="AM179" s="65">
        <v>625317.48</v>
      </c>
      <c r="AN179" s="65">
        <v>675434.06</v>
      </c>
      <c r="AO179" s="65">
        <v>628805.12</v>
      </c>
      <c r="AP179" s="65">
        <v>634687.11</v>
      </c>
      <c r="AQ179" s="65">
        <v>637617.83</v>
      </c>
      <c r="AR179" s="65">
        <v>640660.17</v>
      </c>
      <c r="AS179" s="65">
        <v>625126.21</v>
      </c>
      <c r="AT179" s="65">
        <v>610235.55</v>
      </c>
      <c r="AU179" s="65">
        <v>593915.89</v>
      </c>
      <c r="AV179" s="65">
        <v>546034.45</v>
      </c>
      <c r="AW179" s="65">
        <v>550621.0</v>
      </c>
      <c r="AX179" s="65">
        <v>549433.34</v>
      </c>
      <c r="AY179" s="65">
        <v>552019.2</v>
      </c>
      <c r="AZ179" s="65">
        <v>556363.9</v>
      </c>
      <c r="BA179" s="65">
        <v>559725.4</v>
      </c>
      <c r="BB179" s="65">
        <v>564370.63</v>
      </c>
      <c r="BC179" s="65">
        <v>566794.89</v>
      </c>
      <c r="BD179" s="65">
        <v>571305.71</v>
      </c>
      <c r="BE179" s="65">
        <v>634143.68</v>
      </c>
      <c r="BF179" s="65">
        <v>667492.33</v>
      </c>
      <c r="BG179" s="65">
        <v>674712.44</v>
      </c>
      <c r="BH179" s="65">
        <v>635238.47</v>
      </c>
      <c r="BI179" s="65">
        <v>643502.55</v>
      </c>
      <c r="BJ179" s="65">
        <v>647571.19</v>
      </c>
      <c r="BK179" s="65">
        <v>654066.07</v>
      </c>
      <c r="BL179" s="65">
        <v>659575.17</v>
      </c>
      <c r="BM179" s="65">
        <v>667672.05</v>
      </c>
      <c r="BN179" s="65">
        <v>674345.3</v>
      </c>
      <c r="BO179" s="65">
        <v>680668.98</v>
      </c>
      <c r="BP179" s="65">
        <v>687346.4</v>
      </c>
      <c r="BQ179" s="65">
        <v>690497.2</v>
      </c>
      <c r="BR179" s="65">
        <v>696226.9</v>
      </c>
      <c r="BS179" s="65">
        <v>699710.03</v>
      </c>
      <c r="BT179" s="88">
        <v>702415.8</v>
      </c>
      <c r="BU179" s="65">
        <v>708518.1</v>
      </c>
      <c r="BV179" s="65">
        <v>715415.9</v>
      </c>
      <c r="BW179" s="90">
        <v>725284.3</v>
      </c>
      <c r="BX179" s="90">
        <v>731112.4</v>
      </c>
      <c r="BY179" s="90">
        <f t="array" ref="BY179">XLOOKUP(C179,'PL TOTAL D0'!$A$3:$A$1991,'PL TOTAL D0'!$C$3:$C$1991,"")</f>
        <v>742655.19</v>
      </c>
    </row>
    <row r="180" ht="15.75" customHeight="1">
      <c r="A180" s="50" t="s">
        <v>24</v>
      </c>
      <c r="B180" s="43" t="s">
        <v>3071</v>
      </c>
      <c r="C180" s="53" t="s">
        <v>2495</v>
      </c>
      <c r="D180" s="30" t="s">
        <v>1257</v>
      </c>
      <c r="E180" s="22" t="s">
        <v>199</v>
      </c>
      <c r="F180" s="30" t="s">
        <v>1257</v>
      </c>
      <c r="G180" s="23" t="s">
        <v>3075</v>
      </c>
      <c r="H180" s="49" t="s">
        <v>183</v>
      </c>
      <c r="I180" s="49" t="s">
        <v>66</v>
      </c>
      <c r="J180" s="47" t="str">
        <f t="shared" si="11"/>
        <v>Não</v>
      </c>
      <c r="K180" s="54">
        <v>46146.0</v>
      </c>
      <c r="L180" s="62"/>
      <c r="M180" s="32" t="s">
        <v>1262</v>
      </c>
      <c r="N180" s="56">
        <v>0.0</v>
      </c>
      <c r="O180" s="23" t="s">
        <v>66</v>
      </c>
      <c r="P180" s="57">
        <v>0.0</v>
      </c>
      <c r="Q180" s="58"/>
      <c r="R180" s="70"/>
      <c r="S180" s="32" t="s">
        <v>234</v>
      </c>
      <c r="T180" s="32" t="s">
        <v>3093</v>
      </c>
      <c r="U180" s="33" t="s">
        <v>3094</v>
      </c>
      <c r="V180" s="33" t="s">
        <v>3097</v>
      </c>
      <c r="W180" s="34">
        <v>44448.0</v>
      </c>
      <c r="X180" s="23" t="s">
        <v>1158</v>
      </c>
      <c r="Y180" s="49" t="str">
        <f t="shared" si="12"/>
        <v>Ativo</v>
      </c>
      <c r="Z180" s="62"/>
      <c r="AA180" s="32" t="s">
        <v>107</v>
      </c>
      <c r="AB180" s="64"/>
      <c r="AC180" s="79"/>
      <c r="AD180" s="54">
        <v>46203.0</v>
      </c>
      <c r="AE180" s="77"/>
      <c r="AF180" s="79"/>
      <c r="AG180" s="79"/>
      <c r="AH180" s="79"/>
      <c r="AI180" s="79"/>
      <c r="AJ180" s="79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88"/>
      <c r="BU180" s="65"/>
      <c r="BV180" s="65">
        <v>0.0</v>
      </c>
      <c r="BW180" s="90">
        <v>4470065.0</v>
      </c>
      <c r="BX180" s="90">
        <v>4363727.63</v>
      </c>
      <c r="BY180" s="90">
        <f t="array" ref="BY180">XLOOKUP(C180,'PL TOTAL D0'!$A$3:$A$1991,'PL TOTAL D0'!$C$3:$C$1991,"")</f>
        <v>4119604.52</v>
      </c>
    </row>
    <row r="181" ht="15.75" customHeight="1">
      <c r="A181" s="50" t="s">
        <v>24</v>
      </c>
      <c r="B181" s="43" t="s">
        <v>3134</v>
      </c>
      <c r="C181" s="94" t="s">
        <v>3025</v>
      </c>
      <c r="D181" s="30" t="s">
        <v>89</v>
      </c>
      <c r="E181" s="95" t="s">
        <v>91</v>
      </c>
      <c r="F181" s="81" t="s">
        <v>193</v>
      </c>
      <c r="G181" s="47" t="str">
        <f t="shared" ref="G181:G431" si="13">IFS($BS$4:$BS$1280&lt;=250000,"David",$BS$4:$BS$1280&lt;=800000,"Gabriel", $BS$4:$BS$1280&gt;800000,"Marcus")</f>
        <v>Gabriel</v>
      </c>
      <c r="H181" s="74" t="s">
        <v>183</v>
      </c>
      <c r="I181" s="74" t="s">
        <v>66</v>
      </c>
      <c r="J181" s="47" t="str">
        <f t="shared" si="11"/>
        <v>Não</v>
      </c>
      <c r="K181" s="97">
        <v>45093.0</v>
      </c>
      <c r="L181" s="62"/>
      <c r="M181" s="62" t="s">
        <v>34</v>
      </c>
      <c r="N181" s="98">
        <v>0.012</v>
      </c>
      <c r="O181" s="47" t="s">
        <v>66</v>
      </c>
      <c r="P181" s="99">
        <v>0.0</v>
      </c>
      <c r="Q181" s="58"/>
      <c r="R181" s="70"/>
      <c r="S181" s="62" t="s">
        <v>194</v>
      </c>
      <c r="T181" s="32" t="s">
        <v>3155</v>
      </c>
      <c r="U181" s="33">
        <v>5.543999189919E12</v>
      </c>
      <c r="V181" s="33" t="s">
        <v>3157</v>
      </c>
      <c r="W181" s="34">
        <v>33362.0</v>
      </c>
      <c r="X181" s="23" t="s">
        <v>221</v>
      </c>
      <c r="Y181" s="49" t="str">
        <f t="shared" si="12"/>
        <v>Ativo</v>
      </c>
      <c r="Z181" s="62"/>
      <c r="AA181" s="62"/>
      <c r="AB181" s="64" t="s">
        <v>269</v>
      </c>
      <c r="AC181" s="79"/>
      <c r="AD181" s="54">
        <v>45093.0</v>
      </c>
      <c r="AE181" s="77">
        <v>4.907510000778E13</v>
      </c>
      <c r="AF181" s="79"/>
      <c r="AG181" s="79"/>
      <c r="AH181" s="79"/>
      <c r="AI181" s="79"/>
      <c r="AJ181" s="79"/>
      <c r="AK181" s="79"/>
      <c r="AL181" s="65">
        <v>0.0</v>
      </c>
      <c r="AM181" s="65">
        <v>5000.0</v>
      </c>
      <c r="AN181" s="65">
        <v>5026.08</v>
      </c>
      <c r="AO181" s="65">
        <v>242504.57</v>
      </c>
      <c r="AP181" s="65">
        <v>251998.2</v>
      </c>
      <c r="AQ181" s="65">
        <v>258335.65</v>
      </c>
      <c r="AR181" s="65">
        <v>258603.46</v>
      </c>
      <c r="AS181" s="65">
        <v>263284.06</v>
      </c>
      <c r="AT181" s="65">
        <v>267096.93</v>
      </c>
      <c r="AU181" s="65">
        <v>266200.21</v>
      </c>
      <c r="AV181" s="65">
        <v>268175.67</v>
      </c>
      <c r="AW181" s="65">
        <v>267033.97</v>
      </c>
      <c r="AX181" s="65">
        <v>267120.61</v>
      </c>
      <c r="AY181" s="65">
        <v>267699.6</v>
      </c>
      <c r="AZ181" s="65">
        <v>269730.4</v>
      </c>
      <c r="BA181" s="65">
        <v>272815.2</v>
      </c>
      <c r="BB181" s="65">
        <v>275641.94</v>
      </c>
      <c r="BC181" s="65">
        <v>276025.31</v>
      </c>
      <c r="BD181" s="65">
        <v>276422.3</v>
      </c>
      <c r="BE181" s="65">
        <v>277104.07</v>
      </c>
      <c r="BF181" s="65">
        <v>278636.89</v>
      </c>
      <c r="BG181" s="65">
        <v>281237.18</v>
      </c>
      <c r="BH181" s="65">
        <v>283715.22</v>
      </c>
      <c r="BI181" s="65">
        <v>282689.47</v>
      </c>
      <c r="BJ181" s="65">
        <v>285721.07</v>
      </c>
      <c r="BK181" s="65">
        <v>288450.14</v>
      </c>
      <c r="BL181" s="65">
        <v>291142.76</v>
      </c>
      <c r="BM181" s="65">
        <v>294458.19</v>
      </c>
      <c r="BN181" s="65">
        <v>297026.1</v>
      </c>
      <c r="BO181" s="65">
        <v>300523.56</v>
      </c>
      <c r="BP181" s="65">
        <v>263445.8</v>
      </c>
      <c r="BQ181" s="65">
        <v>305707.8</v>
      </c>
      <c r="BR181" s="65">
        <v>308481.0</v>
      </c>
      <c r="BS181" s="65">
        <v>311995.44</v>
      </c>
      <c r="BT181" s="88">
        <v>314778.4</v>
      </c>
      <c r="BU181" s="65">
        <v>316393.8</v>
      </c>
      <c r="BV181" s="65">
        <v>319655.6</v>
      </c>
      <c r="BW181" s="90">
        <v>320649.1</v>
      </c>
      <c r="BX181" s="90">
        <v>332046.98</v>
      </c>
      <c r="BY181" s="90">
        <f t="array" ref="BY181">XLOOKUP(C181,'PL TOTAL D0'!$A$3:$A$1991,'PL TOTAL D0'!$C$3:$C$1991,"")</f>
        <v>327592.29</v>
      </c>
    </row>
    <row r="182" ht="15.75" customHeight="1">
      <c r="A182" s="50" t="s">
        <v>24</v>
      </c>
      <c r="B182" s="50" t="s">
        <v>3200</v>
      </c>
      <c r="C182" s="94" t="s">
        <v>3201</v>
      </c>
      <c r="D182" s="30" t="s">
        <v>89</v>
      </c>
      <c r="E182" s="95" t="s">
        <v>91</v>
      </c>
      <c r="F182" s="81" t="s">
        <v>193</v>
      </c>
      <c r="G182" s="47" t="str">
        <f t="shared" si="13"/>
        <v>David</v>
      </c>
      <c r="H182" s="49" t="s">
        <v>224</v>
      </c>
      <c r="I182" s="49" t="s">
        <v>66</v>
      </c>
      <c r="J182" s="47" t="str">
        <f t="shared" si="11"/>
        <v>Não</v>
      </c>
      <c r="K182" s="97">
        <v>45043.0</v>
      </c>
      <c r="L182" s="55">
        <v>45764.0</v>
      </c>
      <c r="M182" s="62" t="s">
        <v>34</v>
      </c>
      <c r="N182" s="98">
        <v>0.012</v>
      </c>
      <c r="O182" s="47" t="s">
        <v>35</v>
      </c>
      <c r="P182" s="99">
        <v>0.1</v>
      </c>
      <c r="Q182" s="58"/>
      <c r="R182" s="58" t="s">
        <v>3213</v>
      </c>
      <c r="S182" s="62" t="s">
        <v>194</v>
      </c>
      <c r="T182" s="32" t="s">
        <v>3215</v>
      </c>
      <c r="U182" s="33" t="s">
        <v>268</v>
      </c>
      <c r="V182" s="33"/>
      <c r="W182" s="33" t="s">
        <v>268</v>
      </c>
      <c r="X182" s="23" t="s">
        <v>221</v>
      </c>
      <c r="Y182" s="49" t="str">
        <f t="shared" si="12"/>
        <v>Encerrado</v>
      </c>
      <c r="Z182" s="62"/>
      <c r="AA182" s="62"/>
      <c r="AB182" s="64" t="s">
        <v>269</v>
      </c>
      <c r="AC182" s="79"/>
      <c r="AD182" s="54">
        <v>45043.0</v>
      </c>
      <c r="AE182" s="77">
        <v>4.9075100007381E13</v>
      </c>
      <c r="AF182" s="79"/>
      <c r="AG182" s="79"/>
      <c r="AH182" s="79"/>
      <c r="AI182" s="79"/>
      <c r="AJ182" s="79"/>
      <c r="AK182" s="65">
        <v>0.0</v>
      </c>
      <c r="AL182" s="65">
        <v>13680.76</v>
      </c>
      <c r="AM182" s="65">
        <v>82180.02</v>
      </c>
      <c r="AN182" s="65">
        <v>154130.79</v>
      </c>
      <c r="AO182" s="65">
        <v>157675.4</v>
      </c>
      <c r="AP182" s="65">
        <v>194857.67</v>
      </c>
      <c r="AQ182" s="65">
        <v>197754.37</v>
      </c>
      <c r="AR182" s="65">
        <v>205526.47</v>
      </c>
      <c r="AS182" s="65">
        <v>213038.45</v>
      </c>
      <c r="AT182" s="65">
        <v>217649.15</v>
      </c>
      <c r="AU182" s="65">
        <v>201823.01</v>
      </c>
      <c r="AV182" s="65">
        <v>204980.68</v>
      </c>
      <c r="AW182" s="65">
        <v>209678.1</v>
      </c>
      <c r="AX182" s="65">
        <v>227132.7</v>
      </c>
      <c r="AY182" s="65">
        <v>233041.9</v>
      </c>
      <c r="AZ182" s="65">
        <v>235324.8</v>
      </c>
      <c r="BA182" s="65">
        <v>244747.4</v>
      </c>
      <c r="BB182" s="65">
        <v>248774.66</v>
      </c>
      <c r="BC182" s="65">
        <v>232627.43</v>
      </c>
      <c r="BD182" s="65">
        <v>0.0</v>
      </c>
      <c r="BE182" s="65">
        <v>0.0</v>
      </c>
      <c r="BF182" s="65">
        <v>0.0</v>
      </c>
      <c r="BG182" s="65">
        <v>0.0</v>
      </c>
      <c r="BH182" s="65">
        <v>0.0</v>
      </c>
      <c r="BI182" s="65">
        <v>0.0</v>
      </c>
      <c r="BJ182" s="65">
        <v>0.0</v>
      </c>
      <c r="BK182" s="65">
        <v>0.0</v>
      </c>
      <c r="BL182" s="65">
        <v>0.0</v>
      </c>
      <c r="BM182" s="65">
        <v>0.0</v>
      </c>
      <c r="BN182" s="65">
        <v>0.0</v>
      </c>
      <c r="BO182" s="65">
        <v>0.0</v>
      </c>
      <c r="BP182" s="65">
        <v>0.0</v>
      </c>
      <c r="BQ182" s="65">
        <v>0.0</v>
      </c>
      <c r="BR182" s="65">
        <v>0.0</v>
      </c>
      <c r="BS182" s="65">
        <v>0.0</v>
      </c>
      <c r="BT182" s="88">
        <v>0.0</v>
      </c>
      <c r="BU182" s="65">
        <v>0.0</v>
      </c>
      <c r="BV182" s="65">
        <v>0.0</v>
      </c>
      <c r="BW182" s="90">
        <v>0.0</v>
      </c>
      <c r="BX182" s="90">
        <v>0.0</v>
      </c>
      <c r="BY182" s="90" t="str">
        <f t="array" ref="BY182">XLOOKUP(C182,'PL TOTAL D0'!$A$3:$A$1991,'PL TOTAL D0'!$C$3:$C$1991,"")</f>
        <v/>
      </c>
    </row>
    <row r="183" ht="15.75" customHeight="1">
      <c r="A183" s="50" t="s">
        <v>24</v>
      </c>
      <c r="B183" s="50" t="s">
        <v>3250</v>
      </c>
      <c r="C183" s="94" t="s">
        <v>3253</v>
      </c>
      <c r="D183" s="81" t="s">
        <v>120</v>
      </c>
      <c r="E183" s="95" t="s">
        <v>199</v>
      </c>
      <c r="F183" s="81" t="s">
        <v>1914</v>
      </c>
      <c r="G183" s="47" t="str">
        <f t="shared" si="13"/>
        <v>David</v>
      </c>
      <c r="H183" s="49" t="s">
        <v>224</v>
      </c>
      <c r="I183" s="49" t="s">
        <v>66</v>
      </c>
      <c r="J183" s="47" t="str">
        <f t="shared" si="11"/>
        <v>Não</v>
      </c>
      <c r="K183" s="97">
        <v>45174.0</v>
      </c>
      <c r="L183" s="121">
        <v>45590.0</v>
      </c>
      <c r="M183" s="62" t="s">
        <v>34</v>
      </c>
      <c r="N183" s="98">
        <v>0.012</v>
      </c>
      <c r="O183" s="47" t="s">
        <v>35</v>
      </c>
      <c r="P183" s="99">
        <v>0.1</v>
      </c>
      <c r="Q183" s="58"/>
      <c r="R183" s="70"/>
      <c r="S183" s="62" t="s">
        <v>194</v>
      </c>
      <c r="T183" s="32" t="s">
        <v>3261</v>
      </c>
      <c r="U183" s="33" t="s">
        <v>268</v>
      </c>
      <c r="V183" s="33"/>
      <c r="W183" s="33" t="s">
        <v>268</v>
      </c>
      <c r="X183" s="23" t="s">
        <v>199</v>
      </c>
      <c r="Y183" s="49" t="str">
        <f t="shared" si="12"/>
        <v>Encerrado</v>
      </c>
      <c r="Z183" s="62"/>
      <c r="AA183" s="62"/>
      <c r="AB183" s="64" t="s">
        <v>269</v>
      </c>
      <c r="AC183" s="79"/>
      <c r="AD183" s="54">
        <v>45174.0</v>
      </c>
      <c r="AE183" s="77">
        <v>4.9075100011265E13</v>
      </c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65">
        <v>0.0</v>
      </c>
      <c r="AQ183" s="65">
        <v>302072.36</v>
      </c>
      <c r="AR183" s="65">
        <v>354108.05</v>
      </c>
      <c r="AS183" s="65">
        <v>377820.02</v>
      </c>
      <c r="AT183" s="65">
        <v>404903.88</v>
      </c>
      <c r="AU183" s="65">
        <v>414156.46</v>
      </c>
      <c r="AV183" s="65">
        <v>422660.17</v>
      </c>
      <c r="AW183" s="65">
        <v>427208.0</v>
      </c>
      <c r="AX183" s="65">
        <v>427330.42</v>
      </c>
      <c r="AY183" s="65">
        <v>451626.5</v>
      </c>
      <c r="AZ183" s="65">
        <v>474984.9</v>
      </c>
      <c r="BA183" s="65">
        <v>494935.4</v>
      </c>
      <c r="BB183" s="65">
        <v>511034.27</v>
      </c>
      <c r="BC183" s="65">
        <v>522270.14</v>
      </c>
      <c r="BD183" s="65">
        <v>0.0</v>
      </c>
      <c r="BE183" s="65">
        <v>0.0</v>
      </c>
      <c r="BF183" s="65">
        <v>0.0</v>
      </c>
      <c r="BG183" s="65">
        <v>0.0</v>
      </c>
      <c r="BH183" s="65">
        <v>0.0</v>
      </c>
      <c r="BI183" s="65">
        <v>0.0</v>
      </c>
      <c r="BJ183" s="65">
        <v>0.0</v>
      </c>
      <c r="BK183" s="65">
        <v>0.0</v>
      </c>
      <c r="BL183" s="65">
        <v>0.0</v>
      </c>
      <c r="BM183" s="65">
        <v>0.0</v>
      </c>
      <c r="BN183" s="65">
        <v>0.0</v>
      </c>
      <c r="BO183" s="65">
        <v>0.0</v>
      </c>
      <c r="BP183" s="65">
        <v>0.0</v>
      </c>
      <c r="BQ183" s="65">
        <v>0.0</v>
      </c>
      <c r="BR183" s="65">
        <v>0.0</v>
      </c>
      <c r="BS183" s="65">
        <v>0.0</v>
      </c>
      <c r="BT183" s="88">
        <v>0.0</v>
      </c>
      <c r="BU183" s="65">
        <v>0.0</v>
      </c>
      <c r="BV183" s="65">
        <v>0.0</v>
      </c>
      <c r="BW183" s="90">
        <v>0.0</v>
      </c>
      <c r="BX183" s="90">
        <v>0.0</v>
      </c>
      <c r="BY183" s="90" t="str">
        <f t="array" ref="BY183">XLOOKUP(C183,'PL TOTAL D0'!$A$3:$A$1991,'PL TOTAL D0'!$C$3:$C$1991,"")</f>
        <v/>
      </c>
    </row>
    <row r="184" ht="15.75" customHeight="1">
      <c r="A184" s="43" t="s">
        <v>24</v>
      </c>
      <c r="B184" s="43" t="s">
        <v>3282</v>
      </c>
      <c r="C184" s="94" t="s">
        <v>3283</v>
      </c>
      <c r="D184" s="30" t="s">
        <v>120</v>
      </c>
      <c r="E184" s="22" t="s">
        <v>54</v>
      </c>
      <c r="F184" s="30" t="s">
        <v>125</v>
      </c>
      <c r="G184" s="47" t="str">
        <f t="shared" si="13"/>
        <v>David</v>
      </c>
      <c r="H184" s="49" t="s">
        <v>183</v>
      </c>
      <c r="I184" s="49" t="s">
        <v>382</v>
      </c>
      <c r="J184" s="47" t="str">
        <f t="shared" si="11"/>
        <v>Não</v>
      </c>
      <c r="K184" s="54">
        <v>45926.0</v>
      </c>
      <c r="L184" s="121"/>
      <c r="M184" s="32" t="s">
        <v>61</v>
      </c>
      <c r="N184" s="56">
        <v>0.012</v>
      </c>
      <c r="O184" s="23" t="s">
        <v>66</v>
      </c>
      <c r="P184" s="57">
        <v>0.0</v>
      </c>
      <c r="Q184" s="58"/>
      <c r="R184" s="70"/>
      <c r="S184" s="32" t="s">
        <v>194</v>
      </c>
      <c r="T184" s="32" t="s">
        <v>3292</v>
      </c>
      <c r="U184" s="33" t="s">
        <v>3293</v>
      </c>
      <c r="V184" s="33" t="s">
        <v>3294</v>
      </c>
      <c r="W184" s="48">
        <v>35447.0</v>
      </c>
      <c r="X184" s="23" t="s">
        <v>618</v>
      </c>
      <c r="Y184" s="49" t="s">
        <v>183</v>
      </c>
      <c r="Z184" s="62"/>
      <c r="AA184" s="32" t="s">
        <v>165</v>
      </c>
      <c r="AB184" s="64"/>
      <c r="AC184" s="79"/>
      <c r="AD184" s="54"/>
      <c r="AE184" s="77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>
        <v>0.0</v>
      </c>
      <c r="BP184" s="65">
        <v>0.0</v>
      </c>
      <c r="BQ184" s="65">
        <v>0.0</v>
      </c>
      <c r="BR184" s="65">
        <v>0.0</v>
      </c>
      <c r="BS184" s="65">
        <v>0.0</v>
      </c>
      <c r="BT184" s="88">
        <v>0.0</v>
      </c>
      <c r="BU184" s="65">
        <v>0.0</v>
      </c>
      <c r="BV184" s="65">
        <v>0.0</v>
      </c>
      <c r="BW184" s="90">
        <v>0.0</v>
      </c>
      <c r="BX184" s="90">
        <v>0.0</v>
      </c>
      <c r="BY184" s="90" t="str">
        <f t="array" ref="BY184">XLOOKUP(C184,'PL TOTAL D0'!$A$3:$A$1991,'PL TOTAL D0'!$C$3:$C$1991,"")</f>
        <v/>
      </c>
    </row>
    <row r="185" ht="15.75" customHeight="1">
      <c r="A185" s="43" t="s">
        <v>24</v>
      </c>
      <c r="B185" s="43" t="s">
        <v>3321</v>
      </c>
      <c r="C185" s="53" t="s">
        <v>3143</v>
      </c>
      <c r="D185" s="30" t="s">
        <v>53</v>
      </c>
      <c r="E185" s="22" t="s">
        <v>54</v>
      </c>
      <c r="F185" s="30" t="s">
        <v>507</v>
      </c>
      <c r="G185" s="47" t="str">
        <f t="shared" si="13"/>
        <v>David</v>
      </c>
      <c r="H185" s="49" t="s">
        <v>183</v>
      </c>
      <c r="I185" s="49" t="s">
        <v>66</v>
      </c>
      <c r="J185" s="47" t="str">
        <f t="shared" si="11"/>
        <v>Não</v>
      </c>
      <c r="K185" s="54">
        <v>46122.0</v>
      </c>
      <c r="L185" s="121"/>
      <c r="M185" s="32" t="s">
        <v>209</v>
      </c>
      <c r="N185" s="56">
        <v>0.015</v>
      </c>
      <c r="O185" s="23" t="s">
        <v>35</v>
      </c>
      <c r="P185" s="57">
        <v>0.1</v>
      </c>
      <c r="Q185" s="58"/>
      <c r="R185" s="70"/>
      <c r="S185" s="32" t="s">
        <v>194</v>
      </c>
      <c r="T185" s="32" t="s">
        <v>3330</v>
      </c>
      <c r="U185" s="33" t="s">
        <v>3331</v>
      </c>
      <c r="V185" s="33" t="s">
        <v>3334</v>
      </c>
      <c r="W185" s="48">
        <v>34325.0</v>
      </c>
      <c r="X185" s="23" t="s">
        <v>54</v>
      </c>
      <c r="Y185" s="49" t="s">
        <v>183</v>
      </c>
      <c r="Z185" s="62"/>
      <c r="AA185" s="32" t="s">
        <v>47</v>
      </c>
      <c r="AB185" s="64"/>
      <c r="AC185" s="79"/>
      <c r="AD185" s="54">
        <v>46203.0</v>
      </c>
      <c r="AE185" s="77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88"/>
      <c r="BU185" s="65"/>
      <c r="BV185" s="65">
        <v>85517.79</v>
      </c>
      <c r="BW185" s="90">
        <v>149202.2</v>
      </c>
      <c r="BX185" s="90">
        <v>200783.19</v>
      </c>
      <c r="BY185" s="90">
        <f t="array" ref="BY185">XLOOKUP(C185,'PL TOTAL D0'!$A$3:$A$1991,'PL TOTAL D0'!$C$3:$C$1991,"")</f>
        <v>202826.46</v>
      </c>
    </row>
    <row r="186" ht="15.75" customHeight="1">
      <c r="A186" s="50" t="s">
        <v>24</v>
      </c>
      <c r="B186" s="50" t="s">
        <v>3360</v>
      </c>
      <c r="C186" s="94" t="s">
        <v>3361</v>
      </c>
      <c r="D186" s="81" t="s">
        <v>120</v>
      </c>
      <c r="E186" s="95" t="s">
        <v>199</v>
      </c>
      <c r="F186" s="81" t="s">
        <v>290</v>
      </c>
      <c r="G186" s="47" t="str">
        <f t="shared" si="13"/>
        <v>David</v>
      </c>
      <c r="H186" s="49" t="s">
        <v>295</v>
      </c>
      <c r="I186" s="49" t="s">
        <v>382</v>
      </c>
      <c r="J186" s="47" t="str">
        <f t="shared" si="11"/>
        <v>Não</v>
      </c>
      <c r="K186" s="97">
        <v>45264.0</v>
      </c>
      <c r="L186" s="62"/>
      <c r="M186" s="62" t="s">
        <v>557</v>
      </c>
      <c r="N186" s="98">
        <v>0.007</v>
      </c>
      <c r="O186" s="47" t="s">
        <v>66</v>
      </c>
      <c r="P186" s="99">
        <v>0.0</v>
      </c>
      <c r="Q186" s="58"/>
      <c r="R186" s="70"/>
      <c r="S186" s="62" t="s">
        <v>194</v>
      </c>
      <c r="T186" s="32" t="s">
        <v>3371</v>
      </c>
      <c r="U186" s="33">
        <v>5.561981419401E12</v>
      </c>
      <c r="V186" s="33" t="s">
        <v>3374</v>
      </c>
      <c r="W186" s="34">
        <v>42413.0</v>
      </c>
      <c r="X186" s="23" t="s">
        <v>199</v>
      </c>
      <c r="Y186" s="49" t="str">
        <f t="shared" ref="Y186:Y376" si="14">IFS(H:H="Encerrado","Encerrado",COUNTBLANK(AZ186:BK186)&gt;0,"Ativo",SUM(AZ186:BK186)=0,"Inativo",SUM(AZ186:BK186)&gt;0,"Ativo")</f>
        <v>Inativo</v>
      </c>
      <c r="Z186" s="62"/>
      <c r="AA186" s="62"/>
      <c r="AB186" s="64" t="s">
        <v>269</v>
      </c>
      <c r="AC186" s="79"/>
      <c r="AD186" s="54">
        <v>45264.0</v>
      </c>
      <c r="AE186" s="77">
        <v>4.9075100012938E13</v>
      </c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65">
        <v>0.0</v>
      </c>
      <c r="AT186" s="65">
        <v>0.0</v>
      </c>
      <c r="AU186" s="65">
        <v>0.0</v>
      </c>
      <c r="AV186" s="65">
        <v>0.0</v>
      </c>
      <c r="AW186" s="65">
        <v>0.0</v>
      </c>
      <c r="AX186" s="65">
        <v>0.0</v>
      </c>
      <c r="AY186" s="65">
        <v>0.0</v>
      </c>
      <c r="AZ186" s="65">
        <v>0.0</v>
      </c>
      <c r="BA186" s="65">
        <v>0.0</v>
      </c>
      <c r="BB186" s="65">
        <v>0.0</v>
      </c>
      <c r="BC186" s="65">
        <v>0.0</v>
      </c>
      <c r="BD186" s="65">
        <v>0.0</v>
      </c>
      <c r="BE186" s="65">
        <v>0.0</v>
      </c>
      <c r="BF186" s="65">
        <v>0.0</v>
      </c>
      <c r="BG186" s="65">
        <v>0.0</v>
      </c>
      <c r="BH186" s="65">
        <v>0.0</v>
      </c>
      <c r="BI186" s="65">
        <v>0.0</v>
      </c>
      <c r="BJ186" s="65">
        <v>0.0</v>
      </c>
      <c r="BK186" s="65">
        <v>0.0</v>
      </c>
      <c r="BL186" s="65">
        <v>0.0</v>
      </c>
      <c r="BM186" s="65">
        <v>0.0</v>
      </c>
      <c r="BN186" s="65">
        <v>0.0</v>
      </c>
      <c r="BO186" s="65">
        <v>0.0</v>
      </c>
      <c r="BP186" s="65">
        <v>0.0</v>
      </c>
      <c r="BQ186" s="65">
        <v>0.0</v>
      </c>
      <c r="BR186" s="65">
        <v>0.0</v>
      </c>
      <c r="BS186" s="65">
        <v>0.0</v>
      </c>
      <c r="BT186" s="88">
        <v>0.0</v>
      </c>
      <c r="BU186" s="65">
        <v>0.0</v>
      </c>
      <c r="BV186" s="65">
        <v>0.0</v>
      </c>
      <c r="BW186" s="90">
        <v>0.0</v>
      </c>
      <c r="BX186" s="90">
        <v>0.0</v>
      </c>
      <c r="BY186" s="90" t="str">
        <f t="array" ref="BY186">XLOOKUP(C186,'PL TOTAL D0'!$A$3:$A$1991,'PL TOTAL D0'!$C$3:$C$1991,"")</f>
        <v/>
      </c>
    </row>
    <row r="187" ht="15.75" customHeight="1">
      <c r="A187" s="50" t="s">
        <v>24</v>
      </c>
      <c r="B187" s="43" t="s">
        <v>3407</v>
      </c>
      <c r="C187" s="94" t="s">
        <v>3408</v>
      </c>
      <c r="D187" s="30" t="s">
        <v>142</v>
      </c>
      <c r="E187" s="22" t="s">
        <v>54</v>
      </c>
      <c r="F187" s="30" t="s">
        <v>158</v>
      </c>
      <c r="G187" s="47" t="str">
        <f t="shared" si="13"/>
        <v>David</v>
      </c>
      <c r="H187" s="49" t="s">
        <v>224</v>
      </c>
      <c r="I187" s="49" t="s">
        <v>66</v>
      </c>
      <c r="J187" s="47" t="str">
        <f t="shared" si="11"/>
        <v>Não</v>
      </c>
      <c r="K187" s="54">
        <v>45516.0</v>
      </c>
      <c r="L187" s="55">
        <v>45750.0</v>
      </c>
      <c r="M187" s="32" t="s">
        <v>61</v>
      </c>
      <c r="N187" s="56">
        <v>0.012</v>
      </c>
      <c r="O187" s="23" t="s">
        <v>66</v>
      </c>
      <c r="P187" s="57">
        <v>0.0</v>
      </c>
      <c r="Q187" s="58"/>
      <c r="R187" s="70"/>
      <c r="S187" s="32" t="s">
        <v>194</v>
      </c>
      <c r="T187" s="32" t="s">
        <v>3416</v>
      </c>
      <c r="U187" s="33" t="s">
        <v>268</v>
      </c>
      <c r="V187" s="33"/>
      <c r="W187" s="33" t="s">
        <v>268</v>
      </c>
      <c r="X187" s="23" t="s">
        <v>199</v>
      </c>
      <c r="Y187" s="49" t="str">
        <f t="shared" si="14"/>
        <v>Encerrado</v>
      </c>
      <c r="Z187" s="32"/>
      <c r="AA187" s="32" t="s">
        <v>47</v>
      </c>
      <c r="AB187" s="64" t="s">
        <v>269</v>
      </c>
      <c r="AC187" s="79"/>
      <c r="AD187" s="54">
        <v>45516.0</v>
      </c>
      <c r="AE187" s="77">
        <v>4.9075100015589E13</v>
      </c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65"/>
      <c r="AW187" s="65"/>
      <c r="AX187" s="65"/>
      <c r="AY187" s="65"/>
      <c r="AZ187" s="65"/>
      <c r="BA187" s="65"/>
      <c r="BB187" s="65">
        <v>257291.1</v>
      </c>
      <c r="BC187" s="65">
        <v>296383.76</v>
      </c>
      <c r="BD187" s="65">
        <v>297315.97</v>
      </c>
      <c r="BE187" s="65">
        <v>297868.06</v>
      </c>
      <c r="BF187" s="65">
        <v>298239.65</v>
      </c>
      <c r="BG187" s="65">
        <v>189587.22</v>
      </c>
      <c r="BH187" s="65">
        <v>21496.02</v>
      </c>
      <c r="BI187" s="65">
        <v>0.0</v>
      </c>
      <c r="BJ187" s="65">
        <v>0.0</v>
      </c>
      <c r="BK187" s="65">
        <v>0.0</v>
      </c>
      <c r="BL187" s="65">
        <v>0.0</v>
      </c>
      <c r="BM187" s="65">
        <v>0.0</v>
      </c>
      <c r="BN187" s="65">
        <v>0.0</v>
      </c>
      <c r="BO187" s="65">
        <v>0.0</v>
      </c>
      <c r="BP187" s="65">
        <v>0.0</v>
      </c>
      <c r="BQ187" s="65">
        <v>0.0</v>
      </c>
      <c r="BR187" s="65">
        <v>0.0</v>
      </c>
      <c r="BS187" s="65">
        <v>0.0</v>
      </c>
      <c r="BT187" s="88">
        <v>0.0</v>
      </c>
      <c r="BU187" s="65">
        <v>0.0</v>
      </c>
      <c r="BV187" s="65">
        <v>0.0</v>
      </c>
      <c r="BW187" s="90">
        <v>0.0</v>
      </c>
      <c r="BX187" s="90">
        <v>0.0</v>
      </c>
      <c r="BY187" s="90" t="str">
        <f t="array" ref="BY187">XLOOKUP(C187,'PL TOTAL D0'!$A$3:$A$1991,'PL TOTAL D0'!$C$3:$C$1991,"")</f>
        <v/>
      </c>
    </row>
    <row r="188" ht="15.75" customHeight="1">
      <c r="A188" s="50" t="s">
        <v>24</v>
      </c>
      <c r="B188" s="43" t="s">
        <v>3440</v>
      </c>
      <c r="C188" s="94" t="s">
        <v>3441</v>
      </c>
      <c r="D188" s="30" t="s">
        <v>120</v>
      </c>
      <c r="E188" s="22" t="s">
        <v>199</v>
      </c>
      <c r="F188" s="81" t="s">
        <v>1914</v>
      </c>
      <c r="G188" s="47" t="str">
        <f t="shared" si="13"/>
        <v>David</v>
      </c>
      <c r="H188" s="49" t="s">
        <v>224</v>
      </c>
      <c r="I188" s="49" t="s">
        <v>66</v>
      </c>
      <c r="J188" s="47" t="str">
        <f t="shared" si="11"/>
        <v>Não</v>
      </c>
      <c r="K188" s="54">
        <v>45470.0</v>
      </c>
      <c r="L188" s="121">
        <v>45580.0</v>
      </c>
      <c r="M188" s="32" t="s">
        <v>213</v>
      </c>
      <c r="N188" s="56">
        <v>0.007</v>
      </c>
      <c r="O188" s="23" t="s">
        <v>66</v>
      </c>
      <c r="P188" s="57">
        <v>0.0</v>
      </c>
      <c r="Q188" s="58"/>
      <c r="R188" s="70"/>
      <c r="S188" s="32" t="s">
        <v>194</v>
      </c>
      <c r="T188" s="32" t="s">
        <v>3449</v>
      </c>
      <c r="U188" s="33" t="s">
        <v>268</v>
      </c>
      <c r="V188" s="33"/>
      <c r="W188" s="33" t="s">
        <v>268</v>
      </c>
      <c r="X188" s="23" t="s">
        <v>199</v>
      </c>
      <c r="Y188" s="49" t="str">
        <f t="shared" si="14"/>
        <v>Encerrado</v>
      </c>
      <c r="Z188" s="32"/>
      <c r="AA188" s="32" t="s">
        <v>107</v>
      </c>
      <c r="AB188" s="64" t="s">
        <v>269</v>
      </c>
      <c r="AC188" s="79"/>
      <c r="AD188" s="54">
        <v>45470.0</v>
      </c>
      <c r="AE188" s="77">
        <v>4.9075100014949E13</v>
      </c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65"/>
      <c r="AW188" s="65"/>
      <c r="AX188" s="65"/>
      <c r="AY188" s="65"/>
      <c r="AZ188" s="65">
        <v>0.0</v>
      </c>
      <c r="BA188" s="65">
        <v>301532.3</v>
      </c>
      <c r="BB188" s="65">
        <v>304023.59</v>
      </c>
      <c r="BC188" s="65">
        <v>306377.35</v>
      </c>
      <c r="BD188" s="65">
        <v>0.0</v>
      </c>
      <c r="BE188" s="65">
        <v>0.0</v>
      </c>
      <c r="BF188" s="65">
        <v>0.0</v>
      </c>
      <c r="BG188" s="65">
        <v>0.0</v>
      </c>
      <c r="BH188" s="65">
        <v>0.0</v>
      </c>
      <c r="BI188" s="65">
        <v>0.0</v>
      </c>
      <c r="BJ188" s="65">
        <v>0.0</v>
      </c>
      <c r="BK188" s="65">
        <v>0.0</v>
      </c>
      <c r="BL188" s="65">
        <v>0.0</v>
      </c>
      <c r="BM188" s="65">
        <v>0.0</v>
      </c>
      <c r="BN188" s="65">
        <v>0.0</v>
      </c>
      <c r="BO188" s="65">
        <v>0.0</v>
      </c>
      <c r="BP188" s="65">
        <v>0.0</v>
      </c>
      <c r="BQ188" s="65">
        <v>0.0</v>
      </c>
      <c r="BR188" s="65">
        <v>0.0</v>
      </c>
      <c r="BS188" s="65">
        <v>0.0</v>
      </c>
      <c r="BT188" s="88">
        <v>0.0</v>
      </c>
      <c r="BU188" s="65">
        <v>0.0</v>
      </c>
      <c r="BV188" s="65">
        <v>0.0</v>
      </c>
      <c r="BW188" s="90">
        <v>0.0</v>
      </c>
      <c r="BX188" s="90">
        <v>0.0</v>
      </c>
      <c r="BY188" s="90" t="str">
        <f t="array" ref="BY188">XLOOKUP(C188,'PL TOTAL D0'!$A$3:$A$1991,'PL TOTAL D0'!$C$3:$C$1991,"")</f>
        <v/>
      </c>
    </row>
    <row r="189" ht="15.75" customHeight="1">
      <c r="A189" s="50" t="s">
        <v>24</v>
      </c>
      <c r="B189" s="43" t="s">
        <v>462</v>
      </c>
      <c r="C189" s="94" t="s">
        <v>2476</v>
      </c>
      <c r="D189" s="30" t="s">
        <v>120</v>
      </c>
      <c r="E189" s="22" t="s">
        <v>199</v>
      </c>
      <c r="F189" s="30" t="s">
        <v>332</v>
      </c>
      <c r="G189" s="47" t="str">
        <f t="shared" si="13"/>
        <v>Marcus</v>
      </c>
      <c r="H189" s="49" t="s">
        <v>183</v>
      </c>
      <c r="I189" s="49" t="s">
        <v>66</v>
      </c>
      <c r="J189" s="47" t="str">
        <f t="shared" si="11"/>
        <v>Sim</v>
      </c>
      <c r="K189" s="54">
        <v>45625.0</v>
      </c>
      <c r="L189" s="121"/>
      <c r="M189" s="32" t="s">
        <v>34</v>
      </c>
      <c r="N189" s="56">
        <v>0.009</v>
      </c>
      <c r="O189" s="23" t="s">
        <v>35</v>
      </c>
      <c r="P189" s="57">
        <v>0.1</v>
      </c>
      <c r="Q189" s="58" t="s">
        <v>3475</v>
      </c>
      <c r="R189" s="70"/>
      <c r="S189" s="32" t="s">
        <v>194</v>
      </c>
      <c r="T189" s="32" t="s">
        <v>472</v>
      </c>
      <c r="U189" s="33">
        <v>5.512997404912E12</v>
      </c>
      <c r="V189" s="33" t="s">
        <v>474</v>
      </c>
      <c r="W189" s="34">
        <v>31531.0</v>
      </c>
      <c r="X189" s="23" t="s">
        <v>475</v>
      </c>
      <c r="Y189" s="49" t="str">
        <f t="shared" si="14"/>
        <v>Ativo</v>
      </c>
      <c r="Z189" s="32"/>
      <c r="AA189" s="32" t="s">
        <v>47</v>
      </c>
      <c r="AB189" s="64"/>
      <c r="AC189" s="79"/>
      <c r="AD189" s="54">
        <v>45625.0</v>
      </c>
      <c r="AE189" s="77">
        <v>4.9075100016372E13</v>
      </c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>
        <v>1386565.51</v>
      </c>
      <c r="BF189" s="65">
        <v>1341055.92</v>
      </c>
      <c r="BG189" s="65">
        <v>1089439.36</v>
      </c>
      <c r="BH189" s="65">
        <v>1068271.4</v>
      </c>
      <c r="BI189" s="65">
        <v>1073314.98</v>
      </c>
      <c r="BJ189" s="65">
        <v>1026684.46</v>
      </c>
      <c r="BK189" s="65">
        <v>1038671.57</v>
      </c>
      <c r="BL189" s="65">
        <v>1049960.04</v>
      </c>
      <c r="BM189" s="65">
        <v>1057182.72</v>
      </c>
      <c r="BN189" s="65">
        <v>1070647.0</v>
      </c>
      <c r="BO189" s="65">
        <v>5558941.63</v>
      </c>
      <c r="BP189" s="65">
        <v>5552701.0</v>
      </c>
      <c r="BQ189" s="65">
        <v>5665723.0</v>
      </c>
      <c r="BR189" s="65">
        <v>5672386.0</v>
      </c>
      <c r="BS189" s="65">
        <v>5883823.48</v>
      </c>
      <c r="BT189" s="88">
        <v>5876965.0</v>
      </c>
      <c r="BU189" s="65">
        <v>5615727.0</v>
      </c>
      <c r="BV189" s="65">
        <v>5541462.0</v>
      </c>
      <c r="BW189" s="90">
        <v>5259873.0</v>
      </c>
      <c r="BX189" s="90">
        <v>5411228.28</v>
      </c>
      <c r="BY189" s="90">
        <f t="array" ref="BY189">XLOOKUP(C189,'PL TOTAL D0'!$A$3:$A$1991,'PL TOTAL D0'!$C$3:$C$1991,"")</f>
        <v>5368474.85</v>
      </c>
    </row>
    <row r="190" ht="15.75" customHeight="1">
      <c r="A190" s="50" t="s">
        <v>24</v>
      </c>
      <c r="B190" s="43" t="s">
        <v>3501</v>
      </c>
      <c r="C190" s="94" t="s">
        <v>3202</v>
      </c>
      <c r="D190" s="30" t="s">
        <v>120</v>
      </c>
      <c r="E190" s="22" t="s">
        <v>54</v>
      </c>
      <c r="F190" s="30" t="s">
        <v>125</v>
      </c>
      <c r="G190" s="47" t="str">
        <f t="shared" si="13"/>
        <v>David</v>
      </c>
      <c r="H190" s="49" t="s">
        <v>183</v>
      </c>
      <c r="I190" s="49" t="s">
        <v>66</v>
      </c>
      <c r="J190" s="47" t="str">
        <f t="shared" si="11"/>
        <v>Sim</v>
      </c>
      <c r="K190" s="54">
        <v>45615.0</v>
      </c>
      <c r="L190" s="62"/>
      <c r="M190" s="32" t="s">
        <v>61</v>
      </c>
      <c r="N190" s="56">
        <v>0.012</v>
      </c>
      <c r="O190" s="23" t="s">
        <v>66</v>
      </c>
      <c r="P190" s="57">
        <v>0.0</v>
      </c>
      <c r="Q190" s="58" t="s">
        <v>3506</v>
      </c>
      <c r="R190" s="70"/>
      <c r="S190" s="32" t="s">
        <v>194</v>
      </c>
      <c r="T190" s="32" t="s">
        <v>3508</v>
      </c>
      <c r="U190" s="33">
        <v>5.562991785332E12</v>
      </c>
      <c r="V190" s="33" t="s">
        <v>3510</v>
      </c>
      <c r="W190" s="34">
        <v>34396.0</v>
      </c>
      <c r="X190" s="23" t="s">
        <v>54</v>
      </c>
      <c r="Y190" s="49" t="str">
        <f t="shared" si="14"/>
        <v>Ativo</v>
      </c>
      <c r="Z190" s="32"/>
      <c r="AA190" s="32" t="s">
        <v>165</v>
      </c>
      <c r="AB190" s="64"/>
      <c r="AC190" s="79"/>
      <c r="AD190" s="54">
        <v>45617.0</v>
      </c>
      <c r="AE190" s="77">
        <v>4.9075100016267E13</v>
      </c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>
        <v>54976.62</v>
      </c>
      <c r="BF190" s="65">
        <v>114331.43</v>
      </c>
      <c r="BG190" s="65">
        <v>115037.05</v>
      </c>
      <c r="BH190" s="65">
        <v>44897.33</v>
      </c>
      <c r="BI190" s="65">
        <v>45211.26</v>
      </c>
      <c r="BJ190" s="65">
        <v>55726.47</v>
      </c>
      <c r="BK190" s="65">
        <v>55792.62</v>
      </c>
      <c r="BL190" s="65">
        <v>56333.3</v>
      </c>
      <c r="BM190" s="65">
        <v>88955.03</v>
      </c>
      <c r="BN190" s="65">
        <v>118511.3</v>
      </c>
      <c r="BO190" s="65">
        <v>156962.94</v>
      </c>
      <c r="BP190" s="65">
        <v>158863.9</v>
      </c>
      <c r="BQ190" s="65">
        <v>159936.0</v>
      </c>
      <c r="BR190" s="65">
        <v>161592.0</v>
      </c>
      <c r="BS190" s="65">
        <v>150622.52</v>
      </c>
      <c r="BT190" s="88">
        <v>151759.8</v>
      </c>
      <c r="BU190" s="65">
        <v>153497.6</v>
      </c>
      <c r="BV190" s="65">
        <v>154974.0</v>
      </c>
      <c r="BW190" s="90">
        <v>156216.1</v>
      </c>
      <c r="BX190" s="90">
        <v>157755.17</v>
      </c>
      <c r="BY190" s="90">
        <f t="array" ref="BY190">XLOOKUP(C190,'PL TOTAL D0'!$A$3:$A$1991,'PL TOTAL D0'!$C$3:$C$1991,"")</f>
        <v>159272.33</v>
      </c>
    </row>
    <row r="191" ht="15.75" customHeight="1">
      <c r="A191" s="50" t="s">
        <v>24</v>
      </c>
      <c r="B191" s="50" t="s">
        <v>3535</v>
      </c>
      <c r="C191" s="94" t="s">
        <v>3536</v>
      </c>
      <c r="D191" s="81" t="s">
        <v>120</v>
      </c>
      <c r="E191" s="95" t="s">
        <v>199</v>
      </c>
      <c r="F191" s="30" t="s">
        <v>332</v>
      </c>
      <c r="G191" s="47" t="str">
        <f t="shared" si="13"/>
        <v>David</v>
      </c>
      <c r="H191" s="49" t="s">
        <v>295</v>
      </c>
      <c r="I191" s="49" t="s">
        <v>382</v>
      </c>
      <c r="J191" s="47" t="str">
        <f t="shared" si="11"/>
        <v>Não</v>
      </c>
      <c r="K191" s="97">
        <v>44999.0</v>
      </c>
      <c r="L191" s="62"/>
      <c r="M191" s="62" t="s">
        <v>61</v>
      </c>
      <c r="N191" s="98">
        <v>0.01</v>
      </c>
      <c r="O191" s="47" t="s">
        <v>66</v>
      </c>
      <c r="P191" s="99">
        <v>0.0</v>
      </c>
      <c r="Q191" s="58"/>
      <c r="R191" s="70"/>
      <c r="S191" s="62" t="s">
        <v>194</v>
      </c>
      <c r="T191" s="32" t="s">
        <v>3543</v>
      </c>
      <c r="U191" s="33">
        <v>6.199267303E10</v>
      </c>
      <c r="V191" s="33" t="s">
        <v>3544</v>
      </c>
      <c r="W191" s="34">
        <v>33001.0</v>
      </c>
      <c r="X191" s="23" t="s">
        <v>199</v>
      </c>
      <c r="Y191" s="49" t="str">
        <f t="shared" si="14"/>
        <v>Inativo</v>
      </c>
      <c r="Z191" s="62"/>
      <c r="AA191" s="62"/>
      <c r="AB191" s="64" t="s">
        <v>269</v>
      </c>
      <c r="AC191" s="79"/>
      <c r="AD191" s="54">
        <v>44999.0</v>
      </c>
      <c r="AE191" s="77">
        <v>4.9075100005826E13</v>
      </c>
      <c r="AF191" s="79"/>
      <c r="AG191" s="79"/>
      <c r="AH191" s="79"/>
      <c r="AI191" s="79"/>
      <c r="AJ191" s="65">
        <v>0.0</v>
      </c>
      <c r="AK191" s="65">
        <v>70041.45</v>
      </c>
      <c r="AL191" s="65">
        <v>70577.15</v>
      </c>
      <c r="AM191" s="65">
        <v>64526.73</v>
      </c>
      <c r="AN191" s="65">
        <v>65262.09</v>
      </c>
      <c r="AO191" s="65">
        <v>65965.11</v>
      </c>
      <c r="AP191" s="65">
        <v>66693.43</v>
      </c>
      <c r="AQ191" s="65">
        <v>47363.79</v>
      </c>
      <c r="AR191" s="65">
        <v>47815.83</v>
      </c>
      <c r="AS191" s="65">
        <v>32941.81</v>
      </c>
      <c r="AT191" s="65">
        <v>33240.64</v>
      </c>
      <c r="AU191" s="65">
        <v>0.0</v>
      </c>
      <c r="AV191" s="65">
        <v>0.0</v>
      </c>
      <c r="AW191" s="65">
        <v>0.0</v>
      </c>
      <c r="AX191" s="65">
        <v>0.0</v>
      </c>
      <c r="AY191" s="65">
        <v>0.0</v>
      </c>
      <c r="AZ191" s="65">
        <v>0.0</v>
      </c>
      <c r="BA191" s="65">
        <v>0.0</v>
      </c>
      <c r="BB191" s="65">
        <v>0.0</v>
      </c>
      <c r="BC191" s="65">
        <v>0.0</v>
      </c>
      <c r="BD191" s="65">
        <v>0.0</v>
      </c>
      <c r="BE191" s="65">
        <v>0.0</v>
      </c>
      <c r="BF191" s="65">
        <v>0.0</v>
      </c>
      <c r="BG191" s="65">
        <v>0.0</v>
      </c>
      <c r="BH191" s="65">
        <v>0.0</v>
      </c>
      <c r="BI191" s="65">
        <v>0.0</v>
      </c>
      <c r="BJ191" s="65">
        <v>0.0</v>
      </c>
      <c r="BK191" s="65">
        <v>0.0</v>
      </c>
      <c r="BL191" s="65">
        <v>0.0</v>
      </c>
      <c r="BM191" s="65">
        <v>0.0</v>
      </c>
      <c r="BN191" s="65">
        <v>0.0</v>
      </c>
      <c r="BO191" s="65">
        <v>0.0</v>
      </c>
      <c r="BP191" s="65">
        <v>0.0</v>
      </c>
      <c r="BQ191" s="65">
        <v>0.0</v>
      </c>
      <c r="BR191" s="65">
        <v>0.0</v>
      </c>
      <c r="BS191" s="65">
        <v>0.0</v>
      </c>
      <c r="BT191" s="88">
        <v>0.0</v>
      </c>
      <c r="BU191" s="65">
        <v>0.0</v>
      </c>
      <c r="BV191" s="65">
        <v>0.0</v>
      </c>
      <c r="BW191" s="90">
        <v>0.0</v>
      </c>
      <c r="BX191" s="90">
        <v>0.0</v>
      </c>
      <c r="BY191" s="90" t="str">
        <f t="array" ref="BY191">XLOOKUP(C191,'PL TOTAL D0'!$A$3:$A$1991,'PL TOTAL D0'!$C$3:$C$1991,"")</f>
        <v/>
      </c>
    </row>
    <row r="192" ht="15.75" customHeight="1">
      <c r="A192" s="50" t="s">
        <v>24</v>
      </c>
      <c r="B192" s="50" t="s">
        <v>3571</v>
      </c>
      <c r="C192" s="94" t="s">
        <v>3572</v>
      </c>
      <c r="D192" s="81" t="s">
        <v>120</v>
      </c>
      <c r="E192" s="95" t="s">
        <v>54</v>
      </c>
      <c r="F192" s="81" t="s">
        <v>348</v>
      </c>
      <c r="G192" s="47" t="str">
        <f t="shared" si="13"/>
        <v>David</v>
      </c>
      <c r="H192" s="49" t="s">
        <v>224</v>
      </c>
      <c r="I192" s="49" t="s">
        <v>66</v>
      </c>
      <c r="J192" s="47" t="str">
        <f t="shared" si="11"/>
        <v>Não</v>
      </c>
      <c r="K192" s="97">
        <v>45086.0</v>
      </c>
      <c r="L192" s="186">
        <v>45966.0</v>
      </c>
      <c r="M192" s="62" t="s">
        <v>61</v>
      </c>
      <c r="N192" s="98">
        <v>0.012</v>
      </c>
      <c r="O192" s="47" t="s">
        <v>66</v>
      </c>
      <c r="P192" s="99">
        <v>0.0</v>
      </c>
      <c r="Q192" s="58"/>
      <c r="R192" s="58" t="s">
        <v>610</v>
      </c>
      <c r="S192" s="62" t="s">
        <v>194</v>
      </c>
      <c r="T192" s="32" t="s">
        <v>3579</v>
      </c>
      <c r="U192" s="33" t="s">
        <v>268</v>
      </c>
      <c r="V192" s="33"/>
      <c r="W192" s="33" t="s">
        <v>268</v>
      </c>
      <c r="X192" s="23" t="s">
        <v>54</v>
      </c>
      <c r="Y192" s="49" t="str">
        <f t="shared" si="14"/>
        <v>Encerrado</v>
      </c>
      <c r="Z192" s="62"/>
      <c r="AA192" s="62"/>
      <c r="AB192" s="64" t="s">
        <v>244</v>
      </c>
      <c r="AC192" s="79"/>
      <c r="AD192" s="54">
        <v>45086.0</v>
      </c>
      <c r="AE192" s="77">
        <v>4.9075100008914E13</v>
      </c>
      <c r="AF192" s="79"/>
      <c r="AG192" s="79"/>
      <c r="AH192" s="79"/>
      <c r="AI192" s="79"/>
      <c r="AJ192" s="79"/>
      <c r="AK192" s="79"/>
      <c r="AL192" s="79"/>
      <c r="AM192" s="79"/>
      <c r="AN192" s="65">
        <v>88076.51</v>
      </c>
      <c r="AO192" s="65">
        <v>89551.9</v>
      </c>
      <c r="AP192" s="65">
        <v>90224.01</v>
      </c>
      <c r="AQ192" s="65">
        <v>91564.82</v>
      </c>
      <c r="AR192" s="65">
        <v>98424.87</v>
      </c>
      <c r="AS192" s="65">
        <v>99288.58</v>
      </c>
      <c r="AT192" s="65">
        <v>102257.13</v>
      </c>
      <c r="AU192" s="65">
        <v>102853.11</v>
      </c>
      <c r="AV192" s="65">
        <v>106572.92</v>
      </c>
      <c r="AW192" s="65">
        <v>107205.88</v>
      </c>
      <c r="AX192" s="65">
        <v>107003.63</v>
      </c>
      <c r="AY192" s="65">
        <v>107293.9</v>
      </c>
      <c r="AZ192" s="65">
        <v>107780.3</v>
      </c>
      <c r="BA192" s="65">
        <v>108858.5</v>
      </c>
      <c r="BB192" s="65">
        <v>113453.39</v>
      </c>
      <c r="BC192" s="65">
        <v>121739.06</v>
      </c>
      <c r="BD192" s="65">
        <v>107127.68</v>
      </c>
      <c r="BE192" s="65">
        <v>122655.16</v>
      </c>
      <c r="BF192" s="65">
        <v>130359.14</v>
      </c>
      <c r="BG192" s="65">
        <v>131582.9</v>
      </c>
      <c r="BH192" s="65">
        <v>132518.58</v>
      </c>
      <c r="BI192" s="65">
        <v>134171.06</v>
      </c>
      <c r="BJ192" s="65">
        <v>134970.78</v>
      </c>
      <c r="BK192" s="65">
        <v>136164.88</v>
      </c>
      <c r="BL192" s="65">
        <v>98267.67</v>
      </c>
      <c r="BM192" s="65">
        <v>0.0</v>
      </c>
      <c r="BN192" s="65">
        <v>0.0</v>
      </c>
      <c r="BO192" s="65">
        <v>0.0</v>
      </c>
      <c r="BP192" s="65">
        <v>0.0</v>
      </c>
      <c r="BQ192" s="65">
        <v>0.0</v>
      </c>
      <c r="BR192" s="65">
        <v>0.0</v>
      </c>
      <c r="BS192" s="65">
        <v>0.0</v>
      </c>
      <c r="BT192" s="88">
        <v>0.0</v>
      </c>
      <c r="BU192" s="65">
        <v>0.0</v>
      </c>
      <c r="BV192" s="65">
        <v>0.0</v>
      </c>
      <c r="BW192" s="90">
        <v>0.0</v>
      </c>
      <c r="BX192" s="90">
        <v>0.0</v>
      </c>
      <c r="BY192" s="90" t="str">
        <f t="array" ref="BY192">XLOOKUP(C192,'PL TOTAL D0'!$A$3:$A$1991,'PL TOTAL D0'!$C$3:$C$1991,"")</f>
        <v/>
      </c>
    </row>
    <row r="193" ht="15.75" customHeight="1">
      <c r="A193" s="50" t="s">
        <v>24</v>
      </c>
      <c r="B193" s="50" t="s">
        <v>3593</v>
      </c>
      <c r="C193" s="94" t="s">
        <v>3594</v>
      </c>
      <c r="D193" s="81" t="s">
        <v>255</v>
      </c>
      <c r="E193" s="95" t="s">
        <v>199</v>
      </c>
      <c r="F193" s="81" t="s">
        <v>257</v>
      </c>
      <c r="G193" s="47" t="str">
        <f t="shared" si="13"/>
        <v>David</v>
      </c>
      <c r="H193" s="49" t="s">
        <v>224</v>
      </c>
      <c r="I193" s="49" t="s">
        <v>66</v>
      </c>
      <c r="J193" s="47" t="str">
        <f t="shared" si="11"/>
        <v>Não</v>
      </c>
      <c r="K193" s="97">
        <v>45104.0</v>
      </c>
      <c r="L193" s="186">
        <v>45516.0</v>
      </c>
      <c r="M193" s="62" t="s">
        <v>557</v>
      </c>
      <c r="N193" s="98">
        <v>0.007</v>
      </c>
      <c r="O193" s="47" t="s">
        <v>66</v>
      </c>
      <c r="P193" s="99">
        <v>0.0</v>
      </c>
      <c r="Q193" s="58"/>
      <c r="R193" s="58" t="s">
        <v>1449</v>
      </c>
      <c r="S193" s="62" t="s">
        <v>194</v>
      </c>
      <c r="T193" s="32" t="s">
        <v>3599</v>
      </c>
      <c r="U193" s="33" t="s">
        <v>268</v>
      </c>
      <c r="V193" s="33"/>
      <c r="W193" s="33" t="s">
        <v>268</v>
      </c>
      <c r="X193" s="23" t="s">
        <v>28</v>
      </c>
      <c r="Y193" s="49" t="str">
        <f t="shared" si="14"/>
        <v>Encerrado</v>
      </c>
      <c r="Z193" s="62"/>
      <c r="AA193" s="62"/>
      <c r="AB193" s="64" t="s">
        <v>269</v>
      </c>
      <c r="AC193" s="79"/>
      <c r="AD193" s="54">
        <v>45104.0</v>
      </c>
      <c r="AE193" s="77">
        <v>4.9075100007187E13</v>
      </c>
      <c r="AF193" s="79"/>
      <c r="AG193" s="79"/>
      <c r="AH193" s="79"/>
      <c r="AI193" s="79"/>
      <c r="AJ193" s="79"/>
      <c r="AK193" s="79"/>
      <c r="AL193" s="79"/>
      <c r="AM193" s="79"/>
      <c r="AN193" s="65">
        <v>20667.09</v>
      </c>
      <c r="AO193" s="65">
        <v>508181.96</v>
      </c>
      <c r="AP193" s="65">
        <v>513461.7</v>
      </c>
      <c r="AQ193" s="65">
        <v>518951.57</v>
      </c>
      <c r="AR193" s="65">
        <v>523946.66</v>
      </c>
      <c r="AS193" s="65">
        <v>528165.2</v>
      </c>
      <c r="AT193" s="65">
        <v>532668.43</v>
      </c>
      <c r="AU193" s="65">
        <v>537204.05</v>
      </c>
      <c r="AV193" s="65">
        <v>541302.71</v>
      </c>
      <c r="AW193" s="65">
        <v>545892.12</v>
      </c>
      <c r="AX193" s="65">
        <v>550361.38</v>
      </c>
      <c r="AY193" s="65">
        <v>554654.3</v>
      </c>
      <c r="AZ193" s="65">
        <v>558846.6</v>
      </c>
      <c r="BA193" s="65">
        <v>0.0</v>
      </c>
      <c r="BB193" s="65">
        <v>0.0</v>
      </c>
      <c r="BC193" s="65">
        <v>0.0</v>
      </c>
      <c r="BD193" s="65">
        <v>0.0</v>
      </c>
      <c r="BE193" s="65">
        <v>0.0</v>
      </c>
      <c r="BF193" s="65">
        <v>0.0</v>
      </c>
      <c r="BG193" s="65">
        <v>0.0</v>
      </c>
      <c r="BH193" s="65">
        <v>0.0</v>
      </c>
      <c r="BI193" s="65">
        <v>0.0</v>
      </c>
      <c r="BJ193" s="65">
        <v>0.0</v>
      </c>
      <c r="BK193" s="65">
        <v>0.0</v>
      </c>
      <c r="BL193" s="65">
        <v>0.0</v>
      </c>
      <c r="BM193" s="65">
        <v>0.0</v>
      </c>
      <c r="BN193" s="65">
        <v>0.0</v>
      </c>
      <c r="BO193" s="65">
        <v>0.0</v>
      </c>
      <c r="BP193" s="65">
        <v>0.0</v>
      </c>
      <c r="BQ193" s="65">
        <v>0.0</v>
      </c>
      <c r="BR193" s="65">
        <v>0.0</v>
      </c>
      <c r="BS193" s="65">
        <v>0.0</v>
      </c>
      <c r="BT193" s="88">
        <v>0.0</v>
      </c>
      <c r="BU193" s="65">
        <v>0.0</v>
      </c>
      <c r="BV193" s="65">
        <v>0.0</v>
      </c>
      <c r="BW193" s="90">
        <v>0.0</v>
      </c>
      <c r="BX193" s="90">
        <v>0.0</v>
      </c>
      <c r="BY193" s="90" t="str">
        <f t="array" ref="BY193">XLOOKUP(C193,'PL TOTAL D0'!$A$3:$A$1991,'PL TOTAL D0'!$C$3:$C$1991,"")</f>
        <v/>
      </c>
    </row>
    <row r="194" ht="15.75" customHeight="1">
      <c r="A194" s="50" t="s">
        <v>24</v>
      </c>
      <c r="B194" s="188" t="s">
        <v>3608</v>
      </c>
      <c r="C194" s="94" t="s">
        <v>3609</v>
      </c>
      <c r="D194" s="30" t="s">
        <v>120</v>
      </c>
      <c r="E194" s="22" t="s">
        <v>199</v>
      </c>
      <c r="F194" s="30" t="s">
        <v>3611</v>
      </c>
      <c r="G194" s="47" t="str">
        <f t="shared" si="13"/>
        <v>David</v>
      </c>
      <c r="H194" s="49" t="s">
        <v>224</v>
      </c>
      <c r="I194" s="49" t="s">
        <v>66</v>
      </c>
      <c r="J194" s="47" t="str">
        <f t="shared" si="11"/>
        <v>Não</v>
      </c>
      <c r="K194" s="54">
        <v>45405.0</v>
      </c>
      <c r="L194" s="186">
        <v>45565.0</v>
      </c>
      <c r="M194" s="32" t="s">
        <v>201</v>
      </c>
      <c r="N194" s="56">
        <v>0.002</v>
      </c>
      <c r="O194" s="23" t="s">
        <v>66</v>
      </c>
      <c r="P194" s="57">
        <v>0.0</v>
      </c>
      <c r="Q194" s="58"/>
      <c r="R194" s="70"/>
      <c r="S194" s="32" t="s">
        <v>194</v>
      </c>
      <c r="T194" s="177" t="s">
        <v>3614</v>
      </c>
      <c r="U194" s="33" t="s">
        <v>268</v>
      </c>
      <c r="V194" s="33"/>
      <c r="W194" s="33" t="s">
        <v>268</v>
      </c>
      <c r="X194" s="23" t="s">
        <v>618</v>
      </c>
      <c r="Y194" s="49" t="str">
        <f t="shared" si="14"/>
        <v>Encerrado</v>
      </c>
      <c r="Z194" s="32"/>
      <c r="AA194" s="32" t="s">
        <v>47</v>
      </c>
      <c r="AB194" s="64" t="s">
        <v>269</v>
      </c>
      <c r="AC194" s="79"/>
      <c r="AD194" s="54">
        <v>45405.0</v>
      </c>
      <c r="AE194" s="77">
        <v>4.9075100014035E13</v>
      </c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65"/>
      <c r="AW194" s="65"/>
      <c r="AX194" s="65">
        <v>0.0</v>
      </c>
      <c r="AY194" s="65">
        <v>0.0</v>
      </c>
      <c r="AZ194" s="65">
        <v>0.0</v>
      </c>
      <c r="BA194" s="65">
        <v>0.0</v>
      </c>
      <c r="BB194" s="65">
        <v>0.0</v>
      </c>
      <c r="BC194" s="65">
        <v>0.0</v>
      </c>
      <c r="BD194" s="65">
        <v>0.0</v>
      </c>
      <c r="BE194" s="65">
        <v>0.0</v>
      </c>
      <c r="BF194" s="65">
        <v>0.0</v>
      </c>
      <c r="BG194" s="65">
        <v>0.0</v>
      </c>
      <c r="BH194" s="65">
        <v>0.0</v>
      </c>
      <c r="BI194" s="65">
        <v>0.0</v>
      </c>
      <c r="BJ194" s="65">
        <v>0.0</v>
      </c>
      <c r="BK194" s="65">
        <v>0.0</v>
      </c>
      <c r="BL194" s="65">
        <v>0.0</v>
      </c>
      <c r="BM194" s="65">
        <v>0.0</v>
      </c>
      <c r="BN194" s="65">
        <v>0.0</v>
      </c>
      <c r="BO194" s="65">
        <v>0.0</v>
      </c>
      <c r="BP194" s="65">
        <v>0.0</v>
      </c>
      <c r="BQ194" s="65">
        <v>0.0</v>
      </c>
      <c r="BR194" s="65">
        <v>0.0</v>
      </c>
      <c r="BS194" s="65">
        <v>0.0</v>
      </c>
      <c r="BT194" s="88">
        <v>0.0</v>
      </c>
      <c r="BU194" s="65">
        <v>0.0</v>
      </c>
      <c r="BV194" s="65">
        <v>0.0</v>
      </c>
      <c r="BW194" s="90">
        <v>0.0</v>
      </c>
      <c r="BX194" s="90">
        <v>0.0</v>
      </c>
      <c r="BY194" s="90" t="str">
        <f t="array" ref="BY194">XLOOKUP(C194,'PL TOTAL D0'!$A$3:$A$1991,'PL TOTAL D0'!$C$3:$C$1991,"")</f>
        <v/>
      </c>
    </row>
    <row r="195" ht="15.75" customHeight="1">
      <c r="A195" s="50" t="s">
        <v>24</v>
      </c>
      <c r="B195" s="50" t="s">
        <v>3625</v>
      </c>
      <c r="C195" s="94" t="s">
        <v>3626</v>
      </c>
      <c r="D195" s="81" t="s">
        <v>120</v>
      </c>
      <c r="E195" s="95" t="s">
        <v>54</v>
      </c>
      <c r="F195" s="81" t="s">
        <v>379</v>
      </c>
      <c r="G195" s="47" t="str">
        <f t="shared" si="13"/>
        <v>David</v>
      </c>
      <c r="H195" s="49" t="s">
        <v>224</v>
      </c>
      <c r="I195" s="49" t="s">
        <v>66</v>
      </c>
      <c r="J195" s="47" t="str">
        <f t="shared" si="11"/>
        <v>Não</v>
      </c>
      <c r="K195" s="97">
        <v>44944.0</v>
      </c>
      <c r="L195" s="55">
        <v>45992.0</v>
      </c>
      <c r="M195" s="62" t="s">
        <v>34</v>
      </c>
      <c r="N195" s="98">
        <v>0.012</v>
      </c>
      <c r="O195" s="47" t="s">
        <v>66</v>
      </c>
      <c r="P195" s="99">
        <v>0.0</v>
      </c>
      <c r="Q195" s="58"/>
      <c r="R195" s="70"/>
      <c r="S195" s="62" t="s">
        <v>194</v>
      </c>
      <c r="T195" s="32" t="s">
        <v>3631</v>
      </c>
      <c r="U195" s="33">
        <v>5.562999051333E12</v>
      </c>
      <c r="V195" s="33" t="s">
        <v>3632</v>
      </c>
      <c r="W195" s="34">
        <v>24235.0</v>
      </c>
      <c r="X195" s="23" t="s">
        <v>54</v>
      </c>
      <c r="Y195" s="49" t="str">
        <f t="shared" si="14"/>
        <v>Encerrado</v>
      </c>
      <c r="Z195" s="62"/>
      <c r="AA195" s="62"/>
      <c r="AB195" s="64" t="s">
        <v>244</v>
      </c>
      <c r="AC195" s="79"/>
      <c r="AD195" s="54">
        <v>44944.0</v>
      </c>
      <c r="AE195" s="77">
        <v>4.907510000554E13</v>
      </c>
      <c r="AF195" s="79"/>
      <c r="AG195" s="79"/>
      <c r="AH195" s="79"/>
      <c r="AI195" s="65">
        <v>334399.81</v>
      </c>
      <c r="AJ195" s="65">
        <v>336441.18</v>
      </c>
      <c r="AK195" s="65">
        <v>339644.96</v>
      </c>
      <c r="AL195" s="65">
        <v>341771.9</v>
      </c>
      <c r="AM195" s="65">
        <v>344793.73</v>
      </c>
      <c r="AN195" s="65">
        <v>347244.02</v>
      </c>
      <c r="AO195" s="65">
        <v>349078.77</v>
      </c>
      <c r="AP195" s="65">
        <v>351131.1</v>
      </c>
      <c r="AQ195" s="65">
        <v>352988.04</v>
      </c>
      <c r="AR195" s="65">
        <v>353935.74</v>
      </c>
      <c r="AS195" s="65">
        <v>359144.86</v>
      </c>
      <c r="AT195" s="65">
        <v>363969.67</v>
      </c>
      <c r="AU195" s="65">
        <v>362470.15</v>
      </c>
      <c r="AV195" s="65">
        <v>365282.26</v>
      </c>
      <c r="AW195" s="65">
        <v>368564.59</v>
      </c>
      <c r="AX195" s="65">
        <v>368325.36</v>
      </c>
      <c r="AY195" s="65">
        <v>368284.2</v>
      </c>
      <c r="AZ195" s="65">
        <v>370590.7</v>
      </c>
      <c r="BA195" s="65">
        <v>373061.3</v>
      </c>
      <c r="BB195" s="65">
        <v>375643.54</v>
      </c>
      <c r="BC195" s="65">
        <v>376421.25</v>
      </c>
      <c r="BD195" s="65">
        <v>376945.78</v>
      </c>
      <c r="BE195" s="65">
        <v>377481.27</v>
      </c>
      <c r="BF195" s="65">
        <v>378361.24</v>
      </c>
      <c r="BG195" s="65">
        <v>381989.26</v>
      </c>
      <c r="BH195" s="65">
        <v>385399.47</v>
      </c>
      <c r="BI195" s="65">
        <v>389201.44</v>
      </c>
      <c r="BJ195" s="65">
        <v>393219.73</v>
      </c>
      <c r="BK195" s="65">
        <v>699227.49</v>
      </c>
      <c r="BL195" s="65">
        <v>707198.6</v>
      </c>
      <c r="BM195" s="65">
        <v>760347.84</v>
      </c>
      <c r="BN195" s="65">
        <v>784630.4</v>
      </c>
      <c r="BO195" s="65">
        <v>785914.3</v>
      </c>
      <c r="BP195" s="65">
        <v>807932.0</v>
      </c>
      <c r="BQ195" s="65">
        <v>0.0</v>
      </c>
      <c r="BR195" s="65">
        <v>0.0</v>
      </c>
      <c r="BS195" s="65">
        <v>0.0</v>
      </c>
      <c r="BT195" s="88">
        <v>0.0</v>
      </c>
      <c r="BU195" s="65">
        <v>0.0</v>
      </c>
      <c r="BV195" s="65">
        <v>0.0</v>
      </c>
      <c r="BW195" s="90">
        <v>0.0</v>
      </c>
      <c r="BX195" s="90">
        <v>0.0</v>
      </c>
      <c r="BY195" s="90" t="str">
        <f t="array" ref="BY195">XLOOKUP(C195,'PL TOTAL D0'!$A$3:$A$1991,'PL TOTAL D0'!$C$3:$C$1991,"")</f>
        <v/>
      </c>
    </row>
    <row r="196" ht="15.75" customHeight="1">
      <c r="A196" s="50" t="s">
        <v>24</v>
      </c>
      <c r="B196" s="43" t="s">
        <v>3644</v>
      </c>
      <c r="C196" s="94" t="s">
        <v>3369</v>
      </c>
      <c r="D196" s="30" t="s">
        <v>89</v>
      </c>
      <c r="E196" s="22" t="s">
        <v>91</v>
      </c>
      <c r="F196" s="30" t="s">
        <v>193</v>
      </c>
      <c r="G196" s="47" t="str">
        <f t="shared" si="13"/>
        <v>David</v>
      </c>
      <c r="H196" s="49" t="s">
        <v>183</v>
      </c>
      <c r="I196" s="49" t="s">
        <v>66</v>
      </c>
      <c r="J196" s="47" t="str">
        <f t="shared" si="11"/>
        <v>Não</v>
      </c>
      <c r="K196" s="54">
        <v>45677.0</v>
      </c>
      <c r="L196" s="62"/>
      <c r="M196" s="32" t="s">
        <v>61</v>
      </c>
      <c r="N196" s="56">
        <v>0.012</v>
      </c>
      <c r="O196" s="23" t="s">
        <v>66</v>
      </c>
      <c r="P196" s="57">
        <v>0.0</v>
      </c>
      <c r="Q196" s="58"/>
      <c r="R196" s="70"/>
      <c r="S196" s="32" t="s">
        <v>194</v>
      </c>
      <c r="T196" s="32" t="s">
        <v>3652</v>
      </c>
      <c r="U196" s="33">
        <v>1.1994591293E10</v>
      </c>
      <c r="V196" s="33" t="s">
        <v>3653</v>
      </c>
      <c r="W196" s="34">
        <v>31602.0</v>
      </c>
      <c r="X196" s="23" t="s">
        <v>475</v>
      </c>
      <c r="Y196" s="49" t="str">
        <f t="shared" si="14"/>
        <v>Ativo</v>
      </c>
      <c r="Z196" s="62"/>
      <c r="AA196" s="32" t="s">
        <v>47</v>
      </c>
      <c r="AB196" s="64"/>
      <c r="AC196" s="79"/>
      <c r="AD196" s="54">
        <v>45678.0</v>
      </c>
      <c r="AE196" s="77">
        <v>4.9075100017778E13</v>
      </c>
      <c r="AF196" s="79"/>
      <c r="AG196" s="79"/>
      <c r="AH196" s="79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>
        <v>50208.33</v>
      </c>
      <c r="BH196" s="65">
        <v>50686.67</v>
      </c>
      <c r="BI196" s="65">
        <v>51356.39</v>
      </c>
      <c r="BJ196" s="65">
        <v>69875.81</v>
      </c>
      <c r="BK196" s="65">
        <v>70571.17</v>
      </c>
      <c r="BL196" s="65">
        <v>71193.14</v>
      </c>
      <c r="BM196" s="65">
        <v>71969.12</v>
      </c>
      <c r="BN196" s="65">
        <v>72676.88</v>
      </c>
      <c r="BO196" s="65">
        <v>73268.26</v>
      </c>
      <c r="BP196" s="65">
        <v>74189.39</v>
      </c>
      <c r="BQ196" s="65">
        <v>74695.1</v>
      </c>
      <c r="BR196" s="65">
        <v>75370.25</v>
      </c>
      <c r="BS196" s="65">
        <v>76210.08</v>
      </c>
      <c r="BT196" s="88">
        <v>76810.26</v>
      </c>
      <c r="BU196" s="65">
        <v>77759.64</v>
      </c>
      <c r="BV196" s="65">
        <v>78279.95</v>
      </c>
      <c r="BW196" s="90">
        <v>78980.47</v>
      </c>
      <c r="BX196" s="90">
        <v>79669.02</v>
      </c>
      <c r="BY196" s="90">
        <f t="array" ref="BY196">XLOOKUP(C196,'PL TOTAL D0'!$A$3:$A$1991,'PL TOTAL D0'!$C$3:$C$1991,"")</f>
        <v>79879.08</v>
      </c>
    </row>
    <row r="197" ht="15.75" customHeight="1">
      <c r="A197" s="50" t="s">
        <v>24</v>
      </c>
      <c r="B197" s="43" t="s">
        <v>3660</v>
      </c>
      <c r="C197" s="94" t="s">
        <v>3661</v>
      </c>
      <c r="D197" s="81" t="s">
        <v>255</v>
      </c>
      <c r="E197" s="95" t="s">
        <v>199</v>
      </c>
      <c r="F197" s="81" t="s">
        <v>257</v>
      </c>
      <c r="G197" s="47" t="str">
        <f t="shared" si="13"/>
        <v>David</v>
      </c>
      <c r="H197" s="49" t="s">
        <v>224</v>
      </c>
      <c r="I197" s="74" t="s">
        <v>66</v>
      </c>
      <c r="J197" s="47" t="str">
        <f t="shared" si="11"/>
        <v>Não</v>
      </c>
      <c r="K197" s="97">
        <v>45090.0</v>
      </c>
      <c r="L197" s="55">
        <v>45506.0</v>
      </c>
      <c r="M197" s="62" t="s">
        <v>34</v>
      </c>
      <c r="N197" s="98">
        <v>0.012</v>
      </c>
      <c r="O197" s="47" t="s">
        <v>66</v>
      </c>
      <c r="P197" s="99">
        <v>0.0</v>
      </c>
      <c r="Q197" s="58"/>
      <c r="R197" s="58" t="s">
        <v>1449</v>
      </c>
      <c r="S197" s="62" t="s">
        <v>194</v>
      </c>
      <c r="T197" s="32" t="s">
        <v>3663</v>
      </c>
      <c r="U197" s="33" t="s">
        <v>268</v>
      </c>
      <c r="V197" s="33"/>
      <c r="W197" s="33" t="s">
        <v>268</v>
      </c>
      <c r="X197" s="23" t="s">
        <v>28</v>
      </c>
      <c r="Y197" s="49" t="str">
        <f t="shared" si="14"/>
        <v>Encerrado</v>
      </c>
      <c r="Z197" s="62"/>
      <c r="AA197" s="62"/>
      <c r="AB197" s="64" t="s">
        <v>244</v>
      </c>
      <c r="AC197" s="79"/>
      <c r="AD197" s="54">
        <v>45090.0</v>
      </c>
      <c r="AE197" s="77">
        <v>4.9075100008582E13</v>
      </c>
      <c r="AF197" s="79"/>
      <c r="AG197" s="79"/>
      <c r="AH197" s="79"/>
      <c r="AI197" s="79"/>
      <c r="AJ197" s="79"/>
      <c r="AK197" s="79"/>
      <c r="AL197" s="79"/>
      <c r="AM197" s="79"/>
      <c r="AN197" s="65">
        <v>509914.47</v>
      </c>
      <c r="AO197" s="65">
        <v>625244.89</v>
      </c>
      <c r="AP197" s="65">
        <v>629166.25</v>
      </c>
      <c r="AQ197" s="65">
        <v>627167.85</v>
      </c>
      <c r="AR197" s="65">
        <v>627376.06</v>
      </c>
      <c r="AS197" s="65">
        <v>637882.06</v>
      </c>
      <c r="AT197" s="65">
        <v>650613.94</v>
      </c>
      <c r="AU197" s="65">
        <v>645332.56</v>
      </c>
      <c r="AV197" s="65">
        <v>650998.97</v>
      </c>
      <c r="AW197" s="65">
        <v>655293.54</v>
      </c>
      <c r="AX197" s="65">
        <v>642847.24</v>
      </c>
      <c r="AY197" s="65">
        <v>643971.6</v>
      </c>
      <c r="AZ197" s="65">
        <v>167261.8</v>
      </c>
      <c r="BA197" s="65">
        <v>0.0</v>
      </c>
      <c r="BB197" s="65">
        <v>0.0</v>
      </c>
      <c r="BC197" s="65">
        <v>0.0</v>
      </c>
      <c r="BD197" s="65">
        <v>0.0</v>
      </c>
      <c r="BE197" s="65">
        <v>0.0</v>
      </c>
      <c r="BF197" s="65">
        <v>0.0</v>
      </c>
      <c r="BG197" s="65">
        <v>0.0</v>
      </c>
      <c r="BH197" s="65">
        <v>0.0</v>
      </c>
      <c r="BI197" s="65">
        <v>0.0</v>
      </c>
      <c r="BJ197" s="65">
        <v>0.0</v>
      </c>
      <c r="BK197" s="65">
        <v>0.0</v>
      </c>
      <c r="BL197" s="65">
        <v>0.0</v>
      </c>
      <c r="BM197" s="65">
        <v>0.0</v>
      </c>
      <c r="BN197" s="65">
        <v>0.0</v>
      </c>
      <c r="BO197" s="65">
        <v>0.0</v>
      </c>
      <c r="BP197" s="65">
        <v>0.0</v>
      </c>
      <c r="BQ197" s="65">
        <v>0.0</v>
      </c>
      <c r="BR197" s="65">
        <v>0.0</v>
      </c>
      <c r="BS197" s="65">
        <v>0.0</v>
      </c>
      <c r="BT197" s="88">
        <v>0.0</v>
      </c>
      <c r="BU197" s="65">
        <v>0.0</v>
      </c>
      <c r="BV197" s="65">
        <v>0.0</v>
      </c>
      <c r="BW197" s="90">
        <v>0.0</v>
      </c>
      <c r="BX197" s="90">
        <v>0.0</v>
      </c>
      <c r="BY197" s="90" t="str">
        <f t="array" ref="BY197">XLOOKUP(C197,'PL TOTAL D0'!$A$3:$A$1991,'PL TOTAL D0'!$C$3:$C$1991,"")</f>
        <v/>
      </c>
    </row>
    <row r="198" ht="15.75" customHeight="1">
      <c r="A198" s="43" t="s">
        <v>24</v>
      </c>
      <c r="B198" s="43" t="s">
        <v>3665</v>
      </c>
      <c r="C198" s="94" t="s">
        <v>3666</v>
      </c>
      <c r="D198" s="30" t="s">
        <v>255</v>
      </c>
      <c r="E198" s="22" t="s">
        <v>199</v>
      </c>
      <c r="F198" s="30" t="s">
        <v>257</v>
      </c>
      <c r="G198" s="47" t="str">
        <f t="shared" si="13"/>
        <v>David</v>
      </c>
      <c r="H198" s="49" t="s">
        <v>224</v>
      </c>
      <c r="I198" s="49" t="s">
        <v>66</v>
      </c>
      <c r="J198" s="23" t="s">
        <v>563</v>
      </c>
      <c r="K198" s="54">
        <v>45464.0</v>
      </c>
      <c r="L198" s="55">
        <v>45506.0</v>
      </c>
      <c r="M198" s="32" t="s">
        <v>3669</v>
      </c>
      <c r="N198" s="56">
        <v>0.0</v>
      </c>
      <c r="O198" s="23" t="s">
        <v>66</v>
      </c>
      <c r="P198" s="57">
        <v>0.0</v>
      </c>
      <c r="Q198" s="58"/>
      <c r="R198" s="58" t="s">
        <v>1449</v>
      </c>
      <c r="S198" s="32" t="s">
        <v>194</v>
      </c>
      <c r="T198" s="32" t="s">
        <v>3663</v>
      </c>
      <c r="U198" s="33" t="s">
        <v>268</v>
      </c>
      <c r="V198" s="33"/>
      <c r="W198" s="33" t="s">
        <v>268</v>
      </c>
      <c r="X198" s="23" t="s">
        <v>28</v>
      </c>
      <c r="Y198" s="49" t="str">
        <f t="shared" si="14"/>
        <v>Encerrado</v>
      </c>
      <c r="Z198" s="62"/>
      <c r="AA198" s="32" t="s">
        <v>47</v>
      </c>
      <c r="AB198" s="64"/>
      <c r="AC198" s="79"/>
      <c r="AD198" s="54">
        <v>45464.0</v>
      </c>
      <c r="AE198" s="77">
        <v>4.9075100014922E13</v>
      </c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65"/>
      <c r="AW198" s="65"/>
      <c r="AX198" s="65"/>
      <c r="AY198" s="65"/>
      <c r="AZ198" s="65">
        <v>476732.3</v>
      </c>
      <c r="BA198" s="65">
        <v>0.0</v>
      </c>
      <c r="BB198" s="65">
        <v>0.0</v>
      </c>
      <c r="BC198" s="65">
        <v>0.0</v>
      </c>
      <c r="BD198" s="65">
        <v>0.0</v>
      </c>
      <c r="BE198" s="65">
        <v>0.0</v>
      </c>
      <c r="BF198" s="65">
        <v>0.0</v>
      </c>
      <c r="BG198" s="65">
        <v>0.0</v>
      </c>
      <c r="BH198" s="65">
        <v>0.0</v>
      </c>
      <c r="BI198" s="65">
        <v>0.0</v>
      </c>
      <c r="BJ198" s="65">
        <v>0.0</v>
      </c>
      <c r="BK198" s="65">
        <v>0.0</v>
      </c>
      <c r="BL198" s="65">
        <v>0.0</v>
      </c>
      <c r="BM198" s="65">
        <v>0.0</v>
      </c>
      <c r="BN198" s="65">
        <v>0.0</v>
      </c>
      <c r="BO198" s="65">
        <v>0.0</v>
      </c>
      <c r="BP198" s="65">
        <v>0.0</v>
      </c>
      <c r="BQ198" s="65">
        <v>0.0</v>
      </c>
      <c r="BR198" s="65">
        <v>0.0</v>
      </c>
      <c r="BS198" s="65">
        <v>0.0</v>
      </c>
      <c r="BT198" s="88">
        <v>0.0</v>
      </c>
      <c r="BU198" s="65">
        <v>0.0</v>
      </c>
      <c r="BV198" s="65">
        <v>0.0</v>
      </c>
      <c r="BW198" s="90">
        <v>0.0</v>
      </c>
      <c r="BX198" s="90">
        <v>0.0</v>
      </c>
      <c r="BY198" s="90" t="str">
        <f t="array" ref="BY198">XLOOKUP(C198,'PL TOTAL D0'!$A$3:$A$1991,'PL TOTAL D0'!$C$3:$C$1991,"")</f>
        <v/>
      </c>
    </row>
    <row r="199" ht="15.75" customHeight="1">
      <c r="A199" s="43" t="s">
        <v>24</v>
      </c>
      <c r="B199" s="43" t="s">
        <v>3675</v>
      </c>
      <c r="C199" s="94" t="s">
        <v>3290</v>
      </c>
      <c r="D199" s="30" t="s">
        <v>120</v>
      </c>
      <c r="E199" s="22" t="s">
        <v>54</v>
      </c>
      <c r="F199" s="30" t="s">
        <v>125</v>
      </c>
      <c r="G199" s="47" t="str">
        <f t="shared" si="13"/>
        <v>David</v>
      </c>
      <c r="H199" s="49" t="s">
        <v>183</v>
      </c>
      <c r="I199" s="49" t="s">
        <v>66</v>
      </c>
      <c r="J199" s="23" t="s">
        <v>563</v>
      </c>
      <c r="K199" s="54">
        <v>45819.0</v>
      </c>
      <c r="L199" s="55"/>
      <c r="M199" s="32" t="s">
        <v>61</v>
      </c>
      <c r="N199" s="56">
        <v>0.012</v>
      </c>
      <c r="O199" s="23" t="s">
        <v>66</v>
      </c>
      <c r="P199" s="57">
        <v>0.0</v>
      </c>
      <c r="Q199" s="58"/>
      <c r="R199" s="58"/>
      <c r="S199" s="32" t="s">
        <v>194</v>
      </c>
      <c r="T199" s="32" t="s">
        <v>3685</v>
      </c>
      <c r="U199" s="33">
        <v>5.562999710928E12</v>
      </c>
      <c r="V199" s="33" t="s">
        <v>3686</v>
      </c>
      <c r="W199" s="34">
        <v>20456.0</v>
      </c>
      <c r="X199" s="23" t="s">
        <v>54</v>
      </c>
      <c r="Y199" s="49" t="str">
        <f t="shared" si="14"/>
        <v>Ativo</v>
      </c>
      <c r="Z199" s="62"/>
      <c r="AA199" s="32" t="s">
        <v>107</v>
      </c>
      <c r="AB199" s="64"/>
      <c r="AC199" s="79"/>
      <c r="AD199" s="54">
        <v>45901.0</v>
      </c>
      <c r="AE199" s="148">
        <v>4.9075100019436E13</v>
      </c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>
        <v>0.0</v>
      </c>
      <c r="BM199" s="65">
        <v>0.0</v>
      </c>
      <c r="BN199" s="65">
        <v>0.0</v>
      </c>
      <c r="BO199" s="65">
        <v>101016.45</v>
      </c>
      <c r="BP199" s="65">
        <v>102359.2</v>
      </c>
      <c r="BQ199" s="65">
        <v>103295.8</v>
      </c>
      <c r="BR199" s="65">
        <v>104451.4</v>
      </c>
      <c r="BS199" s="65">
        <v>105587.86</v>
      </c>
      <c r="BT199" s="88">
        <v>106541.4</v>
      </c>
      <c r="BU199" s="65">
        <v>107934.7</v>
      </c>
      <c r="BV199" s="65">
        <v>109300.4</v>
      </c>
      <c r="BW199" s="90">
        <v>110496.5</v>
      </c>
      <c r="BX199" s="90">
        <v>111665.72</v>
      </c>
      <c r="BY199" s="90">
        <f t="array" ref="BY199">XLOOKUP(C199,'PL TOTAL D0'!$A$3:$A$1991,'PL TOTAL D0'!$C$3:$C$1991,"")</f>
        <v>112168.17</v>
      </c>
    </row>
    <row r="200" ht="15.75" customHeight="1">
      <c r="A200" s="50" t="s">
        <v>24</v>
      </c>
      <c r="B200" s="43" t="s">
        <v>3694</v>
      </c>
      <c r="C200" s="94" t="s">
        <v>2866</v>
      </c>
      <c r="D200" s="30" t="s">
        <v>142</v>
      </c>
      <c r="E200" s="22" t="s">
        <v>54</v>
      </c>
      <c r="F200" s="30" t="s">
        <v>158</v>
      </c>
      <c r="G200" s="47" t="str">
        <f t="shared" si="13"/>
        <v>Gabriel</v>
      </c>
      <c r="H200" s="49" t="s">
        <v>183</v>
      </c>
      <c r="I200" s="49" t="s">
        <v>66</v>
      </c>
      <c r="J200" s="47" t="str">
        <f t="shared" ref="J200:J248" si="15">IF(Q200=0,"Não","Sim")</f>
        <v>Não</v>
      </c>
      <c r="K200" s="54">
        <v>45468.0</v>
      </c>
      <c r="L200" s="62"/>
      <c r="M200" s="32" t="s">
        <v>61</v>
      </c>
      <c r="N200" s="56">
        <v>0.012</v>
      </c>
      <c r="O200" s="23" t="s">
        <v>66</v>
      </c>
      <c r="P200" s="57">
        <v>0.0</v>
      </c>
      <c r="Q200" s="58"/>
      <c r="R200" s="70"/>
      <c r="S200" s="32" t="s">
        <v>194</v>
      </c>
      <c r="T200" s="32" t="s">
        <v>3695</v>
      </c>
      <c r="U200" s="33">
        <v>6.2999762723E10</v>
      </c>
      <c r="V200" s="33" t="s">
        <v>3696</v>
      </c>
      <c r="W200" s="34">
        <v>26831.0</v>
      </c>
      <c r="X200" s="23" t="s">
        <v>54</v>
      </c>
      <c r="Y200" s="49" t="str">
        <f t="shared" si="14"/>
        <v>Ativo</v>
      </c>
      <c r="Z200" s="32"/>
      <c r="AA200" s="32" t="s">
        <v>47</v>
      </c>
      <c r="AB200" s="64" t="s">
        <v>269</v>
      </c>
      <c r="AC200" s="79"/>
      <c r="AD200" s="54">
        <v>45468.0</v>
      </c>
      <c r="AE200" s="77">
        <v>4.907510001493E13</v>
      </c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65"/>
      <c r="AW200" s="65"/>
      <c r="AX200" s="65"/>
      <c r="AY200" s="65"/>
      <c r="AZ200" s="65">
        <v>0.0</v>
      </c>
      <c r="BA200" s="65">
        <v>106763.8</v>
      </c>
      <c r="BB200" s="65">
        <v>107832.01</v>
      </c>
      <c r="BC200" s="65">
        <v>311181.28</v>
      </c>
      <c r="BD200" s="65">
        <v>313819.16</v>
      </c>
      <c r="BE200" s="65">
        <v>315217.38</v>
      </c>
      <c r="BF200" s="65">
        <v>468509.47</v>
      </c>
      <c r="BG200" s="65">
        <v>473721.74</v>
      </c>
      <c r="BH200" s="65">
        <v>538941.26</v>
      </c>
      <c r="BI200" s="65">
        <v>544619.66</v>
      </c>
      <c r="BJ200" s="65">
        <v>550864.43</v>
      </c>
      <c r="BK200" s="65">
        <v>556469.69</v>
      </c>
      <c r="BL200" s="65">
        <v>561058.15</v>
      </c>
      <c r="BM200" s="65">
        <v>566895.75</v>
      </c>
      <c r="BN200" s="65">
        <v>572105.8</v>
      </c>
      <c r="BO200" s="65">
        <v>574769.22</v>
      </c>
      <c r="BP200" s="65">
        <v>549773.6</v>
      </c>
      <c r="BQ200" s="65">
        <v>528234.2</v>
      </c>
      <c r="BR200" s="65">
        <v>501365.5</v>
      </c>
      <c r="BS200" s="65">
        <v>506888.06</v>
      </c>
      <c r="BT200" s="88">
        <v>511102.2</v>
      </c>
      <c r="BU200" s="65">
        <v>517034.2</v>
      </c>
      <c r="BV200" s="65">
        <v>523150.9</v>
      </c>
      <c r="BW200" s="90">
        <v>528297.3</v>
      </c>
      <c r="BX200" s="90">
        <v>533262.21</v>
      </c>
      <c r="BY200" s="90">
        <f t="array" ref="BY200">XLOOKUP(C200,'PL TOTAL D0'!$A$3:$A$1991,'PL TOTAL D0'!$C$3:$C$1991,"")</f>
        <v>539694.49</v>
      </c>
    </row>
    <row r="201" ht="15.75" customHeight="1">
      <c r="A201" s="50" t="s">
        <v>24</v>
      </c>
      <c r="B201" s="50" t="s">
        <v>3702</v>
      </c>
      <c r="C201" s="94" t="s">
        <v>3703</v>
      </c>
      <c r="D201" s="81" t="s">
        <v>255</v>
      </c>
      <c r="E201" s="95" t="s">
        <v>199</v>
      </c>
      <c r="F201" s="81" t="s">
        <v>257</v>
      </c>
      <c r="G201" s="47" t="str">
        <f t="shared" si="13"/>
        <v>David</v>
      </c>
      <c r="H201" s="49" t="s">
        <v>295</v>
      </c>
      <c r="I201" s="49" t="s">
        <v>382</v>
      </c>
      <c r="J201" s="47" t="str">
        <f t="shared" si="15"/>
        <v>Não</v>
      </c>
      <c r="K201" s="97">
        <v>45082.0</v>
      </c>
      <c r="L201" s="62"/>
      <c r="M201" s="62" t="s">
        <v>61</v>
      </c>
      <c r="N201" s="98">
        <v>0.012</v>
      </c>
      <c r="O201" s="47" t="s">
        <v>66</v>
      </c>
      <c r="P201" s="99">
        <v>0.0</v>
      </c>
      <c r="Q201" s="58"/>
      <c r="R201" s="70"/>
      <c r="S201" s="62" t="s">
        <v>194</v>
      </c>
      <c r="T201" s="32" t="s">
        <v>3704</v>
      </c>
      <c r="U201" s="33">
        <v>5.513991180602E12</v>
      </c>
      <c r="V201" s="33" t="s">
        <v>3705</v>
      </c>
      <c r="W201" s="34">
        <v>18895.0</v>
      </c>
      <c r="X201" s="23" t="s">
        <v>475</v>
      </c>
      <c r="Y201" s="49" t="str">
        <f t="shared" si="14"/>
        <v>Ativo</v>
      </c>
      <c r="Z201" s="62"/>
      <c r="AA201" s="62"/>
      <c r="AB201" s="64" t="s">
        <v>269</v>
      </c>
      <c r="AC201" s="79"/>
      <c r="AD201" s="54">
        <v>45082.0</v>
      </c>
      <c r="AE201" s="77">
        <v>4.9075100006822E13</v>
      </c>
      <c r="AF201" s="79"/>
      <c r="AG201" s="79"/>
      <c r="AH201" s="79"/>
      <c r="AI201" s="79"/>
      <c r="AJ201" s="79"/>
      <c r="AK201" s="79"/>
      <c r="AL201" s="79"/>
      <c r="AM201" s="79"/>
      <c r="AN201" s="65">
        <v>100855.31</v>
      </c>
      <c r="AO201" s="65">
        <v>101432.92</v>
      </c>
      <c r="AP201" s="65">
        <v>102469.64</v>
      </c>
      <c r="AQ201" s="65">
        <v>153675.62</v>
      </c>
      <c r="AR201" s="65">
        <v>155000.13</v>
      </c>
      <c r="AS201" s="65">
        <v>156110.6</v>
      </c>
      <c r="AT201" s="65">
        <v>157287.9</v>
      </c>
      <c r="AU201" s="65">
        <v>120209.71</v>
      </c>
      <c r="AV201" s="65">
        <v>121112.44</v>
      </c>
      <c r="AW201" s="65">
        <v>121658.89</v>
      </c>
      <c r="AX201" s="65">
        <v>112458.18</v>
      </c>
      <c r="AY201" s="65">
        <v>113330.1</v>
      </c>
      <c r="AZ201" s="65">
        <v>114226.1</v>
      </c>
      <c r="BA201" s="65">
        <v>115055.1</v>
      </c>
      <c r="BB201" s="65">
        <v>0.69</v>
      </c>
      <c r="BC201" s="65">
        <v>0.69</v>
      </c>
      <c r="BD201" s="65">
        <v>0.69</v>
      </c>
      <c r="BE201" s="65">
        <v>0.69</v>
      </c>
      <c r="BF201" s="65">
        <v>1.34</v>
      </c>
      <c r="BG201" s="65">
        <v>1.34</v>
      </c>
      <c r="BH201" s="65">
        <v>1.34</v>
      </c>
      <c r="BI201" s="65">
        <v>1.34</v>
      </c>
      <c r="BJ201" s="65">
        <v>0.0</v>
      </c>
      <c r="BK201" s="65">
        <v>0.0</v>
      </c>
      <c r="BL201" s="65">
        <v>0.0</v>
      </c>
      <c r="BM201" s="65">
        <v>0.0</v>
      </c>
      <c r="BN201" s="65">
        <v>0.0</v>
      </c>
      <c r="BO201" s="65">
        <v>0.0</v>
      </c>
      <c r="BP201" s="65">
        <v>0.0</v>
      </c>
      <c r="BQ201" s="65">
        <v>0.0</v>
      </c>
      <c r="BR201" s="65">
        <v>0.0</v>
      </c>
      <c r="BS201" s="65">
        <v>0.0</v>
      </c>
      <c r="BT201" s="88">
        <v>0.0</v>
      </c>
      <c r="BU201" s="65">
        <v>0.0</v>
      </c>
      <c r="BV201" s="65">
        <v>0.0</v>
      </c>
      <c r="BW201" s="90">
        <v>0.0</v>
      </c>
      <c r="BX201" s="90">
        <v>0.0</v>
      </c>
      <c r="BY201" s="90" t="str">
        <f t="array" ref="BY201">XLOOKUP(C201,'PL TOTAL D0'!$A$3:$A$1991,'PL TOTAL D0'!$C$3:$C$1991,"")</f>
        <v/>
      </c>
    </row>
    <row r="202" ht="15.75" customHeight="1">
      <c r="A202" s="50" t="s">
        <v>24</v>
      </c>
      <c r="B202" s="176" t="s">
        <v>3707</v>
      </c>
      <c r="C202" s="94" t="s">
        <v>3019</v>
      </c>
      <c r="D202" s="30" t="s">
        <v>89</v>
      </c>
      <c r="E202" s="95" t="s">
        <v>91</v>
      </c>
      <c r="F202" s="81" t="s">
        <v>193</v>
      </c>
      <c r="G202" s="47" t="str">
        <f t="shared" si="13"/>
        <v>Gabriel</v>
      </c>
      <c r="H202" s="74" t="s">
        <v>183</v>
      </c>
      <c r="I202" s="74" t="s">
        <v>66</v>
      </c>
      <c r="J202" s="47" t="str">
        <f t="shared" si="15"/>
        <v>Sim</v>
      </c>
      <c r="K202" s="97">
        <v>45029.0</v>
      </c>
      <c r="L202" s="62"/>
      <c r="M202" s="62" t="s">
        <v>61</v>
      </c>
      <c r="N202" s="98">
        <v>0.012</v>
      </c>
      <c r="O202" s="47" t="s">
        <v>66</v>
      </c>
      <c r="P202" s="99">
        <v>0.0</v>
      </c>
      <c r="Q202" s="58" t="s">
        <v>3708</v>
      </c>
      <c r="R202" s="70"/>
      <c r="S202" s="62" t="s">
        <v>194</v>
      </c>
      <c r="T202" s="32" t="s">
        <v>3709</v>
      </c>
      <c r="U202" s="33">
        <v>5.545999145885E12</v>
      </c>
      <c r="V202" s="33" t="s">
        <v>3710</v>
      </c>
      <c r="W202" s="34">
        <v>28237.0</v>
      </c>
      <c r="X202" s="23" t="s">
        <v>221</v>
      </c>
      <c r="Y202" s="49" t="str">
        <f t="shared" si="14"/>
        <v>Ativo</v>
      </c>
      <c r="Z202" s="62"/>
      <c r="AA202" s="62"/>
      <c r="AB202" s="64" t="s">
        <v>269</v>
      </c>
      <c r="AC202" s="79"/>
      <c r="AD202" s="54">
        <v>45029.0</v>
      </c>
      <c r="AE202" s="77">
        <v>4.9075100008981E13</v>
      </c>
      <c r="AF202" s="79"/>
      <c r="AG202" s="79"/>
      <c r="AH202" s="79"/>
      <c r="AI202" s="65">
        <v>0.0</v>
      </c>
      <c r="AJ202" s="65">
        <v>0.0</v>
      </c>
      <c r="AK202" s="65">
        <v>0.0</v>
      </c>
      <c r="AL202" s="65">
        <v>160367.74</v>
      </c>
      <c r="AM202" s="65">
        <v>163569.63</v>
      </c>
      <c r="AN202" s="65">
        <v>165862.5</v>
      </c>
      <c r="AO202" s="65">
        <v>167691.47</v>
      </c>
      <c r="AP202" s="65">
        <v>169137.32</v>
      </c>
      <c r="AQ202" s="65">
        <v>170517.88</v>
      </c>
      <c r="AR202" s="65">
        <v>172124.46</v>
      </c>
      <c r="AS202" s="65">
        <v>173490.61</v>
      </c>
      <c r="AT202" s="65">
        <v>173336.56</v>
      </c>
      <c r="AU202" s="65">
        <v>174958.35</v>
      </c>
      <c r="AV202" s="65">
        <v>176314.09</v>
      </c>
      <c r="AW202" s="65">
        <v>177375.23</v>
      </c>
      <c r="AX202" s="65">
        <v>178666.11</v>
      </c>
      <c r="AY202" s="65">
        <v>180039.3</v>
      </c>
      <c r="AZ202" s="65">
        <v>181128.2</v>
      </c>
      <c r="BA202" s="65">
        <v>182702.5</v>
      </c>
      <c r="BB202" s="65">
        <v>184043.14</v>
      </c>
      <c r="BC202" s="65">
        <v>184040.06</v>
      </c>
      <c r="BD202" s="65">
        <v>185739.62</v>
      </c>
      <c r="BE202" s="65">
        <v>186956.67</v>
      </c>
      <c r="BF202" s="65">
        <v>187293.8</v>
      </c>
      <c r="BG202" s="65">
        <v>189032.51</v>
      </c>
      <c r="BH202" s="65">
        <v>190770.71</v>
      </c>
      <c r="BI202" s="65">
        <v>200673.62</v>
      </c>
      <c r="BJ202" s="65">
        <v>202644.13</v>
      </c>
      <c r="BK202" s="65">
        <v>204476.28</v>
      </c>
      <c r="BL202" s="65">
        <v>206133.0</v>
      </c>
      <c r="BM202" s="65">
        <v>208453.55</v>
      </c>
      <c r="BN202" s="65">
        <v>210611.7</v>
      </c>
      <c r="BO202" s="65">
        <v>212767.82</v>
      </c>
      <c r="BP202" s="65">
        <v>215291.1</v>
      </c>
      <c r="BQ202" s="65">
        <v>247183.1</v>
      </c>
      <c r="BR202" s="65">
        <v>249352.5</v>
      </c>
      <c r="BS202" s="65">
        <v>277462.67</v>
      </c>
      <c r="BT202" s="88">
        <v>359871.2</v>
      </c>
      <c r="BU202" s="65">
        <v>362511.1</v>
      </c>
      <c r="BV202" s="65">
        <v>366683.1</v>
      </c>
      <c r="BW202" s="90">
        <v>324887.8</v>
      </c>
      <c r="BX202" s="90">
        <v>327844.28</v>
      </c>
      <c r="BY202" s="90">
        <f t="array" ref="BY202">XLOOKUP(C202,'PL TOTAL D0'!$A$3:$A$1991,'PL TOTAL D0'!$C$3:$C$1991,"")</f>
        <v>331669.5</v>
      </c>
    </row>
    <row r="203" ht="15.75" customHeight="1">
      <c r="A203" s="50" t="s">
        <v>24</v>
      </c>
      <c r="B203" s="39" t="s">
        <v>3715</v>
      </c>
      <c r="C203" s="94" t="s">
        <v>3529</v>
      </c>
      <c r="D203" s="30" t="s">
        <v>142</v>
      </c>
      <c r="E203" s="22" t="s">
        <v>54</v>
      </c>
      <c r="F203" s="30" t="s">
        <v>158</v>
      </c>
      <c r="G203" s="47" t="str">
        <f t="shared" si="13"/>
        <v>Gabriel</v>
      </c>
      <c r="H203" s="49" t="s">
        <v>183</v>
      </c>
      <c r="I203" s="49" t="s">
        <v>66</v>
      </c>
      <c r="J203" s="47" t="str">
        <f t="shared" si="15"/>
        <v>Não</v>
      </c>
      <c r="K203" s="54">
        <v>45461.0</v>
      </c>
      <c r="L203" s="62"/>
      <c r="M203" s="32" t="s">
        <v>61</v>
      </c>
      <c r="N203" s="56">
        <v>0.012</v>
      </c>
      <c r="O203" s="23" t="s">
        <v>66</v>
      </c>
      <c r="P203" s="57">
        <v>0.0</v>
      </c>
      <c r="Q203" s="58"/>
      <c r="R203" s="70"/>
      <c r="S203" s="32" t="s">
        <v>194</v>
      </c>
      <c r="T203" s="32" t="s">
        <v>3717</v>
      </c>
      <c r="U203" s="33">
        <v>5.56281177244E11</v>
      </c>
      <c r="V203" s="33" t="s">
        <v>3718</v>
      </c>
      <c r="W203" s="34">
        <v>25591.0</v>
      </c>
      <c r="X203" s="23" t="s">
        <v>54</v>
      </c>
      <c r="Y203" s="49" t="str">
        <f t="shared" si="14"/>
        <v>Ativo</v>
      </c>
      <c r="Z203" s="32"/>
      <c r="AA203" s="32" t="s">
        <v>165</v>
      </c>
      <c r="AB203" s="64" t="s">
        <v>269</v>
      </c>
      <c r="AC203" s="79"/>
      <c r="AD203" s="54">
        <v>45461.0</v>
      </c>
      <c r="AE203" s="77">
        <v>4.9075100015181E13</v>
      </c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65"/>
      <c r="AW203" s="65"/>
      <c r="AX203" s="65"/>
      <c r="AY203" s="65"/>
      <c r="AZ203" s="65">
        <v>272385.8</v>
      </c>
      <c r="BA203" s="65">
        <v>301086.7</v>
      </c>
      <c r="BB203" s="65">
        <v>311991.96</v>
      </c>
      <c r="BC203" s="65">
        <v>318643.16</v>
      </c>
      <c r="BD203" s="65">
        <v>323826.4</v>
      </c>
      <c r="BE203" s="65">
        <v>328646.1</v>
      </c>
      <c r="BF203" s="65">
        <v>327693.23</v>
      </c>
      <c r="BG203" s="65">
        <v>332307.58</v>
      </c>
      <c r="BH203" s="65">
        <v>331876.79</v>
      </c>
      <c r="BI203" s="65">
        <v>325414.12</v>
      </c>
      <c r="BJ203" s="65">
        <v>323617.1</v>
      </c>
      <c r="BK203" s="65">
        <v>336181.82</v>
      </c>
      <c r="BL203" s="65">
        <v>345270.06</v>
      </c>
      <c r="BM203" s="65">
        <v>313609.91</v>
      </c>
      <c r="BN203" s="65">
        <v>317562.8</v>
      </c>
      <c r="BO203" s="65">
        <v>321963.05</v>
      </c>
      <c r="BP203" s="65">
        <v>332229.7</v>
      </c>
      <c r="BQ203" s="65">
        <v>329475.0</v>
      </c>
      <c r="BR203" s="65">
        <v>332439.4</v>
      </c>
      <c r="BS203" s="65">
        <v>335053.45</v>
      </c>
      <c r="BT203" s="88">
        <v>334188.8</v>
      </c>
      <c r="BU203" s="65">
        <v>313983.2</v>
      </c>
      <c r="BV203" s="65">
        <v>340622.3</v>
      </c>
      <c r="BW203" s="90">
        <v>354275.0</v>
      </c>
      <c r="BX203" s="90">
        <v>348884.33</v>
      </c>
      <c r="BY203" s="90">
        <f t="array" ref="BY203">XLOOKUP(C203,'PL TOTAL D0'!$A$3:$A$1991,'PL TOTAL D0'!$C$3:$C$1991,"")</f>
        <v>17391.13</v>
      </c>
    </row>
    <row r="204" ht="15.75" customHeight="1">
      <c r="A204" s="50" t="s">
        <v>24</v>
      </c>
      <c r="B204" s="176" t="s">
        <v>3723</v>
      </c>
      <c r="C204" s="94" t="s">
        <v>3724</v>
      </c>
      <c r="D204" s="81" t="s">
        <v>120</v>
      </c>
      <c r="E204" s="95" t="s">
        <v>199</v>
      </c>
      <c r="F204" s="81" t="s">
        <v>1914</v>
      </c>
      <c r="G204" s="47" t="str">
        <f t="shared" si="13"/>
        <v>David</v>
      </c>
      <c r="H204" s="49" t="s">
        <v>224</v>
      </c>
      <c r="I204" s="49" t="s">
        <v>66</v>
      </c>
      <c r="J204" s="47" t="str">
        <f t="shared" si="15"/>
        <v>Não</v>
      </c>
      <c r="K204" s="97">
        <v>44973.0</v>
      </c>
      <c r="L204" s="121">
        <v>45586.0</v>
      </c>
      <c r="M204" s="62" t="s">
        <v>209</v>
      </c>
      <c r="N204" s="98">
        <v>0.015</v>
      </c>
      <c r="O204" s="47" t="s">
        <v>35</v>
      </c>
      <c r="P204" s="99">
        <v>0.1</v>
      </c>
      <c r="Q204" s="58"/>
      <c r="R204" s="70"/>
      <c r="S204" s="62" t="s">
        <v>194</v>
      </c>
      <c r="T204" s="32" t="s">
        <v>3727</v>
      </c>
      <c r="U204" s="33" t="s">
        <v>268</v>
      </c>
      <c r="V204" s="33"/>
      <c r="W204" s="33" t="s">
        <v>268</v>
      </c>
      <c r="X204" s="23" t="s">
        <v>199</v>
      </c>
      <c r="Y204" s="49" t="str">
        <f t="shared" si="14"/>
        <v>Encerrado</v>
      </c>
      <c r="Z204" s="62"/>
      <c r="AA204" s="62"/>
      <c r="AB204" s="64" t="s">
        <v>269</v>
      </c>
      <c r="AC204" s="79"/>
      <c r="AD204" s="54">
        <v>44973.0</v>
      </c>
      <c r="AE204" s="77">
        <v>4.9075100009406E13</v>
      </c>
      <c r="AF204" s="79"/>
      <c r="AG204" s="79"/>
      <c r="AH204" s="79"/>
      <c r="AI204" s="65">
        <v>0.0</v>
      </c>
      <c r="AJ204" s="65">
        <v>50152.64</v>
      </c>
      <c r="AK204" s="65">
        <v>75711.68</v>
      </c>
      <c r="AL204" s="65">
        <v>98150.6</v>
      </c>
      <c r="AM204" s="65">
        <v>99754.48</v>
      </c>
      <c r="AN204" s="65">
        <v>101414.15</v>
      </c>
      <c r="AO204" s="65">
        <v>102260.12</v>
      </c>
      <c r="AP204" s="65">
        <v>101772.24</v>
      </c>
      <c r="AQ204" s="65">
        <v>182622.03</v>
      </c>
      <c r="AR204" s="65">
        <v>201720.06</v>
      </c>
      <c r="AS204" s="65">
        <v>206168.64</v>
      </c>
      <c r="AT204" s="65">
        <v>209883.74</v>
      </c>
      <c r="AU204" s="65">
        <v>206949.11</v>
      </c>
      <c r="AV204" s="65">
        <v>208833.41</v>
      </c>
      <c r="AW204" s="65">
        <v>210854.24</v>
      </c>
      <c r="AX204" s="65">
        <v>229237.29</v>
      </c>
      <c r="AY204" s="65">
        <v>228096.4</v>
      </c>
      <c r="AZ204" s="65">
        <v>229529.1</v>
      </c>
      <c r="BA204" s="65">
        <v>252694.9</v>
      </c>
      <c r="BB204" s="65">
        <v>265558.83</v>
      </c>
      <c r="BC204" s="65">
        <v>310153.17</v>
      </c>
      <c r="BD204" s="65">
        <v>0.0</v>
      </c>
      <c r="BE204" s="65">
        <v>0.0</v>
      </c>
      <c r="BF204" s="65">
        <v>0.0</v>
      </c>
      <c r="BG204" s="65">
        <v>0.0</v>
      </c>
      <c r="BH204" s="65">
        <v>0.0</v>
      </c>
      <c r="BI204" s="65">
        <v>0.0</v>
      </c>
      <c r="BJ204" s="65">
        <v>0.0</v>
      </c>
      <c r="BK204" s="65">
        <v>0.0</v>
      </c>
      <c r="BL204" s="65">
        <v>0.0</v>
      </c>
      <c r="BM204" s="65">
        <v>0.0</v>
      </c>
      <c r="BN204" s="65">
        <v>0.0</v>
      </c>
      <c r="BO204" s="65">
        <v>0.0</v>
      </c>
      <c r="BP204" s="65">
        <v>0.0</v>
      </c>
      <c r="BQ204" s="65">
        <v>0.0</v>
      </c>
      <c r="BR204" s="65">
        <v>0.0</v>
      </c>
      <c r="BS204" s="65">
        <v>0.0</v>
      </c>
      <c r="BT204" s="88">
        <v>0.0</v>
      </c>
      <c r="BU204" s="65">
        <v>0.0</v>
      </c>
      <c r="BV204" s="65">
        <v>0.0</v>
      </c>
      <c r="BW204" s="90">
        <v>0.0</v>
      </c>
      <c r="BX204" s="90">
        <v>0.0</v>
      </c>
      <c r="BY204" s="90" t="str">
        <f t="array" ref="BY204">XLOOKUP(C204,'PL TOTAL D0'!$A$3:$A$1991,'PL TOTAL D0'!$C$3:$C$1991,"")</f>
        <v/>
      </c>
    </row>
    <row r="205" ht="15.75" customHeight="1">
      <c r="A205" s="50" t="s">
        <v>24</v>
      </c>
      <c r="B205" s="50" t="s">
        <v>3731</v>
      </c>
      <c r="C205" s="94" t="s">
        <v>2558</v>
      </c>
      <c r="D205" s="30" t="s">
        <v>120</v>
      </c>
      <c r="E205" s="95" t="s">
        <v>91</v>
      </c>
      <c r="F205" s="81" t="s">
        <v>884</v>
      </c>
      <c r="G205" s="47" t="str">
        <f t="shared" si="13"/>
        <v>Marcus</v>
      </c>
      <c r="H205" s="74" t="s">
        <v>183</v>
      </c>
      <c r="I205" s="74" t="s">
        <v>66</v>
      </c>
      <c r="J205" s="47" t="str">
        <f t="shared" si="15"/>
        <v>Não</v>
      </c>
      <c r="K205" s="97">
        <v>45035.0</v>
      </c>
      <c r="L205" s="62"/>
      <c r="M205" s="62" t="s">
        <v>61</v>
      </c>
      <c r="N205" s="98">
        <v>0.007</v>
      </c>
      <c r="O205" s="47" t="s">
        <v>66</v>
      </c>
      <c r="P205" s="99">
        <v>0.0</v>
      </c>
      <c r="Q205" s="58"/>
      <c r="R205" s="70"/>
      <c r="S205" s="62" t="s">
        <v>194</v>
      </c>
      <c r="T205" s="32" t="s">
        <v>3732</v>
      </c>
      <c r="U205" s="33">
        <v>5.514996528701E12</v>
      </c>
      <c r="V205" s="33" t="s">
        <v>3733</v>
      </c>
      <c r="W205" s="34">
        <v>17347.0</v>
      </c>
      <c r="X205" s="23" t="s">
        <v>475</v>
      </c>
      <c r="Y205" s="49" t="str">
        <f t="shared" si="14"/>
        <v>Ativo</v>
      </c>
      <c r="Z205" s="62"/>
      <c r="AA205" s="62"/>
      <c r="AB205" s="64" t="s">
        <v>269</v>
      </c>
      <c r="AC205" s="79"/>
      <c r="AD205" s="54">
        <v>45035.0</v>
      </c>
      <c r="AE205" s="77">
        <v>4.9075100009082E13</v>
      </c>
      <c r="AF205" s="79"/>
      <c r="AG205" s="79"/>
      <c r="AH205" s="79"/>
      <c r="AI205" s="79"/>
      <c r="AJ205" s="79"/>
      <c r="AK205" s="65">
        <v>0.0</v>
      </c>
      <c r="AL205" s="65">
        <v>1642101.9</v>
      </c>
      <c r="AM205" s="65">
        <v>1728001.75</v>
      </c>
      <c r="AN205" s="65">
        <v>1735162.85</v>
      </c>
      <c r="AO205" s="65">
        <v>1750873.41</v>
      </c>
      <c r="AP205" s="65">
        <v>1768651.3</v>
      </c>
      <c r="AQ205" s="65">
        <v>1777349.32</v>
      </c>
      <c r="AR205" s="65">
        <v>1786530.17</v>
      </c>
      <c r="AS205" s="65">
        <v>1805961.93</v>
      </c>
      <c r="AT205" s="65">
        <v>1807968.44</v>
      </c>
      <c r="AU205" s="65">
        <v>1823522.49</v>
      </c>
      <c r="AV205" s="65">
        <v>1836277.05</v>
      </c>
      <c r="AW205" s="65">
        <v>1833654.69</v>
      </c>
      <c r="AX205" s="65">
        <v>1848462.05</v>
      </c>
      <c r="AY205" s="65">
        <v>1863063.0</v>
      </c>
      <c r="AZ205" s="65">
        <v>1877951.0</v>
      </c>
      <c r="BA205" s="65">
        <v>1893892.0</v>
      </c>
      <c r="BB205" s="65">
        <v>1909051.85</v>
      </c>
      <c r="BC205" s="65">
        <v>1918890.65</v>
      </c>
      <c r="BD205" s="65">
        <v>1936558.38</v>
      </c>
      <c r="BE205" s="65">
        <v>1951837.71</v>
      </c>
      <c r="BF205" s="65">
        <v>1965118.59</v>
      </c>
      <c r="BG205" s="65">
        <v>1984250.53</v>
      </c>
      <c r="BH205" s="65">
        <v>2002385.68</v>
      </c>
      <c r="BI205" s="65">
        <v>2016430.95</v>
      </c>
      <c r="BJ205" s="65">
        <v>2037662.52</v>
      </c>
      <c r="BK205" s="65">
        <v>2059930.41</v>
      </c>
      <c r="BL205" s="65">
        <v>2078418.58</v>
      </c>
      <c r="BM205" s="65">
        <v>2102215.02</v>
      </c>
      <c r="BN205" s="65">
        <v>2123856.0</v>
      </c>
      <c r="BO205" s="65">
        <v>2143216.83</v>
      </c>
      <c r="BP205" s="65">
        <v>2168427.0</v>
      </c>
      <c r="BQ205" s="65">
        <v>2187968.0</v>
      </c>
      <c r="BR205" s="65">
        <v>2200734.0</v>
      </c>
      <c r="BS205" s="65">
        <v>2224051.7</v>
      </c>
      <c r="BT205" s="88">
        <v>2242520.0</v>
      </c>
      <c r="BU205" s="65">
        <v>2260514.0</v>
      </c>
      <c r="BV205" s="65">
        <v>2286935.0</v>
      </c>
      <c r="BW205" s="90">
        <v>2313304.0</v>
      </c>
      <c r="BX205" s="90">
        <v>2331758.37</v>
      </c>
      <c r="BY205" s="90">
        <f t="array" ref="BY205">XLOOKUP(C205,'PL TOTAL D0'!$A$3:$A$1991,'PL TOTAL D0'!$C$3:$C$1991,"")</f>
        <v>2362112.42</v>
      </c>
    </row>
    <row r="206" ht="15.75" customHeight="1">
      <c r="A206" s="50" t="s">
        <v>24</v>
      </c>
      <c r="B206" s="188" t="s">
        <v>3739</v>
      </c>
      <c r="C206" s="94" t="s">
        <v>2867</v>
      </c>
      <c r="D206" s="30" t="s">
        <v>120</v>
      </c>
      <c r="E206" s="22" t="s">
        <v>199</v>
      </c>
      <c r="F206" s="30" t="s">
        <v>290</v>
      </c>
      <c r="G206" s="47" t="str">
        <f t="shared" si="13"/>
        <v>Gabriel</v>
      </c>
      <c r="H206" s="49" t="s">
        <v>183</v>
      </c>
      <c r="I206" s="49" t="s">
        <v>66</v>
      </c>
      <c r="J206" s="47" t="str">
        <f t="shared" si="15"/>
        <v>Sim</v>
      </c>
      <c r="K206" s="54">
        <v>45426.0</v>
      </c>
      <c r="L206" s="62"/>
      <c r="M206" s="32" t="s">
        <v>61</v>
      </c>
      <c r="N206" s="56">
        <v>0.01</v>
      </c>
      <c r="O206" s="23" t="s">
        <v>66</v>
      </c>
      <c r="P206" s="57">
        <v>0.0</v>
      </c>
      <c r="Q206" s="58" t="s">
        <v>3740</v>
      </c>
      <c r="R206" s="70"/>
      <c r="S206" s="32" t="s">
        <v>194</v>
      </c>
      <c r="T206" s="177" t="s">
        <v>3741</v>
      </c>
      <c r="U206" s="33">
        <v>5.561999813003E12</v>
      </c>
      <c r="V206" s="33" t="s">
        <v>3742</v>
      </c>
      <c r="W206" s="34">
        <v>19049.0</v>
      </c>
      <c r="X206" s="23" t="s">
        <v>199</v>
      </c>
      <c r="Y206" s="49" t="str">
        <f t="shared" si="14"/>
        <v>Ativo</v>
      </c>
      <c r="Z206" s="32"/>
      <c r="AA206" s="32" t="s">
        <v>47</v>
      </c>
      <c r="AB206" s="64" t="s">
        <v>269</v>
      </c>
      <c r="AC206" s="79"/>
      <c r="AD206" s="54">
        <v>45426.0</v>
      </c>
      <c r="AE206" s="77">
        <v>4.907510001445E13</v>
      </c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65"/>
      <c r="AW206" s="65"/>
      <c r="AX206" s="65"/>
      <c r="AY206" s="65">
        <v>301117.9</v>
      </c>
      <c r="AZ206" s="65">
        <v>303804.6</v>
      </c>
      <c r="BA206" s="65">
        <v>306290.7</v>
      </c>
      <c r="BB206" s="65">
        <v>308935.83</v>
      </c>
      <c r="BC206" s="65">
        <v>310635.84</v>
      </c>
      <c r="BD206" s="65">
        <v>313633.38</v>
      </c>
      <c r="BE206" s="65">
        <v>316189.89</v>
      </c>
      <c r="BF206" s="65">
        <v>318805.42</v>
      </c>
      <c r="BG206" s="65">
        <v>321978.61</v>
      </c>
      <c r="BH206" s="65">
        <v>324421.17</v>
      </c>
      <c r="BI206" s="65">
        <v>328507.13</v>
      </c>
      <c r="BJ206" s="65">
        <v>331456.45</v>
      </c>
      <c r="BK206" s="65">
        <v>330765.31</v>
      </c>
      <c r="BL206" s="65">
        <v>333905.28</v>
      </c>
      <c r="BM206" s="65">
        <v>337678.18</v>
      </c>
      <c r="BN206" s="65">
        <v>341166.0</v>
      </c>
      <c r="BO206" s="65">
        <v>489185.59</v>
      </c>
      <c r="BP206" s="65">
        <v>495216.3</v>
      </c>
      <c r="BQ206" s="65">
        <v>499117.5</v>
      </c>
      <c r="BR206" s="65">
        <v>504019.1</v>
      </c>
      <c r="BS206" s="65">
        <v>509648.77</v>
      </c>
      <c r="BT206" s="88">
        <v>513421.8</v>
      </c>
      <c r="BU206" s="65">
        <v>519302.9</v>
      </c>
      <c r="BV206" s="65">
        <v>525350.4</v>
      </c>
      <c r="BW206" s="90">
        <v>527717.0</v>
      </c>
      <c r="BX206" s="90">
        <v>532790.65</v>
      </c>
      <c r="BY206" s="90">
        <f t="array" ref="BY206">XLOOKUP(C206,'PL TOTAL D0'!$A$3:$A$1991,'PL TOTAL D0'!$C$3:$C$1991,"")</f>
        <v>538706.13</v>
      </c>
    </row>
    <row r="207" ht="15.75" customHeight="1">
      <c r="A207" s="50" t="s">
        <v>24</v>
      </c>
      <c r="B207" s="200" t="s">
        <v>3744</v>
      </c>
      <c r="C207" s="94" t="s">
        <v>3400</v>
      </c>
      <c r="D207" s="30" t="s">
        <v>120</v>
      </c>
      <c r="E207" s="22" t="s">
        <v>54</v>
      </c>
      <c r="F207" s="30" t="s">
        <v>125</v>
      </c>
      <c r="G207" s="47" t="str">
        <f t="shared" si="13"/>
        <v>David</v>
      </c>
      <c r="H207" s="49" t="s">
        <v>183</v>
      </c>
      <c r="I207" s="49" t="s">
        <v>66</v>
      </c>
      <c r="J207" s="47" t="str">
        <f t="shared" si="15"/>
        <v>Sim</v>
      </c>
      <c r="K207" s="54">
        <v>45460.0</v>
      </c>
      <c r="L207" s="62"/>
      <c r="M207" s="32" t="s">
        <v>213</v>
      </c>
      <c r="N207" s="56">
        <v>0.007</v>
      </c>
      <c r="O207" s="23" t="s">
        <v>66</v>
      </c>
      <c r="P207" s="57">
        <v>0.0</v>
      </c>
      <c r="Q207" s="58" t="s">
        <v>3745</v>
      </c>
      <c r="R207" s="70"/>
      <c r="S207" s="32" t="s">
        <v>234</v>
      </c>
      <c r="T207" s="177" t="s">
        <v>3746</v>
      </c>
      <c r="U207" s="33">
        <v>5.562984654505E12</v>
      </c>
      <c r="V207" s="33" t="s">
        <v>3747</v>
      </c>
      <c r="W207" s="34">
        <v>37494.0</v>
      </c>
      <c r="X207" s="23" t="s">
        <v>54</v>
      </c>
      <c r="Y207" s="49" t="str">
        <f t="shared" si="14"/>
        <v>Ativo</v>
      </c>
      <c r="Z207" s="32"/>
      <c r="AA207" s="32" t="s">
        <v>47</v>
      </c>
      <c r="AB207" s="64" t="s">
        <v>269</v>
      </c>
      <c r="AC207" s="79"/>
      <c r="AD207" s="54">
        <v>45460.0</v>
      </c>
      <c r="AE207" s="77">
        <v>4.9075100015171E13</v>
      </c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65"/>
      <c r="AW207" s="65"/>
      <c r="AX207" s="65"/>
      <c r="AY207" s="65"/>
      <c r="AZ207" s="65">
        <v>50121.53</v>
      </c>
      <c r="BA207" s="65">
        <v>100976.8</v>
      </c>
      <c r="BB207" s="65">
        <v>101816.52</v>
      </c>
      <c r="BC207" s="65">
        <v>102622.92</v>
      </c>
      <c r="BD207" s="65">
        <v>103537.86</v>
      </c>
      <c r="BE207" s="65">
        <v>103846.63</v>
      </c>
      <c r="BF207" s="65">
        <v>94363.64</v>
      </c>
      <c r="BG207" s="65">
        <v>64835.77</v>
      </c>
      <c r="BH207" s="65">
        <v>65519.4</v>
      </c>
      <c r="BI207" s="65">
        <v>61197.3</v>
      </c>
      <c r="BJ207" s="65">
        <v>61677.96</v>
      </c>
      <c r="BK207" s="65">
        <v>62262.18</v>
      </c>
      <c r="BL207" s="65">
        <v>62941.89</v>
      </c>
      <c r="BM207" s="65">
        <v>83794.24</v>
      </c>
      <c r="BN207" s="65">
        <v>109349.7</v>
      </c>
      <c r="BO207" s="65">
        <v>110552.92</v>
      </c>
      <c r="BP207" s="65">
        <v>111951.0</v>
      </c>
      <c r="BQ207" s="65">
        <v>97236.67</v>
      </c>
      <c r="BR207" s="65">
        <v>0.0</v>
      </c>
      <c r="BS207" s="65">
        <v>1.92</v>
      </c>
      <c r="BT207" s="88">
        <v>45001.92</v>
      </c>
      <c r="BU207" s="65">
        <v>45496.88</v>
      </c>
      <c r="BV207" s="65">
        <v>45959.06</v>
      </c>
      <c r="BW207" s="90">
        <v>46204.85</v>
      </c>
      <c r="BX207" s="90">
        <v>46663.21</v>
      </c>
      <c r="BY207" s="90">
        <f t="array" ref="BY207">XLOOKUP(C207,'PL TOTAL D0'!$A$3:$A$1991,'PL TOTAL D0'!$C$3:$C$1991,"")</f>
        <v>67210.28</v>
      </c>
    </row>
    <row r="208" ht="15.75" customHeight="1">
      <c r="A208" s="50" t="s">
        <v>24</v>
      </c>
      <c r="B208" s="200" t="s">
        <v>3751</v>
      </c>
      <c r="C208" s="94" t="s">
        <v>3752</v>
      </c>
      <c r="D208" s="30" t="s">
        <v>120</v>
      </c>
      <c r="E208" s="22" t="s">
        <v>199</v>
      </c>
      <c r="F208" s="30" t="s">
        <v>431</v>
      </c>
      <c r="G208" s="47" t="str">
        <f t="shared" si="13"/>
        <v>David</v>
      </c>
      <c r="H208" s="49" t="s">
        <v>295</v>
      </c>
      <c r="I208" s="49" t="s">
        <v>447</v>
      </c>
      <c r="J208" s="47" t="str">
        <f t="shared" si="15"/>
        <v>Sim</v>
      </c>
      <c r="K208" s="54">
        <v>45449.0</v>
      </c>
      <c r="L208" s="62"/>
      <c r="M208" s="32" t="s">
        <v>201</v>
      </c>
      <c r="N208" s="56">
        <v>0.003</v>
      </c>
      <c r="O208" s="23" t="s">
        <v>66</v>
      </c>
      <c r="P208" s="57">
        <v>0.0</v>
      </c>
      <c r="Q208" s="58" t="s">
        <v>656</v>
      </c>
      <c r="R208" s="70"/>
      <c r="S208" s="32" t="s">
        <v>194</v>
      </c>
      <c r="T208" s="177" t="s">
        <v>3753</v>
      </c>
      <c r="U208" s="33">
        <v>3.1987441177E10</v>
      </c>
      <c r="V208" s="33" t="s">
        <v>659</v>
      </c>
      <c r="W208" s="48">
        <v>28487.0</v>
      </c>
      <c r="X208" s="23" t="s">
        <v>618</v>
      </c>
      <c r="Y208" s="49" t="str">
        <f t="shared" si="14"/>
        <v>Ativo</v>
      </c>
      <c r="Z208" s="32"/>
      <c r="AA208" s="32" t="s">
        <v>107</v>
      </c>
      <c r="AB208" s="64" t="s">
        <v>269</v>
      </c>
      <c r="AC208" s="79"/>
      <c r="AD208" s="54">
        <v>45449.0</v>
      </c>
      <c r="AE208" s="77">
        <v>4.9075100015074E13</v>
      </c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65"/>
      <c r="AW208" s="65"/>
      <c r="AX208" s="65"/>
      <c r="AY208" s="65"/>
      <c r="AZ208" s="65">
        <v>10.0</v>
      </c>
      <c r="BA208" s="65">
        <v>10.0</v>
      </c>
      <c r="BB208" s="65">
        <v>10.0</v>
      </c>
      <c r="BC208" s="65">
        <v>10.0</v>
      </c>
      <c r="BD208" s="65">
        <v>0.85</v>
      </c>
      <c r="BE208" s="65">
        <v>0.85</v>
      </c>
      <c r="BF208" s="65">
        <v>0.85</v>
      </c>
      <c r="BG208" s="65">
        <v>0.7</v>
      </c>
      <c r="BH208" s="65">
        <v>0.7</v>
      </c>
      <c r="BI208" s="65">
        <v>0.7</v>
      </c>
      <c r="BJ208" s="65">
        <v>0.7</v>
      </c>
      <c r="BK208" s="65">
        <v>0.7</v>
      </c>
      <c r="BL208" s="65">
        <v>0.7</v>
      </c>
      <c r="BM208" s="65">
        <v>0.7</v>
      </c>
      <c r="BN208" s="65">
        <v>10.7</v>
      </c>
      <c r="BO208" s="65">
        <v>10.7</v>
      </c>
      <c r="BP208" s="65">
        <v>10.7</v>
      </c>
      <c r="BQ208" s="65">
        <v>10.7</v>
      </c>
      <c r="BR208" s="65">
        <v>10.7</v>
      </c>
      <c r="BS208" s="65">
        <v>10.7</v>
      </c>
      <c r="BT208" s="88">
        <v>10.7</v>
      </c>
      <c r="BU208" s="65">
        <v>10.7</v>
      </c>
      <c r="BV208" s="65">
        <v>10.7</v>
      </c>
      <c r="BW208" s="90">
        <v>0.0</v>
      </c>
      <c r="BX208" s="90">
        <v>0.0</v>
      </c>
      <c r="BY208" s="90" t="str">
        <f t="array" ref="BY208">XLOOKUP(C208,'PL TOTAL D0'!$A$3:$A$1991,'PL TOTAL D0'!$C$3:$C$1991,"")</f>
        <v/>
      </c>
    </row>
    <row r="209" ht="18.75" customHeight="1">
      <c r="A209" s="50" t="s">
        <v>24</v>
      </c>
      <c r="B209" s="50" t="s">
        <v>3755</v>
      </c>
      <c r="C209" s="94" t="s">
        <v>3756</v>
      </c>
      <c r="D209" s="81" t="s">
        <v>120</v>
      </c>
      <c r="E209" s="95" t="s">
        <v>199</v>
      </c>
      <c r="F209" s="81" t="s">
        <v>1914</v>
      </c>
      <c r="G209" s="47" t="str">
        <f t="shared" si="13"/>
        <v>David</v>
      </c>
      <c r="H209" s="49" t="s">
        <v>224</v>
      </c>
      <c r="I209" s="49" t="s">
        <v>382</v>
      </c>
      <c r="J209" s="47" t="str">
        <f t="shared" si="15"/>
        <v>Não</v>
      </c>
      <c r="K209" s="97">
        <v>45099.0</v>
      </c>
      <c r="L209" s="186">
        <v>45775.0</v>
      </c>
      <c r="M209" s="62" t="s">
        <v>390</v>
      </c>
      <c r="N209" s="98">
        <v>0.0</v>
      </c>
      <c r="O209" s="47" t="s">
        <v>66</v>
      </c>
      <c r="P209" s="99">
        <v>0.0</v>
      </c>
      <c r="Q209" s="58"/>
      <c r="R209" s="70"/>
      <c r="S209" s="62" t="s">
        <v>194</v>
      </c>
      <c r="T209" s="32" t="s">
        <v>3757</v>
      </c>
      <c r="U209" s="33">
        <v>5.56199967934E12</v>
      </c>
      <c r="V209" s="33" t="s">
        <v>3758</v>
      </c>
      <c r="W209" s="34">
        <v>44140.0</v>
      </c>
      <c r="X209" s="23" t="s">
        <v>475</v>
      </c>
      <c r="Y209" s="49" t="str">
        <f t="shared" si="14"/>
        <v>Encerrado</v>
      </c>
      <c r="Z209" s="62"/>
      <c r="AA209" s="62"/>
      <c r="AB209" s="64" t="s">
        <v>269</v>
      </c>
      <c r="AC209" s="79"/>
      <c r="AD209" s="54">
        <v>45099.0</v>
      </c>
      <c r="AE209" s="77">
        <v>4.9075100008116E13</v>
      </c>
      <c r="AF209" s="79"/>
      <c r="AG209" s="79"/>
      <c r="AH209" s="79"/>
      <c r="AI209" s="79"/>
      <c r="AJ209" s="79"/>
      <c r="AK209" s="79"/>
      <c r="AL209" s="79"/>
      <c r="AM209" s="79"/>
      <c r="AN209" s="65">
        <v>85172.94</v>
      </c>
      <c r="AO209" s="65">
        <v>43658.82</v>
      </c>
      <c r="AP209" s="65">
        <v>44153.5</v>
      </c>
      <c r="AQ209" s="65">
        <v>44559.33</v>
      </c>
      <c r="AR209" s="65">
        <v>45000.8</v>
      </c>
      <c r="AS209" s="65">
        <v>45384.13</v>
      </c>
      <c r="AT209" s="65">
        <v>45404.86</v>
      </c>
      <c r="AU209" s="65">
        <v>45834.66</v>
      </c>
      <c r="AV209" s="65">
        <v>46119.54</v>
      </c>
      <c r="AW209" s="65">
        <v>46392.12</v>
      </c>
      <c r="AX209" s="65">
        <v>46602.85</v>
      </c>
      <c r="AY209" s="65">
        <v>46969.74</v>
      </c>
      <c r="AZ209" s="65">
        <v>47057.42</v>
      </c>
      <c r="BA209" s="65">
        <v>47497.17</v>
      </c>
      <c r="BB209" s="65">
        <v>0.0</v>
      </c>
      <c r="BC209" s="65">
        <v>0.0</v>
      </c>
      <c r="BD209" s="65">
        <v>0.0</v>
      </c>
      <c r="BE209" s="65">
        <v>0.0</v>
      </c>
      <c r="BF209" s="65">
        <v>0.0</v>
      </c>
      <c r="BG209" s="65">
        <v>0.0</v>
      </c>
      <c r="BH209" s="65">
        <v>0.0</v>
      </c>
      <c r="BI209" s="65">
        <v>0.0</v>
      </c>
      <c r="BJ209" s="65">
        <v>0.0</v>
      </c>
      <c r="BK209" s="65">
        <v>0.0</v>
      </c>
      <c r="BL209" s="65">
        <v>0.0</v>
      </c>
      <c r="BM209" s="65">
        <v>0.0</v>
      </c>
      <c r="BN209" s="65">
        <v>0.0</v>
      </c>
      <c r="BO209" s="65">
        <v>0.0</v>
      </c>
      <c r="BP209" s="65">
        <v>0.0</v>
      </c>
      <c r="BQ209" s="65">
        <v>0.0</v>
      </c>
      <c r="BR209" s="65">
        <v>0.0</v>
      </c>
      <c r="BS209" s="65">
        <v>0.0</v>
      </c>
      <c r="BT209" s="88">
        <v>0.0</v>
      </c>
      <c r="BU209" s="65">
        <v>0.0</v>
      </c>
      <c r="BV209" s="65">
        <v>0.0</v>
      </c>
      <c r="BW209" s="90">
        <v>0.0</v>
      </c>
      <c r="BX209" s="90">
        <v>0.0</v>
      </c>
      <c r="BY209" s="90" t="str">
        <f t="array" ref="BY209">XLOOKUP(C209,'PL TOTAL D0'!$A$3:$A$1991,'PL TOTAL D0'!$C$3:$C$1991,"")</f>
        <v/>
      </c>
    </row>
    <row r="210" ht="18.75" customHeight="1">
      <c r="A210" s="50" t="s">
        <v>24</v>
      </c>
      <c r="B210" s="43" t="s">
        <v>3762</v>
      </c>
      <c r="C210" s="94" t="s">
        <v>3554</v>
      </c>
      <c r="D210" s="30" t="s">
        <v>120</v>
      </c>
      <c r="E210" s="22" t="s">
        <v>199</v>
      </c>
      <c r="F210" s="30" t="s">
        <v>431</v>
      </c>
      <c r="G210" s="47" t="str">
        <f t="shared" si="13"/>
        <v>David</v>
      </c>
      <c r="H210" s="49" t="s">
        <v>295</v>
      </c>
      <c r="I210" s="49" t="s">
        <v>447</v>
      </c>
      <c r="J210" s="47" t="str">
        <f t="shared" si="15"/>
        <v>Sim</v>
      </c>
      <c r="K210" s="54">
        <v>45575.0</v>
      </c>
      <c r="L210" s="189"/>
      <c r="M210" s="32" t="s">
        <v>201</v>
      </c>
      <c r="N210" s="56">
        <v>0.003</v>
      </c>
      <c r="O210" s="23" t="s">
        <v>66</v>
      </c>
      <c r="P210" s="57">
        <v>0.0</v>
      </c>
      <c r="Q210" s="58" t="s">
        <v>1779</v>
      </c>
      <c r="R210" s="70"/>
      <c r="S210" s="32" t="s">
        <v>194</v>
      </c>
      <c r="T210" s="32" t="s">
        <v>3763</v>
      </c>
      <c r="U210" s="33">
        <v>5.531992561E12</v>
      </c>
      <c r="V210" s="33" t="s">
        <v>3764</v>
      </c>
      <c r="W210" s="34">
        <v>28730.0</v>
      </c>
      <c r="X210" s="23" t="s">
        <v>618</v>
      </c>
      <c r="Y210" s="49" t="str">
        <f t="shared" si="14"/>
        <v>Ativo</v>
      </c>
      <c r="Z210" s="62"/>
      <c r="AA210" s="32" t="s">
        <v>47</v>
      </c>
      <c r="AB210" s="64"/>
      <c r="AC210" s="79"/>
      <c r="AD210" s="54">
        <v>45575.0</v>
      </c>
      <c r="AE210" s="77">
        <v>4.9075100016046E13</v>
      </c>
      <c r="AF210" s="79"/>
      <c r="AG210" s="79"/>
      <c r="AH210" s="79"/>
      <c r="AI210" s="79"/>
      <c r="AJ210" s="79"/>
      <c r="AK210" s="79"/>
      <c r="AL210" s="79"/>
      <c r="AM210" s="79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>
        <v>9.72</v>
      </c>
      <c r="BE210" s="65">
        <v>85010.37</v>
      </c>
      <c r="BF210" s="65">
        <v>6.24</v>
      </c>
      <c r="BG210" s="65">
        <v>6.24</v>
      </c>
      <c r="BH210" s="65">
        <v>85006.24</v>
      </c>
      <c r="BI210" s="65">
        <v>7.67</v>
      </c>
      <c r="BJ210" s="65">
        <v>2.65</v>
      </c>
      <c r="BK210" s="65">
        <v>2.65</v>
      </c>
      <c r="BL210" s="65">
        <v>10003.29</v>
      </c>
      <c r="BM210" s="65">
        <v>10129.91</v>
      </c>
      <c r="BN210" s="65">
        <v>10246.94</v>
      </c>
      <c r="BO210" s="65">
        <v>10365.38</v>
      </c>
      <c r="BP210" s="65">
        <v>10501.54</v>
      </c>
      <c r="BQ210" s="65">
        <v>10520.32</v>
      </c>
      <c r="BR210" s="65">
        <v>10648.21</v>
      </c>
      <c r="BS210" s="65">
        <v>10771.67</v>
      </c>
      <c r="BT210" s="88">
        <v>10878.58</v>
      </c>
      <c r="BU210" s="65">
        <v>11011.13</v>
      </c>
      <c r="BV210" s="65">
        <v>11129.96</v>
      </c>
      <c r="BW210" s="90">
        <v>11139.78</v>
      </c>
      <c r="BX210" s="90">
        <v>11257.1</v>
      </c>
      <c r="BY210" s="90">
        <f t="array" ref="BY210">XLOOKUP(C210,'PL TOTAL D0'!$A$3:$A$1991,'PL TOTAL D0'!$C$3:$C$1991,"")</f>
        <v>11405.26</v>
      </c>
    </row>
    <row r="211" ht="18.75" customHeight="1">
      <c r="A211" s="50" t="s">
        <v>24</v>
      </c>
      <c r="B211" s="43" t="s">
        <v>3766</v>
      </c>
      <c r="C211" s="53" t="s">
        <v>3502</v>
      </c>
      <c r="D211" s="30" t="s">
        <v>53</v>
      </c>
      <c r="E211" s="22" t="s">
        <v>54</v>
      </c>
      <c r="F211" s="30" t="s">
        <v>55</v>
      </c>
      <c r="G211" s="47" t="str">
        <f t="shared" si="13"/>
        <v>David</v>
      </c>
      <c r="H211" s="49" t="s">
        <v>183</v>
      </c>
      <c r="I211" s="49" t="s">
        <v>66</v>
      </c>
      <c r="J211" s="47" t="str">
        <f t="shared" si="15"/>
        <v>Sim</v>
      </c>
      <c r="K211" s="54">
        <v>46188.0</v>
      </c>
      <c r="L211" s="189"/>
      <c r="M211" s="32" t="s">
        <v>34</v>
      </c>
      <c r="N211" s="56">
        <v>0.012</v>
      </c>
      <c r="O211" s="23" t="s">
        <v>35</v>
      </c>
      <c r="P211" s="57">
        <v>0.1</v>
      </c>
      <c r="Q211" s="58" t="s">
        <v>3767</v>
      </c>
      <c r="R211" s="70"/>
      <c r="S211" s="32" t="s">
        <v>194</v>
      </c>
      <c r="T211" s="32" t="s">
        <v>3768</v>
      </c>
      <c r="U211" s="33" t="s">
        <v>3769</v>
      </c>
      <c r="V211" s="33" t="s">
        <v>3770</v>
      </c>
      <c r="W211" s="34">
        <v>32036.0</v>
      </c>
      <c r="X211" s="23" t="s">
        <v>77</v>
      </c>
      <c r="Y211" s="49" t="str">
        <f t="shared" si="14"/>
        <v>Ativo</v>
      </c>
      <c r="Z211" s="62"/>
      <c r="AA211" s="32" t="s">
        <v>47</v>
      </c>
      <c r="AB211" s="64"/>
      <c r="AC211" s="79"/>
      <c r="AD211" s="54">
        <v>46203.0</v>
      </c>
      <c r="AE211" s="77"/>
      <c r="AF211" s="79"/>
      <c r="AG211" s="79"/>
      <c r="AH211" s="79"/>
      <c r="AI211" s="79"/>
      <c r="AJ211" s="79"/>
      <c r="AK211" s="79"/>
      <c r="AL211" s="79"/>
      <c r="AM211" s="79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88"/>
      <c r="BU211" s="65"/>
      <c r="BV211" s="65"/>
      <c r="BW211" s="90"/>
      <c r="BX211" s="90">
        <v>10291.7</v>
      </c>
      <c r="BY211" s="90">
        <f t="array" ref="BY211">XLOOKUP(C211,'PL TOTAL D0'!$A$3:$A$1991,'PL TOTAL D0'!$C$3:$C$1991,"")</f>
        <v>30597.12</v>
      </c>
    </row>
    <row r="212" ht="18.75" customHeight="1">
      <c r="A212" s="50" t="s">
        <v>24</v>
      </c>
      <c r="B212" s="188" t="s">
        <v>3775</v>
      </c>
      <c r="C212" s="94" t="s">
        <v>3776</v>
      </c>
      <c r="D212" s="30" t="s">
        <v>120</v>
      </c>
      <c r="E212" s="22" t="s">
        <v>199</v>
      </c>
      <c r="F212" s="30" t="s">
        <v>431</v>
      </c>
      <c r="G212" s="47" t="str">
        <f t="shared" si="13"/>
        <v>David</v>
      </c>
      <c r="H212" s="49" t="s">
        <v>295</v>
      </c>
      <c r="I212" s="49" t="s">
        <v>447</v>
      </c>
      <c r="J212" s="47" t="str">
        <f t="shared" si="15"/>
        <v>Sim</v>
      </c>
      <c r="K212" s="54">
        <v>45412.0</v>
      </c>
      <c r="L212" s="189"/>
      <c r="M212" s="32" t="s">
        <v>201</v>
      </c>
      <c r="N212" s="56">
        <v>0.003</v>
      </c>
      <c r="O212" s="23" t="s">
        <v>66</v>
      </c>
      <c r="P212" s="57">
        <v>0.0</v>
      </c>
      <c r="Q212" s="58" t="s">
        <v>656</v>
      </c>
      <c r="R212" s="70"/>
      <c r="S212" s="32" t="s">
        <v>194</v>
      </c>
      <c r="T212" s="177" t="s">
        <v>3777</v>
      </c>
      <c r="U212" s="33">
        <v>5.511950663662E12</v>
      </c>
      <c r="V212" s="33" t="s">
        <v>3778</v>
      </c>
      <c r="W212" s="34">
        <v>38476.0</v>
      </c>
      <c r="X212" s="23" t="s">
        <v>475</v>
      </c>
      <c r="Y212" s="49" t="str">
        <f t="shared" si="14"/>
        <v>Ativo</v>
      </c>
      <c r="Z212" s="62"/>
      <c r="AA212" s="32" t="s">
        <v>47</v>
      </c>
      <c r="AB212" s="64" t="s">
        <v>2099</v>
      </c>
      <c r="AC212" s="79"/>
      <c r="AD212" s="54">
        <v>45412.0</v>
      </c>
      <c r="AE212" s="77">
        <v>4.9075100014469E13</v>
      </c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65"/>
      <c r="AW212" s="65"/>
      <c r="AX212" s="65">
        <v>0.0</v>
      </c>
      <c r="AY212" s="65">
        <v>727.17</v>
      </c>
      <c r="AZ212" s="65">
        <v>732.24</v>
      </c>
      <c r="BA212" s="65">
        <v>738.83</v>
      </c>
      <c r="BB212" s="65">
        <v>745.25</v>
      </c>
      <c r="BC212" s="65">
        <v>751.45</v>
      </c>
      <c r="BD212" s="65">
        <v>758.46</v>
      </c>
      <c r="BE212" s="65">
        <v>758.93</v>
      </c>
      <c r="BF212" s="65">
        <v>765.85</v>
      </c>
      <c r="BG212" s="65">
        <v>11859.06</v>
      </c>
      <c r="BH212" s="65">
        <v>781.32</v>
      </c>
      <c r="BI212" s="65">
        <v>788.75</v>
      </c>
      <c r="BJ212" s="65">
        <v>784.33</v>
      </c>
      <c r="BK212" s="65">
        <v>791.51</v>
      </c>
      <c r="BL212" s="65">
        <v>800.13</v>
      </c>
      <c r="BM212" s="65">
        <v>810.29</v>
      </c>
      <c r="BN212" s="65">
        <v>819.66</v>
      </c>
      <c r="BO212" s="65">
        <v>829.13</v>
      </c>
      <c r="BP212" s="65">
        <v>6169.33</v>
      </c>
      <c r="BQ212" s="65">
        <v>6214.9</v>
      </c>
      <c r="BR212" s="65">
        <v>6290.46</v>
      </c>
      <c r="BS212" s="65">
        <v>6363.4</v>
      </c>
      <c r="BT212" s="88">
        <v>6426.57</v>
      </c>
      <c r="BU212" s="65">
        <v>117.01</v>
      </c>
      <c r="BV212" s="65">
        <v>117.06</v>
      </c>
      <c r="BW212" s="90">
        <v>117.09</v>
      </c>
      <c r="BX212" s="90">
        <v>117.12</v>
      </c>
      <c r="BY212" s="90" t="str">
        <f t="array" ref="BY212">XLOOKUP(C212,'PL TOTAL D0'!$A$3:$A$1991,'PL TOTAL D0'!$C$3:$C$1991,"")</f>
        <v/>
      </c>
    </row>
    <row r="213">
      <c r="A213" s="50" t="s">
        <v>24</v>
      </c>
      <c r="B213" s="176" t="s">
        <v>3780</v>
      </c>
      <c r="C213" s="94" t="s">
        <v>3781</v>
      </c>
      <c r="D213" s="81" t="s">
        <v>120</v>
      </c>
      <c r="E213" s="95" t="s">
        <v>54</v>
      </c>
      <c r="F213" s="81" t="s">
        <v>379</v>
      </c>
      <c r="G213" s="47" t="str">
        <f t="shared" si="13"/>
        <v>David</v>
      </c>
      <c r="H213" s="49" t="s">
        <v>224</v>
      </c>
      <c r="I213" s="49" t="s">
        <v>66</v>
      </c>
      <c r="J213" s="47" t="str">
        <f t="shared" si="15"/>
        <v>Sim</v>
      </c>
      <c r="K213" s="97">
        <v>44916.0</v>
      </c>
      <c r="L213" s="121">
        <v>46014.0</v>
      </c>
      <c r="M213" s="62" t="s">
        <v>34</v>
      </c>
      <c r="N213" s="98">
        <v>0.012</v>
      </c>
      <c r="O213" s="47" t="s">
        <v>66</v>
      </c>
      <c r="P213" s="99">
        <v>0.0</v>
      </c>
      <c r="Q213" s="58" t="s">
        <v>3785</v>
      </c>
      <c r="R213" s="70"/>
      <c r="S213" s="62" t="s">
        <v>194</v>
      </c>
      <c r="T213" s="32" t="s">
        <v>3786</v>
      </c>
      <c r="U213" s="33">
        <v>5.561981551012E12</v>
      </c>
      <c r="V213" s="33" t="s">
        <v>3787</v>
      </c>
      <c r="W213" s="34">
        <v>33758.0</v>
      </c>
      <c r="X213" s="23" t="s">
        <v>199</v>
      </c>
      <c r="Y213" s="49" t="str">
        <f t="shared" si="14"/>
        <v>Encerrado</v>
      </c>
      <c r="Z213" s="62"/>
      <c r="AA213" s="62"/>
      <c r="AB213" s="64" t="s">
        <v>244</v>
      </c>
      <c r="AC213" s="79"/>
      <c r="AD213" s="54">
        <v>44916.0</v>
      </c>
      <c r="AE213" s="77">
        <v>4.9075100005567E13</v>
      </c>
      <c r="AF213" s="79"/>
      <c r="AG213" s="79"/>
      <c r="AH213" s="65">
        <v>50145.2</v>
      </c>
      <c r="AI213" s="65">
        <v>238921.36</v>
      </c>
      <c r="AJ213" s="65">
        <v>240791.65</v>
      </c>
      <c r="AK213" s="65">
        <v>243357.27</v>
      </c>
      <c r="AL213" s="65">
        <v>245077.86</v>
      </c>
      <c r="AM213" s="65">
        <v>247554.61</v>
      </c>
      <c r="AN213" s="65">
        <v>249107.77</v>
      </c>
      <c r="AO213" s="65">
        <v>251183.31</v>
      </c>
      <c r="AP213" s="65">
        <v>253258.18</v>
      </c>
      <c r="AQ213" s="65">
        <v>254304.31</v>
      </c>
      <c r="AR213" s="65">
        <v>254816.15</v>
      </c>
      <c r="AS213" s="65">
        <v>258852.46</v>
      </c>
      <c r="AT213" s="65">
        <v>262315.47</v>
      </c>
      <c r="AU213" s="65">
        <v>261512.38</v>
      </c>
      <c r="AV213" s="65">
        <v>263682.22</v>
      </c>
      <c r="AW213" s="65">
        <v>265297.84</v>
      </c>
      <c r="AX213" s="65">
        <v>265059.79</v>
      </c>
      <c r="AY213" s="65">
        <v>265615.5</v>
      </c>
      <c r="AZ213" s="65">
        <v>267569.6</v>
      </c>
      <c r="BA213" s="65">
        <v>268870.1</v>
      </c>
      <c r="BB213" s="65">
        <v>271680.88</v>
      </c>
      <c r="BC213" s="65">
        <v>272364.76</v>
      </c>
      <c r="BD213" s="65">
        <v>272307.16</v>
      </c>
      <c r="BE213" s="65">
        <v>272558.72</v>
      </c>
      <c r="BF213" s="65">
        <v>273743.56</v>
      </c>
      <c r="BG213" s="65">
        <v>276305.61</v>
      </c>
      <c r="BH213" s="65">
        <v>278853.9</v>
      </c>
      <c r="BI213" s="65">
        <v>280794.7</v>
      </c>
      <c r="BJ213" s="65">
        <v>283388.96</v>
      </c>
      <c r="BK213" s="65">
        <v>285719.65</v>
      </c>
      <c r="BL213" s="65">
        <v>288524.21</v>
      </c>
      <c r="BM213" s="65">
        <v>291402.11</v>
      </c>
      <c r="BN213" s="65">
        <v>294173.4</v>
      </c>
      <c r="BO213" s="65">
        <v>297463.86</v>
      </c>
      <c r="BP213" s="65">
        <v>300830.6</v>
      </c>
      <c r="BQ213" s="65">
        <v>0.0</v>
      </c>
      <c r="BR213" s="65">
        <v>0.0</v>
      </c>
      <c r="BS213" s="65">
        <v>0.0</v>
      </c>
      <c r="BT213" s="88">
        <v>0.0</v>
      </c>
      <c r="BU213" s="65">
        <v>0.0</v>
      </c>
      <c r="BV213" s="65">
        <v>0.0</v>
      </c>
      <c r="BW213" s="90">
        <v>0.0</v>
      </c>
      <c r="BX213" s="90">
        <v>0.0</v>
      </c>
      <c r="BY213" s="90" t="str">
        <f t="array" ref="BY213">XLOOKUP(C213,'PL TOTAL D0'!$A$3:$A$1991,'PL TOTAL D0'!$C$3:$C$1991,"")</f>
        <v/>
      </c>
    </row>
    <row r="214" ht="15.75" customHeight="1">
      <c r="A214" s="50" t="s">
        <v>24</v>
      </c>
      <c r="B214" s="50" t="s">
        <v>3788</v>
      </c>
      <c r="C214" s="94" t="s">
        <v>3409</v>
      </c>
      <c r="D214" s="81" t="s">
        <v>120</v>
      </c>
      <c r="E214" s="95" t="s">
        <v>199</v>
      </c>
      <c r="F214" s="30" t="s">
        <v>290</v>
      </c>
      <c r="G214" s="47" t="str">
        <f t="shared" si="13"/>
        <v>David</v>
      </c>
      <c r="H214" s="74" t="s">
        <v>183</v>
      </c>
      <c r="I214" s="74" t="s">
        <v>66</v>
      </c>
      <c r="J214" s="47" t="str">
        <f t="shared" si="15"/>
        <v>Não</v>
      </c>
      <c r="K214" s="97">
        <v>44993.0</v>
      </c>
      <c r="L214" s="62"/>
      <c r="M214" s="62" t="s">
        <v>61</v>
      </c>
      <c r="N214" s="98">
        <v>0.012</v>
      </c>
      <c r="O214" s="47" t="s">
        <v>66</v>
      </c>
      <c r="P214" s="99">
        <v>0.0</v>
      </c>
      <c r="Q214" s="58"/>
      <c r="R214" s="58" t="s">
        <v>3791</v>
      </c>
      <c r="S214" s="62" t="s">
        <v>194</v>
      </c>
      <c r="T214" s="32" t="s">
        <v>3792</v>
      </c>
      <c r="U214" s="33">
        <v>6.19926599E10</v>
      </c>
      <c r="V214" s="33" t="s">
        <v>3793</v>
      </c>
      <c r="W214" s="34">
        <v>35185.0</v>
      </c>
      <c r="X214" s="23" t="s">
        <v>199</v>
      </c>
      <c r="Y214" s="49" t="str">
        <f t="shared" si="14"/>
        <v>Ativo</v>
      </c>
      <c r="Z214" s="62"/>
      <c r="AA214" s="62"/>
      <c r="AB214" s="64" t="s">
        <v>269</v>
      </c>
      <c r="AC214" s="79"/>
      <c r="AD214" s="54">
        <v>44993.0</v>
      </c>
      <c r="AE214" s="77">
        <v>4.9075100009503E13</v>
      </c>
      <c r="AF214" s="79"/>
      <c r="AG214" s="79"/>
      <c r="AH214" s="79"/>
      <c r="AI214" s="79"/>
      <c r="AJ214" s="79"/>
      <c r="AK214" s="65">
        <v>77129.59</v>
      </c>
      <c r="AL214" s="65">
        <v>59816.41</v>
      </c>
      <c r="AM214" s="65">
        <v>210494.19</v>
      </c>
      <c r="AN214" s="65">
        <v>194253.16</v>
      </c>
      <c r="AO214" s="65">
        <v>196307.12</v>
      </c>
      <c r="AP214" s="65">
        <v>196880.83</v>
      </c>
      <c r="AQ214" s="65">
        <v>191557.41</v>
      </c>
      <c r="AR214" s="65">
        <v>189585.81</v>
      </c>
      <c r="AS214" s="65">
        <v>185233.66</v>
      </c>
      <c r="AT214" s="65">
        <v>177840.36</v>
      </c>
      <c r="AU214" s="65">
        <v>180851.73</v>
      </c>
      <c r="AV214" s="65">
        <v>141458.68</v>
      </c>
      <c r="AW214" s="65">
        <v>137435.1</v>
      </c>
      <c r="AX214" s="65">
        <v>137408.65</v>
      </c>
      <c r="AY214" s="65">
        <v>131989.0</v>
      </c>
      <c r="AZ214" s="65">
        <v>120566.9</v>
      </c>
      <c r="BA214" s="65">
        <v>121656.4</v>
      </c>
      <c r="BB214" s="65">
        <v>58998.53</v>
      </c>
      <c r="BC214" s="65">
        <v>59430.12</v>
      </c>
      <c r="BD214" s="65">
        <v>59915.78</v>
      </c>
      <c r="BE214" s="65">
        <v>60339.62</v>
      </c>
      <c r="BF214" s="65">
        <v>60569.27</v>
      </c>
      <c r="BG214" s="65">
        <v>61183.68</v>
      </c>
      <c r="BH214" s="65">
        <v>61011.06</v>
      </c>
      <c r="BI214" s="65">
        <v>61664.53</v>
      </c>
      <c r="BJ214" s="65">
        <v>62206.28</v>
      </c>
      <c r="BK214" s="65">
        <v>62997.24</v>
      </c>
      <c r="BL214" s="65">
        <v>63710.5</v>
      </c>
      <c r="BM214" s="65">
        <v>64564.64</v>
      </c>
      <c r="BN214" s="65">
        <v>65335.29</v>
      </c>
      <c r="BO214" s="65">
        <v>66120.76</v>
      </c>
      <c r="BP214" s="65">
        <v>66826.06</v>
      </c>
      <c r="BQ214" s="65">
        <v>67469.31</v>
      </c>
      <c r="BR214" s="65">
        <v>68172.18</v>
      </c>
      <c r="BS214" s="65">
        <v>68956.16</v>
      </c>
      <c r="BT214" s="88">
        <v>69454.59</v>
      </c>
      <c r="BU214" s="65">
        <v>69921.31</v>
      </c>
      <c r="BV214" s="65">
        <v>70538.19</v>
      </c>
      <c r="BW214" s="90">
        <v>71450.32</v>
      </c>
      <c r="BX214" s="90">
        <v>72161.04</v>
      </c>
      <c r="BY214" s="90">
        <f t="array" ref="BY214">XLOOKUP(C214,'PL TOTAL D0'!$A$3:$A$1991,'PL TOTAL D0'!$C$3:$C$1991,"")</f>
        <v>65474.16</v>
      </c>
    </row>
    <row r="215" ht="15.75" customHeight="1">
      <c r="A215" s="50" t="s">
        <v>24</v>
      </c>
      <c r="B215" s="43" t="s">
        <v>3799</v>
      </c>
      <c r="C215" s="94" t="s">
        <v>3800</v>
      </c>
      <c r="D215" s="30" t="s">
        <v>249</v>
      </c>
      <c r="E215" s="22" t="s">
        <v>199</v>
      </c>
      <c r="F215" s="30" t="s">
        <v>251</v>
      </c>
      <c r="G215" s="47" t="str">
        <f t="shared" si="13"/>
        <v>David</v>
      </c>
      <c r="H215" s="49" t="s">
        <v>295</v>
      </c>
      <c r="I215" s="49" t="s">
        <v>382</v>
      </c>
      <c r="J215" s="47" t="str">
        <f t="shared" si="15"/>
        <v>Não</v>
      </c>
      <c r="K215" s="54">
        <v>45644.0</v>
      </c>
      <c r="L215" s="62"/>
      <c r="M215" s="32" t="s">
        <v>61</v>
      </c>
      <c r="N215" s="56">
        <v>0.012</v>
      </c>
      <c r="O215" s="23" t="s">
        <v>66</v>
      </c>
      <c r="P215" s="57">
        <v>0.0</v>
      </c>
      <c r="Q215" s="58"/>
      <c r="R215" s="58"/>
      <c r="S215" s="32" t="s">
        <v>234</v>
      </c>
      <c r="T215" s="32" t="s">
        <v>3801</v>
      </c>
      <c r="U215" s="33">
        <v>5.561992418098E12</v>
      </c>
      <c r="V215" s="33" t="s">
        <v>3802</v>
      </c>
      <c r="W215" s="34">
        <v>44725.0</v>
      </c>
      <c r="X215" s="23" t="s">
        <v>199</v>
      </c>
      <c r="Y215" s="49" t="str">
        <f t="shared" si="14"/>
        <v>Ativo</v>
      </c>
      <c r="Z215" s="62"/>
      <c r="AA215" s="32" t="s">
        <v>47</v>
      </c>
      <c r="AB215" s="64"/>
      <c r="AC215" s="79"/>
      <c r="AD215" s="54">
        <v>45707.0</v>
      </c>
      <c r="AE215" s="77">
        <v>4.9075100018316E13</v>
      </c>
      <c r="AF215" s="79"/>
      <c r="AG215" s="79"/>
      <c r="AH215" s="79"/>
      <c r="AI215" s="79"/>
      <c r="AJ215" s="79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>
        <v>0.0</v>
      </c>
      <c r="BG215" s="65">
        <v>0.0</v>
      </c>
      <c r="BH215" s="65">
        <v>30082.38</v>
      </c>
      <c r="BI215" s="65">
        <v>41888.96</v>
      </c>
      <c r="BJ215" s="65">
        <v>1.6</v>
      </c>
      <c r="BK215" s="65">
        <v>2.62</v>
      </c>
      <c r="BL215" s="65">
        <v>802.62</v>
      </c>
      <c r="BM215" s="65">
        <v>812.78</v>
      </c>
      <c r="BN215" s="65">
        <v>822.17</v>
      </c>
      <c r="BO215" s="65">
        <v>831.67</v>
      </c>
      <c r="BP215" s="65">
        <v>842.6</v>
      </c>
      <c r="BQ215" s="65">
        <v>844.1</v>
      </c>
      <c r="BR215" s="65">
        <v>854.36</v>
      </c>
      <c r="BS215" s="65">
        <v>864.27</v>
      </c>
      <c r="BT215" s="88">
        <v>872.85</v>
      </c>
      <c r="BU215" s="65">
        <v>883.48</v>
      </c>
      <c r="BV215" s="65">
        <v>893.02</v>
      </c>
      <c r="BW215" s="90">
        <v>893.8</v>
      </c>
      <c r="BX215" s="90">
        <v>903.21</v>
      </c>
      <c r="BY215" s="90" t="str">
        <f t="array" ref="BY215">XLOOKUP(C215,'PL TOTAL D0'!$A$3:$A$1991,'PL TOTAL D0'!$C$3:$C$1991,"")</f>
        <v/>
      </c>
    </row>
    <row r="216" ht="15.75" customHeight="1">
      <c r="A216" s="50" t="s">
        <v>24</v>
      </c>
      <c r="B216" s="50" t="s">
        <v>3805</v>
      </c>
      <c r="C216" s="94" t="s">
        <v>2947</v>
      </c>
      <c r="D216" s="30" t="s">
        <v>89</v>
      </c>
      <c r="E216" s="95" t="s">
        <v>91</v>
      </c>
      <c r="F216" s="81" t="s">
        <v>521</v>
      </c>
      <c r="G216" s="47" t="str">
        <f t="shared" si="13"/>
        <v>Gabriel</v>
      </c>
      <c r="H216" s="49" t="s">
        <v>183</v>
      </c>
      <c r="I216" s="49" t="s">
        <v>66</v>
      </c>
      <c r="J216" s="47" t="str">
        <f t="shared" si="15"/>
        <v>Não</v>
      </c>
      <c r="K216" s="97">
        <v>45166.0</v>
      </c>
      <c r="L216" s="189"/>
      <c r="M216" s="62" t="s">
        <v>209</v>
      </c>
      <c r="N216" s="98">
        <v>0.015</v>
      </c>
      <c r="O216" s="47" t="s">
        <v>35</v>
      </c>
      <c r="P216" s="99">
        <v>0.1</v>
      </c>
      <c r="Q216" s="58"/>
      <c r="R216" s="58" t="s">
        <v>3806</v>
      </c>
      <c r="S216" s="62" t="s">
        <v>194</v>
      </c>
      <c r="T216" s="32" t="s">
        <v>3807</v>
      </c>
      <c r="U216" s="33">
        <v>5.543991051108E12</v>
      </c>
      <c r="V216" s="33" t="s">
        <v>3808</v>
      </c>
      <c r="W216" s="34">
        <v>29444.0</v>
      </c>
      <c r="X216" s="23" t="s">
        <v>221</v>
      </c>
      <c r="Y216" s="49" t="str">
        <f t="shared" si="14"/>
        <v>Ativo</v>
      </c>
      <c r="Z216" s="62"/>
      <c r="AA216" s="62"/>
      <c r="AB216" s="64" t="s">
        <v>269</v>
      </c>
      <c r="AC216" s="79"/>
      <c r="AD216" s="54">
        <v>45166.0</v>
      </c>
      <c r="AE216" s="77">
        <v>4.9075100011273E13</v>
      </c>
      <c r="AF216" s="79"/>
      <c r="AG216" s="79"/>
      <c r="AH216" s="79"/>
      <c r="AI216" s="79"/>
      <c r="AJ216" s="79"/>
      <c r="AK216" s="79"/>
      <c r="AL216" s="65">
        <v>0.0</v>
      </c>
      <c r="AM216" s="65">
        <v>0.0</v>
      </c>
      <c r="AN216" s="65">
        <v>0.0</v>
      </c>
      <c r="AO216" s="65">
        <v>0.0</v>
      </c>
      <c r="AP216" s="65">
        <v>0.0</v>
      </c>
      <c r="AQ216" s="65">
        <v>407803.29</v>
      </c>
      <c r="AR216" s="65">
        <v>408062.01</v>
      </c>
      <c r="AS216" s="65">
        <v>417765.73</v>
      </c>
      <c r="AT216" s="65">
        <v>426540.4</v>
      </c>
      <c r="AU216" s="65">
        <v>419110.92</v>
      </c>
      <c r="AV216" s="65">
        <v>422670.41</v>
      </c>
      <c r="AW216" s="65">
        <v>427432.58</v>
      </c>
      <c r="AX216" s="65">
        <v>359025.64</v>
      </c>
      <c r="AY216" s="65">
        <v>357581.9</v>
      </c>
      <c r="AZ216" s="65">
        <v>359764.1</v>
      </c>
      <c r="BA216" s="65">
        <v>363834.6</v>
      </c>
      <c r="BB216" s="65">
        <v>367968.81</v>
      </c>
      <c r="BC216" s="65">
        <v>367450.21</v>
      </c>
      <c r="BD216" s="65">
        <v>364666.74</v>
      </c>
      <c r="BE216" s="65">
        <v>362596.1</v>
      </c>
      <c r="BF216" s="65">
        <v>362464.08</v>
      </c>
      <c r="BG216" s="65">
        <v>367721.05</v>
      </c>
      <c r="BH216" s="65">
        <v>371552.85</v>
      </c>
      <c r="BI216" s="65">
        <v>375343.8</v>
      </c>
      <c r="BJ216" s="65">
        <v>378087.66</v>
      </c>
      <c r="BK216" s="65">
        <v>383831.79</v>
      </c>
      <c r="BL216" s="65">
        <v>387232.79</v>
      </c>
      <c r="BM216" s="65">
        <v>389669.81</v>
      </c>
      <c r="BN216" s="65">
        <v>393608.7</v>
      </c>
      <c r="BO216" s="65">
        <v>398890.97</v>
      </c>
      <c r="BP216" s="65">
        <v>403581.7</v>
      </c>
      <c r="BQ216" s="65">
        <v>410212.2</v>
      </c>
      <c r="BR216" s="65">
        <v>413014.6</v>
      </c>
      <c r="BS216" s="65">
        <v>420035.7</v>
      </c>
      <c r="BT216" s="88">
        <v>424731.8</v>
      </c>
      <c r="BU216" s="65">
        <v>429171.4</v>
      </c>
      <c r="BV216" s="65">
        <v>433144.6</v>
      </c>
      <c r="BW216" s="90">
        <v>429511.6</v>
      </c>
      <c r="BX216" s="90">
        <v>449419.81</v>
      </c>
      <c r="BY216" s="90">
        <f t="array" ref="BY216">XLOOKUP(C216,'PL TOTAL D0'!$A$3:$A$1991,'PL TOTAL D0'!$C$3:$C$1991,"")</f>
        <v>437853.2</v>
      </c>
    </row>
    <row r="217" ht="15.75" customHeight="1">
      <c r="A217" s="50" t="s">
        <v>24</v>
      </c>
      <c r="B217" s="50" t="s">
        <v>3811</v>
      </c>
      <c r="C217" s="94" t="s">
        <v>3005</v>
      </c>
      <c r="D217" s="30" t="s">
        <v>89</v>
      </c>
      <c r="E217" s="95" t="s">
        <v>91</v>
      </c>
      <c r="F217" s="81" t="s">
        <v>521</v>
      </c>
      <c r="G217" s="47" t="str">
        <f t="shared" si="13"/>
        <v>Gabriel</v>
      </c>
      <c r="H217" s="49" t="s">
        <v>183</v>
      </c>
      <c r="I217" s="49" t="s">
        <v>66</v>
      </c>
      <c r="J217" s="47" t="str">
        <f t="shared" si="15"/>
        <v>Sim</v>
      </c>
      <c r="K217" s="97">
        <v>45141.0</v>
      </c>
      <c r="L217" s="189"/>
      <c r="M217" s="62" t="s">
        <v>61</v>
      </c>
      <c r="N217" s="98">
        <v>0.012</v>
      </c>
      <c r="O217" s="47" t="s">
        <v>66</v>
      </c>
      <c r="P217" s="99">
        <v>0.0</v>
      </c>
      <c r="Q217" s="58" t="s">
        <v>3813</v>
      </c>
      <c r="R217" s="70"/>
      <c r="S217" s="62" t="s">
        <v>194</v>
      </c>
      <c r="T217" s="32" t="s">
        <v>3814</v>
      </c>
      <c r="U217" s="33">
        <v>5.543991572489E12</v>
      </c>
      <c r="V217" s="33" t="s">
        <v>3815</v>
      </c>
      <c r="W217" s="34">
        <v>31486.0</v>
      </c>
      <c r="X217" s="23" t="s">
        <v>221</v>
      </c>
      <c r="Y217" s="49" t="str">
        <f t="shared" si="14"/>
        <v>Ativo</v>
      </c>
      <c r="Z217" s="62"/>
      <c r="AA217" s="62"/>
      <c r="AB217" s="64" t="s">
        <v>269</v>
      </c>
      <c r="AC217" s="79"/>
      <c r="AD217" s="54">
        <v>45141.0</v>
      </c>
      <c r="AE217" s="77">
        <v>4.9075100010137E13</v>
      </c>
      <c r="AF217" s="79"/>
      <c r="AG217" s="79"/>
      <c r="AH217" s="79"/>
      <c r="AI217" s="79"/>
      <c r="AJ217" s="79"/>
      <c r="AK217" s="79"/>
      <c r="AL217" s="79"/>
      <c r="AM217" s="79"/>
      <c r="AN217" s="65">
        <v>0.0</v>
      </c>
      <c r="AO217" s="65">
        <v>0.0</v>
      </c>
      <c r="AP217" s="65">
        <v>338513.34</v>
      </c>
      <c r="AQ217" s="65">
        <v>341132.31</v>
      </c>
      <c r="AR217" s="65">
        <v>343653.3</v>
      </c>
      <c r="AS217" s="65">
        <v>346154.34</v>
      </c>
      <c r="AT217" s="65">
        <v>348818.11</v>
      </c>
      <c r="AU217" s="65">
        <v>351930.36</v>
      </c>
      <c r="AV217" s="65">
        <v>303944.09</v>
      </c>
      <c r="AW217" s="65">
        <v>306615.91</v>
      </c>
      <c r="AX217" s="65">
        <v>309264.16</v>
      </c>
      <c r="AY217" s="65">
        <v>311423.6</v>
      </c>
      <c r="AZ217" s="65">
        <v>313912.0</v>
      </c>
      <c r="BA217" s="65">
        <v>316317.2</v>
      </c>
      <c r="BB217" s="65">
        <v>317999.11</v>
      </c>
      <c r="BC217" s="65">
        <v>318753.21</v>
      </c>
      <c r="BD217" s="65">
        <v>321296.2</v>
      </c>
      <c r="BE217" s="65">
        <v>401692.39</v>
      </c>
      <c r="BF217" s="65">
        <v>415218.97</v>
      </c>
      <c r="BG217" s="65">
        <v>420331.01</v>
      </c>
      <c r="BH217" s="65">
        <v>423584.65</v>
      </c>
      <c r="BI217" s="65">
        <v>427944.52</v>
      </c>
      <c r="BJ217" s="65">
        <v>431729.86</v>
      </c>
      <c r="BK217" s="65">
        <v>435369.86</v>
      </c>
      <c r="BL217" s="65">
        <v>439195.42</v>
      </c>
      <c r="BM217" s="65">
        <v>442975.18</v>
      </c>
      <c r="BN217" s="65">
        <v>447438.7</v>
      </c>
      <c r="BO217" s="65">
        <v>451030.02</v>
      </c>
      <c r="BP217" s="65">
        <v>456282.5</v>
      </c>
      <c r="BQ217" s="65">
        <v>460031.3</v>
      </c>
      <c r="BR217" s="65">
        <v>464364.3</v>
      </c>
      <c r="BS217" s="65">
        <v>538680.27</v>
      </c>
      <c r="BT217" s="88">
        <v>543023.9</v>
      </c>
      <c r="BU217" s="65">
        <v>490641.1</v>
      </c>
      <c r="BV217" s="65">
        <v>442137.7</v>
      </c>
      <c r="BW217" s="90">
        <v>392351.5</v>
      </c>
      <c r="BX217" s="90">
        <v>345474.9</v>
      </c>
      <c r="BY217" s="90">
        <f t="array" ref="BY217">XLOOKUP(C217,'PL TOTAL D0'!$A$3:$A$1991,'PL TOTAL D0'!$C$3:$C$1991,"")</f>
        <v>349465.72</v>
      </c>
    </row>
    <row r="218" ht="15.75" customHeight="1">
      <c r="A218" s="50" t="s">
        <v>24</v>
      </c>
      <c r="B218" s="50" t="s">
        <v>3811</v>
      </c>
      <c r="C218" s="94" t="s">
        <v>3817</v>
      </c>
      <c r="D218" s="30" t="s">
        <v>89</v>
      </c>
      <c r="E218" s="95" t="s">
        <v>91</v>
      </c>
      <c r="F218" s="81" t="s">
        <v>521</v>
      </c>
      <c r="G218" s="47" t="str">
        <f t="shared" si="13"/>
        <v>David</v>
      </c>
      <c r="H218" s="49" t="s">
        <v>224</v>
      </c>
      <c r="I218" s="49" t="s">
        <v>66</v>
      </c>
      <c r="J218" s="47" t="str">
        <f t="shared" si="15"/>
        <v>Não</v>
      </c>
      <c r="K218" s="97">
        <v>45140.0</v>
      </c>
      <c r="L218" s="186">
        <v>45769.0</v>
      </c>
      <c r="M218" s="62" t="s">
        <v>231</v>
      </c>
      <c r="N218" s="98">
        <v>0.025</v>
      </c>
      <c r="O218" s="23" t="s">
        <v>233</v>
      </c>
      <c r="P218" s="99">
        <v>0.2</v>
      </c>
      <c r="Q218" s="58"/>
      <c r="R218" s="70"/>
      <c r="S218" s="62" t="s">
        <v>194</v>
      </c>
      <c r="T218" s="32" t="s">
        <v>3814</v>
      </c>
      <c r="U218" s="33" t="s">
        <v>268</v>
      </c>
      <c r="V218" s="33"/>
      <c r="W218" s="33" t="s">
        <v>268</v>
      </c>
      <c r="X218" s="23" t="s">
        <v>221</v>
      </c>
      <c r="Y218" s="49" t="str">
        <f t="shared" si="14"/>
        <v>Encerrado</v>
      </c>
      <c r="Z218" s="62"/>
      <c r="AA218" s="62"/>
      <c r="AB218" s="64" t="s">
        <v>269</v>
      </c>
      <c r="AC218" s="79"/>
      <c r="AD218" s="54">
        <v>45140.0</v>
      </c>
      <c r="AE218" s="77">
        <v>4.9075100010129E13</v>
      </c>
      <c r="AF218" s="79"/>
      <c r="AG218" s="79"/>
      <c r="AH218" s="79"/>
      <c r="AI218" s="79"/>
      <c r="AJ218" s="79"/>
      <c r="AK218" s="79"/>
      <c r="AL218" s="79"/>
      <c r="AM218" s="79"/>
      <c r="AN218" s="65">
        <v>0.0</v>
      </c>
      <c r="AO218" s="65">
        <v>0.0</v>
      </c>
      <c r="AP218" s="65">
        <v>52239.98</v>
      </c>
      <c r="AQ218" s="65">
        <v>52067.87</v>
      </c>
      <c r="AR218" s="65">
        <v>49764.17</v>
      </c>
      <c r="AS218" s="65">
        <v>53464.25</v>
      </c>
      <c r="AT218" s="65">
        <v>56014.37</v>
      </c>
      <c r="AU218" s="65">
        <v>52137.23</v>
      </c>
      <c r="AV218" s="65">
        <v>102726.79</v>
      </c>
      <c r="AW218" s="65">
        <v>104501.31</v>
      </c>
      <c r="AX218" s="65">
        <v>99995.86</v>
      </c>
      <c r="AY218" s="65">
        <v>96913.29</v>
      </c>
      <c r="AZ218" s="65">
        <v>97073.17</v>
      </c>
      <c r="BA218" s="65">
        <v>99693.53</v>
      </c>
      <c r="BB218" s="65">
        <v>101737.29</v>
      </c>
      <c r="BC218" s="65">
        <v>99690.01</v>
      </c>
      <c r="BD218" s="65">
        <v>95452.98</v>
      </c>
      <c r="BE218" s="65">
        <v>13295.4</v>
      </c>
      <c r="BF218" s="65">
        <v>594.07</v>
      </c>
      <c r="BG218" s="65">
        <v>0.0</v>
      </c>
      <c r="BH218" s="65">
        <v>0.0</v>
      </c>
      <c r="BI218" s="65">
        <v>0.0</v>
      </c>
      <c r="BJ218" s="65">
        <v>0.0</v>
      </c>
      <c r="BK218" s="65">
        <v>0.0</v>
      </c>
      <c r="BL218" s="65">
        <v>0.0</v>
      </c>
      <c r="BM218" s="65">
        <v>0.0</v>
      </c>
      <c r="BN218" s="65">
        <v>0.0</v>
      </c>
      <c r="BO218" s="65">
        <v>0.0</v>
      </c>
      <c r="BP218" s="65">
        <v>0.0</v>
      </c>
      <c r="BQ218" s="65">
        <v>0.0</v>
      </c>
      <c r="BR218" s="65">
        <v>0.0</v>
      </c>
      <c r="BS218" s="65">
        <v>0.0</v>
      </c>
      <c r="BT218" s="88">
        <v>0.0</v>
      </c>
      <c r="BU218" s="65">
        <v>0.0</v>
      </c>
      <c r="BV218" s="65">
        <v>0.0</v>
      </c>
      <c r="BW218" s="90">
        <v>0.0</v>
      </c>
      <c r="BX218" s="90">
        <v>0.0</v>
      </c>
      <c r="BY218" s="90" t="str">
        <f t="array" ref="BY218">XLOOKUP(C218,'PL TOTAL D0'!$A$3:$A$1991,'PL TOTAL D0'!$C$3:$C$1991,"")</f>
        <v/>
      </c>
    </row>
    <row r="219" ht="15.75" customHeight="1">
      <c r="A219" s="50" t="s">
        <v>24</v>
      </c>
      <c r="B219" s="43" t="s">
        <v>3821</v>
      </c>
      <c r="C219" s="94" t="s">
        <v>3084</v>
      </c>
      <c r="D219" s="30" t="s">
        <v>89</v>
      </c>
      <c r="E219" s="95" t="s">
        <v>91</v>
      </c>
      <c r="F219" s="81" t="s">
        <v>521</v>
      </c>
      <c r="G219" s="47" t="str">
        <f t="shared" si="13"/>
        <v>Gabriel</v>
      </c>
      <c r="H219" s="49" t="s">
        <v>183</v>
      </c>
      <c r="I219" s="49" t="s">
        <v>66</v>
      </c>
      <c r="J219" s="47" t="str">
        <f t="shared" si="15"/>
        <v>Sim</v>
      </c>
      <c r="K219" s="54">
        <v>45677.0</v>
      </c>
      <c r="L219" s="189"/>
      <c r="M219" s="32" t="s">
        <v>61</v>
      </c>
      <c r="N219" s="56">
        <v>0.012</v>
      </c>
      <c r="O219" s="23" t="s">
        <v>66</v>
      </c>
      <c r="P219" s="57">
        <v>0.0</v>
      </c>
      <c r="Q219" s="58" t="s">
        <v>3823</v>
      </c>
      <c r="R219" s="70"/>
      <c r="S219" s="32" t="s">
        <v>194</v>
      </c>
      <c r="T219" s="32" t="s">
        <v>653</v>
      </c>
      <c r="U219" s="33">
        <v>5.543996091E12</v>
      </c>
      <c r="V219" s="33" t="s">
        <v>3824</v>
      </c>
      <c r="W219" s="34">
        <v>17415.0</v>
      </c>
      <c r="X219" s="23" t="s">
        <v>221</v>
      </c>
      <c r="Y219" s="49" t="str">
        <f t="shared" si="14"/>
        <v>Ativo</v>
      </c>
      <c r="Z219" s="62"/>
      <c r="AA219" s="32" t="s">
        <v>107</v>
      </c>
      <c r="AB219" s="64"/>
      <c r="AC219" s="79"/>
      <c r="AD219" s="54">
        <v>45677.0</v>
      </c>
      <c r="AE219" s="77">
        <v>4.9075100017557E13</v>
      </c>
      <c r="AF219" s="79"/>
      <c r="AG219" s="79"/>
      <c r="AH219" s="79"/>
      <c r="AI219" s="79"/>
      <c r="AJ219" s="79"/>
      <c r="AK219" s="79"/>
      <c r="AL219" s="79"/>
      <c r="AM219" s="79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>
        <v>0.0</v>
      </c>
      <c r="BH219" s="65">
        <v>0.0</v>
      </c>
      <c r="BI219" s="65">
        <v>0.0</v>
      </c>
      <c r="BJ219" s="65">
        <v>123109.44</v>
      </c>
      <c r="BK219" s="65">
        <v>177385.67</v>
      </c>
      <c r="BL219" s="65">
        <v>176417.82</v>
      </c>
      <c r="BM219" s="65">
        <v>176081.87</v>
      </c>
      <c r="BN219" s="65">
        <v>340376.7</v>
      </c>
      <c r="BO219" s="65">
        <v>336572.79</v>
      </c>
      <c r="BP219" s="65">
        <v>333468.5</v>
      </c>
      <c r="BQ219" s="65">
        <v>328636.6</v>
      </c>
      <c r="BR219" s="65">
        <v>317528.8</v>
      </c>
      <c r="BS219" s="65">
        <v>320955.32</v>
      </c>
      <c r="BT219" s="88">
        <v>314948.1</v>
      </c>
      <c r="BU219" s="65">
        <v>286775.9</v>
      </c>
      <c r="BV219" s="65">
        <v>283258.8</v>
      </c>
      <c r="BW219" s="90">
        <v>279882.1</v>
      </c>
      <c r="BX219" s="90">
        <v>275745.67</v>
      </c>
      <c r="BY219" s="90">
        <f t="array" ref="BY219">XLOOKUP(C219,'PL TOTAL D0'!$A$3:$A$1991,'PL TOTAL D0'!$C$3:$C$1991,"")</f>
        <v>266713.89</v>
      </c>
    </row>
    <row r="220" ht="15.75" customHeight="1">
      <c r="A220" s="50" t="s">
        <v>24</v>
      </c>
      <c r="B220" s="50" t="s">
        <v>3827</v>
      </c>
      <c r="C220" s="94" t="s">
        <v>3828</v>
      </c>
      <c r="D220" s="81" t="s">
        <v>120</v>
      </c>
      <c r="E220" s="95" t="s">
        <v>199</v>
      </c>
      <c r="F220" s="81" t="s">
        <v>290</v>
      </c>
      <c r="G220" s="47" t="str">
        <f t="shared" si="13"/>
        <v>David</v>
      </c>
      <c r="H220" s="49" t="s">
        <v>295</v>
      </c>
      <c r="I220" s="49" t="s">
        <v>382</v>
      </c>
      <c r="J220" s="47" t="str">
        <f t="shared" si="15"/>
        <v>Não</v>
      </c>
      <c r="K220" s="97">
        <v>45264.0</v>
      </c>
      <c r="L220" s="189"/>
      <c r="M220" s="66" t="s">
        <v>557</v>
      </c>
      <c r="N220" s="98">
        <v>0.007</v>
      </c>
      <c r="O220" s="47" t="s">
        <v>66</v>
      </c>
      <c r="P220" s="99">
        <v>0.0</v>
      </c>
      <c r="Q220" s="58"/>
      <c r="R220" s="70"/>
      <c r="S220" s="62" t="s">
        <v>194</v>
      </c>
      <c r="T220" s="32" t="s">
        <v>3829</v>
      </c>
      <c r="U220" s="33">
        <v>5.561981419401E12</v>
      </c>
      <c r="V220" s="33" t="s">
        <v>3374</v>
      </c>
      <c r="W220" s="34">
        <v>43246.0</v>
      </c>
      <c r="X220" s="23" t="s">
        <v>199</v>
      </c>
      <c r="Y220" s="49" t="str">
        <f t="shared" si="14"/>
        <v>Inativo</v>
      </c>
      <c r="Z220" s="62"/>
      <c r="AA220" s="62"/>
      <c r="AB220" s="64" t="s">
        <v>269</v>
      </c>
      <c r="AC220" s="79"/>
      <c r="AD220" s="54">
        <v>45264.0</v>
      </c>
      <c r="AE220" s="77">
        <v>4.9075100012946E13</v>
      </c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65">
        <v>0.0</v>
      </c>
      <c r="AT220" s="65">
        <v>0.0</v>
      </c>
      <c r="AU220" s="65">
        <v>0.0</v>
      </c>
      <c r="AV220" s="65">
        <v>0.0</v>
      </c>
      <c r="AW220" s="65">
        <v>0.0</v>
      </c>
      <c r="AX220" s="65">
        <v>0.0</v>
      </c>
      <c r="AY220" s="65">
        <v>0.0</v>
      </c>
      <c r="AZ220" s="65">
        <v>0.0</v>
      </c>
      <c r="BA220" s="65">
        <v>0.0</v>
      </c>
      <c r="BB220" s="65">
        <v>0.0</v>
      </c>
      <c r="BC220" s="65">
        <v>0.0</v>
      </c>
      <c r="BD220" s="65">
        <v>0.0</v>
      </c>
      <c r="BE220" s="65">
        <v>0.0</v>
      </c>
      <c r="BF220" s="65">
        <v>0.0</v>
      </c>
      <c r="BG220" s="65">
        <v>0.0</v>
      </c>
      <c r="BH220" s="65">
        <v>0.0</v>
      </c>
      <c r="BI220" s="65">
        <v>0.0</v>
      </c>
      <c r="BJ220" s="65">
        <v>0.0</v>
      </c>
      <c r="BK220" s="65">
        <v>0.0</v>
      </c>
      <c r="BL220" s="65">
        <v>0.0</v>
      </c>
      <c r="BM220" s="65">
        <v>0.0</v>
      </c>
      <c r="BN220" s="65">
        <v>0.0</v>
      </c>
      <c r="BO220" s="65">
        <v>0.0</v>
      </c>
      <c r="BP220" s="65">
        <v>0.0</v>
      </c>
      <c r="BQ220" s="65">
        <v>0.0</v>
      </c>
      <c r="BR220" s="65">
        <v>0.0</v>
      </c>
      <c r="BS220" s="65">
        <v>0.0</v>
      </c>
      <c r="BT220" s="88">
        <v>0.0</v>
      </c>
      <c r="BU220" s="65">
        <v>0.0</v>
      </c>
      <c r="BV220" s="65">
        <v>0.0</v>
      </c>
      <c r="BW220" s="90">
        <v>0.0</v>
      </c>
      <c r="BX220" s="90">
        <v>0.0</v>
      </c>
      <c r="BY220" s="90" t="str">
        <f t="array" ref="BY220">XLOOKUP(C220,'PL TOTAL D0'!$A$3:$A$1991,'PL TOTAL D0'!$C$3:$C$1991,"")</f>
        <v/>
      </c>
    </row>
    <row r="221" ht="15.75" customHeight="1">
      <c r="A221" s="50" t="s">
        <v>24</v>
      </c>
      <c r="B221" s="191" t="s">
        <v>3831</v>
      </c>
      <c r="C221" s="94" t="s">
        <v>3832</v>
      </c>
      <c r="D221" s="81" t="s">
        <v>255</v>
      </c>
      <c r="E221" s="95" t="s">
        <v>199</v>
      </c>
      <c r="F221" s="81" t="s">
        <v>257</v>
      </c>
      <c r="G221" s="47" t="str">
        <f t="shared" si="13"/>
        <v>David</v>
      </c>
      <c r="H221" s="49" t="s">
        <v>295</v>
      </c>
      <c r="I221" s="49" t="s">
        <v>382</v>
      </c>
      <c r="J221" s="47" t="str">
        <f t="shared" si="15"/>
        <v>Não</v>
      </c>
      <c r="K221" s="97">
        <v>45189.0</v>
      </c>
      <c r="L221" s="189"/>
      <c r="M221" s="62" t="s">
        <v>34</v>
      </c>
      <c r="N221" s="98">
        <v>0.012</v>
      </c>
      <c r="O221" s="47" t="s">
        <v>35</v>
      </c>
      <c r="P221" s="99">
        <v>0.1</v>
      </c>
      <c r="Q221" s="58"/>
      <c r="R221" s="70"/>
      <c r="S221" s="62" t="s">
        <v>194</v>
      </c>
      <c r="T221" s="32" t="s">
        <v>3833</v>
      </c>
      <c r="U221" s="33">
        <v>6.1981771672E10</v>
      </c>
      <c r="V221" s="33" t="s">
        <v>3834</v>
      </c>
      <c r="W221" s="34">
        <v>24644.0</v>
      </c>
      <c r="X221" s="23" t="s">
        <v>199</v>
      </c>
      <c r="Y221" s="49" t="str">
        <f t="shared" si="14"/>
        <v>Ativo</v>
      </c>
      <c r="Z221" s="62"/>
      <c r="AA221" s="62"/>
      <c r="AB221" s="64" t="s">
        <v>269</v>
      </c>
      <c r="AC221" s="79"/>
      <c r="AD221" s="54">
        <v>45189.0</v>
      </c>
      <c r="AE221" s="77">
        <v>4.9075100011281E13</v>
      </c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65">
        <v>110342.23</v>
      </c>
      <c r="AR221" s="65">
        <v>111394.25</v>
      </c>
      <c r="AS221" s="65">
        <v>112217.82</v>
      </c>
      <c r="AT221" s="65">
        <v>112923.13</v>
      </c>
      <c r="AU221" s="65">
        <v>117879.39</v>
      </c>
      <c r="AV221" s="65">
        <v>118972.12</v>
      </c>
      <c r="AW221" s="65">
        <v>119862.32</v>
      </c>
      <c r="AX221" s="65">
        <v>119821.94</v>
      </c>
      <c r="AY221" s="65">
        <v>120079.5</v>
      </c>
      <c r="AZ221" s="65">
        <v>112.72</v>
      </c>
      <c r="BA221" s="65">
        <v>112.71</v>
      </c>
      <c r="BB221" s="65">
        <v>112.86</v>
      </c>
      <c r="BC221" s="65">
        <v>112.85</v>
      </c>
      <c r="BD221" s="65">
        <v>112.85</v>
      </c>
      <c r="BE221" s="65">
        <v>112.85</v>
      </c>
      <c r="BF221" s="65">
        <v>112.85</v>
      </c>
      <c r="BG221" s="65">
        <v>112.85</v>
      </c>
      <c r="BH221" s="65">
        <v>112.85</v>
      </c>
      <c r="BI221" s="65">
        <v>112.85</v>
      </c>
      <c r="BJ221" s="65">
        <v>112.85</v>
      </c>
      <c r="BK221" s="65">
        <v>112.85</v>
      </c>
      <c r="BL221" s="65">
        <v>112.85</v>
      </c>
      <c r="BM221" s="65">
        <v>112.85</v>
      </c>
      <c r="BN221" s="65">
        <v>112.85</v>
      </c>
      <c r="BO221" s="65">
        <v>112.85</v>
      </c>
      <c r="BP221" s="65">
        <v>112.85</v>
      </c>
      <c r="BQ221" s="65">
        <v>112.85</v>
      </c>
      <c r="BR221" s="65">
        <v>112.85</v>
      </c>
      <c r="BS221" s="65">
        <v>113.59</v>
      </c>
      <c r="BT221" s="88">
        <v>114.71</v>
      </c>
      <c r="BU221" s="65">
        <v>116.12</v>
      </c>
      <c r="BV221" s="65">
        <v>117.37</v>
      </c>
      <c r="BW221" s="90">
        <v>117.78</v>
      </c>
      <c r="BX221" s="90">
        <v>119.02</v>
      </c>
      <c r="BY221" s="90" t="str">
        <f t="array" ref="BY221">XLOOKUP(C221,'PL TOTAL D0'!$A$3:$A$1991,'PL TOTAL D0'!$C$3:$C$1991,"")</f>
        <v/>
      </c>
    </row>
    <row r="222" ht="15.75" customHeight="1">
      <c r="A222" s="50" t="s">
        <v>24</v>
      </c>
      <c r="B222" s="50" t="s">
        <v>3837</v>
      </c>
      <c r="C222" s="94" t="s">
        <v>3239</v>
      </c>
      <c r="D222" s="81" t="s">
        <v>120</v>
      </c>
      <c r="E222" s="95" t="s">
        <v>475</v>
      </c>
      <c r="F222" s="81" t="s">
        <v>1658</v>
      </c>
      <c r="G222" s="47" t="str">
        <f t="shared" si="13"/>
        <v>David</v>
      </c>
      <c r="H222" s="74" t="s">
        <v>183</v>
      </c>
      <c r="I222" s="74" t="s">
        <v>66</v>
      </c>
      <c r="J222" s="47" t="str">
        <f t="shared" si="15"/>
        <v>Não</v>
      </c>
      <c r="K222" s="97">
        <v>44952.0</v>
      </c>
      <c r="L222" s="62"/>
      <c r="M222" s="62" t="s">
        <v>209</v>
      </c>
      <c r="N222" s="98">
        <v>0.015</v>
      </c>
      <c r="O222" s="47" t="s">
        <v>35</v>
      </c>
      <c r="P222" s="99">
        <v>0.1</v>
      </c>
      <c r="Q222" s="58"/>
      <c r="R222" s="70"/>
      <c r="S222" s="62" t="s">
        <v>194</v>
      </c>
      <c r="T222" s="32" t="s">
        <v>3835</v>
      </c>
      <c r="U222" s="33">
        <v>5.513981099292E12</v>
      </c>
      <c r="V222" s="33" t="s">
        <v>3838</v>
      </c>
      <c r="W222" s="34">
        <v>15236.0</v>
      </c>
      <c r="X222" s="23" t="s">
        <v>475</v>
      </c>
      <c r="Y222" s="49" t="str">
        <f t="shared" si="14"/>
        <v>Ativo</v>
      </c>
      <c r="Z222" s="62"/>
      <c r="AA222" s="62"/>
      <c r="AB222" s="64" t="s">
        <v>269</v>
      </c>
      <c r="AC222" s="79"/>
      <c r="AD222" s="54">
        <v>44952.0</v>
      </c>
      <c r="AE222" s="77">
        <v>4.9075100005575E13</v>
      </c>
      <c r="AF222" s="79"/>
      <c r="AG222" s="79"/>
      <c r="AH222" s="79"/>
      <c r="AI222" s="65">
        <v>11476.59</v>
      </c>
      <c r="AJ222" s="65">
        <v>56393.03</v>
      </c>
      <c r="AK222" s="65">
        <v>100741.71</v>
      </c>
      <c r="AL222" s="65">
        <v>130309.69</v>
      </c>
      <c r="AM222" s="65">
        <v>131947.19</v>
      </c>
      <c r="AN222" s="65">
        <v>134395.32</v>
      </c>
      <c r="AO222" s="65">
        <v>135329.99</v>
      </c>
      <c r="AP222" s="65">
        <v>134736.77</v>
      </c>
      <c r="AQ222" s="65">
        <v>135367.96</v>
      </c>
      <c r="AR222" s="65">
        <v>135090.37</v>
      </c>
      <c r="AS222" s="65">
        <v>138094.13</v>
      </c>
      <c r="AT222" s="65">
        <v>140826.88</v>
      </c>
      <c r="AU222" s="65">
        <v>138732.48</v>
      </c>
      <c r="AV222" s="65">
        <v>140072.31</v>
      </c>
      <c r="AW222" s="65">
        <v>141341.87</v>
      </c>
      <c r="AX222" s="65">
        <v>139947.76</v>
      </c>
      <c r="AY222" s="65">
        <v>140100.9</v>
      </c>
      <c r="AZ222" s="65">
        <v>140925.9</v>
      </c>
      <c r="BA222" s="65">
        <v>142899.7</v>
      </c>
      <c r="BB222" s="65">
        <v>144651.42</v>
      </c>
      <c r="BC222" s="65">
        <v>144533.53</v>
      </c>
      <c r="BD222" s="65">
        <v>139613.75</v>
      </c>
      <c r="BE222" s="65">
        <v>138714.38</v>
      </c>
      <c r="BF222" s="65">
        <v>138712.33</v>
      </c>
      <c r="BG222" s="65">
        <v>140474.3</v>
      </c>
      <c r="BH222" s="65">
        <v>136701.73</v>
      </c>
      <c r="BI222" s="65">
        <v>134852.01</v>
      </c>
      <c r="BJ222" s="65">
        <v>135203.62</v>
      </c>
      <c r="BK222" s="65">
        <v>138104.02</v>
      </c>
      <c r="BL222" s="65">
        <v>136101.13</v>
      </c>
      <c r="BM222" s="65">
        <v>137058.79</v>
      </c>
      <c r="BN222" s="65">
        <v>138484.2</v>
      </c>
      <c r="BO222" s="65">
        <v>140208.7</v>
      </c>
      <c r="BP222" s="65">
        <v>141476.1</v>
      </c>
      <c r="BQ222" s="65">
        <v>143955.2</v>
      </c>
      <c r="BR222" s="65">
        <v>145356.6</v>
      </c>
      <c r="BS222" s="65">
        <v>142872.05</v>
      </c>
      <c r="BT222" s="88">
        <v>144491.8</v>
      </c>
      <c r="BU222" s="65">
        <v>143362.6</v>
      </c>
      <c r="BV222" s="65">
        <v>142076.6</v>
      </c>
      <c r="BW222" s="90">
        <v>140772.0</v>
      </c>
      <c r="BX222" s="90">
        <v>139737.37</v>
      </c>
      <c r="BY222" s="90">
        <f t="array" ref="BY222">XLOOKUP(C222,'PL TOTAL D0'!$A$3:$A$1991,'PL TOTAL D0'!$C$3:$C$1991,"")</f>
        <v>140753.71</v>
      </c>
    </row>
    <row r="223" ht="15.75" customHeight="1">
      <c r="A223" s="50" t="s">
        <v>24</v>
      </c>
      <c r="B223" s="43" t="s">
        <v>3842</v>
      </c>
      <c r="C223" s="53" t="s">
        <v>3308</v>
      </c>
      <c r="D223" s="30" t="s">
        <v>3843</v>
      </c>
      <c r="E223" s="22" t="s">
        <v>54</v>
      </c>
      <c r="F223" s="30" t="s">
        <v>3844</v>
      </c>
      <c r="G223" s="47" t="str">
        <f t="shared" si="13"/>
        <v>David</v>
      </c>
      <c r="H223" s="49" t="s">
        <v>183</v>
      </c>
      <c r="I223" s="49" t="s">
        <v>66</v>
      </c>
      <c r="J223" s="47" t="str">
        <f t="shared" si="15"/>
        <v>Não</v>
      </c>
      <c r="K223" s="54">
        <v>46122.0</v>
      </c>
      <c r="L223" s="32"/>
      <c r="M223" s="32" t="s">
        <v>61</v>
      </c>
      <c r="N223" s="56">
        <v>0.012</v>
      </c>
      <c r="O223" s="23" t="s">
        <v>66</v>
      </c>
      <c r="P223" s="57">
        <v>0.0</v>
      </c>
      <c r="Q223" s="58"/>
      <c r="R223" s="70"/>
      <c r="S223" s="32" t="s">
        <v>194</v>
      </c>
      <c r="T223" s="32" t="s">
        <v>3845</v>
      </c>
      <c r="U223" s="33" t="s">
        <v>3846</v>
      </c>
      <c r="V223" s="33" t="s">
        <v>3847</v>
      </c>
      <c r="W223" s="34">
        <v>28299.0</v>
      </c>
      <c r="X223" s="23" t="s">
        <v>54</v>
      </c>
      <c r="Y223" s="49" t="str">
        <f t="shared" si="14"/>
        <v>Ativo</v>
      </c>
      <c r="Z223" s="62"/>
      <c r="AA223" s="32" t="s">
        <v>47</v>
      </c>
      <c r="AB223" s="64"/>
      <c r="AC223" s="79"/>
      <c r="AD223" s="54">
        <v>46203.0</v>
      </c>
      <c r="AE223" s="77"/>
      <c r="AF223" s="79"/>
      <c r="AG223" s="79"/>
      <c r="AH223" s="79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88"/>
      <c r="BU223" s="65"/>
      <c r="BV223" s="65">
        <v>100737.3</v>
      </c>
      <c r="BW223" s="90">
        <v>101876.7</v>
      </c>
      <c r="BX223" s="90">
        <v>102947.36</v>
      </c>
      <c r="BY223" s="90">
        <f t="array" ref="BY223">XLOOKUP(C223,'PL TOTAL D0'!$A$3:$A$1991,'PL TOTAL D0'!$C$3:$C$1991,"")</f>
        <v>104133.63</v>
      </c>
    </row>
    <row r="224" ht="15.75" customHeight="1">
      <c r="A224" s="50" t="s">
        <v>24</v>
      </c>
      <c r="B224" s="50" t="s">
        <v>3848</v>
      </c>
      <c r="C224" s="94" t="s">
        <v>3259</v>
      </c>
      <c r="D224" s="81" t="s">
        <v>89</v>
      </c>
      <c r="E224" s="95" t="s">
        <v>91</v>
      </c>
      <c r="F224" s="81" t="s">
        <v>521</v>
      </c>
      <c r="G224" s="47" t="str">
        <f t="shared" si="13"/>
        <v>David</v>
      </c>
      <c r="H224" s="49" t="s">
        <v>183</v>
      </c>
      <c r="I224" s="74" t="s">
        <v>66</v>
      </c>
      <c r="J224" s="47" t="str">
        <f t="shared" si="15"/>
        <v>Não</v>
      </c>
      <c r="K224" s="97">
        <v>46043.0</v>
      </c>
      <c r="L224" s="62"/>
      <c r="M224" s="62" t="s">
        <v>61</v>
      </c>
      <c r="N224" s="98">
        <v>0.007</v>
      </c>
      <c r="O224" s="47" t="s">
        <v>66</v>
      </c>
      <c r="P224" s="99">
        <v>0.0</v>
      </c>
      <c r="Q224" s="58"/>
      <c r="R224" s="70"/>
      <c r="S224" s="62" t="s">
        <v>194</v>
      </c>
      <c r="T224" s="32" t="s">
        <v>3849</v>
      </c>
      <c r="U224" s="33" t="s">
        <v>3850</v>
      </c>
      <c r="V224" s="33" t="s">
        <v>3851</v>
      </c>
      <c r="W224" s="34">
        <v>25898.0</v>
      </c>
      <c r="X224" s="23" t="s">
        <v>221</v>
      </c>
      <c r="Y224" s="49" t="str">
        <f t="shared" si="14"/>
        <v>Ativo</v>
      </c>
      <c r="Z224" s="62"/>
      <c r="AA224" s="62" t="s">
        <v>47</v>
      </c>
      <c r="AB224" s="64"/>
      <c r="AC224" s="79"/>
      <c r="AD224" s="54">
        <v>46203.0</v>
      </c>
      <c r="AE224" s="77"/>
      <c r="AF224" s="79"/>
      <c r="AG224" s="79"/>
      <c r="AH224" s="79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>
        <v>123532.14</v>
      </c>
      <c r="BT224" s="88">
        <v>124136.9</v>
      </c>
      <c r="BU224" s="65">
        <v>125521.8</v>
      </c>
      <c r="BV224" s="65">
        <v>126772.3</v>
      </c>
      <c r="BW224" s="90">
        <v>127749.5</v>
      </c>
      <c r="BX224" s="90">
        <v>128731.21</v>
      </c>
      <c r="BY224" s="90">
        <f t="array" ref="BY224">XLOOKUP(C224,'PL TOTAL D0'!$A$3:$A$1991,'PL TOTAL D0'!$C$3:$C$1991,"")</f>
        <v>130265.7</v>
      </c>
    </row>
    <row r="225" ht="15.75" customHeight="1">
      <c r="A225" s="50" t="s">
        <v>24</v>
      </c>
      <c r="B225" s="50" t="s">
        <v>3857</v>
      </c>
      <c r="C225" s="94" t="s">
        <v>3270</v>
      </c>
      <c r="D225" s="81" t="s">
        <v>120</v>
      </c>
      <c r="E225" s="95" t="s">
        <v>54</v>
      </c>
      <c r="F225" s="81" t="s">
        <v>125</v>
      </c>
      <c r="G225" s="47" t="str">
        <f t="shared" si="13"/>
        <v>David</v>
      </c>
      <c r="H225" s="74" t="s">
        <v>183</v>
      </c>
      <c r="I225" s="74" t="s">
        <v>66</v>
      </c>
      <c r="J225" s="47" t="str">
        <f t="shared" si="15"/>
        <v>Sim</v>
      </c>
      <c r="K225" s="97">
        <v>44951.0</v>
      </c>
      <c r="L225" s="62"/>
      <c r="M225" s="62" t="s">
        <v>61</v>
      </c>
      <c r="N225" s="98">
        <v>0.01</v>
      </c>
      <c r="O225" s="47" t="s">
        <v>66</v>
      </c>
      <c r="P225" s="99">
        <v>0.0</v>
      </c>
      <c r="Q225" s="58" t="s">
        <v>3858</v>
      </c>
      <c r="R225" s="70"/>
      <c r="S225" s="62" t="s">
        <v>194</v>
      </c>
      <c r="T225" s="32" t="s">
        <v>3859</v>
      </c>
      <c r="U225" s="33">
        <v>6.2999484928E10</v>
      </c>
      <c r="V225" s="33" t="s">
        <v>3860</v>
      </c>
      <c r="W225" s="34">
        <v>33430.0</v>
      </c>
      <c r="X225" s="23" t="s">
        <v>28</v>
      </c>
      <c r="Y225" s="49" t="str">
        <f t="shared" si="14"/>
        <v>Ativo</v>
      </c>
      <c r="Z225" s="62"/>
      <c r="AA225" s="62"/>
      <c r="AB225" s="64" t="s">
        <v>244</v>
      </c>
      <c r="AC225" s="79"/>
      <c r="AD225" s="54">
        <v>44951.0</v>
      </c>
      <c r="AE225" s="77">
        <v>4.9075100005583E13</v>
      </c>
      <c r="AF225" s="79"/>
      <c r="AG225" s="79"/>
      <c r="AH225" s="79"/>
      <c r="AI225" s="65">
        <v>34444.79</v>
      </c>
      <c r="AJ225" s="65">
        <v>24827.3</v>
      </c>
      <c r="AK225" s="65">
        <v>25083.91</v>
      </c>
      <c r="AL225" s="65">
        <v>25270.13</v>
      </c>
      <c r="AM225" s="65">
        <v>29257.61</v>
      </c>
      <c r="AN225" s="65">
        <v>31545.57</v>
      </c>
      <c r="AO225" s="65">
        <v>32831.67</v>
      </c>
      <c r="AP225" s="65">
        <v>31614.77</v>
      </c>
      <c r="AQ225" s="65">
        <v>27788.14</v>
      </c>
      <c r="AR225" s="65">
        <v>25899.62</v>
      </c>
      <c r="AS225" s="65">
        <v>27599.78</v>
      </c>
      <c r="AT225" s="65">
        <v>28863.14</v>
      </c>
      <c r="AU225" s="65">
        <v>28078.2</v>
      </c>
      <c r="AV225" s="65">
        <v>16394.32</v>
      </c>
      <c r="AW225" s="65">
        <v>17659.52</v>
      </c>
      <c r="AX225" s="65">
        <v>21640.73</v>
      </c>
      <c r="AY225" s="65">
        <v>21833.69</v>
      </c>
      <c r="AZ225" s="65">
        <v>29153.77</v>
      </c>
      <c r="BA225" s="65">
        <v>34602.87</v>
      </c>
      <c r="BB225" s="65">
        <v>46292.32</v>
      </c>
      <c r="BC225" s="65">
        <v>42411.71</v>
      </c>
      <c r="BD225" s="65">
        <v>50296.04</v>
      </c>
      <c r="BE225" s="65">
        <v>52912.61</v>
      </c>
      <c r="BF225" s="65">
        <v>52093.7</v>
      </c>
      <c r="BG225" s="65">
        <v>49061.55</v>
      </c>
      <c r="BH225" s="65">
        <v>54059.0</v>
      </c>
      <c r="BI225" s="65">
        <v>59605.85</v>
      </c>
      <c r="BJ225" s="65">
        <v>56623.86</v>
      </c>
      <c r="BK225" s="65">
        <v>58599.06</v>
      </c>
      <c r="BL225" s="65">
        <v>65367.12</v>
      </c>
      <c r="BM225" s="65">
        <v>67252.64</v>
      </c>
      <c r="BN225" s="65">
        <v>73976.03</v>
      </c>
      <c r="BO225" s="65">
        <v>73156.67</v>
      </c>
      <c r="BP225" s="65">
        <v>73954.68</v>
      </c>
      <c r="BQ225" s="65">
        <v>83269.16</v>
      </c>
      <c r="BR225" s="65">
        <v>95955.4</v>
      </c>
      <c r="BS225" s="65">
        <v>86398.43</v>
      </c>
      <c r="BT225" s="88">
        <v>84107.51</v>
      </c>
      <c r="BU225" s="65">
        <v>78676.44</v>
      </c>
      <c r="BV225" s="65">
        <v>108055.6</v>
      </c>
      <c r="BW225" s="90">
        <v>109066.3</v>
      </c>
      <c r="BX225" s="90">
        <v>118963.92</v>
      </c>
      <c r="BY225" s="90">
        <f t="array" ref="BY225">XLOOKUP(C225,'PL TOTAL D0'!$A$3:$A$1991,'PL TOTAL D0'!$C$3:$C$1991,"")</f>
        <v>120364.96</v>
      </c>
    </row>
    <row r="226" ht="15.75" customHeight="1">
      <c r="A226" s="50" t="s">
        <v>24</v>
      </c>
      <c r="B226" s="50" t="s">
        <v>3866</v>
      </c>
      <c r="C226" s="94" t="s">
        <v>3867</v>
      </c>
      <c r="D226" s="30" t="s">
        <v>89</v>
      </c>
      <c r="E226" s="95" t="s">
        <v>91</v>
      </c>
      <c r="F226" s="81" t="s">
        <v>193</v>
      </c>
      <c r="G226" s="47" t="str">
        <f t="shared" si="13"/>
        <v>David</v>
      </c>
      <c r="H226" s="74" t="s">
        <v>224</v>
      </c>
      <c r="I226" s="74" t="s">
        <v>66</v>
      </c>
      <c r="J226" s="47" t="str">
        <f t="shared" si="15"/>
        <v>Não</v>
      </c>
      <c r="K226" s="97">
        <v>45092.0</v>
      </c>
      <c r="L226" s="194">
        <v>45152.0</v>
      </c>
      <c r="M226" s="62" t="s">
        <v>34</v>
      </c>
      <c r="N226" s="98">
        <v>0.012</v>
      </c>
      <c r="O226" s="47" t="s">
        <v>66</v>
      </c>
      <c r="P226" s="99">
        <v>0.0</v>
      </c>
      <c r="Q226" s="58"/>
      <c r="R226" s="70"/>
      <c r="S226" s="62" t="s">
        <v>194</v>
      </c>
      <c r="T226" s="32" t="s">
        <v>3870</v>
      </c>
      <c r="U226" s="33" t="s">
        <v>268</v>
      </c>
      <c r="V226" s="33"/>
      <c r="W226" s="33" t="s">
        <v>268</v>
      </c>
      <c r="X226" s="23" t="s">
        <v>221</v>
      </c>
      <c r="Y226" s="49" t="str">
        <f t="shared" si="14"/>
        <v>Encerrado</v>
      </c>
      <c r="Z226" s="62"/>
      <c r="AA226" s="62"/>
      <c r="AB226" s="64"/>
      <c r="AC226" s="79"/>
      <c r="AD226" s="54">
        <v>45092.0</v>
      </c>
      <c r="AE226" s="77"/>
      <c r="AF226" s="79"/>
      <c r="AG226" s="79"/>
      <c r="AH226" s="79"/>
      <c r="AI226" s="79"/>
      <c r="AJ226" s="79"/>
      <c r="AK226" s="79"/>
      <c r="AL226" s="65">
        <v>0.0</v>
      </c>
      <c r="AM226" s="65">
        <v>0.0</v>
      </c>
      <c r="AN226" s="65">
        <v>10052.23</v>
      </c>
      <c r="AO226" s="65">
        <v>0.01</v>
      </c>
      <c r="AP226" s="65">
        <v>0.0</v>
      </c>
      <c r="AQ226" s="65">
        <v>0.0</v>
      </c>
      <c r="AR226" s="65">
        <v>0.0</v>
      </c>
      <c r="AS226" s="65">
        <v>0.0</v>
      </c>
      <c r="AT226" s="65">
        <v>0.0</v>
      </c>
      <c r="AU226" s="65">
        <v>0.0</v>
      </c>
      <c r="AV226" s="65">
        <v>0.0</v>
      </c>
      <c r="AW226" s="65">
        <v>0.0</v>
      </c>
      <c r="AX226" s="65">
        <v>0.0</v>
      </c>
      <c r="AY226" s="65">
        <v>0.0</v>
      </c>
      <c r="AZ226" s="65">
        <v>0.0</v>
      </c>
      <c r="BA226" s="65">
        <v>0.0</v>
      </c>
      <c r="BB226" s="65">
        <v>0.0</v>
      </c>
      <c r="BC226" s="65">
        <v>0.0</v>
      </c>
      <c r="BD226" s="65">
        <v>0.0</v>
      </c>
      <c r="BE226" s="65">
        <v>0.0</v>
      </c>
      <c r="BF226" s="65">
        <v>0.0</v>
      </c>
      <c r="BG226" s="65">
        <v>0.0</v>
      </c>
      <c r="BH226" s="65">
        <v>0.0</v>
      </c>
      <c r="BI226" s="65">
        <v>0.0</v>
      </c>
      <c r="BJ226" s="65">
        <v>0.0</v>
      </c>
      <c r="BK226" s="65">
        <v>0.0</v>
      </c>
      <c r="BL226" s="65">
        <v>0.0</v>
      </c>
      <c r="BM226" s="65">
        <v>0.0</v>
      </c>
      <c r="BN226" s="65">
        <v>0.0</v>
      </c>
      <c r="BO226" s="65">
        <v>0.0</v>
      </c>
      <c r="BP226" s="65">
        <v>0.0</v>
      </c>
      <c r="BQ226" s="65">
        <v>0.0</v>
      </c>
      <c r="BR226" s="65">
        <v>0.0</v>
      </c>
      <c r="BS226" s="65">
        <v>0.0</v>
      </c>
      <c r="BT226" s="88">
        <v>0.0</v>
      </c>
      <c r="BU226" s="65">
        <v>0.0</v>
      </c>
      <c r="BV226" s="65">
        <v>0.0</v>
      </c>
      <c r="BW226" s="90">
        <v>0.0</v>
      </c>
      <c r="BX226" s="90">
        <v>0.0</v>
      </c>
      <c r="BY226" s="90" t="str">
        <f t="array" ref="BY226">XLOOKUP(C226,'PL TOTAL D0'!$A$3:$A$1991,'PL TOTAL D0'!$C$3:$C$1991,"")</f>
        <v/>
      </c>
    </row>
    <row r="227" ht="15.75" customHeight="1">
      <c r="A227" s="50" t="s">
        <v>24</v>
      </c>
      <c r="B227" s="555" t="s">
        <v>3873</v>
      </c>
      <c r="C227" s="94" t="s">
        <v>3875</v>
      </c>
      <c r="D227" s="30" t="s">
        <v>89</v>
      </c>
      <c r="E227" s="95" t="s">
        <v>91</v>
      </c>
      <c r="F227" s="81" t="s">
        <v>193</v>
      </c>
      <c r="G227" s="47" t="str">
        <f t="shared" si="13"/>
        <v>David</v>
      </c>
      <c r="H227" s="49" t="s">
        <v>295</v>
      </c>
      <c r="I227" s="49" t="s">
        <v>382</v>
      </c>
      <c r="J227" s="47" t="str">
        <f t="shared" si="15"/>
        <v>Não</v>
      </c>
      <c r="K227" s="97">
        <v>45135.0</v>
      </c>
      <c r="L227" s="62"/>
      <c r="M227" s="62" t="s">
        <v>209</v>
      </c>
      <c r="N227" s="98">
        <v>0.015</v>
      </c>
      <c r="O227" s="47" t="s">
        <v>35</v>
      </c>
      <c r="P227" s="99">
        <v>0.1</v>
      </c>
      <c r="Q227" s="58"/>
      <c r="R227" s="58" t="s">
        <v>3878</v>
      </c>
      <c r="S227" s="62" t="s">
        <v>194</v>
      </c>
      <c r="T227" s="32" t="s">
        <v>3870</v>
      </c>
      <c r="U227" s="33">
        <v>5.543999059999E12</v>
      </c>
      <c r="V227" s="33" t="s">
        <v>3879</v>
      </c>
      <c r="W227" s="48">
        <v>26984.0</v>
      </c>
      <c r="X227" s="23" t="s">
        <v>221</v>
      </c>
      <c r="Y227" s="49" t="str">
        <f t="shared" si="14"/>
        <v>Ativo</v>
      </c>
      <c r="Z227" s="62"/>
      <c r="AA227" s="62"/>
      <c r="AB227" s="64" t="s">
        <v>269</v>
      </c>
      <c r="AC227" s="79"/>
      <c r="AD227" s="54">
        <v>45135.0</v>
      </c>
      <c r="AE227" s="77">
        <v>4.9075100007144E13</v>
      </c>
      <c r="AF227" s="79"/>
      <c r="AG227" s="79"/>
      <c r="AH227" s="79"/>
      <c r="AI227" s="79"/>
      <c r="AJ227" s="79"/>
      <c r="AK227" s="79"/>
      <c r="AL227" s="79"/>
      <c r="AM227" s="79"/>
      <c r="AN227" s="79"/>
      <c r="AO227" s="65">
        <v>10091.93</v>
      </c>
      <c r="AP227" s="65">
        <v>111690.06</v>
      </c>
      <c r="AQ227" s="65">
        <v>226896.08</v>
      </c>
      <c r="AR227" s="65">
        <v>256710.05</v>
      </c>
      <c r="AS227" s="65">
        <v>261983.09</v>
      </c>
      <c r="AT227" s="65">
        <v>266625.69</v>
      </c>
      <c r="AU227" s="65">
        <v>262459.89</v>
      </c>
      <c r="AV227" s="65">
        <v>266173.15</v>
      </c>
      <c r="AW227" s="65">
        <v>268734.95</v>
      </c>
      <c r="AX227" s="65">
        <v>231977.24</v>
      </c>
      <c r="AY227" s="65">
        <v>231374.0</v>
      </c>
      <c r="AZ227" s="65">
        <v>190442.4</v>
      </c>
      <c r="BA227" s="65">
        <v>158159.4</v>
      </c>
      <c r="BB227" s="65">
        <v>159980.41</v>
      </c>
      <c r="BC227" s="65">
        <v>159149.36</v>
      </c>
      <c r="BD227" s="65">
        <v>157998.16</v>
      </c>
      <c r="BE227" s="65">
        <v>5592.55</v>
      </c>
      <c r="BF227" s="65">
        <v>5628.99</v>
      </c>
      <c r="BG227" s="65">
        <v>430.12</v>
      </c>
      <c r="BH227" s="65">
        <v>432.05</v>
      </c>
      <c r="BI227" s="65">
        <v>433.95</v>
      </c>
      <c r="BJ227" s="65">
        <v>151.28</v>
      </c>
      <c r="BK227" s="65">
        <v>151.28</v>
      </c>
      <c r="BL227" s="65">
        <v>151.28</v>
      </c>
      <c r="BM227" s="65">
        <v>151.28</v>
      </c>
      <c r="BN227" s="65">
        <v>151.3</v>
      </c>
      <c r="BO227" s="65">
        <v>151.3</v>
      </c>
      <c r="BP227" s="65">
        <v>151.3</v>
      </c>
      <c r="BQ227" s="65">
        <v>151.3</v>
      </c>
      <c r="BR227" s="65">
        <v>151.3</v>
      </c>
      <c r="BS227" s="65">
        <v>152.29</v>
      </c>
      <c r="BT227" s="88">
        <v>153.8</v>
      </c>
      <c r="BU227" s="65">
        <v>155.68</v>
      </c>
      <c r="BV227" s="65">
        <v>157.36</v>
      </c>
      <c r="BW227" s="90">
        <v>157.9</v>
      </c>
      <c r="BX227" s="90">
        <v>159.56</v>
      </c>
      <c r="BY227" s="90" t="str">
        <f t="array" ref="BY227">XLOOKUP(C227,'PL TOTAL D0'!$A$3:$A$1991,'PL TOTAL D0'!$C$3:$C$1991,"")</f>
        <v/>
      </c>
    </row>
    <row r="228" ht="15.75" customHeight="1">
      <c r="A228" s="50" t="s">
        <v>24</v>
      </c>
      <c r="B228" s="50" t="s">
        <v>3882</v>
      </c>
      <c r="C228" s="94" t="s">
        <v>3052</v>
      </c>
      <c r="D228" s="30" t="s">
        <v>89</v>
      </c>
      <c r="E228" s="95" t="s">
        <v>91</v>
      </c>
      <c r="F228" s="81" t="s">
        <v>521</v>
      </c>
      <c r="G228" s="47" t="str">
        <f t="shared" si="13"/>
        <v>Gabriel</v>
      </c>
      <c r="H228" s="49" t="s">
        <v>183</v>
      </c>
      <c r="I228" s="49" t="s">
        <v>66</v>
      </c>
      <c r="J228" s="47" t="str">
        <f t="shared" si="15"/>
        <v>Não</v>
      </c>
      <c r="K228" s="97">
        <v>45132.0</v>
      </c>
      <c r="L228" s="189"/>
      <c r="M228" s="556" t="s">
        <v>209</v>
      </c>
      <c r="N228" s="98">
        <v>0.015</v>
      </c>
      <c r="O228" s="47" t="s">
        <v>35</v>
      </c>
      <c r="P228" s="99">
        <v>0.1</v>
      </c>
      <c r="Q228" s="58"/>
      <c r="R228" s="190"/>
      <c r="S228" s="62" t="s">
        <v>194</v>
      </c>
      <c r="T228" s="32" t="s">
        <v>3886</v>
      </c>
      <c r="U228" s="33">
        <v>5.543999563803E12</v>
      </c>
      <c r="V228" s="33" t="s">
        <v>3887</v>
      </c>
      <c r="W228" s="34">
        <v>31923.0</v>
      </c>
      <c r="X228" s="23" t="s">
        <v>221</v>
      </c>
      <c r="Y228" s="49" t="str">
        <f t="shared" si="14"/>
        <v>Ativo</v>
      </c>
      <c r="Z228" s="62"/>
      <c r="AA228" s="62"/>
      <c r="AB228" s="64" t="s">
        <v>269</v>
      </c>
      <c r="AC228" s="79"/>
      <c r="AD228" s="54">
        <v>45132.0</v>
      </c>
      <c r="AE228" s="77">
        <v>4.9075100007764E13</v>
      </c>
      <c r="AF228" s="79"/>
      <c r="AG228" s="79"/>
      <c r="AH228" s="79"/>
      <c r="AI228" s="79"/>
      <c r="AJ228" s="79"/>
      <c r="AK228" s="65">
        <v>0.0</v>
      </c>
      <c r="AL228" s="65">
        <v>0.0</v>
      </c>
      <c r="AM228" s="65">
        <v>0.0</v>
      </c>
      <c r="AN228" s="65">
        <v>0.0</v>
      </c>
      <c r="AO228" s="65">
        <v>222554.38</v>
      </c>
      <c r="AP228" s="65">
        <v>397321.78</v>
      </c>
      <c r="AQ228" s="65">
        <v>413850.07</v>
      </c>
      <c r="AR228" s="65">
        <v>414069.55</v>
      </c>
      <c r="AS228" s="65">
        <v>339359.54</v>
      </c>
      <c r="AT228" s="65">
        <v>346092.39</v>
      </c>
      <c r="AU228" s="65">
        <v>340505.92</v>
      </c>
      <c r="AV228" s="65">
        <v>343818.5</v>
      </c>
      <c r="AW228" s="65">
        <v>347570.86</v>
      </c>
      <c r="AX228" s="65">
        <v>345547.17</v>
      </c>
      <c r="AY228" s="65">
        <v>345333.2</v>
      </c>
      <c r="AZ228" s="65">
        <v>347460.2</v>
      </c>
      <c r="BA228" s="65">
        <v>352127.2</v>
      </c>
      <c r="BB228" s="65">
        <v>355803.16</v>
      </c>
      <c r="BC228" s="65">
        <v>352874.26</v>
      </c>
      <c r="BD228" s="65">
        <v>349590.16</v>
      </c>
      <c r="BE228" s="65">
        <v>254598.67</v>
      </c>
      <c r="BF228" s="65">
        <v>254407.72</v>
      </c>
      <c r="BG228" s="65">
        <v>258053.02</v>
      </c>
      <c r="BH228" s="65">
        <v>260580.44</v>
      </c>
      <c r="BI228" s="65">
        <v>263277.24</v>
      </c>
      <c r="BJ228" s="65">
        <v>266533.45</v>
      </c>
      <c r="BK228" s="65">
        <v>270074.74</v>
      </c>
      <c r="BL228" s="65">
        <v>272765.58</v>
      </c>
      <c r="BM228" s="65">
        <v>274087.97</v>
      </c>
      <c r="BN228" s="65">
        <v>276917.2</v>
      </c>
      <c r="BO228" s="65">
        <v>280330.87</v>
      </c>
      <c r="BP228" s="65">
        <v>283455.8</v>
      </c>
      <c r="BQ228" s="65">
        <v>288451.5</v>
      </c>
      <c r="BR228" s="65">
        <v>291479.4</v>
      </c>
      <c r="BS228" s="65">
        <v>296577.57</v>
      </c>
      <c r="BT228" s="88">
        <v>299989.1</v>
      </c>
      <c r="BU228" s="65">
        <v>302732.6</v>
      </c>
      <c r="BV228" s="65">
        <v>305407.7</v>
      </c>
      <c r="BW228" s="90">
        <v>303604.8</v>
      </c>
      <c r="BX228" s="90">
        <v>307459.0</v>
      </c>
      <c r="BY228" s="90">
        <f t="array" ref="BY228">XLOOKUP(C228,'PL TOTAL D0'!$A$3:$A$1991,'PL TOTAL D0'!$C$3:$C$1991,"")</f>
        <v>308973.08</v>
      </c>
    </row>
    <row r="229" ht="15.75" customHeight="1">
      <c r="A229" s="50" t="s">
        <v>24</v>
      </c>
      <c r="B229" s="39" t="s">
        <v>3892</v>
      </c>
      <c r="C229" s="94" t="s">
        <v>3893</v>
      </c>
      <c r="D229" s="30" t="s">
        <v>89</v>
      </c>
      <c r="E229" s="95" t="s">
        <v>91</v>
      </c>
      <c r="F229" s="81" t="s">
        <v>521</v>
      </c>
      <c r="G229" s="47" t="str">
        <f t="shared" si="13"/>
        <v>David</v>
      </c>
      <c r="H229" s="74" t="s">
        <v>224</v>
      </c>
      <c r="I229" s="49" t="s">
        <v>66</v>
      </c>
      <c r="J229" s="47" t="str">
        <f t="shared" si="15"/>
        <v>Não</v>
      </c>
      <c r="K229" s="97">
        <v>45034.0</v>
      </c>
      <c r="L229" s="557">
        <v>45274.0</v>
      </c>
      <c r="M229" s="62" t="s">
        <v>61</v>
      </c>
      <c r="N229" s="98">
        <v>0.012</v>
      </c>
      <c r="O229" s="47" t="s">
        <v>66</v>
      </c>
      <c r="P229" s="99">
        <v>0.0</v>
      </c>
      <c r="Q229" s="58"/>
      <c r="R229" s="558"/>
      <c r="S229" s="62" t="s">
        <v>194</v>
      </c>
      <c r="T229" s="32" t="s">
        <v>3886</v>
      </c>
      <c r="U229" s="33" t="s">
        <v>268</v>
      </c>
      <c r="V229" s="33"/>
      <c r="W229" s="33" t="s">
        <v>268</v>
      </c>
      <c r="X229" s="23" t="s">
        <v>221</v>
      </c>
      <c r="Y229" s="49" t="str">
        <f t="shared" si="14"/>
        <v>Encerrado</v>
      </c>
      <c r="Z229" s="62"/>
      <c r="AA229" s="62"/>
      <c r="AB229" s="64"/>
      <c r="AC229" s="79"/>
      <c r="AD229" s="54">
        <v>45034.0</v>
      </c>
      <c r="AE229" s="77"/>
      <c r="AF229" s="79"/>
      <c r="AG229" s="79"/>
      <c r="AH229" s="79"/>
      <c r="AI229" s="79"/>
      <c r="AJ229" s="79"/>
      <c r="AK229" s="65">
        <v>0.0</v>
      </c>
      <c r="AL229" s="65">
        <v>701999.45</v>
      </c>
      <c r="AM229" s="65">
        <v>709503.56</v>
      </c>
      <c r="AN229" s="65">
        <v>386365.49</v>
      </c>
      <c r="AO229" s="65">
        <v>556458.33</v>
      </c>
      <c r="AP229" s="65">
        <v>392514.41</v>
      </c>
      <c r="AQ229" s="65">
        <v>409850.82</v>
      </c>
      <c r="AR229" s="65">
        <v>593.2</v>
      </c>
      <c r="AS229" s="65">
        <v>204.09</v>
      </c>
      <c r="AT229" s="65">
        <v>0.0</v>
      </c>
      <c r="AU229" s="65">
        <v>0.0</v>
      </c>
      <c r="AV229" s="65">
        <v>0.0</v>
      </c>
      <c r="AW229" s="65">
        <v>0.0</v>
      </c>
      <c r="AX229" s="65">
        <v>0.0</v>
      </c>
      <c r="AY229" s="65">
        <v>0.0</v>
      </c>
      <c r="AZ229" s="65">
        <v>0.0</v>
      </c>
      <c r="BA229" s="65">
        <v>0.0</v>
      </c>
      <c r="BB229" s="65">
        <v>0.0</v>
      </c>
      <c r="BC229" s="65">
        <v>0.0</v>
      </c>
      <c r="BD229" s="65">
        <v>0.0</v>
      </c>
      <c r="BE229" s="65">
        <v>0.0</v>
      </c>
      <c r="BF229" s="65">
        <v>0.0</v>
      </c>
      <c r="BG229" s="65">
        <v>0.0</v>
      </c>
      <c r="BH229" s="65">
        <v>0.0</v>
      </c>
      <c r="BI229" s="65">
        <v>0.0</v>
      </c>
      <c r="BJ229" s="65">
        <v>0.0</v>
      </c>
      <c r="BK229" s="65">
        <v>0.0</v>
      </c>
      <c r="BL229" s="65">
        <v>0.0</v>
      </c>
      <c r="BM229" s="65">
        <v>0.0</v>
      </c>
      <c r="BN229" s="65">
        <v>0.0</v>
      </c>
      <c r="BO229" s="65">
        <v>0.0</v>
      </c>
      <c r="BP229" s="65">
        <v>0.0</v>
      </c>
      <c r="BQ229" s="65">
        <v>0.0</v>
      </c>
      <c r="BR229" s="65">
        <v>0.0</v>
      </c>
      <c r="BS229" s="65">
        <v>0.0</v>
      </c>
      <c r="BT229" s="88">
        <v>0.0</v>
      </c>
      <c r="BU229" s="65">
        <v>0.0</v>
      </c>
      <c r="BV229" s="65">
        <v>0.0</v>
      </c>
      <c r="BW229" s="90">
        <v>0.0</v>
      </c>
      <c r="BX229" s="90">
        <v>0.0</v>
      </c>
      <c r="BY229" s="90" t="str">
        <f t="array" ref="BY229">XLOOKUP(C229,'PL TOTAL D0'!$A$3:$A$1991,'PL TOTAL D0'!$C$3:$C$1991,"")</f>
        <v/>
      </c>
    </row>
    <row r="230" ht="15.75" customHeight="1">
      <c r="A230" s="50" t="s">
        <v>24</v>
      </c>
      <c r="B230" s="39" t="s">
        <v>3899</v>
      </c>
      <c r="C230" s="94" t="s">
        <v>3900</v>
      </c>
      <c r="D230" s="30" t="s">
        <v>210</v>
      </c>
      <c r="E230" s="22" t="s">
        <v>199</v>
      </c>
      <c r="F230" s="30" t="s">
        <v>275</v>
      </c>
      <c r="G230" s="47" t="str">
        <f t="shared" si="13"/>
        <v>David</v>
      </c>
      <c r="H230" s="49" t="s">
        <v>183</v>
      </c>
      <c r="I230" s="49" t="s">
        <v>66</v>
      </c>
      <c r="J230" s="47" t="str">
        <f t="shared" si="15"/>
        <v>Sim</v>
      </c>
      <c r="K230" s="54">
        <v>45896.0</v>
      </c>
      <c r="L230" s="557"/>
      <c r="M230" s="32" t="s">
        <v>61</v>
      </c>
      <c r="N230" s="56">
        <v>0.012</v>
      </c>
      <c r="O230" s="23" t="s">
        <v>66</v>
      </c>
      <c r="P230" s="57">
        <v>0.0</v>
      </c>
      <c r="Q230" s="58" t="s">
        <v>3901</v>
      </c>
      <c r="R230" s="558"/>
      <c r="S230" s="32" t="s">
        <v>194</v>
      </c>
      <c r="T230" s="32" t="s">
        <v>3902</v>
      </c>
      <c r="U230" s="33" t="s">
        <v>3903</v>
      </c>
      <c r="V230" s="33" t="s">
        <v>3904</v>
      </c>
      <c r="W230" s="34">
        <v>27910.0</v>
      </c>
      <c r="X230" s="23" t="s">
        <v>199</v>
      </c>
      <c r="Y230" s="49" t="str">
        <f t="shared" si="14"/>
        <v>Ativo</v>
      </c>
      <c r="Z230" s="62"/>
      <c r="AA230" s="32" t="s">
        <v>107</v>
      </c>
      <c r="AB230" s="64"/>
      <c r="AC230" s="79"/>
      <c r="AD230" s="54">
        <v>45923.0</v>
      </c>
      <c r="AE230" s="148">
        <v>4.9075100019541E13</v>
      </c>
      <c r="AF230" s="79"/>
      <c r="AG230" s="79"/>
      <c r="AH230" s="79"/>
      <c r="AI230" s="79"/>
      <c r="AJ230" s="79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>
        <v>0.0</v>
      </c>
      <c r="BN230" s="65">
        <v>0.0</v>
      </c>
      <c r="BO230" s="65">
        <v>50026.99</v>
      </c>
      <c r="BP230" s="65">
        <v>54749.95</v>
      </c>
      <c r="BQ230" s="65">
        <v>55233.2</v>
      </c>
      <c r="BR230" s="65">
        <v>0.0</v>
      </c>
      <c r="BS230" s="65">
        <v>0.43</v>
      </c>
      <c r="BT230" s="88">
        <v>0.43</v>
      </c>
      <c r="BU230" s="65">
        <v>0.43</v>
      </c>
      <c r="BV230" s="65">
        <v>0.43</v>
      </c>
      <c r="BW230" s="90">
        <v>0.43</v>
      </c>
      <c r="BX230" s="90">
        <v>0.43</v>
      </c>
      <c r="BY230" s="90" t="str">
        <f t="array" ref="BY230">XLOOKUP(C230,'PL TOTAL D0'!$A$3:$A$1991,'PL TOTAL D0'!$C$3:$C$1991,"")</f>
        <v/>
      </c>
    </row>
    <row r="231" ht="15.75" customHeight="1">
      <c r="A231" s="50" t="s">
        <v>24</v>
      </c>
      <c r="B231" s="176" t="s">
        <v>3906</v>
      </c>
      <c r="C231" s="94" t="s">
        <v>3907</v>
      </c>
      <c r="D231" s="81" t="s">
        <v>120</v>
      </c>
      <c r="E231" s="95" t="s">
        <v>54</v>
      </c>
      <c r="F231" s="81" t="s">
        <v>348</v>
      </c>
      <c r="G231" s="47" t="str">
        <f t="shared" si="13"/>
        <v>David</v>
      </c>
      <c r="H231" s="49" t="s">
        <v>295</v>
      </c>
      <c r="I231" s="49" t="s">
        <v>382</v>
      </c>
      <c r="J231" s="47" t="str">
        <f t="shared" si="15"/>
        <v>Não</v>
      </c>
      <c r="K231" s="97">
        <v>44994.0</v>
      </c>
      <c r="L231" s="62"/>
      <c r="M231" s="561" t="s">
        <v>61</v>
      </c>
      <c r="N231" s="56">
        <v>0.012</v>
      </c>
      <c r="O231" s="23" t="s">
        <v>66</v>
      </c>
      <c r="P231" s="57">
        <v>0.0</v>
      </c>
      <c r="Q231" s="58"/>
      <c r="R231" s="195" t="s">
        <v>3909</v>
      </c>
      <c r="S231" s="62" t="s">
        <v>194</v>
      </c>
      <c r="T231" s="32" t="s">
        <v>3910</v>
      </c>
      <c r="U231" s="33">
        <v>6.2991263142E10</v>
      </c>
      <c r="V231" s="33" t="s">
        <v>3911</v>
      </c>
      <c r="W231" s="48">
        <v>27738.0</v>
      </c>
      <c r="X231" s="23" t="s">
        <v>54</v>
      </c>
      <c r="Y231" s="49" t="str">
        <f t="shared" si="14"/>
        <v>Ativo</v>
      </c>
      <c r="Z231" s="62"/>
      <c r="AA231" s="62"/>
      <c r="AB231" s="64" t="s">
        <v>269</v>
      </c>
      <c r="AC231" s="79"/>
      <c r="AD231" s="54">
        <v>44994.0</v>
      </c>
      <c r="AE231" s="77">
        <v>4.9075100009333E13</v>
      </c>
      <c r="AF231" s="79"/>
      <c r="AG231" s="79"/>
      <c r="AH231" s="79"/>
      <c r="AI231" s="79"/>
      <c r="AJ231" s="79"/>
      <c r="AK231" s="65">
        <v>100452.44</v>
      </c>
      <c r="AL231" s="65">
        <v>105350.23</v>
      </c>
      <c r="AM231" s="65">
        <v>106502.53</v>
      </c>
      <c r="AN231" s="65">
        <v>107602.25</v>
      </c>
      <c r="AO231" s="65">
        <v>108468.23</v>
      </c>
      <c r="AP231" s="65">
        <v>109535.09</v>
      </c>
      <c r="AQ231" s="65">
        <v>110405.09</v>
      </c>
      <c r="AR231" s="65">
        <v>110715.87</v>
      </c>
      <c r="AS231" s="65">
        <v>111541.89</v>
      </c>
      <c r="AT231" s="65">
        <v>112383.29</v>
      </c>
      <c r="AU231" s="65">
        <v>113303.23</v>
      </c>
      <c r="AV231" s="65">
        <v>114098.77</v>
      </c>
      <c r="AW231" s="65">
        <v>114381.89</v>
      </c>
      <c r="AX231" s="65">
        <v>115251.75</v>
      </c>
      <c r="AY231" s="65">
        <v>116117.7</v>
      </c>
      <c r="AZ231" s="65">
        <v>117040.5</v>
      </c>
      <c r="BA231" s="65">
        <v>116921.1</v>
      </c>
      <c r="BB231" s="65">
        <v>117792.88</v>
      </c>
      <c r="BC231" s="65">
        <v>118664.73</v>
      </c>
      <c r="BD231" s="65">
        <v>0.0</v>
      </c>
      <c r="BE231" s="65">
        <v>0.0</v>
      </c>
      <c r="BF231" s="65">
        <v>10.3</v>
      </c>
      <c r="BG231" s="65">
        <v>10.3</v>
      </c>
      <c r="BH231" s="65">
        <v>10.3</v>
      </c>
      <c r="BI231" s="65">
        <v>10.3</v>
      </c>
      <c r="BJ231" s="65">
        <v>0.0</v>
      </c>
      <c r="BK231" s="65">
        <v>0.0</v>
      </c>
      <c r="BL231" s="65">
        <v>0.0</v>
      </c>
      <c r="BM231" s="65">
        <v>0.0</v>
      </c>
      <c r="BN231" s="65">
        <v>0.0</v>
      </c>
      <c r="BO231" s="65">
        <v>0.0</v>
      </c>
      <c r="BP231" s="65">
        <v>0.0</v>
      </c>
      <c r="BQ231" s="65">
        <v>0.0</v>
      </c>
      <c r="BR231" s="65">
        <v>0.0</v>
      </c>
      <c r="BS231" s="65">
        <v>0.0</v>
      </c>
      <c r="BT231" s="88">
        <v>0.0</v>
      </c>
      <c r="BU231" s="65">
        <v>0.0</v>
      </c>
      <c r="BV231" s="65">
        <v>0.0</v>
      </c>
      <c r="BW231" s="90">
        <v>0.0</v>
      </c>
      <c r="BX231" s="90">
        <v>0.0</v>
      </c>
      <c r="BY231" s="90" t="str">
        <f t="array" ref="BY231">XLOOKUP(C231,'PL TOTAL D0'!$A$3:$A$1991,'PL TOTAL D0'!$C$3:$C$1991,"")</f>
        <v/>
      </c>
    </row>
    <row r="232" ht="15.75" customHeight="1">
      <c r="A232" s="50" t="s">
        <v>24</v>
      </c>
      <c r="B232" s="50" t="s">
        <v>3915</v>
      </c>
      <c r="C232" s="94" t="s">
        <v>3916</v>
      </c>
      <c r="D232" s="81" t="s">
        <v>120</v>
      </c>
      <c r="E232" s="95" t="s">
        <v>54</v>
      </c>
      <c r="F232" s="81" t="s">
        <v>379</v>
      </c>
      <c r="G232" s="47" t="str">
        <f t="shared" si="13"/>
        <v>David</v>
      </c>
      <c r="H232" s="49" t="s">
        <v>224</v>
      </c>
      <c r="I232" s="49" t="s">
        <v>66</v>
      </c>
      <c r="J232" s="47" t="str">
        <f t="shared" si="15"/>
        <v>Não</v>
      </c>
      <c r="K232" s="97">
        <v>45100.0</v>
      </c>
      <c r="L232" s="186">
        <v>45582.0</v>
      </c>
      <c r="M232" s="62" t="s">
        <v>61</v>
      </c>
      <c r="N232" s="98">
        <v>0.012</v>
      </c>
      <c r="O232" s="47" t="s">
        <v>66</v>
      </c>
      <c r="P232" s="99">
        <v>0.0</v>
      </c>
      <c r="Q232" s="58"/>
      <c r="R232" s="190"/>
      <c r="S232" s="62" t="s">
        <v>234</v>
      </c>
      <c r="T232" s="32" t="s">
        <v>3920</v>
      </c>
      <c r="U232" s="33" t="s">
        <v>268</v>
      </c>
      <c r="V232" s="33"/>
      <c r="W232" s="33" t="s">
        <v>268</v>
      </c>
      <c r="X232" s="23" t="s">
        <v>199</v>
      </c>
      <c r="Y232" s="49" t="str">
        <f t="shared" si="14"/>
        <v>Encerrado</v>
      </c>
      <c r="Z232" s="62"/>
      <c r="AA232" s="62"/>
      <c r="AB232" s="64" t="s">
        <v>269</v>
      </c>
      <c r="AC232" s="79"/>
      <c r="AD232" s="54">
        <v>45100.0</v>
      </c>
      <c r="AE232" s="77">
        <v>4.9075100007322E13</v>
      </c>
      <c r="AF232" s="79"/>
      <c r="AG232" s="79"/>
      <c r="AH232" s="79"/>
      <c r="AI232" s="79"/>
      <c r="AJ232" s="79"/>
      <c r="AK232" s="79"/>
      <c r="AL232" s="65">
        <v>0.0</v>
      </c>
      <c r="AM232" s="65">
        <v>0.0</v>
      </c>
      <c r="AN232" s="65">
        <v>1311380.19</v>
      </c>
      <c r="AO232" s="65">
        <v>2330169.23</v>
      </c>
      <c r="AP232" s="65">
        <v>2254706.17</v>
      </c>
      <c r="AQ232" s="65">
        <v>14478.09</v>
      </c>
      <c r="AR232" s="65">
        <v>13659.99</v>
      </c>
      <c r="AS232" s="65">
        <v>13767.03</v>
      </c>
      <c r="AT232" s="65">
        <v>13878.82</v>
      </c>
      <c r="AU232" s="65">
        <v>14000.74</v>
      </c>
      <c r="AV232" s="65">
        <v>14124.45</v>
      </c>
      <c r="AW232" s="65">
        <v>14230.92</v>
      </c>
      <c r="AX232" s="65">
        <v>14345.37</v>
      </c>
      <c r="AY232" s="65">
        <v>14450.94</v>
      </c>
      <c r="AZ232" s="65">
        <v>14553.95</v>
      </c>
      <c r="BA232" s="65">
        <v>14674.39</v>
      </c>
      <c r="BB232" s="65">
        <v>14763.21</v>
      </c>
      <c r="BC232" s="65">
        <v>14564.1</v>
      </c>
      <c r="BD232" s="65">
        <v>0.0</v>
      </c>
      <c r="BE232" s="65">
        <v>0.0</v>
      </c>
      <c r="BF232" s="65">
        <v>0.0</v>
      </c>
      <c r="BG232" s="65">
        <v>0.0</v>
      </c>
      <c r="BH232" s="65">
        <v>0.0</v>
      </c>
      <c r="BI232" s="65">
        <v>0.0</v>
      </c>
      <c r="BJ232" s="65">
        <v>0.0</v>
      </c>
      <c r="BK232" s="65">
        <v>0.0</v>
      </c>
      <c r="BL232" s="65">
        <v>0.0</v>
      </c>
      <c r="BM232" s="65">
        <v>0.0</v>
      </c>
      <c r="BN232" s="65">
        <v>0.0</v>
      </c>
      <c r="BO232" s="65">
        <v>0.0</v>
      </c>
      <c r="BP232" s="65">
        <v>0.0</v>
      </c>
      <c r="BQ232" s="65">
        <v>0.0</v>
      </c>
      <c r="BR232" s="65">
        <v>0.0</v>
      </c>
      <c r="BS232" s="65">
        <v>0.0</v>
      </c>
      <c r="BT232" s="88">
        <v>0.0</v>
      </c>
      <c r="BU232" s="65">
        <v>0.0</v>
      </c>
      <c r="BV232" s="65">
        <v>0.0</v>
      </c>
      <c r="BW232" s="90">
        <v>0.0</v>
      </c>
      <c r="BX232" s="90">
        <v>0.0</v>
      </c>
      <c r="BY232" s="90" t="str">
        <f t="array" ref="BY232">XLOOKUP(C232,'PL TOTAL D0'!$A$3:$A$1991,'PL TOTAL D0'!$C$3:$C$1991,"")</f>
        <v/>
      </c>
    </row>
    <row r="233" ht="15.75" customHeight="1">
      <c r="A233" s="50" t="s">
        <v>24</v>
      </c>
      <c r="B233" s="50" t="s">
        <v>3915</v>
      </c>
      <c r="C233" s="94" t="s">
        <v>3921</v>
      </c>
      <c r="D233" s="81" t="s">
        <v>120</v>
      </c>
      <c r="E233" s="95" t="s">
        <v>54</v>
      </c>
      <c r="F233" s="81" t="s">
        <v>379</v>
      </c>
      <c r="G233" s="47" t="str">
        <f t="shared" si="13"/>
        <v>David</v>
      </c>
      <c r="H233" s="49" t="s">
        <v>224</v>
      </c>
      <c r="I233" s="49" t="s">
        <v>66</v>
      </c>
      <c r="J233" s="47" t="str">
        <f t="shared" si="15"/>
        <v>Não</v>
      </c>
      <c r="K233" s="97">
        <v>45166.0</v>
      </c>
      <c r="L233" s="186">
        <v>45582.0</v>
      </c>
      <c r="M233" s="62" t="s">
        <v>61</v>
      </c>
      <c r="N233" s="98">
        <v>0.012</v>
      </c>
      <c r="O233" s="47" t="s">
        <v>66</v>
      </c>
      <c r="P233" s="99">
        <v>0.0</v>
      </c>
      <c r="Q233" s="58"/>
      <c r="R233" s="190"/>
      <c r="S233" s="62" t="s">
        <v>234</v>
      </c>
      <c r="T233" s="32" t="s">
        <v>3920</v>
      </c>
      <c r="U233" s="33" t="s">
        <v>268</v>
      </c>
      <c r="V233" s="33"/>
      <c r="W233" s="33" t="s">
        <v>268</v>
      </c>
      <c r="X233" s="23" t="s">
        <v>199</v>
      </c>
      <c r="Y233" s="49" t="str">
        <f t="shared" si="14"/>
        <v>Encerrado</v>
      </c>
      <c r="Z233" s="62"/>
      <c r="AA233" s="62"/>
      <c r="AB233" s="64" t="s">
        <v>269</v>
      </c>
      <c r="AC233" s="79"/>
      <c r="AD233" s="54">
        <v>45166.0</v>
      </c>
      <c r="AE233" s="77">
        <v>4.9075100011291E13</v>
      </c>
      <c r="AF233" s="79"/>
      <c r="AG233" s="79"/>
      <c r="AH233" s="79"/>
      <c r="AI233" s="79"/>
      <c r="AJ233" s="79"/>
      <c r="AK233" s="79"/>
      <c r="AL233" s="79"/>
      <c r="AM233" s="79"/>
      <c r="AN233" s="79"/>
      <c r="AO233" s="65">
        <v>0.0</v>
      </c>
      <c r="AP233" s="65">
        <v>0.0</v>
      </c>
      <c r="AQ233" s="65">
        <v>0.0</v>
      </c>
      <c r="AR233" s="65">
        <v>0.0</v>
      </c>
      <c r="AS233" s="65">
        <v>0.0</v>
      </c>
      <c r="AT233" s="65">
        <v>0.0</v>
      </c>
      <c r="AU233" s="65">
        <v>0.0</v>
      </c>
      <c r="AV233" s="65">
        <v>0.0</v>
      </c>
      <c r="AW233" s="65">
        <v>0.0</v>
      </c>
      <c r="AX233" s="65">
        <v>0.0</v>
      </c>
      <c r="AY233" s="65">
        <v>0.0</v>
      </c>
      <c r="AZ233" s="65">
        <v>0.0</v>
      </c>
      <c r="BA233" s="65">
        <v>0.0</v>
      </c>
      <c r="BB233" s="65">
        <v>0.0</v>
      </c>
      <c r="BC233" s="65">
        <v>0.0</v>
      </c>
      <c r="BD233" s="65">
        <v>0.0</v>
      </c>
      <c r="BE233" s="65">
        <v>0.0</v>
      </c>
      <c r="BF233" s="65">
        <v>0.0</v>
      </c>
      <c r="BG233" s="65">
        <v>0.0</v>
      </c>
      <c r="BH233" s="65">
        <v>0.0</v>
      </c>
      <c r="BI233" s="65">
        <v>0.0</v>
      </c>
      <c r="BJ233" s="65">
        <v>0.0</v>
      </c>
      <c r="BK233" s="65">
        <v>0.0</v>
      </c>
      <c r="BL233" s="65">
        <v>0.0</v>
      </c>
      <c r="BM233" s="65">
        <v>0.0</v>
      </c>
      <c r="BN233" s="65">
        <v>0.0</v>
      </c>
      <c r="BO233" s="65">
        <v>0.0</v>
      </c>
      <c r="BP233" s="65">
        <v>0.0</v>
      </c>
      <c r="BQ233" s="65">
        <v>0.0</v>
      </c>
      <c r="BR233" s="65">
        <v>0.0</v>
      </c>
      <c r="BS233" s="65">
        <v>0.0</v>
      </c>
      <c r="BT233" s="88">
        <v>0.0</v>
      </c>
      <c r="BU233" s="65">
        <v>0.0</v>
      </c>
      <c r="BV233" s="65">
        <v>0.0</v>
      </c>
      <c r="BW233" s="90">
        <v>0.0</v>
      </c>
      <c r="BX233" s="90">
        <v>0.0</v>
      </c>
      <c r="BY233" s="90" t="str">
        <f t="array" ref="BY233">XLOOKUP(C233,'PL TOTAL D0'!$A$3:$A$1991,'PL TOTAL D0'!$C$3:$C$1991,"")</f>
        <v/>
      </c>
    </row>
    <row r="234" ht="15.75" customHeight="1">
      <c r="A234" s="50" t="s">
        <v>24</v>
      </c>
      <c r="B234" s="43" t="s">
        <v>3928</v>
      </c>
      <c r="C234" s="53" t="s">
        <v>2537</v>
      </c>
      <c r="D234" s="30" t="s">
        <v>1257</v>
      </c>
      <c r="E234" s="22" t="s">
        <v>199</v>
      </c>
      <c r="F234" s="30" t="s">
        <v>1257</v>
      </c>
      <c r="G234" s="47" t="str">
        <f t="shared" si="13"/>
        <v>David</v>
      </c>
      <c r="H234" s="49" t="s">
        <v>183</v>
      </c>
      <c r="I234" s="49" t="s">
        <v>66</v>
      </c>
      <c r="J234" s="47" t="str">
        <f t="shared" si="15"/>
        <v>Não</v>
      </c>
      <c r="K234" s="54">
        <v>46171.0</v>
      </c>
      <c r="L234" s="186"/>
      <c r="M234" s="32" t="s">
        <v>1262</v>
      </c>
      <c r="N234" s="56">
        <v>0.0</v>
      </c>
      <c r="O234" s="23" t="s">
        <v>66</v>
      </c>
      <c r="P234" s="57">
        <v>0.0</v>
      </c>
      <c r="Q234" s="58"/>
      <c r="R234" s="190"/>
      <c r="S234" s="32" t="s">
        <v>194</v>
      </c>
      <c r="T234" s="32" t="s">
        <v>3929</v>
      </c>
      <c r="U234" s="33" t="s">
        <v>3930</v>
      </c>
      <c r="V234" s="33" t="s">
        <v>3931</v>
      </c>
      <c r="W234" s="48">
        <v>29422.0</v>
      </c>
      <c r="X234" s="23" t="s">
        <v>3932</v>
      </c>
      <c r="Y234" s="49" t="str">
        <f t="shared" si="14"/>
        <v>Ativo</v>
      </c>
      <c r="Z234" s="62"/>
      <c r="AA234" s="32" t="s">
        <v>47</v>
      </c>
      <c r="AB234" s="64"/>
      <c r="AC234" s="79"/>
      <c r="AD234" s="54">
        <v>46203.0</v>
      </c>
      <c r="AE234" s="77"/>
      <c r="AF234" s="79"/>
      <c r="AG234" s="79"/>
      <c r="AH234" s="79"/>
      <c r="AI234" s="79"/>
      <c r="AJ234" s="79"/>
      <c r="AK234" s="79"/>
      <c r="AL234" s="79"/>
      <c r="AM234" s="79"/>
      <c r="AN234" s="79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88"/>
      <c r="BU234" s="65"/>
      <c r="BV234" s="65"/>
      <c r="BW234" s="90">
        <v>2437664.0</v>
      </c>
      <c r="BX234" s="90">
        <v>2622992.77</v>
      </c>
      <c r="BY234" s="90">
        <f t="array" ref="BY234">XLOOKUP(C234,'PL TOTAL D0'!$A$3:$A$1991,'PL TOTAL D0'!$C$3:$C$1991,"")</f>
        <v>2897898.94</v>
      </c>
    </row>
    <row r="235" ht="15.75" customHeight="1">
      <c r="A235" s="50" t="s">
        <v>24</v>
      </c>
      <c r="B235" s="43" t="s">
        <v>3936</v>
      </c>
      <c r="C235" s="94" t="s">
        <v>2925</v>
      </c>
      <c r="D235" s="30" t="s">
        <v>120</v>
      </c>
      <c r="E235" s="22" t="s">
        <v>199</v>
      </c>
      <c r="F235" s="30" t="s">
        <v>707</v>
      </c>
      <c r="G235" s="47" t="str">
        <f t="shared" si="13"/>
        <v>Gabriel</v>
      </c>
      <c r="H235" s="49" t="s">
        <v>183</v>
      </c>
      <c r="I235" s="49" t="s">
        <v>66</v>
      </c>
      <c r="J235" s="47" t="str">
        <f t="shared" si="15"/>
        <v>Não</v>
      </c>
      <c r="K235" s="54">
        <v>45539.0</v>
      </c>
      <c r="L235" s="189"/>
      <c r="M235" s="561" t="s">
        <v>209</v>
      </c>
      <c r="N235" s="56">
        <v>0.015</v>
      </c>
      <c r="O235" s="23" t="s">
        <v>35</v>
      </c>
      <c r="P235" s="57">
        <v>0.1</v>
      </c>
      <c r="Q235" s="58"/>
      <c r="R235" s="195"/>
      <c r="S235" s="32" t="s">
        <v>194</v>
      </c>
      <c r="T235" s="32" t="s">
        <v>3937</v>
      </c>
      <c r="U235" s="33">
        <v>6.1986029491E10</v>
      </c>
      <c r="V235" s="33" t="s">
        <v>3938</v>
      </c>
      <c r="W235" s="34">
        <v>27085.0</v>
      </c>
      <c r="X235" s="23" t="s">
        <v>199</v>
      </c>
      <c r="Y235" s="49" t="str">
        <f t="shared" si="14"/>
        <v>Ativo</v>
      </c>
      <c r="Z235" s="62"/>
      <c r="AA235" s="32" t="s">
        <v>47</v>
      </c>
      <c r="AB235" s="64"/>
      <c r="AC235" s="79"/>
      <c r="AD235" s="54">
        <v>45539.0</v>
      </c>
      <c r="AE235" s="77">
        <v>4.9075100015686E13</v>
      </c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>
        <v>561185.26</v>
      </c>
      <c r="BD235" s="65">
        <v>480946.54</v>
      </c>
      <c r="BE235" s="65">
        <v>480768.52</v>
      </c>
      <c r="BF235" s="65">
        <v>480724.8</v>
      </c>
      <c r="BG235" s="65">
        <v>487815.24</v>
      </c>
      <c r="BH235" s="65">
        <v>493380.06</v>
      </c>
      <c r="BI235" s="65">
        <v>474999.14</v>
      </c>
      <c r="BJ235" s="65">
        <v>480881.87</v>
      </c>
      <c r="BK235" s="65">
        <v>487230.78</v>
      </c>
      <c r="BL235" s="65">
        <v>488161.75</v>
      </c>
      <c r="BM235" s="65">
        <v>433315.73</v>
      </c>
      <c r="BN235" s="65">
        <v>438159.1</v>
      </c>
      <c r="BO235" s="65">
        <v>441409.79</v>
      </c>
      <c r="BP235" s="65">
        <v>446850.5</v>
      </c>
      <c r="BQ235" s="65">
        <v>455004.6</v>
      </c>
      <c r="BR235" s="65">
        <v>458926.0</v>
      </c>
      <c r="BS235" s="65">
        <v>467201.5</v>
      </c>
      <c r="BT235" s="88">
        <v>472179.2</v>
      </c>
      <c r="BU235" s="65">
        <v>471548.1</v>
      </c>
      <c r="BV235" s="65">
        <v>468666.7</v>
      </c>
      <c r="BW235" s="90">
        <v>461346.8</v>
      </c>
      <c r="BX235" s="90">
        <v>482644.8</v>
      </c>
      <c r="BY235" s="90">
        <f t="array" ref="BY235">XLOOKUP(C235,'PL TOTAL D0'!$A$3:$A$1991,'PL TOTAL D0'!$C$3:$C$1991,"")</f>
        <v>469137.49</v>
      </c>
    </row>
    <row r="236" ht="15.75" customHeight="1">
      <c r="A236" s="50" t="s">
        <v>24</v>
      </c>
      <c r="B236" s="50" t="s">
        <v>3940</v>
      </c>
      <c r="C236" s="94" t="s">
        <v>3941</v>
      </c>
      <c r="D236" s="30" t="s">
        <v>89</v>
      </c>
      <c r="E236" s="95" t="s">
        <v>91</v>
      </c>
      <c r="F236" s="81" t="s">
        <v>193</v>
      </c>
      <c r="G236" s="47" t="str">
        <f t="shared" si="13"/>
        <v>David</v>
      </c>
      <c r="H236" s="49" t="s">
        <v>224</v>
      </c>
      <c r="I236" s="49" t="s">
        <v>66</v>
      </c>
      <c r="J236" s="47" t="str">
        <f t="shared" si="15"/>
        <v>Não</v>
      </c>
      <c r="K236" s="97">
        <v>45149.0</v>
      </c>
      <c r="L236" s="186">
        <v>45588.0</v>
      </c>
      <c r="M236" s="561" t="s">
        <v>34</v>
      </c>
      <c r="N236" s="98">
        <v>0.012</v>
      </c>
      <c r="O236" s="23" t="s">
        <v>35</v>
      </c>
      <c r="P236" s="99">
        <v>0.1</v>
      </c>
      <c r="Q236" s="58"/>
      <c r="R236" s="195" t="s">
        <v>3945</v>
      </c>
      <c r="S236" s="62" t="s">
        <v>194</v>
      </c>
      <c r="T236" s="32" t="s">
        <v>664</v>
      </c>
      <c r="U236" s="33" t="s">
        <v>268</v>
      </c>
      <c r="V236" s="33"/>
      <c r="W236" s="33" t="s">
        <v>268</v>
      </c>
      <c r="X236" s="23" t="s">
        <v>221</v>
      </c>
      <c r="Y236" s="49" t="str">
        <f t="shared" si="14"/>
        <v>Encerrado</v>
      </c>
      <c r="Z236" s="62"/>
      <c r="AA236" s="32" t="s">
        <v>47</v>
      </c>
      <c r="AB236" s="64" t="s">
        <v>269</v>
      </c>
      <c r="AC236" s="79"/>
      <c r="AD236" s="54">
        <v>45149.0</v>
      </c>
      <c r="AE236" s="77">
        <v>4.9075100012245E13</v>
      </c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65">
        <v>20122.09</v>
      </c>
      <c r="AQ236" s="65">
        <v>334465.94</v>
      </c>
      <c r="AR236" s="65">
        <v>335443.66</v>
      </c>
      <c r="AS236" s="65">
        <v>370027.02</v>
      </c>
      <c r="AT236" s="65">
        <v>515177.48</v>
      </c>
      <c r="AU236" s="65">
        <v>513140.4</v>
      </c>
      <c r="AV236" s="65">
        <v>514441.1</v>
      </c>
      <c r="AW236" s="65">
        <v>519788.9</v>
      </c>
      <c r="AX236" s="65">
        <v>544028.83</v>
      </c>
      <c r="AY236" s="65">
        <v>544850.5</v>
      </c>
      <c r="AZ236" s="65">
        <v>561634.3</v>
      </c>
      <c r="BA236" s="65">
        <v>567918.5</v>
      </c>
      <c r="BB236" s="65">
        <v>590465.13</v>
      </c>
      <c r="BC236" s="65">
        <v>592065.62</v>
      </c>
      <c r="BD236" s="65">
        <v>0.0</v>
      </c>
      <c r="BE236" s="65">
        <v>0.0</v>
      </c>
      <c r="BF236" s="65">
        <v>0.0</v>
      </c>
      <c r="BG236" s="65">
        <v>0.0</v>
      </c>
      <c r="BH236" s="65">
        <v>0.0</v>
      </c>
      <c r="BI236" s="65">
        <v>0.0</v>
      </c>
      <c r="BJ236" s="65">
        <v>0.0</v>
      </c>
      <c r="BK236" s="65">
        <v>0.0</v>
      </c>
      <c r="BL236" s="65">
        <v>0.0</v>
      </c>
      <c r="BM236" s="65">
        <v>0.0</v>
      </c>
      <c r="BN236" s="65">
        <v>0.0</v>
      </c>
      <c r="BO236" s="65">
        <v>0.0</v>
      </c>
      <c r="BP236" s="65">
        <v>0.0</v>
      </c>
      <c r="BQ236" s="65">
        <v>0.0</v>
      </c>
      <c r="BR236" s="65">
        <v>0.0</v>
      </c>
      <c r="BS236" s="65">
        <v>0.0</v>
      </c>
      <c r="BT236" s="88">
        <v>0.0</v>
      </c>
      <c r="BU236" s="65">
        <v>0.0</v>
      </c>
      <c r="BV236" s="65">
        <v>0.0</v>
      </c>
      <c r="BW236" s="90">
        <v>0.0</v>
      </c>
      <c r="BX236" s="90">
        <v>0.0</v>
      </c>
      <c r="BY236" s="90" t="str">
        <f t="array" ref="BY236">XLOOKUP(C236,'PL TOTAL D0'!$A$3:$A$1991,'PL TOTAL D0'!$C$3:$C$1991,"")</f>
        <v/>
      </c>
    </row>
    <row r="237" ht="15.75" customHeight="1">
      <c r="A237" s="50" t="s">
        <v>24</v>
      </c>
      <c r="B237" s="43" t="s">
        <v>3940</v>
      </c>
      <c r="C237" s="94" t="s">
        <v>3946</v>
      </c>
      <c r="D237" s="30" t="s">
        <v>89</v>
      </c>
      <c r="E237" s="22" t="s">
        <v>91</v>
      </c>
      <c r="F237" s="30" t="s">
        <v>193</v>
      </c>
      <c r="G237" s="47" t="str">
        <f t="shared" si="13"/>
        <v>David</v>
      </c>
      <c r="H237" s="49" t="s">
        <v>224</v>
      </c>
      <c r="I237" s="49" t="s">
        <v>66</v>
      </c>
      <c r="J237" s="47" t="str">
        <f t="shared" si="15"/>
        <v>Não</v>
      </c>
      <c r="K237" s="54">
        <v>45677.0</v>
      </c>
      <c r="L237" s="186">
        <v>45966.0</v>
      </c>
      <c r="M237" s="561" t="s">
        <v>61</v>
      </c>
      <c r="N237" s="56">
        <v>0.012</v>
      </c>
      <c r="O237" s="23" t="s">
        <v>66</v>
      </c>
      <c r="P237" s="57">
        <v>0.0</v>
      </c>
      <c r="Q237" s="58"/>
      <c r="R237" s="195" t="s">
        <v>2352</v>
      </c>
      <c r="S237" s="32" t="s">
        <v>194</v>
      </c>
      <c r="T237" s="32" t="s">
        <v>664</v>
      </c>
      <c r="U237" s="33" t="s">
        <v>268</v>
      </c>
      <c r="V237" s="33"/>
      <c r="W237" s="33" t="s">
        <v>268</v>
      </c>
      <c r="X237" s="23" t="s">
        <v>221</v>
      </c>
      <c r="Y237" s="49" t="str">
        <f t="shared" si="14"/>
        <v>Encerrado</v>
      </c>
      <c r="Z237" s="62"/>
      <c r="AA237" s="32" t="s">
        <v>47</v>
      </c>
      <c r="AB237" s="64"/>
      <c r="AC237" s="79"/>
      <c r="AD237" s="54">
        <v>45677.0</v>
      </c>
      <c r="AE237" s="77">
        <v>4.9075100017565E13</v>
      </c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>
        <v>0.0</v>
      </c>
      <c r="BH237" s="65">
        <v>0.0</v>
      </c>
      <c r="BI237" s="65">
        <v>0.0</v>
      </c>
      <c r="BJ237" s="65">
        <v>0.0</v>
      </c>
      <c r="BK237" s="65">
        <v>0.0</v>
      </c>
      <c r="BL237" s="65">
        <v>0.0</v>
      </c>
      <c r="BM237" s="65">
        <v>0.0</v>
      </c>
      <c r="BN237" s="65">
        <v>0.0</v>
      </c>
      <c r="BO237" s="65">
        <v>0.0</v>
      </c>
      <c r="BP237" s="65">
        <v>0.0</v>
      </c>
      <c r="BQ237" s="65">
        <v>0.0</v>
      </c>
      <c r="BR237" s="65">
        <v>0.0</v>
      </c>
      <c r="BS237" s="65">
        <v>0.0</v>
      </c>
      <c r="BT237" s="88">
        <v>0.0</v>
      </c>
      <c r="BU237" s="65">
        <v>0.0</v>
      </c>
      <c r="BV237" s="65">
        <v>0.0</v>
      </c>
      <c r="BW237" s="90">
        <v>0.0</v>
      </c>
      <c r="BX237" s="90">
        <v>0.0</v>
      </c>
      <c r="BY237" s="90" t="str">
        <f t="array" ref="BY237">XLOOKUP(C237,'PL TOTAL D0'!$A$3:$A$1991,'PL TOTAL D0'!$C$3:$C$1991,"")</f>
        <v/>
      </c>
    </row>
    <row r="238" ht="15.75" customHeight="1">
      <c r="A238" s="50" t="s">
        <v>24</v>
      </c>
      <c r="B238" s="50" t="s">
        <v>3950</v>
      </c>
      <c r="C238" s="94" t="s">
        <v>3951</v>
      </c>
      <c r="D238" s="81" t="s">
        <v>120</v>
      </c>
      <c r="E238" s="95" t="s">
        <v>54</v>
      </c>
      <c r="F238" s="81" t="s">
        <v>348</v>
      </c>
      <c r="G238" s="47" t="str">
        <f t="shared" si="13"/>
        <v>David</v>
      </c>
      <c r="H238" s="49" t="s">
        <v>224</v>
      </c>
      <c r="I238" s="49" t="s">
        <v>66</v>
      </c>
      <c r="J238" s="47" t="str">
        <f t="shared" si="15"/>
        <v>Não</v>
      </c>
      <c r="K238" s="97">
        <v>44951.0</v>
      </c>
      <c r="L238" s="55">
        <v>45308.0</v>
      </c>
      <c r="M238" s="62" t="s">
        <v>209</v>
      </c>
      <c r="N238" s="98">
        <v>0.015</v>
      </c>
      <c r="O238" s="47" t="s">
        <v>35</v>
      </c>
      <c r="P238" s="99">
        <v>0.1</v>
      </c>
      <c r="Q238" s="58"/>
      <c r="R238" s="195" t="s">
        <v>1767</v>
      </c>
      <c r="S238" s="62" t="s">
        <v>194</v>
      </c>
      <c r="T238" s="32" t="s">
        <v>3923</v>
      </c>
      <c r="U238" s="33" t="s">
        <v>268</v>
      </c>
      <c r="V238" s="33"/>
      <c r="W238" s="33" t="s">
        <v>268</v>
      </c>
      <c r="X238" s="23" t="s">
        <v>54</v>
      </c>
      <c r="Y238" s="49" t="str">
        <f t="shared" si="14"/>
        <v>Encerrado</v>
      </c>
      <c r="Z238" s="62"/>
      <c r="AA238" s="62"/>
      <c r="AB238" s="64"/>
      <c r="AC238" s="79"/>
      <c r="AD238" s="54">
        <v>44951.0</v>
      </c>
      <c r="AE238" s="77"/>
      <c r="AF238" s="79"/>
      <c r="AG238" s="79"/>
      <c r="AH238" s="79"/>
      <c r="AI238" s="65">
        <v>316204.27</v>
      </c>
      <c r="AJ238" s="65">
        <v>304847.72</v>
      </c>
      <c r="AK238" s="65">
        <v>307682.12</v>
      </c>
      <c r="AL238" s="65">
        <v>309166.56</v>
      </c>
      <c r="AM238" s="65">
        <v>198416.28</v>
      </c>
      <c r="AN238" s="65">
        <v>199994.84</v>
      </c>
      <c r="AO238" s="65">
        <v>201266.25</v>
      </c>
      <c r="AP238" s="65">
        <v>203028.42</v>
      </c>
      <c r="AQ238" s="65">
        <v>204677.74</v>
      </c>
      <c r="AR238" s="65">
        <v>184.86</v>
      </c>
      <c r="AS238" s="65">
        <v>0.33</v>
      </c>
      <c r="AT238" s="65">
        <v>0.0</v>
      </c>
      <c r="AU238" s="65">
        <v>0.0</v>
      </c>
      <c r="AV238" s="65">
        <v>0.0</v>
      </c>
      <c r="AW238" s="65">
        <v>0.0</v>
      </c>
      <c r="AX238" s="65">
        <v>0.0</v>
      </c>
      <c r="AY238" s="65">
        <v>0.0</v>
      </c>
      <c r="AZ238" s="65">
        <v>0.0</v>
      </c>
      <c r="BA238" s="65">
        <v>0.0</v>
      </c>
      <c r="BB238" s="65">
        <v>0.0</v>
      </c>
      <c r="BC238" s="65">
        <v>0.0</v>
      </c>
      <c r="BD238" s="65">
        <v>0.0</v>
      </c>
      <c r="BE238" s="65">
        <v>0.0</v>
      </c>
      <c r="BF238" s="65">
        <v>0.0</v>
      </c>
      <c r="BG238" s="65">
        <v>0.0</v>
      </c>
      <c r="BH238" s="65">
        <v>0.0</v>
      </c>
      <c r="BI238" s="65">
        <v>0.0</v>
      </c>
      <c r="BJ238" s="65">
        <v>0.0</v>
      </c>
      <c r="BK238" s="65">
        <v>0.0</v>
      </c>
      <c r="BL238" s="65">
        <v>0.0</v>
      </c>
      <c r="BM238" s="65">
        <v>0.0</v>
      </c>
      <c r="BN238" s="65">
        <v>0.0</v>
      </c>
      <c r="BO238" s="65">
        <v>0.0</v>
      </c>
      <c r="BP238" s="65">
        <v>0.0</v>
      </c>
      <c r="BQ238" s="65">
        <v>0.0</v>
      </c>
      <c r="BR238" s="65">
        <v>0.0</v>
      </c>
      <c r="BS238" s="65">
        <v>0.0</v>
      </c>
      <c r="BT238" s="88">
        <v>0.0</v>
      </c>
      <c r="BU238" s="65">
        <v>0.0</v>
      </c>
      <c r="BV238" s="65">
        <v>0.0</v>
      </c>
      <c r="BW238" s="90">
        <v>0.0</v>
      </c>
      <c r="BX238" s="90">
        <v>0.0</v>
      </c>
      <c r="BY238" s="90" t="str">
        <f t="array" ref="BY238">XLOOKUP(C238,'PL TOTAL D0'!$A$3:$A$1991,'PL TOTAL D0'!$C$3:$C$1991,"")</f>
        <v/>
      </c>
    </row>
    <row r="239" ht="15.0" customHeight="1">
      <c r="A239" s="50" t="s">
        <v>24</v>
      </c>
      <c r="B239" s="50" t="s">
        <v>3934</v>
      </c>
      <c r="C239" s="94" t="s">
        <v>3956</v>
      </c>
      <c r="D239" s="81" t="s">
        <v>120</v>
      </c>
      <c r="E239" s="95" t="s">
        <v>54</v>
      </c>
      <c r="F239" s="81" t="s">
        <v>379</v>
      </c>
      <c r="G239" s="47" t="str">
        <f t="shared" si="13"/>
        <v>David</v>
      </c>
      <c r="H239" s="49" t="s">
        <v>224</v>
      </c>
      <c r="I239" s="49" t="s">
        <v>66</v>
      </c>
      <c r="J239" s="47" t="str">
        <f t="shared" si="15"/>
        <v>Não</v>
      </c>
      <c r="K239" s="97">
        <v>45135.0</v>
      </c>
      <c r="L239" s="186">
        <v>45643.0</v>
      </c>
      <c r="M239" s="62" t="s">
        <v>361</v>
      </c>
      <c r="N239" s="98">
        <v>0.02</v>
      </c>
      <c r="O239" s="47" t="s">
        <v>35</v>
      </c>
      <c r="P239" s="99">
        <v>0.2</v>
      </c>
      <c r="Q239" s="58"/>
      <c r="R239" s="70"/>
      <c r="S239" s="62" t="s">
        <v>194</v>
      </c>
      <c r="T239" s="32" t="s">
        <v>3933</v>
      </c>
      <c r="U239" s="33" t="s">
        <v>268</v>
      </c>
      <c r="V239" s="33"/>
      <c r="W239" s="33" t="s">
        <v>268</v>
      </c>
      <c r="X239" s="23" t="s">
        <v>618</v>
      </c>
      <c r="Y239" s="49" t="str">
        <f t="shared" si="14"/>
        <v>Encerrado</v>
      </c>
      <c r="Z239" s="62"/>
      <c r="AA239" s="62"/>
      <c r="AB239" s="64" t="s">
        <v>269</v>
      </c>
      <c r="AC239" s="79"/>
      <c r="AD239" s="54">
        <v>45135.0</v>
      </c>
      <c r="AE239" s="77">
        <v>4.9075100007004E13</v>
      </c>
      <c r="AF239" s="79"/>
      <c r="AG239" s="79"/>
      <c r="AH239" s="79"/>
      <c r="AI239" s="79"/>
      <c r="AJ239" s="79"/>
      <c r="AK239" s="65">
        <v>0.0</v>
      </c>
      <c r="AL239" s="65">
        <v>0.0</v>
      </c>
      <c r="AM239" s="65">
        <v>0.0</v>
      </c>
      <c r="AN239" s="65">
        <v>0.0</v>
      </c>
      <c r="AO239" s="65">
        <v>234730.68</v>
      </c>
      <c r="AP239" s="65">
        <v>233004.03</v>
      </c>
      <c r="AQ239" s="65">
        <v>232341.14</v>
      </c>
      <c r="AR239" s="65">
        <v>229759.5</v>
      </c>
      <c r="AS239" s="65">
        <v>239272.45</v>
      </c>
      <c r="AT239" s="65">
        <v>247282.04</v>
      </c>
      <c r="AU239" s="65">
        <v>233883.16</v>
      </c>
      <c r="AV239" s="65">
        <v>225320.9</v>
      </c>
      <c r="AW239" s="65">
        <v>226091.54</v>
      </c>
      <c r="AX239" s="65">
        <v>220398.64</v>
      </c>
      <c r="AY239" s="65">
        <v>216926.8</v>
      </c>
      <c r="AZ239" s="65">
        <v>205004.5</v>
      </c>
      <c r="BA239" s="65">
        <v>209319.9</v>
      </c>
      <c r="BB239" s="65">
        <v>214050.58</v>
      </c>
      <c r="BC239" s="65">
        <v>212516.64</v>
      </c>
      <c r="BD239" s="65">
        <v>208656.11</v>
      </c>
      <c r="BE239" s="65">
        <v>205634.78</v>
      </c>
      <c r="BF239" s="65">
        <v>0.0</v>
      </c>
      <c r="BG239" s="65">
        <v>0.0</v>
      </c>
      <c r="BH239" s="65">
        <v>0.0</v>
      </c>
      <c r="BI239" s="65">
        <v>0.0</v>
      </c>
      <c r="BJ239" s="65">
        <v>0.0</v>
      </c>
      <c r="BK239" s="65">
        <v>0.0</v>
      </c>
      <c r="BL239" s="65">
        <v>0.0</v>
      </c>
      <c r="BM239" s="65">
        <v>0.0</v>
      </c>
      <c r="BN239" s="65">
        <v>0.0</v>
      </c>
      <c r="BO239" s="65">
        <v>0.0</v>
      </c>
      <c r="BP239" s="65">
        <v>0.0</v>
      </c>
      <c r="BQ239" s="65">
        <v>0.0</v>
      </c>
      <c r="BR239" s="65">
        <v>0.0</v>
      </c>
      <c r="BS239" s="65">
        <v>0.0</v>
      </c>
      <c r="BT239" s="88">
        <v>0.0</v>
      </c>
      <c r="BU239" s="65">
        <v>0.0</v>
      </c>
      <c r="BV239" s="65">
        <v>0.0</v>
      </c>
      <c r="BW239" s="90">
        <v>0.0</v>
      </c>
      <c r="BX239" s="90">
        <v>0.0</v>
      </c>
      <c r="BY239" s="90" t="str">
        <f t="array" ref="BY239">XLOOKUP(C239,'PL TOTAL D0'!$A$3:$A$1991,'PL TOTAL D0'!$C$3:$C$1991,"")</f>
        <v/>
      </c>
    </row>
    <row r="240" ht="15.0" customHeight="1">
      <c r="A240" s="50" t="s">
        <v>24</v>
      </c>
      <c r="B240" s="50" t="s">
        <v>3962</v>
      </c>
      <c r="C240" s="94" t="s">
        <v>3123</v>
      </c>
      <c r="D240" s="81" t="s">
        <v>89</v>
      </c>
      <c r="E240" s="95" t="s">
        <v>91</v>
      </c>
      <c r="F240" s="81" t="s">
        <v>193</v>
      </c>
      <c r="G240" s="47" t="str">
        <f t="shared" si="13"/>
        <v>David</v>
      </c>
      <c r="H240" s="49" t="s">
        <v>183</v>
      </c>
      <c r="I240" s="49" t="s">
        <v>66</v>
      </c>
      <c r="J240" s="47" t="str">
        <f t="shared" si="15"/>
        <v>Não</v>
      </c>
      <c r="K240" s="97">
        <v>46028.0</v>
      </c>
      <c r="L240" s="186"/>
      <c r="M240" s="62" t="s">
        <v>61</v>
      </c>
      <c r="N240" s="98">
        <v>0.012</v>
      </c>
      <c r="O240" s="47" t="s">
        <v>66</v>
      </c>
      <c r="P240" s="99">
        <v>0.0</v>
      </c>
      <c r="Q240" s="58"/>
      <c r="R240" s="70"/>
      <c r="S240" s="62" t="s">
        <v>194</v>
      </c>
      <c r="T240" s="32" t="s">
        <v>3963</v>
      </c>
      <c r="U240" s="33" t="s">
        <v>1292</v>
      </c>
      <c r="V240" s="33" t="s">
        <v>1294</v>
      </c>
      <c r="W240" s="33">
        <v>40879.0</v>
      </c>
      <c r="X240" s="23" t="s">
        <v>221</v>
      </c>
      <c r="Y240" s="49" t="str">
        <f t="shared" si="14"/>
        <v>Ativo</v>
      </c>
      <c r="Z240" s="62"/>
      <c r="AA240" s="62" t="s">
        <v>107</v>
      </c>
      <c r="AB240" s="64"/>
      <c r="AC240" s="79"/>
      <c r="AD240" s="54">
        <v>46203.0</v>
      </c>
      <c r="AE240" s="77"/>
      <c r="AF240" s="79"/>
      <c r="AG240" s="79"/>
      <c r="AH240" s="79"/>
      <c r="AI240" s="79"/>
      <c r="AJ240" s="79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>
        <v>203198.79</v>
      </c>
      <c r="BT240" s="88">
        <v>204981.6</v>
      </c>
      <c r="BU240" s="65">
        <v>207565.2</v>
      </c>
      <c r="BV240" s="65">
        <v>209893.3</v>
      </c>
      <c r="BW240" s="90">
        <v>211727.8</v>
      </c>
      <c r="BX240" s="90">
        <v>213876.58</v>
      </c>
      <c r="BY240" s="90">
        <f t="array" ref="BY240">XLOOKUP(C240,'PL TOTAL D0'!$A$3:$A$1991,'PL TOTAL D0'!$C$3:$C$1991,"")</f>
        <v>216017.11</v>
      </c>
    </row>
    <row r="241" ht="15.75" customHeight="1">
      <c r="A241" s="50" t="s">
        <v>24</v>
      </c>
      <c r="B241" s="50" t="s">
        <v>3966</v>
      </c>
      <c r="C241" s="94" t="s">
        <v>3968</v>
      </c>
      <c r="D241" s="81" t="s">
        <v>255</v>
      </c>
      <c r="E241" s="95" t="s">
        <v>199</v>
      </c>
      <c r="F241" s="81" t="s">
        <v>2328</v>
      </c>
      <c r="G241" s="47" t="str">
        <f t="shared" si="13"/>
        <v>David</v>
      </c>
      <c r="H241" s="49" t="s">
        <v>224</v>
      </c>
      <c r="I241" s="49" t="s">
        <v>66</v>
      </c>
      <c r="J241" s="47" t="str">
        <f t="shared" si="15"/>
        <v>Não</v>
      </c>
      <c r="K241" s="97">
        <v>45125.0</v>
      </c>
      <c r="L241" s="186">
        <v>45518.0</v>
      </c>
      <c r="M241" s="62" t="s">
        <v>557</v>
      </c>
      <c r="N241" s="98">
        <v>0.0085</v>
      </c>
      <c r="O241" s="47" t="s">
        <v>66</v>
      </c>
      <c r="P241" s="99">
        <v>0.0</v>
      </c>
      <c r="Q241" s="58"/>
      <c r="R241" s="58" t="s">
        <v>3969</v>
      </c>
      <c r="S241" s="62" t="s">
        <v>194</v>
      </c>
      <c r="T241" s="32" t="s">
        <v>3970</v>
      </c>
      <c r="U241" s="33" t="s">
        <v>268</v>
      </c>
      <c r="V241" s="33"/>
      <c r="W241" s="33" t="s">
        <v>268</v>
      </c>
      <c r="X241" s="23" t="s">
        <v>199</v>
      </c>
      <c r="Y241" s="49" t="str">
        <f t="shared" si="14"/>
        <v>Encerrado</v>
      </c>
      <c r="Z241" s="62"/>
      <c r="AA241" s="62"/>
      <c r="AB241" s="64" t="s">
        <v>269</v>
      </c>
      <c r="AC241" s="79"/>
      <c r="AD241" s="54">
        <v>45125.0</v>
      </c>
      <c r="AE241" s="77">
        <v>4.9075100006814E13</v>
      </c>
      <c r="AF241" s="79"/>
      <c r="AG241" s="79"/>
      <c r="AH241" s="79"/>
      <c r="AI241" s="79"/>
      <c r="AJ241" s="79"/>
      <c r="AK241" s="79"/>
      <c r="AL241" s="79"/>
      <c r="AM241" s="79"/>
      <c r="AN241" s="79"/>
      <c r="AO241" s="65">
        <v>398347.79</v>
      </c>
      <c r="AP241" s="65">
        <v>403615.16</v>
      </c>
      <c r="AQ241" s="65">
        <v>407487.54</v>
      </c>
      <c r="AR241" s="65">
        <v>411488.48</v>
      </c>
      <c r="AS241" s="65">
        <v>414768.22</v>
      </c>
      <c r="AT241" s="65">
        <v>418531.34</v>
      </c>
      <c r="AU241" s="65">
        <v>424134.4</v>
      </c>
      <c r="AV241" s="65">
        <v>427266.0</v>
      </c>
      <c r="AW241" s="65">
        <v>430801.34</v>
      </c>
      <c r="AX241" s="65">
        <v>434385.6</v>
      </c>
      <c r="AY241" s="65">
        <v>437667.6</v>
      </c>
      <c r="AZ241" s="65">
        <v>440898.9</v>
      </c>
      <c r="BA241" s="65">
        <v>0.0</v>
      </c>
      <c r="BB241" s="65">
        <v>0.0</v>
      </c>
      <c r="BC241" s="65">
        <v>0.0</v>
      </c>
      <c r="BD241" s="65">
        <v>0.0</v>
      </c>
      <c r="BE241" s="65">
        <v>0.0</v>
      </c>
      <c r="BF241" s="65">
        <v>0.0</v>
      </c>
      <c r="BG241" s="65">
        <v>0.0</v>
      </c>
      <c r="BH241" s="65">
        <v>0.0</v>
      </c>
      <c r="BI241" s="65">
        <v>0.0</v>
      </c>
      <c r="BJ241" s="65">
        <v>0.0</v>
      </c>
      <c r="BK241" s="65">
        <v>0.0</v>
      </c>
      <c r="BL241" s="65">
        <v>0.0</v>
      </c>
      <c r="BM241" s="65">
        <v>0.0</v>
      </c>
      <c r="BN241" s="65">
        <v>0.0</v>
      </c>
      <c r="BO241" s="65">
        <v>0.0</v>
      </c>
      <c r="BP241" s="65">
        <v>0.0</v>
      </c>
      <c r="BQ241" s="65">
        <v>0.0</v>
      </c>
      <c r="BR241" s="65">
        <v>0.0</v>
      </c>
      <c r="BS241" s="65">
        <v>0.0</v>
      </c>
      <c r="BT241" s="88">
        <v>0.0</v>
      </c>
      <c r="BU241" s="65">
        <v>0.0</v>
      </c>
      <c r="BV241" s="65">
        <v>0.0</v>
      </c>
      <c r="BW241" s="90">
        <v>0.0</v>
      </c>
      <c r="BX241" s="90">
        <v>0.0</v>
      </c>
      <c r="BY241" s="90" t="str">
        <f t="array" ref="BY241">XLOOKUP(C241,'PL TOTAL D0'!$A$3:$A$1991,'PL TOTAL D0'!$C$3:$C$1991,"")</f>
        <v/>
      </c>
    </row>
    <row r="242" ht="15.75" customHeight="1">
      <c r="A242" s="50" t="s">
        <v>24</v>
      </c>
      <c r="B242" s="50" t="s">
        <v>3973</v>
      </c>
      <c r="C242" s="94" t="s">
        <v>3974</v>
      </c>
      <c r="D242" s="81" t="s">
        <v>255</v>
      </c>
      <c r="E242" s="95" t="s">
        <v>199</v>
      </c>
      <c r="F242" s="81" t="s">
        <v>257</v>
      </c>
      <c r="G242" s="47" t="str">
        <f t="shared" si="13"/>
        <v>David</v>
      </c>
      <c r="H242" s="49" t="s">
        <v>224</v>
      </c>
      <c r="I242" s="49" t="s">
        <v>66</v>
      </c>
      <c r="J242" s="47" t="str">
        <f t="shared" si="15"/>
        <v>Não</v>
      </c>
      <c r="K242" s="97">
        <v>45091.0</v>
      </c>
      <c r="L242" s="55">
        <v>45516.0</v>
      </c>
      <c r="M242" s="62" t="s">
        <v>3975</v>
      </c>
      <c r="N242" s="98">
        <v>0.008</v>
      </c>
      <c r="O242" s="47" t="s">
        <v>66</v>
      </c>
      <c r="P242" s="99">
        <v>0.0</v>
      </c>
      <c r="Q242" s="58"/>
      <c r="R242" s="58" t="s">
        <v>3969</v>
      </c>
      <c r="S242" s="62" t="s">
        <v>194</v>
      </c>
      <c r="T242" s="32" t="s">
        <v>3976</v>
      </c>
      <c r="U242" s="33" t="s">
        <v>268</v>
      </c>
      <c r="V242" s="33"/>
      <c r="W242" s="33" t="s">
        <v>268</v>
      </c>
      <c r="X242" s="23" t="s">
        <v>199</v>
      </c>
      <c r="Y242" s="49" t="str">
        <f t="shared" si="14"/>
        <v>Encerrado</v>
      </c>
      <c r="Z242" s="62"/>
      <c r="AA242" s="62"/>
      <c r="AB242" s="64" t="s">
        <v>269</v>
      </c>
      <c r="AC242" s="79"/>
      <c r="AD242" s="54">
        <v>45091.0</v>
      </c>
      <c r="AE242" s="77">
        <v>4.9075100008922E13</v>
      </c>
      <c r="AF242" s="79"/>
      <c r="AG242" s="79"/>
      <c r="AH242" s="79"/>
      <c r="AI242" s="79"/>
      <c r="AJ242" s="79"/>
      <c r="AK242" s="79"/>
      <c r="AL242" s="79"/>
      <c r="AM242" s="79"/>
      <c r="AN242" s="65">
        <v>1008445.97</v>
      </c>
      <c r="AO242" s="65">
        <v>1374434.26</v>
      </c>
      <c r="AP242" s="65">
        <v>1412260.71</v>
      </c>
      <c r="AQ242" s="65">
        <v>1469971.37</v>
      </c>
      <c r="AR242" s="65">
        <v>1480823.47</v>
      </c>
      <c r="AS242" s="65">
        <v>1547379.69</v>
      </c>
      <c r="AT242" s="65">
        <v>1599126.7</v>
      </c>
      <c r="AU242" s="65">
        <v>1610207.1</v>
      </c>
      <c r="AV242" s="65">
        <v>1618981.81</v>
      </c>
      <c r="AW242" s="65">
        <v>1633210.16</v>
      </c>
      <c r="AX242" s="65">
        <v>1685276.08</v>
      </c>
      <c r="AY242" s="65">
        <v>1695873.0</v>
      </c>
      <c r="AZ242" s="65">
        <v>1754605.0</v>
      </c>
      <c r="BA242" s="65">
        <v>0.0</v>
      </c>
      <c r="BB242" s="65">
        <v>0.0</v>
      </c>
      <c r="BC242" s="65">
        <v>0.0</v>
      </c>
      <c r="BD242" s="65">
        <v>0.0</v>
      </c>
      <c r="BE242" s="65">
        <v>0.0</v>
      </c>
      <c r="BF242" s="65">
        <v>0.0</v>
      </c>
      <c r="BG242" s="65">
        <v>0.0</v>
      </c>
      <c r="BH242" s="65">
        <v>0.0</v>
      </c>
      <c r="BI242" s="65">
        <v>0.0</v>
      </c>
      <c r="BJ242" s="65">
        <v>0.0</v>
      </c>
      <c r="BK242" s="65">
        <v>0.0</v>
      </c>
      <c r="BL242" s="65">
        <v>0.0</v>
      </c>
      <c r="BM242" s="65">
        <v>0.0</v>
      </c>
      <c r="BN242" s="65">
        <v>0.0</v>
      </c>
      <c r="BO242" s="65">
        <v>0.0</v>
      </c>
      <c r="BP242" s="65">
        <v>0.0</v>
      </c>
      <c r="BQ242" s="65">
        <v>0.0</v>
      </c>
      <c r="BR242" s="65">
        <v>0.0</v>
      </c>
      <c r="BS242" s="65">
        <v>0.0</v>
      </c>
      <c r="BT242" s="88">
        <v>0.0</v>
      </c>
      <c r="BU242" s="65">
        <v>0.0</v>
      </c>
      <c r="BV242" s="65">
        <v>0.0</v>
      </c>
      <c r="BW242" s="90">
        <v>0.0</v>
      </c>
      <c r="BX242" s="90">
        <v>0.0</v>
      </c>
      <c r="BY242" s="90" t="str">
        <f t="array" ref="BY242">XLOOKUP(C242,'PL TOTAL D0'!$A$3:$A$1991,'PL TOTAL D0'!$C$3:$C$1991,"")</f>
        <v/>
      </c>
    </row>
    <row r="243" ht="15.75" customHeight="1">
      <c r="A243" s="50" t="s">
        <v>24</v>
      </c>
      <c r="B243" s="43" t="s">
        <v>3981</v>
      </c>
      <c r="C243" s="94" t="s">
        <v>3251</v>
      </c>
      <c r="D243" s="30" t="s">
        <v>120</v>
      </c>
      <c r="E243" s="22" t="s">
        <v>54</v>
      </c>
      <c r="F243" s="30" t="s">
        <v>125</v>
      </c>
      <c r="G243" s="47" t="str">
        <f t="shared" si="13"/>
        <v>David</v>
      </c>
      <c r="H243" s="49" t="s">
        <v>183</v>
      </c>
      <c r="I243" s="49" t="s">
        <v>66</v>
      </c>
      <c r="J243" s="47" t="str">
        <f t="shared" si="15"/>
        <v>Não</v>
      </c>
      <c r="K243" s="54">
        <v>45784.0</v>
      </c>
      <c r="L243" s="55"/>
      <c r="M243" s="32" t="s">
        <v>61</v>
      </c>
      <c r="N243" s="56">
        <v>0.012</v>
      </c>
      <c r="O243" s="23" t="s">
        <v>66</v>
      </c>
      <c r="P243" s="57">
        <v>0.0</v>
      </c>
      <c r="Q243" s="58"/>
      <c r="R243" s="58"/>
      <c r="S243" s="32" t="s">
        <v>194</v>
      </c>
      <c r="T243" s="32" t="s">
        <v>3984</v>
      </c>
      <c r="U243" s="33">
        <v>5.562984347403E12</v>
      </c>
      <c r="V243" s="33" t="s">
        <v>3985</v>
      </c>
      <c r="W243" s="34">
        <v>11765.0</v>
      </c>
      <c r="X243" s="23" t="s">
        <v>54</v>
      </c>
      <c r="Y243" s="49" t="str">
        <f t="shared" si="14"/>
        <v>Ativo</v>
      </c>
      <c r="Z243" s="62"/>
      <c r="AA243" s="32" t="s">
        <v>107</v>
      </c>
      <c r="AB243" s="64"/>
      <c r="AC243" s="79"/>
      <c r="AD243" s="54">
        <v>45785.0</v>
      </c>
      <c r="AE243" s="77">
        <v>4.907510001879E13</v>
      </c>
      <c r="AF243" s="79"/>
      <c r="AG243" s="79"/>
      <c r="AH243" s="79"/>
      <c r="AI243" s="79"/>
      <c r="AJ243" s="79"/>
      <c r="AK243" s="79"/>
      <c r="AL243" s="79"/>
      <c r="AM243" s="79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>
        <v>118030.06</v>
      </c>
      <c r="BL243" s="65">
        <v>119213.28</v>
      </c>
      <c r="BM243" s="65">
        <v>120554.09</v>
      </c>
      <c r="BN243" s="65">
        <v>121805.5</v>
      </c>
      <c r="BO243" s="65">
        <v>123005.8</v>
      </c>
      <c r="BP243" s="65">
        <v>124211.5</v>
      </c>
      <c r="BQ243" s="65">
        <v>125297.2</v>
      </c>
      <c r="BR243" s="65">
        <v>126409.8</v>
      </c>
      <c r="BS243" s="65">
        <v>127813.0</v>
      </c>
      <c r="BT243" s="88">
        <v>128901.5</v>
      </c>
      <c r="BU243" s="65">
        <v>130454.4</v>
      </c>
      <c r="BV243" s="65">
        <v>131994.7</v>
      </c>
      <c r="BW243" s="90">
        <v>132264.0</v>
      </c>
      <c r="BX243" s="90">
        <v>133534.81</v>
      </c>
      <c r="BY243" s="90">
        <f t="array" ref="BY243">XLOOKUP(C243,'PL TOTAL D0'!$A$3:$A$1991,'PL TOTAL D0'!$C$3:$C$1991,"")</f>
        <v>135125.85</v>
      </c>
    </row>
    <row r="244" ht="15.75" customHeight="1">
      <c r="A244" s="50" t="s">
        <v>24</v>
      </c>
      <c r="B244" s="43" t="s">
        <v>3986</v>
      </c>
      <c r="C244" s="94" t="s">
        <v>3987</v>
      </c>
      <c r="D244" s="30" t="s">
        <v>142</v>
      </c>
      <c r="E244" s="22" t="s">
        <v>54</v>
      </c>
      <c r="F244" s="30" t="s">
        <v>158</v>
      </c>
      <c r="G244" s="47" t="str">
        <f t="shared" si="13"/>
        <v>Gabriel</v>
      </c>
      <c r="H244" s="49" t="s">
        <v>183</v>
      </c>
      <c r="I244" s="49" t="s">
        <v>382</v>
      </c>
      <c r="J244" s="47" t="str">
        <f t="shared" si="15"/>
        <v>Não</v>
      </c>
      <c r="K244" s="54">
        <v>45807.0</v>
      </c>
      <c r="L244" s="55"/>
      <c r="M244" s="32" t="s">
        <v>61</v>
      </c>
      <c r="N244" s="56">
        <v>0.012</v>
      </c>
      <c r="O244" s="23" t="s">
        <v>66</v>
      </c>
      <c r="P244" s="57">
        <v>0.0</v>
      </c>
      <c r="Q244" s="58"/>
      <c r="R244" s="58"/>
      <c r="S244" s="32" t="s">
        <v>234</v>
      </c>
      <c r="T244" s="32" t="s">
        <v>3988</v>
      </c>
      <c r="U244" s="33">
        <v>5.562999069407E12</v>
      </c>
      <c r="V244" s="33" t="s">
        <v>3989</v>
      </c>
      <c r="W244" s="34">
        <v>44971.0</v>
      </c>
      <c r="X244" s="23" t="s">
        <v>54</v>
      </c>
      <c r="Y244" s="49" t="str">
        <f t="shared" si="14"/>
        <v>Ativo</v>
      </c>
      <c r="Z244" s="62"/>
      <c r="AA244" s="32" t="s">
        <v>47</v>
      </c>
      <c r="AB244" s="64"/>
      <c r="AC244" s="79"/>
      <c r="AD244" s="54">
        <v>45818.0</v>
      </c>
      <c r="AE244" s="77">
        <v>4.9075100018979E13</v>
      </c>
      <c r="AF244" s="79"/>
      <c r="AG244" s="79"/>
      <c r="AH244" s="79"/>
      <c r="AI244" s="79"/>
      <c r="AJ244" s="79"/>
      <c r="AK244" s="79"/>
      <c r="AL244" s="79"/>
      <c r="AM244" s="79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>
        <v>0.0</v>
      </c>
      <c r="BL244" s="65">
        <v>1509429.47</v>
      </c>
      <c r="BM244" s="65">
        <v>1527469.39</v>
      </c>
      <c r="BN244" s="65">
        <v>1036412.0</v>
      </c>
      <c r="BO244" s="65">
        <v>1045660.28</v>
      </c>
      <c r="BP244" s="65">
        <v>547219.5</v>
      </c>
      <c r="BQ244" s="65">
        <v>551312.1</v>
      </c>
      <c r="BR244" s="65">
        <v>555964.5</v>
      </c>
      <c r="BS244" s="65">
        <v>562390.12</v>
      </c>
      <c r="BT244" s="88">
        <v>566488.6</v>
      </c>
      <c r="BU244" s="65">
        <v>572996.8</v>
      </c>
      <c r="BV244" s="65">
        <v>370297.0</v>
      </c>
      <c r="BW244" s="90">
        <v>0.0</v>
      </c>
      <c r="BX244" s="90">
        <v>0.46</v>
      </c>
      <c r="BY244" s="90" t="str">
        <f t="array" ref="BY244">XLOOKUP(C244,'PL TOTAL D0'!$A$3:$A$1991,'PL TOTAL D0'!$C$3:$C$1991,"")</f>
        <v/>
      </c>
    </row>
    <row r="245" ht="15.75" customHeight="1">
      <c r="A245" s="50" t="s">
        <v>24</v>
      </c>
      <c r="B245" s="566" t="s">
        <v>1594</v>
      </c>
      <c r="C245" s="94" t="s">
        <v>3278</v>
      </c>
      <c r="D245" s="81" t="s">
        <v>120</v>
      </c>
      <c r="E245" s="95" t="s">
        <v>54</v>
      </c>
      <c r="F245" s="30" t="s">
        <v>125</v>
      </c>
      <c r="G245" s="47" t="str">
        <f t="shared" si="13"/>
        <v>David</v>
      </c>
      <c r="H245" s="49" t="s">
        <v>183</v>
      </c>
      <c r="I245" s="74" t="s">
        <v>66</v>
      </c>
      <c r="J245" s="47" t="str">
        <f t="shared" si="15"/>
        <v>Não</v>
      </c>
      <c r="K245" s="97">
        <v>45210.0</v>
      </c>
      <c r="L245" s="62"/>
      <c r="M245" s="62" t="s">
        <v>1142</v>
      </c>
      <c r="N245" s="98">
        <v>0.008</v>
      </c>
      <c r="O245" s="47" t="s">
        <v>1143</v>
      </c>
      <c r="P245" s="99">
        <v>0.1</v>
      </c>
      <c r="Q245" s="58"/>
      <c r="R245" s="70"/>
      <c r="S245" s="62" t="s">
        <v>194</v>
      </c>
      <c r="T245" s="32" t="s">
        <v>1597</v>
      </c>
      <c r="U245" s="33">
        <v>7.7998521002E10</v>
      </c>
      <c r="V245" s="33" t="s">
        <v>1599</v>
      </c>
      <c r="W245" s="34">
        <v>25818.0</v>
      </c>
      <c r="X245" s="23" t="s">
        <v>54</v>
      </c>
      <c r="Y245" s="49" t="str">
        <f t="shared" si="14"/>
        <v>Ativo</v>
      </c>
      <c r="Z245" s="62"/>
      <c r="AA245" s="62"/>
      <c r="AB245" s="64" t="s">
        <v>269</v>
      </c>
      <c r="AC245" s="79"/>
      <c r="AD245" s="54">
        <v>45210.0</v>
      </c>
      <c r="AE245" s="77">
        <v>4.9075100012253E13</v>
      </c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65">
        <v>49615.32</v>
      </c>
      <c r="AS245" s="65">
        <v>50533.38</v>
      </c>
      <c r="AT245" s="65">
        <v>51759.93</v>
      </c>
      <c r="AU245" s="65">
        <v>101839.47</v>
      </c>
      <c r="AV245" s="65">
        <v>103856.32</v>
      </c>
      <c r="AW245" s="65">
        <v>104663.11</v>
      </c>
      <c r="AX245" s="65">
        <v>103279.46</v>
      </c>
      <c r="AY245" s="65">
        <v>102932.0</v>
      </c>
      <c r="AZ245" s="65">
        <v>102317.6</v>
      </c>
      <c r="BA245" s="65">
        <v>103461.8</v>
      </c>
      <c r="BB245" s="65">
        <v>104790.19</v>
      </c>
      <c r="BC245" s="65">
        <v>103286.06</v>
      </c>
      <c r="BD245" s="65">
        <v>102529.54</v>
      </c>
      <c r="BE245" s="65">
        <v>101588.03</v>
      </c>
      <c r="BF245" s="65">
        <v>101654.38</v>
      </c>
      <c r="BG245" s="65">
        <v>101889.2</v>
      </c>
      <c r="BH245" s="65">
        <v>103247.77</v>
      </c>
      <c r="BI245" s="65">
        <v>106115.53</v>
      </c>
      <c r="BJ245" s="65">
        <v>109944.22</v>
      </c>
      <c r="BK245" s="65">
        <v>110172.69</v>
      </c>
      <c r="BL245" s="65">
        <v>110478.76</v>
      </c>
      <c r="BM245" s="65">
        <v>109775.87</v>
      </c>
      <c r="BN245" s="65">
        <v>111203.0</v>
      </c>
      <c r="BO245" s="65">
        <v>113514.99</v>
      </c>
      <c r="BP245" s="65">
        <v>114327.3</v>
      </c>
      <c r="BQ245" s="65">
        <v>116293.4</v>
      </c>
      <c r="BR245" s="65">
        <v>117000.5</v>
      </c>
      <c r="BS245" s="65">
        <v>118278.03</v>
      </c>
      <c r="BT245" s="88">
        <v>117722.2</v>
      </c>
      <c r="BU245" s="65">
        <v>117919.8</v>
      </c>
      <c r="BV245" s="65">
        <v>119231.8</v>
      </c>
      <c r="BW245" s="90">
        <v>118970.0</v>
      </c>
      <c r="BX245" s="90">
        <v>117517.15</v>
      </c>
      <c r="BY245" s="90">
        <f t="array" ref="BY245">XLOOKUP(C245,'PL TOTAL D0'!$A$3:$A$1991,'PL TOTAL D0'!$C$3:$C$1991,"")</f>
        <v>116694.76</v>
      </c>
    </row>
    <row r="246" ht="15.75" customHeight="1">
      <c r="A246" s="50" t="s">
        <v>24</v>
      </c>
      <c r="B246" s="50" t="s">
        <v>4010</v>
      </c>
      <c r="C246" s="94" t="s">
        <v>2555</v>
      </c>
      <c r="D246" s="81" t="s">
        <v>120</v>
      </c>
      <c r="E246" s="95" t="s">
        <v>54</v>
      </c>
      <c r="F246" s="30" t="s">
        <v>125</v>
      </c>
      <c r="G246" s="47" t="str">
        <f t="shared" si="13"/>
        <v>Marcus</v>
      </c>
      <c r="H246" s="49" t="s">
        <v>183</v>
      </c>
      <c r="I246" s="49" t="s">
        <v>66</v>
      </c>
      <c r="J246" s="47" t="str">
        <f t="shared" si="15"/>
        <v>Sim</v>
      </c>
      <c r="K246" s="97">
        <v>45012.0</v>
      </c>
      <c r="L246" s="62"/>
      <c r="M246" s="62" t="s">
        <v>61</v>
      </c>
      <c r="N246" s="56">
        <v>0.01</v>
      </c>
      <c r="O246" s="47" t="s">
        <v>66</v>
      </c>
      <c r="P246" s="99">
        <v>0.0</v>
      </c>
      <c r="Q246" s="58" t="s">
        <v>4011</v>
      </c>
      <c r="R246" s="70"/>
      <c r="S246" s="62" t="s">
        <v>194</v>
      </c>
      <c r="T246" s="32" t="s">
        <v>1597</v>
      </c>
      <c r="U246" s="33">
        <v>7.7998521002E10</v>
      </c>
      <c r="V246" s="33" t="s">
        <v>1599</v>
      </c>
      <c r="W246" s="34">
        <v>25818.0</v>
      </c>
      <c r="X246" s="23" t="s">
        <v>54</v>
      </c>
      <c r="Y246" s="49" t="str">
        <f t="shared" si="14"/>
        <v>Ativo</v>
      </c>
      <c r="Z246" s="62"/>
      <c r="AA246" s="62"/>
      <c r="AB246" s="64" t="s">
        <v>269</v>
      </c>
      <c r="AC246" s="79"/>
      <c r="AD246" s="54">
        <v>45012.0</v>
      </c>
      <c r="AE246" s="77">
        <v>4.907510000859E13</v>
      </c>
      <c r="AF246" s="79"/>
      <c r="AG246" s="79"/>
      <c r="AH246" s="79"/>
      <c r="AI246" s="79"/>
      <c r="AJ246" s="79"/>
      <c r="AK246" s="65">
        <v>872141.19</v>
      </c>
      <c r="AL246" s="65">
        <v>776700.26</v>
      </c>
      <c r="AM246" s="65">
        <v>832614.92</v>
      </c>
      <c r="AN246" s="65">
        <v>986813.1</v>
      </c>
      <c r="AO246" s="65">
        <v>994494.78</v>
      </c>
      <c r="AP246" s="65">
        <v>1002548.97</v>
      </c>
      <c r="AQ246" s="65">
        <v>1010372.48</v>
      </c>
      <c r="AR246" s="65">
        <v>1018991.99</v>
      </c>
      <c r="AS246" s="65">
        <v>1025563.17</v>
      </c>
      <c r="AT246" s="65">
        <v>1033375.41</v>
      </c>
      <c r="AU246" s="65">
        <v>980323.12</v>
      </c>
      <c r="AV246" s="65">
        <v>988192.13</v>
      </c>
      <c r="AW246" s="65">
        <v>996713.38</v>
      </c>
      <c r="AX246" s="65">
        <v>1003549.62</v>
      </c>
      <c r="AY246" s="65">
        <v>1010548.0</v>
      </c>
      <c r="AZ246" s="65">
        <v>1018149.0</v>
      </c>
      <c r="BA246" s="65">
        <v>1025075.0</v>
      </c>
      <c r="BB246" s="65">
        <v>1032638.06</v>
      </c>
      <c r="BC246" s="65">
        <v>1037316.09</v>
      </c>
      <c r="BD246" s="65">
        <v>1046716.33</v>
      </c>
      <c r="BE246" s="65">
        <v>1053693.63</v>
      </c>
      <c r="BF246" s="65">
        <v>1061350.26</v>
      </c>
      <c r="BG246" s="65">
        <v>1071531.06</v>
      </c>
      <c r="BH246" s="65">
        <v>1068544.37</v>
      </c>
      <c r="BI246" s="65">
        <v>1078868.23</v>
      </c>
      <c r="BJ246" s="65">
        <v>1089576.24</v>
      </c>
      <c r="BK246" s="65">
        <v>1246098.46</v>
      </c>
      <c r="BL246" s="65">
        <v>1255518.77</v>
      </c>
      <c r="BM246" s="65">
        <v>1269272.0</v>
      </c>
      <c r="BN246" s="65">
        <v>2285063.0</v>
      </c>
      <c r="BO246" s="65">
        <v>2290582.16</v>
      </c>
      <c r="BP246" s="65">
        <v>2468432.0</v>
      </c>
      <c r="BQ246" s="65">
        <v>2522656.0</v>
      </c>
      <c r="BR246" s="65">
        <v>2531793.0</v>
      </c>
      <c r="BS246" s="65">
        <v>2540560.29</v>
      </c>
      <c r="BT246" s="88">
        <v>2530104.0</v>
      </c>
      <c r="BU246" s="65">
        <v>2503313.0</v>
      </c>
      <c r="BV246" s="65">
        <v>2478984.0</v>
      </c>
      <c r="BW246" s="90">
        <v>2456390.0</v>
      </c>
      <c r="BX246" s="90">
        <v>2438747.18</v>
      </c>
      <c r="BY246" s="90">
        <f t="array" ref="BY246">XLOOKUP(C246,'PL TOTAL D0'!$A$3:$A$1991,'PL TOTAL D0'!$C$3:$C$1991,"")</f>
        <v>2426163.13</v>
      </c>
    </row>
    <row r="247" ht="15.75" customHeight="1">
      <c r="A247" s="50" t="s">
        <v>24</v>
      </c>
      <c r="B247" s="50" t="s">
        <v>4012</v>
      </c>
      <c r="C247" s="94" t="s">
        <v>4013</v>
      </c>
      <c r="D247" s="81" t="s">
        <v>120</v>
      </c>
      <c r="E247" s="95" t="s">
        <v>199</v>
      </c>
      <c r="F247" s="81" t="s">
        <v>1914</v>
      </c>
      <c r="G247" s="47" t="str">
        <f t="shared" si="13"/>
        <v>David</v>
      </c>
      <c r="H247" s="49" t="s">
        <v>224</v>
      </c>
      <c r="I247" s="49" t="s">
        <v>66</v>
      </c>
      <c r="J247" s="47" t="str">
        <f t="shared" si="15"/>
        <v>Não</v>
      </c>
      <c r="K247" s="97">
        <v>45070.0</v>
      </c>
      <c r="L247" s="55">
        <v>45775.0</v>
      </c>
      <c r="M247" s="32" t="s">
        <v>390</v>
      </c>
      <c r="N247" s="56">
        <v>0.0</v>
      </c>
      <c r="O247" s="23" t="s">
        <v>66</v>
      </c>
      <c r="P247" s="57">
        <v>0.0</v>
      </c>
      <c r="Q247" s="58"/>
      <c r="R247" s="58" t="s">
        <v>4014</v>
      </c>
      <c r="S247" s="62" t="s">
        <v>194</v>
      </c>
      <c r="T247" s="32" t="s">
        <v>4015</v>
      </c>
      <c r="U247" s="33" t="s">
        <v>268</v>
      </c>
      <c r="V247" s="33"/>
      <c r="W247" s="33" t="s">
        <v>268</v>
      </c>
      <c r="X247" s="23" t="s">
        <v>199</v>
      </c>
      <c r="Y247" s="49" t="str">
        <f t="shared" si="14"/>
        <v>Encerrado</v>
      </c>
      <c r="Z247" s="62"/>
      <c r="AA247" s="62"/>
      <c r="AB247" s="64" t="s">
        <v>269</v>
      </c>
      <c r="AC247" s="79"/>
      <c r="AD247" s="54">
        <v>45070.0</v>
      </c>
      <c r="AE247" s="77">
        <v>4.9075100007888E13</v>
      </c>
      <c r="AF247" s="79"/>
      <c r="AG247" s="79"/>
      <c r="AH247" s="79"/>
      <c r="AI247" s="79"/>
      <c r="AJ247" s="65">
        <v>0.0</v>
      </c>
      <c r="AK247" s="65">
        <v>0.0</v>
      </c>
      <c r="AL247" s="65">
        <v>0.0</v>
      </c>
      <c r="AM247" s="65">
        <v>40189.89</v>
      </c>
      <c r="AN247" s="65">
        <v>40597.33</v>
      </c>
      <c r="AO247" s="65">
        <v>40979.01</v>
      </c>
      <c r="AP247" s="65">
        <v>41391.99</v>
      </c>
      <c r="AQ247" s="65">
        <v>41327.2</v>
      </c>
      <c r="AR247" s="65">
        <v>41555.67</v>
      </c>
      <c r="AS247" s="65">
        <v>42154.81</v>
      </c>
      <c r="AT247" s="65">
        <v>42921.06</v>
      </c>
      <c r="AU247" s="65">
        <v>42240.85</v>
      </c>
      <c r="AV247" s="65">
        <v>42592.39</v>
      </c>
      <c r="AW247" s="65">
        <v>43052.43</v>
      </c>
      <c r="AX247" s="65">
        <v>42823.71</v>
      </c>
      <c r="AY247" s="65">
        <v>42990.73</v>
      </c>
      <c r="AZ247" s="65">
        <v>43328.18</v>
      </c>
      <c r="BA247" s="65">
        <v>43712.15</v>
      </c>
      <c r="BB247" s="65">
        <v>44086.29</v>
      </c>
      <c r="BC247" s="65">
        <v>44421.52</v>
      </c>
      <c r="BD247" s="65">
        <v>44832.21</v>
      </c>
      <c r="BE247" s="65">
        <v>45072.57</v>
      </c>
      <c r="BF247" s="65">
        <v>45269.89</v>
      </c>
      <c r="BG247" s="65">
        <v>45750.53</v>
      </c>
      <c r="BH247" s="65">
        <v>0.0</v>
      </c>
      <c r="BI247" s="65">
        <v>0.0</v>
      </c>
      <c r="BJ247" s="65">
        <v>0.0</v>
      </c>
      <c r="BK247" s="65">
        <v>0.0</v>
      </c>
      <c r="BL247" s="65">
        <v>0.0</v>
      </c>
      <c r="BM247" s="65">
        <v>0.0</v>
      </c>
      <c r="BN247" s="65">
        <v>0.0</v>
      </c>
      <c r="BO247" s="65">
        <v>0.0</v>
      </c>
      <c r="BP247" s="65">
        <v>0.0</v>
      </c>
      <c r="BQ247" s="65">
        <v>0.0</v>
      </c>
      <c r="BR247" s="65">
        <v>0.0</v>
      </c>
      <c r="BS247" s="65">
        <v>0.0</v>
      </c>
      <c r="BT247" s="88">
        <v>0.0</v>
      </c>
      <c r="BU247" s="65">
        <v>0.0</v>
      </c>
      <c r="BV247" s="65">
        <v>0.0</v>
      </c>
      <c r="BW247" s="90">
        <v>0.0</v>
      </c>
      <c r="BX247" s="90">
        <v>0.0</v>
      </c>
      <c r="BY247" s="90" t="str">
        <f t="array" ref="BY247">XLOOKUP(C247,'PL TOTAL D0'!$A$3:$A$1991,'PL TOTAL D0'!$C$3:$C$1991,"")</f>
        <v/>
      </c>
    </row>
    <row r="248" ht="15.75" customHeight="1">
      <c r="A248" s="50" t="s">
        <v>24</v>
      </c>
      <c r="B248" s="43" t="s">
        <v>4018</v>
      </c>
      <c r="C248" s="94" t="s">
        <v>2876</v>
      </c>
      <c r="D248" s="30" t="s">
        <v>89</v>
      </c>
      <c r="E248" s="22" t="s">
        <v>91</v>
      </c>
      <c r="F248" s="30" t="s">
        <v>521</v>
      </c>
      <c r="G248" s="47" t="str">
        <f t="shared" si="13"/>
        <v>Gabriel</v>
      </c>
      <c r="H248" s="49" t="s">
        <v>183</v>
      </c>
      <c r="I248" s="49" t="s">
        <v>66</v>
      </c>
      <c r="J248" s="47" t="str">
        <f t="shared" si="15"/>
        <v>Não</v>
      </c>
      <c r="K248" s="54">
        <v>45777.0</v>
      </c>
      <c r="L248" s="55"/>
      <c r="M248" s="32" t="s">
        <v>34</v>
      </c>
      <c r="N248" s="56">
        <v>0.012</v>
      </c>
      <c r="O248" s="23" t="s">
        <v>35</v>
      </c>
      <c r="P248" s="57">
        <v>0.1</v>
      </c>
      <c r="Q248" s="58"/>
      <c r="R248" s="58"/>
      <c r="S248" s="32" t="s">
        <v>194</v>
      </c>
      <c r="T248" s="32" t="s">
        <v>4021</v>
      </c>
      <c r="U248" s="33">
        <v>5.543999917547E12</v>
      </c>
      <c r="V248" s="33" t="s">
        <v>4023</v>
      </c>
      <c r="W248" s="48">
        <v>25498.0</v>
      </c>
      <c r="X248" s="23" t="s">
        <v>221</v>
      </c>
      <c r="Y248" s="49" t="str">
        <f t="shared" si="14"/>
        <v>Ativo</v>
      </c>
      <c r="Z248" s="62"/>
      <c r="AA248" s="32" t="s">
        <v>47</v>
      </c>
      <c r="AB248" s="64"/>
      <c r="AC248" s="79"/>
      <c r="AD248" s="54">
        <v>45785.0</v>
      </c>
      <c r="AE248" s="77">
        <v>4.9075100018812E13</v>
      </c>
      <c r="AF248" s="79"/>
      <c r="AG248" s="79"/>
      <c r="AH248" s="79"/>
      <c r="AI248" s="79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>
        <v>0.0</v>
      </c>
      <c r="BK248" s="65">
        <v>81432.36</v>
      </c>
      <c r="BL248" s="65">
        <v>434782.98</v>
      </c>
      <c r="BM248" s="65">
        <v>439644.34</v>
      </c>
      <c r="BN248" s="65">
        <v>496953.8</v>
      </c>
      <c r="BO248" s="65">
        <v>503507.44</v>
      </c>
      <c r="BP248" s="65">
        <v>508763.3</v>
      </c>
      <c r="BQ248" s="65">
        <v>513480.0</v>
      </c>
      <c r="BR248" s="65">
        <v>518499.5</v>
      </c>
      <c r="BS248" s="65">
        <v>524264.89</v>
      </c>
      <c r="BT248" s="88">
        <v>528441.5</v>
      </c>
      <c r="BU248" s="65">
        <v>535677.8</v>
      </c>
      <c r="BV248" s="65">
        <v>536389.1</v>
      </c>
      <c r="BW248" s="90">
        <v>535088.8</v>
      </c>
      <c r="BX248" s="90">
        <v>538951.82</v>
      </c>
      <c r="BY248" s="90">
        <f t="array" ref="BY248">XLOOKUP(C248,'PL TOTAL D0'!$A$3:$A$1991,'PL TOTAL D0'!$C$3:$C$1991,"")</f>
        <v>529822.38</v>
      </c>
    </row>
    <row r="249" ht="15.75" customHeight="1">
      <c r="A249" s="50" t="s">
        <v>24</v>
      </c>
      <c r="B249" s="176" t="s">
        <v>4026</v>
      </c>
      <c r="C249" s="94" t="s">
        <v>4027</v>
      </c>
      <c r="D249" s="81" t="s">
        <v>120</v>
      </c>
      <c r="E249" s="95" t="s">
        <v>54</v>
      </c>
      <c r="F249" s="81" t="s">
        <v>4028</v>
      </c>
      <c r="G249" s="47" t="str">
        <f t="shared" si="13"/>
        <v>David</v>
      </c>
      <c r="H249" s="49" t="s">
        <v>224</v>
      </c>
      <c r="I249" s="49" t="s">
        <v>66</v>
      </c>
      <c r="J249" s="47" t="str">
        <f t="shared" ref="J249:J252" si="16">IF(R249=0,"Não","Sim")</f>
        <v>Sim</v>
      </c>
      <c r="K249" s="97">
        <v>45016.0</v>
      </c>
      <c r="L249" s="55">
        <v>45449.0</v>
      </c>
      <c r="M249" s="62" t="s">
        <v>61</v>
      </c>
      <c r="N249" s="98">
        <v>0.012</v>
      </c>
      <c r="O249" s="47" t="s">
        <v>66</v>
      </c>
      <c r="P249" s="99">
        <v>0.0</v>
      </c>
      <c r="Q249" s="58"/>
      <c r="R249" s="195" t="s">
        <v>1767</v>
      </c>
      <c r="S249" s="62" t="s">
        <v>194</v>
      </c>
      <c r="T249" s="32" t="s">
        <v>4029</v>
      </c>
      <c r="U249" s="33" t="s">
        <v>268</v>
      </c>
      <c r="V249" s="33"/>
      <c r="W249" s="33" t="s">
        <v>268</v>
      </c>
      <c r="X249" s="23" t="s">
        <v>199</v>
      </c>
      <c r="Y249" s="49" t="str">
        <f t="shared" si="14"/>
        <v>Encerrado</v>
      </c>
      <c r="Z249" s="62"/>
      <c r="AA249" s="62"/>
      <c r="AB249" s="64" t="s">
        <v>244</v>
      </c>
      <c r="AC249" s="79"/>
      <c r="AD249" s="54">
        <v>45016.0</v>
      </c>
      <c r="AE249" s="77">
        <v>4.9075100006725E13</v>
      </c>
      <c r="AF249" s="79"/>
      <c r="AG249" s="79"/>
      <c r="AH249" s="79"/>
      <c r="AI249" s="79"/>
      <c r="AJ249" s="79"/>
      <c r="AK249" s="65">
        <v>150000.0</v>
      </c>
      <c r="AL249" s="65">
        <v>402278.31</v>
      </c>
      <c r="AM249" s="65">
        <v>607920.45</v>
      </c>
      <c r="AN249" s="65">
        <v>545178.37</v>
      </c>
      <c r="AO249" s="65">
        <v>153657.18</v>
      </c>
      <c r="AP249" s="65">
        <v>155248.84</v>
      </c>
      <c r="AQ249" s="65">
        <v>156276.72</v>
      </c>
      <c r="AR249" s="65">
        <v>157671.03</v>
      </c>
      <c r="AS249" s="65">
        <v>158858.37</v>
      </c>
      <c r="AT249" s="65">
        <v>159521.69</v>
      </c>
      <c r="AU249" s="65">
        <v>160872.74</v>
      </c>
      <c r="AV249" s="65">
        <v>161705.45</v>
      </c>
      <c r="AW249" s="65">
        <v>0.0</v>
      </c>
      <c r="AX249" s="65">
        <v>0.0</v>
      </c>
      <c r="AY249" s="65">
        <v>0.0</v>
      </c>
      <c r="AZ249" s="65">
        <v>0.0</v>
      </c>
      <c r="BA249" s="65">
        <v>0.0</v>
      </c>
      <c r="BB249" s="65">
        <v>0.0</v>
      </c>
      <c r="BC249" s="65">
        <v>0.0</v>
      </c>
      <c r="BD249" s="65">
        <v>0.0</v>
      </c>
      <c r="BE249" s="65">
        <v>0.0</v>
      </c>
      <c r="BF249" s="65">
        <v>0.0</v>
      </c>
      <c r="BG249" s="65">
        <v>0.0</v>
      </c>
      <c r="BH249" s="65">
        <v>0.0</v>
      </c>
      <c r="BI249" s="65">
        <v>0.0</v>
      </c>
      <c r="BJ249" s="65">
        <v>0.0</v>
      </c>
      <c r="BK249" s="65">
        <v>0.0</v>
      </c>
      <c r="BL249" s="65">
        <v>0.0</v>
      </c>
      <c r="BM249" s="65">
        <v>0.0</v>
      </c>
      <c r="BN249" s="65">
        <v>0.0</v>
      </c>
      <c r="BO249" s="65">
        <v>0.0</v>
      </c>
      <c r="BP249" s="65">
        <v>0.0</v>
      </c>
      <c r="BQ249" s="65">
        <v>0.0</v>
      </c>
      <c r="BR249" s="65">
        <v>0.0</v>
      </c>
      <c r="BS249" s="65">
        <v>0.0</v>
      </c>
      <c r="BT249" s="88">
        <v>0.0</v>
      </c>
      <c r="BU249" s="65">
        <v>0.0</v>
      </c>
      <c r="BV249" s="65">
        <v>0.0</v>
      </c>
      <c r="BW249" s="90">
        <v>0.0</v>
      </c>
      <c r="BX249" s="90">
        <v>0.0</v>
      </c>
      <c r="BY249" s="90" t="str">
        <f t="array" ref="BY249">XLOOKUP(C249,'PL TOTAL D0'!$A$3:$A$1991,'PL TOTAL D0'!$C$3:$C$1991,"")</f>
        <v/>
      </c>
    </row>
    <row r="250" ht="15.75" customHeight="1">
      <c r="A250" s="50" t="s">
        <v>24</v>
      </c>
      <c r="B250" s="39" t="s">
        <v>4036</v>
      </c>
      <c r="C250" s="94" t="s">
        <v>4037</v>
      </c>
      <c r="D250" s="30" t="s">
        <v>120</v>
      </c>
      <c r="E250" s="22" t="s">
        <v>199</v>
      </c>
      <c r="F250" s="30" t="s">
        <v>431</v>
      </c>
      <c r="G250" s="47" t="str">
        <f t="shared" si="13"/>
        <v>David</v>
      </c>
      <c r="H250" s="49" t="s">
        <v>224</v>
      </c>
      <c r="I250" s="49" t="s">
        <v>66</v>
      </c>
      <c r="J250" s="47" t="str">
        <f t="shared" si="16"/>
        <v>Não</v>
      </c>
      <c r="K250" s="54">
        <v>45574.0</v>
      </c>
      <c r="L250" s="55">
        <v>46234.0</v>
      </c>
      <c r="M250" s="32" t="s">
        <v>201</v>
      </c>
      <c r="N250" s="56">
        <v>0.003</v>
      </c>
      <c r="O250" s="23" t="s">
        <v>66</v>
      </c>
      <c r="P250" s="57">
        <v>0.0</v>
      </c>
      <c r="Q250" s="58" t="s">
        <v>4038</v>
      </c>
      <c r="R250" s="195"/>
      <c r="S250" s="32" t="s">
        <v>194</v>
      </c>
      <c r="T250" s="32" t="s">
        <v>4040</v>
      </c>
      <c r="U250" s="33">
        <v>5.531987287535E12</v>
      </c>
      <c r="V250" s="33" t="s">
        <v>4041</v>
      </c>
      <c r="W250" s="34">
        <v>20874.0</v>
      </c>
      <c r="X250" s="23" t="s">
        <v>618</v>
      </c>
      <c r="Y250" s="49" t="str">
        <f t="shared" si="14"/>
        <v>Encerrado</v>
      </c>
      <c r="Z250" s="62"/>
      <c r="AA250" s="32" t="s">
        <v>47</v>
      </c>
      <c r="AB250" s="64"/>
      <c r="AC250" s="79"/>
      <c r="AD250" s="54">
        <v>45574.0</v>
      </c>
      <c r="AE250" s="77">
        <v>4.9075100015996E13</v>
      </c>
      <c r="AF250" s="79"/>
      <c r="AG250" s="79"/>
      <c r="AH250" s="79"/>
      <c r="AI250" s="79"/>
      <c r="AJ250" s="79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>
        <v>30064.05</v>
      </c>
      <c r="BE250" s="65">
        <v>9531.22</v>
      </c>
      <c r="BF250" s="65">
        <v>469.42</v>
      </c>
      <c r="BG250" s="65">
        <v>474.58</v>
      </c>
      <c r="BH250" s="65">
        <v>479.21</v>
      </c>
      <c r="BI250" s="65">
        <v>483.27</v>
      </c>
      <c r="BJ250" s="65">
        <v>488.3</v>
      </c>
      <c r="BK250" s="65">
        <v>489.43</v>
      </c>
      <c r="BL250" s="65">
        <v>494.84</v>
      </c>
      <c r="BM250" s="65">
        <v>97.61</v>
      </c>
      <c r="BN250" s="65">
        <v>98.73</v>
      </c>
      <c r="BO250" s="65">
        <v>99.87</v>
      </c>
      <c r="BP250" s="65">
        <v>101.19</v>
      </c>
      <c r="BQ250" s="65">
        <v>801.63</v>
      </c>
      <c r="BR250" s="65">
        <v>15359.38</v>
      </c>
      <c r="BS250" s="65">
        <v>18914.84</v>
      </c>
      <c r="BT250" s="88">
        <v>23285.08</v>
      </c>
      <c r="BU250" s="65">
        <v>27762.55</v>
      </c>
      <c r="BV250" s="65">
        <v>0.0</v>
      </c>
      <c r="BW250" s="90">
        <v>0.0</v>
      </c>
      <c r="BX250" s="90">
        <v>0.0</v>
      </c>
      <c r="BY250" s="90" t="str">
        <f t="array" ref="BY250">XLOOKUP(C250,'PL TOTAL D0'!$A$3:$A$1991,'PL TOTAL D0'!$C$3:$C$1991,"")</f>
        <v/>
      </c>
    </row>
    <row r="251" ht="15.75" customHeight="1">
      <c r="A251" s="50" t="s">
        <v>24</v>
      </c>
      <c r="B251" s="39" t="s">
        <v>4045</v>
      </c>
      <c r="C251" s="94" t="s">
        <v>2459</v>
      </c>
      <c r="D251" s="30" t="s">
        <v>89</v>
      </c>
      <c r="E251" s="22" t="s">
        <v>91</v>
      </c>
      <c r="F251" s="30" t="s">
        <v>193</v>
      </c>
      <c r="G251" s="47" t="str">
        <f t="shared" si="13"/>
        <v>David</v>
      </c>
      <c r="H251" s="49" t="s">
        <v>295</v>
      </c>
      <c r="I251" s="49" t="s">
        <v>1807</v>
      </c>
      <c r="J251" s="47" t="str">
        <f t="shared" si="16"/>
        <v>Sim</v>
      </c>
      <c r="K251" s="54">
        <v>45812.0</v>
      </c>
      <c r="L251" s="55"/>
      <c r="M251" s="32" t="s">
        <v>1349</v>
      </c>
      <c r="N251" s="56">
        <v>0.012</v>
      </c>
      <c r="O251" s="23" t="s">
        <v>66</v>
      </c>
      <c r="P251" s="57">
        <v>0.0</v>
      </c>
      <c r="Q251" s="58"/>
      <c r="R251" s="195" t="s">
        <v>4050</v>
      </c>
      <c r="S251" s="32" t="s">
        <v>194</v>
      </c>
      <c r="T251" s="32" t="s">
        <v>4051</v>
      </c>
      <c r="U251" s="33">
        <v>5.543999228556E12</v>
      </c>
      <c r="V251" s="33" t="s">
        <v>4052</v>
      </c>
      <c r="W251" s="48">
        <v>20387.0</v>
      </c>
      <c r="X251" s="23" t="s">
        <v>221</v>
      </c>
      <c r="Y251" s="49" t="str">
        <f t="shared" si="14"/>
        <v>Ativo</v>
      </c>
      <c r="Z251" s="62"/>
      <c r="AA251" s="32" t="s">
        <v>47</v>
      </c>
      <c r="AB251" s="64"/>
      <c r="AC251" s="79"/>
      <c r="AD251" s="54">
        <v>45842.0</v>
      </c>
      <c r="AE251" s="77">
        <v>4.9075100019193E13</v>
      </c>
      <c r="AF251" s="79"/>
      <c r="AG251" s="79"/>
      <c r="AH251" s="79"/>
      <c r="AI251" s="79"/>
      <c r="AJ251" s="79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>
        <v>0.0</v>
      </c>
      <c r="BM251" s="65">
        <v>385624.82</v>
      </c>
      <c r="BN251" s="65">
        <v>60676.99</v>
      </c>
      <c r="BO251" s="65">
        <v>61380.85</v>
      </c>
      <c r="BP251" s="65">
        <v>62194.52</v>
      </c>
      <c r="BQ251" s="65">
        <v>62846.33</v>
      </c>
      <c r="BR251" s="65">
        <v>63609.59</v>
      </c>
      <c r="BS251" s="65">
        <v>187825.37</v>
      </c>
      <c r="BT251" s="88">
        <v>189728.2</v>
      </c>
      <c r="BU251" s="65">
        <v>192140.6</v>
      </c>
      <c r="BV251" s="65">
        <v>391493.2</v>
      </c>
      <c r="BW251" s="90">
        <v>393361.8</v>
      </c>
      <c r="BX251" s="90">
        <v>395148.37</v>
      </c>
      <c r="BY251" s="90">
        <f t="array" ref="BY251">XLOOKUP(C251,'PL TOTAL D0'!$A$3:$A$1991,'PL TOTAL D0'!$C$3:$C$1991,"")</f>
        <v>7734288.29</v>
      </c>
    </row>
    <row r="252" ht="15.75" customHeight="1">
      <c r="A252" s="50" t="s">
        <v>24</v>
      </c>
      <c r="B252" s="39" t="s">
        <v>4058</v>
      </c>
      <c r="C252" s="94" t="s">
        <v>4059</v>
      </c>
      <c r="D252" s="30" t="s">
        <v>120</v>
      </c>
      <c r="E252" s="22" t="s">
        <v>199</v>
      </c>
      <c r="F252" s="30" t="s">
        <v>431</v>
      </c>
      <c r="G252" s="47" t="str">
        <f t="shared" si="13"/>
        <v>David</v>
      </c>
      <c r="H252" s="49" t="s">
        <v>335</v>
      </c>
      <c r="I252" s="49" t="s">
        <v>66</v>
      </c>
      <c r="J252" s="47" t="str">
        <f t="shared" si="16"/>
        <v>Não</v>
      </c>
      <c r="K252" s="54">
        <v>46104.0</v>
      </c>
      <c r="L252" s="55"/>
      <c r="M252" s="32" t="s">
        <v>61</v>
      </c>
      <c r="N252" s="56">
        <v>0.012</v>
      </c>
      <c r="O252" s="23" t="s">
        <v>66</v>
      </c>
      <c r="P252" s="57">
        <v>0.0</v>
      </c>
      <c r="Q252" s="58"/>
      <c r="R252" s="195"/>
      <c r="S252" s="32" t="s">
        <v>194</v>
      </c>
      <c r="T252" s="32" t="s">
        <v>4061</v>
      </c>
      <c r="U252" s="33" t="s">
        <v>4062</v>
      </c>
      <c r="V252" s="33" t="s">
        <v>4063</v>
      </c>
      <c r="W252" s="48">
        <v>27170.0</v>
      </c>
      <c r="X252" s="23" t="s">
        <v>199</v>
      </c>
      <c r="Y252" s="49" t="str">
        <f t="shared" si="14"/>
        <v>Ativo</v>
      </c>
      <c r="Z252" s="62"/>
      <c r="AA252" s="32" t="s">
        <v>47</v>
      </c>
      <c r="AB252" s="64"/>
      <c r="AC252" s="79"/>
      <c r="AD252" s="54"/>
      <c r="AE252" s="77"/>
      <c r="AF252" s="79"/>
      <c r="AG252" s="79"/>
      <c r="AH252" s="79"/>
      <c r="AI252" s="79"/>
      <c r="AJ252" s="79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88"/>
      <c r="BU252" s="65">
        <v>0.0</v>
      </c>
      <c r="BV252" s="65">
        <v>0.0</v>
      </c>
      <c r="BW252" s="90">
        <v>0.0</v>
      </c>
      <c r="BX252" s="90">
        <v>0.0</v>
      </c>
      <c r="BY252" s="90" t="str">
        <f t="array" ref="BY252">XLOOKUP(C252,'PL TOTAL D0'!$A$3:$A$1991,'PL TOTAL D0'!$C$3:$C$1991,"")</f>
        <v/>
      </c>
    </row>
    <row r="253" ht="15.0" customHeight="1">
      <c r="A253" s="50" t="s">
        <v>24</v>
      </c>
      <c r="B253" s="39" t="s">
        <v>4067</v>
      </c>
      <c r="C253" s="94" t="s">
        <v>3126</v>
      </c>
      <c r="D253" s="30" t="s">
        <v>120</v>
      </c>
      <c r="E253" s="22" t="s">
        <v>199</v>
      </c>
      <c r="F253" s="30" t="s">
        <v>290</v>
      </c>
      <c r="G253" s="47" t="str">
        <f t="shared" si="13"/>
        <v>David</v>
      </c>
      <c r="H253" s="49" t="s">
        <v>183</v>
      </c>
      <c r="I253" s="49" t="s">
        <v>66</v>
      </c>
      <c r="J253" s="47" t="str">
        <f t="shared" ref="J253:J324" si="17">IF(Q253=0,"Não","Sim")</f>
        <v>Não</v>
      </c>
      <c r="K253" s="54">
        <v>45446.0</v>
      </c>
      <c r="L253" s="62"/>
      <c r="M253" s="32" t="s">
        <v>34</v>
      </c>
      <c r="N253" s="56">
        <v>0.012</v>
      </c>
      <c r="O253" s="23" t="s">
        <v>35</v>
      </c>
      <c r="P253" s="57">
        <v>0.1</v>
      </c>
      <c r="Q253" s="58"/>
      <c r="R253" s="70"/>
      <c r="S253" s="32" t="s">
        <v>194</v>
      </c>
      <c r="T253" s="32" t="s">
        <v>4070</v>
      </c>
      <c r="U253" s="33">
        <v>6.1998074555E10</v>
      </c>
      <c r="V253" s="33" t="s">
        <v>4071</v>
      </c>
      <c r="W253" s="34">
        <v>22006.0</v>
      </c>
      <c r="X253" s="23" t="s">
        <v>199</v>
      </c>
      <c r="Y253" s="49" t="str">
        <f t="shared" si="14"/>
        <v>Ativo</v>
      </c>
      <c r="Z253" s="32"/>
      <c r="AA253" s="32" t="s">
        <v>47</v>
      </c>
      <c r="AB253" s="64" t="s">
        <v>269</v>
      </c>
      <c r="AC253" s="79"/>
      <c r="AD253" s="54">
        <v>45446.0</v>
      </c>
      <c r="AE253" s="77">
        <v>4.9075100014973E13</v>
      </c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65"/>
      <c r="AW253" s="65"/>
      <c r="AX253" s="65"/>
      <c r="AY253" s="65"/>
      <c r="AZ253" s="65">
        <v>179280.5</v>
      </c>
      <c r="BA253" s="65">
        <v>178407.6</v>
      </c>
      <c r="BB253" s="65">
        <v>181335.17</v>
      </c>
      <c r="BC253" s="65">
        <v>181827.75</v>
      </c>
      <c r="BD253" s="65">
        <v>181514.5</v>
      </c>
      <c r="BE253" s="65">
        <v>181308.89</v>
      </c>
      <c r="BF253" s="65">
        <v>182195.52</v>
      </c>
      <c r="BG253" s="65">
        <v>183976.4</v>
      </c>
      <c r="BH253" s="65">
        <v>185678.93</v>
      </c>
      <c r="BI253" s="65">
        <v>187496.08</v>
      </c>
      <c r="BJ253" s="65">
        <v>188656.14</v>
      </c>
      <c r="BK253" s="65">
        <v>190357.42</v>
      </c>
      <c r="BL253" s="65">
        <v>191803.33</v>
      </c>
      <c r="BM253" s="65">
        <v>193696.15</v>
      </c>
      <c r="BN253" s="65">
        <v>195162.3</v>
      </c>
      <c r="BO253" s="65">
        <v>197118.43</v>
      </c>
      <c r="BP253" s="65">
        <v>198936.2</v>
      </c>
      <c r="BQ253" s="65">
        <v>198455.7</v>
      </c>
      <c r="BR253" s="65">
        <v>200267.1</v>
      </c>
      <c r="BS253" s="65">
        <v>202034.16</v>
      </c>
      <c r="BT253" s="88">
        <v>203357.8</v>
      </c>
      <c r="BU253" s="65">
        <v>205678.5</v>
      </c>
      <c r="BV253" s="65">
        <v>207646.2</v>
      </c>
      <c r="BW253" s="90">
        <v>208216.5</v>
      </c>
      <c r="BX253" s="90">
        <v>217124.42</v>
      </c>
      <c r="BY253" s="90">
        <f t="array" ref="BY253">XLOOKUP(C253,'PL TOTAL D0'!$A$3:$A$1991,'PL TOTAL D0'!$C$3:$C$1991,"")</f>
        <v>212426.88</v>
      </c>
    </row>
    <row r="254" ht="15.0" customHeight="1">
      <c r="A254" s="50" t="s">
        <v>24</v>
      </c>
      <c r="B254" s="39" t="s">
        <v>4074</v>
      </c>
      <c r="C254" s="94" t="s">
        <v>3146</v>
      </c>
      <c r="D254" s="30" t="s">
        <v>120</v>
      </c>
      <c r="E254" s="22" t="s">
        <v>199</v>
      </c>
      <c r="F254" s="30" t="s">
        <v>212</v>
      </c>
      <c r="G254" s="47" t="str">
        <f t="shared" si="13"/>
        <v>David</v>
      </c>
      <c r="H254" s="49" t="s">
        <v>183</v>
      </c>
      <c r="I254" s="49" t="s">
        <v>66</v>
      </c>
      <c r="J254" s="47" t="str">
        <f t="shared" si="17"/>
        <v>Não</v>
      </c>
      <c r="K254" s="54">
        <v>46036.0</v>
      </c>
      <c r="L254" s="62"/>
      <c r="M254" s="32" t="s">
        <v>361</v>
      </c>
      <c r="N254" s="56">
        <v>0.018</v>
      </c>
      <c r="O254" s="23" t="s">
        <v>35</v>
      </c>
      <c r="P254" s="57">
        <v>0.2</v>
      </c>
      <c r="Q254" s="58"/>
      <c r="R254" s="70"/>
      <c r="S254" s="32" t="s">
        <v>194</v>
      </c>
      <c r="T254" s="32" t="s">
        <v>4077</v>
      </c>
      <c r="U254" s="33" t="s">
        <v>4078</v>
      </c>
      <c r="V254" s="33" t="s">
        <v>4080</v>
      </c>
      <c r="W254" s="34">
        <v>31480.0</v>
      </c>
      <c r="X254" s="23" t="s">
        <v>1586</v>
      </c>
      <c r="Y254" s="49" t="str">
        <f t="shared" si="14"/>
        <v>Ativo</v>
      </c>
      <c r="Z254" s="32"/>
      <c r="AA254" s="32" t="s">
        <v>47</v>
      </c>
      <c r="AB254" s="64"/>
      <c r="AC254" s="79"/>
      <c r="AD254" s="54">
        <v>46203.0</v>
      </c>
      <c r="AE254" s="77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>
        <v>84645.18</v>
      </c>
      <c r="BT254" s="88">
        <v>157006.2</v>
      </c>
      <c r="BU254" s="65">
        <v>190033.7</v>
      </c>
      <c r="BV254" s="65">
        <v>201179.5</v>
      </c>
      <c r="BW254" s="90">
        <v>196625.4</v>
      </c>
      <c r="BX254" s="90">
        <v>198500.66</v>
      </c>
      <c r="BY254" s="90">
        <f t="array" ref="BY254">XLOOKUP(C254,'PL TOTAL D0'!$A$3:$A$1991,'PL TOTAL D0'!$C$3:$C$1991,"")</f>
        <v>202404.61</v>
      </c>
    </row>
    <row r="255" ht="15.75" customHeight="1">
      <c r="A255" s="50" t="s">
        <v>24</v>
      </c>
      <c r="B255" s="457" t="s">
        <v>4088</v>
      </c>
      <c r="C255" s="94" t="s">
        <v>2721</v>
      </c>
      <c r="D255" s="81" t="s">
        <v>120</v>
      </c>
      <c r="E255" s="95" t="s">
        <v>199</v>
      </c>
      <c r="F255" s="30" t="s">
        <v>290</v>
      </c>
      <c r="G255" s="47" t="str">
        <f t="shared" si="13"/>
        <v>Marcus</v>
      </c>
      <c r="H255" s="49" t="s">
        <v>183</v>
      </c>
      <c r="I255" s="49" t="s">
        <v>66</v>
      </c>
      <c r="J255" s="47" t="str">
        <f t="shared" si="17"/>
        <v>Não</v>
      </c>
      <c r="K255" s="97">
        <v>45117.0</v>
      </c>
      <c r="L255" s="62"/>
      <c r="M255" s="32" t="s">
        <v>61</v>
      </c>
      <c r="N255" s="56">
        <v>0.008</v>
      </c>
      <c r="O255" s="47" t="s">
        <v>66</v>
      </c>
      <c r="P255" s="99">
        <v>0.0</v>
      </c>
      <c r="Q255" s="58"/>
      <c r="R255" s="580" t="s">
        <v>4090</v>
      </c>
      <c r="S255" s="62" t="s">
        <v>194</v>
      </c>
      <c r="T255" s="32" t="s">
        <v>2041</v>
      </c>
      <c r="U255" s="33">
        <v>6.2981111798E10</v>
      </c>
      <c r="V255" s="33" t="s">
        <v>2043</v>
      </c>
      <c r="W255" s="34">
        <v>22109.0</v>
      </c>
      <c r="X255" s="23" t="s">
        <v>54</v>
      </c>
      <c r="Y255" s="49" t="str">
        <f t="shared" si="14"/>
        <v>Ativo</v>
      </c>
      <c r="Z255" s="62"/>
      <c r="AA255" s="62"/>
      <c r="AB255" s="64" t="s">
        <v>269</v>
      </c>
      <c r="AC255" s="79"/>
      <c r="AD255" s="54">
        <v>45117.0</v>
      </c>
      <c r="AE255" s="77">
        <v>4.9075100012261E13</v>
      </c>
      <c r="AF255" s="79"/>
      <c r="AG255" s="79"/>
      <c r="AH255" s="79"/>
      <c r="AI255" s="79"/>
      <c r="AJ255" s="79"/>
      <c r="AK255" s="79"/>
      <c r="AL255" s="79"/>
      <c r="AM255" s="79"/>
      <c r="AN255" s="79"/>
      <c r="AO255" s="65">
        <v>753620.12</v>
      </c>
      <c r="AP255" s="65">
        <v>1013078.07</v>
      </c>
      <c r="AQ255" s="65">
        <v>1022017.89</v>
      </c>
      <c r="AR255" s="65">
        <v>1030597.86</v>
      </c>
      <c r="AS255" s="65">
        <v>1038949.52</v>
      </c>
      <c r="AT255" s="65">
        <v>1044650.86</v>
      </c>
      <c r="AU255" s="65">
        <v>1052286.48</v>
      </c>
      <c r="AV255" s="65">
        <v>1060541.73</v>
      </c>
      <c r="AW255" s="65">
        <v>1069095.93</v>
      </c>
      <c r="AX255" s="65">
        <v>1072500.39</v>
      </c>
      <c r="AY255" s="65">
        <v>1081149.0</v>
      </c>
      <c r="AZ255" s="65">
        <v>1090697.0</v>
      </c>
      <c r="BA255" s="65">
        <v>1100696.0</v>
      </c>
      <c r="BB255" s="65">
        <v>1110641.48</v>
      </c>
      <c r="BC255" s="65">
        <v>1116516.22</v>
      </c>
      <c r="BD255" s="65">
        <v>1126453.56</v>
      </c>
      <c r="BE255" s="65">
        <v>1134932.74</v>
      </c>
      <c r="BF255" s="65">
        <v>1145023.26</v>
      </c>
      <c r="BG255" s="65">
        <v>1156646.21</v>
      </c>
      <c r="BH255" s="65">
        <v>1046844.56</v>
      </c>
      <c r="BI255" s="65">
        <v>1257943.48</v>
      </c>
      <c r="BJ255" s="65">
        <v>1270966.51</v>
      </c>
      <c r="BK255" s="65">
        <v>1284194.2</v>
      </c>
      <c r="BL255" s="65">
        <v>1422118.87</v>
      </c>
      <c r="BM255" s="65">
        <v>1076255.93</v>
      </c>
      <c r="BN255" s="65">
        <v>1020003.0</v>
      </c>
      <c r="BO255" s="65">
        <v>994673.42</v>
      </c>
      <c r="BP255" s="65">
        <v>1003091.0</v>
      </c>
      <c r="BQ255" s="65">
        <v>1012405.0</v>
      </c>
      <c r="BR255" s="65">
        <v>1001594.0</v>
      </c>
      <c r="BS255" s="65">
        <v>902397.08</v>
      </c>
      <c r="BT255" s="88">
        <v>899668.6</v>
      </c>
      <c r="BU255" s="65">
        <v>890119.4</v>
      </c>
      <c r="BV255" s="65">
        <v>897600.9</v>
      </c>
      <c r="BW255" s="90">
        <v>906310.7</v>
      </c>
      <c r="BX255" s="90">
        <v>915143.64</v>
      </c>
      <c r="BY255" s="90">
        <f t="array" ref="BY255">XLOOKUP(C255,'PL TOTAL D0'!$A$3:$A$1991,'PL TOTAL D0'!$C$3:$C$1991,"")</f>
        <v>924829.62</v>
      </c>
    </row>
    <row r="256" ht="15.75" customHeight="1">
      <c r="A256" s="50" t="s">
        <v>24</v>
      </c>
      <c r="B256" s="555" t="s">
        <v>4099</v>
      </c>
      <c r="C256" s="53" t="s">
        <v>3318</v>
      </c>
      <c r="D256" s="30" t="s">
        <v>3843</v>
      </c>
      <c r="E256" s="22" t="s">
        <v>54</v>
      </c>
      <c r="F256" s="30" t="s">
        <v>3844</v>
      </c>
      <c r="G256" s="47" t="str">
        <f t="shared" si="13"/>
        <v>David</v>
      </c>
      <c r="H256" s="49" t="s">
        <v>183</v>
      </c>
      <c r="I256" s="49" t="s">
        <v>66</v>
      </c>
      <c r="J256" s="47" t="str">
        <f t="shared" si="17"/>
        <v>Não</v>
      </c>
      <c r="K256" s="54">
        <v>46153.0</v>
      </c>
      <c r="L256" s="62"/>
      <c r="M256" s="32" t="s">
        <v>34</v>
      </c>
      <c r="N256" s="56">
        <v>0.012</v>
      </c>
      <c r="O256" s="23" t="s">
        <v>35</v>
      </c>
      <c r="P256" s="57">
        <v>0.1</v>
      </c>
      <c r="Q256" s="58"/>
      <c r="R256" s="580"/>
      <c r="S256" s="32" t="s">
        <v>194</v>
      </c>
      <c r="T256" s="32" t="s">
        <v>4105</v>
      </c>
      <c r="U256" s="33" t="s">
        <v>4106</v>
      </c>
      <c r="V256" s="33" t="s">
        <v>4107</v>
      </c>
      <c r="W256" s="34">
        <v>31020.0</v>
      </c>
      <c r="X256" s="23" t="s">
        <v>1158</v>
      </c>
      <c r="Y256" s="49" t="str">
        <f t="shared" si="14"/>
        <v>Ativo</v>
      </c>
      <c r="Z256" s="62"/>
      <c r="AA256" s="32" t="s">
        <v>47</v>
      </c>
      <c r="AB256" s="64"/>
      <c r="AC256" s="79"/>
      <c r="AD256" s="54">
        <v>46203.0</v>
      </c>
      <c r="AE256" s="77"/>
      <c r="AF256" s="79"/>
      <c r="AG256" s="79"/>
      <c r="AH256" s="79"/>
      <c r="AI256" s="79"/>
      <c r="AJ256" s="79"/>
      <c r="AK256" s="79"/>
      <c r="AL256" s="79"/>
      <c r="AM256" s="79"/>
      <c r="AN256" s="79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88"/>
      <c r="BU256" s="65"/>
      <c r="BV256" s="65"/>
      <c r="BW256" s="90">
        <v>99867.05</v>
      </c>
      <c r="BX256" s="90">
        <v>100731.34</v>
      </c>
      <c r="BY256" s="90">
        <f t="array" ref="BY256">XLOOKUP(C256,'PL TOTAL D0'!$A$3:$A$1991,'PL TOTAL D0'!$C$3:$C$1991,"")</f>
        <v>101861.19</v>
      </c>
    </row>
    <row r="257" ht="15.75" customHeight="1">
      <c r="A257" s="50" t="s">
        <v>24</v>
      </c>
      <c r="B257" s="188" t="s">
        <v>4110</v>
      </c>
      <c r="C257" s="94" t="s">
        <v>3295</v>
      </c>
      <c r="D257" s="30" t="s">
        <v>365</v>
      </c>
      <c r="E257" s="95" t="s">
        <v>199</v>
      </c>
      <c r="F257" s="30" t="s">
        <v>1074</v>
      </c>
      <c r="G257" s="47" t="str">
        <f t="shared" si="13"/>
        <v>Gabriel</v>
      </c>
      <c r="H257" s="49" t="s">
        <v>183</v>
      </c>
      <c r="I257" s="49" t="s">
        <v>66</v>
      </c>
      <c r="J257" s="47" t="str">
        <f t="shared" si="17"/>
        <v>Sim</v>
      </c>
      <c r="K257" s="54">
        <v>45418.0</v>
      </c>
      <c r="L257" s="62"/>
      <c r="M257" s="32" t="s">
        <v>61</v>
      </c>
      <c r="N257" s="56">
        <v>0.012</v>
      </c>
      <c r="O257" s="23" t="s">
        <v>66</v>
      </c>
      <c r="P257" s="57">
        <v>0.0</v>
      </c>
      <c r="Q257" s="58" t="s">
        <v>4112</v>
      </c>
      <c r="R257" s="580"/>
      <c r="S257" s="32" t="s">
        <v>194</v>
      </c>
      <c r="T257" s="32" t="s">
        <v>4113</v>
      </c>
      <c r="U257" s="33">
        <v>5.5619812961E12</v>
      </c>
      <c r="V257" s="33" t="s">
        <v>4114</v>
      </c>
      <c r="W257" s="34">
        <v>21783.0</v>
      </c>
      <c r="X257" s="23" t="s">
        <v>475</v>
      </c>
      <c r="Y257" s="49" t="str">
        <f t="shared" si="14"/>
        <v>Ativo</v>
      </c>
      <c r="Z257" s="32"/>
      <c r="AA257" s="32" t="s">
        <v>165</v>
      </c>
      <c r="AB257" s="64" t="s">
        <v>269</v>
      </c>
      <c r="AC257" s="79"/>
      <c r="AD257" s="54">
        <v>45418.0</v>
      </c>
      <c r="AE257" s="77">
        <v>4.9075100014477E13</v>
      </c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65"/>
      <c r="AW257" s="65"/>
      <c r="AX257" s="65"/>
      <c r="AY257" s="65">
        <v>934377.7</v>
      </c>
      <c r="AZ257" s="65">
        <v>942612.6</v>
      </c>
      <c r="BA257" s="65">
        <v>850951.8</v>
      </c>
      <c r="BB257" s="65">
        <v>797707.9</v>
      </c>
      <c r="BC257" s="65">
        <v>742704.19</v>
      </c>
      <c r="BD257" s="65">
        <v>750269.68</v>
      </c>
      <c r="BE257" s="65">
        <v>704259.59</v>
      </c>
      <c r="BF257" s="65">
        <v>659797.92</v>
      </c>
      <c r="BG257" s="65">
        <v>654512.41</v>
      </c>
      <c r="BH257" s="65">
        <v>620324.76</v>
      </c>
      <c r="BI257" s="65">
        <v>627059.92</v>
      </c>
      <c r="BJ257" s="65">
        <v>599557.79</v>
      </c>
      <c r="BK257" s="65">
        <v>554380.3</v>
      </c>
      <c r="BL257" s="65">
        <v>518771.51</v>
      </c>
      <c r="BM257" s="65">
        <v>489751.2</v>
      </c>
      <c r="BN257" s="65">
        <v>454562.6</v>
      </c>
      <c r="BO257" s="65">
        <v>424537.06</v>
      </c>
      <c r="BP257" s="65">
        <v>429404.4</v>
      </c>
      <c r="BQ257" s="65">
        <v>377884.7</v>
      </c>
      <c r="BR257" s="65">
        <v>349786.1</v>
      </c>
      <c r="BS257" s="65">
        <v>323254.38</v>
      </c>
      <c r="BT257" s="88">
        <v>288080.3</v>
      </c>
      <c r="BU257" s="65">
        <v>254216.5</v>
      </c>
      <c r="BV257" s="65">
        <v>220621.1</v>
      </c>
      <c r="BW257" s="90">
        <v>172537.0</v>
      </c>
      <c r="BX257" s="90">
        <v>154133.99</v>
      </c>
      <c r="BY257" s="90">
        <f t="array" ref="BY257">XLOOKUP(C257,'PL TOTAL D0'!$A$3:$A$1991,'PL TOTAL D0'!$C$3:$C$1991,"")</f>
        <v>109147.02</v>
      </c>
    </row>
    <row r="258" ht="15.75" customHeight="1">
      <c r="A258" s="50" t="s">
        <v>24</v>
      </c>
      <c r="B258" s="43" t="s">
        <v>4111</v>
      </c>
      <c r="C258" s="94" t="s">
        <v>3137</v>
      </c>
      <c r="D258" s="30" t="s">
        <v>89</v>
      </c>
      <c r="E258" s="95" t="s">
        <v>91</v>
      </c>
      <c r="F258" s="81" t="s">
        <v>521</v>
      </c>
      <c r="G258" s="47" t="str">
        <f t="shared" si="13"/>
        <v>David</v>
      </c>
      <c r="H258" s="49" t="s">
        <v>183</v>
      </c>
      <c r="I258" s="49" t="s">
        <v>66</v>
      </c>
      <c r="J258" s="47" t="str">
        <f t="shared" si="17"/>
        <v>Não</v>
      </c>
      <c r="K258" s="97">
        <v>45098.0</v>
      </c>
      <c r="L258" s="189"/>
      <c r="M258" s="62" t="s">
        <v>61</v>
      </c>
      <c r="N258" s="98">
        <v>0.012</v>
      </c>
      <c r="O258" s="47" t="s">
        <v>66</v>
      </c>
      <c r="P258" s="99">
        <v>0.0</v>
      </c>
      <c r="Q258" s="58"/>
      <c r="R258" s="58" t="s">
        <v>4130</v>
      </c>
      <c r="S258" s="62" t="s">
        <v>194</v>
      </c>
      <c r="T258" s="32" t="s">
        <v>4132</v>
      </c>
      <c r="U258" s="33">
        <v>5.543996507272E12</v>
      </c>
      <c r="V258" s="33" t="s">
        <v>4134</v>
      </c>
      <c r="W258" s="48">
        <v>28424.0</v>
      </c>
      <c r="X258" s="23" t="s">
        <v>221</v>
      </c>
      <c r="Y258" s="49" t="str">
        <f t="shared" si="14"/>
        <v>Ativo</v>
      </c>
      <c r="Z258" s="62"/>
      <c r="AA258" s="62"/>
      <c r="AB258" s="64" t="s">
        <v>269</v>
      </c>
      <c r="AC258" s="79"/>
      <c r="AD258" s="54">
        <v>45098.0</v>
      </c>
      <c r="AE258" s="77">
        <v>4.907510000781E13</v>
      </c>
      <c r="AF258" s="79"/>
      <c r="AG258" s="79"/>
      <c r="AH258" s="79"/>
      <c r="AI258" s="79"/>
      <c r="AJ258" s="79"/>
      <c r="AK258" s="79"/>
      <c r="AL258" s="79"/>
      <c r="AM258" s="79"/>
      <c r="AN258" s="65">
        <v>0.0</v>
      </c>
      <c r="AO258" s="65">
        <v>0.0</v>
      </c>
      <c r="AP258" s="65">
        <v>261132.35</v>
      </c>
      <c r="AQ258" s="65">
        <v>262140.8</v>
      </c>
      <c r="AR258" s="65">
        <v>263304.76</v>
      </c>
      <c r="AS258" s="65">
        <v>266819.38</v>
      </c>
      <c r="AT258" s="65">
        <v>269514.99</v>
      </c>
      <c r="AU258" s="65">
        <v>271647.22</v>
      </c>
      <c r="AV258" s="65">
        <v>273260.47</v>
      </c>
      <c r="AW258" s="65">
        <v>256018.7</v>
      </c>
      <c r="AX258" s="65">
        <v>257255.62</v>
      </c>
      <c r="AY258" s="65">
        <v>258687.4</v>
      </c>
      <c r="AZ258" s="65">
        <v>260231.4</v>
      </c>
      <c r="BA258" s="65">
        <v>261309.7</v>
      </c>
      <c r="BB258" s="65">
        <v>263980.22</v>
      </c>
      <c r="BC258" s="65">
        <v>264008.36</v>
      </c>
      <c r="BD258" s="65">
        <v>266152.02</v>
      </c>
      <c r="BE258" s="65">
        <v>327869.34</v>
      </c>
      <c r="BF258" s="65">
        <v>359394.24</v>
      </c>
      <c r="BG258" s="65">
        <v>171764.16</v>
      </c>
      <c r="BH258" s="65">
        <v>173418.93</v>
      </c>
      <c r="BI258" s="65">
        <v>174831.57</v>
      </c>
      <c r="BJ258" s="65">
        <v>176796.57</v>
      </c>
      <c r="BK258" s="65">
        <v>178905.48</v>
      </c>
      <c r="BL258" s="65">
        <v>180380.59</v>
      </c>
      <c r="BM258" s="65">
        <v>182417.08</v>
      </c>
      <c r="BN258" s="65">
        <v>184225.2</v>
      </c>
      <c r="BO258" s="65">
        <v>186024.1</v>
      </c>
      <c r="BP258" s="65">
        <v>187703.9</v>
      </c>
      <c r="BQ258" s="65">
        <v>189325.6</v>
      </c>
      <c r="BR258" s="65">
        <v>191110.7</v>
      </c>
      <c r="BS258" s="65">
        <v>193200.89</v>
      </c>
      <c r="BT258" s="88">
        <v>194784.0</v>
      </c>
      <c r="BU258" s="65">
        <v>196681.4</v>
      </c>
      <c r="BV258" s="65">
        <v>198920.0</v>
      </c>
      <c r="BW258" s="90">
        <v>200777.9</v>
      </c>
      <c r="BX258" s="90">
        <v>202530.82</v>
      </c>
      <c r="BY258" s="90">
        <f t="array" ref="BY258">XLOOKUP(C258,'PL TOTAL D0'!$A$3:$A$1991,'PL TOTAL D0'!$C$3:$C$1991,"")</f>
        <v>204894.62</v>
      </c>
    </row>
    <row r="259" ht="15.75" customHeight="1">
      <c r="A259" s="50" t="s">
        <v>24</v>
      </c>
      <c r="B259" s="43" t="s">
        <v>4111</v>
      </c>
      <c r="C259" s="94" t="s">
        <v>4141</v>
      </c>
      <c r="D259" s="30" t="s">
        <v>89</v>
      </c>
      <c r="E259" s="95" t="s">
        <v>91</v>
      </c>
      <c r="F259" s="81" t="s">
        <v>521</v>
      </c>
      <c r="G259" s="47" t="str">
        <f t="shared" si="13"/>
        <v>David</v>
      </c>
      <c r="H259" s="49" t="s">
        <v>224</v>
      </c>
      <c r="I259" s="49" t="s">
        <v>66</v>
      </c>
      <c r="J259" s="47" t="str">
        <f t="shared" si="17"/>
        <v>Não</v>
      </c>
      <c r="K259" s="97">
        <v>45097.0</v>
      </c>
      <c r="L259" s="186">
        <v>45965.0</v>
      </c>
      <c r="M259" s="32" t="s">
        <v>231</v>
      </c>
      <c r="N259" s="56">
        <v>0.025</v>
      </c>
      <c r="O259" s="23" t="s">
        <v>233</v>
      </c>
      <c r="P259" s="57">
        <v>0.2</v>
      </c>
      <c r="Q259" s="58"/>
      <c r="R259" s="58" t="s">
        <v>4146</v>
      </c>
      <c r="S259" s="62" t="s">
        <v>194</v>
      </c>
      <c r="T259" s="32" t="s">
        <v>4132</v>
      </c>
      <c r="U259" s="33">
        <v>5.543996507272E12</v>
      </c>
      <c r="V259" s="33" t="s">
        <v>4134</v>
      </c>
      <c r="W259" s="48">
        <v>28424.0</v>
      </c>
      <c r="X259" s="23" t="s">
        <v>221</v>
      </c>
      <c r="Y259" s="49" t="str">
        <f t="shared" si="14"/>
        <v>Encerrado</v>
      </c>
      <c r="Z259" s="62"/>
      <c r="AA259" s="62"/>
      <c r="AB259" s="64" t="s">
        <v>269</v>
      </c>
      <c r="AC259" s="79"/>
      <c r="AD259" s="54">
        <v>45097.0</v>
      </c>
      <c r="AE259" s="77">
        <v>4.9075100011303E13</v>
      </c>
      <c r="AF259" s="79"/>
      <c r="AG259" s="79"/>
      <c r="AH259" s="79"/>
      <c r="AI259" s="79"/>
      <c r="AJ259" s="79"/>
      <c r="AK259" s="79"/>
      <c r="AL259" s="79"/>
      <c r="AM259" s="79"/>
      <c r="AN259" s="65">
        <v>0.0</v>
      </c>
      <c r="AO259" s="65">
        <v>0.0</v>
      </c>
      <c r="AP259" s="65">
        <v>0.0</v>
      </c>
      <c r="AQ259" s="65">
        <v>30921.9</v>
      </c>
      <c r="AR259" s="65">
        <v>34481.94</v>
      </c>
      <c r="AS259" s="65">
        <v>34514.41</v>
      </c>
      <c r="AT259" s="65">
        <v>35510.54</v>
      </c>
      <c r="AU259" s="65">
        <v>35609.49</v>
      </c>
      <c r="AV259" s="65">
        <v>55722.41</v>
      </c>
      <c r="AW259" s="65">
        <v>103114.97</v>
      </c>
      <c r="AX259" s="65">
        <v>98761.01</v>
      </c>
      <c r="AY259" s="65">
        <v>96514.12</v>
      </c>
      <c r="AZ259" s="65">
        <v>96362.25</v>
      </c>
      <c r="BA259" s="65">
        <v>98531.28</v>
      </c>
      <c r="BB259" s="65">
        <v>99792.9</v>
      </c>
      <c r="BC259" s="65">
        <v>98116.52</v>
      </c>
      <c r="BD259" s="65">
        <v>94893.91</v>
      </c>
      <c r="BE259" s="65">
        <v>31494.69</v>
      </c>
      <c r="BF259" s="65">
        <v>430.33</v>
      </c>
      <c r="BG259" s="65">
        <v>283.55</v>
      </c>
      <c r="BH259" s="65">
        <v>283.55</v>
      </c>
      <c r="BI259" s="65">
        <v>283.55</v>
      </c>
      <c r="BJ259" s="65">
        <v>283.55</v>
      </c>
      <c r="BK259" s="65">
        <v>0.0</v>
      </c>
      <c r="BL259" s="65">
        <v>0.0</v>
      </c>
      <c r="BM259" s="65">
        <v>0.0</v>
      </c>
      <c r="BN259" s="65">
        <v>0.0</v>
      </c>
      <c r="BO259" s="65">
        <v>0.0</v>
      </c>
      <c r="BP259" s="65">
        <v>0.0</v>
      </c>
      <c r="BQ259" s="65">
        <v>0.0</v>
      </c>
      <c r="BR259" s="65">
        <v>0.0</v>
      </c>
      <c r="BS259" s="65">
        <v>0.0</v>
      </c>
      <c r="BT259" s="88">
        <v>0.0</v>
      </c>
      <c r="BU259" s="65">
        <v>0.0</v>
      </c>
      <c r="BV259" s="65">
        <v>0.0</v>
      </c>
      <c r="BW259" s="90">
        <v>0.0</v>
      </c>
      <c r="BX259" s="90">
        <v>0.0</v>
      </c>
      <c r="BY259" s="90" t="str">
        <f t="array" ref="BY259">XLOOKUP(C259,'PL TOTAL D0'!$A$3:$A$1991,'PL TOTAL D0'!$C$3:$C$1991,"")</f>
        <v/>
      </c>
    </row>
    <row r="260" ht="15.75" customHeight="1">
      <c r="A260" s="50" t="s">
        <v>24</v>
      </c>
      <c r="B260" s="431" t="s">
        <v>2111</v>
      </c>
      <c r="C260" s="94" t="s">
        <v>2593</v>
      </c>
      <c r="D260" s="30" t="s">
        <v>120</v>
      </c>
      <c r="E260" s="22" t="s">
        <v>199</v>
      </c>
      <c r="F260" s="30" t="s">
        <v>290</v>
      </c>
      <c r="G260" s="47" t="str">
        <f t="shared" si="13"/>
        <v>Marcus</v>
      </c>
      <c r="H260" s="49" t="s">
        <v>183</v>
      </c>
      <c r="I260" s="49" t="s">
        <v>66</v>
      </c>
      <c r="J260" s="47" t="str">
        <f t="shared" si="17"/>
        <v>Não</v>
      </c>
      <c r="K260" s="54">
        <v>45440.0</v>
      </c>
      <c r="L260" s="189"/>
      <c r="M260" s="602" t="s">
        <v>61</v>
      </c>
      <c r="N260" s="297">
        <v>0.012</v>
      </c>
      <c r="O260" s="299" t="s">
        <v>66</v>
      </c>
      <c r="P260" s="300">
        <v>0.0</v>
      </c>
      <c r="Q260" s="58"/>
      <c r="R260" s="58"/>
      <c r="S260" s="32" t="s">
        <v>194</v>
      </c>
      <c r="T260" s="177" t="s">
        <v>2119</v>
      </c>
      <c r="U260" s="33">
        <v>5.561999829317E12</v>
      </c>
      <c r="V260" s="33" t="s">
        <v>2129</v>
      </c>
      <c r="W260" s="34">
        <v>11867.0</v>
      </c>
      <c r="X260" s="23" t="s">
        <v>199</v>
      </c>
      <c r="Y260" s="49" t="str">
        <f t="shared" si="14"/>
        <v>Ativo</v>
      </c>
      <c r="Z260" s="32"/>
      <c r="AA260" s="32" t="s">
        <v>47</v>
      </c>
      <c r="AB260" s="64" t="s">
        <v>269</v>
      </c>
      <c r="AC260" s="79"/>
      <c r="AD260" s="54">
        <v>45440.0</v>
      </c>
      <c r="AE260" s="77">
        <v>4.9075100014485E13</v>
      </c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65"/>
      <c r="AW260" s="65"/>
      <c r="AX260" s="65"/>
      <c r="AY260" s="65">
        <v>0.0</v>
      </c>
      <c r="AZ260" s="65">
        <v>50181.39</v>
      </c>
      <c r="BA260" s="65">
        <v>90855.05</v>
      </c>
      <c r="BB260" s="65">
        <v>508351.15</v>
      </c>
      <c r="BC260" s="65">
        <v>846559.35</v>
      </c>
      <c r="BD260" s="65">
        <v>853179.88</v>
      </c>
      <c r="BE260" s="65">
        <v>862145.23</v>
      </c>
      <c r="BF260" s="65">
        <v>866630.32</v>
      </c>
      <c r="BG260" s="65">
        <v>1478101.81</v>
      </c>
      <c r="BH260" s="65">
        <v>1489215.7</v>
      </c>
      <c r="BI260" s="65">
        <v>1198693.17</v>
      </c>
      <c r="BJ260" s="65">
        <v>789312.54</v>
      </c>
      <c r="BK260" s="65">
        <v>640471.13</v>
      </c>
      <c r="BL260" s="65">
        <v>590636.94</v>
      </c>
      <c r="BM260" s="65">
        <v>575320.26</v>
      </c>
      <c r="BN260" s="65">
        <v>422067.9</v>
      </c>
      <c r="BO260" s="65">
        <v>426335.05</v>
      </c>
      <c r="BP260" s="65">
        <v>752320.2</v>
      </c>
      <c r="BQ260" s="65">
        <v>1221226.0</v>
      </c>
      <c r="BR260" s="65">
        <v>1514024.0</v>
      </c>
      <c r="BS260" s="65">
        <v>1530097.93</v>
      </c>
      <c r="BT260" s="88">
        <v>1542585.0</v>
      </c>
      <c r="BU260" s="65">
        <v>1560604.0</v>
      </c>
      <c r="BV260" s="65">
        <v>1549170.0</v>
      </c>
      <c r="BW260" s="90">
        <v>1778634.0</v>
      </c>
      <c r="BX260" s="90">
        <v>1763647.16</v>
      </c>
      <c r="BY260" s="90">
        <f t="array" ref="BY260">XLOOKUP(C260,'PL TOTAL D0'!$A$3:$A$1991,'PL TOTAL D0'!$C$3:$C$1991,"")</f>
        <v>1936033.58</v>
      </c>
    </row>
    <row r="261" ht="15.75" customHeight="1">
      <c r="A261" s="50" t="s">
        <v>24</v>
      </c>
      <c r="B261" s="176" t="s">
        <v>4142</v>
      </c>
      <c r="C261" s="94" t="s">
        <v>4162</v>
      </c>
      <c r="D261" s="30" t="s">
        <v>89</v>
      </c>
      <c r="E261" s="95" t="s">
        <v>91</v>
      </c>
      <c r="F261" s="81" t="s">
        <v>521</v>
      </c>
      <c r="G261" s="47" t="str">
        <f t="shared" si="13"/>
        <v>David</v>
      </c>
      <c r="H261" s="74" t="s">
        <v>224</v>
      </c>
      <c r="I261" s="74" t="s">
        <v>66</v>
      </c>
      <c r="J261" s="47" t="str">
        <f t="shared" si="17"/>
        <v>Não</v>
      </c>
      <c r="K261" s="97">
        <v>45166.0</v>
      </c>
      <c r="L261" s="189">
        <v>45177.0</v>
      </c>
      <c r="M261" s="62" t="s">
        <v>1142</v>
      </c>
      <c r="N261" s="98">
        <v>0.008</v>
      </c>
      <c r="O261" s="47" t="s">
        <v>1143</v>
      </c>
      <c r="P261" s="99">
        <v>0.1</v>
      </c>
      <c r="Q261" s="58"/>
      <c r="R261" s="70"/>
      <c r="S261" s="62" t="s">
        <v>194</v>
      </c>
      <c r="T261" s="32" t="s">
        <v>4147</v>
      </c>
      <c r="U261" s="33" t="s">
        <v>268</v>
      </c>
      <c r="V261" s="33"/>
      <c r="W261" s="33" t="s">
        <v>268</v>
      </c>
      <c r="X261" s="23" t="s">
        <v>221</v>
      </c>
      <c r="Y261" s="49" t="str">
        <f t="shared" si="14"/>
        <v>Encerrado</v>
      </c>
      <c r="Z261" s="62"/>
      <c r="AA261" s="62"/>
      <c r="AB261" s="64"/>
      <c r="AC261" s="79"/>
      <c r="AD261" s="54">
        <v>45166.0</v>
      </c>
      <c r="AE261" s="77"/>
      <c r="AF261" s="79"/>
      <c r="AG261" s="79"/>
      <c r="AH261" s="79"/>
      <c r="AI261" s="79"/>
      <c r="AJ261" s="79"/>
      <c r="AK261" s="65">
        <v>0.0</v>
      </c>
      <c r="AL261" s="65">
        <v>0.0</v>
      </c>
      <c r="AM261" s="65">
        <v>0.0</v>
      </c>
      <c r="AN261" s="65">
        <v>0.0</v>
      </c>
      <c r="AO261" s="65">
        <v>0.0</v>
      </c>
      <c r="AP261" s="65">
        <v>0.0</v>
      </c>
      <c r="AQ261" s="65">
        <v>0.0</v>
      </c>
      <c r="AR261" s="65">
        <v>0.0</v>
      </c>
      <c r="AS261" s="65">
        <v>0.0</v>
      </c>
      <c r="AT261" s="65">
        <v>0.0</v>
      </c>
      <c r="AU261" s="65">
        <v>0.0</v>
      </c>
      <c r="AV261" s="65">
        <v>0.0</v>
      </c>
      <c r="AW261" s="65">
        <v>0.0</v>
      </c>
      <c r="AX261" s="65">
        <v>0.0</v>
      </c>
      <c r="AY261" s="65">
        <v>0.0</v>
      </c>
      <c r="AZ261" s="65">
        <v>0.0</v>
      </c>
      <c r="BA261" s="65">
        <v>0.0</v>
      </c>
      <c r="BB261" s="65">
        <v>0.0</v>
      </c>
      <c r="BC261" s="65">
        <v>0.0</v>
      </c>
      <c r="BD261" s="65">
        <v>0.0</v>
      </c>
      <c r="BE261" s="65">
        <v>0.0</v>
      </c>
      <c r="BF261" s="65">
        <v>0.0</v>
      </c>
      <c r="BG261" s="65">
        <v>0.0</v>
      </c>
      <c r="BH261" s="65">
        <v>0.0</v>
      </c>
      <c r="BI261" s="65">
        <v>0.0</v>
      </c>
      <c r="BJ261" s="65">
        <v>0.0</v>
      </c>
      <c r="BK261" s="65">
        <v>0.0</v>
      </c>
      <c r="BL261" s="65">
        <v>0.0</v>
      </c>
      <c r="BM261" s="65">
        <v>0.0</v>
      </c>
      <c r="BN261" s="65">
        <v>0.0</v>
      </c>
      <c r="BO261" s="65">
        <v>0.0</v>
      </c>
      <c r="BP261" s="65">
        <v>0.0</v>
      </c>
      <c r="BQ261" s="65">
        <v>0.0</v>
      </c>
      <c r="BR261" s="65">
        <v>0.0</v>
      </c>
      <c r="BS261" s="65">
        <v>0.0</v>
      </c>
      <c r="BT261" s="88">
        <v>0.0</v>
      </c>
      <c r="BU261" s="65">
        <v>0.0</v>
      </c>
      <c r="BV261" s="65">
        <v>0.0</v>
      </c>
      <c r="BW261" s="90">
        <v>0.0</v>
      </c>
      <c r="BX261" s="90">
        <v>0.0</v>
      </c>
      <c r="BY261" s="90" t="str">
        <f t="array" ref="BY261">XLOOKUP(C261,'PL TOTAL D0'!$A$3:$A$1991,'PL TOTAL D0'!$C$3:$C$1991,"")</f>
        <v/>
      </c>
    </row>
    <row r="262" ht="15.75" customHeight="1">
      <c r="A262" s="50" t="s">
        <v>24</v>
      </c>
      <c r="B262" s="176" t="s">
        <v>4142</v>
      </c>
      <c r="C262" s="94" t="s">
        <v>4171</v>
      </c>
      <c r="D262" s="30" t="s">
        <v>89</v>
      </c>
      <c r="E262" s="95" t="s">
        <v>91</v>
      </c>
      <c r="F262" s="81" t="s">
        <v>521</v>
      </c>
      <c r="G262" s="47" t="str">
        <f t="shared" si="13"/>
        <v>David</v>
      </c>
      <c r="H262" s="74" t="s">
        <v>224</v>
      </c>
      <c r="I262" s="74" t="s">
        <v>66</v>
      </c>
      <c r="J262" s="47" t="str">
        <f t="shared" si="17"/>
        <v>Não</v>
      </c>
      <c r="K262" s="97">
        <v>45166.0</v>
      </c>
      <c r="L262" s="189">
        <v>45177.0</v>
      </c>
      <c r="M262" s="62" t="s">
        <v>61</v>
      </c>
      <c r="N262" s="98">
        <v>0.012</v>
      </c>
      <c r="O262" s="47" t="s">
        <v>66</v>
      </c>
      <c r="P262" s="99">
        <v>0.0</v>
      </c>
      <c r="Q262" s="58"/>
      <c r="R262" s="70"/>
      <c r="S262" s="62" t="s">
        <v>194</v>
      </c>
      <c r="T262" s="32" t="s">
        <v>4147</v>
      </c>
      <c r="U262" s="33" t="s">
        <v>268</v>
      </c>
      <c r="V262" s="33"/>
      <c r="W262" s="33" t="s">
        <v>268</v>
      </c>
      <c r="X262" s="23" t="s">
        <v>221</v>
      </c>
      <c r="Y262" s="49" t="str">
        <f t="shared" si="14"/>
        <v>Encerrado</v>
      </c>
      <c r="Z262" s="62"/>
      <c r="AA262" s="62"/>
      <c r="AB262" s="64"/>
      <c r="AC262" s="79"/>
      <c r="AD262" s="54">
        <v>45166.0</v>
      </c>
      <c r="AE262" s="77"/>
      <c r="AF262" s="79"/>
      <c r="AG262" s="79"/>
      <c r="AH262" s="79"/>
      <c r="AI262" s="79"/>
      <c r="AJ262" s="79"/>
      <c r="AK262" s="65">
        <v>0.0</v>
      </c>
      <c r="AL262" s="65">
        <v>0.0</v>
      </c>
      <c r="AM262" s="65">
        <v>0.0</v>
      </c>
      <c r="AN262" s="65">
        <v>0.0</v>
      </c>
      <c r="AO262" s="65">
        <v>0.0</v>
      </c>
      <c r="AP262" s="65">
        <v>0.0</v>
      </c>
      <c r="AQ262" s="65">
        <v>0.0</v>
      </c>
      <c r="AR262" s="65">
        <v>0.0</v>
      </c>
      <c r="AS262" s="65">
        <v>0.0</v>
      </c>
      <c r="AT262" s="65">
        <v>0.0</v>
      </c>
      <c r="AU262" s="65">
        <v>0.0</v>
      </c>
      <c r="AV262" s="65">
        <v>0.0</v>
      </c>
      <c r="AW262" s="65">
        <v>0.0</v>
      </c>
      <c r="AX262" s="65">
        <v>0.0</v>
      </c>
      <c r="AY262" s="65">
        <v>0.0</v>
      </c>
      <c r="AZ262" s="65">
        <v>0.0</v>
      </c>
      <c r="BA262" s="65">
        <v>0.0</v>
      </c>
      <c r="BB262" s="65">
        <v>0.0</v>
      </c>
      <c r="BC262" s="65">
        <v>0.0</v>
      </c>
      <c r="BD262" s="65">
        <v>0.0</v>
      </c>
      <c r="BE262" s="65">
        <v>0.0</v>
      </c>
      <c r="BF262" s="65">
        <v>0.0</v>
      </c>
      <c r="BG262" s="65">
        <v>0.0</v>
      </c>
      <c r="BH262" s="65">
        <v>0.0</v>
      </c>
      <c r="BI262" s="65">
        <v>0.0</v>
      </c>
      <c r="BJ262" s="65">
        <v>0.0</v>
      </c>
      <c r="BK262" s="65">
        <v>0.0</v>
      </c>
      <c r="BL262" s="65">
        <v>0.0</v>
      </c>
      <c r="BM262" s="65">
        <v>0.0</v>
      </c>
      <c r="BN262" s="65">
        <v>0.0</v>
      </c>
      <c r="BO262" s="65">
        <v>0.0</v>
      </c>
      <c r="BP262" s="65">
        <v>0.0</v>
      </c>
      <c r="BQ262" s="65">
        <v>0.0</v>
      </c>
      <c r="BR262" s="65">
        <v>0.0</v>
      </c>
      <c r="BS262" s="65">
        <v>0.0</v>
      </c>
      <c r="BT262" s="88">
        <v>0.0</v>
      </c>
      <c r="BU262" s="65">
        <v>0.0</v>
      </c>
      <c r="BV262" s="65">
        <v>0.0</v>
      </c>
      <c r="BW262" s="90">
        <v>0.0</v>
      </c>
      <c r="BX262" s="90">
        <v>0.0</v>
      </c>
      <c r="BY262" s="90" t="str">
        <f t="array" ref="BY262">XLOOKUP(C262,'PL TOTAL D0'!$A$3:$A$1991,'PL TOTAL D0'!$C$3:$C$1991,"")</f>
        <v/>
      </c>
    </row>
    <row r="263" ht="15.75" customHeight="1">
      <c r="A263" s="50" t="s">
        <v>24</v>
      </c>
      <c r="B263" s="43" t="s">
        <v>4186</v>
      </c>
      <c r="C263" s="94" t="s">
        <v>4187</v>
      </c>
      <c r="D263" s="30" t="s">
        <v>89</v>
      </c>
      <c r="E263" s="95" t="s">
        <v>91</v>
      </c>
      <c r="F263" s="95" t="s">
        <v>521</v>
      </c>
      <c r="G263" s="47" t="str">
        <f t="shared" si="13"/>
        <v>David</v>
      </c>
      <c r="H263" s="196" t="s">
        <v>295</v>
      </c>
      <c r="I263" s="49" t="s">
        <v>382</v>
      </c>
      <c r="J263" s="47" t="str">
        <f t="shared" si="17"/>
        <v>Não</v>
      </c>
      <c r="K263" s="189">
        <v>45170.0</v>
      </c>
      <c r="L263" s="62"/>
      <c r="M263" s="23" t="s">
        <v>61</v>
      </c>
      <c r="N263" s="98">
        <v>0.012</v>
      </c>
      <c r="O263" s="23" t="s">
        <v>66</v>
      </c>
      <c r="P263" s="57">
        <v>0.0</v>
      </c>
      <c r="Q263" s="58"/>
      <c r="R263" s="58" t="s">
        <v>4189</v>
      </c>
      <c r="S263" s="62" t="s">
        <v>194</v>
      </c>
      <c r="T263" s="32" t="s">
        <v>4147</v>
      </c>
      <c r="U263" s="33">
        <v>5.543991756663E12</v>
      </c>
      <c r="V263" s="33" t="s">
        <v>4191</v>
      </c>
      <c r="W263" s="34">
        <v>19776.0</v>
      </c>
      <c r="X263" s="23" t="s">
        <v>221</v>
      </c>
      <c r="Y263" s="49" t="str">
        <f t="shared" si="14"/>
        <v>Ativo</v>
      </c>
      <c r="Z263" s="62"/>
      <c r="AA263" s="62"/>
      <c r="AB263" s="65" t="s">
        <v>269</v>
      </c>
      <c r="AC263" s="79"/>
      <c r="AD263" s="54">
        <v>45170.0</v>
      </c>
      <c r="AE263" s="77">
        <v>4.907510000943E13</v>
      </c>
      <c r="AF263" s="79"/>
      <c r="AG263" s="79"/>
      <c r="AH263" s="79"/>
      <c r="AI263" s="79"/>
      <c r="AJ263" s="79"/>
      <c r="AK263" s="79"/>
      <c r="AL263" s="79"/>
      <c r="AM263" s="79"/>
      <c r="AN263" s="79"/>
      <c r="AO263" s="506"/>
      <c r="AP263" s="506">
        <v>0.0</v>
      </c>
      <c r="AQ263" s="65">
        <v>0.0</v>
      </c>
      <c r="AR263" s="65">
        <v>395593.05</v>
      </c>
      <c r="AS263" s="65">
        <v>401654.87</v>
      </c>
      <c r="AT263" s="65">
        <v>406919.13</v>
      </c>
      <c r="AU263" s="65">
        <v>402261.55</v>
      </c>
      <c r="AV263" s="65">
        <v>404749.58</v>
      </c>
      <c r="AW263" s="65">
        <v>407678.64</v>
      </c>
      <c r="AX263" s="65">
        <v>407317.32</v>
      </c>
      <c r="AY263" s="65">
        <v>406950.7</v>
      </c>
      <c r="AZ263" s="65">
        <v>408881.0</v>
      </c>
      <c r="BA263" s="65">
        <v>411635.5</v>
      </c>
      <c r="BB263" s="65">
        <v>413364.18</v>
      </c>
      <c r="BC263" s="65">
        <v>307.14</v>
      </c>
      <c r="BD263" s="65">
        <v>307.14</v>
      </c>
      <c r="BE263" s="65">
        <v>307.14</v>
      </c>
      <c r="BF263" s="65">
        <v>331.92</v>
      </c>
      <c r="BG263" s="65">
        <v>124.93</v>
      </c>
      <c r="BH263" s="65">
        <v>124.93</v>
      </c>
      <c r="BI263" s="65">
        <v>124.93</v>
      </c>
      <c r="BJ263" s="65">
        <v>124.93</v>
      </c>
      <c r="BK263" s="65">
        <v>124.92</v>
      </c>
      <c r="BL263" s="65">
        <v>124.92</v>
      </c>
      <c r="BM263" s="65">
        <v>124.92</v>
      </c>
      <c r="BN263" s="65">
        <v>124.93</v>
      </c>
      <c r="BO263" s="65">
        <v>124.93</v>
      </c>
      <c r="BP263" s="65">
        <v>124.93</v>
      </c>
      <c r="BQ263" s="65">
        <v>124.93</v>
      </c>
      <c r="BR263" s="65">
        <v>124.93</v>
      </c>
      <c r="BS263" s="65">
        <v>125.75</v>
      </c>
      <c r="BT263" s="88">
        <v>126.99</v>
      </c>
      <c r="BU263" s="65">
        <v>128.55</v>
      </c>
      <c r="BV263" s="65">
        <v>129.94</v>
      </c>
      <c r="BW263" s="90">
        <v>130.38</v>
      </c>
      <c r="BX263" s="90">
        <v>131.76</v>
      </c>
      <c r="BY263" s="90" t="str">
        <f t="array" ref="BY263">XLOOKUP(C263,'PL TOTAL D0'!$A$3:$A$1991,'PL TOTAL D0'!$C$3:$C$1991,"")</f>
        <v/>
      </c>
    </row>
    <row r="264" ht="15.75" customHeight="1">
      <c r="A264" s="50" t="s">
        <v>24</v>
      </c>
      <c r="B264" s="43" t="s">
        <v>4194</v>
      </c>
      <c r="C264" s="94" t="s">
        <v>2748</v>
      </c>
      <c r="D264" s="22" t="s">
        <v>120</v>
      </c>
      <c r="E264" s="22" t="s">
        <v>199</v>
      </c>
      <c r="F264" s="22" t="s">
        <v>388</v>
      </c>
      <c r="G264" s="47" t="str">
        <f t="shared" si="13"/>
        <v>David</v>
      </c>
      <c r="H264" s="196" t="s">
        <v>183</v>
      </c>
      <c r="I264" s="49" t="s">
        <v>66</v>
      </c>
      <c r="J264" s="47" t="str">
        <f t="shared" si="17"/>
        <v>Não</v>
      </c>
      <c r="K264" s="186">
        <v>46146.0</v>
      </c>
      <c r="L264" s="55"/>
      <c r="M264" s="23" t="s">
        <v>61</v>
      </c>
      <c r="N264" s="56">
        <v>0.0</v>
      </c>
      <c r="O264" s="23" t="s">
        <v>66</v>
      </c>
      <c r="P264" s="57">
        <v>0.0</v>
      </c>
      <c r="Q264" s="58"/>
      <c r="R264" s="58" t="s">
        <v>4198</v>
      </c>
      <c r="S264" s="32" t="s">
        <v>234</v>
      </c>
      <c r="T264" s="32" t="s">
        <v>4199</v>
      </c>
      <c r="U264" s="33" t="s">
        <v>268</v>
      </c>
      <c r="V264" s="33"/>
      <c r="W264" s="33" t="s">
        <v>268</v>
      </c>
      <c r="X264" s="23" t="s">
        <v>199</v>
      </c>
      <c r="Y264" s="49" t="str">
        <f t="shared" si="14"/>
        <v>Ativo</v>
      </c>
      <c r="Z264" s="32"/>
      <c r="AA264" s="32" t="s">
        <v>47</v>
      </c>
      <c r="AB264" s="64" t="s">
        <v>269</v>
      </c>
      <c r="AC264" s="79"/>
      <c r="AD264" s="54">
        <v>45464.0</v>
      </c>
      <c r="AE264" s="77">
        <v>4.9075100014906E13</v>
      </c>
      <c r="AF264" s="79"/>
      <c r="AG264" s="79"/>
      <c r="AH264" s="79"/>
      <c r="AI264" s="79"/>
      <c r="AJ264" s="79"/>
      <c r="AK264" s="79"/>
      <c r="AL264" s="79"/>
      <c r="AM264" s="79"/>
      <c r="AN264" s="79"/>
      <c r="AO264" s="506"/>
      <c r="AP264" s="506"/>
      <c r="AQ264" s="79"/>
      <c r="AR264" s="79"/>
      <c r="AS264" s="79"/>
      <c r="AT264" s="79"/>
      <c r="AU264" s="79"/>
      <c r="AV264" s="65"/>
      <c r="AW264" s="65"/>
      <c r="AX264" s="65"/>
      <c r="AY264" s="65"/>
      <c r="AZ264" s="65">
        <v>0.0</v>
      </c>
      <c r="BA264" s="65">
        <v>473224.7</v>
      </c>
      <c r="BB264" s="65">
        <v>495935.72</v>
      </c>
      <c r="BC264" s="65">
        <v>515936.9</v>
      </c>
      <c r="BD264" s="65">
        <v>539034.72</v>
      </c>
      <c r="BE264" s="65">
        <v>559925.07</v>
      </c>
      <c r="BF264" s="65">
        <v>581647.53</v>
      </c>
      <c r="BG264" s="65">
        <v>605243.95</v>
      </c>
      <c r="BH264" s="65">
        <v>631433.52</v>
      </c>
      <c r="BI264" s="65">
        <v>658048.64</v>
      </c>
      <c r="BJ264" s="65">
        <v>0.0</v>
      </c>
      <c r="BK264" s="65">
        <v>0.0</v>
      </c>
      <c r="BL264" s="65">
        <v>0.0</v>
      </c>
      <c r="BM264" s="65">
        <v>0.0</v>
      </c>
      <c r="BN264" s="65">
        <v>0.0</v>
      </c>
      <c r="BO264" s="65">
        <v>0.0</v>
      </c>
      <c r="BP264" s="65">
        <v>0.0</v>
      </c>
      <c r="BQ264" s="65">
        <v>0.0</v>
      </c>
      <c r="BR264" s="65">
        <v>0.0</v>
      </c>
      <c r="BS264" s="65">
        <v>0.0</v>
      </c>
      <c r="BT264" s="88">
        <v>0.0</v>
      </c>
      <c r="BU264" s="65">
        <v>0.0</v>
      </c>
      <c r="BV264" s="65">
        <v>864796.1</v>
      </c>
      <c r="BW264" s="90">
        <v>874993.3</v>
      </c>
      <c r="BX264" s="90">
        <v>882214.49</v>
      </c>
      <c r="BY264" s="90">
        <f t="array" ref="BY264">XLOOKUP(C264,'PL TOTAL D0'!$A$3:$A$1991,'PL TOTAL D0'!$C$3:$C$1991,"")</f>
        <v>893822.93</v>
      </c>
    </row>
    <row r="265" ht="15.75" customHeight="1">
      <c r="A265" s="50" t="s">
        <v>24</v>
      </c>
      <c r="B265" s="43" t="s">
        <v>4206</v>
      </c>
      <c r="C265" s="53" t="s">
        <v>2671</v>
      </c>
      <c r="D265" s="22" t="s">
        <v>249</v>
      </c>
      <c r="E265" s="22" t="s">
        <v>199</v>
      </c>
      <c r="F265" s="22" t="s">
        <v>251</v>
      </c>
      <c r="G265" s="47" t="str">
        <f t="shared" si="13"/>
        <v>David</v>
      </c>
      <c r="H265" s="196" t="s">
        <v>183</v>
      </c>
      <c r="I265" s="49" t="s">
        <v>66</v>
      </c>
      <c r="J265" s="47" t="str">
        <f t="shared" si="17"/>
        <v>Não</v>
      </c>
      <c r="K265" s="186">
        <v>46148.0</v>
      </c>
      <c r="L265" s="55"/>
      <c r="M265" s="23" t="s">
        <v>61</v>
      </c>
      <c r="N265" s="56">
        <v>0.012</v>
      </c>
      <c r="O265" s="23" t="s">
        <v>66</v>
      </c>
      <c r="P265" s="57">
        <v>0.0</v>
      </c>
      <c r="Q265" s="58"/>
      <c r="R265" s="58"/>
      <c r="S265" s="32" t="s">
        <v>234</v>
      </c>
      <c r="T265" s="32" t="s">
        <v>4208</v>
      </c>
      <c r="U265" s="33" t="s">
        <v>4210</v>
      </c>
      <c r="V265" s="33" t="s">
        <v>4211</v>
      </c>
      <c r="W265" s="48">
        <v>45041.0</v>
      </c>
      <c r="X265" s="23" t="s">
        <v>199</v>
      </c>
      <c r="Y265" s="49" t="str">
        <f t="shared" si="14"/>
        <v>Ativo</v>
      </c>
      <c r="Z265" s="32"/>
      <c r="AA265" s="32" t="s">
        <v>47</v>
      </c>
      <c r="AB265" s="64"/>
      <c r="AC265" s="79"/>
      <c r="AD265" s="54">
        <v>46203.0</v>
      </c>
      <c r="AE265" s="77"/>
      <c r="AF265" s="79"/>
      <c r="AG265" s="79"/>
      <c r="AH265" s="79"/>
      <c r="AI265" s="79"/>
      <c r="AJ265" s="79"/>
      <c r="AK265" s="79"/>
      <c r="AL265" s="79"/>
      <c r="AM265" s="79"/>
      <c r="AN265" s="79"/>
      <c r="AO265" s="506"/>
      <c r="AP265" s="506"/>
      <c r="AQ265" s="79"/>
      <c r="AR265" s="79"/>
      <c r="AS265" s="79"/>
      <c r="AT265" s="79"/>
      <c r="AU265" s="79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88"/>
      <c r="BU265" s="65"/>
      <c r="BV265" s="65">
        <v>0.0</v>
      </c>
      <c r="BW265" s="90">
        <v>0.0</v>
      </c>
      <c r="BX265" s="90">
        <v>803058.82</v>
      </c>
      <c r="BY265" s="90">
        <f t="array" ref="BY265">XLOOKUP(C265,'PL TOTAL D0'!$A$3:$A$1991,'PL TOTAL D0'!$C$3:$C$1991,"")</f>
        <v>1213924.47</v>
      </c>
    </row>
    <row r="266" ht="15.75" customHeight="1">
      <c r="A266" s="50" t="s">
        <v>24</v>
      </c>
      <c r="B266" s="50" t="s">
        <v>4216</v>
      </c>
      <c r="C266" s="94" t="s">
        <v>4217</v>
      </c>
      <c r="D266" s="81" t="s">
        <v>120</v>
      </c>
      <c r="E266" s="95" t="s">
        <v>54</v>
      </c>
      <c r="F266" s="81" t="s">
        <v>348</v>
      </c>
      <c r="G266" s="47" t="str">
        <f t="shared" si="13"/>
        <v>David</v>
      </c>
      <c r="H266" s="49" t="s">
        <v>224</v>
      </c>
      <c r="I266" s="49" t="s">
        <v>66</v>
      </c>
      <c r="J266" s="47" t="str">
        <f t="shared" si="17"/>
        <v>Não</v>
      </c>
      <c r="K266" s="97">
        <v>45121.0</v>
      </c>
      <c r="L266" s="186">
        <v>45173.0</v>
      </c>
      <c r="M266" s="62" t="s">
        <v>213</v>
      </c>
      <c r="N266" s="98">
        <v>0.008</v>
      </c>
      <c r="O266" s="47" t="s">
        <v>66</v>
      </c>
      <c r="P266" s="99">
        <v>0.0</v>
      </c>
      <c r="Q266" s="58"/>
      <c r="R266" s="58" t="s">
        <v>4218</v>
      </c>
      <c r="S266" s="62" t="s">
        <v>234</v>
      </c>
      <c r="T266" s="32" t="s">
        <v>4219</v>
      </c>
      <c r="U266" s="33" t="s">
        <v>268</v>
      </c>
      <c r="V266" s="33"/>
      <c r="W266" s="33" t="s">
        <v>268</v>
      </c>
      <c r="X266" s="23" t="s">
        <v>54</v>
      </c>
      <c r="Y266" s="49" t="str">
        <f t="shared" si="14"/>
        <v>Encerrado</v>
      </c>
      <c r="Z266" s="62"/>
      <c r="AA266" s="62"/>
      <c r="AB266" s="64" t="s">
        <v>244</v>
      </c>
      <c r="AC266" s="79"/>
      <c r="AD266" s="54">
        <v>45121.0</v>
      </c>
      <c r="AE266" s="77">
        <v>4.9075100008701E13</v>
      </c>
      <c r="AF266" s="79"/>
      <c r="AG266" s="79"/>
      <c r="AH266" s="79"/>
      <c r="AI266" s="79"/>
      <c r="AJ266" s="79"/>
      <c r="AK266" s="79"/>
      <c r="AL266" s="65">
        <v>0.0</v>
      </c>
      <c r="AM266" s="65">
        <v>0.0</v>
      </c>
      <c r="AN266" s="65">
        <v>0.0</v>
      </c>
      <c r="AO266" s="65">
        <v>1962080.6</v>
      </c>
      <c r="AP266" s="65">
        <v>2780342.13</v>
      </c>
      <c r="AQ266" s="65">
        <v>3753566.0</v>
      </c>
      <c r="AR266" s="65">
        <v>2774840.6</v>
      </c>
      <c r="AS266" s="65">
        <v>2360999.31</v>
      </c>
      <c r="AT266" s="65">
        <v>2426239.48</v>
      </c>
      <c r="AU266" s="65">
        <v>2298507.66</v>
      </c>
      <c r="AV266" s="65">
        <v>1521862.72</v>
      </c>
      <c r="AW266" s="65">
        <v>1293675.25</v>
      </c>
      <c r="AX266" s="65">
        <v>638708.18</v>
      </c>
      <c r="AY266" s="65">
        <v>827636.0</v>
      </c>
      <c r="AZ266" s="65">
        <v>834104.0</v>
      </c>
      <c r="BA266" s="65">
        <v>72830.47</v>
      </c>
      <c r="BB266" s="65">
        <v>72946.41</v>
      </c>
      <c r="BC266" s="65">
        <v>0.0</v>
      </c>
      <c r="BD266" s="65">
        <v>0.0</v>
      </c>
      <c r="BE266" s="65">
        <v>0.0</v>
      </c>
      <c r="BF266" s="65">
        <v>0.0</v>
      </c>
      <c r="BG266" s="65">
        <v>0.0</v>
      </c>
      <c r="BH266" s="65">
        <v>0.0</v>
      </c>
      <c r="BI266" s="65">
        <v>0.0</v>
      </c>
      <c r="BJ266" s="65">
        <v>0.0</v>
      </c>
      <c r="BK266" s="65">
        <v>0.0</v>
      </c>
      <c r="BL266" s="65">
        <v>0.0</v>
      </c>
      <c r="BM266" s="65">
        <v>0.0</v>
      </c>
      <c r="BN266" s="65">
        <v>0.0</v>
      </c>
      <c r="BO266" s="65">
        <v>0.0</v>
      </c>
      <c r="BP266" s="65">
        <v>0.0</v>
      </c>
      <c r="BQ266" s="65">
        <v>0.0</v>
      </c>
      <c r="BR266" s="65">
        <v>0.0</v>
      </c>
      <c r="BS266" s="65">
        <v>0.0</v>
      </c>
      <c r="BT266" s="88">
        <v>0.0</v>
      </c>
      <c r="BU266" s="65">
        <v>0.0</v>
      </c>
      <c r="BV266" s="65">
        <v>0.0</v>
      </c>
      <c r="BW266" s="90">
        <v>0.0</v>
      </c>
      <c r="BX266" s="90">
        <v>0.0</v>
      </c>
      <c r="BY266" s="90" t="str">
        <f t="array" ref="BY266">XLOOKUP(C266,'PL TOTAL D0'!$A$3:$A$1991,'PL TOTAL D0'!$C$3:$C$1991,"")</f>
        <v/>
      </c>
    </row>
    <row r="267" ht="15.75" customHeight="1">
      <c r="A267" s="50" t="s">
        <v>24</v>
      </c>
      <c r="B267" s="50" t="s">
        <v>4227</v>
      </c>
      <c r="C267" s="94" t="s">
        <v>4228</v>
      </c>
      <c r="D267" s="81" t="s">
        <v>255</v>
      </c>
      <c r="E267" s="95" t="s">
        <v>199</v>
      </c>
      <c r="F267" s="81" t="s">
        <v>257</v>
      </c>
      <c r="G267" s="47" t="str">
        <f t="shared" si="13"/>
        <v>David</v>
      </c>
      <c r="H267" s="49" t="s">
        <v>224</v>
      </c>
      <c r="I267" s="49" t="s">
        <v>66</v>
      </c>
      <c r="J267" s="47" t="str">
        <f t="shared" si="17"/>
        <v>Não</v>
      </c>
      <c r="K267" s="97">
        <v>45166.0</v>
      </c>
      <c r="L267" s="55">
        <v>45498.0</v>
      </c>
      <c r="M267" s="62" t="s">
        <v>209</v>
      </c>
      <c r="N267" s="98">
        <v>0.01</v>
      </c>
      <c r="O267" s="47" t="s">
        <v>35</v>
      </c>
      <c r="P267" s="99">
        <v>0.1</v>
      </c>
      <c r="Q267" s="58"/>
      <c r="R267" s="58" t="s">
        <v>610</v>
      </c>
      <c r="S267" s="62" t="s">
        <v>194</v>
      </c>
      <c r="T267" s="32" t="s">
        <v>4231</v>
      </c>
      <c r="U267" s="33" t="s">
        <v>268</v>
      </c>
      <c r="V267" s="33"/>
      <c r="W267" s="33" t="s">
        <v>268</v>
      </c>
      <c r="X267" s="23" t="s">
        <v>199</v>
      </c>
      <c r="Y267" s="49" t="str">
        <f t="shared" si="14"/>
        <v>Encerrado</v>
      </c>
      <c r="Z267" s="62"/>
      <c r="AA267" s="62"/>
      <c r="AB267" s="64" t="s">
        <v>269</v>
      </c>
      <c r="AC267" s="79"/>
      <c r="AD267" s="54">
        <v>45166.0</v>
      </c>
      <c r="AE267" s="77">
        <v>4.9075100007829E13</v>
      </c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65">
        <v>831837.71</v>
      </c>
      <c r="AQ267" s="65">
        <v>952999.84</v>
      </c>
      <c r="AR267" s="65">
        <v>994357.77</v>
      </c>
      <c r="AS267" s="65">
        <v>1014786.01</v>
      </c>
      <c r="AT267" s="65">
        <v>1035142.28</v>
      </c>
      <c r="AU267" s="65">
        <v>1060144.59</v>
      </c>
      <c r="AV267" s="65">
        <v>1072327.59</v>
      </c>
      <c r="AW267" s="65">
        <v>1077534.52</v>
      </c>
      <c r="AX267" s="65">
        <v>1061620.33</v>
      </c>
      <c r="AY267" s="65">
        <v>1264675.0</v>
      </c>
      <c r="AZ267" s="65">
        <v>1266399.0</v>
      </c>
      <c r="BA267" s="65">
        <v>1278681.0</v>
      </c>
      <c r="BB267" s="65">
        <v>0.0</v>
      </c>
      <c r="BC267" s="65">
        <v>0.0</v>
      </c>
      <c r="BD267" s="65">
        <v>0.0</v>
      </c>
      <c r="BE267" s="65">
        <v>0.0</v>
      </c>
      <c r="BF267" s="65">
        <v>0.0</v>
      </c>
      <c r="BG267" s="65">
        <v>0.0</v>
      </c>
      <c r="BH267" s="65">
        <v>0.0</v>
      </c>
      <c r="BI267" s="65">
        <v>0.0</v>
      </c>
      <c r="BJ267" s="65">
        <v>0.0</v>
      </c>
      <c r="BK267" s="65">
        <v>0.0</v>
      </c>
      <c r="BL267" s="65">
        <v>0.0</v>
      </c>
      <c r="BM267" s="65">
        <v>0.0</v>
      </c>
      <c r="BN267" s="65">
        <v>0.0</v>
      </c>
      <c r="BO267" s="65">
        <v>0.0</v>
      </c>
      <c r="BP267" s="65">
        <v>0.0</v>
      </c>
      <c r="BQ267" s="65">
        <v>0.0</v>
      </c>
      <c r="BR267" s="65">
        <v>0.0</v>
      </c>
      <c r="BS267" s="65">
        <v>0.0</v>
      </c>
      <c r="BT267" s="88">
        <v>0.0</v>
      </c>
      <c r="BU267" s="65">
        <v>0.0</v>
      </c>
      <c r="BV267" s="65">
        <v>0.0</v>
      </c>
      <c r="BW267" s="90">
        <v>0.0</v>
      </c>
      <c r="BX267" s="90">
        <v>0.0</v>
      </c>
      <c r="BY267" s="90" t="str">
        <f t="array" ref="BY267">XLOOKUP(C267,'PL TOTAL D0'!$A$3:$A$1991,'PL TOTAL D0'!$C$3:$C$1991,"")</f>
        <v/>
      </c>
    </row>
    <row r="268" ht="15.75" customHeight="1">
      <c r="A268" s="50" t="s">
        <v>24</v>
      </c>
      <c r="B268" s="188" t="s">
        <v>4235</v>
      </c>
      <c r="C268" s="94" t="s">
        <v>3073</v>
      </c>
      <c r="D268" s="30" t="s">
        <v>365</v>
      </c>
      <c r="E268" s="22" t="s">
        <v>199</v>
      </c>
      <c r="F268" s="30" t="s">
        <v>368</v>
      </c>
      <c r="G268" s="47" t="str">
        <f t="shared" si="13"/>
        <v>Gabriel</v>
      </c>
      <c r="H268" s="49" t="s">
        <v>183</v>
      </c>
      <c r="I268" s="49" t="s">
        <v>66</v>
      </c>
      <c r="J268" s="47" t="str">
        <f t="shared" si="17"/>
        <v>Não</v>
      </c>
      <c r="K268" s="54">
        <v>45418.0</v>
      </c>
      <c r="L268" s="189"/>
      <c r="M268" s="32" t="s">
        <v>34</v>
      </c>
      <c r="N268" s="56">
        <v>0.012</v>
      </c>
      <c r="O268" s="23" t="s">
        <v>35</v>
      </c>
      <c r="P268" s="57">
        <v>0.1</v>
      </c>
      <c r="Q268" s="58"/>
      <c r="R268" s="70"/>
      <c r="S268" s="32" t="s">
        <v>194</v>
      </c>
      <c r="T268" s="32" t="s">
        <v>4239</v>
      </c>
      <c r="U268" s="33">
        <v>5.561999668447E12</v>
      </c>
      <c r="V268" s="33" t="s">
        <v>4242</v>
      </c>
      <c r="W268" s="48">
        <v>30283.0</v>
      </c>
      <c r="X268" s="23" t="s">
        <v>199</v>
      </c>
      <c r="Y268" s="49" t="str">
        <f t="shared" si="14"/>
        <v>Ativo</v>
      </c>
      <c r="Z268" s="32"/>
      <c r="AA268" s="32" t="s">
        <v>47</v>
      </c>
      <c r="AB268" s="64" t="s">
        <v>269</v>
      </c>
      <c r="AC268" s="79"/>
      <c r="AD268" s="54">
        <v>45418.0</v>
      </c>
      <c r="AE268" s="77">
        <v>4.9075100014493E13</v>
      </c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65"/>
      <c r="AW268" s="65"/>
      <c r="AX268" s="65"/>
      <c r="AY268" s="65">
        <v>237924.0</v>
      </c>
      <c r="AZ268" s="65">
        <v>239680.4</v>
      </c>
      <c r="BA268" s="65">
        <v>242212.8</v>
      </c>
      <c r="BB268" s="65">
        <v>244698.16</v>
      </c>
      <c r="BC268" s="65">
        <v>246044.24</v>
      </c>
      <c r="BD268" s="65">
        <v>246726.55</v>
      </c>
      <c r="BE268" s="65">
        <v>247782.16</v>
      </c>
      <c r="BF268" s="65">
        <v>248578.24</v>
      </c>
      <c r="BG268" s="65">
        <v>250721.33</v>
      </c>
      <c r="BH268" s="65">
        <v>252595.66</v>
      </c>
      <c r="BI268" s="65">
        <v>254951.27</v>
      </c>
      <c r="BJ268" s="65">
        <v>257439.14</v>
      </c>
      <c r="BK268" s="65">
        <v>259936.99</v>
      </c>
      <c r="BL268" s="65">
        <v>261586.15</v>
      </c>
      <c r="BM268" s="65">
        <v>262250.64</v>
      </c>
      <c r="BN268" s="65">
        <v>265041.8</v>
      </c>
      <c r="BO268" s="65">
        <v>267817.81</v>
      </c>
      <c r="BP268" s="65">
        <v>270886.0</v>
      </c>
      <c r="BQ268" s="65">
        <v>273321.1</v>
      </c>
      <c r="BR268" s="65">
        <v>275943.6</v>
      </c>
      <c r="BS268" s="65">
        <v>273928.24</v>
      </c>
      <c r="BT268" s="88">
        <v>276155.8</v>
      </c>
      <c r="BU268" s="65">
        <v>278885.6</v>
      </c>
      <c r="BV268" s="65">
        <v>281085.8</v>
      </c>
      <c r="BW268" s="90">
        <v>283109.0</v>
      </c>
      <c r="BX268" s="90">
        <v>284016.48</v>
      </c>
      <c r="BY268" s="90">
        <f t="array" ref="BY268">XLOOKUP(C268,'PL TOTAL D0'!$A$3:$A$1991,'PL TOTAL D0'!$C$3:$C$1991,"")</f>
        <v>287387.23</v>
      </c>
    </row>
    <row r="269" ht="15.75" customHeight="1">
      <c r="A269" s="50" t="s">
        <v>24</v>
      </c>
      <c r="B269" s="405" t="s">
        <v>4246</v>
      </c>
      <c r="C269" s="94" t="s">
        <v>4248</v>
      </c>
      <c r="D269" s="81" t="s">
        <v>255</v>
      </c>
      <c r="E269" s="95" t="s">
        <v>199</v>
      </c>
      <c r="F269" s="81" t="s">
        <v>2328</v>
      </c>
      <c r="G269" s="47" t="str">
        <f t="shared" si="13"/>
        <v>David</v>
      </c>
      <c r="H269" s="49" t="s">
        <v>224</v>
      </c>
      <c r="I269" s="49" t="s">
        <v>66</v>
      </c>
      <c r="J269" s="47" t="str">
        <f t="shared" si="17"/>
        <v>Não</v>
      </c>
      <c r="K269" s="97">
        <v>45175.0</v>
      </c>
      <c r="L269" s="186">
        <v>45516.0</v>
      </c>
      <c r="M269" s="62" t="s">
        <v>61</v>
      </c>
      <c r="N269" s="98">
        <v>0.0085</v>
      </c>
      <c r="O269" s="47" t="s">
        <v>66</v>
      </c>
      <c r="P269" s="99">
        <v>0.0</v>
      </c>
      <c r="Q269" s="58"/>
      <c r="R269" s="58" t="s">
        <v>3969</v>
      </c>
      <c r="S269" s="62" t="s">
        <v>194</v>
      </c>
      <c r="T269" s="32" t="s">
        <v>4252</v>
      </c>
      <c r="U269" s="33" t="s">
        <v>268</v>
      </c>
      <c r="V269" s="33"/>
      <c r="W269" s="33" t="s">
        <v>268</v>
      </c>
      <c r="X269" s="23" t="s">
        <v>199</v>
      </c>
      <c r="Y269" s="49" t="str">
        <f t="shared" si="14"/>
        <v>Encerrado</v>
      </c>
      <c r="Z269" s="62"/>
      <c r="AA269" s="62"/>
      <c r="AB269" s="64" t="s">
        <v>269</v>
      </c>
      <c r="AC269" s="79"/>
      <c r="AD269" s="54">
        <v>45175.0</v>
      </c>
      <c r="AE269" s="77">
        <v>4.9075100003432E13</v>
      </c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65">
        <v>0.0</v>
      </c>
      <c r="AQ269" s="65">
        <v>834256.32</v>
      </c>
      <c r="AR269" s="65">
        <v>841298.65</v>
      </c>
      <c r="AS269" s="65">
        <v>846883.93</v>
      </c>
      <c r="AT269" s="65">
        <v>840711.98</v>
      </c>
      <c r="AU269" s="65">
        <v>850636.02</v>
      </c>
      <c r="AV269" s="65">
        <v>836464.59</v>
      </c>
      <c r="AW269" s="65">
        <v>850022.2</v>
      </c>
      <c r="AX269" s="65">
        <v>851195.49</v>
      </c>
      <c r="AY269" s="65">
        <v>861555.1</v>
      </c>
      <c r="AZ269" s="65">
        <v>868921.9</v>
      </c>
      <c r="BA269" s="65">
        <v>0.0</v>
      </c>
      <c r="BB269" s="65">
        <v>0.0</v>
      </c>
      <c r="BC269" s="65">
        <v>0.0</v>
      </c>
      <c r="BD269" s="65">
        <v>0.0</v>
      </c>
      <c r="BE269" s="65">
        <v>0.0</v>
      </c>
      <c r="BF269" s="65">
        <v>0.0</v>
      </c>
      <c r="BG269" s="65">
        <v>0.0</v>
      </c>
      <c r="BH269" s="65">
        <v>0.0</v>
      </c>
      <c r="BI269" s="65">
        <v>0.0</v>
      </c>
      <c r="BJ269" s="65">
        <v>0.0</v>
      </c>
      <c r="BK269" s="65">
        <v>0.0</v>
      </c>
      <c r="BL269" s="65">
        <v>0.0</v>
      </c>
      <c r="BM269" s="65">
        <v>0.0</v>
      </c>
      <c r="BN269" s="65">
        <v>0.0</v>
      </c>
      <c r="BO269" s="65">
        <v>0.0</v>
      </c>
      <c r="BP269" s="65">
        <v>0.0</v>
      </c>
      <c r="BQ269" s="65">
        <v>0.0</v>
      </c>
      <c r="BR269" s="65">
        <v>0.0</v>
      </c>
      <c r="BS269" s="65">
        <v>0.0</v>
      </c>
      <c r="BT269" s="88">
        <v>0.0</v>
      </c>
      <c r="BU269" s="65">
        <v>0.0</v>
      </c>
      <c r="BV269" s="65">
        <v>0.0</v>
      </c>
      <c r="BW269" s="90">
        <v>0.0</v>
      </c>
      <c r="BX269" s="90">
        <v>0.0</v>
      </c>
      <c r="BY269" s="90" t="str">
        <f t="array" ref="BY269">XLOOKUP(C269,'PL TOTAL D0'!$A$3:$A$1991,'PL TOTAL D0'!$C$3:$C$1991,"")</f>
        <v/>
      </c>
    </row>
    <row r="270" ht="15.75" customHeight="1">
      <c r="A270" s="50" t="s">
        <v>24</v>
      </c>
      <c r="B270" s="50" t="s">
        <v>4094</v>
      </c>
      <c r="C270" s="94" t="s">
        <v>3010</v>
      </c>
      <c r="D270" s="81" t="s">
        <v>120</v>
      </c>
      <c r="E270" s="95" t="s">
        <v>199</v>
      </c>
      <c r="F270" s="81" t="s">
        <v>212</v>
      </c>
      <c r="G270" s="47" t="str">
        <f t="shared" si="13"/>
        <v>Gabriel</v>
      </c>
      <c r="H270" s="74" t="s">
        <v>183</v>
      </c>
      <c r="I270" s="74" t="s">
        <v>66</v>
      </c>
      <c r="J270" s="47" t="str">
        <f t="shared" si="17"/>
        <v>Não</v>
      </c>
      <c r="K270" s="97">
        <v>45001.0</v>
      </c>
      <c r="L270" s="62"/>
      <c r="M270" s="62" t="s">
        <v>61</v>
      </c>
      <c r="N270" s="98">
        <v>0.012</v>
      </c>
      <c r="O270" s="47" t="s">
        <v>66</v>
      </c>
      <c r="P270" s="99">
        <v>0.0</v>
      </c>
      <c r="Q270" s="58"/>
      <c r="R270" s="70"/>
      <c r="S270" s="62" t="s">
        <v>194</v>
      </c>
      <c r="T270" s="32" t="s">
        <v>4092</v>
      </c>
      <c r="U270" s="33">
        <v>5.56199971232E12</v>
      </c>
      <c r="V270" s="33" t="s">
        <v>4259</v>
      </c>
      <c r="W270" s="34">
        <v>26242.0</v>
      </c>
      <c r="X270" s="23" t="s">
        <v>199</v>
      </c>
      <c r="Y270" s="49" t="str">
        <f t="shared" si="14"/>
        <v>Ativo</v>
      </c>
      <c r="Z270" s="62"/>
      <c r="AA270" s="62"/>
      <c r="AB270" s="64" t="s">
        <v>269</v>
      </c>
      <c r="AC270" s="79"/>
      <c r="AD270" s="54">
        <v>45001.0</v>
      </c>
      <c r="AE270" s="77">
        <v>4.907510000621E13</v>
      </c>
      <c r="AF270" s="79"/>
      <c r="AG270" s="79"/>
      <c r="AH270" s="79"/>
      <c r="AI270" s="65">
        <v>0.0</v>
      </c>
      <c r="AJ270" s="65">
        <v>0.0</v>
      </c>
      <c r="AK270" s="65">
        <v>50312.94</v>
      </c>
      <c r="AL270" s="65">
        <v>274798.86</v>
      </c>
      <c r="AM270" s="65">
        <v>276929.5</v>
      </c>
      <c r="AN270" s="65">
        <v>278882.47</v>
      </c>
      <c r="AO270" s="65">
        <v>281372.59</v>
      </c>
      <c r="AP270" s="65">
        <v>283651.31</v>
      </c>
      <c r="AQ270" s="65">
        <v>285135.3</v>
      </c>
      <c r="AR270" s="65">
        <v>286695.65</v>
      </c>
      <c r="AS270" s="65">
        <v>289667.39</v>
      </c>
      <c r="AT270" s="65">
        <v>292447.17</v>
      </c>
      <c r="AU270" s="65">
        <v>294428.81</v>
      </c>
      <c r="AV270" s="65">
        <v>295923.1</v>
      </c>
      <c r="AW270" s="65">
        <v>297895.15</v>
      </c>
      <c r="AX270" s="65">
        <v>299481.73</v>
      </c>
      <c r="AY270" s="65">
        <v>300414.7</v>
      </c>
      <c r="AZ270" s="65">
        <v>302343.1</v>
      </c>
      <c r="BA270" s="65">
        <v>303436.3</v>
      </c>
      <c r="BB270" s="65">
        <v>307534.14</v>
      </c>
      <c r="BC270" s="65">
        <v>308759.92</v>
      </c>
      <c r="BD270" s="65">
        <v>311424.73</v>
      </c>
      <c r="BE270" s="65">
        <v>313572.52</v>
      </c>
      <c r="BF270" s="65">
        <v>300981.06</v>
      </c>
      <c r="BG270" s="65">
        <v>303588.29</v>
      </c>
      <c r="BH270" s="65">
        <v>282423.03</v>
      </c>
      <c r="BI270" s="65">
        <v>285171.75</v>
      </c>
      <c r="BJ270" s="65">
        <v>288019.01</v>
      </c>
      <c r="BK270" s="65">
        <v>289992.43</v>
      </c>
      <c r="BL270" s="65">
        <v>292461.73</v>
      </c>
      <c r="BM270" s="65">
        <v>294991.03</v>
      </c>
      <c r="BN270" s="65">
        <v>297144.3</v>
      </c>
      <c r="BO270" s="65">
        <v>275519.58</v>
      </c>
      <c r="BP270" s="65">
        <v>278323.7</v>
      </c>
      <c r="BQ270" s="65">
        <v>280467.7</v>
      </c>
      <c r="BR270" s="65">
        <v>282168.7</v>
      </c>
      <c r="BS270" s="65">
        <v>315704.77</v>
      </c>
      <c r="BT270" s="88">
        <v>316641.7</v>
      </c>
      <c r="BU270" s="65">
        <v>319806.2</v>
      </c>
      <c r="BV270" s="65">
        <v>323435.3</v>
      </c>
      <c r="BW270" s="90">
        <v>326487.8</v>
      </c>
      <c r="BX270" s="90">
        <v>336596.06</v>
      </c>
      <c r="BY270" s="90">
        <f t="array" ref="BY270">XLOOKUP(C270,'PL TOTAL D0'!$A$3:$A$1991,'PL TOTAL D0'!$C$3:$C$1991,"")</f>
        <v>344055.03</v>
      </c>
    </row>
    <row r="271" ht="15.75" customHeight="1">
      <c r="A271" s="50" t="s">
        <v>24</v>
      </c>
      <c r="B271" s="43" t="s">
        <v>4268</v>
      </c>
      <c r="C271" s="94" t="s">
        <v>4269</v>
      </c>
      <c r="D271" s="30" t="s">
        <v>1664</v>
      </c>
      <c r="E271" s="22" t="s">
        <v>54</v>
      </c>
      <c r="F271" s="30" t="s">
        <v>1667</v>
      </c>
      <c r="G271" s="47" t="str">
        <f t="shared" si="13"/>
        <v>David</v>
      </c>
      <c r="H271" s="49" t="s">
        <v>224</v>
      </c>
      <c r="I271" s="49" t="s">
        <v>66</v>
      </c>
      <c r="J271" s="47" t="str">
        <f t="shared" si="17"/>
        <v>Não</v>
      </c>
      <c r="K271" s="54">
        <v>45551.0</v>
      </c>
      <c r="L271" s="55">
        <v>45966.0</v>
      </c>
      <c r="M271" s="32" t="s">
        <v>61</v>
      </c>
      <c r="N271" s="56">
        <v>0.012</v>
      </c>
      <c r="O271" s="23" t="s">
        <v>66</v>
      </c>
      <c r="P271" s="57">
        <v>0.0</v>
      </c>
      <c r="Q271" s="58"/>
      <c r="R271" s="58" t="s">
        <v>610</v>
      </c>
      <c r="S271" s="32" t="s">
        <v>194</v>
      </c>
      <c r="T271" s="32" t="s">
        <v>4273</v>
      </c>
      <c r="U271" s="33" t="s">
        <v>268</v>
      </c>
      <c r="V271" s="33"/>
      <c r="W271" s="33" t="s">
        <v>268</v>
      </c>
      <c r="X271" s="23" t="s">
        <v>475</v>
      </c>
      <c r="Y271" s="49" t="str">
        <f t="shared" si="14"/>
        <v>Encerrado</v>
      </c>
      <c r="Z271" s="62"/>
      <c r="AA271" s="32" t="s">
        <v>107</v>
      </c>
      <c r="AB271" s="64"/>
      <c r="AC271" s="79"/>
      <c r="AD271" s="54">
        <v>45551.0</v>
      </c>
      <c r="AE271" s="77">
        <v>4.9075100015791E13</v>
      </c>
      <c r="AF271" s="79"/>
      <c r="AG271" s="79"/>
      <c r="AH271" s="79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>
        <v>141681.21</v>
      </c>
      <c r="BD271" s="65">
        <v>154746.12</v>
      </c>
      <c r="BE271" s="65">
        <v>316079.7</v>
      </c>
      <c r="BF271" s="65">
        <v>320942.06</v>
      </c>
      <c r="BG271" s="65">
        <v>323640.33</v>
      </c>
      <c r="BH271" s="65">
        <v>326335.69</v>
      </c>
      <c r="BI271" s="65">
        <v>329303.35</v>
      </c>
      <c r="BJ271" s="65">
        <v>302814.87</v>
      </c>
      <c r="BK271" s="65">
        <v>291378.31</v>
      </c>
      <c r="BL271" s="65">
        <v>293922.04</v>
      </c>
      <c r="BM271" s="65">
        <v>0.0</v>
      </c>
      <c r="BN271" s="65">
        <v>0.0</v>
      </c>
      <c r="BO271" s="65">
        <v>0.0</v>
      </c>
      <c r="BP271" s="65">
        <v>0.0</v>
      </c>
      <c r="BQ271" s="65">
        <v>0.0</v>
      </c>
      <c r="BR271" s="65">
        <v>0.0</v>
      </c>
      <c r="BS271" s="65">
        <v>0.0</v>
      </c>
      <c r="BT271" s="88">
        <v>0.0</v>
      </c>
      <c r="BU271" s="65">
        <v>0.0</v>
      </c>
      <c r="BV271" s="65">
        <v>0.0</v>
      </c>
      <c r="BW271" s="90">
        <v>0.0</v>
      </c>
      <c r="BX271" s="90">
        <v>0.0</v>
      </c>
      <c r="BY271" s="90" t="str">
        <f t="array" ref="BY271">XLOOKUP(C271,'PL TOTAL D0'!$A$3:$A$1991,'PL TOTAL D0'!$C$3:$C$1991,"")</f>
        <v/>
      </c>
    </row>
    <row r="272" ht="15.75" customHeight="1">
      <c r="A272" s="50" t="s">
        <v>24</v>
      </c>
      <c r="B272" s="176" t="s">
        <v>4276</v>
      </c>
      <c r="C272" s="94" t="s">
        <v>4277</v>
      </c>
      <c r="D272" s="81" t="s">
        <v>120</v>
      </c>
      <c r="E272" s="95" t="s">
        <v>54</v>
      </c>
      <c r="F272" s="81" t="s">
        <v>348</v>
      </c>
      <c r="G272" s="47" t="str">
        <f t="shared" si="13"/>
        <v>David</v>
      </c>
      <c r="H272" s="49" t="s">
        <v>295</v>
      </c>
      <c r="I272" s="49" t="s">
        <v>382</v>
      </c>
      <c r="J272" s="47" t="str">
        <f t="shared" si="17"/>
        <v>Não</v>
      </c>
      <c r="K272" s="97">
        <v>45029.0</v>
      </c>
      <c r="L272" s="62"/>
      <c r="M272" s="62" t="s">
        <v>61</v>
      </c>
      <c r="N272" s="98">
        <v>0.01</v>
      </c>
      <c r="O272" s="47" t="s">
        <v>66</v>
      </c>
      <c r="P272" s="99">
        <v>0.0</v>
      </c>
      <c r="Q272" s="58"/>
      <c r="R272" s="70"/>
      <c r="S272" s="62" t="s">
        <v>194</v>
      </c>
      <c r="T272" s="32" t="s">
        <v>4281</v>
      </c>
      <c r="U272" s="33">
        <v>6.2992460386E10</v>
      </c>
      <c r="V272" s="33" t="s">
        <v>4282</v>
      </c>
      <c r="W272" s="34">
        <v>30898.0</v>
      </c>
      <c r="X272" s="23" t="s">
        <v>54</v>
      </c>
      <c r="Y272" s="49" t="str">
        <f t="shared" si="14"/>
        <v>Ativo</v>
      </c>
      <c r="Z272" s="62"/>
      <c r="AA272" s="62"/>
      <c r="AB272" s="64" t="s">
        <v>269</v>
      </c>
      <c r="AC272" s="79"/>
      <c r="AD272" s="54">
        <v>45029.0</v>
      </c>
      <c r="AE272" s="77">
        <v>4.9075100006733E13</v>
      </c>
      <c r="AF272" s="79"/>
      <c r="AG272" s="79"/>
      <c r="AH272" s="79"/>
      <c r="AI272" s="79"/>
      <c r="AJ272" s="79"/>
      <c r="AK272" s="65">
        <v>0.0</v>
      </c>
      <c r="AL272" s="65">
        <v>15390.31</v>
      </c>
      <c r="AM272" s="65">
        <v>15561.04</v>
      </c>
      <c r="AN272" s="65">
        <v>15708.24</v>
      </c>
      <c r="AO272" s="65">
        <v>12752.84</v>
      </c>
      <c r="AP272" s="65">
        <v>12827.29</v>
      </c>
      <c r="AQ272" s="65">
        <v>12895.51</v>
      </c>
      <c r="AR272" s="65">
        <v>12973.3</v>
      </c>
      <c r="AS272" s="65">
        <v>13073.88</v>
      </c>
      <c r="AT272" s="65">
        <v>16404.95</v>
      </c>
      <c r="AU272" s="65">
        <v>13511.52</v>
      </c>
      <c r="AV272" s="65">
        <v>13608.52</v>
      </c>
      <c r="AW272" s="65">
        <v>13716.42</v>
      </c>
      <c r="AX272" s="65">
        <v>13712.25</v>
      </c>
      <c r="AY272" s="65">
        <v>0.0</v>
      </c>
      <c r="AZ272" s="65">
        <v>0.62</v>
      </c>
      <c r="BA272" s="65">
        <v>0.62</v>
      </c>
      <c r="BB272" s="65">
        <v>0.62</v>
      </c>
      <c r="BC272" s="65">
        <v>0.62</v>
      </c>
      <c r="BD272" s="65">
        <v>0.62</v>
      </c>
      <c r="BE272" s="65">
        <v>0.62</v>
      </c>
      <c r="BF272" s="65">
        <v>0.62</v>
      </c>
      <c r="BG272" s="65">
        <v>0.62</v>
      </c>
      <c r="BH272" s="65">
        <v>0.62</v>
      </c>
      <c r="BI272" s="65">
        <v>0.62</v>
      </c>
      <c r="BJ272" s="65">
        <v>0.0</v>
      </c>
      <c r="BK272" s="65">
        <v>0.0</v>
      </c>
      <c r="BL272" s="65">
        <v>0.0</v>
      </c>
      <c r="BM272" s="65">
        <v>0.0</v>
      </c>
      <c r="BN272" s="65">
        <v>0.0</v>
      </c>
      <c r="BO272" s="65">
        <v>0.0</v>
      </c>
      <c r="BP272" s="65">
        <v>0.0</v>
      </c>
      <c r="BQ272" s="65">
        <v>0.0</v>
      </c>
      <c r="BR272" s="65">
        <v>0.0</v>
      </c>
      <c r="BS272" s="65">
        <v>0.0</v>
      </c>
      <c r="BT272" s="88">
        <v>0.0</v>
      </c>
      <c r="BU272" s="65">
        <v>0.0</v>
      </c>
      <c r="BV272" s="65">
        <v>0.0</v>
      </c>
      <c r="BW272" s="90">
        <v>0.0</v>
      </c>
      <c r="BX272" s="90">
        <v>0.0</v>
      </c>
      <c r="BY272" s="90" t="str">
        <f t="array" ref="BY272">XLOOKUP(C272,'PL TOTAL D0'!$A$3:$A$1991,'PL TOTAL D0'!$C$3:$C$1991,"")</f>
        <v/>
      </c>
    </row>
    <row r="273" ht="15.75" customHeight="1">
      <c r="A273" s="50" t="s">
        <v>24</v>
      </c>
      <c r="B273" s="43" t="s">
        <v>4286</v>
      </c>
      <c r="C273" s="94" t="s">
        <v>4287</v>
      </c>
      <c r="D273" s="81" t="s">
        <v>255</v>
      </c>
      <c r="E273" s="95" t="s">
        <v>199</v>
      </c>
      <c r="F273" s="81" t="s">
        <v>4288</v>
      </c>
      <c r="G273" s="47" t="str">
        <f t="shared" si="13"/>
        <v>David</v>
      </c>
      <c r="H273" s="49" t="s">
        <v>295</v>
      </c>
      <c r="I273" s="49" t="s">
        <v>382</v>
      </c>
      <c r="J273" s="47" t="str">
        <f t="shared" si="17"/>
        <v>Não</v>
      </c>
      <c r="K273" s="97">
        <v>44935.0</v>
      </c>
      <c r="L273" s="62"/>
      <c r="M273" s="62" t="s">
        <v>61</v>
      </c>
      <c r="N273" s="98">
        <v>0.01</v>
      </c>
      <c r="O273" s="47" t="s">
        <v>66</v>
      </c>
      <c r="P273" s="99">
        <v>0.0</v>
      </c>
      <c r="Q273" s="58"/>
      <c r="R273" s="70"/>
      <c r="S273" s="62" t="s">
        <v>194</v>
      </c>
      <c r="T273" s="32" t="s">
        <v>4137</v>
      </c>
      <c r="U273" s="33">
        <v>6.1985499973E10</v>
      </c>
      <c r="V273" s="33" t="s">
        <v>4290</v>
      </c>
      <c r="W273" s="34">
        <v>17630.0</v>
      </c>
      <c r="X273" s="23" t="s">
        <v>199</v>
      </c>
      <c r="Y273" s="49" t="str">
        <f t="shared" si="14"/>
        <v>Ativo</v>
      </c>
      <c r="Z273" s="62"/>
      <c r="AA273" s="62"/>
      <c r="AB273" s="64" t="s">
        <v>244</v>
      </c>
      <c r="AC273" s="79"/>
      <c r="AD273" s="54">
        <v>44935.0</v>
      </c>
      <c r="AE273" s="77">
        <v>4.9075100005605E13</v>
      </c>
      <c r="AF273" s="79"/>
      <c r="AG273" s="79"/>
      <c r="AH273" s="65">
        <v>381298.58</v>
      </c>
      <c r="AI273" s="65">
        <v>265464.98</v>
      </c>
      <c r="AJ273" s="65">
        <v>267762.35</v>
      </c>
      <c r="AK273" s="65">
        <v>255619.92</v>
      </c>
      <c r="AL273" s="65">
        <v>257567.67</v>
      </c>
      <c r="AM273" s="65">
        <v>260425.27</v>
      </c>
      <c r="AN273" s="65">
        <v>263021.44</v>
      </c>
      <c r="AO273" s="65">
        <v>265529.31</v>
      </c>
      <c r="AP273" s="65">
        <v>268251.05</v>
      </c>
      <c r="AQ273" s="65">
        <v>270578.92</v>
      </c>
      <c r="AR273" s="65">
        <v>273195.75</v>
      </c>
      <c r="AS273" s="65">
        <v>275485.49</v>
      </c>
      <c r="AT273" s="65">
        <v>277899.52</v>
      </c>
      <c r="AU273" s="65">
        <v>94278.48</v>
      </c>
      <c r="AV273" s="65">
        <v>95103.42</v>
      </c>
      <c r="AW273" s="65">
        <v>96166.27</v>
      </c>
      <c r="AX273" s="65">
        <v>96200.17</v>
      </c>
      <c r="AY273" s="65">
        <v>85914.29</v>
      </c>
      <c r="AZ273" s="65">
        <v>86332.19</v>
      </c>
      <c r="BA273" s="65">
        <v>0.0</v>
      </c>
      <c r="BB273" s="65">
        <v>0.21</v>
      </c>
      <c r="BC273" s="65">
        <v>0.21</v>
      </c>
      <c r="BD273" s="65">
        <v>0.21</v>
      </c>
      <c r="BE273" s="65">
        <v>0.21</v>
      </c>
      <c r="BF273" s="65">
        <v>0.21</v>
      </c>
      <c r="BG273" s="65">
        <v>0.21</v>
      </c>
      <c r="BH273" s="65">
        <v>0.21</v>
      </c>
      <c r="BI273" s="65">
        <v>0.21</v>
      </c>
      <c r="BJ273" s="65">
        <v>0.0</v>
      </c>
      <c r="BK273" s="65">
        <v>0.0</v>
      </c>
      <c r="BL273" s="65">
        <v>0.0</v>
      </c>
      <c r="BM273" s="65">
        <v>0.0</v>
      </c>
      <c r="BN273" s="65">
        <v>0.0</v>
      </c>
      <c r="BO273" s="65">
        <v>0.0</v>
      </c>
      <c r="BP273" s="65">
        <v>0.0</v>
      </c>
      <c r="BQ273" s="65">
        <v>0.0</v>
      </c>
      <c r="BR273" s="65">
        <v>0.0</v>
      </c>
      <c r="BS273" s="65">
        <v>0.0</v>
      </c>
      <c r="BT273" s="88">
        <v>0.0</v>
      </c>
      <c r="BU273" s="65">
        <v>0.0</v>
      </c>
      <c r="BV273" s="65">
        <v>0.0</v>
      </c>
      <c r="BW273" s="90">
        <v>0.0</v>
      </c>
      <c r="BX273" s="90">
        <v>0.0</v>
      </c>
      <c r="BY273" s="90" t="str">
        <f t="array" ref="BY273">XLOOKUP(C273,'PL TOTAL D0'!$A$3:$A$1991,'PL TOTAL D0'!$C$3:$C$1991,"")</f>
        <v/>
      </c>
    </row>
    <row r="274" ht="15.75" customHeight="1">
      <c r="A274" s="50" t="s">
        <v>24</v>
      </c>
      <c r="B274" s="50" t="s">
        <v>4205</v>
      </c>
      <c r="C274" s="94" t="s">
        <v>4298</v>
      </c>
      <c r="D274" s="81" t="s">
        <v>255</v>
      </c>
      <c r="E274" s="95" t="s">
        <v>199</v>
      </c>
      <c r="F274" s="81" t="s">
        <v>4205</v>
      </c>
      <c r="G274" s="47" t="str">
        <f t="shared" si="13"/>
        <v>David</v>
      </c>
      <c r="H274" s="49" t="s">
        <v>295</v>
      </c>
      <c r="I274" s="49" t="s">
        <v>382</v>
      </c>
      <c r="J274" s="47" t="str">
        <f t="shared" si="17"/>
        <v>Não</v>
      </c>
      <c r="K274" s="97">
        <v>45000.0</v>
      </c>
      <c r="L274" s="62"/>
      <c r="M274" s="62" t="s">
        <v>361</v>
      </c>
      <c r="N274" s="98">
        <v>0.02</v>
      </c>
      <c r="O274" s="47" t="s">
        <v>35</v>
      </c>
      <c r="P274" s="99">
        <v>0.2</v>
      </c>
      <c r="Q274" s="58"/>
      <c r="R274" s="70"/>
      <c r="S274" s="62" t="s">
        <v>194</v>
      </c>
      <c r="T274" s="32" t="s">
        <v>4204</v>
      </c>
      <c r="U274" s="33">
        <v>5.561999166969E12</v>
      </c>
      <c r="V274" s="33" t="s">
        <v>4301</v>
      </c>
      <c r="W274" s="34">
        <v>32692.0</v>
      </c>
      <c r="X274" s="23" t="s">
        <v>199</v>
      </c>
      <c r="Y274" s="49" t="str">
        <f t="shared" si="14"/>
        <v>Ativo</v>
      </c>
      <c r="Z274" s="62"/>
      <c r="AA274" s="62"/>
      <c r="AB274" s="64" t="s">
        <v>269</v>
      </c>
      <c r="AC274" s="79"/>
      <c r="AD274" s="54">
        <v>45000.0</v>
      </c>
      <c r="AE274" s="77">
        <v>4.9075100004455E13</v>
      </c>
      <c r="AF274" s="79"/>
      <c r="AG274" s="79"/>
      <c r="AH274" s="79"/>
      <c r="AI274" s="65">
        <v>0.0</v>
      </c>
      <c r="AJ274" s="65">
        <v>0.0</v>
      </c>
      <c r="AK274" s="65">
        <v>17955.96</v>
      </c>
      <c r="AL274" s="65">
        <v>18549.92</v>
      </c>
      <c r="AM274" s="65">
        <v>1010.11</v>
      </c>
      <c r="AN274" s="65">
        <v>1019.44</v>
      </c>
      <c r="AO274" s="65">
        <v>1029.1</v>
      </c>
      <c r="AP274" s="65">
        <v>1041.12</v>
      </c>
      <c r="AQ274" s="65">
        <v>1051.55</v>
      </c>
      <c r="AR274" s="65">
        <v>1062.82</v>
      </c>
      <c r="AS274" s="65">
        <v>1072.3</v>
      </c>
      <c r="AT274" s="65">
        <v>1082.15</v>
      </c>
      <c r="AU274" s="65">
        <v>1092.88</v>
      </c>
      <c r="AV274" s="65">
        <v>1104.97</v>
      </c>
      <c r="AW274" s="65">
        <v>1119.31</v>
      </c>
      <c r="AX274" s="65">
        <v>1111.57</v>
      </c>
      <c r="AY274" s="65">
        <v>1106.65</v>
      </c>
      <c r="AZ274" s="65">
        <v>1113.67</v>
      </c>
      <c r="BA274" s="65">
        <v>1120.93</v>
      </c>
      <c r="BB274" s="65">
        <v>1134.95</v>
      </c>
      <c r="BC274" s="65">
        <v>1136.69</v>
      </c>
      <c r="BD274" s="65">
        <v>1136.08</v>
      </c>
      <c r="BE274" s="65">
        <v>1140.46</v>
      </c>
      <c r="BF274" s="65">
        <v>1150.79</v>
      </c>
      <c r="BG274" s="65">
        <v>1162.61</v>
      </c>
      <c r="BH274" s="65">
        <v>1173.92</v>
      </c>
      <c r="BI274" s="65">
        <v>1185.06</v>
      </c>
      <c r="BJ274" s="65">
        <v>1197.38</v>
      </c>
      <c r="BK274" s="65">
        <v>1200.4</v>
      </c>
      <c r="BL274" s="65">
        <v>1213.45</v>
      </c>
      <c r="BM274" s="65">
        <v>1228.83</v>
      </c>
      <c r="BN274" s="65">
        <v>1243.0</v>
      </c>
      <c r="BO274" s="65">
        <v>1257.33</v>
      </c>
      <c r="BP274" s="65">
        <v>1273.81</v>
      </c>
      <c r="BQ274" s="65">
        <v>1274.04</v>
      </c>
      <c r="BR274" s="65">
        <v>1289.49</v>
      </c>
      <c r="BS274" s="65">
        <v>1304.41</v>
      </c>
      <c r="BT274" s="88">
        <v>1317.34</v>
      </c>
      <c r="BU274" s="65">
        <v>1333.36</v>
      </c>
      <c r="BV274" s="65">
        <v>1347.72</v>
      </c>
      <c r="BW274" s="90">
        <v>1348.91</v>
      </c>
      <c r="BX274" s="90">
        <v>1363.09</v>
      </c>
      <c r="BY274" s="90" t="str">
        <f t="array" ref="BY274">XLOOKUP(C274,'PL TOTAL D0'!$A$3:$A$1991,'PL TOTAL D0'!$C$3:$C$1991,"")</f>
        <v/>
      </c>
    </row>
    <row r="275" ht="15.75" customHeight="1">
      <c r="A275" s="50" t="s">
        <v>24</v>
      </c>
      <c r="B275" s="50" t="s">
        <v>4310</v>
      </c>
      <c r="C275" s="94" t="s">
        <v>4311</v>
      </c>
      <c r="D275" s="81" t="s">
        <v>120</v>
      </c>
      <c r="E275" s="95" t="s">
        <v>199</v>
      </c>
      <c r="F275" s="81" t="s">
        <v>1914</v>
      </c>
      <c r="G275" s="47" t="str">
        <f t="shared" si="13"/>
        <v>David</v>
      </c>
      <c r="H275" s="49" t="s">
        <v>224</v>
      </c>
      <c r="I275" s="49" t="s">
        <v>66</v>
      </c>
      <c r="J275" s="47" t="str">
        <f t="shared" si="17"/>
        <v>Não</v>
      </c>
      <c r="K275" s="97">
        <v>44921.0</v>
      </c>
      <c r="L275" s="55">
        <v>45776.0</v>
      </c>
      <c r="M275" s="62" t="s">
        <v>209</v>
      </c>
      <c r="N275" s="98">
        <v>0.015</v>
      </c>
      <c r="O275" s="47" t="s">
        <v>35</v>
      </c>
      <c r="P275" s="99">
        <v>0.1</v>
      </c>
      <c r="Q275" s="58"/>
      <c r="R275" s="70"/>
      <c r="S275" s="62" t="s">
        <v>194</v>
      </c>
      <c r="T275" s="32" t="s">
        <v>4315</v>
      </c>
      <c r="U275" s="33" t="s">
        <v>268</v>
      </c>
      <c r="V275" s="33"/>
      <c r="W275" s="33" t="s">
        <v>268</v>
      </c>
      <c r="X275" s="23" t="s">
        <v>199</v>
      </c>
      <c r="Y275" s="49" t="str">
        <f t="shared" si="14"/>
        <v>Encerrado</v>
      </c>
      <c r="Z275" s="62"/>
      <c r="AA275" s="62"/>
      <c r="AB275" s="64" t="s">
        <v>244</v>
      </c>
      <c r="AC275" s="79"/>
      <c r="AD275" s="54">
        <v>44921.0</v>
      </c>
      <c r="AE275" s="77">
        <v>4.9075100005613E13</v>
      </c>
      <c r="AF275" s="79"/>
      <c r="AG275" s="79"/>
      <c r="AH275" s="65">
        <v>120188.38</v>
      </c>
      <c r="AI275" s="65">
        <v>212304.81</v>
      </c>
      <c r="AJ275" s="65">
        <v>214097.75</v>
      </c>
      <c r="AK275" s="65">
        <v>215903.39</v>
      </c>
      <c r="AL275" s="65">
        <v>237121.83</v>
      </c>
      <c r="AM275" s="65">
        <v>241167.17</v>
      </c>
      <c r="AN275" s="65">
        <v>265869.69</v>
      </c>
      <c r="AO275" s="65">
        <v>269316.47</v>
      </c>
      <c r="AP275" s="65">
        <v>268103.17</v>
      </c>
      <c r="AQ275" s="65">
        <v>156243.89</v>
      </c>
      <c r="AR275" s="65">
        <v>153223.7</v>
      </c>
      <c r="AS275" s="65">
        <v>166687.26</v>
      </c>
      <c r="AT275" s="65">
        <v>173716.99</v>
      </c>
      <c r="AU275" s="65">
        <v>168275.08</v>
      </c>
      <c r="AV275" s="65">
        <v>169818.22</v>
      </c>
      <c r="AW275" s="65">
        <v>171477.4</v>
      </c>
      <c r="AX275" s="65">
        <v>170570.62</v>
      </c>
      <c r="AY275" s="65">
        <v>169722.4</v>
      </c>
      <c r="AZ275" s="65">
        <v>170733.8</v>
      </c>
      <c r="BA275" s="65">
        <v>173044.4</v>
      </c>
      <c r="BB275" s="65">
        <v>174998.49</v>
      </c>
      <c r="BC275" s="65">
        <v>174816.71</v>
      </c>
      <c r="BD275" s="65">
        <v>173365.3</v>
      </c>
      <c r="BE275" s="65">
        <v>0.0</v>
      </c>
      <c r="BF275" s="65">
        <v>0.0</v>
      </c>
      <c r="BG275" s="65">
        <v>0.0</v>
      </c>
      <c r="BH275" s="65">
        <v>0.0</v>
      </c>
      <c r="BI275" s="65">
        <v>0.0</v>
      </c>
      <c r="BJ275" s="65">
        <v>0.0</v>
      </c>
      <c r="BK275" s="65">
        <v>0.0</v>
      </c>
      <c r="BL275" s="65">
        <v>0.0</v>
      </c>
      <c r="BM275" s="65">
        <v>0.0</v>
      </c>
      <c r="BN275" s="65">
        <v>0.0</v>
      </c>
      <c r="BO275" s="65">
        <v>0.0</v>
      </c>
      <c r="BP275" s="65">
        <v>0.0</v>
      </c>
      <c r="BQ275" s="65">
        <v>0.0</v>
      </c>
      <c r="BR275" s="65">
        <v>0.0</v>
      </c>
      <c r="BS275" s="65">
        <v>0.0</v>
      </c>
      <c r="BT275" s="88">
        <v>0.0</v>
      </c>
      <c r="BU275" s="65">
        <v>0.0</v>
      </c>
      <c r="BV275" s="65">
        <v>0.0</v>
      </c>
      <c r="BW275" s="90">
        <v>0.0</v>
      </c>
      <c r="BX275" s="90">
        <v>0.0</v>
      </c>
      <c r="BY275" s="90" t="str">
        <f t="array" ref="BY275">XLOOKUP(C275,'PL TOTAL D0'!$A$3:$A$1991,'PL TOTAL D0'!$C$3:$C$1991,"")</f>
        <v/>
      </c>
    </row>
    <row r="276" ht="15.75" customHeight="1">
      <c r="A276" s="50" t="s">
        <v>24</v>
      </c>
      <c r="B276" s="43" t="s">
        <v>4324</v>
      </c>
      <c r="C276" s="53" t="s">
        <v>3132</v>
      </c>
      <c r="D276" s="30" t="s">
        <v>1257</v>
      </c>
      <c r="E276" s="22" t="s">
        <v>199</v>
      </c>
      <c r="F276" s="30" t="s">
        <v>1257</v>
      </c>
      <c r="G276" s="47" t="str">
        <f t="shared" si="13"/>
        <v>David</v>
      </c>
      <c r="H276" s="49" t="s">
        <v>183</v>
      </c>
      <c r="I276" s="49" t="s">
        <v>66</v>
      </c>
      <c r="J276" s="47" t="str">
        <f t="shared" si="17"/>
        <v>Não</v>
      </c>
      <c r="K276" s="54">
        <v>46153.0</v>
      </c>
      <c r="L276" s="55"/>
      <c r="M276" s="32" t="s">
        <v>1262</v>
      </c>
      <c r="N276" s="56">
        <v>0.0</v>
      </c>
      <c r="O276" s="23" t="s">
        <v>66</v>
      </c>
      <c r="P276" s="57">
        <v>0.0</v>
      </c>
      <c r="Q276" s="58"/>
      <c r="R276" s="70"/>
      <c r="S276" s="32" t="s">
        <v>194</v>
      </c>
      <c r="T276" s="32" t="s">
        <v>4327</v>
      </c>
      <c r="U276" s="33" t="s">
        <v>4328</v>
      </c>
      <c r="V276" s="33" t="s">
        <v>4329</v>
      </c>
      <c r="W276" s="48">
        <v>33092.0</v>
      </c>
      <c r="X276" s="23" t="s">
        <v>618</v>
      </c>
      <c r="Y276" s="49" t="str">
        <f t="shared" si="14"/>
        <v>Ativo</v>
      </c>
      <c r="Z276" s="62"/>
      <c r="AA276" s="32" t="s">
        <v>107</v>
      </c>
      <c r="AB276" s="64"/>
      <c r="AC276" s="79"/>
      <c r="AD276" s="54">
        <v>46203.0</v>
      </c>
      <c r="AE276" s="77"/>
      <c r="AF276" s="79"/>
      <c r="AG276" s="79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88"/>
      <c r="BU276" s="65"/>
      <c r="BV276" s="65"/>
      <c r="BW276" s="90">
        <v>437425.1</v>
      </c>
      <c r="BX276" s="90">
        <v>310639.7</v>
      </c>
      <c r="BY276" s="90">
        <f t="array" ref="BY276">XLOOKUP(C276,'PL TOTAL D0'!$A$3:$A$1991,'PL TOTAL D0'!$C$3:$C$1991,"")</f>
        <v>207684.55</v>
      </c>
    </row>
    <row r="277" ht="15.75" customHeight="1">
      <c r="A277" s="50" t="s">
        <v>24</v>
      </c>
      <c r="B277" s="43" t="s">
        <v>4339</v>
      </c>
      <c r="C277" s="53" t="s">
        <v>3245</v>
      </c>
      <c r="D277" s="30" t="s">
        <v>3843</v>
      </c>
      <c r="E277" s="22" t="s">
        <v>54</v>
      </c>
      <c r="F277" s="30" t="s">
        <v>3844</v>
      </c>
      <c r="G277" s="47" t="str">
        <f t="shared" si="13"/>
        <v>David</v>
      </c>
      <c r="H277" s="49" t="s">
        <v>183</v>
      </c>
      <c r="I277" s="49" t="s">
        <v>66</v>
      </c>
      <c r="J277" s="47" t="str">
        <f t="shared" si="17"/>
        <v>Não</v>
      </c>
      <c r="K277" s="54">
        <v>46132.0</v>
      </c>
      <c r="L277" s="55"/>
      <c r="M277" s="32" t="s">
        <v>34</v>
      </c>
      <c r="N277" s="56">
        <v>0.012</v>
      </c>
      <c r="O277" s="23" t="s">
        <v>35</v>
      </c>
      <c r="P277" s="57">
        <v>0.1</v>
      </c>
      <c r="Q277" s="58"/>
      <c r="R277" s="70"/>
      <c r="S277" s="32" t="s">
        <v>194</v>
      </c>
      <c r="T277" s="32" t="s">
        <v>4343</v>
      </c>
      <c r="U277" s="33" t="s">
        <v>4344</v>
      </c>
      <c r="V277" s="33" t="s">
        <v>4346</v>
      </c>
      <c r="W277" s="48">
        <v>30888.0</v>
      </c>
      <c r="X277" s="23" t="s">
        <v>54</v>
      </c>
      <c r="Y277" s="49" t="str">
        <f t="shared" si="14"/>
        <v>Ativo</v>
      </c>
      <c r="Z277" s="62"/>
      <c r="AA277" s="32" t="s">
        <v>47</v>
      </c>
      <c r="AB277" s="64"/>
      <c r="AC277" s="79"/>
      <c r="AD277" s="54">
        <v>46203.0</v>
      </c>
      <c r="AE277" s="77"/>
      <c r="AF277" s="79"/>
      <c r="AG277" s="79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65"/>
      <c r="BH277" s="65"/>
      <c r="BI277" s="65"/>
      <c r="BJ277" s="65"/>
      <c r="BK277" s="65"/>
      <c r="BL277" s="65"/>
      <c r="BM277" s="65"/>
      <c r="BN277" s="65"/>
      <c r="BO277" s="65"/>
      <c r="BP277" s="65"/>
      <c r="BQ277" s="65"/>
      <c r="BR277" s="65"/>
      <c r="BS277" s="65"/>
      <c r="BT277" s="88"/>
      <c r="BU277" s="65"/>
      <c r="BV277" s="65">
        <v>90151.7</v>
      </c>
      <c r="BW277" s="90">
        <v>146735.3</v>
      </c>
      <c r="BX277" s="90">
        <v>148210.79</v>
      </c>
      <c r="BY277" s="90">
        <f t="array" ref="BY277">XLOOKUP(C277,'PL TOTAL D0'!$A$3:$A$1991,'PL TOTAL D0'!$C$3:$C$1991,"")</f>
        <v>138146.27</v>
      </c>
    </row>
    <row r="278" ht="15.75" customHeight="1">
      <c r="A278" s="50" t="s">
        <v>24</v>
      </c>
      <c r="B278" s="50" t="s">
        <v>4258</v>
      </c>
      <c r="C278" s="94" t="s">
        <v>4351</v>
      </c>
      <c r="D278" s="81" t="s">
        <v>120</v>
      </c>
      <c r="E278" s="95" t="s">
        <v>199</v>
      </c>
      <c r="F278" s="81" t="s">
        <v>290</v>
      </c>
      <c r="G278" s="47" t="str">
        <f t="shared" si="13"/>
        <v>David</v>
      </c>
      <c r="H278" s="49" t="s">
        <v>295</v>
      </c>
      <c r="I278" s="49" t="s">
        <v>382</v>
      </c>
      <c r="J278" s="47" t="str">
        <f t="shared" si="17"/>
        <v>Não</v>
      </c>
      <c r="K278" s="97">
        <v>45061.0</v>
      </c>
      <c r="L278" s="62"/>
      <c r="M278" s="62" t="s">
        <v>61</v>
      </c>
      <c r="N278" s="98">
        <v>0.012</v>
      </c>
      <c r="O278" s="47" t="s">
        <v>66</v>
      </c>
      <c r="P278" s="99">
        <v>0.0</v>
      </c>
      <c r="Q278" s="58"/>
      <c r="R278" s="58" t="s">
        <v>4355</v>
      </c>
      <c r="S278" s="62" t="s">
        <v>194</v>
      </c>
      <c r="T278" s="32" t="s">
        <v>4257</v>
      </c>
      <c r="U278" s="33">
        <v>6.198209985E10</v>
      </c>
      <c r="V278" s="33" t="s">
        <v>4356</v>
      </c>
      <c r="W278" s="34">
        <v>34800.0</v>
      </c>
      <c r="X278" s="23" t="s">
        <v>199</v>
      </c>
      <c r="Y278" s="49" t="str">
        <f t="shared" si="14"/>
        <v>Ativo</v>
      </c>
      <c r="Z278" s="62"/>
      <c r="AA278" s="62"/>
      <c r="AB278" s="64" t="s">
        <v>269</v>
      </c>
      <c r="AC278" s="79"/>
      <c r="AD278" s="54">
        <v>45061.0</v>
      </c>
      <c r="AE278" s="77">
        <v>4.9075100003254E13</v>
      </c>
      <c r="AF278" s="79"/>
      <c r="AG278" s="79"/>
      <c r="AH278" s="79"/>
      <c r="AI278" s="79"/>
      <c r="AJ278" s="79"/>
      <c r="AK278" s="79"/>
      <c r="AL278" s="65">
        <v>0.0</v>
      </c>
      <c r="AM278" s="65">
        <v>274818.05</v>
      </c>
      <c r="AN278" s="65">
        <v>277673.23</v>
      </c>
      <c r="AO278" s="65">
        <v>279989.85</v>
      </c>
      <c r="AP278" s="65">
        <v>282280.53</v>
      </c>
      <c r="AQ278" s="65">
        <v>283963.38</v>
      </c>
      <c r="AR278" s="65">
        <v>285881.02</v>
      </c>
      <c r="AS278" s="65">
        <v>286365.27</v>
      </c>
      <c r="AT278" s="65">
        <v>288801.62</v>
      </c>
      <c r="AU278" s="65">
        <v>291247.23</v>
      </c>
      <c r="AV278" s="65">
        <v>293121.54</v>
      </c>
      <c r="AW278" s="65">
        <v>294500.57</v>
      </c>
      <c r="AX278" s="65">
        <v>296062.37</v>
      </c>
      <c r="AY278" s="65">
        <v>287928.3</v>
      </c>
      <c r="AZ278" s="65">
        <v>114030.8</v>
      </c>
      <c r="BA278" s="65">
        <v>115059.5</v>
      </c>
      <c r="BB278" s="65">
        <v>115937.52</v>
      </c>
      <c r="BC278" s="65">
        <v>0.0</v>
      </c>
      <c r="BD278" s="65">
        <v>0.0</v>
      </c>
      <c r="BE278" s="65">
        <v>0.0</v>
      </c>
      <c r="BF278" s="65">
        <v>0.09</v>
      </c>
      <c r="BG278" s="65">
        <v>0.09</v>
      </c>
      <c r="BH278" s="65">
        <v>0.09</v>
      </c>
      <c r="BI278" s="65">
        <v>0.09</v>
      </c>
      <c r="BJ278" s="65">
        <v>0.0</v>
      </c>
      <c r="BK278" s="65">
        <v>0.0</v>
      </c>
      <c r="BL278" s="65">
        <v>0.0</v>
      </c>
      <c r="BM278" s="65">
        <v>0.0</v>
      </c>
      <c r="BN278" s="65">
        <v>0.0</v>
      </c>
      <c r="BO278" s="65">
        <v>0.0</v>
      </c>
      <c r="BP278" s="65">
        <v>0.0</v>
      </c>
      <c r="BQ278" s="65">
        <v>0.0</v>
      </c>
      <c r="BR278" s="65">
        <v>0.0</v>
      </c>
      <c r="BS278" s="65">
        <v>0.0</v>
      </c>
      <c r="BT278" s="88">
        <v>0.0</v>
      </c>
      <c r="BU278" s="65">
        <v>0.0</v>
      </c>
      <c r="BV278" s="65">
        <v>0.0</v>
      </c>
      <c r="BW278" s="90">
        <v>0.0</v>
      </c>
      <c r="BX278" s="90">
        <v>0.0</v>
      </c>
      <c r="BY278" s="90" t="str">
        <f t="array" ref="BY278">XLOOKUP(C278,'PL TOTAL D0'!$A$3:$A$1991,'PL TOTAL D0'!$C$3:$C$1991,"")</f>
        <v/>
      </c>
    </row>
    <row r="279" ht="15.75" customHeight="1">
      <c r="A279" s="50" t="s">
        <v>24</v>
      </c>
      <c r="B279" s="43" t="s">
        <v>4364</v>
      </c>
      <c r="C279" s="94" t="s">
        <v>4365</v>
      </c>
      <c r="D279" s="30" t="s">
        <v>1664</v>
      </c>
      <c r="E279" s="22" t="s">
        <v>54</v>
      </c>
      <c r="F279" s="30" t="s">
        <v>1667</v>
      </c>
      <c r="G279" s="47" t="str">
        <f t="shared" si="13"/>
        <v>David</v>
      </c>
      <c r="H279" s="49" t="s">
        <v>295</v>
      </c>
      <c r="I279" s="49" t="s">
        <v>382</v>
      </c>
      <c r="J279" s="47" t="str">
        <f t="shared" si="17"/>
        <v>Não</v>
      </c>
      <c r="K279" s="54">
        <v>45646.0</v>
      </c>
      <c r="L279" s="62"/>
      <c r="M279" s="32" t="s">
        <v>61</v>
      </c>
      <c r="N279" s="56">
        <v>0.012</v>
      </c>
      <c r="O279" s="23" t="s">
        <v>66</v>
      </c>
      <c r="P279" s="57">
        <v>0.0</v>
      </c>
      <c r="Q279" s="58"/>
      <c r="R279" s="58"/>
      <c r="S279" s="32" t="s">
        <v>194</v>
      </c>
      <c r="T279" s="32" t="s">
        <v>4370</v>
      </c>
      <c r="U279" s="33">
        <v>5.562985511112E12</v>
      </c>
      <c r="V279" s="33" t="s">
        <v>4372</v>
      </c>
      <c r="W279" s="34">
        <v>30944.0</v>
      </c>
      <c r="X279" s="23" t="s">
        <v>54</v>
      </c>
      <c r="Y279" s="49" t="str">
        <f t="shared" si="14"/>
        <v>Ativo</v>
      </c>
      <c r="Z279" s="62"/>
      <c r="AA279" s="32" t="s">
        <v>107</v>
      </c>
      <c r="AB279" s="64"/>
      <c r="AC279" s="79"/>
      <c r="AD279" s="54">
        <v>45646.0</v>
      </c>
      <c r="AE279" s="77">
        <v>4.907510001641E13</v>
      </c>
      <c r="AF279" s="79"/>
      <c r="AG279" s="79"/>
      <c r="AH279" s="79"/>
      <c r="AI279" s="79"/>
      <c r="AJ279" s="79"/>
      <c r="AK279" s="79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  <c r="BE279" s="65"/>
      <c r="BF279" s="65">
        <v>11629.6</v>
      </c>
      <c r="BG279" s="65">
        <v>5774.55</v>
      </c>
      <c r="BH279" s="65">
        <v>5823.5</v>
      </c>
      <c r="BI279" s="65">
        <v>5872.11</v>
      </c>
      <c r="BJ279" s="65">
        <v>0.27</v>
      </c>
      <c r="BK279" s="65">
        <v>0.28</v>
      </c>
      <c r="BL279" s="65">
        <v>0.28</v>
      </c>
      <c r="BM279" s="65">
        <v>0.28</v>
      </c>
      <c r="BN279" s="65">
        <v>0.28</v>
      </c>
      <c r="BO279" s="65">
        <v>0.28</v>
      </c>
      <c r="BP279" s="65">
        <v>0.28</v>
      </c>
      <c r="BQ279" s="65">
        <v>0.28</v>
      </c>
      <c r="BR279" s="65">
        <v>0.28</v>
      </c>
      <c r="BS279" s="65">
        <v>0.28</v>
      </c>
      <c r="BT279" s="88">
        <v>0.28</v>
      </c>
      <c r="BU279" s="65">
        <v>0.28</v>
      </c>
      <c r="BV279" s="65">
        <v>0.28</v>
      </c>
      <c r="BW279" s="90">
        <v>0.28</v>
      </c>
      <c r="BX279" s="90">
        <v>0.28</v>
      </c>
      <c r="BY279" s="90" t="str">
        <f t="array" ref="BY279">XLOOKUP(C279,'PL TOTAL D0'!$A$3:$A$1991,'PL TOTAL D0'!$C$3:$C$1991,"")</f>
        <v/>
      </c>
    </row>
    <row r="280" ht="15.75" customHeight="1">
      <c r="A280" s="50" t="s">
        <v>24</v>
      </c>
      <c r="B280" s="50" t="s">
        <v>565</v>
      </c>
      <c r="C280" s="94" t="s">
        <v>2716</v>
      </c>
      <c r="D280" s="81" t="s">
        <v>255</v>
      </c>
      <c r="E280" s="95" t="s">
        <v>199</v>
      </c>
      <c r="F280" s="81" t="s">
        <v>4380</v>
      </c>
      <c r="G280" s="47" t="str">
        <f t="shared" si="13"/>
        <v>Marcus</v>
      </c>
      <c r="H280" s="74" t="s">
        <v>183</v>
      </c>
      <c r="I280" s="74" t="s">
        <v>66</v>
      </c>
      <c r="J280" s="47" t="str">
        <f t="shared" si="17"/>
        <v>Não</v>
      </c>
      <c r="K280" s="97">
        <v>45006.0</v>
      </c>
      <c r="L280" s="62"/>
      <c r="M280" s="62" t="s">
        <v>61</v>
      </c>
      <c r="N280" s="98">
        <v>0.007</v>
      </c>
      <c r="O280" s="47" t="s">
        <v>66</v>
      </c>
      <c r="P280" s="99">
        <v>0.0</v>
      </c>
      <c r="Q280" s="58"/>
      <c r="R280" s="70"/>
      <c r="S280" s="62" t="s">
        <v>194</v>
      </c>
      <c r="T280" s="32" t="s">
        <v>572</v>
      </c>
      <c r="U280" s="33">
        <v>5.561984233355E12</v>
      </c>
      <c r="V280" s="33" t="s">
        <v>574</v>
      </c>
      <c r="W280" s="34">
        <v>23909.0</v>
      </c>
      <c r="X280" s="23" t="s">
        <v>199</v>
      </c>
      <c r="Y280" s="49" t="str">
        <f t="shared" si="14"/>
        <v>Ativo</v>
      </c>
      <c r="Z280" s="62"/>
      <c r="AA280" s="62"/>
      <c r="AB280" s="64" t="s">
        <v>269</v>
      </c>
      <c r="AC280" s="79"/>
      <c r="AD280" s="54">
        <v>45006.0</v>
      </c>
      <c r="AE280" s="77">
        <v>4.9075100008256E13</v>
      </c>
      <c r="AF280" s="79"/>
      <c r="AG280" s="79"/>
      <c r="AH280" s="79"/>
      <c r="AI280" s="65">
        <v>0.0</v>
      </c>
      <c r="AJ280" s="65">
        <v>0.0</v>
      </c>
      <c r="AK280" s="65">
        <v>745648.09</v>
      </c>
      <c r="AL280" s="65">
        <v>749900.83</v>
      </c>
      <c r="AM280" s="65">
        <v>756752.38</v>
      </c>
      <c r="AN280" s="65">
        <v>772289.75</v>
      </c>
      <c r="AO280" s="65">
        <v>788470.5</v>
      </c>
      <c r="AP280" s="65">
        <v>788285.49</v>
      </c>
      <c r="AQ280" s="65">
        <v>791403.78</v>
      </c>
      <c r="AR280" s="65">
        <v>794481.47</v>
      </c>
      <c r="AS280" s="65">
        <v>802400.49</v>
      </c>
      <c r="AT280" s="65">
        <v>810142.87</v>
      </c>
      <c r="AU280" s="65">
        <v>811716.97</v>
      </c>
      <c r="AV280" s="65">
        <v>815236.74</v>
      </c>
      <c r="AW280" s="65">
        <v>818622.85</v>
      </c>
      <c r="AX280" s="65">
        <v>821463.2</v>
      </c>
      <c r="AY280" s="65">
        <v>826979.6</v>
      </c>
      <c r="AZ280" s="65">
        <v>832263.8</v>
      </c>
      <c r="BA280" s="65">
        <v>838425.2</v>
      </c>
      <c r="BB280" s="65">
        <v>845967.33</v>
      </c>
      <c r="BC280" s="65">
        <v>850514.41</v>
      </c>
      <c r="BD280" s="65">
        <v>858562.13</v>
      </c>
      <c r="BE280" s="65">
        <v>841192.99</v>
      </c>
      <c r="BF280" s="65">
        <v>848207.27</v>
      </c>
      <c r="BG280" s="65">
        <v>856506.54</v>
      </c>
      <c r="BH280" s="65">
        <v>974470.86</v>
      </c>
      <c r="BI280" s="65">
        <v>870623.07</v>
      </c>
      <c r="BJ280" s="65">
        <v>880477.06</v>
      </c>
      <c r="BK280" s="65">
        <v>889093.83</v>
      </c>
      <c r="BL280" s="65">
        <v>897102.94</v>
      </c>
      <c r="BM280" s="65">
        <v>906946.05</v>
      </c>
      <c r="BN280" s="65">
        <v>915272.4</v>
      </c>
      <c r="BO280" s="65">
        <v>986308.31</v>
      </c>
      <c r="BP280" s="65">
        <v>997735.6</v>
      </c>
      <c r="BQ280" s="65">
        <v>1006978.0</v>
      </c>
      <c r="BR280" s="65">
        <v>1014895.0</v>
      </c>
      <c r="BS280" s="65">
        <v>1026066.47</v>
      </c>
      <c r="BT280" s="88">
        <v>1032411.0</v>
      </c>
      <c r="BU280" s="65">
        <v>1043950.0</v>
      </c>
      <c r="BV280" s="65">
        <v>907120.8</v>
      </c>
      <c r="BW280" s="90">
        <v>917359.5</v>
      </c>
      <c r="BX280" s="90">
        <v>925748.89</v>
      </c>
      <c r="BY280" s="90">
        <f t="array" ref="BY280">XLOOKUP(C280,'PL TOTAL D0'!$A$3:$A$1991,'PL TOTAL D0'!$C$3:$C$1991,"")</f>
        <v>935170.89</v>
      </c>
    </row>
    <row r="281" ht="15.75" customHeight="1">
      <c r="A281" s="50" t="s">
        <v>24</v>
      </c>
      <c r="B281" s="50" t="s">
        <v>565</v>
      </c>
      <c r="C281" s="94" t="s">
        <v>2512</v>
      </c>
      <c r="D281" s="81" t="s">
        <v>255</v>
      </c>
      <c r="E281" s="95" t="s">
        <v>199</v>
      </c>
      <c r="F281" s="81" t="s">
        <v>4380</v>
      </c>
      <c r="G281" s="47" t="str">
        <f t="shared" si="13"/>
        <v>Marcus</v>
      </c>
      <c r="H281" s="49" t="s">
        <v>183</v>
      </c>
      <c r="I281" s="49" t="s">
        <v>66</v>
      </c>
      <c r="J281" s="47" t="str">
        <f t="shared" si="17"/>
        <v>Não</v>
      </c>
      <c r="K281" s="97">
        <v>44910.0</v>
      </c>
      <c r="L281" s="62"/>
      <c r="M281" s="62" t="s">
        <v>61</v>
      </c>
      <c r="N281" s="98">
        <v>0.007</v>
      </c>
      <c r="O281" s="47" t="s">
        <v>66</v>
      </c>
      <c r="P281" s="99">
        <v>0.0</v>
      </c>
      <c r="Q281" s="58"/>
      <c r="R281" s="383" t="s">
        <v>4406</v>
      </c>
      <c r="S281" s="62" t="s">
        <v>194</v>
      </c>
      <c r="T281" s="32" t="s">
        <v>572</v>
      </c>
      <c r="U281" s="33">
        <v>5.561984233355E12</v>
      </c>
      <c r="V281" s="33" t="s">
        <v>574</v>
      </c>
      <c r="W281" s="34">
        <v>23909.0</v>
      </c>
      <c r="X281" s="23" t="s">
        <v>199</v>
      </c>
      <c r="Y281" s="49" t="str">
        <f t="shared" si="14"/>
        <v>Ativo</v>
      </c>
      <c r="Z281" s="62"/>
      <c r="AA281" s="62"/>
      <c r="AB281" s="64" t="s">
        <v>269</v>
      </c>
      <c r="AC281" s="79"/>
      <c r="AD281" s="54">
        <v>44910.0</v>
      </c>
      <c r="AE281" s="77">
        <v>4.9075100012271E13</v>
      </c>
      <c r="AF281" s="79"/>
      <c r="AG281" s="79"/>
      <c r="AH281" s="65">
        <v>3002969.87</v>
      </c>
      <c r="AI281" s="65">
        <v>3002364.42</v>
      </c>
      <c r="AJ281" s="65">
        <v>2994048.19</v>
      </c>
      <c r="AK281" s="65">
        <v>3037619.94</v>
      </c>
      <c r="AL281" s="65">
        <v>3055373.84</v>
      </c>
      <c r="AM281" s="65">
        <v>3188978.01</v>
      </c>
      <c r="AN281" s="65">
        <v>3221516.64</v>
      </c>
      <c r="AO281" s="65">
        <v>3255128.52</v>
      </c>
      <c r="AP281" s="65">
        <v>3293994.07</v>
      </c>
      <c r="AQ281" s="65">
        <v>3329507.61</v>
      </c>
      <c r="AR281" s="65">
        <v>3358659.09</v>
      </c>
      <c r="AS281" s="65">
        <v>3393453.45</v>
      </c>
      <c r="AT281" s="65">
        <v>3619844.51</v>
      </c>
      <c r="AU281" s="65">
        <v>3753742.36</v>
      </c>
      <c r="AV281" s="65">
        <v>3791308.5</v>
      </c>
      <c r="AW281" s="65">
        <v>3839579.0</v>
      </c>
      <c r="AX281" s="65">
        <v>3988290.83</v>
      </c>
      <c r="AY281" s="65">
        <v>3584126.0</v>
      </c>
      <c r="AZ281" s="65">
        <v>3610119.0</v>
      </c>
      <c r="BA281" s="65">
        <v>3768558.0</v>
      </c>
      <c r="BB281" s="65">
        <v>3804509.26</v>
      </c>
      <c r="BC281" s="65">
        <v>3842017.05</v>
      </c>
      <c r="BD281" s="65">
        <v>3885548.35</v>
      </c>
      <c r="BE281" s="65">
        <v>3761965.6</v>
      </c>
      <c r="BF281" s="65">
        <v>3778792.83</v>
      </c>
      <c r="BG281" s="65">
        <v>3845398.75</v>
      </c>
      <c r="BH281" s="65">
        <v>3919854.09</v>
      </c>
      <c r="BI281" s="65">
        <v>3993813.15</v>
      </c>
      <c r="BJ281" s="65">
        <v>3991248.15</v>
      </c>
      <c r="BK281" s="65">
        <v>4071173.9</v>
      </c>
      <c r="BL281" s="65">
        <v>4102899.26</v>
      </c>
      <c r="BM281" s="65">
        <v>4287330.38</v>
      </c>
      <c r="BN281" s="65">
        <v>3996323.0</v>
      </c>
      <c r="BO281" s="65">
        <v>3950654.57</v>
      </c>
      <c r="BP281" s="65">
        <v>3919207.0</v>
      </c>
      <c r="BQ281" s="65">
        <v>3965264.0</v>
      </c>
      <c r="BR281" s="65">
        <v>3939506.0</v>
      </c>
      <c r="BS281" s="65">
        <v>3985586.61</v>
      </c>
      <c r="BT281" s="88">
        <v>3998055.0</v>
      </c>
      <c r="BU281" s="65">
        <v>4037746.0</v>
      </c>
      <c r="BV281" s="65">
        <v>3509745.0</v>
      </c>
      <c r="BW281" s="90">
        <v>3556786.0</v>
      </c>
      <c r="BX281" s="90">
        <v>3593971.65</v>
      </c>
      <c r="BY281" s="90">
        <f t="array" ref="BY281">XLOOKUP(C281,'PL TOTAL D0'!$A$3:$A$1991,'PL TOTAL D0'!$C$3:$C$1991,"")</f>
        <v>3640960.73</v>
      </c>
    </row>
    <row r="282" ht="15.75" customHeight="1">
      <c r="A282" s="50" t="s">
        <v>24</v>
      </c>
      <c r="B282" s="50" t="s">
        <v>4320</v>
      </c>
      <c r="C282" s="94" t="s">
        <v>3463</v>
      </c>
      <c r="D282" s="81" t="s">
        <v>120</v>
      </c>
      <c r="E282" s="95" t="s">
        <v>199</v>
      </c>
      <c r="F282" s="30" t="s">
        <v>803</v>
      </c>
      <c r="G282" s="47" t="str">
        <f t="shared" si="13"/>
        <v>David</v>
      </c>
      <c r="H282" s="49" t="s">
        <v>183</v>
      </c>
      <c r="I282" s="49" t="s">
        <v>66</v>
      </c>
      <c r="J282" s="47" t="str">
        <f t="shared" si="17"/>
        <v>Não</v>
      </c>
      <c r="K282" s="97">
        <v>45278.0</v>
      </c>
      <c r="L282" s="62"/>
      <c r="M282" s="62" t="s">
        <v>61</v>
      </c>
      <c r="N282" s="366">
        <v>0.01</v>
      </c>
      <c r="O282" s="81" t="s">
        <v>66</v>
      </c>
      <c r="P282" s="367">
        <v>0.0</v>
      </c>
      <c r="Q282" s="58"/>
      <c r="R282" s="383"/>
      <c r="S282" s="62" t="s">
        <v>194</v>
      </c>
      <c r="T282" s="32" t="s">
        <v>4318</v>
      </c>
      <c r="U282" s="33">
        <v>1.1991516213E10</v>
      </c>
      <c r="V282" s="33" t="s">
        <v>4420</v>
      </c>
      <c r="W282" s="34">
        <v>25878.0</v>
      </c>
      <c r="X282" s="23" t="s">
        <v>1387</v>
      </c>
      <c r="Y282" s="49" t="str">
        <f t="shared" si="14"/>
        <v>Ativo</v>
      </c>
      <c r="Z282" s="62"/>
      <c r="AA282" s="62"/>
      <c r="AB282" s="64" t="s">
        <v>269</v>
      </c>
      <c r="AC282" s="79"/>
      <c r="AD282" s="54">
        <v>45278.0</v>
      </c>
      <c r="AE282" s="77">
        <v>4.9075100012954E13</v>
      </c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65">
        <v>63831.77</v>
      </c>
      <c r="AU282" s="65">
        <v>56173.7</v>
      </c>
      <c r="AV282" s="65">
        <v>44145.23</v>
      </c>
      <c r="AW282" s="65">
        <v>44497.8</v>
      </c>
      <c r="AX282" s="65">
        <v>41989.04</v>
      </c>
      <c r="AY282" s="65">
        <v>42254.65</v>
      </c>
      <c r="AZ282" s="65">
        <v>40983.3</v>
      </c>
      <c r="BA282" s="65">
        <v>41246.46</v>
      </c>
      <c r="BB282" s="65">
        <v>41011.25</v>
      </c>
      <c r="BC282" s="65">
        <v>40033.36</v>
      </c>
      <c r="BD282" s="65">
        <v>34963.3</v>
      </c>
      <c r="BE282" s="65">
        <v>35153.84</v>
      </c>
      <c r="BF282" s="65">
        <v>35380.62</v>
      </c>
      <c r="BG282" s="65">
        <v>35674.85</v>
      </c>
      <c r="BH282" s="65">
        <v>36017.76</v>
      </c>
      <c r="BI282" s="65">
        <v>36274.91</v>
      </c>
      <c r="BJ282" s="65">
        <v>36681.86</v>
      </c>
      <c r="BK282" s="65">
        <v>37008.23</v>
      </c>
      <c r="BL282" s="65">
        <v>37282.42</v>
      </c>
      <c r="BM282" s="65">
        <v>37723.43</v>
      </c>
      <c r="BN282" s="65">
        <v>38137.51</v>
      </c>
      <c r="BO282" s="65">
        <v>38390.08</v>
      </c>
      <c r="BP282" s="65">
        <v>38759.34</v>
      </c>
      <c r="BQ282" s="65">
        <v>39099.47</v>
      </c>
      <c r="BR282" s="65">
        <v>39480.43</v>
      </c>
      <c r="BS282" s="65">
        <v>39953.89</v>
      </c>
      <c r="BT282" s="88">
        <v>40304.86</v>
      </c>
      <c r="BU282" s="65">
        <v>40648.47</v>
      </c>
      <c r="BV282" s="65">
        <v>42715.98</v>
      </c>
      <c r="BW282" s="90">
        <v>43078.32</v>
      </c>
      <c r="BX282" s="90">
        <v>43453.71</v>
      </c>
      <c r="BY282" s="90">
        <f t="array" ref="BY282">XLOOKUP(C282,'PL TOTAL D0'!$A$3:$A$1991,'PL TOTAL D0'!$C$3:$C$1991,"")</f>
        <v>43933.27</v>
      </c>
    </row>
    <row r="283" ht="15.75" customHeight="1">
      <c r="A283" s="50" t="s">
        <v>24</v>
      </c>
      <c r="B283" s="50" t="s">
        <v>4428</v>
      </c>
      <c r="C283" s="94" t="s">
        <v>4429</v>
      </c>
      <c r="D283" s="81" t="s">
        <v>120</v>
      </c>
      <c r="E283" s="95" t="s">
        <v>199</v>
      </c>
      <c r="F283" s="81" t="s">
        <v>212</v>
      </c>
      <c r="G283" s="47" t="str">
        <f t="shared" si="13"/>
        <v>David</v>
      </c>
      <c r="H283" s="49" t="s">
        <v>224</v>
      </c>
      <c r="I283" s="49" t="s">
        <v>382</v>
      </c>
      <c r="J283" s="47" t="str">
        <f t="shared" si="17"/>
        <v>Não</v>
      </c>
      <c r="K283" s="97">
        <v>44888.0</v>
      </c>
      <c r="L283" s="55">
        <v>45932.0</v>
      </c>
      <c r="M283" s="62" t="s">
        <v>61</v>
      </c>
      <c r="N283" s="98">
        <v>0.01</v>
      </c>
      <c r="O283" s="47" t="s">
        <v>66</v>
      </c>
      <c r="P283" s="99">
        <v>0.0</v>
      </c>
      <c r="Q283" s="58"/>
      <c r="R283" s="70"/>
      <c r="S283" s="62" t="s">
        <v>194</v>
      </c>
      <c r="T283" s="32" t="s">
        <v>4432</v>
      </c>
      <c r="U283" s="33">
        <v>6.1995218643E10</v>
      </c>
      <c r="V283" s="33" t="s">
        <v>4433</v>
      </c>
      <c r="W283" s="34">
        <v>31107.0</v>
      </c>
      <c r="X283" s="23" t="s">
        <v>199</v>
      </c>
      <c r="Y283" s="49" t="str">
        <f t="shared" si="14"/>
        <v>Encerrado</v>
      </c>
      <c r="Z283" s="62"/>
      <c r="AA283" s="62"/>
      <c r="AB283" s="64" t="s">
        <v>244</v>
      </c>
      <c r="AC283" s="79"/>
      <c r="AD283" s="54">
        <v>44888.0</v>
      </c>
      <c r="AE283" s="77">
        <v>4.9075100011311E13</v>
      </c>
      <c r="AF283" s="79"/>
      <c r="AG283" s="79"/>
      <c r="AH283" s="65">
        <v>152964.17</v>
      </c>
      <c r="AI283" s="65">
        <v>0.0</v>
      </c>
      <c r="AJ283" s="65">
        <v>0.0</v>
      </c>
      <c r="AK283" s="65">
        <v>0.0</v>
      </c>
      <c r="AL283" s="65">
        <v>0.0</v>
      </c>
      <c r="AM283" s="65">
        <v>0.0</v>
      </c>
      <c r="AN283" s="65">
        <v>0.0</v>
      </c>
      <c r="AO283" s="65">
        <v>0.0</v>
      </c>
      <c r="AP283" s="65">
        <v>0.0</v>
      </c>
      <c r="AQ283" s="65">
        <v>0.0</v>
      </c>
      <c r="AR283" s="65">
        <v>0.0</v>
      </c>
      <c r="AS283" s="65">
        <v>0.0</v>
      </c>
      <c r="AT283" s="65">
        <v>0.0</v>
      </c>
      <c r="AU283" s="65">
        <v>0.0</v>
      </c>
      <c r="AV283" s="65">
        <v>0.0</v>
      </c>
      <c r="AW283" s="65">
        <v>0.0</v>
      </c>
      <c r="AX283" s="65">
        <v>0.0</v>
      </c>
      <c r="AY283" s="65">
        <v>0.0</v>
      </c>
      <c r="AZ283" s="65">
        <v>0.0</v>
      </c>
      <c r="BA283" s="65">
        <v>0.0</v>
      </c>
      <c r="BB283" s="65">
        <v>0.0</v>
      </c>
      <c r="BC283" s="65">
        <v>0.0</v>
      </c>
      <c r="BD283" s="65">
        <v>0.0</v>
      </c>
      <c r="BE283" s="65">
        <v>0.0</v>
      </c>
      <c r="BF283" s="65">
        <v>0.0</v>
      </c>
      <c r="BG283" s="65">
        <v>0.0</v>
      </c>
      <c r="BH283" s="65">
        <v>0.0</v>
      </c>
      <c r="BI283" s="65">
        <v>0.0</v>
      </c>
      <c r="BJ283" s="65">
        <v>0.0</v>
      </c>
      <c r="BK283" s="65">
        <v>0.0</v>
      </c>
      <c r="BL283" s="65">
        <v>0.0</v>
      </c>
      <c r="BM283" s="65">
        <v>0.0</v>
      </c>
      <c r="BN283" s="65">
        <v>0.0</v>
      </c>
      <c r="BO283" s="65">
        <v>0.0</v>
      </c>
      <c r="BP283" s="65">
        <v>0.0</v>
      </c>
      <c r="BQ283" s="65">
        <v>0.0</v>
      </c>
      <c r="BR283" s="65">
        <v>0.0</v>
      </c>
      <c r="BS283" s="65">
        <v>0.0</v>
      </c>
      <c r="BT283" s="88">
        <v>0.0</v>
      </c>
      <c r="BU283" s="65">
        <v>0.0</v>
      </c>
      <c r="BV283" s="65">
        <v>0.0</v>
      </c>
      <c r="BW283" s="90">
        <v>0.0</v>
      </c>
      <c r="BX283" s="90">
        <v>0.0</v>
      </c>
      <c r="BY283" s="90" t="str">
        <f t="array" ref="BY283">XLOOKUP(C283,'PL TOTAL D0'!$A$3:$A$1991,'PL TOTAL D0'!$C$3:$C$1991,"")</f>
        <v/>
      </c>
    </row>
    <row r="284" ht="15.75" customHeight="1">
      <c r="A284" s="50" t="s">
        <v>24</v>
      </c>
      <c r="B284" s="50" t="s">
        <v>4439</v>
      </c>
      <c r="C284" s="94" t="s">
        <v>4440</v>
      </c>
      <c r="D284" s="81" t="s">
        <v>120</v>
      </c>
      <c r="E284" s="95" t="s">
        <v>199</v>
      </c>
      <c r="F284" s="81" t="s">
        <v>212</v>
      </c>
      <c r="G284" s="47" t="str">
        <f t="shared" si="13"/>
        <v>David</v>
      </c>
      <c r="H284" s="49" t="s">
        <v>295</v>
      </c>
      <c r="I284" s="49" t="s">
        <v>382</v>
      </c>
      <c r="J284" s="47" t="str">
        <f t="shared" si="17"/>
        <v>Não</v>
      </c>
      <c r="K284" s="97">
        <v>44928.0</v>
      </c>
      <c r="L284" s="62"/>
      <c r="M284" s="62" t="s">
        <v>61</v>
      </c>
      <c r="N284" s="98">
        <v>0.01</v>
      </c>
      <c r="O284" s="47" t="s">
        <v>66</v>
      </c>
      <c r="P284" s="99">
        <v>0.0</v>
      </c>
      <c r="Q284" s="58"/>
      <c r="R284" s="70"/>
      <c r="S284" s="62" t="s">
        <v>194</v>
      </c>
      <c r="T284" s="32" t="s">
        <v>4432</v>
      </c>
      <c r="U284" s="33">
        <v>6.1995218643E10</v>
      </c>
      <c r="V284" s="33" t="s">
        <v>4433</v>
      </c>
      <c r="W284" s="34">
        <v>31107.0</v>
      </c>
      <c r="X284" s="23" t="s">
        <v>199</v>
      </c>
      <c r="Y284" s="49" t="str">
        <f t="shared" si="14"/>
        <v>Ativo</v>
      </c>
      <c r="Z284" s="62"/>
      <c r="AA284" s="62"/>
      <c r="AB284" s="64" t="s">
        <v>244</v>
      </c>
      <c r="AC284" s="79"/>
      <c r="AD284" s="54">
        <v>44928.0</v>
      </c>
      <c r="AE284" s="77">
        <v>4.9075100005631E13</v>
      </c>
      <c r="AF284" s="79"/>
      <c r="AG284" s="79"/>
      <c r="AH284" s="65">
        <v>101311.76</v>
      </c>
      <c r="AI284" s="65">
        <v>247661.67</v>
      </c>
      <c r="AJ284" s="65">
        <v>249563.53</v>
      </c>
      <c r="AK284" s="65">
        <v>242169.05</v>
      </c>
      <c r="AL284" s="65">
        <v>243989.82</v>
      </c>
      <c r="AM284" s="65">
        <v>134113.35</v>
      </c>
      <c r="AN284" s="65">
        <v>135314.45</v>
      </c>
      <c r="AO284" s="65">
        <v>154121.1</v>
      </c>
      <c r="AP284" s="65">
        <v>114705.22</v>
      </c>
      <c r="AQ284" s="65">
        <v>115669.04</v>
      </c>
      <c r="AR284" s="65">
        <v>116779.86</v>
      </c>
      <c r="AS284" s="65">
        <v>117032.81</v>
      </c>
      <c r="AT284" s="65">
        <v>117996.13</v>
      </c>
      <c r="AU284" s="65">
        <v>119101.48</v>
      </c>
      <c r="AV284" s="65">
        <v>270.23</v>
      </c>
      <c r="AW284" s="65">
        <v>209.26</v>
      </c>
      <c r="AX284" s="65">
        <v>210.76</v>
      </c>
      <c r="AY284" s="65">
        <v>210.87</v>
      </c>
      <c r="AZ284" s="65">
        <v>212.98</v>
      </c>
      <c r="BA284" s="65">
        <v>214.54</v>
      </c>
      <c r="BB284" s="65">
        <v>216.07</v>
      </c>
      <c r="BC284" s="65">
        <v>217.54</v>
      </c>
      <c r="BD284" s="65">
        <v>219.2</v>
      </c>
      <c r="BE284" s="65">
        <v>219.28</v>
      </c>
      <c r="BF284" s="65">
        <v>220.93</v>
      </c>
      <c r="BG284" s="65">
        <v>222.8</v>
      </c>
      <c r="BH284" s="65">
        <v>224.59</v>
      </c>
      <c r="BI284" s="65">
        <v>226.35</v>
      </c>
      <c r="BJ284" s="65">
        <v>0.01</v>
      </c>
      <c r="BK284" s="65">
        <v>0.01</v>
      </c>
      <c r="BL284" s="65">
        <v>0.01</v>
      </c>
      <c r="BM284" s="65">
        <v>0.0</v>
      </c>
      <c r="BN284" s="65">
        <v>0.01</v>
      </c>
      <c r="BO284" s="65">
        <v>0.01</v>
      </c>
      <c r="BP284" s="65">
        <v>0.01</v>
      </c>
      <c r="BQ284" s="65">
        <v>0.01</v>
      </c>
      <c r="BR284" s="65">
        <v>0.01</v>
      </c>
      <c r="BS284" s="65">
        <v>0.01</v>
      </c>
      <c r="BT284" s="88">
        <v>0.01</v>
      </c>
      <c r="BU284" s="65">
        <v>0.01</v>
      </c>
      <c r="BV284" s="65">
        <v>0.01</v>
      </c>
      <c r="BW284" s="90">
        <v>0.01</v>
      </c>
      <c r="BX284" s="90">
        <v>0.01</v>
      </c>
      <c r="BY284" s="90" t="str">
        <f t="array" ref="BY284">XLOOKUP(C284,'PL TOTAL D0'!$A$3:$A$1991,'PL TOTAL D0'!$C$3:$C$1991,"")</f>
        <v/>
      </c>
    </row>
    <row r="285" ht="15.75" customHeight="1">
      <c r="A285" s="50" t="s">
        <v>24</v>
      </c>
      <c r="B285" s="50" t="s">
        <v>4449</v>
      </c>
      <c r="C285" s="94" t="s">
        <v>3268</v>
      </c>
      <c r="D285" s="30" t="s">
        <v>89</v>
      </c>
      <c r="E285" s="95" t="s">
        <v>91</v>
      </c>
      <c r="F285" s="81" t="s">
        <v>521</v>
      </c>
      <c r="G285" s="47" t="str">
        <f t="shared" si="13"/>
        <v>David</v>
      </c>
      <c r="H285" s="74" t="s">
        <v>183</v>
      </c>
      <c r="I285" s="74" t="s">
        <v>66</v>
      </c>
      <c r="J285" s="47" t="str">
        <f t="shared" si="17"/>
        <v>Não</v>
      </c>
      <c r="K285" s="97">
        <v>44973.0</v>
      </c>
      <c r="L285" s="62"/>
      <c r="M285" s="62" t="s">
        <v>61</v>
      </c>
      <c r="N285" s="98">
        <v>0.012</v>
      </c>
      <c r="O285" s="47" t="s">
        <v>66</v>
      </c>
      <c r="P285" s="99">
        <v>0.0</v>
      </c>
      <c r="Q285" s="58"/>
      <c r="R285" s="70"/>
      <c r="S285" s="62" t="s">
        <v>194</v>
      </c>
      <c r="T285" s="32" t="s">
        <v>4452</v>
      </c>
      <c r="U285" s="33">
        <v>5.54399901832E12</v>
      </c>
      <c r="V285" s="33" t="s">
        <v>4453</v>
      </c>
      <c r="W285" s="34">
        <v>30041.0</v>
      </c>
      <c r="X285" s="23" t="s">
        <v>221</v>
      </c>
      <c r="Y285" s="49" t="str">
        <f t="shared" si="14"/>
        <v>Ativo</v>
      </c>
      <c r="Z285" s="62"/>
      <c r="AA285" s="62"/>
      <c r="AB285" s="64" t="s">
        <v>269</v>
      </c>
      <c r="AC285" s="79"/>
      <c r="AD285" s="54">
        <v>44973.0</v>
      </c>
      <c r="AE285" s="77">
        <v>4.9075100005648E13</v>
      </c>
      <c r="AF285" s="79"/>
      <c r="AG285" s="79"/>
      <c r="AH285" s="79"/>
      <c r="AI285" s="79"/>
      <c r="AJ285" s="65">
        <v>34505.57</v>
      </c>
      <c r="AK285" s="65">
        <v>36392.24</v>
      </c>
      <c r="AL285" s="65">
        <v>38036.68</v>
      </c>
      <c r="AM285" s="65">
        <v>39676.93</v>
      </c>
      <c r="AN285" s="65">
        <v>41444.93</v>
      </c>
      <c r="AO285" s="65">
        <v>43329.27</v>
      </c>
      <c r="AP285" s="65">
        <v>45255.67</v>
      </c>
      <c r="AQ285" s="65">
        <v>47114.01</v>
      </c>
      <c r="AR285" s="65">
        <v>49049.48</v>
      </c>
      <c r="AS285" s="65">
        <v>50795.0</v>
      </c>
      <c r="AT285" s="65">
        <v>52451.76</v>
      </c>
      <c r="AU285" s="65">
        <v>54435.03</v>
      </c>
      <c r="AV285" s="65">
        <v>56356.83</v>
      </c>
      <c r="AW285" s="65">
        <v>58345.64</v>
      </c>
      <c r="AX285" s="65">
        <v>60280.95</v>
      </c>
      <c r="AY285" s="65">
        <v>62245.71</v>
      </c>
      <c r="AZ285" s="65">
        <v>64239.05</v>
      </c>
      <c r="BA285" s="65">
        <v>66142.81</v>
      </c>
      <c r="BB285" s="65">
        <v>68092.54</v>
      </c>
      <c r="BC285" s="65">
        <v>70085.45</v>
      </c>
      <c r="BD285" s="65">
        <v>72065.34</v>
      </c>
      <c r="BE285" s="65">
        <v>74073.46</v>
      </c>
      <c r="BF285" s="65">
        <v>75992.85</v>
      </c>
      <c r="BG285" s="65">
        <v>78218.64</v>
      </c>
      <c r="BH285" s="65">
        <v>80196.31</v>
      </c>
      <c r="BI285" s="65">
        <v>82540.88</v>
      </c>
      <c r="BJ285" s="65">
        <v>84891.25</v>
      </c>
      <c r="BK285" s="65">
        <v>87125.21</v>
      </c>
      <c r="BL285" s="65">
        <v>89331.6</v>
      </c>
      <c r="BM285" s="65">
        <v>91816.71</v>
      </c>
      <c r="BN285" s="65">
        <v>94120.28</v>
      </c>
      <c r="BO285" s="65">
        <v>96472.57</v>
      </c>
      <c r="BP285" s="65">
        <v>98863.45</v>
      </c>
      <c r="BQ285" s="65">
        <v>101168.2</v>
      </c>
      <c r="BR285" s="65">
        <v>103653.8</v>
      </c>
      <c r="BS285" s="65">
        <v>106318.6</v>
      </c>
      <c r="BT285" s="88">
        <v>108361.8</v>
      </c>
      <c r="BU285" s="65">
        <v>111163.2</v>
      </c>
      <c r="BV285" s="65">
        <v>113867.0</v>
      </c>
      <c r="BW285" s="90">
        <v>116496.6</v>
      </c>
      <c r="BX285" s="90">
        <v>118978.89</v>
      </c>
      <c r="BY285" s="90">
        <f t="array" ref="BY285">XLOOKUP(C285,'PL TOTAL D0'!$A$3:$A$1991,'PL TOTAL D0'!$C$3:$C$1991,"")</f>
        <v>121733.69</v>
      </c>
    </row>
    <row r="286" ht="15.75" customHeight="1">
      <c r="A286" s="50" t="s">
        <v>24</v>
      </c>
      <c r="B286" s="43" t="s">
        <v>4462</v>
      </c>
      <c r="C286" s="53" t="s">
        <v>4463</v>
      </c>
      <c r="D286" s="30" t="s">
        <v>53</v>
      </c>
      <c r="E286" s="22" t="s">
        <v>54</v>
      </c>
      <c r="F286" s="30" t="s">
        <v>55</v>
      </c>
      <c r="G286" s="47" t="str">
        <f t="shared" si="13"/>
        <v>David</v>
      </c>
      <c r="H286" s="49" t="s">
        <v>183</v>
      </c>
      <c r="I286" s="49" t="s">
        <v>66</v>
      </c>
      <c r="J286" s="47" t="str">
        <f t="shared" si="17"/>
        <v>Não</v>
      </c>
      <c r="K286" s="54">
        <v>46203.0</v>
      </c>
      <c r="L286" s="62"/>
      <c r="M286" s="32" t="s">
        <v>61</v>
      </c>
      <c r="N286" s="56">
        <v>0.012</v>
      </c>
      <c r="O286" s="23" t="s">
        <v>66</v>
      </c>
      <c r="P286" s="57">
        <v>0.0</v>
      </c>
      <c r="Q286" s="58"/>
      <c r="R286" s="70"/>
      <c r="S286" s="32" t="s">
        <v>194</v>
      </c>
      <c r="T286" s="32" t="s">
        <v>4470</v>
      </c>
      <c r="U286" s="33" t="s">
        <v>4471</v>
      </c>
      <c r="V286" s="33" t="s">
        <v>4472</v>
      </c>
      <c r="W286" s="34">
        <v>30739.0</v>
      </c>
      <c r="X286" s="23" t="s">
        <v>77</v>
      </c>
      <c r="Y286" s="49" t="str">
        <f t="shared" si="14"/>
        <v>Ativo</v>
      </c>
      <c r="Z286" s="62"/>
      <c r="AA286" s="32" t="s">
        <v>47</v>
      </c>
      <c r="AB286" s="64"/>
      <c r="AC286" s="79"/>
      <c r="AD286" s="54"/>
      <c r="AE286" s="77"/>
      <c r="AF286" s="79"/>
      <c r="AG286" s="79"/>
      <c r="AH286" s="79"/>
      <c r="AI286" s="79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  <c r="BJ286" s="65"/>
      <c r="BK286" s="65"/>
      <c r="BL286" s="65"/>
      <c r="BM286" s="65"/>
      <c r="BN286" s="65"/>
      <c r="BO286" s="65"/>
      <c r="BP286" s="65"/>
      <c r="BQ286" s="65"/>
      <c r="BR286" s="65"/>
      <c r="BS286" s="65"/>
      <c r="BT286" s="88"/>
      <c r="BU286" s="65"/>
      <c r="BV286" s="65"/>
      <c r="BW286" s="90"/>
      <c r="BX286" s="90">
        <v>0.0</v>
      </c>
      <c r="BY286" s="90" t="str">
        <f t="array" ref="BY286">XLOOKUP(C286,'PL TOTAL D0'!$A$3:$A$1991,'PL TOTAL D0'!$C$3:$C$1991,"")</f>
        <v/>
      </c>
    </row>
    <row r="287" ht="15.75" customHeight="1">
      <c r="A287" s="50" t="s">
        <v>24</v>
      </c>
      <c r="B287" s="43" t="s">
        <v>4480</v>
      </c>
      <c r="C287" s="94" t="s">
        <v>3387</v>
      </c>
      <c r="D287" s="30" t="s">
        <v>365</v>
      </c>
      <c r="E287" s="22" t="s">
        <v>199</v>
      </c>
      <c r="F287" s="30" t="s">
        <v>4481</v>
      </c>
      <c r="G287" s="47" t="str">
        <f t="shared" si="13"/>
        <v>David</v>
      </c>
      <c r="H287" s="49" t="s">
        <v>183</v>
      </c>
      <c r="I287" s="49" t="s">
        <v>66</v>
      </c>
      <c r="J287" s="47" t="str">
        <f t="shared" si="17"/>
        <v>Não</v>
      </c>
      <c r="K287" s="54">
        <v>45708.0</v>
      </c>
      <c r="L287" s="62"/>
      <c r="M287" s="32" t="s">
        <v>1142</v>
      </c>
      <c r="N287" s="56">
        <v>0.008</v>
      </c>
      <c r="O287" s="23" t="s">
        <v>1143</v>
      </c>
      <c r="P287" s="57">
        <v>0.1</v>
      </c>
      <c r="Q287" s="58"/>
      <c r="R287" s="70"/>
      <c r="S287" s="32" t="s">
        <v>194</v>
      </c>
      <c r="T287" s="32" t="s">
        <v>4486</v>
      </c>
      <c r="U287" s="33">
        <v>5.513997239405E12</v>
      </c>
      <c r="V287" s="33" t="s">
        <v>4487</v>
      </c>
      <c r="W287" s="34">
        <v>31108.0</v>
      </c>
      <c r="X287" s="23" t="s">
        <v>475</v>
      </c>
      <c r="Y287" s="49" t="str">
        <f t="shared" si="14"/>
        <v>Ativo</v>
      </c>
      <c r="Z287" s="62"/>
      <c r="AA287" s="32" t="s">
        <v>47</v>
      </c>
      <c r="AB287" s="64"/>
      <c r="AC287" s="79"/>
      <c r="AD287" s="54">
        <v>45708.0</v>
      </c>
      <c r="AE287" s="77">
        <v>4.9075100018227E13</v>
      </c>
      <c r="AF287" s="79"/>
      <c r="AG287" s="79"/>
      <c r="AH287" s="79"/>
      <c r="AI287" s="79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>
        <v>106047.35</v>
      </c>
      <c r="BI287" s="65">
        <v>107593.39</v>
      </c>
      <c r="BJ287" s="65">
        <v>102593.65</v>
      </c>
      <c r="BK287" s="65">
        <v>104491.23</v>
      </c>
      <c r="BL287" s="65">
        <v>104758.63</v>
      </c>
      <c r="BM287" s="65">
        <v>102026.16</v>
      </c>
      <c r="BN287" s="65">
        <v>103113.7</v>
      </c>
      <c r="BO287" s="65">
        <v>104673.68</v>
      </c>
      <c r="BP287" s="65">
        <v>105582.6</v>
      </c>
      <c r="BQ287" s="65">
        <v>105056.5</v>
      </c>
      <c r="BR287" s="65">
        <v>106868.3</v>
      </c>
      <c r="BS287" s="65">
        <v>105256.83</v>
      </c>
      <c r="BT287" s="88">
        <v>98761.5</v>
      </c>
      <c r="BU287" s="65">
        <v>93669.33</v>
      </c>
      <c r="BV287" s="65">
        <v>87340.19</v>
      </c>
      <c r="BW287" s="90">
        <v>73423.9</v>
      </c>
      <c r="BX287" s="90">
        <v>73228.07</v>
      </c>
      <c r="BY287" s="90">
        <f t="array" ref="BY287">XLOOKUP(C287,'PL TOTAL D0'!$A$3:$A$1991,'PL TOTAL D0'!$C$3:$C$1991,"")</f>
        <v>73006.39</v>
      </c>
    </row>
    <row r="288" ht="15.75" customHeight="1">
      <c r="A288" s="50" t="s">
        <v>24</v>
      </c>
      <c r="B288" s="176" t="s">
        <v>4494</v>
      </c>
      <c r="C288" s="94" t="s">
        <v>4496</v>
      </c>
      <c r="D288" s="81" t="s">
        <v>120</v>
      </c>
      <c r="E288" s="95" t="s">
        <v>199</v>
      </c>
      <c r="F288" s="81" t="s">
        <v>803</v>
      </c>
      <c r="G288" s="47" t="str">
        <f t="shared" si="13"/>
        <v>David</v>
      </c>
      <c r="H288" s="49" t="s">
        <v>295</v>
      </c>
      <c r="I288" s="49" t="s">
        <v>382</v>
      </c>
      <c r="J288" s="47" t="str">
        <f t="shared" si="17"/>
        <v>Não</v>
      </c>
      <c r="K288" s="97">
        <v>45166.0</v>
      </c>
      <c r="L288" s="189"/>
      <c r="M288" s="62" t="s">
        <v>209</v>
      </c>
      <c r="N288" s="98">
        <v>0.015</v>
      </c>
      <c r="O288" s="47" t="s">
        <v>35</v>
      </c>
      <c r="P288" s="99">
        <v>0.1</v>
      </c>
      <c r="Q288" s="58"/>
      <c r="R288" s="70"/>
      <c r="S288" s="62" t="s">
        <v>194</v>
      </c>
      <c r="T288" s="32" t="s">
        <v>4352</v>
      </c>
      <c r="U288" s="33">
        <v>5.521982131251E12</v>
      </c>
      <c r="V288" s="33" t="s">
        <v>4499</v>
      </c>
      <c r="W288" s="34">
        <v>27131.0</v>
      </c>
      <c r="X288" s="23" t="s">
        <v>199</v>
      </c>
      <c r="Y288" s="49" t="str">
        <f t="shared" si="14"/>
        <v>Ativo</v>
      </c>
      <c r="Z288" s="62"/>
      <c r="AA288" s="62"/>
      <c r="AB288" s="64" t="s">
        <v>269</v>
      </c>
      <c r="AC288" s="79"/>
      <c r="AD288" s="54">
        <v>45166.0</v>
      </c>
      <c r="AE288" s="77">
        <v>4.9075100015341E13</v>
      </c>
      <c r="AF288" s="79"/>
      <c r="AG288" s="79"/>
      <c r="AH288" s="79"/>
      <c r="AI288" s="79"/>
      <c r="AJ288" s="79"/>
      <c r="AK288" s="79"/>
      <c r="AL288" s="79"/>
      <c r="AM288" s="79"/>
      <c r="AN288" s="65">
        <v>0.0</v>
      </c>
      <c r="AO288" s="65">
        <v>0.0</v>
      </c>
      <c r="AP288" s="65">
        <v>0.0</v>
      </c>
      <c r="AQ288" s="65">
        <v>0.0</v>
      </c>
      <c r="AR288" s="65">
        <v>0.0</v>
      </c>
      <c r="AS288" s="65">
        <v>0.0</v>
      </c>
      <c r="AT288" s="65">
        <v>0.0</v>
      </c>
      <c r="AU288" s="65">
        <v>32543.86</v>
      </c>
      <c r="AV288" s="65">
        <v>32793.11</v>
      </c>
      <c r="AW288" s="65">
        <v>28025.44</v>
      </c>
      <c r="AX288" s="65">
        <v>28211.93</v>
      </c>
      <c r="AY288" s="65">
        <v>28402.57</v>
      </c>
      <c r="AZ288" s="65">
        <v>28600.12</v>
      </c>
      <c r="BA288" s="65">
        <v>28812.38</v>
      </c>
      <c r="BB288" s="65">
        <v>29017.03</v>
      </c>
      <c r="BC288" s="65">
        <v>29193.41</v>
      </c>
      <c r="BD288" s="65">
        <v>29439.29</v>
      </c>
      <c r="BE288" s="65">
        <v>29533.92</v>
      </c>
      <c r="BF288" s="65">
        <v>4.48</v>
      </c>
      <c r="BG288" s="65">
        <v>4.66</v>
      </c>
      <c r="BH288" s="65">
        <v>4.66</v>
      </c>
      <c r="BI288" s="65">
        <v>4.66</v>
      </c>
      <c r="BJ288" s="65">
        <v>0.0</v>
      </c>
      <c r="BK288" s="65">
        <v>0.0</v>
      </c>
      <c r="BL288" s="65">
        <v>0.0</v>
      </c>
      <c r="BM288" s="65">
        <v>0.0</v>
      </c>
      <c r="BN288" s="65">
        <v>0.0</v>
      </c>
      <c r="BO288" s="65">
        <v>0.0</v>
      </c>
      <c r="BP288" s="65">
        <v>0.0</v>
      </c>
      <c r="BQ288" s="65">
        <v>0.0</v>
      </c>
      <c r="BR288" s="65">
        <v>0.0</v>
      </c>
      <c r="BS288" s="65">
        <v>0.0</v>
      </c>
      <c r="BT288" s="88">
        <v>0.0</v>
      </c>
      <c r="BU288" s="65">
        <v>0.0</v>
      </c>
      <c r="BV288" s="65">
        <v>0.0</v>
      </c>
      <c r="BW288" s="90">
        <v>0.0</v>
      </c>
      <c r="BX288" s="90">
        <v>0.0</v>
      </c>
      <c r="BY288" s="90" t="str">
        <f t="array" ref="BY288">XLOOKUP(C288,'PL TOTAL D0'!$A$3:$A$1991,'PL TOTAL D0'!$C$3:$C$1991,"")</f>
        <v/>
      </c>
    </row>
    <row r="289" ht="15.75" customHeight="1">
      <c r="A289" s="50" t="s">
        <v>24</v>
      </c>
      <c r="B289" s="368" t="s">
        <v>4504</v>
      </c>
      <c r="C289" s="94" t="s">
        <v>4505</v>
      </c>
      <c r="D289" s="30" t="s">
        <v>89</v>
      </c>
      <c r="E289" s="95" t="s">
        <v>91</v>
      </c>
      <c r="F289" s="81" t="s">
        <v>193</v>
      </c>
      <c r="G289" s="47" t="str">
        <f t="shared" si="13"/>
        <v>David</v>
      </c>
      <c r="H289" s="49" t="s">
        <v>224</v>
      </c>
      <c r="I289" s="49" t="s">
        <v>66</v>
      </c>
      <c r="J289" s="47" t="str">
        <f t="shared" si="17"/>
        <v>Não</v>
      </c>
      <c r="K289" s="97">
        <v>45233.0</v>
      </c>
      <c r="L289" s="186">
        <v>45946.0</v>
      </c>
      <c r="M289" s="62" t="s">
        <v>34</v>
      </c>
      <c r="N289" s="98">
        <v>0.012</v>
      </c>
      <c r="O289" s="47" t="s">
        <v>35</v>
      </c>
      <c r="P289" s="99">
        <v>0.1</v>
      </c>
      <c r="Q289" s="58"/>
      <c r="R289" s="70"/>
      <c r="S289" s="62" t="s">
        <v>194</v>
      </c>
      <c r="T289" s="32" t="s">
        <v>4506</v>
      </c>
      <c r="U289" s="33" t="s">
        <v>268</v>
      </c>
      <c r="V289" s="33"/>
      <c r="W289" s="33" t="s">
        <v>268</v>
      </c>
      <c r="X289" s="23" t="s">
        <v>221</v>
      </c>
      <c r="Y289" s="49" t="str">
        <f t="shared" si="14"/>
        <v>Encerrado</v>
      </c>
      <c r="Z289" s="62"/>
      <c r="AA289" s="62"/>
      <c r="AB289" s="64" t="s">
        <v>269</v>
      </c>
      <c r="AC289" s="79"/>
      <c r="AD289" s="54">
        <v>45233.0</v>
      </c>
      <c r="AE289" s="77">
        <v>4.9075100012288E13</v>
      </c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65">
        <v>0.0</v>
      </c>
      <c r="AS289" s="65">
        <v>0.0</v>
      </c>
      <c r="AT289" s="65">
        <v>0.0</v>
      </c>
      <c r="AU289" s="65">
        <v>0.0</v>
      </c>
      <c r="AV289" s="65">
        <v>0.0</v>
      </c>
      <c r="AW289" s="65">
        <v>0.0</v>
      </c>
      <c r="AX289" s="65">
        <v>0.0</v>
      </c>
      <c r="AY289" s="65">
        <v>0.0</v>
      </c>
      <c r="AZ289" s="65">
        <v>0.0</v>
      </c>
      <c r="BA289" s="65">
        <v>0.0</v>
      </c>
      <c r="BB289" s="65">
        <v>0.0</v>
      </c>
      <c r="BC289" s="65">
        <v>0.0</v>
      </c>
      <c r="BD289" s="65">
        <v>0.0</v>
      </c>
      <c r="BE289" s="65">
        <v>0.0</v>
      </c>
      <c r="BF289" s="65">
        <v>0.0</v>
      </c>
      <c r="BG289" s="65">
        <v>0.0</v>
      </c>
      <c r="BH289" s="65">
        <v>0.0</v>
      </c>
      <c r="BI289" s="65">
        <v>0.0</v>
      </c>
      <c r="BJ289" s="65">
        <v>0.0</v>
      </c>
      <c r="BK289" s="65">
        <v>0.0</v>
      </c>
      <c r="BL289" s="65">
        <v>0.0</v>
      </c>
      <c r="BM289" s="65">
        <v>0.0</v>
      </c>
      <c r="BN289" s="65">
        <v>0.0</v>
      </c>
      <c r="BO289" s="65">
        <v>0.0</v>
      </c>
      <c r="BP289" s="65">
        <v>0.0</v>
      </c>
      <c r="BQ289" s="65">
        <v>0.0</v>
      </c>
      <c r="BR289" s="65">
        <v>0.0</v>
      </c>
      <c r="BS289" s="65">
        <v>0.0</v>
      </c>
      <c r="BT289" s="88">
        <v>0.0</v>
      </c>
      <c r="BU289" s="65">
        <v>0.0</v>
      </c>
      <c r="BV289" s="65">
        <v>0.0</v>
      </c>
      <c r="BW289" s="90">
        <v>0.0</v>
      </c>
      <c r="BX289" s="90">
        <v>0.0</v>
      </c>
      <c r="BY289" s="90" t="str">
        <f t="array" ref="BY289">XLOOKUP(C289,'PL TOTAL D0'!$A$3:$A$1991,'PL TOTAL D0'!$C$3:$C$1991,"")</f>
        <v/>
      </c>
    </row>
    <row r="290" ht="15.75" customHeight="1">
      <c r="A290" s="50" t="s">
        <v>24</v>
      </c>
      <c r="B290" s="50" t="s">
        <v>4508</v>
      </c>
      <c r="C290" s="94" t="s">
        <v>4509</v>
      </c>
      <c r="D290" s="81" t="s">
        <v>255</v>
      </c>
      <c r="E290" s="95" t="s">
        <v>199</v>
      </c>
      <c r="F290" s="81" t="s">
        <v>257</v>
      </c>
      <c r="G290" s="47" t="str">
        <f t="shared" si="13"/>
        <v>David</v>
      </c>
      <c r="H290" s="49" t="s">
        <v>224</v>
      </c>
      <c r="I290" s="49" t="s">
        <v>66</v>
      </c>
      <c r="J290" s="47" t="str">
        <f t="shared" si="17"/>
        <v>Não</v>
      </c>
      <c r="K290" s="97">
        <v>45145.0</v>
      </c>
      <c r="L290" s="186">
        <v>45537.0</v>
      </c>
      <c r="M290" s="32" t="s">
        <v>1678</v>
      </c>
      <c r="N290" s="98">
        <v>0.014</v>
      </c>
      <c r="O290" s="47" t="s">
        <v>35</v>
      </c>
      <c r="P290" s="99">
        <v>0.2</v>
      </c>
      <c r="Q290" s="58"/>
      <c r="R290" s="70"/>
      <c r="S290" s="62" t="s">
        <v>194</v>
      </c>
      <c r="T290" s="32" t="s">
        <v>4513</v>
      </c>
      <c r="U290" s="33" t="s">
        <v>268</v>
      </c>
      <c r="V290" s="33"/>
      <c r="W290" s="33" t="s">
        <v>268</v>
      </c>
      <c r="X290" s="23" t="s">
        <v>199</v>
      </c>
      <c r="Y290" s="49" t="str">
        <f t="shared" si="14"/>
        <v>Encerrado</v>
      </c>
      <c r="Z290" s="62"/>
      <c r="AA290" s="62"/>
      <c r="AB290" s="64" t="s">
        <v>269</v>
      </c>
      <c r="AC290" s="79"/>
      <c r="AD290" s="54">
        <v>45145.0</v>
      </c>
      <c r="AE290" s="77">
        <v>4.9075100004943E13</v>
      </c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65">
        <v>255749.46</v>
      </c>
      <c r="AQ290" s="65">
        <v>209381.88</v>
      </c>
      <c r="AR290" s="65">
        <v>215286.59</v>
      </c>
      <c r="AS290" s="65">
        <v>224844.95</v>
      </c>
      <c r="AT290" s="65">
        <v>227630.38</v>
      </c>
      <c r="AU290" s="65">
        <v>227458.26</v>
      </c>
      <c r="AV290" s="65">
        <v>234568.96</v>
      </c>
      <c r="AW290" s="65">
        <v>205870.37</v>
      </c>
      <c r="AX290" s="65">
        <v>205542.55</v>
      </c>
      <c r="AY290" s="65">
        <v>208999.7</v>
      </c>
      <c r="AZ290" s="65">
        <v>214466.4</v>
      </c>
      <c r="BA290" s="65">
        <v>217114.4</v>
      </c>
      <c r="BB290" s="65">
        <v>0.0</v>
      </c>
      <c r="BC290" s="65">
        <v>0.0</v>
      </c>
      <c r="BD290" s="65">
        <v>0.0</v>
      </c>
      <c r="BE290" s="65">
        <v>0.0</v>
      </c>
      <c r="BF290" s="65">
        <v>0.0</v>
      </c>
      <c r="BG290" s="65">
        <v>0.0</v>
      </c>
      <c r="BH290" s="65">
        <v>0.0</v>
      </c>
      <c r="BI290" s="65">
        <v>0.0</v>
      </c>
      <c r="BJ290" s="65">
        <v>0.0</v>
      </c>
      <c r="BK290" s="65">
        <v>0.0</v>
      </c>
      <c r="BL290" s="65">
        <v>0.0</v>
      </c>
      <c r="BM290" s="65">
        <v>0.0</v>
      </c>
      <c r="BN290" s="65">
        <v>0.0</v>
      </c>
      <c r="BO290" s="65">
        <v>0.0</v>
      </c>
      <c r="BP290" s="65">
        <v>0.0</v>
      </c>
      <c r="BQ290" s="65">
        <v>0.0</v>
      </c>
      <c r="BR290" s="65">
        <v>0.0</v>
      </c>
      <c r="BS290" s="65">
        <v>0.0</v>
      </c>
      <c r="BT290" s="88">
        <v>0.0</v>
      </c>
      <c r="BU290" s="65">
        <v>0.0</v>
      </c>
      <c r="BV290" s="65">
        <v>0.0</v>
      </c>
      <c r="BW290" s="90">
        <v>0.0</v>
      </c>
      <c r="BX290" s="90">
        <v>0.0</v>
      </c>
      <c r="BY290" s="90" t="str">
        <f t="array" ref="BY290">XLOOKUP(C290,'PL TOTAL D0'!$A$3:$A$1991,'PL TOTAL D0'!$C$3:$C$1991,"")</f>
        <v/>
      </c>
    </row>
    <row r="291" ht="15.75" customHeight="1">
      <c r="A291" s="50" t="s">
        <v>24</v>
      </c>
      <c r="B291" s="566" t="s">
        <v>4519</v>
      </c>
      <c r="C291" s="94" t="s">
        <v>3335</v>
      </c>
      <c r="D291" s="81" t="s">
        <v>120</v>
      </c>
      <c r="E291" s="95" t="s">
        <v>54</v>
      </c>
      <c r="F291" s="81" t="s">
        <v>125</v>
      </c>
      <c r="G291" s="47" t="str">
        <f t="shared" si="13"/>
        <v>David</v>
      </c>
      <c r="H291" s="74" t="s">
        <v>183</v>
      </c>
      <c r="I291" s="74" t="s">
        <v>66</v>
      </c>
      <c r="J291" s="47" t="str">
        <f t="shared" si="17"/>
        <v>Sim</v>
      </c>
      <c r="K291" s="97">
        <v>45217.0</v>
      </c>
      <c r="L291" s="189"/>
      <c r="M291" s="62" t="s">
        <v>61</v>
      </c>
      <c r="N291" s="98">
        <v>0.012</v>
      </c>
      <c r="O291" s="47" t="s">
        <v>66</v>
      </c>
      <c r="P291" s="99">
        <v>0.0</v>
      </c>
      <c r="Q291" s="58" t="s">
        <v>4521</v>
      </c>
      <c r="R291" s="70"/>
      <c r="S291" s="62" t="s">
        <v>194</v>
      </c>
      <c r="T291" s="32" t="s">
        <v>4523</v>
      </c>
      <c r="U291" s="33">
        <v>5.562981911005E12</v>
      </c>
      <c r="V291" s="33" t="s">
        <v>4525</v>
      </c>
      <c r="W291" s="34">
        <v>30022.0</v>
      </c>
      <c r="X291" s="23" t="s">
        <v>54</v>
      </c>
      <c r="Y291" s="49" t="str">
        <f t="shared" si="14"/>
        <v>Ativo</v>
      </c>
      <c r="Z291" s="62"/>
      <c r="AA291" s="62"/>
      <c r="AB291" s="64" t="s">
        <v>269</v>
      </c>
      <c r="AC291" s="79"/>
      <c r="AD291" s="54">
        <v>45217.0</v>
      </c>
      <c r="AE291" s="77">
        <v>4.9075100012296E13</v>
      </c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65">
        <v>105231.89</v>
      </c>
      <c r="AS291" s="65">
        <v>106174.67</v>
      </c>
      <c r="AT291" s="65">
        <v>107005.83</v>
      </c>
      <c r="AU291" s="65">
        <v>127908.6</v>
      </c>
      <c r="AV291" s="65">
        <v>128815.46</v>
      </c>
      <c r="AW291" s="65">
        <v>176404.8</v>
      </c>
      <c r="AX291" s="65">
        <v>177438.57</v>
      </c>
      <c r="AY291" s="65">
        <v>178726.7</v>
      </c>
      <c r="AZ291" s="65">
        <v>179781.7</v>
      </c>
      <c r="BA291" s="65">
        <v>191397.0</v>
      </c>
      <c r="BB291" s="65">
        <v>201981.21</v>
      </c>
      <c r="BC291" s="65">
        <v>112203.0</v>
      </c>
      <c r="BD291" s="65">
        <v>112990.82</v>
      </c>
      <c r="BE291" s="65">
        <v>113561.53</v>
      </c>
      <c r="BF291" s="65">
        <v>95275.1</v>
      </c>
      <c r="BG291" s="65">
        <v>202074.31</v>
      </c>
      <c r="BH291" s="65">
        <v>204188.63</v>
      </c>
      <c r="BI291" s="65">
        <v>205774.28</v>
      </c>
      <c r="BJ291" s="65">
        <v>207716.71</v>
      </c>
      <c r="BK291" s="65">
        <v>172154.54</v>
      </c>
      <c r="BL291" s="65">
        <v>167438.41</v>
      </c>
      <c r="BM291" s="65">
        <v>169360.4</v>
      </c>
      <c r="BN291" s="65">
        <v>189881.6</v>
      </c>
      <c r="BO291" s="65">
        <v>169843.65</v>
      </c>
      <c r="BP291" s="65">
        <v>171956.4</v>
      </c>
      <c r="BQ291" s="65">
        <v>153146.2</v>
      </c>
      <c r="BR291" s="65">
        <v>87545.42</v>
      </c>
      <c r="BS291" s="65">
        <v>88533.82</v>
      </c>
      <c r="BT291" s="88">
        <v>89198.93</v>
      </c>
      <c r="BU291" s="65">
        <v>90280.85</v>
      </c>
      <c r="BV291" s="65">
        <v>91368.12</v>
      </c>
      <c r="BW291" s="90">
        <v>92209.57</v>
      </c>
      <c r="BX291" s="90">
        <v>92953.71</v>
      </c>
      <c r="BY291" s="90">
        <f t="array" ref="BY291">XLOOKUP(C291,'PL TOTAL D0'!$A$3:$A$1991,'PL TOTAL D0'!$C$3:$C$1991,"")</f>
        <v>93941.02</v>
      </c>
    </row>
    <row r="292" ht="15.75" customHeight="1">
      <c r="A292" s="50" t="s">
        <v>24</v>
      </c>
      <c r="B292" s="621" t="s">
        <v>4528</v>
      </c>
      <c r="C292" s="94" t="s">
        <v>2958</v>
      </c>
      <c r="D292" s="30" t="s">
        <v>120</v>
      </c>
      <c r="E292" s="22" t="s">
        <v>54</v>
      </c>
      <c r="F292" s="81" t="s">
        <v>125</v>
      </c>
      <c r="G292" s="47" t="str">
        <f t="shared" si="13"/>
        <v>Gabriel</v>
      </c>
      <c r="H292" s="49" t="s">
        <v>183</v>
      </c>
      <c r="I292" s="49" t="s">
        <v>66</v>
      </c>
      <c r="J292" s="47" t="str">
        <f t="shared" si="17"/>
        <v>Não</v>
      </c>
      <c r="K292" s="54">
        <v>45462.0</v>
      </c>
      <c r="L292" s="189"/>
      <c r="M292" s="32" t="s">
        <v>61</v>
      </c>
      <c r="N292" s="56">
        <v>0.012</v>
      </c>
      <c r="O292" s="23" t="s">
        <v>66</v>
      </c>
      <c r="P292" s="57">
        <v>0.0</v>
      </c>
      <c r="Q292" s="58"/>
      <c r="R292" s="70"/>
      <c r="S292" s="32" t="s">
        <v>194</v>
      </c>
      <c r="T292" s="32" t="s">
        <v>4529</v>
      </c>
      <c r="U292" s="33">
        <v>5.562998372843E12</v>
      </c>
      <c r="V292" s="33" t="s">
        <v>4530</v>
      </c>
      <c r="W292" s="34">
        <v>23833.0</v>
      </c>
      <c r="X292" s="23" t="s">
        <v>54</v>
      </c>
      <c r="Y292" s="49" t="str">
        <f t="shared" si="14"/>
        <v>Ativo</v>
      </c>
      <c r="Z292" s="32"/>
      <c r="AA292" s="32" t="s">
        <v>47</v>
      </c>
      <c r="AB292" s="64" t="s">
        <v>269</v>
      </c>
      <c r="AC292" s="79"/>
      <c r="AD292" s="54">
        <v>45462.0</v>
      </c>
      <c r="AE292" s="77">
        <v>4.9075100015198E13</v>
      </c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65"/>
      <c r="AW292" s="65"/>
      <c r="AX292" s="65"/>
      <c r="AY292" s="65"/>
      <c r="AZ292" s="65">
        <v>341552.3</v>
      </c>
      <c r="BA292" s="65">
        <v>346629.0</v>
      </c>
      <c r="BB292" s="65">
        <v>349672.43</v>
      </c>
      <c r="BC292" s="65">
        <v>351986.41</v>
      </c>
      <c r="BD292" s="65">
        <v>355068.74</v>
      </c>
      <c r="BE292" s="65">
        <v>357710.15</v>
      </c>
      <c r="BF292" s="65">
        <v>360764.77</v>
      </c>
      <c r="BG292" s="65">
        <v>364280.77</v>
      </c>
      <c r="BH292" s="65">
        <v>367441.89</v>
      </c>
      <c r="BI292" s="65">
        <v>370885.74</v>
      </c>
      <c r="BJ292" s="65">
        <v>374671.76</v>
      </c>
      <c r="BK292" s="65">
        <v>378660.97</v>
      </c>
      <c r="BL292" s="65">
        <v>382007.57</v>
      </c>
      <c r="BM292" s="65">
        <v>386280.61</v>
      </c>
      <c r="BN292" s="65">
        <v>390342.9</v>
      </c>
      <c r="BO292" s="65">
        <v>393984.59</v>
      </c>
      <c r="BP292" s="65">
        <v>398417.4</v>
      </c>
      <c r="BQ292" s="65">
        <v>402072.5</v>
      </c>
      <c r="BR292" s="65">
        <v>405987.6</v>
      </c>
      <c r="BS292" s="65">
        <v>398616.28</v>
      </c>
      <c r="BT292" s="88">
        <v>401020.7</v>
      </c>
      <c r="BU292" s="65">
        <v>405486.9</v>
      </c>
      <c r="BV292" s="65">
        <v>409898.7</v>
      </c>
      <c r="BW292" s="90">
        <v>413867.7</v>
      </c>
      <c r="BX292" s="90">
        <v>417738.58</v>
      </c>
      <c r="BY292" s="90">
        <f t="array" ref="BY292">XLOOKUP(C292,'PL TOTAL D0'!$A$3:$A$1991,'PL TOTAL D0'!$C$3:$C$1991,"")</f>
        <v>420778.32</v>
      </c>
    </row>
    <row r="293" ht="15.75" customHeight="1">
      <c r="A293" s="50" t="s">
        <v>24</v>
      </c>
      <c r="B293" s="176" t="s">
        <v>4411</v>
      </c>
      <c r="C293" s="94" t="s">
        <v>4536</v>
      </c>
      <c r="D293" s="81" t="s">
        <v>255</v>
      </c>
      <c r="E293" s="95" t="s">
        <v>199</v>
      </c>
      <c r="F293" s="81" t="s">
        <v>1369</v>
      </c>
      <c r="G293" s="47" t="str">
        <f t="shared" si="13"/>
        <v>David</v>
      </c>
      <c r="H293" s="49" t="s">
        <v>295</v>
      </c>
      <c r="I293" s="49" t="s">
        <v>382</v>
      </c>
      <c r="J293" s="47" t="str">
        <f t="shared" si="17"/>
        <v>Não</v>
      </c>
      <c r="K293" s="97">
        <v>45002.0</v>
      </c>
      <c r="L293" s="62"/>
      <c r="M293" s="62" t="s">
        <v>61</v>
      </c>
      <c r="N293" s="98">
        <v>0.012</v>
      </c>
      <c r="O293" s="47" t="s">
        <v>66</v>
      </c>
      <c r="P293" s="99">
        <v>0.0</v>
      </c>
      <c r="Q293" s="58"/>
      <c r="R293" s="70"/>
      <c r="S293" s="62" t="s">
        <v>194</v>
      </c>
      <c r="T293" s="32" t="s">
        <v>4410</v>
      </c>
      <c r="U293" s="33">
        <v>5.56199216687E12</v>
      </c>
      <c r="V293" s="33" t="s">
        <v>4537</v>
      </c>
      <c r="W293" s="34">
        <v>14748.0</v>
      </c>
      <c r="X293" s="23" t="s">
        <v>199</v>
      </c>
      <c r="Y293" s="49" t="str">
        <f t="shared" si="14"/>
        <v>Ativo</v>
      </c>
      <c r="Z293" s="62"/>
      <c r="AA293" s="62"/>
      <c r="AB293" s="64" t="s">
        <v>269</v>
      </c>
      <c r="AC293" s="79"/>
      <c r="AD293" s="54">
        <v>45002.0</v>
      </c>
      <c r="AE293" s="77">
        <v>4.9075100008061E13</v>
      </c>
      <c r="AF293" s="79"/>
      <c r="AG293" s="79"/>
      <c r="AH293" s="79"/>
      <c r="AI293" s="79"/>
      <c r="AJ293" s="79"/>
      <c r="AK293" s="65">
        <v>325628.19</v>
      </c>
      <c r="AL293" s="65">
        <v>328553.35</v>
      </c>
      <c r="AM293" s="65">
        <v>331938.47</v>
      </c>
      <c r="AN293" s="65">
        <v>335213.54</v>
      </c>
      <c r="AO293" s="65">
        <v>338304.64</v>
      </c>
      <c r="AP293" s="65">
        <v>340950.0</v>
      </c>
      <c r="AQ293" s="65">
        <v>342659.29</v>
      </c>
      <c r="AR293" s="65">
        <v>344570.82</v>
      </c>
      <c r="AS293" s="65">
        <v>348347.11</v>
      </c>
      <c r="AT293" s="65">
        <v>351813.62</v>
      </c>
      <c r="AU293" s="65">
        <v>354585.95</v>
      </c>
      <c r="AV293" s="65">
        <v>356355.74</v>
      </c>
      <c r="AW293" s="65">
        <v>356098.04</v>
      </c>
      <c r="AX293" s="65">
        <v>356326.09</v>
      </c>
      <c r="AY293" s="65">
        <v>358995.3</v>
      </c>
      <c r="AZ293" s="65">
        <v>361202.8</v>
      </c>
      <c r="BA293" s="65">
        <v>362715.4</v>
      </c>
      <c r="BB293" s="65">
        <v>364987.93</v>
      </c>
      <c r="BC293" s="65">
        <v>366897.13</v>
      </c>
      <c r="BD293" s="65">
        <v>369299.75</v>
      </c>
      <c r="BE293" s="65">
        <v>371443.7</v>
      </c>
      <c r="BF293" s="65">
        <v>372570.23</v>
      </c>
      <c r="BG293" s="65">
        <v>376618.46</v>
      </c>
      <c r="BH293" s="65">
        <v>379951.34</v>
      </c>
      <c r="BI293" s="65">
        <v>382190.41</v>
      </c>
      <c r="BJ293" s="65">
        <v>386421.07</v>
      </c>
      <c r="BK293" s="65">
        <v>389890.94</v>
      </c>
      <c r="BL293" s="65">
        <v>392868.1</v>
      </c>
      <c r="BM293" s="65">
        <v>396475.21</v>
      </c>
      <c r="BN293" s="65">
        <v>400484.2</v>
      </c>
      <c r="BO293" s="65">
        <v>404150.55</v>
      </c>
      <c r="BP293" s="65">
        <v>0.0</v>
      </c>
      <c r="BQ293" s="65">
        <v>0.0</v>
      </c>
      <c r="BR293" s="65">
        <v>0.0</v>
      </c>
      <c r="BS293" s="65">
        <v>0.0</v>
      </c>
      <c r="BT293" s="88">
        <v>0.0</v>
      </c>
      <c r="BU293" s="65">
        <v>0.0</v>
      </c>
      <c r="BV293" s="65">
        <v>0.0</v>
      </c>
      <c r="BW293" s="90">
        <v>0.0</v>
      </c>
      <c r="BX293" s="90">
        <v>0.0</v>
      </c>
      <c r="BY293" s="90" t="str">
        <f t="array" ref="BY293">XLOOKUP(C293,'PL TOTAL D0'!$A$3:$A$1991,'PL TOTAL D0'!$C$3:$C$1991,"")</f>
        <v/>
      </c>
    </row>
    <row r="294" ht="15.75" customHeight="1">
      <c r="A294" s="50" t="s">
        <v>24</v>
      </c>
      <c r="B294" s="50" t="s">
        <v>4540</v>
      </c>
      <c r="C294" s="94" t="s">
        <v>2694</v>
      </c>
      <c r="D294" s="81" t="s">
        <v>120</v>
      </c>
      <c r="E294" s="95" t="s">
        <v>54</v>
      </c>
      <c r="F294" s="81" t="s">
        <v>125</v>
      </c>
      <c r="G294" s="47" t="str">
        <f t="shared" si="13"/>
        <v>Marcus</v>
      </c>
      <c r="H294" s="49" t="s">
        <v>183</v>
      </c>
      <c r="I294" s="74" t="s">
        <v>66</v>
      </c>
      <c r="J294" s="47" t="str">
        <f t="shared" si="17"/>
        <v>Sim</v>
      </c>
      <c r="K294" s="97">
        <v>45058.0</v>
      </c>
      <c r="L294" s="62"/>
      <c r="M294" s="62" t="s">
        <v>61</v>
      </c>
      <c r="N294" s="98">
        <v>0.012</v>
      </c>
      <c r="O294" s="47" t="s">
        <v>66</v>
      </c>
      <c r="P294" s="99">
        <v>0.0</v>
      </c>
      <c r="Q294" s="58" t="s">
        <v>4542</v>
      </c>
      <c r="R294" s="70"/>
      <c r="S294" s="62" t="s">
        <v>194</v>
      </c>
      <c r="T294" s="32" t="s">
        <v>4543</v>
      </c>
      <c r="U294" s="33">
        <v>6.2996083441E10</v>
      </c>
      <c r="V294" s="33" t="s">
        <v>4544</v>
      </c>
      <c r="W294" s="34">
        <v>34566.0</v>
      </c>
      <c r="X294" s="23" t="s">
        <v>54</v>
      </c>
      <c r="Y294" s="49" t="str">
        <f t="shared" si="14"/>
        <v>Ativo</v>
      </c>
      <c r="Z294" s="62"/>
      <c r="AA294" s="32" t="s">
        <v>47</v>
      </c>
      <c r="AB294" s="64" t="s">
        <v>269</v>
      </c>
      <c r="AC294" s="79"/>
      <c r="AD294" s="54">
        <v>45058.0</v>
      </c>
      <c r="AE294" s="77">
        <v>4.9075100003971E13</v>
      </c>
      <c r="AF294" s="79"/>
      <c r="AG294" s="79"/>
      <c r="AH294" s="79"/>
      <c r="AI294" s="79"/>
      <c r="AJ294" s="79"/>
      <c r="AK294" s="79"/>
      <c r="AL294" s="65">
        <v>0.0</v>
      </c>
      <c r="AM294" s="65">
        <v>70426.32</v>
      </c>
      <c r="AN294" s="65">
        <v>71091.48</v>
      </c>
      <c r="AO294" s="65">
        <v>132133.96</v>
      </c>
      <c r="AP294" s="65">
        <v>133449.27</v>
      </c>
      <c r="AQ294" s="65">
        <v>130973.02</v>
      </c>
      <c r="AR294" s="65">
        <v>132119.61</v>
      </c>
      <c r="AS294" s="65">
        <v>133068.23</v>
      </c>
      <c r="AT294" s="65">
        <v>159262.64</v>
      </c>
      <c r="AU294" s="65">
        <v>160613.1</v>
      </c>
      <c r="AV294" s="65">
        <v>726092.48</v>
      </c>
      <c r="AW294" s="65">
        <v>892261.1</v>
      </c>
      <c r="AX294" s="65">
        <v>901416.63</v>
      </c>
      <c r="AY294" s="65">
        <v>978304.2</v>
      </c>
      <c r="AZ294" s="65">
        <v>966122.9</v>
      </c>
      <c r="BA294" s="65">
        <v>976625.8</v>
      </c>
      <c r="BB294" s="65">
        <v>944133.22</v>
      </c>
      <c r="BC294" s="65">
        <v>1125388.4</v>
      </c>
      <c r="BD294" s="65">
        <v>1098070.71</v>
      </c>
      <c r="BE294" s="65">
        <v>1080005.94</v>
      </c>
      <c r="BF294" s="65">
        <v>1148490.9</v>
      </c>
      <c r="BG294" s="65">
        <v>1130792.49</v>
      </c>
      <c r="BH294" s="65">
        <v>1121650.4</v>
      </c>
      <c r="BI294" s="65">
        <v>1125364.66</v>
      </c>
      <c r="BJ294" s="65">
        <v>1109673.98</v>
      </c>
      <c r="BK294" s="65">
        <v>1093070.77</v>
      </c>
      <c r="BL294" s="65">
        <v>1069411.22</v>
      </c>
      <c r="BM294" s="65">
        <v>1031626.5</v>
      </c>
      <c r="BN294" s="65">
        <v>1069309.0</v>
      </c>
      <c r="BO294" s="65">
        <v>1063792.59</v>
      </c>
      <c r="BP294" s="65">
        <v>1122050.0</v>
      </c>
      <c r="BQ294" s="65">
        <v>1135331.0</v>
      </c>
      <c r="BR294" s="65">
        <v>1112275.0</v>
      </c>
      <c r="BS294" s="65">
        <v>1095662.46</v>
      </c>
      <c r="BT294" s="88">
        <v>1126076.0</v>
      </c>
      <c r="BU294" s="65">
        <v>1103070.0</v>
      </c>
      <c r="BV294" s="65">
        <v>1091531.0</v>
      </c>
      <c r="BW294" s="90">
        <v>1089798.0</v>
      </c>
      <c r="BX294" s="90">
        <v>1151170.85</v>
      </c>
      <c r="BY294" s="90">
        <f t="array" ref="BY294">XLOOKUP(C294,'PL TOTAL D0'!$A$3:$A$1991,'PL TOTAL D0'!$C$3:$C$1991,"")</f>
        <v>1089770.37</v>
      </c>
    </row>
    <row r="295" ht="15.75" customHeight="1">
      <c r="A295" s="50" t="s">
        <v>24</v>
      </c>
      <c r="B295" s="43" t="s">
        <v>4540</v>
      </c>
      <c r="C295" s="94" t="s">
        <v>3546</v>
      </c>
      <c r="D295" s="81" t="s">
        <v>120</v>
      </c>
      <c r="E295" s="95" t="s">
        <v>54</v>
      </c>
      <c r="F295" s="81" t="s">
        <v>125</v>
      </c>
      <c r="G295" s="47" t="str">
        <f t="shared" si="13"/>
        <v>David</v>
      </c>
      <c r="H295" s="49" t="s">
        <v>295</v>
      </c>
      <c r="I295" s="49" t="s">
        <v>382</v>
      </c>
      <c r="J295" s="47" t="str">
        <f t="shared" si="17"/>
        <v>Não</v>
      </c>
      <c r="K295" s="54">
        <v>45681.0</v>
      </c>
      <c r="L295" s="62"/>
      <c r="M295" s="32" t="s">
        <v>4551</v>
      </c>
      <c r="N295" s="56">
        <v>0.012</v>
      </c>
      <c r="O295" s="23" t="s">
        <v>66</v>
      </c>
      <c r="P295" s="57">
        <v>0.0</v>
      </c>
      <c r="Q295" s="58"/>
      <c r="R295" s="70"/>
      <c r="S295" s="32" t="s">
        <v>194</v>
      </c>
      <c r="T295" s="32" t="s">
        <v>4543</v>
      </c>
      <c r="U295" s="33">
        <v>6.2996083441E10</v>
      </c>
      <c r="V295" s="33" t="s">
        <v>4544</v>
      </c>
      <c r="W295" s="34">
        <v>34566.0</v>
      </c>
      <c r="X295" s="23" t="s">
        <v>54</v>
      </c>
      <c r="Y295" s="49" t="str">
        <f t="shared" si="14"/>
        <v>Ativo</v>
      </c>
      <c r="Z295" s="62"/>
      <c r="AA295" s="32" t="s">
        <v>47</v>
      </c>
      <c r="AB295" s="64"/>
      <c r="AC295" s="79"/>
      <c r="AD295" s="54">
        <v>45684.0</v>
      </c>
      <c r="AE295" s="77">
        <v>4.907510001753E13</v>
      </c>
      <c r="AF295" s="79"/>
      <c r="AG295" s="79"/>
      <c r="AH295" s="79"/>
      <c r="AI295" s="79"/>
      <c r="AJ295" s="79"/>
      <c r="AK295" s="79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5"/>
      <c r="BG295" s="65">
        <v>19617.64</v>
      </c>
      <c r="BH295" s="65">
        <v>18065.26</v>
      </c>
      <c r="BI295" s="65">
        <v>17472.46</v>
      </c>
      <c r="BJ295" s="65">
        <v>19026.45</v>
      </c>
      <c r="BK295" s="65">
        <v>20665.7</v>
      </c>
      <c r="BL295" s="65">
        <v>20319.81</v>
      </c>
      <c r="BM295" s="65">
        <v>22046.33</v>
      </c>
      <c r="BN295" s="65">
        <v>20571.9</v>
      </c>
      <c r="BO295" s="65">
        <v>21021.07</v>
      </c>
      <c r="BP295" s="65">
        <v>20674.85</v>
      </c>
      <c r="BQ295" s="65">
        <v>18162.88</v>
      </c>
      <c r="BR295" s="65">
        <v>18162.07</v>
      </c>
      <c r="BS295" s="65">
        <v>16409.77</v>
      </c>
      <c r="BT295" s="88">
        <v>14679.26</v>
      </c>
      <c r="BU295" s="65">
        <v>15143.15</v>
      </c>
      <c r="BV295" s="65">
        <v>16122.09</v>
      </c>
      <c r="BW295" s="90">
        <v>15684.19</v>
      </c>
      <c r="BX295" s="90">
        <v>14266.09</v>
      </c>
      <c r="BY295" s="90">
        <f t="array" ref="BY295">XLOOKUP(C295,'PL TOTAL D0'!$A$3:$A$1991,'PL TOTAL D0'!$C$3:$C$1991,"")</f>
        <v>14633.21</v>
      </c>
    </row>
    <row r="296" ht="15.75" customHeight="1">
      <c r="A296" s="43" t="s">
        <v>24</v>
      </c>
      <c r="B296" s="43" t="s">
        <v>4552</v>
      </c>
      <c r="C296" s="94" t="s">
        <v>4553</v>
      </c>
      <c r="D296" s="30" t="s">
        <v>255</v>
      </c>
      <c r="E296" s="22" t="s">
        <v>199</v>
      </c>
      <c r="F296" s="30" t="s">
        <v>257</v>
      </c>
      <c r="G296" s="47" t="str">
        <f t="shared" si="13"/>
        <v>David</v>
      </c>
      <c r="H296" s="49" t="s">
        <v>224</v>
      </c>
      <c r="I296" s="49" t="s">
        <v>66</v>
      </c>
      <c r="J296" s="47" t="str">
        <f t="shared" si="17"/>
        <v>Não</v>
      </c>
      <c r="K296" s="54">
        <v>45313.0</v>
      </c>
      <c r="L296" s="55">
        <v>45553.0</v>
      </c>
      <c r="M296" s="32" t="s">
        <v>61</v>
      </c>
      <c r="N296" s="56">
        <v>0.012</v>
      </c>
      <c r="O296" s="23" t="s">
        <v>66</v>
      </c>
      <c r="P296" s="57">
        <v>0.0</v>
      </c>
      <c r="Q296" s="58"/>
      <c r="R296" s="70"/>
      <c r="S296" s="32" t="s">
        <v>194</v>
      </c>
      <c r="T296" s="32" t="s">
        <v>4556</v>
      </c>
      <c r="U296" s="33" t="s">
        <v>268</v>
      </c>
      <c r="V296" s="33"/>
      <c r="W296" s="33" t="s">
        <v>268</v>
      </c>
      <c r="X296" s="23" t="s">
        <v>199</v>
      </c>
      <c r="Y296" s="49" t="str">
        <f t="shared" si="14"/>
        <v>Encerrado</v>
      </c>
      <c r="Z296" s="62"/>
      <c r="AA296" s="62"/>
      <c r="AB296" s="64" t="s">
        <v>244</v>
      </c>
      <c r="AC296" s="79"/>
      <c r="AD296" s="54">
        <v>45313.0</v>
      </c>
      <c r="AE296" s="77">
        <v>4.9075100013144E13</v>
      </c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65">
        <v>0.0</v>
      </c>
      <c r="AV296" s="65">
        <v>68321.23</v>
      </c>
      <c r="AW296" s="65">
        <v>68755.69</v>
      </c>
      <c r="AX296" s="65">
        <v>68813.76</v>
      </c>
      <c r="AY296" s="65">
        <v>69295.92</v>
      </c>
      <c r="AZ296" s="65">
        <v>69426.17</v>
      </c>
      <c r="BA296" s="65">
        <v>70420.02</v>
      </c>
      <c r="BB296" s="65">
        <v>0.0</v>
      </c>
      <c r="BC296" s="65">
        <v>0.0</v>
      </c>
      <c r="BD296" s="65">
        <v>0.0</v>
      </c>
      <c r="BE296" s="65">
        <v>0.0</v>
      </c>
      <c r="BF296" s="65">
        <v>0.0</v>
      </c>
      <c r="BG296" s="65">
        <v>0.0</v>
      </c>
      <c r="BH296" s="65">
        <v>0.0</v>
      </c>
      <c r="BI296" s="65">
        <v>0.0</v>
      </c>
      <c r="BJ296" s="65">
        <v>0.0</v>
      </c>
      <c r="BK296" s="65">
        <v>0.0</v>
      </c>
      <c r="BL296" s="65">
        <v>0.0</v>
      </c>
      <c r="BM296" s="65">
        <v>0.0</v>
      </c>
      <c r="BN296" s="65">
        <v>0.0</v>
      </c>
      <c r="BO296" s="65">
        <v>0.0</v>
      </c>
      <c r="BP296" s="65">
        <v>0.0</v>
      </c>
      <c r="BQ296" s="65">
        <v>0.0</v>
      </c>
      <c r="BR296" s="65">
        <v>0.0</v>
      </c>
      <c r="BS296" s="65">
        <v>0.0</v>
      </c>
      <c r="BT296" s="88">
        <v>0.0</v>
      </c>
      <c r="BU296" s="65">
        <v>0.0</v>
      </c>
      <c r="BV296" s="65">
        <v>0.0</v>
      </c>
      <c r="BW296" s="90">
        <v>0.0</v>
      </c>
      <c r="BX296" s="90">
        <v>0.0</v>
      </c>
      <c r="BY296" s="90" t="str">
        <f t="array" ref="BY296">XLOOKUP(C296,'PL TOTAL D0'!$A$3:$A$1991,'PL TOTAL D0'!$C$3:$C$1991,"")</f>
        <v/>
      </c>
    </row>
    <row r="297" ht="15.75" customHeight="1">
      <c r="A297" s="43" t="s">
        <v>24</v>
      </c>
      <c r="B297" s="43" t="s">
        <v>686</v>
      </c>
      <c r="C297" s="94" t="s">
        <v>3117</v>
      </c>
      <c r="D297" s="30" t="s">
        <v>120</v>
      </c>
      <c r="E297" s="22" t="s">
        <v>199</v>
      </c>
      <c r="F297" s="30" t="s">
        <v>431</v>
      </c>
      <c r="G297" s="47" t="str">
        <f t="shared" si="13"/>
        <v>David</v>
      </c>
      <c r="H297" s="49" t="s">
        <v>183</v>
      </c>
      <c r="I297" s="49" t="s">
        <v>66</v>
      </c>
      <c r="J297" s="47" t="str">
        <f t="shared" si="17"/>
        <v>Não</v>
      </c>
      <c r="K297" s="54">
        <v>45764.0</v>
      </c>
      <c r="L297" s="55"/>
      <c r="M297" s="32" t="s">
        <v>61</v>
      </c>
      <c r="N297" s="56">
        <v>0.012</v>
      </c>
      <c r="O297" s="23" t="s">
        <v>66</v>
      </c>
      <c r="P297" s="57">
        <v>0.0</v>
      </c>
      <c r="Q297" s="58"/>
      <c r="R297" s="70"/>
      <c r="S297" s="32" t="s">
        <v>194</v>
      </c>
      <c r="T297" s="32" t="s">
        <v>690</v>
      </c>
      <c r="U297" s="33">
        <v>5.561984113797E12</v>
      </c>
      <c r="V297" s="33" t="s">
        <v>693</v>
      </c>
      <c r="W297" s="34">
        <v>22401.0</v>
      </c>
      <c r="X297" s="23" t="s">
        <v>199</v>
      </c>
      <c r="Y297" s="49" t="str">
        <f t="shared" si="14"/>
        <v>Ativo</v>
      </c>
      <c r="Z297" s="62"/>
      <c r="AA297" s="32" t="s">
        <v>47</v>
      </c>
      <c r="AB297" s="64"/>
      <c r="AC297" s="79"/>
      <c r="AD297" s="54">
        <v>45764.0</v>
      </c>
      <c r="AE297" s="77">
        <v>4.9075100018571E13</v>
      </c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>
        <v>159171.41</v>
      </c>
      <c r="BK297" s="65">
        <v>161030.69</v>
      </c>
      <c r="BL297" s="65">
        <v>162786.32</v>
      </c>
      <c r="BM297" s="65">
        <v>164764.09</v>
      </c>
      <c r="BN297" s="65">
        <v>166637.1</v>
      </c>
      <c r="BO297" s="65">
        <v>197505.75</v>
      </c>
      <c r="BP297" s="65">
        <v>199881.0</v>
      </c>
      <c r="BQ297" s="65">
        <v>201789.7</v>
      </c>
      <c r="BR297" s="65">
        <v>204045.8</v>
      </c>
      <c r="BS297" s="65">
        <v>206306.8</v>
      </c>
      <c r="BT297" s="88">
        <v>207932.0</v>
      </c>
      <c r="BU297" s="65">
        <v>210572.1</v>
      </c>
      <c r="BV297" s="65">
        <v>212170.8</v>
      </c>
      <c r="BW297" s="90">
        <v>214510.3</v>
      </c>
      <c r="BX297" s="90">
        <v>216754.14</v>
      </c>
      <c r="BY297" s="90">
        <f t="array" ref="BY297">XLOOKUP(C297,'PL TOTAL D0'!$A$3:$A$1991,'PL TOTAL D0'!$C$3:$C$1991,"")</f>
        <v>218783.1</v>
      </c>
    </row>
    <row r="298" ht="15.75" customHeight="1">
      <c r="A298" s="43" t="s">
        <v>24</v>
      </c>
      <c r="B298" s="43" t="s">
        <v>4566</v>
      </c>
      <c r="C298" s="94" t="s">
        <v>4567</v>
      </c>
      <c r="D298" s="30" t="s">
        <v>142</v>
      </c>
      <c r="E298" s="22" t="s">
        <v>54</v>
      </c>
      <c r="F298" s="30" t="s">
        <v>4568</v>
      </c>
      <c r="G298" s="47" t="str">
        <f t="shared" si="13"/>
        <v>David</v>
      </c>
      <c r="H298" s="49" t="s">
        <v>183</v>
      </c>
      <c r="I298" s="49" t="s">
        <v>382</v>
      </c>
      <c r="J298" s="47" t="str">
        <f t="shared" si="17"/>
        <v>Não</v>
      </c>
      <c r="K298" s="54">
        <v>45896.0</v>
      </c>
      <c r="L298" s="55"/>
      <c r="M298" s="32" t="s">
        <v>61</v>
      </c>
      <c r="N298" s="56">
        <v>0.012</v>
      </c>
      <c r="O298" s="23" t="s">
        <v>66</v>
      </c>
      <c r="P298" s="57">
        <v>0.0</v>
      </c>
      <c r="Q298" s="58"/>
      <c r="R298" s="70"/>
      <c r="S298" s="32" t="s">
        <v>194</v>
      </c>
      <c r="T298" s="32" t="s">
        <v>4569</v>
      </c>
      <c r="U298" s="33" t="s">
        <v>4571</v>
      </c>
      <c r="V298" s="33" t="s">
        <v>4572</v>
      </c>
      <c r="W298" s="34">
        <v>28054.0</v>
      </c>
      <c r="X298" s="23" t="s">
        <v>54</v>
      </c>
      <c r="Y298" s="49" t="str">
        <f t="shared" si="14"/>
        <v>Ativo</v>
      </c>
      <c r="Z298" s="62"/>
      <c r="AA298" s="32" t="s">
        <v>47</v>
      </c>
      <c r="AB298" s="64"/>
      <c r="AC298" s="79"/>
      <c r="AD298" s="54"/>
      <c r="AE298" s="77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>
        <v>0.0</v>
      </c>
      <c r="BN298" s="65">
        <v>0.0</v>
      </c>
      <c r="BO298" s="65">
        <v>0.0</v>
      </c>
      <c r="BP298" s="65">
        <v>0.0</v>
      </c>
      <c r="BQ298" s="65">
        <v>0.0</v>
      </c>
      <c r="BR298" s="65">
        <v>0.0</v>
      </c>
      <c r="BS298" s="65">
        <v>0.0</v>
      </c>
      <c r="BT298" s="88">
        <v>0.0</v>
      </c>
      <c r="BU298" s="65">
        <v>0.0</v>
      </c>
      <c r="BV298" s="65">
        <v>0.0</v>
      </c>
      <c r="BW298" s="90">
        <v>0.0</v>
      </c>
      <c r="BX298" s="90">
        <v>0.0</v>
      </c>
      <c r="BY298" s="90" t="str">
        <f t="array" ref="BY298">XLOOKUP(C298,'PL TOTAL D0'!$A$3:$A$1991,'PL TOTAL D0'!$C$3:$C$1991,"")</f>
        <v/>
      </c>
    </row>
    <row r="299" ht="15.75" customHeight="1">
      <c r="A299" s="43" t="s">
        <v>24</v>
      </c>
      <c r="B299" s="43" t="s">
        <v>4575</v>
      </c>
      <c r="C299" s="94" t="s">
        <v>2625</v>
      </c>
      <c r="D299" s="30" t="s">
        <v>89</v>
      </c>
      <c r="E299" s="22" t="s">
        <v>91</v>
      </c>
      <c r="F299" s="30" t="s">
        <v>521</v>
      </c>
      <c r="G299" s="47" t="str">
        <f t="shared" si="13"/>
        <v>Marcus</v>
      </c>
      <c r="H299" s="49" t="s">
        <v>183</v>
      </c>
      <c r="I299" s="49" t="s">
        <v>66</v>
      </c>
      <c r="J299" s="47" t="str">
        <f t="shared" si="17"/>
        <v>Sim</v>
      </c>
      <c r="K299" s="54">
        <v>45950.0</v>
      </c>
      <c r="L299" s="55"/>
      <c r="M299" s="32" t="s">
        <v>4576</v>
      </c>
      <c r="N299" s="56">
        <v>0.012</v>
      </c>
      <c r="O299" s="23" t="s">
        <v>66</v>
      </c>
      <c r="P299" s="57">
        <v>0.0</v>
      </c>
      <c r="Q299" s="58" t="s">
        <v>4577</v>
      </c>
      <c r="R299" s="70"/>
      <c r="S299" s="32" t="s">
        <v>194</v>
      </c>
      <c r="T299" s="32" t="s">
        <v>2139</v>
      </c>
      <c r="U299" s="33" t="s">
        <v>2140</v>
      </c>
      <c r="V299" s="33" t="s">
        <v>4579</v>
      </c>
      <c r="W299" s="34">
        <v>34271.0</v>
      </c>
      <c r="X299" s="23" t="s">
        <v>221</v>
      </c>
      <c r="Y299" s="49" t="str">
        <f t="shared" si="14"/>
        <v>Ativo</v>
      </c>
      <c r="Z299" s="62"/>
      <c r="AA299" s="32" t="s">
        <v>47</v>
      </c>
      <c r="AB299" s="64"/>
      <c r="AC299" s="79"/>
      <c r="AD299" s="54">
        <v>45954.0</v>
      </c>
      <c r="AE299" s="148">
        <v>4.9075100019576E13</v>
      </c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5">
        <v>1503596.0</v>
      </c>
      <c r="BQ299" s="65">
        <v>1517468.0</v>
      </c>
      <c r="BR299" s="65">
        <v>1533172.0</v>
      </c>
      <c r="BS299" s="65">
        <v>1550192.25</v>
      </c>
      <c r="BT299" s="88">
        <v>1562680.0</v>
      </c>
      <c r="BU299" s="65">
        <v>1581730.0</v>
      </c>
      <c r="BV299" s="65">
        <v>1599977.0</v>
      </c>
      <c r="BW299" s="90">
        <v>1616820.0</v>
      </c>
      <c r="BX299" s="90">
        <v>1631925.28</v>
      </c>
      <c r="BY299" s="90">
        <f t="array" ref="BY299">XLOOKUP(C299,'PL TOTAL D0'!$A$3:$A$1991,'PL TOTAL D0'!$C$3:$C$1991,"")</f>
        <v>1650377.8</v>
      </c>
    </row>
    <row r="300" ht="15.75" customHeight="1">
      <c r="A300" s="43" t="s">
        <v>24</v>
      </c>
      <c r="B300" s="43" t="s">
        <v>4580</v>
      </c>
      <c r="C300" s="94" t="s">
        <v>2665</v>
      </c>
      <c r="D300" s="30" t="s">
        <v>120</v>
      </c>
      <c r="E300" s="22" t="s">
        <v>199</v>
      </c>
      <c r="F300" s="30" t="s">
        <v>290</v>
      </c>
      <c r="G300" s="47" t="str">
        <f t="shared" si="13"/>
        <v>Marcus</v>
      </c>
      <c r="H300" s="49" t="s">
        <v>183</v>
      </c>
      <c r="I300" s="49" t="s">
        <v>66</v>
      </c>
      <c r="J300" s="47" t="str">
        <f t="shared" si="17"/>
        <v>Sim</v>
      </c>
      <c r="K300" s="54">
        <v>45835.0</v>
      </c>
      <c r="L300" s="55"/>
      <c r="M300" s="32" t="s">
        <v>61</v>
      </c>
      <c r="N300" s="56">
        <v>0.012</v>
      </c>
      <c r="O300" s="23" t="s">
        <v>66</v>
      </c>
      <c r="P300" s="57">
        <v>0.0</v>
      </c>
      <c r="Q300" s="283" t="s">
        <v>1705</v>
      </c>
      <c r="R300" s="70"/>
      <c r="S300" s="32" t="s">
        <v>194</v>
      </c>
      <c r="T300" s="32" t="s">
        <v>4582</v>
      </c>
      <c r="U300" s="33">
        <v>5.56199551807E12</v>
      </c>
      <c r="V300" s="33" t="s">
        <v>4584</v>
      </c>
      <c r="W300" s="34">
        <v>24204.0</v>
      </c>
      <c r="X300" s="23" t="s">
        <v>199</v>
      </c>
      <c r="Y300" s="49" t="str">
        <f t="shared" si="14"/>
        <v>Ativo</v>
      </c>
      <c r="Z300" s="62"/>
      <c r="AA300" s="32" t="s">
        <v>107</v>
      </c>
      <c r="AB300" s="64"/>
      <c r="AC300" s="79"/>
      <c r="AD300" s="54">
        <v>45875.0</v>
      </c>
      <c r="AE300" s="77">
        <v>4.9075100019347E13</v>
      </c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5"/>
      <c r="BG300" s="65"/>
      <c r="BH300" s="65"/>
      <c r="BI300" s="65"/>
      <c r="BJ300" s="65"/>
      <c r="BK300" s="65"/>
      <c r="BL300" s="65">
        <v>0.0</v>
      </c>
      <c r="BM300" s="65">
        <v>0.0</v>
      </c>
      <c r="BN300" s="65">
        <v>1512748.0</v>
      </c>
      <c r="BO300" s="65">
        <v>1527553.11</v>
      </c>
      <c r="BP300" s="65">
        <v>1546035.0</v>
      </c>
      <c r="BQ300" s="65">
        <v>1559195.0</v>
      </c>
      <c r="BR300" s="65">
        <v>1573225.0</v>
      </c>
      <c r="BS300" s="65">
        <v>1590141.32</v>
      </c>
      <c r="BT300" s="88">
        <v>1592431.0</v>
      </c>
      <c r="BU300" s="65">
        <v>1609574.0</v>
      </c>
      <c r="BV300" s="65">
        <v>1627942.0</v>
      </c>
      <c r="BW300" s="90">
        <v>1540289.0</v>
      </c>
      <c r="BX300" s="90">
        <v>1247363.01</v>
      </c>
      <c r="BY300" s="90">
        <f t="array" ref="BY300">XLOOKUP(C300,'PL TOTAL D0'!$A$3:$A$1991,'PL TOTAL D0'!$C$3:$C$1991,"")</f>
        <v>1262422.7</v>
      </c>
    </row>
    <row r="301" ht="15.75" customHeight="1">
      <c r="A301" s="50" t="s">
        <v>24</v>
      </c>
      <c r="B301" s="50" t="s">
        <v>698</v>
      </c>
      <c r="C301" s="94" t="s">
        <v>3291</v>
      </c>
      <c r="D301" s="30" t="s">
        <v>89</v>
      </c>
      <c r="E301" s="95" t="s">
        <v>91</v>
      </c>
      <c r="F301" s="81" t="s">
        <v>521</v>
      </c>
      <c r="G301" s="47" t="str">
        <f t="shared" si="13"/>
        <v>David</v>
      </c>
      <c r="H301" s="74" t="s">
        <v>183</v>
      </c>
      <c r="I301" s="74" t="s">
        <v>66</v>
      </c>
      <c r="J301" s="47" t="str">
        <f t="shared" si="17"/>
        <v>Não</v>
      </c>
      <c r="K301" s="97">
        <v>45070.0</v>
      </c>
      <c r="L301" s="189"/>
      <c r="M301" s="62" t="s">
        <v>61</v>
      </c>
      <c r="N301" s="98">
        <v>0.012</v>
      </c>
      <c r="O301" s="47" t="s">
        <v>66</v>
      </c>
      <c r="P301" s="99">
        <v>0.0</v>
      </c>
      <c r="Q301" s="58"/>
      <c r="R301" s="70"/>
      <c r="S301" s="62" t="s">
        <v>194</v>
      </c>
      <c r="T301" s="32" t="s">
        <v>701</v>
      </c>
      <c r="U301" s="33">
        <v>5.54398803159E12</v>
      </c>
      <c r="V301" s="33" t="s">
        <v>703</v>
      </c>
      <c r="W301" s="34">
        <v>27947.0</v>
      </c>
      <c r="X301" s="23" t="s">
        <v>221</v>
      </c>
      <c r="Y301" s="49" t="str">
        <f t="shared" si="14"/>
        <v>Ativo</v>
      </c>
      <c r="Z301" s="62"/>
      <c r="AA301" s="62"/>
      <c r="AB301" s="64" t="s">
        <v>269</v>
      </c>
      <c r="AC301" s="79"/>
      <c r="AD301" s="54">
        <v>45070.0</v>
      </c>
      <c r="AE301" s="77">
        <v>4.9075100009236E13</v>
      </c>
      <c r="AF301" s="79"/>
      <c r="AG301" s="79"/>
      <c r="AH301" s="79"/>
      <c r="AI301" s="79"/>
      <c r="AJ301" s="79"/>
      <c r="AK301" s="65">
        <v>0.0</v>
      </c>
      <c r="AL301" s="65">
        <v>0.0</v>
      </c>
      <c r="AM301" s="65">
        <v>0.0</v>
      </c>
      <c r="AN301" s="65">
        <v>261686.4</v>
      </c>
      <c r="AO301" s="65">
        <v>274621.3</v>
      </c>
      <c r="AP301" s="65">
        <v>274529.92</v>
      </c>
      <c r="AQ301" s="65">
        <v>276109.44</v>
      </c>
      <c r="AR301" s="65">
        <v>277711.72</v>
      </c>
      <c r="AS301" s="65">
        <v>280214.84</v>
      </c>
      <c r="AT301" s="65">
        <v>282442.97</v>
      </c>
      <c r="AU301" s="65">
        <v>284758.78</v>
      </c>
      <c r="AV301" s="65">
        <v>286645.9</v>
      </c>
      <c r="AW301" s="65">
        <v>289037.78</v>
      </c>
      <c r="AX301" s="65">
        <v>290669.88</v>
      </c>
      <c r="AY301" s="65">
        <v>289401.6</v>
      </c>
      <c r="AZ301" s="65">
        <v>291383.1</v>
      </c>
      <c r="BA301" s="65">
        <v>207672.9</v>
      </c>
      <c r="BB301" s="65">
        <v>207495.07</v>
      </c>
      <c r="BC301" s="65">
        <v>209016.19</v>
      </c>
      <c r="BD301" s="65">
        <v>199750.7</v>
      </c>
      <c r="BE301" s="65">
        <v>200639.08</v>
      </c>
      <c r="BF301" s="65">
        <v>202315.56</v>
      </c>
      <c r="BG301" s="65">
        <v>204166.91</v>
      </c>
      <c r="BH301" s="65">
        <v>193659.21</v>
      </c>
      <c r="BI301" s="65">
        <v>195660.21</v>
      </c>
      <c r="BJ301" s="65">
        <v>197418.73</v>
      </c>
      <c r="BK301" s="65">
        <v>126972.52</v>
      </c>
      <c r="BL301" s="65">
        <v>127824.46</v>
      </c>
      <c r="BM301" s="65">
        <v>129088.56</v>
      </c>
      <c r="BN301" s="65">
        <v>130187.4</v>
      </c>
      <c r="BO301" s="65">
        <v>110899.71</v>
      </c>
      <c r="BP301" s="65">
        <v>106584.1</v>
      </c>
      <c r="BQ301" s="65">
        <v>107261.7</v>
      </c>
      <c r="BR301" s="65">
        <v>107439.9</v>
      </c>
      <c r="BS301" s="65">
        <v>108509.03</v>
      </c>
      <c r="BT301" s="88">
        <v>109434.2</v>
      </c>
      <c r="BU301" s="65">
        <v>106660.7</v>
      </c>
      <c r="BV301" s="65">
        <v>107459.5</v>
      </c>
      <c r="BW301" s="90">
        <v>108412.3</v>
      </c>
      <c r="BX301" s="90">
        <v>109003.25</v>
      </c>
      <c r="BY301" s="90">
        <f t="array" ref="BY301">XLOOKUP(C301,'PL TOTAL D0'!$A$3:$A$1991,'PL TOTAL D0'!$C$3:$C$1991,"")</f>
        <v>110078.43</v>
      </c>
    </row>
    <row r="302" ht="15.75" customHeight="1">
      <c r="A302" s="50" t="s">
        <v>24</v>
      </c>
      <c r="B302" s="50" t="s">
        <v>4593</v>
      </c>
      <c r="C302" s="94" t="s">
        <v>4594</v>
      </c>
      <c r="D302" s="81" t="s">
        <v>120</v>
      </c>
      <c r="E302" s="95" t="s">
        <v>199</v>
      </c>
      <c r="F302" s="81" t="s">
        <v>677</v>
      </c>
      <c r="G302" s="47" t="str">
        <f t="shared" si="13"/>
        <v>David</v>
      </c>
      <c r="H302" s="49" t="s">
        <v>224</v>
      </c>
      <c r="I302" s="49" t="s">
        <v>66</v>
      </c>
      <c r="J302" s="47" t="str">
        <f t="shared" si="17"/>
        <v>Não</v>
      </c>
      <c r="K302" s="97">
        <v>45022.0</v>
      </c>
      <c r="L302" s="55">
        <v>45769.0</v>
      </c>
      <c r="M302" s="62" t="s">
        <v>61</v>
      </c>
      <c r="N302" s="98">
        <v>0.012</v>
      </c>
      <c r="O302" s="47" t="s">
        <v>66</v>
      </c>
      <c r="P302" s="99">
        <v>0.0</v>
      </c>
      <c r="Q302" s="58"/>
      <c r="R302" s="70"/>
      <c r="S302" s="62" t="s">
        <v>194</v>
      </c>
      <c r="T302" s="32" t="s">
        <v>4595</v>
      </c>
      <c r="U302" s="33" t="s">
        <v>268</v>
      </c>
      <c r="V302" s="33"/>
      <c r="W302" s="33" t="s">
        <v>268</v>
      </c>
      <c r="X302" s="23" t="s">
        <v>199</v>
      </c>
      <c r="Y302" s="49" t="str">
        <f t="shared" si="14"/>
        <v>Encerrado</v>
      </c>
      <c r="Z302" s="62"/>
      <c r="AA302" s="62"/>
      <c r="AB302" s="64" t="s">
        <v>269</v>
      </c>
      <c r="AC302" s="79"/>
      <c r="AD302" s="54">
        <v>45022.0</v>
      </c>
      <c r="AE302" s="77">
        <v>4.9075100005656E13</v>
      </c>
      <c r="AF302" s="79"/>
      <c r="AG302" s="79"/>
      <c r="AH302" s="79"/>
      <c r="AI302" s="79"/>
      <c r="AJ302" s="79"/>
      <c r="AK302" s="65">
        <v>0.0</v>
      </c>
      <c r="AL302" s="65">
        <v>60384.18</v>
      </c>
      <c r="AM302" s="65">
        <v>60985.13</v>
      </c>
      <c r="AN302" s="65">
        <v>76561.17</v>
      </c>
      <c r="AO302" s="65">
        <v>77220.32</v>
      </c>
      <c r="AP302" s="65">
        <v>86978.6</v>
      </c>
      <c r="AQ302" s="65">
        <v>120755.04</v>
      </c>
      <c r="AR302" s="65">
        <v>132833.71</v>
      </c>
      <c r="AS302" s="65">
        <v>133806.56</v>
      </c>
      <c r="AT302" s="65">
        <v>134840.29</v>
      </c>
      <c r="AU302" s="65">
        <v>127079.21</v>
      </c>
      <c r="AV302" s="65">
        <v>120760.68</v>
      </c>
      <c r="AW302" s="65">
        <v>121852.18</v>
      </c>
      <c r="AX302" s="65">
        <v>99919.25</v>
      </c>
      <c r="AY302" s="65">
        <v>100638.2</v>
      </c>
      <c r="AZ302" s="65">
        <v>101391.0</v>
      </c>
      <c r="BA302" s="65">
        <v>144878.5</v>
      </c>
      <c r="BB302" s="65">
        <v>183379.5</v>
      </c>
      <c r="BC302" s="65">
        <v>138502.19</v>
      </c>
      <c r="BD302" s="65">
        <v>93683.61</v>
      </c>
      <c r="BE302" s="65">
        <v>0.0</v>
      </c>
      <c r="BF302" s="65">
        <v>0.0</v>
      </c>
      <c r="BG302" s="65">
        <v>0.0</v>
      </c>
      <c r="BH302" s="65">
        <v>0.0</v>
      </c>
      <c r="BI302" s="65">
        <v>0.0</v>
      </c>
      <c r="BJ302" s="65">
        <v>0.0</v>
      </c>
      <c r="BK302" s="65">
        <v>0.0</v>
      </c>
      <c r="BL302" s="65">
        <v>0.0</v>
      </c>
      <c r="BM302" s="65">
        <v>0.0</v>
      </c>
      <c r="BN302" s="65">
        <v>0.0</v>
      </c>
      <c r="BO302" s="65">
        <v>0.0</v>
      </c>
      <c r="BP302" s="65">
        <v>0.0</v>
      </c>
      <c r="BQ302" s="65">
        <v>0.0</v>
      </c>
      <c r="BR302" s="65">
        <v>0.0</v>
      </c>
      <c r="BS302" s="65">
        <v>0.0</v>
      </c>
      <c r="BT302" s="88">
        <v>0.0</v>
      </c>
      <c r="BU302" s="65">
        <v>0.0</v>
      </c>
      <c r="BV302" s="65">
        <v>0.0</v>
      </c>
      <c r="BW302" s="90">
        <v>0.0</v>
      </c>
      <c r="BX302" s="90">
        <v>0.0</v>
      </c>
      <c r="BY302" s="90" t="str">
        <f t="array" ref="BY302">XLOOKUP(C302,'PL TOTAL D0'!$A$3:$A$1991,'PL TOTAL D0'!$C$3:$C$1991,"")</f>
        <v/>
      </c>
    </row>
    <row r="303" ht="15.75" customHeight="1">
      <c r="A303" s="50" t="s">
        <v>24</v>
      </c>
      <c r="B303" s="43" t="s">
        <v>4596</v>
      </c>
      <c r="C303" s="94" t="s">
        <v>4597</v>
      </c>
      <c r="D303" s="30" t="s">
        <v>120</v>
      </c>
      <c r="E303" s="22" t="s">
        <v>199</v>
      </c>
      <c r="F303" s="30" t="s">
        <v>332</v>
      </c>
      <c r="G303" s="47" t="str">
        <f t="shared" si="13"/>
        <v>David</v>
      </c>
      <c r="H303" s="49" t="s">
        <v>295</v>
      </c>
      <c r="I303" s="49" t="s">
        <v>382</v>
      </c>
      <c r="J303" s="47" t="str">
        <f t="shared" si="17"/>
        <v>Não</v>
      </c>
      <c r="K303" s="54">
        <v>45447.0</v>
      </c>
      <c r="L303" s="62"/>
      <c r="M303" s="32" t="s">
        <v>34</v>
      </c>
      <c r="N303" s="56">
        <v>0.012</v>
      </c>
      <c r="O303" s="23" t="s">
        <v>35</v>
      </c>
      <c r="P303" s="57">
        <v>0.1</v>
      </c>
      <c r="Q303" s="58"/>
      <c r="R303" s="70"/>
      <c r="S303" s="32" t="s">
        <v>194</v>
      </c>
      <c r="T303" s="32" t="s">
        <v>4595</v>
      </c>
      <c r="U303" s="33">
        <v>5.561986232723E12</v>
      </c>
      <c r="V303" s="33" t="s">
        <v>4598</v>
      </c>
      <c r="W303" s="34">
        <v>33664.0</v>
      </c>
      <c r="X303" s="23" t="s">
        <v>199</v>
      </c>
      <c r="Y303" s="49" t="str">
        <f t="shared" si="14"/>
        <v>Ativo</v>
      </c>
      <c r="Z303" s="32"/>
      <c r="AA303" s="32" t="s">
        <v>47</v>
      </c>
      <c r="AB303" s="64" t="s">
        <v>269</v>
      </c>
      <c r="AC303" s="79"/>
      <c r="AD303" s="54">
        <v>45447.0</v>
      </c>
      <c r="AE303" s="77">
        <v>4.9075100015015E13</v>
      </c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65"/>
      <c r="AW303" s="65"/>
      <c r="AX303" s="65"/>
      <c r="AY303" s="65"/>
      <c r="AZ303" s="65">
        <v>265.69</v>
      </c>
      <c r="BA303" s="65">
        <v>1909.05</v>
      </c>
      <c r="BB303" s="65">
        <v>3057.6</v>
      </c>
      <c r="BC303" s="65">
        <v>3082.02</v>
      </c>
      <c r="BD303" s="65">
        <v>4118.55</v>
      </c>
      <c r="BE303" s="65">
        <v>4137.83</v>
      </c>
      <c r="BF303" s="65">
        <v>4164.32</v>
      </c>
      <c r="BG303" s="65">
        <v>4209.06</v>
      </c>
      <c r="BH303" s="65">
        <v>4258.53</v>
      </c>
      <c r="BI303" s="65">
        <v>4297.35</v>
      </c>
      <c r="BJ303" s="65">
        <v>4342.11</v>
      </c>
      <c r="BK303" s="65">
        <v>4376.0</v>
      </c>
      <c r="BL303" s="65">
        <v>4398.0</v>
      </c>
      <c r="BM303" s="65">
        <v>4954.37</v>
      </c>
      <c r="BN303" s="65">
        <v>7019.93</v>
      </c>
      <c r="BO303" s="65">
        <v>7097.77</v>
      </c>
      <c r="BP303" s="65">
        <v>0.0</v>
      </c>
      <c r="BQ303" s="65">
        <v>0.0</v>
      </c>
      <c r="BR303" s="65">
        <v>0.0</v>
      </c>
      <c r="BS303" s="65">
        <v>0.0</v>
      </c>
      <c r="BT303" s="88">
        <v>0.0</v>
      </c>
      <c r="BU303" s="65">
        <v>0.0</v>
      </c>
      <c r="BV303" s="65">
        <v>0.0</v>
      </c>
      <c r="BW303" s="90">
        <v>0.0</v>
      </c>
      <c r="BX303" s="90">
        <v>0.0</v>
      </c>
      <c r="BY303" s="90" t="str">
        <f t="array" ref="BY303">XLOOKUP(C303,'PL TOTAL D0'!$A$3:$A$1991,'PL TOTAL D0'!$C$3:$C$1991,"")</f>
        <v/>
      </c>
    </row>
    <row r="304" ht="15.75" customHeight="1">
      <c r="A304" s="50" t="s">
        <v>24</v>
      </c>
      <c r="B304" s="50" t="s">
        <v>4601</v>
      </c>
      <c r="C304" s="94" t="s">
        <v>4602</v>
      </c>
      <c r="D304" s="81" t="s">
        <v>120</v>
      </c>
      <c r="E304" s="95" t="s">
        <v>54</v>
      </c>
      <c r="F304" s="30" t="s">
        <v>125</v>
      </c>
      <c r="G304" s="47" t="str">
        <f t="shared" si="13"/>
        <v>David</v>
      </c>
      <c r="H304" s="74" t="s">
        <v>183</v>
      </c>
      <c r="I304" s="49" t="s">
        <v>382</v>
      </c>
      <c r="J304" s="47" t="str">
        <f t="shared" si="17"/>
        <v>Não</v>
      </c>
      <c r="K304" s="97">
        <v>45166.0</v>
      </c>
      <c r="L304" s="189"/>
      <c r="M304" s="62" t="s">
        <v>61</v>
      </c>
      <c r="N304" s="98">
        <v>0.012</v>
      </c>
      <c r="O304" s="47" t="s">
        <v>66</v>
      </c>
      <c r="P304" s="99">
        <v>0.0</v>
      </c>
      <c r="Q304" s="58"/>
      <c r="R304" s="70"/>
      <c r="S304" s="62" t="s">
        <v>194</v>
      </c>
      <c r="T304" s="32" t="s">
        <v>4604</v>
      </c>
      <c r="U304" s="33">
        <v>6.299832304E10</v>
      </c>
      <c r="V304" s="33" t="s">
        <v>4605</v>
      </c>
      <c r="W304" s="34">
        <v>32023.0</v>
      </c>
      <c r="X304" s="23" t="s">
        <v>54</v>
      </c>
      <c r="Y304" s="49" t="str">
        <f t="shared" si="14"/>
        <v>Ativo</v>
      </c>
      <c r="Z304" s="62"/>
      <c r="AA304" s="62"/>
      <c r="AB304" s="64" t="s">
        <v>269</v>
      </c>
      <c r="AC304" s="79"/>
      <c r="AD304" s="54">
        <v>45166.0</v>
      </c>
      <c r="AE304" s="77">
        <v>4.9075100009041E13</v>
      </c>
      <c r="AF304" s="79"/>
      <c r="AG304" s="79"/>
      <c r="AH304" s="79"/>
      <c r="AI304" s="79"/>
      <c r="AJ304" s="79"/>
      <c r="AK304" s="65">
        <v>0.0</v>
      </c>
      <c r="AL304" s="65">
        <v>0.0</v>
      </c>
      <c r="AM304" s="65">
        <v>0.0</v>
      </c>
      <c r="AN304" s="65">
        <v>0.0</v>
      </c>
      <c r="AO304" s="65">
        <v>0.0</v>
      </c>
      <c r="AP304" s="65">
        <v>2001.99</v>
      </c>
      <c r="AQ304" s="65">
        <v>4533.39</v>
      </c>
      <c r="AR304" s="65">
        <v>6587.54</v>
      </c>
      <c r="AS304" s="65">
        <v>8650.26</v>
      </c>
      <c r="AT304" s="65">
        <v>10718.11</v>
      </c>
      <c r="AU304" s="65">
        <v>67813.4</v>
      </c>
      <c r="AV304" s="65">
        <v>24993.26</v>
      </c>
      <c r="AW304" s="65">
        <v>13068.91</v>
      </c>
      <c r="AX304" s="65">
        <v>12102.97</v>
      </c>
      <c r="AY304" s="65">
        <v>13185.82</v>
      </c>
      <c r="AZ304" s="65">
        <v>14278.88</v>
      </c>
      <c r="BA304" s="65">
        <v>15392.2</v>
      </c>
      <c r="BB304" s="65">
        <v>16518.48</v>
      </c>
      <c r="BC304" s="65">
        <v>36638.59</v>
      </c>
      <c r="BD304" s="65">
        <v>23831.47</v>
      </c>
      <c r="BE304" s="65">
        <v>24989.62</v>
      </c>
      <c r="BF304" s="65">
        <v>24682.7</v>
      </c>
      <c r="BG304" s="65">
        <v>1129.88</v>
      </c>
      <c r="BH304" s="65">
        <v>1122.9</v>
      </c>
      <c r="BI304" s="65">
        <v>1133.53</v>
      </c>
      <c r="BJ304" s="65">
        <v>1145.34</v>
      </c>
      <c r="BK304" s="65">
        <v>1151.2</v>
      </c>
      <c r="BL304" s="65">
        <v>1163.73</v>
      </c>
      <c r="BM304" s="65">
        <v>1178.52</v>
      </c>
      <c r="BN304" s="65">
        <v>1192.14</v>
      </c>
      <c r="BO304" s="65">
        <v>1205.91</v>
      </c>
      <c r="BP304" s="65">
        <v>1221.75</v>
      </c>
      <c r="BQ304" s="65">
        <v>1219.27</v>
      </c>
      <c r="BR304" s="65">
        <v>0.05</v>
      </c>
      <c r="BS304" s="65">
        <v>0.0</v>
      </c>
      <c r="BT304" s="88">
        <v>0.0</v>
      </c>
      <c r="BU304" s="65">
        <v>0.0</v>
      </c>
      <c r="BV304" s="65">
        <v>0.0</v>
      </c>
      <c r="BW304" s="90">
        <v>0.0</v>
      </c>
      <c r="BX304" s="90">
        <v>0.0</v>
      </c>
      <c r="BY304" s="90" t="str">
        <f t="array" ref="BY304">XLOOKUP(C304,'PL TOTAL D0'!$A$3:$A$1991,'PL TOTAL D0'!$C$3:$C$1991,"")</f>
        <v/>
      </c>
    </row>
    <row r="305" ht="15.75" customHeight="1">
      <c r="A305" s="50" t="s">
        <v>24</v>
      </c>
      <c r="B305" s="50" t="s">
        <v>4608</v>
      </c>
      <c r="C305" s="94" t="s">
        <v>2757</v>
      </c>
      <c r="D305" s="30" t="s">
        <v>89</v>
      </c>
      <c r="E305" s="95" t="s">
        <v>91</v>
      </c>
      <c r="F305" s="81" t="s">
        <v>521</v>
      </c>
      <c r="G305" s="47" t="str">
        <f t="shared" si="13"/>
        <v>Marcus</v>
      </c>
      <c r="H305" s="49" t="s">
        <v>183</v>
      </c>
      <c r="I305" s="49" t="s">
        <v>66</v>
      </c>
      <c r="J305" s="47" t="str">
        <f t="shared" si="17"/>
        <v>Não</v>
      </c>
      <c r="K305" s="97">
        <v>44903.0</v>
      </c>
      <c r="L305" s="62"/>
      <c r="M305" s="32" t="s">
        <v>1360</v>
      </c>
      <c r="N305" s="56">
        <v>0.015</v>
      </c>
      <c r="O305" s="47" t="s">
        <v>66</v>
      </c>
      <c r="P305" s="99">
        <v>0.0</v>
      </c>
      <c r="Q305" s="58"/>
      <c r="R305" s="70"/>
      <c r="S305" s="62" t="s">
        <v>194</v>
      </c>
      <c r="T305" s="32" t="s">
        <v>4609</v>
      </c>
      <c r="U305" s="33">
        <v>5.543991330103E12</v>
      </c>
      <c r="V305" s="33" t="s">
        <v>4610</v>
      </c>
      <c r="W305" s="48">
        <v>28485.0</v>
      </c>
      <c r="X305" s="23" t="s">
        <v>221</v>
      </c>
      <c r="Y305" s="49" t="str">
        <f t="shared" si="14"/>
        <v>Ativo</v>
      </c>
      <c r="Z305" s="62"/>
      <c r="AA305" s="196" t="s">
        <v>47</v>
      </c>
      <c r="AB305" s="64" t="s">
        <v>269</v>
      </c>
      <c r="AC305" s="79"/>
      <c r="AD305" s="54">
        <v>44903.0</v>
      </c>
      <c r="AE305" s="77">
        <v>4.907510000974E13</v>
      </c>
      <c r="AF305" s="79"/>
      <c r="AG305" s="79"/>
      <c r="AH305" s="65">
        <v>207189.28</v>
      </c>
      <c r="AI305" s="65">
        <v>209348.34</v>
      </c>
      <c r="AJ305" s="65">
        <v>211048.19</v>
      </c>
      <c r="AK305" s="65">
        <v>390507.04</v>
      </c>
      <c r="AL305" s="65">
        <v>423811.97</v>
      </c>
      <c r="AM305" s="65">
        <v>427761.52</v>
      </c>
      <c r="AN305" s="65">
        <v>380658.69</v>
      </c>
      <c r="AO305" s="65">
        <v>384001.86</v>
      </c>
      <c r="AP305" s="65">
        <v>387540.51</v>
      </c>
      <c r="AQ305" s="65">
        <v>390686.95</v>
      </c>
      <c r="AR305" s="65">
        <v>394148.17</v>
      </c>
      <c r="AS305" s="65">
        <v>396886.59</v>
      </c>
      <c r="AT305" s="65">
        <v>398816.73</v>
      </c>
      <c r="AU305" s="65">
        <v>351750.97</v>
      </c>
      <c r="AV305" s="65">
        <v>354440.96</v>
      </c>
      <c r="AW305" s="65">
        <v>525472.7</v>
      </c>
      <c r="AX305" s="65">
        <v>528979.08</v>
      </c>
      <c r="AY305" s="65">
        <v>533037.0</v>
      </c>
      <c r="AZ305" s="65">
        <v>537421.8</v>
      </c>
      <c r="BA305" s="65">
        <v>541949.0</v>
      </c>
      <c r="BB305" s="65">
        <v>545621.89</v>
      </c>
      <c r="BC305" s="65">
        <v>548444.57</v>
      </c>
      <c r="BD305" s="65">
        <v>553050.64</v>
      </c>
      <c r="BE305" s="65">
        <v>652644.43</v>
      </c>
      <c r="BF305" s="65">
        <v>679336.68</v>
      </c>
      <c r="BG305" s="65">
        <v>686607.26</v>
      </c>
      <c r="BH305" s="65">
        <v>853656.32</v>
      </c>
      <c r="BI305" s="65">
        <v>855642.24</v>
      </c>
      <c r="BJ305" s="65">
        <v>869218.95</v>
      </c>
      <c r="BK305" s="65">
        <v>882165.73</v>
      </c>
      <c r="BL305" s="65">
        <v>888205.53</v>
      </c>
      <c r="BM305" s="65">
        <v>903886.39</v>
      </c>
      <c r="BN305" s="65">
        <v>910125.4</v>
      </c>
      <c r="BO305" s="65">
        <v>918424.09</v>
      </c>
      <c r="BP305" s="65">
        <v>930854.9</v>
      </c>
      <c r="BQ305" s="65">
        <v>934846.1</v>
      </c>
      <c r="BR305" s="65">
        <v>943537.1</v>
      </c>
      <c r="BS305" s="65">
        <v>948836.01</v>
      </c>
      <c r="BT305" s="88">
        <v>951841.3</v>
      </c>
      <c r="BU305" s="65">
        <v>957439.3</v>
      </c>
      <c r="BV305" s="65">
        <v>969216.3</v>
      </c>
      <c r="BW305" s="90">
        <v>823116.8</v>
      </c>
      <c r="BX305" s="90">
        <v>864453.79</v>
      </c>
      <c r="BY305" s="90">
        <f t="array" ref="BY305">XLOOKUP(C305,'PL TOTAL D0'!$A$3:$A$1991,'PL TOTAL D0'!$C$3:$C$1991,"")</f>
        <v>842992.28</v>
      </c>
    </row>
    <row r="306" ht="15.75" customHeight="1">
      <c r="A306" s="50" t="s">
        <v>24</v>
      </c>
      <c r="B306" s="50" t="s">
        <v>4608</v>
      </c>
      <c r="C306" s="94" t="s">
        <v>4612</v>
      </c>
      <c r="D306" s="30" t="s">
        <v>89</v>
      </c>
      <c r="E306" s="95" t="s">
        <v>91</v>
      </c>
      <c r="F306" s="81" t="s">
        <v>521</v>
      </c>
      <c r="G306" s="47" t="str">
        <f t="shared" si="13"/>
        <v>David</v>
      </c>
      <c r="H306" s="49" t="s">
        <v>224</v>
      </c>
      <c r="I306" s="49" t="s">
        <v>66</v>
      </c>
      <c r="J306" s="47" t="str">
        <f t="shared" si="17"/>
        <v>Não</v>
      </c>
      <c r="K306" s="97">
        <v>45096.0</v>
      </c>
      <c r="L306" s="186">
        <v>45966.0</v>
      </c>
      <c r="M306" s="62" t="s">
        <v>231</v>
      </c>
      <c r="N306" s="98">
        <v>0.025</v>
      </c>
      <c r="O306" s="23" t="s">
        <v>233</v>
      </c>
      <c r="P306" s="99">
        <v>0.2</v>
      </c>
      <c r="Q306" s="58"/>
      <c r="R306" s="58" t="s">
        <v>610</v>
      </c>
      <c r="S306" s="62" t="s">
        <v>194</v>
      </c>
      <c r="T306" s="32" t="s">
        <v>4609</v>
      </c>
      <c r="U306" s="33">
        <v>5.543991330103E12</v>
      </c>
      <c r="V306" s="33" t="s">
        <v>4610</v>
      </c>
      <c r="W306" s="48">
        <v>28485.0</v>
      </c>
      <c r="X306" s="23" t="s">
        <v>221</v>
      </c>
      <c r="Y306" s="49" t="str">
        <f t="shared" si="14"/>
        <v>Encerrado</v>
      </c>
      <c r="Z306" s="62"/>
      <c r="AA306" s="32" t="s">
        <v>47</v>
      </c>
      <c r="AB306" s="64" t="s">
        <v>269</v>
      </c>
      <c r="AC306" s="79"/>
      <c r="AD306" s="54">
        <v>45096.0</v>
      </c>
      <c r="AE306" s="77">
        <v>4.9075100008736E13</v>
      </c>
      <c r="AF306" s="79"/>
      <c r="AG306" s="79"/>
      <c r="AH306" s="79"/>
      <c r="AI306" s="79"/>
      <c r="AJ306" s="79"/>
      <c r="AK306" s="79"/>
      <c r="AL306" s="65">
        <v>0.0</v>
      </c>
      <c r="AM306" s="65">
        <v>0.0</v>
      </c>
      <c r="AN306" s="65">
        <v>50792.07</v>
      </c>
      <c r="AO306" s="65">
        <v>53366.88</v>
      </c>
      <c r="AP306" s="65">
        <v>51327.17</v>
      </c>
      <c r="AQ306" s="65">
        <v>50313.03</v>
      </c>
      <c r="AR306" s="65">
        <v>48073.61</v>
      </c>
      <c r="AS306" s="65">
        <v>51631.52</v>
      </c>
      <c r="AT306" s="65">
        <v>54099.04</v>
      </c>
      <c r="AU306" s="65">
        <v>99689.1</v>
      </c>
      <c r="AV306" s="65">
        <v>101107.27</v>
      </c>
      <c r="AW306" s="65">
        <v>135941.03</v>
      </c>
      <c r="AX306" s="65">
        <v>130004.14</v>
      </c>
      <c r="AY306" s="65">
        <v>125891.6</v>
      </c>
      <c r="AZ306" s="65">
        <v>127327.3</v>
      </c>
      <c r="BA306" s="65">
        <v>130760.5</v>
      </c>
      <c r="BB306" s="65">
        <v>133486.06</v>
      </c>
      <c r="BC306" s="65">
        <v>130837.02</v>
      </c>
      <c r="BD306" s="65">
        <v>125610.3</v>
      </c>
      <c r="BE306" s="65">
        <v>25878.13</v>
      </c>
      <c r="BF306" s="65">
        <v>784.53</v>
      </c>
      <c r="BG306" s="65">
        <v>500.34</v>
      </c>
      <c r="BH306" s="65">
        <v>500.34</v>
      </c>
      <c r="BI306" s="65">
        <v>500.34</v>
      </c>
      <c r="BJ306" s="65">
        <v>311.04</v>
      </c>
      <c r="BK306" s="65">
        <v>89.32</v>
      </c>
      <c r="BL306" s="65">
        <v>0.0</v>
      </c>
      <c r="BM306" s="65">
        <v>0.0</v>
      </c>
      <c r="BN306" s="65">
        <v>0.0</v>
      </c>
      <c r="BO306" s="65">
        <v>0.0</v>
      </c>
      <c r="BP306" s="65">
        <v>0.0</v>
      </c>
      <c r="BQ306" s="65">
        <v>0.0</v>
      </c>
      <c r="BR306" s="65">
        <v>0.0</v>
      </c>
      <c r="BS306" s="65">
        <v>0.0</v>
      </c>
      <c r="BT306" s="88">
        <v>0.0</v>
      </c>
      <c r="BU306" s="65">
        <v>0.0</v>
      </c>
      <c r="BV306" s="65">
        <v>0.0</v>
      </c>
      <c r="BW306" s="90">
        <v>0.0</v>
      </c>
      <c r="BX306" s="90">
        <v>0.0</v>
      </c>
      <c r="BY306" s="90" t="str">
        <f t="array" ref="BY306">XLOOKUP(C306,'PL TOTAL D0'!$A$3:$A$1991,'PL TOTAL D0'!$C$3:$C$1991,"")</f>
        <v/>
      </c>
    </row>
    <row r="307" ht="15.75" customHeight="1">
      <c r="A307" s="50" t="s">
        <v>24</v>
      </c>
      <c r="B307" s="200" t="s">
        <v>4624</v>
      </c>
      <c r="C307" s="94" t="s">
        <v>4625</v>
      </c>
      <c r="D307" s="30" t="s">
        <v>120</v>
      </c>
      <c r="E307" s="95" t="s">
        <v>199</v>
      </c>
      <c r="F307" s="30" t="s">
        <v>4626</v>
      </c>
      <c r="G307" s="47" t="str">
        <f t="shared" si="13"/>
        <v>David</v>
      </c>
      <c r="H307" s="49" t="s">
        <v>295</v>
      </c>
      <c r="I307" s="49" t="s">
        <v>382</v>
      </c>
      <c r="J307" s="47" t="str">
        <f t="shared" si="17"/>
        <v>Não</v>
      </c>
      <c r="K307" s="54">
        <v>45852.0</v>
      </c>
      <c r="L307" s="186"/>
      <c r="M307" s="32" t="s">
        <v>361</v>
      </c>
      <c r="N307" s="56">
        <v>0.018</v>
      </c>
      <c r="O307" s="23" t="s">
        <v>35</v>
      </c>
      <c r="P307" s="57">
        <v>0.2</v>
      </c>
      <c r="Q307" s="58"/>
      <c r="R307" s="70"/>
      <c r="S307" s="32" t="s">
        <v>194</v>
      </c>
      <c r="T307" s="22" t="s">
        <v>4629</v>
      </c>
      <c r="U307" s="33">
        <v>5.561999092867E12</v>
      </c>
      <c r="V307" s="33" t="s">
        <v>4630</v>
      </c>
      <c r="W307" s="34">
        <v>31597.0</v>
      </c>
      <c r="X307" s="23" t="s">
        <v>54</v>
      </c>
      <c r="Y307" s="49" t="str">
        <f t="shared" si="14"/>
        <v>Ativo</v>
      </c>
      <c r="Z307" s="32"/>
      <c r="AA307" s="32" t="s">
        <v>47</v>
      </c>
      <c r="AB307" s="64"/>
      <c r="AC307" s="79"/>
      <c r="AD307" s="54"/>
      <c r="AE307" s="77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65"/>
      <c r="BH307" s="65"/>
      <c r="BI307" s="65"/>
      <c r="BJ307" s="65"/>
      <c r="BK307" s="65"/>
      <c r="BL307" s="65"/>
      <c r="BM307" s="65">
        <v>0.0</v>
      </c>
      <c r="BN307" s="65">
        <v>0.0</v>
      </c>
      <c r="BO307" s="65">
        <v>0.0</v>
      </c>
      <c r="BP307" s="65">
        <v>0.0</v>
      </c>
      <c r="BQ307" s="65">
        <v>0.0</v>
      </c>
      <c r="BR307" s="65">
        <v>0.0</v>
      </c>
      <c r="BS307" s="65">
        <v>0.0</v>
      </c>
      <c r="BT307" s="88">
        <v>0.0</v>
      </c>
      <c r="BU307" s="65">
        <v>0.0</v>
      </c>
      <c r="BV307" s="65">
        <v>0.0</v>
      </c>
      <c r="BW307" s="90">
        <v>0.0</v>
      </c>
      <c r="BX307" s="90">
        <v>0.0</v>
      </c>
      <c r="BY307" s="90" t="str">
        <f t="array" ref="BY307">XLOOKUP(C307,'PL TOTAL D0'!$A$3:$A$1991,'PL TOTAL D0'!$C$3:$C$1991,"")</f>
        <v/>
      </c>
    </row>
    <row r="308" ht="15.75" customHeight="1">
      <c r="A308" s="50" t="s">
        <v>24</v>
      </c>
      <c r="B308" s="50" t="s">
        <v>4636</v>
      </c>
      <c r="C308" s="94" t="s">
        <v>4637</v>
      </c>
      <c r="D308" s="81" t="s">
        <v>120</v>
      </c>
      <c r="E308" s="95" t="s">
        <v>54</v>
      </c>
      <c r="F308" s="81" t="s">
        <v>348</v>
      </c>
      <c r="G308" s="47" t="str">
        <f t="shared" si="13"/>
        <v>David</v>
      </c>
      <c r="H308" s="49" t="s">
        <v>295</v>
      </c>
      <c r="I308" s="74" t="s">
        <v>382</v>
      </c>
      <c r="J308" s="47" t="str">
        <f t="shared" si="17"/>
        <v>Não</v>
      </c>
      <c r="K308" s="97">
        <v>44974.0</v>
      </c>
      <c r="L308" s="62"/>
      <c r="M308" s="62" t="s">
        <v>61</v>
      </c>
      <c r="N308" s="98">
        <v>0.012</v>
      </c>
      <c r="O308" s="47" t="s">
        <v>66</v>
      </c>
      <c r="P308" s="99">
        <v>0.0</v>
      </c>
      <c r="Q308" s="58"/>
      <c r="R308" s="70"/>
      <c r="S308" s="62" t="s">
        <v>194</v>
      </c>
      <c r="T308" s="32" t="s">
        <v>4643</v>
      </c>
      <c r="U308" s="33">
        <v>6.2991868895E10</v>
      </c>
      <c r="V308" s="33" t="s">
        <v>4645</v>
      </c>
      <c r="W308" s="48">
        <v>31732.0</v>
      </c>
      <c r="X308" s="23" t="s">
        <v>54</v>
      </c>
      <c r="Y308" s="49" t="str">
        <f t="shared" si="14"/>
        <v>Inativo</v>
      </c>
      <c r="Z308" s="62"/>
      <c r="AA308" s="62"/>
      <c r="AB308" s="64" t="s">
        <v>269</v>
      </c>
      <c r="AC308" s="79"/>
      <c r="AD308" s="54">
        <v>44974.0</v>
      </c>
      <c r="AE308" s="77">
        <v>4.9075100011338E13</v>
      </c>
      <c r="AF308" s="79"/>
      <c r="AG308" s="79"/>
      <c r="AH308" s="79"/>
      <c r="AI308" s="65">
        <v>0.0</v>
      </c>
      <c r="AJ308" s="65">
        <v>44307.74</v>
      </c>
      <c r="AK308" s="65">
        <v>87777.54</v>
      </c>
      <c r="AL308" s="65">
        <v>114376.09</v>
      </c>
      <c r="AM308" s="65">
        <v>40478.05</v>
      </c>
      <c r="AN308" s="65">
        <v>40856.76</v>
      </c>
      <c r="AO308" s="65">
        <v>41056.47</v>
      </c>
      <c r="AP308" s="65">
        <v>0.0</v>
      </c>
      <c r="AQ308" s="65">
        <v>0.0</v>
      </c>
      <c r="AR308" s="65">
        <v>0.0</v>
      </c>
      <c r="AS308" s="65">
        <v>0.0</v>
      </c>
      <c r="AT308" s="65">
        <v>0.0</v>
      </c>
      <c r="AU308" s="65">
        <v>0.0</v>
      </c>
      <c r="AV308" s="65">
        <v>0.0</v>
      </c>
      <c r="AW308" s="65">
        <v>0.0</v>
      </c>
      <c r="AX308" s="65">
        <v>0.0</v>
      </c>
      <c r="AY308" s="65">
        <v>0.0</v>
      </c>
      <c r="AZ308" s="65">
        <v>0.0</v>
      </c>
      <c r="BA308" s="65">
        <v>0.0</v>
      </c>
      <c r="BB308" s="65">
        <v>0.0</v>
      </c>
      <c r="BC308" s="65">
        <v>0.0</v>
      </c>
      <c r="BD308" s="65">
        <v>0.0</v>
      </c>
      <c r="BE308" s="65">
        <v>0.0</v>
      </c>
      <c r="BF308" s="65">
        <v>0.0</v>
      </c>
      <c r="BG308" s="65">
        <v>0.0</v>
      </c>
      <c r="BH308" s="65">
        <v>0.0</v>
      </c>
      <c r="BI308" s="65">
        <v>0.0</v>
      </c>
      <c r="BJ308" s="65">
        <v>0.0</v>
      </c>
      <c r="BK308" s="65">
        <v>0.0</v>
      </c>
      <c r="BL308" s="65">
        <v>0.0</v>
      </c>
      <c r="BM308" s="65">
        <v>0.0</v>
      </c>
      <c r="BN308" s="65">
        <v>0.0</v>
      </c>
      <c r="BO308" s="65">
        <v>0.0</v>
      </c>
      <c r="BP308" s="65">
        <v>0.0</v>
      </c>
      <c r="BQ308" s="65">
        <v>0.0</v>
      </c>
      <c r="BR308" s="65">
        <v>0.0</v>
      </c>
      <c r="BS308" s="65">
        <v>0.0</v>
      </c>
      <c r="BT308" s="88">
        <v>0.0</v>
      </c>
      <c r="BU308" s="65">
        <v>0.0</v>
      </c>
      <c r="BV308" s="65">
        <v>0.0</v>
      </c>
      <c r="BW308" s="90">
        <v>0.0</v>
      </c>
      <c r="BX308" s="90">
        <v>0.0</v>
      </c>
      <c r="BY308" s="90" t="str">
        <f t="array" ref="BY308">XLOOKUP(C308,'PL TOTAL D0'!$A$3:$A$1991,'PL TOTAL D0'!$C$3:$C$1991,"")</f>
        <v/>
      </c>
    </row>
    <row r="309" ht="15.75" customHeight="1">
      <c r="A309" s="50" t="s">
        <v>24</v>
      </c>
      <c r="B309" s="50" t="s">
        <v>4656</v>
      </c>
      <c r="C309" s="94" t="s">
        <v>4657</v>
      </c>
      <c r="D309" s="81" t="s">
        <v>120</v>
      </c>
      <c r="E309" s="95" t="s">
        <v>199</v>
      </c>
      <c r="F309" s="81" t="s">
        <v>431</v>
      </c>
      <c r="G309" s="47" t="str">
        <f t="shared" si="13"/>
        <v>David</v>
      </c>
      <c r="H309" s="49" t="s">
        <v>183</v>
      </c>
      <c r="I309" s="49" t="s">
        <v>66</v>
      </c>
      <c r="J309" s="47" t="str">
        <f t="shared" si="17"/>
        <v>Não</v>
      </c>
      <c r="K309" s="97">
        <v>45250.0</v>
      </c>
      <c r="L309" s="62"/>
      <c r="M309" s="66" t="s">
        <v>390</v>
      </c>
      <c r="N309" s="366">
        <v>0.0</v>
      </c>
      <c r="O309" s="81" t="s">
        <v>66</v>
      </c>
      <c r="P309" s="367">
        <v>0.0</v>
      </c>
      <c r="Q309" s="58"/>
      <c r="R309" s="70"/>
      <c r="S309" s="62" t="s">
        <v>234</v>
      </c>
      <c r="T309" s="32" t="s">
        <v>4662</v>
      </c>
      <c r="U309" s="33">
        <v>5.561996511331E12</v>
      </c>
      <c r="V309" s="33" t="s">
        <v>4663</v>
      </c>
      <c r="W309" s="34">
        <v>44627.0</v>
      </c>
      <c r="X309" s="23" t="s">
        <v>199</v>
      </c>
      <c r="Y309" s="49" t="str">
        <f t="shared" si="14"/>
        <v>Ativo</v>
      </c>
      <c r="Z309" s="62"/>
      <c r="AA309" s="62"/>
      <c r="AB309" s="64" t="s">
        <v>269</v>
      </c>
      <c r="AC309" s="79"/>
      <c r="AD309" s="54">
        <v>45250.0</v>
      </c>
      <c r="AE309" s="77">
        <v>4.9075100015333E13</v>
      </c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65">
        <v>0.0</v>
      </c>
      <c r="AT309" s="65">
        <v>4620.06</v>
      </c>
      <c r="AU309" s="65">
        <v>5662.28</v>
      </c>
      <c r="AV309" s="65">
        <v>5701.72</v>
      </c>
      <c r="AW309" s="65">
        <v>6745.71</v>
      </c>
      <c r="AX309" s="65">
        <v>5742.55</v>
      </c>
      <c r="AY309" s="65">
        <v>0.0</v>
      </c>
      <c r="AZ309" s="65">
        <v>0.29</v>
      </c>
      <c r="BA309" s="65">
        <v>0.0</v>
      </c>
      <c r="BB309" s="65">
        <v>1008.19</v>
      </c>
      <c r="BC309" s="65">
        <v>0.0</v>
      </c>
      <c r="BD309" s="65">
        <v>0.0</v>
      </c>
      <c r="BE309" s="65">
        <v>275.45</v>
      </c>
      <c r="BF309" s="65">
        <v>1774.23</v>
      </c>
      <c r="BG309" s="65">
        <v>1791.97</v>
      </c>
      <c r="BH309" s="65">
        <v>1809.44</v>
      </c>
      <c r="BI309" s="65">
        <v>1826.65</v>
      </c>
      <c r="BJ309" s="65">
        <v>0.0</v>
      </c>
      <c r="BK309" s="65">
        <v>0.12</v>
      </c>
      <c r="BL309" s="65">
        <v>0.12</v>
      </c>
      <c r="BM309" s="65">
        <v>0.12</v>
      </c>
      <c r="BN309" s="65">
        <v>0.12</v>
      </c>
      <c r="BO309" s="65">
        <v>0.12</v>
      </c>
      <c r="BP309" s="65">
        <v>0.12</v>
      </c>
      <c r="BQ309" s="65">
        <v>0.12</v>
      </c>
      <c r="BR309" s="65">
        <v>0.12</v>
      </c>
      <c r="BS309" s="65">
        <v>0.12</v>
      </c>
      <c r="BT309" s="88">
        <v>0.12</v>
      </c>
      <c r="BU309" s="65">
        <v>0.12</v>
      </c>
      <c r="BV309" s="65">
        <v>0.12</v>
      </c>
      <c r="BW309" s="90">
        <v>0.12</v>
      </c>
      <c r="BX309" s="90">
        <v>0.12</v>
      </c>
      <c r="BY309" s="90" t="str">
        <f t="array" ref="BY309">XLOOKUP(C309,'PL TOTAL D0'!$A$3:$A$1991,'PL TOTAL D0'!$C$3:$C$1991,"")</f>
        <v/>
      </c>
    </row>
    <row r="310" ht="15.75" customHeight="1">
      <c r="A310" s="50" t="s">
        <v>24</v>
      </c>
      <c r="B310" s="50" t="s">
        <v>4674</v>
      </c>
      <c r="C310" s="94" t="s">
        <v>4675</v>
      </c>
      <c r="D310" s="30" t="s">
        <v>120</v>
      </c>
      <c r="E310" s="95" t="s">
        <v>199</v>
      </c>
      <c r="F310" s="81" t="s">
        <v>290</v>
      </c>
      <c r="G310" s="47" t="str">
        <f t="shared" si="13"/>
        <v>David</v>
      </c>
      <c r="H310" s="49" t="s">
        <v>224</v>
      </c>
      <c r="I310" s="49" t="s">
        <v>66</v>
      </c>
      <c r="J310" s="47" t="str">
        <f t="shared" si="17"/>
        <v>Não</v>
      </c>
      <c r="K310" s="97">
        <v>46091.0</v>
      </c>
      <c r="L310" s="55">
        <v>46213.0</v>
      </c>
      <c r="M310" s="66" t="s">
        <v>209</v>
      </c>
      <c r="N310" s="366">
        <v>0.015</v>
      </c>
      <c r="O310" s="81" t="s">
        <v>35</v>
      </c>
      <c r="P310" s="367">
        <v>0.1</v>
      </c>
      <c r="Q310" s="58"/>
      <c r="R310" s="70"/>
      <c r="S310" s="62" t="s">
        <v>194</v>
      </c>
      <c r="T310" s="32" t="s">
        <v>4678</v>
      </c>
      <c r="U310" s="33" t="s">
        <v>4680</v>
      </c>
      <c r="V310" s="33" t="s">
        <v>4681</v>
      </c>
      <c r="W310" s="34">
        <v>33507.0</v>
      </c>
      <c r="X310" s="23" t="s">
        <v>199</v>
      </c>
      <c r="Y310" s="49" t="str">
        <f t="shared" si="14"/>
        <v>Encerrado</v>
      </c>
      <c r="Z310" s="62"/>
      <c r="AA310" s="62" t="s">
        <v>47</v>
      </c>
      <c r="AB310" s="64"/>
      <c r="AC310" s="79"/>
      <c r="AD310" s="23" t="s">
        <v>1239</v>
      </c>
      <c r="AE310" s="77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65"/>
      <c r="BH310" s="65"/>
      <c r="BI310" s="65"/>
      <c r="BJ310" s="65"/>
      <c r="BK310" s="65"/>
      <c r="BL310" s="65"/>
      <c r="BM310" s="65"/>
      <c r="BN310" s="65"/>
      <c r="BO310" s="65"/>
      <c r="BP310" s="65"/>
      <c r="BQ310" s="65"/>
      <c r="BR310" s="65"/>
      <c r="BS310" s="65"/>
      <c r="BT310" s="88"/>
      <c r="BU310" s="65">
        <v>259438.3</v>
      </c>
      <c r="BV310" s="65">
        <v>285509.4</v>
      </c>
      <c r="BW310" s="90">
        <v>286242.9</v>
      </c>
      <c r="BX310" s="90">
        <v>0.0</v>
      </c>
      <c r="BY310" s="90" t="str">
        <f t="array" ref="BY310">XLOOKUP(C310,'PL TOTAL D0'!$A$3:$A$1991,'PL TOTAL D0'!$C$3:$C$1991,"")</f>
        <v/>
      </c>
    </row>
    <row r="311" ht="15.75" customHeight="1">
      <c r="A311" s="50" t="s">
        <v>24</v>
      </c>
      <c r="B311" s="176" t="s">
        <v>4401</v>
      </c>
      <c r="C311" s="94" t="s">
        <v>4688</v>
      </c>
      <c r="D311" s="30" t="s">
        <v>89</v>
      </c>
      <c r="E311" s="95" t="s">
        <v>91</v>
      </c>
      <c r="F311" s="81" t="s">
        <v>521</v>
      </c>
      <c r="G311" s="47" t="str">
        <f t="shared" si="13"/>
        <v>David</v>
      </c>
      <c r="H311" s="49" t="s">
        <v>224</v>
      </c>
      <c r="I311" s="49" t="s">
        <v>66</v>
      </c>
      <c r="J311" s="47" t="str">
        <f t="shared" si="17"/>
        <v>Não</v>
      </c>
      <c r="K311" s="97">
        <v>45063.0</v>
      </c>
      <c r="L311" s="121">
        <v>45587.0</v>
      </c>
      <c r="M311" s="62" t="s">
        <v>61</v>
      </c>
      <c r="N311" s="98">
        <v>0.012</v>
      </c>
      <c r="O311" s="47" t="s">
        <v>66</v>
      </c>
      <c r="P311" s="99">
        <v>0.0</v>
      </c>
      <c r="Q311" s="58"/>
      <c r="R311" s="70"/>
      <c r="S311" s="62" t="s">
        <v>194</v>
      </c>
      <c r="T311" s="32" t="s">
        <v>4405</v>
      </c>
      <c r="U311" s="33" t="s">
        <v>268</v>
      </c>
      <c r="V311" s="33"/>
      <c r="W311" s="33" t="s">
        <v>268</v>
      </c>
      <c r="X311" s="23" t="s">
        <v>221</v>
      </c>
      <c r="Y311" s="49" t="str">
        <f t="shared" si="14"/>
        <v>Encerrado</v>
      </c>
      <c r="Z311" s="62"/>
      <c r="AA311" s="62"/>
      <c r="AB311" s="64" t="s">
        <v>269</v>
      </c>
      <c r="AC311" s="79"/>
      <c r="AD311" s="54">
        <v>45063.0</v>
      </c>
      <c r="AE311" s="77">
        <v>4.9075100009481E13</v>
      </c>
      <c r="AF311" s="79"/>
      <c r="AG311" s="79"/>
      <c r="AH311" s="79"/>
      <c r="AI311" s="79"/>
      <c r="AJ311" s="79"/>
      <c r="AK311" s="65">
        <v>0.0</v>
      </c>
      <c r="AL311" s="65">
        <v>0.0</v>
      </c>
      <c r="AM311" s="65">
        <v>4364609.29</v>
      </c>
      <c r="AN311" s="65">
        <v>4860509.32</v>
      </c>
      <c r="AO311" s="65">
        <v>4890104.61</v>
      </c>
      <c r="AP311" s="65">
        <v>4905588.65</v>
      </c>
      <c r="AQ311" s="65">
        <v>4894563.07</v>
      </c>
      <c r="AR311" s="65">
        <v>4750632.23</v>
      </c>
      <c r="AS311" s="65">
        <v>4752095.7</v>
      </c>
      <c r="AT311" s="65">
        <v>4608507.34</v>
      </c>
      <c r="AU311" s="65">
        <v>4614871.75</v>
      </c>
      <c r="AV311" s="65">
        <v>4522329.6</v>
      </c>
      <c r="AW311" s="65">
        <v>4485768.68</v>
      </c>
      <c r="AX311" s="65">
        <v>4376939.64</v>
      </c>
      <c r="AY311" s="65">
        <v>4188476.0</v>
      </c>
      <c r="AZ311" s="65">
        <v>4177797.0</v>
      </c>
      <c r="BA311" s="65">
        <v>4148918.0</v>
      </c>
      <c r="BB311" s="65">
        <v>4120664.45</v>
      </c>
      <c r="BC311" s="65">
        <v>4020262.8</v>
      </c>
      <c r="BD311" s="65">
        <v>0.0</v>
      </c>
      <c r="BE311" s="65">
        <v>0.0</v>
      </c>
      <c r="BF311" s="65">
        <v>0.0</v>
      </c>
      <c r="BG311" s="65">
        <v>0.0</v>
      </c>
      <c r="BH311" s="65">
        <v>0.0</v>
      </c>
      <c r="BI311" s="65">
        <v>0.0</v>
      </c>
      <c r="BJ311" s="65">
        <v>0.0</v>
      </c>
      <c r="BK311" s="65">
        <v>0.0</v>
      </c>
      <c r="BL311" s="65">
        <v>0.0</v>
      </c>
      <c r="BM311" s="65">
        <v>0.0</v>
      </c>
      <c r="BN311" s="65">
        <v>0.0</v>
      </c>
      <c r="BO311" s="65">
        <v>0.0</v>
      </c>
      <c r="BP311" s="65">
        <v>0.0</v>
      </c>
      <c r="BQ311" s="65">
        <v>0.0</v>
      </c>
      <c r="BR311" s="65">
        <v>0.0</v>
      </c>
      <c r="BS311" s="65">
        <v>0.0</v>
      </c>
      <c r="BT311" s="88">
        <v>0.0</v>
      </c>
      <c r="BU311" s="65">
        <v>0.0</v>
      </c>
      <c r="BV311" s="65">
        <v>0.0</v>
      </c>
      <c r="BW311" s="90">
        <v>0.0</v>
      </c>
      <c r="BX311" s="90">
        <v>0.0</v>
      </c>
      <c r="BY311" s="90" t="str">
        <f t="array" ref="BY311">XLOOKUP(C311,'PL TOTAL D0'!$A$3:$A$1991,'PL TOTAL D0'!$C$3:$C$1991,"")</f>
        <v/>
      </c>
    </row>
    <row r="312" ht="15.75" customHeight="1">
      <c r="A312" s="50" t="s">
        <v>24</v>
      </c>
      <c r="B312" s="50" t="s">
        <v>4401</v>
      </c>
      <c r="C312" s="94" t="s">
        <v>2510</v>
      </c>
      <c r="D312" s="30" t="s">
        <v>89</v>
      </c>
      <c r="E312" s="95" t="s">
        <v>91</v>
      </c>
      <c r="F312" s="81" t="s">
        <v>521</v>
      </c>
      <c r="G312" s="47" t="str">
        <f t="shared" si="13"/>
        <v>Marcus</v>
      </c>
      <c r="H312" s="49" t="s">
        <v>183</v>
      </c>
      <c r="I312" s="49" t="s">
        <v>66</v>
      </c>
      <c r="J312" s="47" t="str">
        <f t="shared" si="17"/>
        <v>Sim</v>
      </c>
      <c r="K312" s="97">
        <v>45090.0</v>
      </c>
      <c r="L312" s="189"/>
      <c r="M312" s="32" t="s">
        <v>1349</v>
      </c>
      <c r="N312" s="56">
        <v>0.012</v>
      </c>
      <c r="O312" s="23" t="s">
        <v>66</v>
      </c>
      <c r="P312" s="57">
        <v>0.0</v>
      </c>
      <c r="Q312" s="58" t="s">
        <v>4696</v>
      </c>
      <c r="R312" s="58" t="s">
        <v>4697</v>
      </c>
      <c r="S312" s="21" t="s">
        <v>194</v>
      </c>
      <c r="T312" s="32" t="s">
        <v>4405</v>
      </c>
      <c r="U312" s="33">
        <v>5.54399119577E12</v>
      </c>
      <c r="V312" s="33" t="s">
        <v>4698</v>
      </c>
      <c r="W312" s="34">
        <v>21608.0</v>
      </c>
      <c r="X312" s="23" t="s">
        <v>221</v>
      </c>
      <c r="Y312" s="49" t="str">
        <f t="shared" si="14"/>
        <v>Ativo</v>
      </c>
      <c r="Z312" s="62"/>
      <c r="AA312" s="62"/>
      <c r="AB312" s="64" t="s">
        <v>269</v>
      </c>
      <c r="AC312" s="79"/>
      <c r="AD312" s="54">
        <v>45090.0</v>
      </c>
      <c r="AE312" s="77">
        <v>4.9075100008124E13</v>
      </c>
      <c r="AF312" s="79"/>
      <c r="AG312" s="79"/>
      <c r="AH312" s="79"/>
      <c r="AI312" s="79"/>
      <c r="AJ312" s="79"/>
      <c r="AK312" s="79"/>
      <c r="AL312" s="79"/>
      <c r="AM312" s="79"/>
      <c r="AN312" s="65">
        <v>450534.84</v>
      </c>
      <c r="AO312" s="65">
        <v>467877.68</v>
      </c>
      <c r="AP312" s="65">
        <v>460284.09</v>
      </c>
      <c r="AQ312" s="65">
        <v>447378.06</v>
      </c>
      <c r="AR312" s="65">
        <v>427783.51</v>
      </c>
      <c r="AS312" s="65">
        <v>459853.5</v>
      </c>
      <c r="AT312" s="65">
        <v>482396.67</v>
      </c>
      <c r="AU312" s="65">
        <v>448399.72</v>
      </c>
      <c r="AV312" s="65">
        <v>454500.03</v>
      </c>
      <c r="AW312" s="65">
        <v>461792.47</v>
      </c>
      <c r="AX312" s="65">
        <v>442254.92</v>
      </c>
      <c r="AY312" s="65">
        <v>427979.6</v>
      </c>
      <c r="AZ312" s="65">
        <v>428557.9</v>
      </c>
      <c r="BA312" s="65">
        <v>440247.5</v>
      </c>
      <c r="BB312" s="65">
        <v>450102.19</v>
      </c>
      <c r="BC312" s="65">
        <v>441625.69</v>
      </c>
      <c r="BD312" s="65">
        <v>0.0</v>
      </c>
      <c r="BE312" s="65">
        <v>4317356.52</v>
      </c>
      <c r="BF312" s="65">
        <v>4213381.26</v>
      </c>
      <c r="BG312" s="65">
        <v>4155174.82</v>
      </c>
      <c r="BH312" s="65">
        <v>4111015.02</v>
      </c>
      <c r="BI312" s="65">
        <v>4117387.74</v>
      </c>
      <c r="BJ312" s="65">
        <v>4117668.95</v>
      </c>
      <c r="BK312" s="65">
        <v>4057153.98</v>
      </c>
      <c r="BL312" s="65">
        <v>4041522.31</v>
      </c>
      <c r="BM312" s="65">
        <v>4020316.26</v>
      </c>
      <c r="BN312" s="65">
        <v>3999520.0</v>
      </c>
      <c r="BO312" s="65">
        <v>3982309.81</v>
      </c>
      <c r="BP312" s="65">
        <v>3973834.0</v>
      </c>
      <c r="BQ312" s="65">
        <v>3861273.0</v>
      </c>
      <c r="BR312" s="65">
        <v>3831658.0</v>
      </c>
      <c r="BS312" s="65">
        <v>3803245.99</v>
      </c>
      <c r="BT312" s="88">
        <v>3786492.0</v>
      </c>
      <c r="BU312" s="65">
        <v>3772362.0</v>
      </c>
      <c r="BV312" s="65">
        <v>3185429.0</v>
      </c>
      <c r="BW312" s="90">
        <v>3728098.0</v>
      </c>
      <c r="BX312" s="90">
        <v>3906570.4</v>
      </c>
      <c r="BY312" s="90">
        <f t="array" ref="BY312">XLOOKUP(C312,'PL TOTAL D0'!$A$3:$A$1991,'PL TOTAL D0'!$C$3:$C$1991,"")</f>
        <v>3864019</v>
      </c>
    </row>
    <row r="313" ht="15.75" customHeight="1">
      <c r="A313" s="43" t="s">
        <v>24</v>
      </c>
      <c r="B313" s="428" t="s">
        <v>710</v>
      </c>
      <c r="C313" s="94" t="s">
        <v>3105</v>
      </c>
      <c r="D313" s="30" t="s">
        <v>89</v>
      </c>
      <c r="E313" s="22" t="s">
        <v>91</v>
      </c>
      <c r="F313" s="30" t="s">
        <v>193</v>
      </c>
      <c r="G313" s="47" t="str">
        <f t="shared" si="13"/>
        <v>David</v>
      </c>
      <c r="H313" s="49" t="s">
        <v>183</v>
      </c>
      <c r="I313" s="49" t="s">
        <v>66</v>
      </c>
      <c r="J313" s="47" t="str">
        <f t="shared" si="17"/>
        <v>Não</v>
      </c>
      <c r="K313" s="54">
        <v>45364.0</v>
      </c>
      <c r="L313" s="62"/>
      <c r="M313" s="32" t="s">
        <v>34</v>
      </c>
      <c r="N313" s="56">
        <v>0.012</v>
      </c>
      <c r="O313" s="23" t="s">
        <v>35</v>
      </c>
      <c r="P313" s="57">
        <v>0.1</v>
      </c>
      <c r="Q313" s="58"/>
      <c r="R313" s="58" t="s">
        <v>4708</v>
      </c>
      <c r="S313" s="32" t="s">
        <v>194</v>
      </c>
      <c r="T313" s="22" t="s">
        <v>717</v>
      </c>
      <c r="U313" s="33">
        <v>5.543999873567E12</v>
      </c>
      <c r="V313" s="33" t="s">
        <v>4710</v>
      </c>
      <c r="W313" s="34">
        <v>25335.0</v>
      </c>
      <c r="X313" s="23" t="s">
        <v>221</v>
      </c>
      <c r="Y313" s="49" t="str">
        <f t="shared" si="14"/>
        <v>Ativo</v>
      </c>
      <c r="Z313" s="32"/>
      <c r="AA313" s="32" t="s">
        <v>47</v>
      </c>
      <c r="AB313" s="64" t="s">
        <v>269</v>
      </c>
      <c r="AC313" s="79"/>
      <c r="AD313" s="54">
        <v>45364.0</v>
      </c>
      <c r="AE313" s="77">
        <v>4.9075100013756E13</v>
      </c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65"/>
      <c r="AW313" s="65">
        <v>0.0</v>
      </c>
      <c r="AX313" s="65">
        <v>0.0</v>
      </c>
      <c r="AY313" s="65">
        <v>0.0</v>
      </c>
      <c r="AZ313" s="65">
        <v>0.0</v>
      </c>
      <c r="BA313" s="65">
        <v>164749.5</v>
      </c>
      <c r="BB313" s="65">
        <v>194549.52</v>
      </c>
      <c r="BC313" s="65">
        <v>195807.52</v>
      </c>
      <c r="BD313" s="65">
        <v>197571.78</v>
      </c>
      <c r="BE313" s="65">
        <v>199184.01</v>
      </c>
      <c r="BF313" s="65">
        <v>199592.91</v>
      </c>
      <c r="BG313" s="65">
        <v>201459.84</v>
      </c>
      <c r="BH313" s="65">
        <v>203026.27</v>
      </c>
      <c r="BI313" s="65">
        <v>205070.99</v>
      </c>
      <c r="BJ313" s="65">
        <v>204440.28</v>
      </c>
      <c r="BK313" s="65">
        <v>206504.54</v>
      </c>
      <c r="BL313" s="65">
        <v>208609.42</v>
      </c>
      <c r="BM313" s="65">
        <v>210935.7</v>
      </c>
      <c r="BN313" s="65">
        <v>212902.6</v>
      </c>
      <c r="BO313" s="65">
        <v>215584.21</v>
      </c>
      <c r="BP313" s="65">
        <v>218088.8</v>
      </c>
      <c r="BQ313" s="65">
        <v>219976.0</v>
      </c>
      <c r="BR313" s="65">
        <v>222254.8</v>
      </c>
      <c r="BS313" s="65">
        <v>224584.7</v>
      </c>
      <c r="BT313" s="88">
        <v>226956.4</v>
      </c>
      <c r="BU313" s="65">
        <v>229594.0</v>
      </c>
      <c r="BV313" s="65">
        <v>231472.9</v>
      </c>
      <c r="BW313" s="90">
        <v>232306.0</v>
      </c>
      <c r="BX313" s="90">
        <v>242826.09</v>
      </c>
      <c r="BY313" s="90">
        <f t="array" ref="BY313">XLOOKUP(C313,'PL TOTAL D0'!$A$3:$A$1991,'PL TOTAL D0'!$C$3:$C$1991,"")</f>
        <v>237630.53</v>
      </c>
    </row>
    <row r="314" ht="15.75" customHeight="1">
      <c r="A314" s="50" t="s">
        <v>24</v>
      </c>
      <c r="B314" s="188" t="s">
        <v>4716</v>
      </c>
      <c r="C314" s="94" t="s">
        <v>4717</v>
      </c>
      <c r="D314" s="81" t="s">
        <v>120</v>
      </c>
      <c r="E314" s="95" t="s">
        <v>199</v>
      </c>
      <c r="F314" s="81" t="s">
        <v>677</v>
      </c>
      <c r="G314" s="47" t="str">
        <f t="shared" si="13"/>
        <v>David</v>
      </c>
      <c r="H314" s="49" t="s">
        <v>224</v>
      </c>
      <c r="I314" s="49" t="s">
        <v>66</v>
      </c>
      <c r="J314" s="47" t="str">
        <f t="shared" si="17"/>
        <v>Não</v>
      </c>
      <c r="K314" s="54">
        <v>45414.0</v>
      </c>
      <c r="L314" s="186">
        <v>45799.0</v>
      </c>
      <c r="M314" s="32" t="s">
        <v>61</v>
      </c>
      <c r="N314" s="56">
        <v>0.01</v>
      </c>
      <c r="O314" s="23" t="s">
        <v>66</v>
      </c>
      <c r="P314" s="57">
        <v>0.0</v>
      </c>
      <c r="Q314" s="58"/>
      <c r="R314" s="70"/>
      <c r="S314" s="32" t="s">
        <v>194</v>
      </c>
      <c r="T314" s="22" t="s">
        <v>4720</v>
      </c>
      <c r="U314" s="33" t="s">
        <v>268</v>
      </c>
      <c r="V314" s="33"/>
      <c r="W314" s="33" t="s">
        <v>268</v>
      </c>
      <c r="X314" s="23" t="s">
        <v>199</v>
      </c>
      <c r="Y314" s="49" t="str">
        <f t="shared" si="14"/>
        <v>Encerrado</v>
      </c>
      <c r="Z314" s="32"/>
      <c r="AA314" s="32" t="s">
        <v>47</v>
      </c>
      <c r="AB314" s="64" t="s">
        <v>269</v>
      </c>
      <c r="AC314" s="79"/>
      <c r="AD314" s="54">
        <v>45414.0</v>
      </c>
      <c r="AE314" s="77">
        <v>4.9075100014507E13</v>
      </c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65"/>
      <c r="AW314" s="65"/>
      <c r="AX314" s="65"/>
      <c r="AY314" s="65">
        <v>214670.2</v>
      </c>
      <c r="AZ314" s="65">
        <v>207127.1</v>
      </c>
      <c r="BA314" s="65">
        <v>224577.3</v>
      </c>
      <c r="BB314" s="65">
        <v>216468.29</v>
      </c>
      <c r="BC314" s="65">
        <v>267147.7</v>
      </c>
      <c r="BD314" s="65">
        <v>338799.4</v>
      </c>
      <c r="BE314" s="65">
        <v>0.0</v>
      </c>
      <c r="BF314" s="65">
        <v>0.0</v>
      </c>
      <c r="BG314" s="65">
        <v>0.0</v>
      </c>
      <c r="BH314" s="65">
        <v>0.0</v>
      </c>
      <c r="BI314" s="65">
        <v>0.0</v>
      </c>
      <c r="BJ314" s="65">
        <v>0.0</v>
      </c>
      <c r="BK314" s="65">
        <v>0.0</v>
      </c>
      <c r="BL314" s="65">
        <v>0.0</v>
      </c>
      <c r="BM314" s="65">
        <v>0.0</v>
      </c>
      <c r="BN314" s="65">
        <v>0.0</v>
      </c>
      <c r="BO314" s="65">
        <v>0.0</v>
      </c>
      <c r="BP314" s="65">
        <v>0.0</v>
      </c>
      <c r="BQ314" s="65">
        <v>0.0</v>
      </c>
      <c r="BR314" s="65">
        <v>0.0</v>
      </c>
      <c r="BS314" s="65">
        <v>0.0</v>
      </c>
      <c r="BT314" s="88">
        <v>0.0</v>
      </c>
      <c r="BU314" s="65">
        <v>0.0</v>
      </c>
      <c r="BV314" s="65">
        <v>0.0</v>
      </c>
      <c r="BW314" s="90">
        <v>0.0</v>
      </c>
      <c r="BX314" s="90">
        <v>0.0</v>
      </c>
      <c r="BY314" s="90" t="str">
        <f t="array" ref="BY314">XLOOKUP(C314,'PL TOTAL D0'!$A$3:$A$1991,'PL TOTAL D0'!$C$3:$C$1991,"")</f>
        <v/>
      </c>
    </row>
    <row r="315" ht="15.75" customHeight="1">
      <c r="A315" s="50" t="s">
        <v>24</v>
      </c>
      <c r="B315" s="188" t="s">
        <v>4726</v>
      </c>
      <c r="C315" s="94" t="s">
        <v>2769</v>
      </c>
      <c r="D315" s="81" t="s">
        <v>120</v>
      </c>
      <c r="E315" s="95" t="s">
        <v>199</v>
      </c>
      <c r="F315" s="81" t="s">
        <v>290</v>
      </c>
      <c r="G315" s="47" t="str">
        <f t="shared" si="13"/>
        <v>Gabriel</v>
      </c>
      <c r="H315" s="49" t="s">
        <v>183</v>
      </c>
      <c r="I315" s="49" t="s">
        <v>66</v>
      </c>
      <c r="J315" s="47" t="str">
        <f t="shared" si="17"/>
        <v>Não</v>
      </c>
      <c r="K315" s="54">
        <v>46051.0</v>
      </c>
      <c r="L315" s="186"/>
      <c r="M315" s="32" t="s">
        <v>61</v>
      </c>
      <c r="N315" s="56">
        <v>0.012</v>
      </c>
      <c r="O315" s="23" t="s">
        <v>66</v>
      </c>
      <c r="P315" s="57">
        <v>0.0</v>
      </c>
      <c r="Q315" s="58"/>
      <c r="R315" s="70"/>
      <c r="S315" s="32" t="s">
        <v>194</v>
      </c>
      <c r="T315" s="22" t="s">
        <v>4733</v>
      </c>
      <c r="U315" s="33" t="s">
        <v>4734</v>
      </c>
      <c r="V315" s="33" t="s">
        <v>4735</v>
      </c>
      <c r="W315" s="33">
        <v>28924.0</v>
      </c>
      <c r="X315" s="23" t="s">
        <v>199</v>
      </c>
      <c r="Y315" s="49" t="str">
        <f t="shared" si="14"/>
        <v>Ativo</v>
      </c>
      <c r="Z315" s="32"/>
      <c r="AA315" s="32" t="s">
        <v>47</v>
      </c>
      <c r="AB315" s="64"/>
      <c r="AC315" s="79"/>
      <c r="AD315" s="54">
        <v>46203.0</v>
      </c>
      <c r="AE315" s="77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5"/>
      <c r="BQ315" s="65"/>
      <c r="BR315" s="65"/>
      <c r="BS315" s="65">
        <v>703651.8642</v>
      </c>
      <c r="BT315" s="88">
        <v>711674.0</v>
      </c>
      <c r="BU315" s="65">
        <v>720829.9</v>
      </c>
      <c r="BV315" s="65">
        <v>727780.3</v>
      </c>
      <c r="BW315" s="90">
        <v>736028.7</v>
      </c>
      <c r="BX315" s="90">
        <v>742865.43</v>
      </c>
      <c r="BY315" s="90">
        <f t="array" ref="BY315">XLOOKUP(C315,'PL TOTAL D0'!$A$3:$A$1991,'PL TOTAL D0'!$C$3:$C$1991,"")</f>
        <v>755193.13</v>
      </c>
    </row>
    <row r="316" ht="15.75" customHeight="1">
      <c r="A316" s="50" t="s">
        <v>24</v>
      </c>
      <c r="B316" s="188" t="s">
        <v>4726</v>
      </c>
      <c r="C316" s="94" t="s">
        <v>3561</v>
      </c>
      <c r="D316" s="81" t="s">
        <v>120</v>
      </c>
      <c r="E316" s="95" t="s">
        <v>199</v>
      </c>
      <c r="F316" s="81" t="s">
        <v>290</v>
      </c>
      <c r="G316" s="47" t="str">
        <f t="shared" si="13"/>
        <v>David</v>
      </c>
      <c r="H316" s="49" t="s">
        <v>183</v>
      </c>
      <c r="I316" s="49"/>
      <c r="J316" s="47" t="str">
        <f t="shared" si="17"/>
        <v>Não</v>
      </c>
      <c r="K316" s="54">
        <v>46051.0</v>
      </c>
      <c r="L316" s="186"/>
      <c r="M316" s="32" t="s">
        <v>61</v>
      </c>
      <c r="N316" s="56">
        <v>0.012</v>
      </c>
      <c r="O316" s="23" t="s">
        <v>66</v>
      </c>
      <c r="P316" s="57">
        <v>0.0</v>
      </c>
      <c r="Q316" s="58"/>
      <c r="R316" s="70"/>
      <c r="S316" s="32" t="s">
        <v>194</v>
      </c>
      <c r="T316" s="22" t="s">
        <v>4733</v>
      </c>
      <c r="U316" s="33" t="s">
        <v>4734</v>
      </c>
      <c r="V316" s="33" t="s">
        <v>4735</v>
      </c>
      <c r="W316" s="33">
        <v>28924.0</v>
      </c>
      <c r="X316" s="23" t="s">
        <v>199</v>
      </c>
      <c r="Y316" s="49" t="str">
        <f t="shared" si="14"/>
        <v>Ativo</v>
      </c>
      <c r="Z316" s="32"/>
      <c r="AA316" s="32" t="s">
        <v>47</v>
      </c>
      <c r="AB316" s="64"/>
      <c r="AC316" s="79"/>
      <c r="AD316" s="54">
        <v>46203.0</v>
      </c>
      <c r="AE316" s="77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5"/>
      <c r="BQ316" s="65"/>
      <c r="BR316" s="65"/>
      <c r="BS316" s="65">
        <v>8052.32</v>
      </c>
      <c r="BT316" s="88">
        <v>8152.76</v>
      </c>
      <c r="BU316" s="65">
        <v>7973.89</v>
      </c>
      <c r="BV316" s="65">
        <v>8092.59</v>
      </c>
      <c r="BW316" s="90">
        <v>8068.14</v>
      </c>
      <c r="BX316" s="90">
        <v>8005.53</v>
      </c>
      <c r="BY316" s="90">
        <f t="array" ref="BY316">XLOOKUP(C316,'PL TOTAL D0'!$A$3:$A$1991,'PL TOTAL D0'!$C$3:$C$1991,"")</f>
        <v>8038.31</v>
      </c>
    </row>
    <row r="317" ht="15.75" customHeight="1">
      <c r="A317" s="50" t="s">
        <v>24</v>
      </c>
      <c r="B317" s="50" t="s">
        <v>2055</v>
      </c>
      <c r="C317" s="94" t="s">
        <v>2692</v>
      </c>
      <c r="D317" s="81" t="s">
        <v>120</v>
      </c>
      <c r="E317" s="95" t="s">
        <v>199</v>
      </c>
      <c r="F317" s="81" t="s">
        <v>290</v>
      </c>
      <c r="G317" s="47" t="str">
        <f t="shared" si="13"/>
        <v>Gabriel</v>
      </c>
      <c r="H317" s="49" t="s">
        <v>183</v>
      </c>
      <c r="I317" s="49" t="s">
        <v>66</v>
      </c>
      <c r="J317" s="47" t="str">
        <f t="shared" si="17"/>
        <v>Não</v>
      </c>
      <c r="K317" s="97">
        <v>45076.0</v>
      </c>
      <c r="L317" s="62"/>
      <c r="M317" s="62" t="s">
        <v>209</v>
      </c>
      <c r="N317" s="56">
        <v>0.01</v>
      </c>
      <c r="O317" s="47" t="s">
        <v>66</v>
      </c>
      <c r="P317" s="99">
        <v>0.0</v>
      </c>
      <c r="Q317" s="58"/>
      <c r="R317" s="635"/>
      <c r="S317" s="62" t="s">
        <v>194</v>
      </c>
      <c r="T317" s="32" t="s">
        <v>2058</v>
      </c>
      <c r="U317" s="33">
        <v>6.1998196849E10</v>
      </c>
      <c r="V317" s="33" t="s">
        <v>4751</v>
      </c>
      <c r="W317" s="34">
        <v>34958.0</v>
      </c>
      <c r="X317" s="23" t="s">
        <v>199</v>
      </c>
      <c r="Y317" s="49" t="str">
        <f t="shared" si="14"/>
        <v>Ativo</v>
      </c>
      <c r="Z317" s="62"/>
      <c r="AA317" s="32" t="s">
        <v>47</v>
      </c>
      <c r="AB317" s="64" t="s">
        <v>269</v>
      </c>
      <c r="AC317" s="79"/>
      <c r="AD317" s="54">
        <v>45076.0</v>
      </c>
      <c r="AE317" s="77">
        <v>4.9075100009058E13</v>
      </c>
      <c r="AF317" s="79"/>
      <c r="AG317" s="79"/>
      <c r="AH317" s="79"/>
      <c r="AI317" s="79"/>
      <c r="AJ317" s="79"/>
      <c r="AK317" s="79"/>
      <c r="AL317" s="65">
        <v>0.0</v>
      </c>
      <c r="AM317" s="65">
        <v>135591.54</v>
      </c>
      <c r="AN317" s="65">
        <v>143938.86</v>
      </c>
      <c r="AO317" s="65">
        <v>148311.97</v>
      </c>
      <c r="AP317" s="65">
        <v>148733.47</v>
      </c>
      <c r="AQ317" s="65">
        <v>156355.11</v>
      </c>
      <c r="AR317" s="65">
        <v>158528.26</v>
      </c>
      <c r="AS317" s="65">
        <v>164155.8</v>
      </c>
      <c r="AT317" s="65">
        <v>169284.31</v>
      </c>
      <c r="AU317" s="65">
        <v>183071.83</v>
      </c>
      <c r="AV317" s="65">
        <v>186923.97</v>
      </c>
      <c r="AW317" s="65">
        <v>203035.19</v>
      </c>
      <c r="AX317" s="65">
        <v>204250.35</v>
      </c>
      <c r="AY317" s="65">
        <v>215428.5</v>
      </c>
      <c r="AZ317" s="65">
        <v>231138.3</v>
      </c>
      <c r="BA317" s="65">
        <v>246666.6</v>
      </c>
      <c r="BB317" s="65">
        <v>260324.1</v>
      </c>
      <c r="BC317" s="65">
        <v>261319.63</v>
      </c>
      <c r="BD317" s="65">
        <v>261422.66</v>
      </c>
      <c r="BE317" s="65">
        <v>262841.42</v>
      </c>
      <c r="BF317" s="65">
        <v>262684.64</v>
      </c>
      <c r="BG317" s="65">
        <v>268570.01</v>
      </c>
      <c r="BH317" s="65">
        <v>273218.23</v>
      </c>
      <c r="BI317" s="65">
        <v>278130.38</v>
      </c>
      <c r="BJ317" s="65">
        <v>305794.72</v>
      </c>
      <c r="BK317" s="65">
        <v>367582.07</v>
      </c>
      <c r="BL317" s="65">
        <v>342046.75</v>
      </c>
      <c r="BM317" s="65">
        <v>360117.02</v>
      </c>
      <c r="BN317" s="65">
        <v>363611.3</v>
      </c>
      <c r="BO317" s="65">
        <v>419181.38</v>
      </c>
      <c r="BP317" s="65">
        <v>525215.7</v>
      </c>
      <c r="BQ317" s="65">
        <v>635204.1</v>
      </c>
      <c r="BR317" s="65">
        <v>672208.2</v>
      </c>
      <c r="BS317" s="65">
        <v>768837.06</v>
      </c>
      <c r="BT317" s="88">
        <v>827725.2</v>
      </c>
      <c r="BU317" s="65">
        <v>838519.2</v>
      </c>
      <c r="BV317" s="65">
        <v>900260.4</v>
      </c>
      <c r="BW317" s="90">
        <v>986860.9</v>
      </c>
      <c r="BX317" s="90">
        <v>1069028.82</v>
      </c>
      <c r="BY317" s="90">
        <f t="array" ref="BY317">XLOOKUP(C317,'PL TOTAL D0'!$A$3:$A$1991,'PL TOTAL D0'!$C$3:$C$1991,"")</f>
        <v>1103560.54</v>
      </c>
    </row>
    <row r="318" ht="15.75" customHeight="1">
      <c r="A318" s="50" t="s">
        <v>24</v>
      </c>
      <c r="B318" s="50" t="s">
        <v>2055</v>
      </c>
      <c r="C318" s="94" t="s">
        <v>3258</v>
      </c>
      <c r="D318" s="81" t="s">
        <v>120</v>
      </c>
      <c r="E318" s="95" t="s">
        <v>199</v>
      </c>
      <c r="F318" s="81" t="s">
        <v>290</v>
      </c>
      <c r="G318" s="47" t="str">
        <f t="shared" si="13"/>
        <v>David</v>
      </c>
      <c r="H318" s="49" t="s">
        <v>295</v>
      </c>
      <c r="I318" s="49" t="s">
        <v>447</v>
      </c>
      <c r="J318" s="47" t="str">
        <f t="shared" si="17"/>
        <v>Não</v>
      </c>
      <c r="K318" s="54">
        <v>45798.0</v>
      </c>
      <c r="L318" s="62"/>
      <c r="M318" s="32" t="s">
        <v>201</v>
      </c>
      <c r="N318" s="56">
        <v>0.0</v>
      </c>
      <c r="O318" s="23" t="s">
        <v>66</v>
      </c>
      <c r="P318" s="57">
        <v>0.0</v>
      </c>
      <c r="Q318" s="58"/>
      <c r="R318" s="635"/>
      <c r="S318" s="32" t="s">
        <v>194</v>
      </c>
      <c r="T318" s="32" t="s">
        <v>2058</v>
      </c>
      <c r="U318" s="33">
        <v>6.1998196849E10</v>
      </c>
      <c r="V318" s="33" t="s">
        <v>4751</v>
      </c>
      <c r="W318" s="34">
        <v>34958.0</v>
      </c>
      <c r="X318" s="23" t="s">
        <v>199</v>
      </c>
      <c r="Y318" s="49" t="str">
        <f t="shared" si="14"/>
        <v>Ativo</v>
      </c>
      <c r="Z318" s="62"/>
      <c r="AA318" s="32" t="s">
        <v>47</v>
      </c>
      <c r="AB318" s="64"/>
      <c r="AC318" s="79"/>
      <c r="AD318" s="54">
        <v>45825.0</v>
      </c>
      <c r="AE318" s="77">
        <v>4.9075100019177E13</v>
      </c>
      <c r="AF318" s="79"/>
      <c r="AG318" s="79"/>
      <c r="AH318" s="79"/>
      <c r="AI318" s="79"/>
      <c r="AJ318" s="79"/>
      <c r="AK318" s="79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/>
      <c r="BF318" s="65"/>
      <c r="BG318" s="65"/>
      <c r="BH318" s="65"/>
      <c r="BI318" s="65"/>
      <c r="BJ318" s="65"/>
      <c r="BK318" s="65">
        <v>0.0</v>
      </c>
      <c r="BL318" s="65">
        <v>44242.89</v>
      </c>
      <c r="BM318" s="65">
        <v>44732.71</v>
      </c>
      <c r="BN318" s="65">
        <v>45145.69</v>
      </c>
      <c r="BO318" s="65">
        <v>45277.26</v>
      </c>
      <c r="BP318" s="65">
        <v>45715.02</v>
      </c>
      <c r="BQ318" s="65">
        <v>46093.23</v>
      </c>
      <c r="BR318" s="65">
        <v>46578.7</v>
      </c>
      <c r="BS318" s="65">
        <v>124002.68</v>
      </c>
      <c r="BT318" s="88">
        <v>125223.6</v>
      </c>
      <c r="BU318" s="65">
        <v>126753.0</v>
      </c>
      <c r="BV318" s="65">
        <v>128187.7</v>
      </c>
      <c r="BW318" s="90">
        <v>128137.3</v>
      </c>
      <c r="BX318" s="90">
        <v>129581.78</v>
      </c>
      <c r="BY318" s="90">
        <f t="array" ref="BY318">XLOOKUP(C318,'PL TOTAL D0'!$A$3:$A$1991,'PL TOTAL D0'!$C$3:$C$1991,"")</f>
        <v>131299.94</v>
      </c>
    </row>
    <row r="319" ht="15.75" customHeight="1">
      <c r="A319" s="50" t="s">
        <v>24</v>
      </c>
      <c r="B319" s="50" t="s">
        <v>4438</v>
      </c>
      <c r="C319" s="94" t="s">
        <v>4768</v>
      </c>
      <c r="D319" s="30" t="s">
        <v>89</v>
      </c>
      <c r="E319" s="95" t="s">
        <v>91</v>
      </c>
      <c r="F319" s="81" t="s">
        <v>521</v>
      </c>
      <c r="G319" s="47" t="str">
        <f t="shared" si="13"/>
        <v>David</v>
      </c>
      <c r="H319" s="74" t="s">
        <v>224</v>
      </c>
      <c r="I319" s="74" t="s">
        <v>66</v>
      </c>
      <c r="J319" s="47" t="str">
        <f t="shared" si="17"/>
        <v>Não</v>
      </c>
      <c r="K319" s="97">
        <v>45056.0</v>
      </c>
      <c r="L319" s="189">
        <v>45061.0</v>
      </c>
      <c r="M319" s="62" t="s">
        <v>4465</v>
      </c>
      <c r="N319" s="98">
        <v>0.02</v>
      </c>
      <c r="O319" s="23" t="s">
        <v>233</v>
      </c>
      <c r="P319" s="99">
        <v>0.2</v>
      </c>
      <c r="Q319" s="58"/>
      <c r="R319" s="70"/>
      <c r="S319" s="62" t="s">
        <v>194</v>
      </c>
      <c r="T319" s="32" t="s">
        <v>4445</v>
      </c>
      <c r="U319" s="33" t="s">
        <v>268</v>
      </c>
      <c r="V319" s="33"/>
      <c r="W319" s="33" t="s">
        <v>268</v>
      </c>
      <c r="X319" s="23" t="s">
        <v>221</v>
      </c>
      <c r="Y319" s="49" t="str">
        <f t="shared" si="14"/>
        <v>Encerrado</v>
      </c>
      <c r="Z319" s="62"/>
      <c r="AA319" s="62"/>
      <c r="AB319" s="64"/>
      <c r="AC319" s="79"/>
      <c r="AD319" s="54">
        <v>45056.0</v>
      </c>
      <c r="AE319" s="77"/>
      <c r="AF319" s="79"/>
      <c r="AG319" s="79"/>
      <c r="AH319" s="79"/>
      <c r="AI319" s="79"/>
      <c r="AJ319" s="79"/>
      <c r="AK319" s="65">
        <v>0.0</v>
      </c>
      <c r="AL319" s="65">
        <v>0.0</v>
      </c>
      <c r="AM319" s="65">
        <v>0.0</v>
      </c>
      <c r="AN319" s="65">
        <v>0.0</v>
      </c>
      <c r="AO319" s="65">
        <v>0.0</v>
      </c>
      <c r="AP319" s="65">
        <v>0.0</v>
      </c>
      <c r="AQ319" s="65">
        <v>0.0</v>
      </c>
      <c r="AR319" s="65">
        <v>0.0</v>
      </c>
      <c r="AS319" s="65">
        <v>0.0</v>
      </c>
      <c r="AT319" s="65">
        <v>0.0</v>
      </c>
      <c r="AU319" s="65">
        <v>0.0</v>
      </c>
      <c r="AV319" s="65">
        <v>0.0</v>
      </c>
      <c r="AW319" s="65">
        <v>0.0</v>
      </c>
      <c r="AX319" s="65">
        <v>0.0</v>
      </c>
      <c r="AY319" s="65">
        <v>0.0</v>
      </c>
      <c r="AZ319" s="65">
        <v>0.0</v>
      </c>
      <c r="BA319" s="65">
        <v>0.0</v>
      </c>
      <c r="BB319" s="65">
        <v>0.0</v>
      </c>
      <c r="BC319" s="65">
        <v>0.0</v>
      </c>
      <c r="BD319" s="65">
        <v>0.0</v>
      </c>
      <c r="BE319" s="65">
        <v>0.0</v>
      </c>
      <c r="BF319" s="65">
        <v>0.0</v>
      </c>
      <c r="BG319" s="65">
        <v>0.0</v>
      </c>
      <c r="BH319" s="65">
        <v>0.0</v>
      </c>
      <c r="BI319" s="65">
        <v>0.0</v>
      </c>
      <c r="BJ319" s="65">
        <v>0.0</v>
      </c>
      <c r="BK319" s="65">
        <v>0.0</v>
      </c>
      <c r="BL319" s="65">
        <v>0.0</v>
      </c>
      <c r="BM319" s="65">
        <v>0.0</v>
      </c>
      <c r="BN319" s="65">
        <v>0.0</v>
      </c>
      <c r="BO319" s="65">
        <v>0.0</v>
      </c>
      <c r="BP319" s="65">
        <v>0.0</v>
      </c>
      <c r="BQ319" s="65">
        <v>0.0</v>
      </c>
      <c r="BR319" s="65">
        <v>0.0</v>
      </c>
      <c r="BS319" s="65">
        <v>0.0</v>
      </c>
      <c r="BT319" s="88">
        <v>0.0</v>
      </c>
      <c r="BU319" s="65">
        <v>0.0</v>
      </c>
      <c r="BV319" s="65">
        <v>0.0</v>
      </c>
      <c r="BW319" s="90">
        <v>0.0</v>
      </c>
      <c r="BX319" s="90">
        <v>0.0</v>
      </c>
      <c r="BY319" s="90" t="str">
        <f t="array" ref="BY319">XLOOKUP(C319,'PL TOTAL D0'!$A$3:$A$1991,'PL TOTAL D0'!$C$3:$C$1991,"")</f>
        <v/>
      </c>
    </row>
    <row r="320" ht="15.75" customHeight="1">
      <c r="A320" s="50" t="s">
        <v>24</v>
      </c>
      <c r="B320" s="176" t="s">
        <v>4438</v>
      </c>
      <c r="C320" s="94" t="s">
        <v>4781</v>
      </c>
      <c r="D320" s="30" t="s">
        <v>89</v>
      </c>
      <c r="E320" s="95" t="s">
        <v>91</v>
      </c>
      <c r="F320" s="81" t="s">
        <v>521</v>
      </c>
      <c r="G320" s="47" t="str">
        <f t="shared" si="13"/>
        <v>David</v>
      </c>
      <c r="H320" s="74" t="s">
        <v>224</v>
      </c>
      <c r="I320" s="74" t="s">
        <v>66</v>
      </c>
      <c r="J320" s="47" t="str">
        <f t="shared" si="17"/>
        <v>Não</v>
      </c>
      <c r="K320" s="97">
        <v>45056.0</v>
      </c>
      <c r="L320" s="189">
        <v>45061.0</v>
      </c>
      <c r="M320" s="62" t="s">
        <v>61</v>
      </c>
      <c r="N320" s="98">
        <v>0.012</v>
      </c>
      <c r="O320" s="47" t="s">
        <v>66</v>
      </c>
      <c r="P320" s="99">
        <v>0.0</v>
      </c>
      <c r="Q320" s="58"/>
      <c r="R320" s="70"/>
      <c r="S320" s="62" t="s">
        <v>194</v>
      </c>
      <c r="T320" s="32" t="s">
        <v>4445</v>
      </c>
      <c r="U320" s="33" t="s">
        <v>268</v>
      </c>
      <c r="V320" s="33"/>
      <c r="W320" s="33" t="s">
        <v>268</v>
      </c>
      <c r="X320" s="23" t="s">
        <v>221</v>
      </c>
      <c r="Y320" s="49" t="str">
        <f t="shared" si="14"/>
        <v>Encerrado</v>
      </c>
      <c r="Z320" s="62"/>
      <c r="AA320" s="62"/>
      <c r="AB320" s="64"/>
      <c r="AC320" s="79"/>
      <c r="AD320" s="54">
        <v>45056.0</v>
      </c>
      <c r="AE320" s="77"/>
      <c r="AF320" s="79"/>
      <c r="AG320" s="79"/>
      <c r="AH320" s="79"/>
      <c r="AI320" s="79"/>
      <c r="AJ320" s="79"/>
      <c r="AK320" s="65">
        <v>0.0</v>
      </c>
      <c r="AL320" s="65">
        <v>0.0</v>
      </c>
      <c r="AM320" s="65">
        <v>0.0</v>
      </c>
      <c r="AN320" s="65">
        <v>0.0</v>
      </c>
      <c r="AO320" s="65">
        <v>0.0</v>
      </c>
      <c r="AP320" s="65">
        <v>0.0</v>
      </c>
      <c r="AQ320" s="65">
        <v>0.0</v>
      </c>
      <c r="AR320" s="65">
        <v>0.0</v>
      </c>
      <c r="AS320" s="65">
        <v>0.0</v>
      </c>
      <c r="AT320" s="65">
        <v>0.0</v>
      </c>
      <c r="AU320" s="65">
        <v>0.0</v>
      </c>
      <c r="AV320" s="65">
        <v>0.0</v>
      </c>
      <c r="AW320" s="65">
        <v>0.0</v>
      </c>
      <c r="AX320" s="65">
        <v>0.0</v>
      </c>
      <c r="AY320" s="65">
        <v>0.0</v>
      </c>
      <c r="AZ320" s="65">
        <v>0.0</v>
      </c>
      <c r="BA320" s="65">
        <v>0.0</v>
      </c>
      <c r="BB320" s="65">
        <v>0.0</v>
      </c>
      <c r="BC320" s="65">
        <v>0.0</v>
      </c>
      <c r="BD320" s="65">
        <v>0.0</v>
      </c>
      <c r="BE320" s="65">
        <v>0.0</v>
      </c>
      <c r="BF320" s="65">
        <v>0.0</v>
      </c>
      <c r="BG320" s="65">
        <v>0.0</v>
      </c>
      <c r="BH320" s="65">
        <v>0.0</v>
      </c>
      <c r="BI320" s="65">
        <v>0.0</v>
      </c>
      <c r="BJ320" s="65">
        <v>0.0</v>
      </c>
      <c r="BK320" s="65">
        <v>0.0</v>
      </c>
      <c r="BL320" s="65">
        <v>0.0</v>
      </c>
      <c r="BM320" s="65">
        <v>0.0</v>
      </c>
      <c r="BN320" s="65">
        <v>0.0</v>
      </c>
      <c r="BO320" s="65">
        <v>0.0</v>
      </c>
      <c r="BP320" s="65">
        <v>0.0</v>
      </c>
      <c r="BQ320" s="65">
        <v>0.0</v>
      </c>
      <c r="BR320" s="65">
        <v>0.0</v>
      </c>
      <c r="BS320" s="65">
        <v>0.0</v>
      </c>
      <c r="BT320" s="88">
        <v>0.0</v>
      </c>
      <c r="BU320" s="65">
        <v>0.0</v>
      </c>
      <c r="BV320" s="65">
        <v>0.0</v>
      </c>
      <c r="BW320" s="90">
        <v>0.0</v>
      </c>
      <c r="BX320" s="90">
        <v>0.0</v>
      </c>
      <c r="BY320" s="90" t="str">
        <f t="array" ref="BY320">XLOOKUP(C320,'PL TOTAL D0'!$A$3:$A$1991,'PL TOTAL D0'!$C$3:$C$1991,"")</f>
        <v/>
      </c>
    </row>
    <row r="321" ht="15.75" customHeight="1">
      <c r="A321" s="50" t="s">
        <v>24</v>
      </c>
      <c r="B321" s="39" t="s">
        <v>4795</v>
      </c>
      <c r="C321" s="94" t="s">
        <v>4796</v>
      </c>
      <c r="D321" s="30" t="s">
        <v>120</v>
      </c>
      <c r="E321" s="22" t="s">
        <v>54</v>
      </c>
      <c r="F321" s="30" t="s">
        <v>348</v>
      </c>
      <c r="G321" s="47" t="str">
        <f t="shared" si="13"/>
        <v>David</v>
      </c>
      <c r="H321" s="49" t="s">
        <v>224</v>
      </c>
      <c r="I321" s="49" t="s">
        <v>66</v>
      </c>
      <c r="J321" s="47" t="str">
        <f t="shared" si="17"/>
        <v>Não</v>
      </c>
      <c r="K321" s="54">
        <v>45642.0</v>
      </c>
      <c r="L321" s="186">
        <v>45873.0</v>
      </c>
      <c r="M321" s="32" t="s">
        <v>61</v>
      </c>
      <c r="N321" s="56">
        <v>0.012</v>
      </c>
      <c r="O321" s="23" t="s">
        <v>66</v>
      </c>
      <c r="P321" s="57">
        <v>0.0</v>
      </c>
      <c r="Q321" s="58"/>
      <c r="R321" s="58" t="s">
        <v>351</v>
      </c>
      <c r="S321" s="32" t="s">
        <v>194</v>
      </c>
      <c r="T321" s="32" t="s">
        <v>4799</v>
      </c>
      <c r="U321" s="33" t="s">
        <v>268</v>
      </c>
      <c r="V321" s="33"/>
      <c r="W321" s="33" t="s">
        <v>268</v>
      </c>
      <c r="X321" s="23" t="s">
        <v>54</v>
      </c>
      <c r="Y321" s="49" t="str">
        <f t="shared" si="14"/>
        <v>Encerrado</v>
      </c>
      <c r="Z321" s="62"/>
      <c r="AA321" s="32" t="s">
        <v>107</v>
      </c>
      <c r="AB321" s="64"/>
      <c r="AC321" s="79"/>
      <c r="AD321" s="54">
        <v>45642.0</v>
      </c>
      <c r="AE321" s="77">
        <v>4.9075100017761E13</v>
      </c>
      <c r="AF321" s="79"/>
      <c r="AG321" s="79"/>
      <c r="AH321" s="79"/>
      <c r="AI321" s="79"/>
      <c r="AJ321" s="79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  <c r="BE321" s="65"/>
      <c r="BF321" s="65">
        <v>0.0</v>
      </c>
      <c r="BG321" s="65">
        <v>449608.88</v>
      </c>
      <c r="BH321" s="65">
        <v>438567.41</v>
      </c>
      <c r="BI321" s="65">
        <v>426535.07</v>
      </c>
      <c r="BJ321" s="65">
        <v>410759.77</v>
      </c>
      <c r="BK321" s="65">
        <v>394301.85</v>
      </c>
      <c r="BL321" s="65">
        <v>387433.13</v>
      </c>
      <c r="BM321" s="65">
        <v>0.0</v>
      </c>
      <c r="BN321" s="65">
        <v>0.0</v>
      </c>
      <c r="BO321" s="65">
        <v>0.0</v>
      </c>
      <c r="BP321" s="65">
        <v>0.0</v>
      </c>
      <c r="BQ321" s="65">
        <v>0.0</v>
      </c>
      <c r="BR321" s="65">
        <v>0.0</v>
      </c>
      <c r="BS321" s="65">
        <v>0.0</v>
      </c>
      <c r="BT321" s="88">
        <v>0.0</v>
      </c>
      <c r="BU321" s="65">
        <v>0.0</v>
      </c>
      <c r="BV321" s="65">
        <v>0.0</v>
      </c>
      <c r="BW321" s="90">
        <v>0.0</v>
      </c>
      <c r="BX321" s="90">
        <v>0.0</v>
      </c>
      <c r="BY321" s="90" t="str">
        <f t="array" ref="BY321">XLOOKUP(C321,'PL TOTAL D0'!$A$3:$A$1991,'PL TOTAL D0'!$C$3:$C$1991,"")</f>
        <v/>
      </c>
    </row>
    <row r="322" ht="15.75" customHeight="1">
      <c r="A322" s="50" t="s">
        <v>24</v>
      </c>
      <c r="B322" s="39" t="s">
        <v>4808</v>
      </c>
      <c r="C322" s="94" t="s">
        <v>3165</v>
      </c>
      <c r="D322" s="30" t="s">
        <v>120</v>
      </c>
      <c r="E322" s="22" t="s">
        <v>199</v>
      </c>
      <c r="F322" s="30" t="s">
        <v>431</v>
      </c>
      <c r="G322" s="47" t="str">
        <f t="shared" si="13"/>
        <v>David</v>
      </c>
      <c r="H322" s="49" t="s">
        <v>295</v>
      </c>
      <c r="I322" s="49" t="s">
        <v>447</v>
      </c>
      <c r="J322" s="47" t="str">
        <f t="shared" si="17"/>
        <v>Sim</v>
      </c>
      <c r="K322" s="54">
        <v>45938.0</v>
      </c>
      <c r="L322" s="186"/>
      <c r="M322" s="32" t="s">
        <v>201</v>
      </c>
      <c r="N322" s="56">
        <v>0.003</v>
      </c>
      <c r="O322" s="23" t="s">
        <v>66</v>
      </c>
      <c r="P322" s="57">
        <v>0.0</v>
      </c>
      <c r="Q322" s="58" t="s">
        <v>4811</v>
      </c>
      <c r="R322" s="58"/>
      <c r="S322" s="32" t="s">
        <v>194</v>
      </c>
      <c r="T322" s="32" t="s">
        <v>4812</v>
      </c>
      <c r="U322" s="33" t="s">
        <v>4813</v>
      </c>
      <c r="V322" s="33" t="s">
        <v>4814</v>
      </c>
      <c r="W322" s="33">
        <v>30411.0</v>
      </c>
      <c r="X322" s="23" t="s">
        <v>618</v>
      </c>
      <c r="Y322" s="49" t="str">
        <f t="shared" si="14"/>
        <v>Ativo</v>
      </c>
      <c r="Z322" s="62"/>
      <c r="AA322" s="32" t="s">
        <v>47</v>
      </c>
      <c r="AB322" s="64"/>
      <c r="AC322" s="79"/>
      <c r="AD322" s="54"/>
      <c r="AE322" s="77"/>
      <c r="AF322" s="79"/>
      <c r="AG322" s="79"/>
      <c r="AH322" s="79"/>
      <c r="AI322" s="79"/>
      <c r="AJ322" s="79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65"/>
      <c r="BH322" s="65"/>
      <c r="BI322" s="65"/>
      <c r="BJ322" s="65"/>
      <c r="BK322" s="65"/>
      <c r="BL322" s="65"/>
      <c r="BM322" s="65"/>
      <c r="BN322" s="65"/>
      <c r="BO322" s="65">
        <v>0.0</v>
      </c>
      <c r="BP322" s="65">
        <v>0.0</v>
      </c>
      <c r="BQ322" s="65">
        <v>0.0</v>
      </c>
      <c r="BR322" s="65">
        <v>0.0</v>
      </c>
      <c r="BS322" s="65">
        <v>0.0</v>
      </c>
      <c r="BT322" s="88">
        <v>0.0</v>
      </c>
      <c r="BU322" s="65">
        <v>0.0</v>
      </c>
      <c r="BV322" s="65">
        <v>0.0</v>
      </c>
      <c r="BW322" s="90">
        <v>135745.0</v>
      </c>
      <c r="BX322" s="90">
        <v>196430.35</v>
      </c>
      <c r="BY322" s="90">
        <f t="array" ref="BY322">XLOOKUP(C322,'PL TOTAL D0'!$A$3:$A$1991,'PL TOTAL D0'!$C$3:$C$1991,"")</f>
        <v>193947.89</v>
      </c>
    </row>
    <row r="323" ht="15.75" customHeight="1">
      <c r="A323" s="50" t="s">
        <v>24</v>
      </c>
      <c r="B323" s="50" t="s">
        <v>4822</v>
      </c>
      <c r="C323" s="94" t="s">
        <v>4823</v>
      </c>
      <c r="D323" s="81" t="s">
        <v>120</v>
      </c>
      <c r="E323" s="95" t="s">
        <v>54</v>
      </c>
      <c r="F323" s="81" t="s">
        <v>348</v>
      </c>
      <c r="G323" s="47" t="str">
        <f t="shared" si="13"/>
        <v>David</v>
      </c>
      <c r="H323" s="49" t="s">
        <v>224</v>
      </c>
      <c r="I323" s="49" t="s">
        <v>66</v>
      </c>
      <c r="J323" s="47" t="str">
        <f t="shared" si="17"/>
        <v>Não</v>
      </c>
      <c r="K323" s="97">
        <v>45026.0</v>
      </c>
      <c r="L323" s="186">
        <v>45847.0</v>
      </c>
      <c r="M323" s="62" t="s">
        <v>4824</v>
      </c>
      <c r="N323" s="98">
        <v>0.007</v>
      </c>
      <c r="O323" s="47" t="s">
        <v>66</v>
      </c>
      <c r="P323" s="99">
        <v>0.0</v>
      </c>
      <c r="Q323" s="58"/>
      <c r="R323" s="58"/>
      <c r="S323" s="62" t="s">
        <v>194</v>
      </c>
      <c r="T323" s="32" t="s">
        <v>4826</v>
      </c>
      <c r="U323" s="33" t="s">
        <v>268</v>
      </c>
      <c r="V323" s="33"/>
      <c r="W323" s="33" t="s">
        <v>268</v>
      </c>
      <c r="X323" s="23" t="s">
        <v>54</v>
      </c>
      <c r="Y323" s="49" t="str">
        <f t="shared" si="14"/>
        <v>Encerrado</v>
      </c>
      <c r="Z323" s="62"/>
      <c r="AA323" s="62"/>
      <c r="AB323" s="64" t="s">
        <v>269</v>
      </c>
      <c r="AC323" s="79"/>
      <c r="AD323" s="54">
        <v>45026.0</v>
      </c>
      <c r="AE323" s="77">
        <v>4.9075100012326E13</v>
      </c>
      <c r="AF323" s="79"/>
      <c r="AG323" s="79"/>
      <c r="AH323" s="79"/>
      <c r="AI323" s="79"/>
      <c r="AJ323" s="79"/>
      <c r="AK323" s="65">
        <v>0.0</v>
      </c>
      <c r="AL323" s="65">
        <v>0.0</v>
      </c>
      <c r="AM323" s="65">
        <v>0.0</v>
      </c>
      <c r="AN323" s="65">
        <v>0.0</v>
      </c>
      <c r="AO323" s="65">
        <v>0.0</v>
      </c>
      <c r="AP323" s="65">
        <v>0.0</v>
      </c>
      <c r="AQ323" s="65">
        <v>0.0</v>
      </c>
      <c r="AR323" s="65">
        <v>0.0</v>
      </c>
      <c r="AS323" s="65">
        <v>0.0</v>
      </c>
      <c r="AT323" s="65">
        <v>0.0</v>
      </c>
      <c r="AU323" s="65">
        <v>0.0</v>
      </c>
      <c r="AV323" s="65">
        <v>0.0</v>
      </c>
      <c r="AW323" s="65">
        <v>0.0</v>
      </c>
      <c r="AX323" s="65">
        <v>0.0</v>
      </c>
      <c r="AY323" s="65">
        <v>0.0</v>
      </c>
      <c r="AZ323" s="65">
        <v>0.0</v>
      </c>
      <c r="BA323" s="65">
        <v>0.0</v>
      </c>
      <c r="BB323" s="65">
        <v>0.0</v>
      </c>
      <c r="BC323" s="65">
        <v>0.0</v>
      </c>
      <c r="BD323" s="65">
        <v>0.0</v>
      </c>
      <c r="BE323" s="65">
        <v>0.0</v>
      </c>
      <c r="BF323" s="65">
        <v>0.0</v>
      </c>
      <c r="BG323" s="65">
        <v>0.0</v>
      </c>
      <c r="BH323" s="65">
        <v>0.0</v>
      </c>
      <c r="BI323" s="65">
        <v>0.0</v>
      </c>
      <c r="BJ323" s="65">
        <v>0.0</v>
      </c>
      <c r="BK323" s="65">
        <v>0.0</v>
      </c>
      <c r="BL323" s="65">
        <v>0.0</v>
      </c>
      <c r="BM323" s="65">
        <v>0.0</v>
      </c>
      <c r="BN323" s="65">
        <v>0.0</v>
      </c>
      <c r="BO323" s="65">
        <v>0.0</v>
      </c>
      <c r="BP323" s="65">
        <v>0.0</v>
      </c>
      <c r="BQ323" s="65">
        <v>0.0</v>
      </c>
      <c r="BR323" s="65">
        <v>0.0</v>
      </c>
      <c r="BS323" s="65">
        <v>0.0</v>
      </c>
      <c r="BT323" s="88">
        <v>0.0</v>
      </c>
      <c r="BU323" s="65">
        <v>0.0</v>
      </c>
      <c r="BV323" s="65">
        <v>0.0</v>
      </c>
      <c r="BW323" s="90">
        <v>0.0</v>
      </c>
      <c r="BX323" s="90">
        <v>0.0</v>
      </c>
      <c r="BY323" s="90" t="str">
        <f t="array" ref="BY323">XLOOKUP(C323,'PL TOTAL D0'!$A$3:$A$1991,'PL TOTAL D0'!$C$3:$C$1991,"")</f>
        <v/>
      </c>
    </row>
    <row r="324" ht="15.75" customHeight="1">
      <c r="A324" s="50" t="s">
        <v>24</v>
      </c>
      <c r="B324" s="50" t="s">
        <v>4831</v>
      </c>
      <c r="C324" s="94" t="s">
        <v>4832</v>
      </c>
      <c r="D324" s="81" t="s">
        <v>255</v>
      </c>
      <c r="E324" s="95" t="s">
        <v>199</v>
      </c>
      <c r="F324" s="81" t="s">
        <v>257</v>
      </c>
      <c r="G324" s="47" t="str">
        <f t="shared" si="13"/>
        <v>David</v>
      </c>
      <c r="H324" s="49" t="s">
        <v>224</v>
      </c>
      <c r="I324" s="49" t="s">
        <v>66</v>
      </c>
      <c r="J324" s="47" t="str">
        <f t="shared" si="17"/>
        <v>Não</v>
      </c>
      <c r="K324" s="97">
        <v>45155.0</v>
      </c>
      <c r="L324" s="186">
        <v>45513.0</v>
      </c>
      <c r="M324" s="62" t="s">
        <v>4833</v>
      </c>
      <c r="N324" s="98">
        <v>0.007</v>
      </c>
      <c r="O324" s="47" t="s">
        <v>66</v>
      </c>
      <c r="P324" s="99">
        <v>0.0</v>
      </c>
      <c r="Q324" s="58"/>
      <c r="R324" s="58" t="s">
        <v>3969</v>
      </c>
      <c r="S324" s="62" t="s">
        <v>194</v>
      </c>
      <c r="T324" s="32" t="s">
        <v>4835</v>
      </c>
      <c r="U324" s="33" t="s">
        <v>268</v>
      </c>
      <c r="V324" s="33"/>
      <c r="W324" s="33" t="s">
        <v>268</v>
      </c>
      <c r="X324" s="23" t="s">
        <v>397</v>
      </c>
      <c r="Y324" s="49" t="str">
        <f t="shared" si="14"/>
        <v>Encerrado</v>
      </c>
      <c r="Z324" s="62"/>
      <c r="AA324" s="62"/>
      <c r="AB324" s="64" t="s">
        <v>269</v>
      </c>
      <c r="AC324" s="79"/>
      <c r="AD324" s="54">
        <v>45155.0</v>
      </c>
      <c r="AE324" s="77">
        <v>4.9075100008132E13</v>
      </c>
      <c r="AF324" s="79"/>
      <c r="AG324" s="79"/>
      <c r="AH324" s="79"/>
      <c r="AI324" s="79"/>
      <c r="AJ324" s="79"/>
      <c r="AK324" s="79"/>
      <c r="AL324" s="79"/>
      <c r="AM324" s="79"/>
      <c r="AN324" s="65">
        <v>2314336.97</v>
      </c>
      <c r="AO324" s="65">
        <v>4028279.21</v>
      </c>
      <c r="AP324" s="65">
        <v>4065602.47</v>
      </c>
      <c r="AQ324" s="65">
        <v>4091485.08</v>
      </c>
      <c r="AR324" s="65">
        <v>4118031.41</v>
      </c>
      <c r="AS324" s="65">
        <v>4166508.15</v>
      </c>
      <c r="AT324" s="65">
        <v>4218568.46</v>
      </c>
      <c r="AU324" s="65">
        <v>4244355.2</v>
      </c>
      <c r="AV324" s="65">
        <v>4329786.19</v>
      </c>
      <c r="AW324" s="65">
        <v>4397477.29</v>
      </c>
      <c r="AX324" s="65">
        <v>4384162.97</v>
      </c>
      <c r="AY324" s="65">
        <v>4415036.0</v>
      </c>
      <c r="AZ324" s="65">
        <v>4441319.0</v>
      </c>
      <c r="BA324" s="65">
        <v>0.0</v>
      </c>
      <c r="BB324" s="65">
        <v>0.0</v>
      </c>
      <c r="BC324" s="65">
        <v>0.0</v>
      </c>
      <c r="BD324" s="65">
        <v>0.0</v>
      </c>
      <c r="BE324" s="65">
        <v>0.0</v>
      </c>
      <c r="BF324" s="65">
        <v>0.0</v>
      </c>
      <c r="BG324" s="65">
        <v>0.0</v>
      </c>
      <c r="BH324" s="65">
        <v>0.0</v>
      </c>
      <c r="BI324" s="65">
        <v>0.0</v>
      </c>
      <c r="BJ324" s="65">
        <v>0.0</v>
      </c>
      <c r="BK324" s="65">
        <v>0.0</v>
      </c>
      <c r="BL324" s="65">
        <v>0.0</v>
      </c>
      <c r="BM324" s="65">
        <v>0.0</v>
      </c>
      <c r="BN324" s="65">
        <v>0.0</v>
      </c>
      <c r="BO324" s="65">
        <v>0.0</v>
      </c>
      <c r="BP324" s="65">
        <v>0.0</v>
      </c>
      <c r="BQ324" s="65">
        <v>0.0</v>
      </c>
      <c r="BR324" s="65">
        <v>0.0</v>
      </c>
      <c r="BS324" s="65">
        <v>0.0</v>
      </c>
      <c r="BT324" s="88">
        <v>0.0</v>
      </c>
      <c r="BU324" s="65">
        <v>0.0</v>
      </c>
      <c r="BV324" s="65">
        <v>0.0</v>
      </c>
      <c r="BW324" s="90">
        <v>0.0</v>
      </c>
      <c r="BX324" s="90">
        <v>0.0</v>
      </c>
      <c r="BY324" s="90" t="str">
        <f t="array" ref="BY324">XLOOKUP(C324,'PL TOTAL D0'!$A$3:$A$1991,'PL TOTAL D0'!$C$3:$C$1991,"")</f>
        <v/>
      </c>
    </row>
    <row r="325" ht="15.75" customHeight="1">
      <c r="A325" s="43" t="s">
        <v>24</v>
      </c>
      <c r="B325" s="43" t="s">
        <v>2061</v>
      </c>
      <c r="C325" s="94" t="s">
        <v>2902</v>
      </c>
      <c r="D325" s="30" t="s">
        <v>120</v>
      </c>
      <c r="E325" s="22" t="s">
        <v>54</v>
      </c>
      <c r="F325" s="30" t="s">
        <v>125</v>
      </c>
      <c r="G325" s="47" t="str">
        <f t="shared" si="13"/>
        <v>Gabriel</v>
      </c>
      <c r="H325" s="49" t="s">
        <v>183</v>
      </c>
      <c r="I325" s="49" t="s">
        <v>66</v>
      </c>
      <c r="J325" s="23" t="s">
        <v>563</v>
      </c>
      <c r="K325" s="54">
        <v>45427.0</v>
      </c>
      <c r="L325" s="186"/>
      <c r="M325" s="32" t="s">
        <v>1443</v>
      </c>
      <c r="N325" s="56">
        <v>0.01</v>
      </c>
      <c r="O325" s="23" t="s">
        <v>35</v>
      </c>
      <c r="P325" s="57">
        <v>0.1</v>
      </c>
      <c r="Q325" s="58"/>
      <c r="R325" s="58"/>
      <c r="S325" s="32" t="s">
        <v>194</v>
      </c>
      <c r="T325" s="32" t="s">
        <v>2065</v>
      </c>
      <c r="U325" s="33">
        <v>5.56298137515E12</v>
      </c>
      <c r="V325" s="33" t="s">
        <v>4845</v>
      </c>
      <c r="W325" s="34">
        <v>18878.0</v>
      </c>
      <c r="X325" s="23" t="s">
        <v>54</v>
      </c>
      <c r="Y325" s="49" t="str">
        <f t="shared" si="14"/>
        <v>Ativo</v>
      </c>
      <c r="Z325" s="62"/>
      <c r="AA325" s="62"/>
      <c r="AB325" s="64" t="s">
        <v>269</v>
      </c>
      <c r="AC325" s="79"/>
      <c r="AD325" s="54">
        <v>45427.0</v>
      </c>
      <c r="AE325" s="77">
        <v>4.9075100014655E13</v>
      </c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65"/>
      <c r="AW325" s="65"/>
      <c r="AX325" s="65"/>
      <c r="AY325" s="65">
        <v>0.0</v>
      </c>
      <c r="AZ325" s="65">
        <v>168737.0</v>
      </c>
      <c r="BA325" s="65">
        <v>588696.8</v>
      </c>
      <c r="BB325" s="65">
        <v>552160.68</v>
      </c>
      <c r="BC325" s="65">
        <v>513634.97</v>
      </c>
      <c r="BD325" s="65">
        <v>519271.65</v>
      </c>
      <c r="BE325" s="65">
        <v>414698.41</v>
      </c>
      <c r="BF325" s="65">
        <v>794662.25</v>
      </c>
      <c r="BG325" s="65">
        <v>746309.3</v>
      </c>
      <c r="BH325" s="65">
        <v>723406.68</v>
      </c>
      <c r="BI325" s="65">
        <v>733982.77</v>
      </c>
      <c r="BJ325" s="65">
        <v>708894.89</v>
      </c>
      <c r="BK325" s="65">
        <v>795258.86</v>
      </c>
      <c r="BL325" s="65">
        <v>1598556.72</v>
      </c>
      <c r="BM325" s="65">
        <v>1624406.52</v>
      </c>
      <c r="BN325" s="65">
        <v>1591651.0</v>
      </c>
      <c r="BO325" s="65">
        <v>1506572.14</v>
      </c>
      <c r="BP325" s="65">
        <v>1437814.0</v>
      </c>
      <c r="BQ325" s="65">
        <v>1106706.0</v>
      </c>
      <c r="BR325" s="65">
        <v>889768.7</v>
      </c>
      <c r="BS325" s="65">
        <v>739594.29</v>
      </c>
      <c r="BT325" s="88">
        <v>715491.3</v>
      </c>
      <c r="BU325" s="65">
        <v>619758.0</v>
      </c>
      <c r="BV325" s="65">
        <v>596222.1</v>
      </c>
      <c r="BW325" s="90">
        <v>551233.3</v>
      </c>
      <c r="BX325" s="90">
        <v>506080.16</v>
      </c>
      <c r="BY325" s="90">
        <f t="array" ref="BY325">XLOOKUP(C325,'PL TOTAL D0'!$A$3:$A$1991,'PL TOTAL D0'!$C$3:$C$1991,"")</f>
        <v>490834.41</v>
      </c>
    </row>
    <row r="326" ht="15.75" customHeight="1">
      <c r="A326" s="43" t="s">
        <v>24</v>
      </c>
      <c r="B326" s="43" t="s">
        <v>2061</v>
      </c>
      <c r="C326" s="94" t="s">
        <v>2687</v>
      </c>
      <c r="D326" s="30" t="s">
        <v>120</v>
      </c>
      <c r="E326" s="22" t="s">
        <v>54</v>
      </c>
      <c r="F326" s="30" t="s">
        <v>379</v>
      </c>
      <c r="G326" s="47" t="str">
        <f t="shared" si="13"/>
        <v>Marcus</v>
      </c>
      <c r="H326" s="49" t="s">
        <v>295</v>
      </c>
      <c r="I326" s="49" t="s">
        <v>447</v>
      </c>
      <c r="J326" s="23" t="s">
        <v>563</v>
      </c>
      <c r="K326" s="54">
        <v>45393.0</v>
      </c>
      <c r="L326" s="186"/>
      <c r="M326" s="32" t="s">
        <v>3669</v>
      </c>
      <c r="N326" s="56">
        <v>0.0</v>
      </c>
      <c r="O326" s="23" t="s">
        <v>66</v>
      </c>
      <c r="P326" s="57">
        <v>0.0</v>
      </c>
      <c r="Q326" s="58"/>
      <c r="R326" s="58"/>
      <c r="S326" s="32" t="s">
        <v>194</v>
      </c>
      <c r="T326" s="32" t="s">
        <v>2065</v>
      </c>
      <c r="U326" s="33">
        <v>5.56298137515E12</v>
      </c>
      <c r="V326" s="33" t="s">
        <v>4845</v>
      </c>
      <c r="W326" s="34">
        <v>18878.0</v>
      </c>
      <c r="X326" s="23" t="s">
        <v>54</v>
      </c>
      <c r="Y326" s="49" t="str">
        <f t="shared" si="14"/>
        <v>Ativo</v>
      </c>
      <c r="Z326" s="62"/>
      <c r="AA326" s="62"/>
      <c r="AB326" s="64" t="s">
        <v>269</v>
      </c>
      <c r="AC326" s="79"/>
      <c r="AD326" s="54">
        <v>45393.0</v>
      </c>
      <c r="AE326" s="77">
        <v>4.9075100014353E13</v>
      </c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65"/>
      <c r="AW326" s="65"/>
      <c r="AX326" s="65">
        <v>3320494.37</v>
      </c>
      <c r="AY326" s="65">
        <v>3115084.0</v>
      </c>
      <c r="AZ326" s="65">
        <v>2430071.0</v>
      </c>
      <c r="BA326" s="65">
        <v>2442299.0</v>
      </c>
      <c r="BB326" s="65">
        <v>2448561.61</v>
      </c>
      <c r="BC326" s="65">
        <v>2421966.75</v>
      </c>
      <c r="BD326" s="65">
        <v>2441527.55</v>
      </c>
      <c r="BE326" s="65">
        <v>2460935.21</v>
      </c>
      <c r="BF326" s="65">
        <v>2052726.68</v>
      </c>
      <c r="BG326" s="65">
        <v>2068089.9</v>
      </c>
      <c r="BH326" s="65">
        <v>2084045.32</v>
      </c>
      <c r="BI326" s="65">
        <v>2109106.6</v>
      </c>
      <c r="BJ326" s="65">
        <v>2107849.21</v>
      </c>
      <c r="BK326" s="65">
        <v>2124734.13</v>
      </c>
      <c r="BL326" s="65">
        <v>1206119.96</v>
      </c>
      <c r="BM326" s="65">
        <v>1145804.65</v>
      </c>
      <c r="BN326" s="65">
        <v>1148553.0</v>
      </c>
      <c r="BO326" s="65">
        <v>1155418.4</v>
      </c>
      <c r="BP326" s="65">
        <v>1165381.0</v>
      </c>
      <c r="BQ326" s="65">
        <v>1172306.0</v>
      </c>
      <c r="BR326" s="65">
        <v>1176783.0</v>
      </c>
      <c r="BS326" s="65">
        <v>1185659.87</v>
      </c>
      <c r="BT326" s="88">
        <v>1192896.0</v>
      </c>
      <c r="BU326" s="65">
        <v>1205311.0</v>
      </c>
      <c r="BV326" s="65">
        <v>1217548.0</v>
      </c>
      <c r="BW326" s="90">
        <v>1228251.0</v>
      </c>
      <c r="BX326" s="90">
        <v>1215717.7</v>
      </c>
      <c r="BY326" s="90">
        <f t="array" ref="BY326">XLOOKUP(C326,'PL TOTAL D0'!$A$3:$A$1991,'PL TOTAL D0'!$C$3:$C$1991,"")</f>
        <v>1137382.11</v>
      </c>
    </row>
    <row r="327" ht="15.75" customHeight="1">
      <c r="A327" s="43" t="s">
        <v>24</v>
      </c>
      <c r="B327" s="43" t="s">
        <v>4853</v>
      </c>
      <c r="C327" s="53" t="s">
        <v>3205</v>
      </c>
      <c r="D327" s="30" t="s">
        <v>120</v>
      </c>
      <c r="E327" s="22" t="s">
        <v>54</v>
      </c>
      <c r="F327" s="30" t="s">
        <v>125</v>
      </c>
      <c r="G327" s="47" t="str">
        <f t="shared" si="13"/>
        <v>David</v>
      </c>
      <c r="H327" s="49" t="s">
        <v>183</v>
      </c>
      <c r="I327" s="49" t="s">
        <v>66</v>
      </c>
      <c r="J327" s="23" t="s">
        <v>563</v>
      </c>
      <c r="K327" s="54">
        <v>46154.0</v>
      </c>
      <c r="L327" s="186"/>
      <c r="M327" s="32" t="s">
        <v>61</v>
      </c>
      <c r="N327" s="56">
        <v>0.012</v>
      </c>
      <c r="O327" s="23" t="s">
        <v>66</v>
      </c>
      <c r="P327" s="57">
        <v>0.0</v>
      </c>
      <c r="Q327" s="58"/>
      <c r="R327" s="58"/>
      <c r="S327" s="32" t="s">
        <v>194</v>
      </c>
      <c r="T327" s="32" t="s">
        <v>4854</v>
      </c>
      <c r="U327" s="33" t="s">
        <v>4855</v>
      </c>
      <c r="V327" s="33" t="s">
        <v>4856</v>
      </c>
      <c r="W327" s="34">
        <v>33332.0</v>
      </c>
      <c r="X327" s="23" t="s">
        <v>54</v>
      </c>
      <c r="Y327" s="49" t="str">
        <f t="shared" si="14"/>
        <v>Ativo</v>
      </c>
      <c r="Z327" s="62"/>
      <c r="AA327" s="32" t="s">
        <v>107</v>
      </c>
      <c r="AB327" s="64"/>
      <c r="AC327" s="79"/>
      <c r="AD327" s="54">
        <v>46203.0</v>
      </c>
      <c r="AE327" s="77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5"/>
      <c r="BG327" s="65"/>
      <c r="BH327" s="65"/>
      <c r="BI327" s="65"/>
      <c r="BJ327" s="65"/>
      <c r="BK327" s="65"/>
      <c r="BL327" s="65"/>
      <c r="BM327" s="65"/>
      <c r="BN327" s="65"/>
      <c r="BO327" s="65"/>
      <c r="BP327" s="65"/>
      <c r="BQ327" s="65"/>
      <c r="BR327" s="65"/>
      <c r="BS327" s="65"/>
      <c r="BT327" s="88"/>
      <c r="BU327" s="65"/>
      <c r="BV327" s="65"/>
      <c r="BW327" s="90">
        <v>125711.8</v>
      </c>
      <c r="BX327" s="90">
        <v>127180.66</v>
      </c>
      <c r="BY327" s="90">
        <f t="array" ref="BY327">XLOOKUP(C327,'PL TOTAL D0'!$A$3:$A$1991,'PL TOTAL D0'!$C$3:$C$1991,"")</f>
        <v>158823.19</v>
      </c>
    </row>
    <row r="328" ht="15.75" customHeight="1">
      <c r="A328" s="50" t="s">
        <v>24</v>
      </c>
      <c r="B328" s="50" t="s">
        <v>4858</v>
      </c>
      <c r="C328" s="94" t="s">
        <v>2983</v>
      </c>
      <c r="D328" s="81" t="s">
        <v>120</v>
      </c>
      <c r="E328" s="95" t="s">
        <v>54</v>
      </c>
      <c r="F328" s="81" t="s">
        <v>1883</v>
      </c>
      <c r="G328" s="47" t="str">
        <f t="shared" si="13"/>
        <v>David</v>
      </c>
      <c r="H328" s="49" t="s">
        <v>183</v>
      </c>
      <c r="I328" s="49" t="s">
        <v>66</v>
      </c>
      <c r="J328" s="47" t="str">
        <f t="shared" ref="J328:J419" si="18">IF(Q328=0,"Não","Sim")</f>
        <v>Não</v>
      </c>
      <c r="K328" s="97">
        <v>45229.0</v>
      </c>
      <c r="L328" s="189"/>
      <c r="M328" s="62" t="s">
        <v>213</v>
      </c>
      <c r="N328" s="98">
        <v>0.007</v>
      </c>
      <c r="O328" s="47" t="s">
        <v>66</v>
      </c>
      <c r="P328" s="99">
        <v>0.0</v>
      </c>
      <c r="Q328" s="58"/>
      <c r="R328" s="70"/>
      <c r="S328" s="62" t="s">
        <v>234</v>
      </c>
      <c r="T328" s="32" t="s">
        <v>4862</v>
      </c>
      <c r="U328" s="33">
        <v>5.563992388348E12</v>
      </c>
      <c r="V328" s="33" t="s">
        <v>4863</v>
      </c>
      <c r="W328" s="34">
        <v>38162.0</v>
      </c>
      <c r="X328" s="23" t="s">
        <v>312</v>
      </c>
      <c r="Y328" s="49" t="str">
        <f t="shared" si="14"/>
        <v>Ativo</v>
      </c>
      <c r="Z328" s="62"/>
      <c r="AA328" s="62"/>
      <c r="AB328" s="64" t="s">
        <v>269</v>
      </c>
      <c r="AC328" s="79"/>
      <c r="AD328" s="54">
        <v>45229.0</v>
      </c>
      <c r="AE328" s="77">
        <v>4.9075100012318E13</v>
      </c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65">
        <v>0.0</v>
      </c>
      <c r="AS328" s="65">
        <v>0.0</v>
      </c>
      <c r="AT328" s="65">
        <v>0.0</v>
      </c>
      <c r="AU328" s="65">
        <v>0.0</v>
      </c>
      <c r="AV328" s="65">
        <v>0.0</v>
      </c>
      <c r="AW328" s="65">
        <v>0.0</v>
      </c>
      <c r="AX328" s="65">
        <v>50256.31</v>
      </c>
      <c r="AY328" s="65">
        <v>50570.59</v>
      </c>
      <c r="AZ328" s="65">
        <v>50912.08</v>
      </c>
      <c r="BA328" s="65">
        <v>51347.53</v>
      </c>
      <c r="BB328" s="65">
        <v>51757.29</v>
      </c>
      <c r="BC328" s="65">
        <v>52148.98</v>
      </c>
      <c r="BD328" s="65">
        <v>52606.59</v>
      </c>
      <c r="BE328" s="65">
        <v>52665.84</v>
      </c>
      <c r="BF328" s="65">
        <v>2636.78</v>
      </c>
      <c r="BG328" s="65">
        <v>2642.98</v>
      </c>
      <c r="BH328" s="65">
        <v>2667.86</v>
      </c>
      <c r="BI328" s="65">
        <v>2693.24</v>
      </c>
      <c r="BJ328" s="65">
        <v>27915.0</v>
      </c>
      <c r="BK328" s="65">
        <v>53354.05</v>
      </c>
      <c r="BL328" s="65">
        <v>79115.0</v>
      </c>
      <c r="BM328" s="65">
        <v>105341.02</v>
      </c>
      <c r="BN328" s="65">
        <v>126714.6</v>
      </c>
      <c r="BO328" s="65">
        <v>148297.33</v>
      </c>
      <c r="BP328" s="65">
        <v>170262.3</v>
      </c>
      <c r="BQ328" s="65">
        <v>191017.9</v>
      </c>
      <c r="BR328" s="65">
        <v>213177.5</v>
      </c>
      <c r="BS328" s="65">
        <v>236046.14</v>
      </c>
      <c r="BT328" s="88">
        <v>258036.4</v>
      </c>
      <c r="BU328" s="65">
        <v>281003.1</v>
      </c>
      <c r="BV328" s="65">
        <v>303990.8</v>
      </c>
      <c r="BW328" s="90">
        <v>325754.9</v>
      </c>
      <c r="BX328" s="90">
        <v>348678.23</v>
      </c>
      <c r="BY328" s="90">
        <f t="array" ref="BY328">XLOOKUP(C328,'PL TOTAL D0'!$A$3:$A$1991,'PL TOTAL D0'!$C$3:$C$1991,"")</f>
        <v>393088.25</v>
      </c>
    </row>
    <row r="329" ht="15.75" customHeight="1">
      <c r="A329" s="50" t="s">
        <v>24</v>
      </c>
      <c r="B329" s="43" t="s">
        <v>4869</v>
      </c>
      <c r="C329" s="53" t="s">
        <v>3325</v>
      </c>
      <c r="D329" s="30" t="s">
        <v>120</v>
      </c>
      <c r="E329" s="22" t="s">
        <v>199</v>
      </c>
      <c r="F329" s="30" t="s">
        <v>388</v>
      </c>
      <c r="G329" s="47" t="str">
        <f t="shared" si="13"/>
        <v>David</v>
      </c>
      <c r="H329" s="49" t="s">
        <v>183</v>
      </c>
      <c r="I329" s="49" t="s">
        <v>66</v>
      </c>
      <c r="J329" s="47" t="str">
        <f t="shared" si="18"/>
        <v>Não</v>
      </c>
      <c r="K329" s="54">
        <v>46155.0</v>
      </c>
      <c r="L329" s="189"/>
      <c r="M329" s="32" t="s">
        <v>61</v>
      </c>
      <c r="N329" s="56">
        <v>0.012</v>
      </c>
      <c r="O329" s="23" t="s">
        <v>66</v>
      </c>
      <c r="P329" s="57">
        <v>0.0</v>
      </c>
      <c r="Q329" s="58"/>
      <c r="R329" s="70"/>
      <c r="S329" s="32" t="s">
        <v>234</v>
      </c>
      <c r="T329" s="32" t="s">
        <v>4870</v>
      </c>
      <c r="U329" s="33">
        <v>3.1999234763E10</v>
      </c>
      <c r="V329" s="33" t="s">
        <v>1635</v>
      </c>
      <c r="W329" s="34">
        <v>37025.0</v>
      </c>
      <c r="X329" s="23" t="s">
        <v>618</v>
      </c>
      <c r="Y329" s="49" t="str">
        <f t="shared" si="14"/>
        <v>Ativo</v>
      </c>
      <c r="Z329" s="62"/>
      <c r="AA329" s="32" t="s">
        <v>107</v>
      </c>
      <c r="AB329" s="64"/>
      <c r="AC329" s="79"/>
      <c r="AD329" s="54">
        <v>46203.0</v>
      </c>
      <c r="AE329" s="77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5"/>
      <c r="BG329" s="65"/>
      <c r="BH329" s="65"/>
      <c r="BI329" s="65"/>
      <c r="BJ329" s="65"/>
      <c r="BK329" s="65"/>
      <c r="BL329" s="65"/>
      <c r="BM329" s="65"/>
      <c r="BN329" s="65"/>
      <c r="BO329" s="65"/>
      <c r="BP329" s="65"/>
      <c r="BQ329" s="65"/>
      <c r="BR329" s="65"/>
      <c r="BS329" s="65"/>
      <c r="BT329" s="88"/>
      <c r="BU329" s="65"/>
      <c r="BV329" s="65"/>
      <c r="BW329" s="90">
        <v>177497.5</v>
      </c>
      <c r="BX329" s="90">
        <v>155160.9</v>
      </c>
      <c r="BY329" s="90">
        <f t="array" ref="BY329">XLOOKUP(C329,'PL TOTAL D0'!$A$3:$A$1991,'PL TOTAL D0'!$C$3:$C$1991,"")</f>
        <v>97082.16</v>
      </c>
    </row>
    <row r="330" ht="15.75" customHeight="1">
      <c r="A330" s="50" t="s">
        <v>24</v>
      </c>
      <c r="B330" s="50" t="s">
        <v>4875</v>
      </c>
      <c r="C330" s="94" t="s">
        <v>4876</v>
      </c>
      <c r="D330" s="81" t="s">
        <v>120</v>
      </c>
      <c r="E330" s="95" t="s">
        <v>54</v>
      </c>
      <c r="F330" s="30" t="s">
        <v>125</v>
      </c>
      <c r="G330" s="47" t="str">
        <f t="shared" si="13"/>
        <v>David</v>
      </c>
      <c r="H330" s="74" t="s">
        <v>183</v>
      </c>
      <c r="I330" s="49" t="s">
        <v>382</v>
      </c>
      <c r="J330" s="47" t="str">
        <f t="shared" si="18"/>
        <v>Sim</v>
      </c>
      <c r="K330" s="97">
        <v>44960.0</v>
      </c>
      <c r="L330" s="62"/>
      <c r="M330" s="62" t="s">
        <v>61</v>
      </c>
      <c r="N330" s="98">
        <v>0.012</v>
      </c>
      <c r="O330" s="47" t="s">
        <v>66</v>
      </c>
      <c r="P330" s="99">
        <v>0.0</v>
      </c>
      <c r="Q330" s="58" t="s">
        <v>4879</v>
      </c>
      <c r="R330" s="70"/>
      <c r="S330" s="62" t="s">
        <v>234</v>
      </c>
      <c r="T330" s="32" t="s">
        <v>4881</v>
      </c>
      <c r="U330" s="33">
        <v>5.561981212666E12</v>
      </c>
      <c r="V330" s="33" t="s">
        <v>4882</v>
      </c>
      <c r="W330" s="34">
        <v>44083.0</v>
      </c>
      <c r="X330" s="23" t="s">
        <v>54</v>
      </c>
      <c r="Y330" s="49" t="str">
        <f t="shared" si="14"/>
        <v>Ativo</v>
      </c>
      <c r="Z330" s="62"/>
      <c r="AA330" s="62"/>
      <c r="AB330" s="64" t="s">
        <v>244</v>
      </c>
      <c r="AC330" s="79"/>
      <c r="AD330" s="54">
        <v>44960.0</v>
      </c>
      <c r="AE330" s="77">
        <v>4.9075100004552E13</v>
      </c>
      <c r="AF330" s="79"/>
      <c r="AG330" s="79"/>
      <c r="AH330" s="79"/>
      <c r="AI330" s="65">
        <v>0.0</v>
      </c>
      <c r="AJ330" s="65">
        <v>302348.09</v>
      </c>
      <c r="AK330" s="65">
        <v>305861.97</v>
      </c>
      <c r="AL330" s="65">
        <v>307995.71</v>
      </c>
      <c r="AM330" s="65">
        <v>311282.54</v>
      </c>
      <c r="AN330" s="65">
        <v>314326.47</v>
      </c>
      <c r="AO330" s="65">
        <v>317302.4</v>
      </c>
      <c r="AP330" s="65">
        <v>319206.65</v>
      </c>
      <c r="AQ330" s="65">
        <v>322020.41</v>
      </c>
      <c r="AR330" s="65">
        <v>324182.96</v>
      </c>
      <c r="AS330" s="65">
        <v>326595.86</v>
      </c>
      <c r="AT330" s="65">
        <v>329108.54</v>
      </c>
      <c r="AU330" s="65">
        <v>331973.66</v>
      </c>
      <c r="AV330" s="65">
        <v>332613.51</v>
      </c>
      <c r="AW330" s="65">
        <v>334953.4</v>
      </c>
      <c r="AX330" s="65">
        <v>337469.3</v>
      </c>
      <c r="AY330" s="65">
        <v>340023.9</v>
      </c>
      <c r="AZ330" s="65">
        <v>342278.1</v>
      </c>
      <c r="BA330" s="65">
        <v>341491.6</v>
      </c>
      <c r="BB330" s="65">
        <v>344195.42</v>
      </c>
      <c r="BC330" s="65">
        <v>346530.76</v>
      </c>
      <c r="BD330" s="65">
        <v>349482.15</v>
      </c>
      <c r="BE330" s="65">
        <v>350569.49</v>
      </c>
      <c r="BF330" s="65">
        <v>353445.56</v>
      </c>
      <c r="BG330" s="65">
        <v>356878.96</v>
      </c>
      <c r="BH330" s="65">
        <v>358419.53</v>
      </c>
      <c r="BI330" s="65">
        <v>361457.3</v>
      </c>
      <c r="BJ330" s="65">
        <v>269680.66</v>
      </c>
      <c r="BK330" s="65">
        <v>221585.28</v>
      </c>
      <c r="BL330" s="65">
        <v>223682.87</v>
      </c>
      <c r="BM330" s="65">
        <v>225871.25</v>
      </c>
      <c r="BN330" s="65">
        <v>227938.1</v>
      </c>
      <c r="BO330" s="65">
        <v>229929.98</v>
      </c>
      <c r="BP330" s="65">
        <v>211781.9</v>
      </c>
      <c r="BQ330" s="65">
        <v>213462.8</v>
      </c>
      <c r="BR330" s="65">
        <v>111925.5</v>
      </c>
      <c r="BS330" s="65">
        <v>72483.34</v>
      </c>
      <c r="BT330" s="88">
        <v>42165.84</v>
      </c>
      <c r="BU330" s="65">
        <v>42594.64</v>
      </c>
      <c r="BV330" s="65">
        <v>43111.37</v>
      </c>
      <c r="BW330" s="90">
        <v>43617.28</v>
      </c>
      <c r="BX330" s="90">
        <v>24271.21</v>
      </c>
      <c r="BY330" s="90" t="str">
        <f t="array" ref="BY330">XLOOKUP(C330,'PL TOTAL D0'!$A$3:$A$1991,'PL TOTAL D0'!$C$3:$C$1991,"")</f>
        <v/>
      </c>
    </row>
    <row r="331" ht="15.75" customHeight="1">
      <c r="A331" s="50" t="s">
        <v>24</v>
      </c>
      <c r="B331" s="43" t="s">
        <v>4886</v>
      </c>
      <c r="C331" s="94" t="s">
        <v>4887</v>
      </c>
      <c r="D331" s="30" t="s">
        <v>120</v>
      </c>
      <c r="E331" s="22" t="s">
        <v>54</v>
      </c>
      <c r="F331" s="81" t="s">
        <v>348</v>
      </c>
      <c r="G331" s="47" t="str">
        <f t="shared" si="13"/>
        <v>David</v>
      </c>
      <c r="H331" s="49" t="s">
        <v>224</v>
      </c>
      <c r="I331" s="49" t="s">
        <v>66</v>
      </c>
      <c r="J331" s="47" t="str">
        <f t="shared" si="18"/>
        <v>Não</v>
      </c>
      <c r="K331" s="54">
        <v>45685.0</v>
      </c>
      <c r="L331" s="121">
        <v>45945.0</v>
      </c>
      <c r="M331" s="32" t="s">
        <v>61</v>
      </c>
      <c r="N331" s="56">
        <v>0.012</v>
      </c>
      <c r="O331" s="23" t="s">
        <v>66</v>
      </c>
      <c r="P331" s="57">
        <v>0.0</v>
      </c>
      <c r="Q331" s="58"/>
      <c r="R331" s="70"/>
      <c r="S331" s="32" t="s">
        <v>194</v>
      </c>
      <c r="T331" s="32" t="s">
        <v>4888</v>
      </c>
      <c r="U331" s="33" t="s">
        <v>268</v>
      </c>
      <c r="V331" s="33"/>
      <c r="W331" s="33" t="s">
        <v>268</v>
      </c>
      <c r="X331" s="23" t="s">
        <v>54</v>
      </c>
      <c r="Y331" s="49" t="str">
        <f t="shared" si="14"/>
        <v>Encerrado</v>
      </c>
      <c r="Z331" s="62"/>
      <c r="AA331" s="32" t="s">
        <v>107</v>
      </c>
      <c r="AB331" s="64"/>
      <c r="AC331" s="79"/>
      <c r="AD331" s="54">
        <v>45688.0</v>
      </c>
      <c r="AE331" s="77">
        <v>4.9075100017549E13</v>
      </c>
      <c r="AF331" s="79"/>
      <c r="AG331" s="79"/>
      <c r="AH331" s="79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>
        <v>3955.0</v>
      </c>
      <c r="BH331" s="65">
        <v>64208.98</v>
      </c>
      <c r="BI331" s="65">
        <v>61309.46</v>
      </c>
      <c r="BJ331" s="65">
        <v>7935.66</v>
      </c>
      <c r="BK331" s="65">
        <v>48062.81</v>
      </c>
      <c r="BL331" s="65">
        <v>38468.63</v>
      </c>
      <c r="BM331" s="65">
        <v>0.0</v>
      </c>
      <c r="BN331" s="65">
        <v>0.0</v>
      </c>
      <c r="BO331" s="65">
        <v>0.0</v>
      </c>
      <c r="BP331" s="65">
        <v>0.0</v>
      </c>
      <c r="BQ331" s="65">
        <v>0.0</v>
      </c>
      <c r="BR331" s="65">
        <v>0.0</v>
      </c>
      <c r="BS331" s="65">
        <v>0.0</v>
      </c>
      <c r="BT331" s="88">
        <v>0.0</v>
      </c>
      <c r="BU331" s="65">
        <v>0.0</v>
      </c>
      <c r="BV331" s="65">
        <v>0.0</v>
      </c>
      <c r="BW331" s="90">
        <v>0.0</v>
      </c>
      <c r="BX331" s="90">
        <v>0.0</v>
      </c>
      <c r="BY331" s="90" t="str">
        <f t="array" ref="BY331">XLOOKUP(C331,'PL TOTAL D0'!$A$3:$A$1991,'PL TOTAL D0'!$C$3:$C$1991,"")</f>
        <v/>
      </c>
    </row>
    <row r="332" ht="15.75" customHeight="1">
      <c r="A332" s="50" t="s">
        <v>24</v>
      </c>
      <c r="B332" s="43" t="s">
        <v>4895</v>
      </c>
      <c r="C332" s="53" t="s">
        <v>3306</v>
      </c>
      <c r="D332" s="30" t="s">
        <v>249</v>
      </c>
      <c r="E332" s="22" t="s">
        <v>199</v>
      </c>
      <c r="F332" s="30" t="s">
        <v>251</v>
      </c>
      <c r="G332" s="47" t="str">
        <f t="shared" si="13"/>
        <v>David</v>
      </c>
      <c r="H332" s="49" t="s">
        <v>183</v>
      </c>
      <c r="I332" s="49" t="s">
        <v>66</v>
      </c>
      <c r="J332" s="47" t="str">
        <f t="shared" si="18"/>
        <v>Não</v>
      </c>
      <c r="K332" s="54">
        <v>46125.0</v>
      </c>
      <c r="L332" s="121"/>
      <c r="M332" s="32" t="s">
        <v>34</v>
      </c>
      <c r="N332" s="56">
        <v>0.01</v>
      </c>
      <c r="O332" s="23" t="s">
        <v>66</v>
      </c>
      <c r="P332" s="57">
        <v>0.0</v>
      </c>
      <c r="Q332" s="58"/>
      <c r="R332" s="70"/>
      <c r="S332" s="32" t="s">
        <v>194</v>
      </c>
      <c r="T332" s="32" t="s">
        <v>4898</v>
      </c>
      <c r="U332" s="33" t="s">
        <v>4899</v>
      </c>
      <c r="V332" s="33" t="s">
        <v>4900</v>
      </c>
      <c r="W332" s="48">
        <v>33030.0</v>
      </c>
      <c r="X332" s="23" t="s">
        <v>221</v>
      </c>
      <c r="Y332" s="49" t="str">
        <f t="shared" si="14"/>
        <v>Ativo</v>
      </c>
      <c r="Z332" s="62"/>
      <c r="AA332" s="32" t="s">
        <v>47</v>
      </c>
      <c r="AB332" s="64"/>
      <c r="AC332" s="79"/>
      <c r="AD332" s="54">
        <v>46203.0</v>
      </c>
      <c r="AE332" s="77"/>
      <c r="AF332" s="79"/>
      <c r="AG332" s="79"/>
      <c r="AH332" s="79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/>
      <c r="BK332" s="65"/>
      <c r="BL332" s="65"/>
      <c r="BM332" s="65"/>
      <c r="BN332" s="65"/>
      <c r="BO332" s="65"/>
      <c r="BP332" s="65"/>
      <c r="BQ332" s="65"/>
      <c r="BR332" s="65"/>
      <c r="BS332" s="65"/>
      <c r="BT332" s="88"/>
      <c r="BU332" s="65"/>
      <c r="BV332" s="65">
        <v>100693.9</v>
      </c>
      <c r="BW332" s="90">
        <v>101834.9</v>
      </c>
      <c r="BX332" s="90">
        <v>102969.44</v>
      </c>
      <c r="BY332" s="90">
        <f t="array" ref="BY332">XLOOKUP(C332,'PL TOTAL D0'!$A$3:$A$1991,'PL TOTAL D0'!$C$3:$C$1991,"")</f>
        <v>104274.38</v>
      </c>
    </row>
    <row r="333" ht="15.75" customHeight="1">
      <c r="A333" s="50" t="s">
        <v>24</v>
      </c>
      <c r="B333" s="50" t="s">
        <v>4904</v>
      </c>
      <c r="C333" s="94" t="s">
        <v>2761</v>
      </c>
      <c r="D333" s="81" t="s">
        <v>120</v>
      </c>
      <c r="E333" s="95" t="s">
        <v>54</v>
      </c>
      <c r="F333" s="81" t="s">
        <v>1393</v>
      </c>
      <c r="G333" s="47" t="str">
        <f t="shared" si="13"/>
        <v>Gabriel</v>
      </c>
      <c r="H333" s="74" t="s">
        <v>183</v>
      </c>
      <c r="I333" s="74" t="s">
        <v>66</v>
      </c>
      <c r="J333" s="47" t="str">
        <f t="shared" si="18"/>
        <v>Não</v>
      </c>
      <c r="K333" s="97">
        <v>45035.0</v>
      </c>
      <c r="L333" s="62"/>
      <c r="M333" s="62" t="s">
        <v>61</v>
      </c>
      <c r="N333" s="98">
        <v>0.012</v>
      </c>
      <c r="O333" s="47" t="s">
        <v>66</v>
      </c>
      <c r="P333" s="99">
        <v>0.0</v>
      </c>
      <c r="Q333" s="58"/>
      <c r="R333" s="70"/>
      <c r="S333" s="62" t="s">
        <v>194</v>
      </c>
      <c r="T333" s="32" t="s">
        <v>4906</v>
      </c>
      <c r="U333" s="33">
        <v>5.56298179345E12</v>
      </c>
      <c r="V333" s="33" t="s">
        <v>4909</v>
      </c>
      <c r="W333" s="34">
        <v>28581.0</v>
      </c>
      <c r="X333" s="23" t="s">
        <v>54</v>
      </c>
      <c r="Y333" s="49" t="str">
        <f t="shared" si="14"/>
        <v>Ativo</v>
      </c>
      <c r="Z333" s="62"/>
      <c r="AA333" s="62"/>
      <c r="AB333" s="64" t="s">
        <v>244</v>
      </c>
      <c r="AC333" s="79"/>
      <c r="AD333" s="54">
        <v>45035.0</v>
      </c>
      <c r="AE333" s="77">
        <v>4.9075100008507E13</v>
      </c>
      <c r="AF333" s="79"/>
      <c r="AG333" s="79"/>
      <c r="AH333" s="79"/>
      <c r="AI333" s="79"/>
      <c r="AJ333" s="79"/>
      <c r="AK333" s="65">
        <v>0.0</v>
      </c>
      <c r="AL333" s="65">
        <v>200493.23</v>
      </c>
      <c r="AM333" s="65">
        <v>202518.84</v>
      </c>
      <c r="AN333" s="65">
        <v>204207.46</v>
      </c>
      <c r="AO333" s="65">
        <v>205780.31</v>
      </c>
      <c r="AP333" s="65">
        <v>207720.41</v>
      </c>
      <c r="AQ333" s="65">
        <v>209354.86</v>
      </c>
      <c r="AR333" s="65">
        <v>211199.67</v>
      </c>
      <c r="AS333" s="65">
        <v>212749.25</v>
      </c>
      <c r="AT333" s="65">
        <v>214404.26</v>
      </c>
      <c r="AU333" s="65">
        <v>216335.49</v>
      </c>
      <c r="AV333" s="65">
        <v>218083.75</v>
      </c>
      <c r="AW333" s="65">
        <v>220034.61</v>
      </c>
      <c r="AX333" s="65">
        <v>220815.25</v>
      </c>
      <c r="AY333" s="65">
        <v>503251.2</v>
      </c>
      <c r="AZ333" s="65">
        <v>506923.6</v>
      </c>
      <c r="BA333" s="65">
        <v>511062.6</v>
      </c>
      <c r="BB333" s="65">
        <v>515425.65</v>
      </c>
      <c r="BC333" s="65">
        <v>518729.56</v>
      </c>
      <c r="BD333" s="65">
        <v>523488.36</v>
      </c>
      <c r="BE333" s="65">
        <v>677759.49</v>
      </c>
      <c r="BF333" s="65">
        <v>683576.35</v>
      </c>
      <c r="BG333" s="65">
        <v>690309.71</v>
      </c>
      <c r="BH333" s="65">
        <v>696120.78</v>
      </c>
      <c r="BI333" s="65">
        <v>702691.46</v>
      </c>
      <c r="BJ333" s="65">
        <v>830469.77</v>
      </c>
      <c r="BK333" s="65">
        <v>838717.58</v>
      </c>
      <c r="BL333" s="65">
        <v>842694.05</v>
      </c>
      <c r="BM333" s="65">
        <v>851978.06</v>
      </c>
      <c r="BN333" s="65">
        <v>860346.2</v>
      </c>
      <c r="BO333" s="65">
        <v>868119.68</v>
      </c>
      <c r="BP333" s="65">
        <v>754609.2</v>
      </c>
      <c r="BQ333" s="65">
        <v>760950.3</v>
      </c>
      <c r="BR333" s="65">
        <v>768223.7</v>
      </c>
      <c r="BS333" s="65">
        <v>775707.02</v>
      </c>
      <c r="BT333" s="88">
        <v>781448.2</v>
      </c>
      <c r="BU333" s="65">
        <v>790146.1</v>
      </c>
      <c r="BV333" s="65">
        <v>799164.2</v>
      </c>
      <c r="BW333" s="90">
        <v>804054.7</v>
      </c>
      <c r="BX333" s="90">
        <v>809259.06</v>
      </c>
      <c r="BY333" s="90">
        <f t="array" ref="BY333">XLOOKUP(C333,'PL TOTAL D0'!$A$3:$A$1991,'PL TOTAL D0'!$C$3:$C$1991,"")</f>
        <v>818211.07</v>
      </c>
    </row>
    <row r="334" ht="15.75" customHeight="1">
      <c r="A334" s="50" t="s">
        <v>24</v>
      </c>
      <c r="B334" s="43" t="s">
        <v>4914</v>
      </c>
      <c r="C334" s="94" t="s">
        <v>4915</v>
      </c>
      <c r="D334" s="30" t="s">
        <v>255</v>
      </c>
      <c r="E334" s="22" t="s">
        <v>199</v>
      </c>
      <c r="F334" s="30" t="s">
        <v>3611</v>
      </c>
      <c r="G334" s="47" t="str">
        <f t="shared" si="13"/>
        <v>David</v>
      </c>
      <c r="H334" s="49" t="s">
        <v>224</v>
      </c>
      <c r="I334" s="49" t="s">
        <v>66</v>
      </c>
      <c r="J334" s="47" t="str">
        <f t="shared" si="18"/>
        <v>Não</v>
      </c>
      <c r="K334" s="54">
        <v>45575.0</v>
      </c>
      <c r="L334" s="121">
        <v>45589.0</v>
      </c>
      <c r="M334" s="32" t="s">
        <v>201</v>
      </c>
      <c r="N334" s="56">
        <v>0.003</v>
      </c>
      <c r="O334" s="23" t="s">
        <v>66</v>
      </c>
      <c r="P334" s="57">
        <v>0.0</v>
      </c>
      <c r="Q334" s="58"/>
      <c r="R334" s="70"/>
      <c r="S334" s="32" t="s">
        <v>194</v>
      </c>
      <c r="T334" s="32" t="s">
        <v>4916</v>
      </c>
      <c r="U334" s="33" t="s">
        <v>268</v>
      </c>
      <c r="V334" s="33"/>
      <c r="W334" s="33" t="s">
        <v>268</v>
      </c>
      <c r="X334" s="23" t="s">
        <v>618</v>
      </c>
      <c r="Y334" s="49" t="str">
        <f t="shared" si="14"/>
        <v>Encerrado</v>
      </c>
      <c r="Z334" s="62"/>
      <c r="AA334" s="32" t="s">
        <v>47</v>
      </c>
      <c r="AB334" s="64"/>
      <c r="AC334" s="79"/>
      <c r="AD334" s="54"/>
      <c r="AE334" s="77"/>
      <c r="AF334" s="79"/>
      <c r="AG334" s="79"/>
      <c r="AH334" s="79"/>
      <c r="AI334" s="79"/>
      <c r="AJ334" s="79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>
        <v>0.0</v>
      </c>
      <c r="BE334" s="65">
        <v>0.0</v>
      </c>
      <c r="BF334" s="65">
        <v>0.0</v>
      </c>
      <c r="BG334" s="65">
        <v>0.0</v>
      </c>
      <c r="BH334" s="65">
        <v>0.0</v>
      </c>
      <c r="BI334" s="65">
        <v>0.0</v>
      </c>
      <c r="BJ334" s="65">
        <v>0.0</v>
      </c>
      <c r="BK334" s="65">
        <v>0.0</v>
      </c>
      <c r="BL334" s="65">
        <v>0.0</v>
      </c>
      <c r="BM334" s="65">
        <v>0.0</v>
      </c>
      <c r="BN334" s="65">
        <v>0.0</v>
      </c>
      <c r="BO334" s="65">
        <v>0.0</v>
      </c>
      <c r="BP334" s="65">
        <v>0.0</v>
      </c>
      <c r="BQ334" s="65">
        <v>0.0</v>
      </c>
      <c r="BR334" s="65">
        <v>0.0</v>
      </c>
      <c r="BS334" s="65">
        <v>0.0</v>
      </c>
      <c r="BT334" s="88">
        <v>0.0</v>
      </c>
      <c r="BU334" s="65">
        <v>0.0</v>
      </c>
      <c r="BV334" s="65">
        <v>0.0</v>
      </c>
      <c r="BW334" s="90">
        <v>0.0</v>
      </c>
      <c r="BX334" s="90">
        <v>0.0</v>
      </c>
      <c r="BY334" s="90" t="str">
        <f t="array" ref="BY334">XLOOKUP(C334,'PL TOTAL D0'!$A$3:$A$1991,'PL TOTAL D0'!$C$3:$C$1991,"")</f>
        <v/>
      </c>
    </row>
    <row r="335" ht="15.75" customHeight="1">
      <c r="A335" s="50" t="s">
        <v>24</v>
      </c>
      <c r="B335" s="50" t="s">
        <v>2069</v>
      </c>
      <c r="C335" s="94" t="s">
        <v>2896</v>
      </c>
      <c r="D335" s="81" t="s">
        <v>120</v>
      </c>
      <c r="E335" s="95" t="s">
        <v>199</v>
      </c>
      <c r="F335" s="81" t="s">
        <v>212</v>
      </c>
      <c r="G335" s="47" t="str">
        <f t="shared" si="13"/>
        <v>David</v>
      </c>
      <c r="H335" s="49" t="s">
        <v>183</v>
      </c>
      <c r="I335" s="49" t="s">
        <v>66</v>
      </c>
      <c r="J335" s="47" t="str">
        <f t="shared" si="18"/>
        <v>Não</v>
      </c>
      <c r="K335" s="97">
        <v>44977.0</v>
      </c>
      <c r="L335" s="62"/>
      <c r="M335" s="32" t="s">
        <v>1349</v>
      </c>
      <c r="N335" s="56">
        <v>0.012</v>
      </c>
      <c r="O335" s="23" t="s">
        <v>66</v>
      </c>
      <c r="P335" s="57">
        <v>0.0</v>
      </c>
      <c r="Q335" s="58"/>
      <c r="R335" s="167" t="s">
        <v>4920</v>
      </c>
      <c r="S335" s="62" t="s">
        <v>194</v>
      </c>
      <c r="T335" s="32" t="s">
        <v>2073</v>
      </c>
      <c r="U335" s="33">
        <v>5.56198133022E12</v>
      </c>
      <c r="V335" s="33" t="s">
        <v>4921</v>
      </c>
      <c r="W335" s="34">
        <v>29033.0</v>
      </c>
      <c r="X335" s="23" t="s">
        <v>199</v>
      </c>
      <c r="Y335" s="49" t="str">
        <f t="shared" si="14"/>
        <v>Ativo</v>
      </c>
      <c r="Z335" s="62"/>
      <c r="AA335" s="32" t="s">
        <v>165</v>
      </c>
      <c r="AB335" s="64" t="s">
        <v>269</v>
      </c>
      <c r="AC335" s="79"/>
      <c r="AD335" s="54">
        <v>44977.0</v>
      </c>
      <c r="AE335" s="77">
        <v>4.9075100006636E13</v>
      </c>
      <c r="AF335" s="79"/>
      <c r="AG335" s="79"/>
      <c r="AH335" s="79"/>
      <c r="AI335" s="65">
        <v>0.0</v>
      </c>
      <c r="AJ335" s="65">
        <v>0.0</v>
      </c>
      <c r="AK335" s="65">
        <v>304867.61</v>
      </c>
      <c r="AL335" s="65">
        <v>360937.54</v>
      </c>
      <c r="AM335" s="65">
        <v>566724.2</v>
      </c>
      <c r="AN335" s="65">
        <v>602522.31</v>
      </c>
      <c r="AO335" s="65">
        <v>627093.7</v>
      </c>
      <c r="AP335" s="65">
        <v>606180.8</v>
      </c>
      <c r="AQ335" s="65">
        <v>604349.54</v>
      </c>
      <c r="AR335" s="65">
        <v>578834.06</v>
      </c>
      <c r="AS335" s="65">
        <v>621068.18</v>
      </c>
      <c r="AT335" s="65">
        <v>651017.26</v>
      </c>
      <c r="AU335" s="65">
        <v>605797.83</v>
      </c>
      <c r="AV335" s="65">
        <v>614550.63</v>
      </c>
      <c r="AW335" s="65">
        <v>625486.55</v>
      </c>
      <c r="AX335" s="65">
        <v>600575.8</v>
      </c>
      <c r="AY335" s="65">
        <v>581362.4</v>
      </c>
      <c r="AZ335" s="65">
        <v>582334.3</v>
      </c>
      <c r="BA335" s="65">
        <v>598421.3</v>
      </c>
      <c r="BB335" s="65">
        <v>611819.21</v>
      </c>
      <c r="BC335" s="65">
        <v>601053.61</v>
      </c>
      <c r="BD335" s="65">
        <v>369103.38</v>
      </c>
      <c r="BE335" s="65">
        <v>318408.79</v>
      </c>
      <c r="BF335" s="65">
        <v>104251.84</v>
      </c>
      <c r="BG335" s="65">
        <v>109551.0</v>
      </c>
      <c r="BH335" s="65">
        <v>111388.88</v>
      </c>
      <c r="BI335" s="65">
        <v>112364.84</v>
      </c>
      <c r="BJ335" s="65">
        <v>114150.26</v>
      </c>
      <c r="BK335" s="65">
        <v>220204.35</v>
      </c>
      <c r="BL335" s="65">
        <v>222551.29</v>
      </c>
      <c r="BM335" s="65">
        <v>224985.76</v>
      </c>
      <c r="BN335" s="65">
        <v>227160.1</v>
      </c>
      <c r="BO335" s="65">
        <v>229375.63</v>
      </c>
      <c r="BP335" s="65">
        <v>231708.9</v>
      </c>
      <c r="BQ335" s="65">
        <v>233816.7</v>
      </c>
      <c r="BR335" s="65">
        <v>235941.4</v>
      </c>
      <c r="BS335" s="65">
        <v>238275.19</v>
      </c>
      <c r="BT335" s="88">
        <v>240434.8</v>
      </c>
      <c r="BU335" s="65">
        <v>243344.1</v>
      </c>
      <c r="BV335" s="65">
        <v>246479.1</v>
      </c>
      <c r="BW335" s="90">
        <v>249820.5</v>
      </c>
      <c r="BX335" s="90">
        <v>252816.82</v>
      </c>
      <c r="BY335" s="90">
        <f t="array" ref="BY335">XLOOKUP(C335,'PL TOTAL D0'!$A$3:$A$1991,'PL TOTAL D0'!$C$3:$C$1991,"")</f>
        <v>507656.38</v>
      </c>
    </row>
    <row r="336" ht="15.75" customHeight="1">
      <c r="A336" s="50" t="s">
        <v>24</v>
      </c>
      <c r="B336" s="50" t="s">
        <v>2069</v>
      </c>
      <c r="C336" s="94" t="s">
        <v>2468</v>
      </c>
      <c r="D336" s="81" t="s">
        <v>120</v>
      </c>
      <c r="E336" s="95" t="s">
        <v>199</v>
      </c>
      <c r="F336" s="81" t="s">
        <v>212</v>
      </c>
      <c r="G336" s="47" t="str">
        <f t="shared" si="13"/>
        <v>Marcus</v>
      </c>
      <c r="H336" s="74" t="s">
        <v>183</v>
      </c>
      <c r="I336" s="74" t="s">
        <v>66</v>
      </c>
      <c r="J336" s="47" t="str">
        <f t="shared" si="18"/>
        <v>Não</v>
      </c>
      <c r="K336" s="97">
        <v>44991.0</v>
      </c>
      <c r="L336" s="62"/>
      <c r="M336" s="62" t="s">
        <v>61</v>
      </c>
      <c r="N336" s="56">
        <v>0.01</v>
      </c>
      <c r="O336" s="47" t="s">
        <v>66</v>
      </c>
      <c r="P336" s="99">
        <v>0.0</v>
      </c>
      <c r="Q336" s="58"/>
      <c r="R336" s="70"/>
      <c r="S336" s="62" t="s">
        <v>194</v>
      </c>
      <c r="T336" s="32" t="s">
        <v>2073</v>
      </c>
      <c r="U336" s="33">
        <v>5.56198133022E12</v>
      </c>
      <c r="V336" s="33" t="s">
        <v>4921</v>
      </c>
      <c r="W336" s="34">
        <v>29033.0</v>
      </c>
      <c r="X336" s="23" t="s">
        <v>199</v>
      </c>
      <c r="Y336" s="49" t="str">
        <f t="shared" si="14"/>
        <v>Ativo</v>
      </c>
      <c r="Z336" s="62"/>
      <c r="AA336" s="32" t="s">
        <v>165</v>
      </c>
      <c r="AB336" s="64" t="s">
        <v>269</v>
      </c>
      <c r="AC336" s="79"/>
      <c r="AD336" s="54">
        <v>44991.0</v>
      </c>
      <c r="AE336" s="77">
        <v>4.9075100008442E13</v>
      </c>
      <c r="AF336" s="79"/>
      <c r="AG336" s="79"/>
      <c r="AH336" s="79"/>
      <c r="AI336" s="79"/>
      <c r="AJ336" s="79"/>
      <c r="AK336" s="65">
        <v>537871.72</v>
      </c>
      <c r="AL336" s="65">
        <v>2246971.91</v>
      </c>
      <c r="AM336" s="65">
        <v>2466852.75</v>
      </c>
      <c r="AN336" s="65">
        <v>2458871.91</v>
      </c>
      <c r="AO336" s="65">
        <v>2466301.64</v>
      </c>
      <c r="AP336" s="65">
        <v>2451968.17</v>
      </c>
      <c r="AQ336" s="65">
        <v>3009986.81</v>
      </c>
      <c r="AR336" s="65">
        <v>3308732.7</v>
      </c>
      <c r="AS336" s="65">
        <v>3370210.56</v>
      </c>
      <c r="AT336" s="65">
        <v>3282974.56</v>
      </c>
      <c r="AU336" s="65">
        <v>3308166.77</v>
      </c>
      <c r="AV336" s="65">
        <v>3333211.42</v>
      </c>
      <c r="AW336" s="65">
        <v>3361260.34</v>
      </c>
      <c r="AX336" s="65">
        <v>3384627.7</v>
      </c>
      <c r="AY336" s="65">
        <v>3470249.0</v>
      </c>
      <c r="AZ336" s="65">
        <v>3493595.0</v>
      </c>
      <c r="BA336" s="65">
        <v>3517465.0</v>
      </c>
      <c r="BB336" s="65">
        <v>3542562.31</v>
      </c>
      <c r="BC336" s="65">
        <v>3560844.67</v>
      </c>
      <c r="BD336" s="65">
        <v>3592711.18</v>
      </c>
      <c r="BE336" s="65">
        <v>3623660.66</v>
      </c>
      <c r="BF336" s="65">
        <v>3766487.67</v>
      </c>
      <c r="BG336" s="65">
        <v>3806058.07</v>
      </c>
      <c r="BH336" s="65">
        <v>3842655.98</v>
      </c>
      <c r="BI336" s="65">
        <v>3880051.31</v>
      </c>
      <c r="BJ336" s="65">
        <v>3918244.14</v>
      </c>
      <c r="BK336" s="65">
        <v>4057342.68</v>
      </c>
      <c r="BL336" s="65">
        <v>4151331.9</v>
      </c>
      <c r="BM336" s="65">
        <v>4195859.46</v>
      </c>
      <c r="BN336" s="65">
        <v>4326638.0</v>
      </c>
      <c r="BO336" s="65">
        <v>4464340.06</v>
      </c>
      <c r="BP336" s="65">
        <v>4664841.0</v>
      </c>
      <c r="BQ336" s="65">
        <v>4699801.0</v>
      </c>
      <c r="BR336" s="65">
        <v>5105329.0</v>
      </c>
      <c r="BS336" s="65">
        <v>5157357.34</v>
      </c>
      <c r="BT336" s="88">
        <v>5183198.0</v>
      </c>
      <c r="BU336" s="65">
        <v>5241452.0</v>
      </c>
      <c r="BV336" s="65">
        <v>5302174.0</v>
      </c>
      <c r="BW336" s="90">
        <v>5720131.0</v>
      </c>
      <c r="BX336" s="90">
        <v>5871681.95</v>
      </c>
      <c r="BY336" s="90">
        <f t="array" ref="BY336">XLOOKUP(C336,'PL TOTAL D0'!$A$3:$A$1991,'PL TOTAL D0'!$C$3:$C$1991,"")</f>
        <v>6072740.61</v>
      </c>
    </row>
    <row r="337" ht="15.75" customHeight="1">
      <c r="A337" s="50" t="s">
        <v>24</v>
      </c>
      <c r="B337" s="50" t="s">
        <v>2069</v>
      </c>
      <c r="C337" s="94" t="s">
        <v>3532</v>
      </c>
      <c r="D337" s="81" t="s">
        <v>120</v>
      </c>
      <c r="E337" s="95" t="s">
        <v>199</v>
      </c>
      <c r="F337" s="81" t="s">
        <v>212</v>
      </c>
      <c r="G337" s="47" t="str">
        <f t="shared" si="13"/>
        <v>David</v>
      </c>
      <c r="H337" s="49" t="s">
        <v>295</v>
      </c>
      <c r="I337" s="49" t="s">
        <v>296</v>
      </c>
      <c r="J337" s="47" t="str">
        <f t="shared" si="18"/>
        <v>Não</v>
      </c>
      <c r="K337" s="97">
        <v>45022.0</v>
      </c>
      <c r="L337" s="62"/>
      <c r="M337" s="32" t="s">
        <v>568</v>
      </c>
      <c r="N337" s="56">
        <v>0.013</v>
      </c>
      <c r="O337" s="23" t="s">
        <v>66</v>
      </c>
      <c r="P337" s="57">
        <v>0.0</v>
      </c>
      <c r="Q337" s="58"/>
      <c r="R337" s="167" t="s">
        <v>4927</v>
      </c>
      <c r="S337" s="62" t="s">
        <v>194</v>
      </c>
      <c r="T337" s="32" t="s">
        <v>2073</v>
      </c>
      <c r="U337" s="33">
        <v>5.56198133022E12</v>
      </c>
      <c r="V337" s="33" t="s">
        <v>4921</v>
      </c>
      <c r="W337" s="34">
        <v>29033.0</v>
      </c>
      <c r="X337" s="23" t="s">
        <v>199</v>
      </c>
      <c r="Y337" s="49" t="str">
        <f t="shared" si="14"/>
        <v>Ativo</v>
      </c>
      <c r="Z337" s="62"/>
      <c r="AA337" s="32" t="s">
        <v>165</v>
      </c>
      <c r="AB337" s="64" t="s">
        <v>269</v>
      </c>
      <c r="AC337" s="79"/>
      <c r="AD337" s="54">
        <v>45022.0</v>
      </c>
      <c r="AE337" s="77">
        <v>4.9075100008825E13</v>
      </c>
      <c r="AF337" s="79"/>
      <c r="AG337" s="79"/>
      <c r="AH337" s="79"/>
      <c r="AI337" s="65">
        <v>0.0</v>
      </c>
      <c r="AJ337" s="65">
        <v>0.0</v>
      </c>
      <c r="AK337" s="65">
        <v>37824.0</v>
      </c>
      <c r="AL337" s="65">
        <v>38658.35</v>
      </c>
      <c r="AM337" s="65">
        <v>214989.41</v>
      </c>
      <c r="AN337" s="65">
        <v>214322.39</v>
      </c>
      <c r="AO337" s="65">
        <v>218300.7</v>
      </c>
      <c r="AP337" s="65">
        <v>224362.58</v>
      </c>
      <c r="AQ337" s="65">
        <v>223020.61</v>
      </c>
      <c r="AR337" s="65">
        <v>1501.8</v>
      </c>
      <c r="AS337" s="65">
        <v>1412.42</v>
      </c>
      <c r="AT337" s="65">
        <v>1424.5</v>
      </c>
      <c r="AU337" s="65">
        <v>1437.56</v>
      </c>
      <c r="AV337" s="65">
        <v>1453.03</v>
      </c>
      <c r="AW337" s="65">
        <v>1464.62</v>
      </c>
      <c r="AX337" s="65">
        <v>1476.93</v>
      </c>
      <c r="AY337" s="65">
        <v>1477.86</v>
      </c>
      <c r="AZ337" s="65">
        <v>1489.09</v>
      </c>
      <c r="BA337" s="65">
        <v>1501.94</v>
      </c>
      <c r="BB337" s="65">
        <v>1514.44</v>
      </c>
      <c r="BC337" s="65">
        <v>1526.53</v>
      </c>
      <c r="BD337" s="65">
        <v>1540.12</v>
      </c>
      <c r="BE337" s="65">
        <v>1540.77</v>
      </c>
      <c r="BF337" s="65">
        <v>100499.61</v>
      </c>
      <c r="BG337" s="65">
        <v>103683.88</v>
      </c>
      <c r="BH337" s="65">
        <v>100589.68</v>
      </c>
      <c r="BI337" s="65">
        <v>101685.02</v>
      </c>
      <c r="BJ337" s="65">
        <v>102249.94</v>
      </c>
      <c r="BK337" s="65">
        <v>243460.74</v>
      </c>
      <c r="BL337" s="65">
        <v>1.6</v>
      </c>
      <c r="BM337" s="65">
        <v>61.79</v>
      </c>
      <c r="BN337" s="65">
        <v>61.79</v>
      </c>
      <c r="BO337" s="65">
        <v>2.27</v>
      </c>
      <c r="BP337" s="65">
        <v>2.27</v>
      </c>
      <c r="BQ337" s="65">
        <v>2.27</v>
      </c>
      <c r="BR337" s="65">
        <v>2.27</v>
      </c>
      <c r="BS337" s="65">
        <v>2.27</v>
      </c>
      <c r="BT337" s="88">
        <v>2.27</v>
      </c>
      <c r="BU337" s="65">
        <v>2.27</v>
      </c>
      <c r="BV337" s="65">
        <v>100731.4</v>
      </c>
      <c r="BW337" s="90">
        <v>101573.7</v>
      </c>
      <c r="BX337" s="90">
        <v>102163.86</v>
      </c>
      <c r="BY337" s="90">
        <f t="array" ref="BY337">XLOOKUP(C337,'PL TOTAL D0'!$A$3:$A$1991,'PL TOTAL D0'!$C$3:$C$1991,"")</f>
        <v>16689.68</v>
      </c>
    </row>
    <row r="338" ht="15.75" customHeight="1">
      <c r="A338" s="50" t="s">
        <v>24</v>
      </c>
      <c r="B338" s="50" t="s">
        <v>2069</v>
      </c>
      <c r="C338" s="94" t="s">
        <v>3284</v>
      </c>
      <c r="D338" s="81" t="s">
        <v>120</v>
      </c>
      <c r="E338" s="95" t="s">
        <v>199</v>
      </c>
      <c r="F338" s="81" t="s">
        <v>212</v>
      </c>
      <c r="G338" s="47" t="str">
        <f t="shared" si="13"/>
        <v>David</v>
      </c>
      <c r="H338" s="49" t="s">
        <v>183</v>
      </c>
      <c r="I338" s="49" t="s">
        <v>66</v>
      </c>
      <c r="J338" s="47" t="str">
        <f t="shared" si="18"/>
        <v>Não</v>
      </c>
      <c r="K338" s="97">
        <v>44972.0</v>
      </c>
      <c r="L338" s="62"/>
      <c r="M338" s="27" t="s">
        <v>1142</v>
      </c>
      <c r="N338" s="56">
        <v>0.01</v>
      </c>
      <c r="O338" s="47" t="s">
        <v>66</v>
      </c>
      <c r="P338" s="99">
        <v>0.0</v>
      </c>
      <c r="Q338" s="58"/>
      <c r="R338" s="167" t="s">
        <v>4930</v>
      </c>
      <c r="S338" s="62" t="s">
        <v>194</v>
      </c>
      <c r="T338" s="32" t="s">
        <v>2073</v>
      </c>
      <c r="U338" s="33">
        <v>5.56198133022E12</v>
      </c>
      <c r="V338" s="33" t="s">
        <v>4921</v>
      </c>
      <c r="W338" s="34">
        <v>29033.0</v>
      </c>
      <c r="X338" s="23" t="s">
        <v>199</v>
      </c>
      <c r="Y338" s="49" t="str">
        <f t="shared" si="14"/>
        <v>Ativo</v>
      </c>
      <c r="Z338" s="62"/>
      <c r="AA338" s="32" t="s">
        <v>165</v>
      </c>
      <c r="AB338" s="64" t="s">
        <v>269</v>
      </c>
      <c r="AC338" s="79"/>
      <c r="AD338" s="54">
        <v>44972.0</v>
      </c>
      <c r="AE338" s="77">
        <v>4.907510000568E13</v>
      </c>
      <c r="AF338" s="79"/>
      <c r="AG338" s="79"/>
      <c r="AH338" s="79"/>
      <c r="AI338" s="65">
        <v>0.0</v>
      </c>
      <c r="AJ338" s="65">
        <v>1835034.42</v>
      </c>
      <c r="AK338" s="65">
        <v>2311316.92</v>
      </c>
      <c r="AL338" s="65">
        <v>571325.29</v>
      </c>
      <c r="AM338" s="65">
        <v>212181.64</v>
      </c>
      <c r="AN338" s="65">
        <v>214409.69</v>
      </c>
      <c r="AO338" s="65">
        <v>216544.32</v>
      </c>
      <c r="AP338" s="65">
        <v>218840.55</v>
      </c>
      <c r="AQ338" s="65">
        <v>220920.24</v>
      </c>
      <c r="AR338" s="65">
        <v>223089.66</v>
      </c>
      <c r="AS338" s="65">
        <v>152211.67</v>
      </c>
      <c r="AT338" s="65">
        <v>153494.05</v>
      </c>
      <c r="AU338" s="65">
        <v>154846.61</v>
      </c>
      <c r="AV338" s="65">
        <v>156012.71</v>
      </c>
      <c r="AW338" s="65">
        <v>157321.63</v>
      </c>
      <c r="AX338" s="65">
        <v>158669.28</v>
      </c>
      <c r="AY338" s="65">
        <v>159996.1</v>
      </c>
      <c r="AZ338" s="65">
        <v>161197.8</v>
      </c>
      <c r="BA338" s="65">
        <v>163534.1</v>
      </c>
      <c r="BB338" s="65">
        <v>164947.13</v>
      </c>
      <c r="BC338" s="65">
        <v>166321.36</v>
      </c>
      <c r="BD338" s="65">
        <v>835.1</v>
      </c>
      <c r="BE338" s="65">
        <v>0.0</v>
      </c>
      <c r="BF338" s="65">
        <v>0.15</v>
      </c>
      <c r="BG338" s="65">
        <v>0.15</v>
      </c>
      <c r="BH338" s="65">
        <v>0.0</v>
      </c>
      <c r="BI338" s="65">
        <v>0.0</v>
      </c>
      <c r="BJ338" s="65">
        <v>0.0</v>
      </c>
      <c r="BK338" s="65">
        <v>0.0</v>
      </c>
      <c r="BL338" s="65">
        <v>0.0</v>
      </c>
      <c r="BM338" s="65">
        <v>0.0</v>
      </c>
      <c r="BN338" s="65">
        <v>0.0</v>
      </c>
      <c r="BO338" s="65">
        <v>0.0</v>
      </c>
      <c r="BP338" s="65">
        <v>0.0</v>
      </c>
      <c r="BQ338" s="65">
        <v>0.0</v>
      </c>
      <c r="BR338" s="65">
        <v>0.0</v>
      </c>
      <c r="BS338" s="65">
        <v>0.0</v>
      </c>
      <c r="BT338" s="88">
        <v>0.0</v>
      </c>
      <c r="BU338" s="65">
        <v>0.0</v>
      </c>
      <c r="BV338" s="65">
        <v>0.0</v>
      </c>
      <c r="BW338" s="90">
        <v>100299.4</v>
      </c>
      <c r="BX338" s="90">
        <v>98993.02</v>
      </c>
      <c r="BY338" s="90">
        <f t="array" ref="BY338">XLOOKUP(C338,'PL TOTAL D0'!$A$3:$A$1991,'PL TOTAL D0'!$C$3:$C$1991,"")</f>
        <v>114395.81</v>
      </c>
    </row>
    <row r="339" ht="15.75" customHeight="1">
      <c r="A339" s="43" t="s">
        <v>24</v>
      </c>
      <c r="B339" s="43" t="s">
        <v>4935</v>
      </c>
      <c r="C339" s="94" t="s">
        <v>3272</v>
      </c>
      <c r="D339" s="30" t="s">
        <v>365</v>
      </c>
      <c r="E339" s="22" t="s">
        <v>199</v>
      </c>
      <c r="F339" s="30" t="s">
        <v>1111</v>
      </c>
      <c r="G339" s="47" t="str">
        <f t="shared" si="13"/>
        <v>Gabriel</v>
      </c>
      <c r="H339" s="49" t="s">
        <v>183</v>
      </c>
      <c r="I339" s="49" t="s">
        <v>66</v>
      </c>
      <c r="J339" s="47" t="str">
        <f t="shared" si="18"/>
        <v>Sim</v>
      </c>
      <c r="K339" s="54">
        <v>45345.0</v>
      </c>
      <c r="L339" s="62"/>
      <c r="M339" s="27" t="s">
        <v>61</v>
      </c>
      <c r="N339" s="29">
        <v>0.012</v>
      </c>
      <c r="O339" s="23" t="s">
        <v>66</v>
      </c>
      <c r="P339" s="57">
        <v>0.0</v>
      </c>
      <c r="Q339" s="58" t="s">
        <v>4936</v>
      </c>
      <c r="R339" s="70"/>
      <c r="S339" s="32" t="s">
        <v>194</v>
      </c>
      <c r="T339" s="22" t="s">
        <v>4937</v>
      </c>
      <c r="U339" s="33">
        <v>6.198172579E10</v>
      </c>
      <c r="V339" s="33" t="s">
        <v>4938</v>
      </c>
      <c r="W339" s="34">
        <v>20181.0</v>
      </c>
      <c r="X339" s="23" t="s">
        <v>199</v>
      </c>
      <c r="Y339" s="49" t="str">
        <f t="shared" si="14"/>
        <v>Ativo</v>
      </c>
      <c r="Z339" s="62"/>
      <c r="AA339" s="62"/>
      <c r="AB339" s="64" t="s">
        <v>269</v>
      </c>
      <c r="AC339" s="79"/>
      <c r="AD339" s="54">
        <v>45345.0</v>
      </c>
      <c r="AE339" s="77">
        <v>4.9075100013322E13</v>
      </c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65">
        <v>1047010.15</v>
      </c>
      <c r="AW339" s="65">
        <v>1053898.68</v>
      </c>
      <c r="AX339" s="65">
        <v>1058550.38</v>
      </c>
      <c r="AY339" s="65">
        <v>1066585.0</v>
      </c>
      <c r="AZ339" s="65">
        <v>1074464.0</v>
      </c>
      <c r="BA339" s="65">
        <v>1068213.0</v>
      </c>
      <c r="BB339" s="65">
        <v>1076685.77</v>
      </c>
      <c r="BC339" s="65">
        <v>1053978.22</v>
      </c>
      <c r="BD339" s="65">
        <v>1063306.97</v>
      </c>
      <c r="BE339" s="65">
        <v>1050811.21</v>
      </c>
      <c r="BF339" s="65">
        <v>1027583.32</v>
      </c>
      <c r="BG339" s="65">
        <v>982153.28</v>
      </c>
      <c r="BH339" s="65">
        <v>528325.37</v>
      </c>
      <c r="BI339" s="65">
        <v>533412.19</v>
      </c>
      <c r="BJ339" s="65">
        <v>539301.05</v>
      </c>
      <c r="BK339" s="65">
        <v>536404.13</v>
      </c>
      <c r="BL339" s="65">
        <v>511365.68</v>
      </c>
      <c r="BM339" s="65">
        <v>516806.61</v>
      </c>
      <c r="BN339" s="65">
        <v>521751.6</v>
      </c>
      <c r="BO339" s="65">
        <v>526435.1</v>
      </c>
      <c r="BP339" s="65">
        <v>532284.5</v>
      </c>
      <c r="BQ339" s="65">
        <v>501511.9</v>
      </c>
      <c r="BR339" s="65">
        <v>465133.0</v>
      </c>
      <c r="BS339" s="65">
        <v>439548.46</v>
      </c>
      <c r="BT339" s="88">
        <v>381688.6</v>
      </c>
      <c r="BU339" s="65">
        <v>382818.1</v>
      </c>
      <c r="BV339" s="65">
        <v>342673.4</v>
      </c>
      <c r="BW339" s="90">
        <v>302129.6</v>
      </c>
      <c r="BX339" s="90">
        <v>150045.04</v>
      </c>
      <c r="BY339" s="90">
        <f t="array" ref="BY339">XLOOKUP(C339,'PL TOTAL D0'!$A$3:$A$1991,'PL TOTAL D0'!$C$3:$C$1991,"")</f>
        <v>119353.01</v>
      </c>
    </row>
    <row r="340" ht="15.75" customHeight="1">
      <c r="A340" s="43" t="s">
        <v>24</v>
      </c>
      <c r="B340" s="43" t="s">
        <v>4942</v>
      </c>
      <c r="C340" s="94" t="s">
        <v>4943</v>
      </c>
      <c r="D340" s="30" t="s">
        <v>120</v>
      </c>
      <c r="E340" s="22" t="s">
        <v>54</v>
      </c>
      <c r="F340" s="30" t="s">
        <v>125</v>
      </c>
      <c r="G340" s="47" t="str">
        <f t="shared" si="13"/>
        <v>David</v>
      </c>
      <c r="H340" s="49" t="s">
        <v>224</v>
      </c>
      <c r="I340" s="49" t="s">
        <v>66</v>
      </c>
      <c r="J340" s="47" t="str">
        <f t="shared" si="18"/>
        <v>Não</v>
      </c>
      <c r="K340" s="54">
        <v>45586.0</v>
      </c>
      <c r="L340" s="55">
        <v>45931.0</v>
      </c>
      <c r="M340" s="27" t="s">
        <v>61</v>
      </c>
      <c r="N340" s="29">
        <v>0.012</v>
      </c>
      <c r="O340" s="23" t="s">
        <v>66</v>
      </c>
      <c r="P340" s="57">
        <v>0.0</v>
      </c>
      <c r="Q340" s="58"/>
      <c r="R340" s="70"/>
      <c r="S340" s="32" t="s">
        <v>194</v>
      </c>
      <c r="T340" s="22" t="s">
        <v>4945</v>
      </c>
      <c r="U340" s="33">
        <v>5.562992455989E12</v>
      </c>
      <c r="V340" s="33" t="s">
        <v>4946</v>
      </c>
      <c r="W340" s="34">
        <v>24250.0</v>
      </c>
      <c r="X340" s="23" t="s">
        <v>54</v>
      </c>
      <c r="Y340" s="49" t="str">
        <f t="shared" si="14"/>
        <v>Encerrado</v>
      </c>
      <c r="Z340" s="62"/>
      <c r="AA340" s="32" t="s">
        <v>47</v>
      </c>
      <c r="AB340" s="64"/>
      <c r="AC340" s="79"/>
      <c r="AD340" s="54">
        <v>45586.0</v>
      </c>
      <c r="AE340" s="77">
        <v>4.9075100016011E13</v>
      </c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65"/>
      <c r="AW340" s="65"/>
      <c r="AX340" s="65"/>
      <c r="AY340" s="65"/>
      <c r="AZ340" s="65"/>
      <c r="BA340" s="65"/>
      <c r="BB340" s="65"/>
      <c r="BC340" s="65"/>
      <c r="BD340" s="65">
        <v>254438.32</v>
      </c>
      <c r="BE340" s="65">
        <v>435813.17</v>
      </c>
      <c r="BF340" s="65">
        <v>540722.48</v>
      </c>
      <c r="BG340" s="65">
        <v>546063.18</v>
      </c>
      <c r="BH340" s="65">
        <v>547398.41</v>
      </c>
      <c r="BI340" s="65">
        <v>553780.12</v>
      </c>
      <c r="BJ340" s="65">
        <v>559160.96</v>
      </c>
      <c r="BK340" s="65">
        <v>595046.86</v>
      </c>
      <c r="BL340" s="65">
        <v>614447.18</v>
      </c>
      <c r="BM340" s="65">
        <v>620852.64</v>
      </c>
      <c r="BN340" s="65">
        <v>626886.1</v>
      </c>
      <c r="BO340" s="65">
        <v>630914.68</v>
      </c>
      <c r="BP340" s="65">
        <v>0.0</v>
      </c>
      <c r="BQ340" s="65">
        <v>0.0</v>
      </c>
      <c r="BR340" s="65">
        <v>0.0</v>
      </c>
      <c r="BS340" s="65">
        <v>0.0</v>
      </c>
      <c r="BT340" s="88">
        <v>0.0</v>
      </c>
      <c r="BU340" s="65">
        <v>0.0</v>
      </c>
      <c r="BV340" s="65">
        <v>0.0</v>
      </c>
      <c r="BW340" s="90">
        <v>0.0</v>
      </c>
      <c r="BX340" s="90">
        <v>0.0</v>
      </c>
      <c r="BY340" s="90" t="str">
        <f t="array" ref="BY340">XLOOKUP(C340,'PL TOTAL D0'!$A$3:$A$1991,'PL TOTAL D0'!$C$3:$C$1991,"")</f>
        <v/>
      </c>
    </row>
    <row r="341" ht="15.75" customHeight="1">
      <c r="A341" s="50" t="s">
        <v>24</v>
      </c>
      <c r="B341" s="50" t="s">
        <v>4950</v>
      </c>
      <c r="C341" s="94" t="s">
        <v>4951</v>
      </c>
      <c r="D341" s="81" t="s">
        <v>255</v>
      </c>
      <c r="E341" s="95" t="s">
        <v>199</v>
      </c>
      <c r="F341" s="81" t="s">
        <v>4952</v>
      </c>
      <c r="G341" s="47" t="str">
        <f t="shared" si="13"/>
        <v>David</v>
      </c>
      <c r="H341" s="74" t="s">
        <v>224</v>
      </c>
      <c r="I341" s="74" t="s">
        <v>66</v>
      </c>
      <c r="J341" s="47" t="str">
        <f t="shared" si="18"/>
        <v>Não</v>
      </c>
      <c r="K341" s="97">
        <v>45070.0</v>
      </c>
      <c r="L341" s="194">
        <v>45121.0</v>
      </c>
      <c r="M341" s="62" t="s">
        <v>209</v>
      </c>
      <c r="N341" s="98">
        <v>0.016</v>
      </c>
      <c r="O341" s="47" t="s">
        <v>35</v>
      </c>
      <c r="P341" s="99">
        <v>0.1</v>
      </c>
      <c r="Q341" s="58"/>
      <c r="R341" s="70"/>
      <c r="S341" s="62" t="s">
        <v>194</v>
      </c>
      <c r="T341" s="32" t="s">
        <v>4953</v>
      </c>
      <c r="U341" s="33" t="s">
        <v>268</v>
      </c>
      <c r="V341" s="33"/>
      <c r="W341" s="33" t="s">
        <v>268</v>
      </c>
      <c r="X341" s="23" t="s">
        <v>475</v>
      </c>
      <c r="Y341" s="49" t="str">
        <f t="shared" si="14"/>
        <v>Encerrado</v>
      </c>
      <c r="Z341" s="62"/>
      <c r="AA341" s="62"/>
      <c r="AB341" s="64"/>
      <c r="AC341" s="79"/>
      <c r="AD341" s="54">
        <v>45070.0</v>
      </c>
      <c r="AE341" s="77"/>
      <c r="AF341" s="79"/>
      <c r="AG341" s="79"/>
      <c r="AH341" s="79"/>
      <c r="AI341" s="79"/>
      <c r="AJ341" s="79"/>
      <c r="AK341" s="79"/>
      <c r="AL341" s="65">
        <v>0.0</v>
      </c>
      <c r="AM341" s="65">
        <v>1404159.84</v>
      </c>
      <c r="AN341" s="65">
        <v>1410022.14</v>
      </c>
      <c r="AO341" s="65">
        <v>0.0</v>
      </c>
      <c r="AP341" s="65">
        <v>0.0</v>
      </c>
      <c r="AQ341" s="65">
        <v>0.0</v>
      </c>
      <c r="AR341" s="65">
        <v>0.0</v>
      </c>
      <c r="AS341" s="65">
        <v>0.0</v>
      </c>
      <c r="AT341" s="65">
        <v>0.0</v>
      </c>
      <c r="AU341" s="65">
        <v>0.0</v>
      </c>
      <c r="AV341" s="65">
        <v>0.0</v>
      </c>
      <c r="AW341" s="65">
        <v>0.0</v>
      </c>
      <c r="AX341" s="65">
        <v>0.0</v>
      </c>
      <c r="AY341" s="65">
        <v>0.0</v>
      </c>
      <c r="AZ341" s="65">
        <v>0.0</v>
      </c>
      <c r="BA341" s="65">
        <v>0.0</v>
      </c>
      <c r="BB341" s="65">
        <v>0.0</v>
      </c>
      <c r="BC341" s="65">
        <v>0.0</v>
      </c>
      <c r="BD341" s="65">
        <v>0.0</v>
      </c>
      <c r="BE341" s="65">
        <v>0.0</v>
      </c>
      <c r="BF341" s="65">
        <v>0.0</v>
      </c>
      <c r="BG341" s="65">
        <v>0.0</v>
      </c>
      <c r="BH341" s="65">
        <v>0.0</v>
      </c>
      <c r="BI341" s="65">
        <v>0.0</v>
      </c>
      <c r="BJ341" s="65">
        <v>0.0</v>
      </c>
      <c r="BK341" s="65">
        <v>0.0</v>
      </c>
      <c r="BL341" s="65">
        <v>0.0</v>
      </c>
      <c r="BM341" s="65">
        <v>0.0</v>
      </c>
      <c r="BN341" s="65">
        <v>0.0</v>
      </c>
      <c r="BO341" s="65">
        <v>0.0</v>
      </c>
      <c r="BP341" s="65">
        <v>0.0</v>
      </c>
      <c r="BQ341" s="65">
        <v>0.0</v>
      </c>
      <c r="BR341" s="65">
        <v>0.0</v>
      </c>
      <c r="BS341" s="65">
        <v>0.0</v>
      </c>
      <c r="BT341" s="88">
        <v>0.0</v>
      </c>
      <c r="BU341" s="65">
        <v>0.0</v>
      </c>
      <c r="BV341" s="65">
        <v>0.0</v>
      </c>
      <c r="BW341" s="90">
        <v>0.0</v>
      </c>
      <c r="BX341" s="90">
        <v>0.0</v>
      </c>
      <c r="BY341" s="90" t="str">
        <f t="array" ref="BY341">XLOOKUP(C341,'PL TOTAL D0'!$A$3:$A$1991,'PL TOTAL D0'!$C$3:$C$1991,"")</f>
        <v/>
      </c>
    </row>
    <row r="342" ht="15.75" customHeight="1">
      <c r="A342" s="50" t="s">
        <v>24</v>
      </c>
      <c r="B342" s="43" t="s">
        <v>4954</v>
      </c>
      <c r="C342" s="94" t="s">
        <v>4955</v>
      </c>
      <c r="D342" s="30" t="s">
        <v>1664</v>
      </c>
      <c r="E342" s="22" t="s">
        <v>54</v>
      </c>
      <c r="F342" s="30" t="s">
        <v>1667</v>
      </c>
      <c r="G342" s="47" t="str">
        <f t="shared" si="13"/>
        <v>David</v>
      </c>
      <c r="H342" s="49" t="s">
        <v>224</v>
      </c>
      <c r="I342" s="49" t="s">
        <v>66</v>
      </c>
      <c r="J342" s="47" t="str">
        <f t="shared" si="18"/>
        <v>Não</v>
      </c>
      <c r="K342" s="54">
        <v>45600.0</v>
      </c>
      <c r="L342" s="55">
        <v>45966.0</v>
      </c>
      <c r="M342" s="32" t="s">
        <v>61</v>
      </c>
      <c r="N342" s="56">
        <v>0.012</v>
      </c>
      <c r="O342" s="23" t="s">
        <v>66</v>
      </c>
      <c r="P342" s="57">
        <v>0.0</v>
      </c>
      <c r="Q342" s="58"/>
      <c r="R342" s="58" t="s">
        <v>610</v>
      </c>
      <c r="S342" s="32" t="s">
        <v>194</v>
      </c>
      <c r="T342" s="32" t="s">
        <v>4959</v>
      </c>
      <c r="U342" s="33" t="s">
        <v>268</v>
      </c>
      <c r="V342" s="33"/>
      <c r="W342" s="33" t="s">
        <v>268</v>
      </c>
      <c r="X342" s="23" t="s">
        <v>475</v>
      </c>
      <c r="Y342" s="49" t="str">
        <f t="shared" si="14"/>
        <v>Encerrado</v>
      </c>
      <c r="Z342" s="62"/>
      <c r="AA342" s="32" t="s">
        <v>107</v>
      </c>
      <c r="AB342" s="64"/>
      <c r="AC342" s="79"/>
      <c r="AD342" s="54">
        <v>45618.0</v>
      </c>
      <c r="AE342" s="77">
        <v>4.9075100016348E13</v>
      </c>
      <c r="AF342" s="79"/>
      <c r="AG342" s="79"/>
      <c r="AH342" s="79"/>
      <c r="AI342" s="79"/>
      <c r="AJ342" s="79"/>
      <c r="AK342" s="79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>
        <v>52078.57</v>
      </c>
      <c r="BF342" s="65">
        <v>158282.84</v>
      </c>
      <c r="BG342" s="65">
        <v>161601.46</v>
      </c>
      <c r="BH342" s="65">
        <v>166473.79</v>
      </c>
      <c r="BI342" s="65">
        <v>234247.5</v>
      </c>
      <c r="BJ342" s="65">
        <v>236708.55</v>
      </c>
      <c r="BK342" s="65">
        <v>240813.05</v>
      </c>
      <c r="BL342" s="65">
        <v>246725.12</v>
      </c>
      <c r="BM342" s="65">
        <v>0.0</v>
      </c>
      <c r="BN342" s="65">
        <v>0.0</v>
      </c>
      <c r="BO342" s="65">
        <v>0.0</v>
      </c>
      <c r="BP342" s="65">
        <v>0.0</v>
      </c>
      <c r="BQ342" s="65">
        <v>0.0</v>
      </c>
      <c r="BR342" s="65">
        <v>0.0</v>
      </c>
      <c r="BS342" s="65">
        <v>0.0</v>
      </c>
      <c r="BT342" s="88">
        <v>0.0</v>
      </c>
      <c r="BU342" s="65">
        <v>0.0</v>
      </c>
      <c r="BV342" s="65">
        <v>0.0</v>
      </c>
      <c r="BW342" s="90">
        <v>0.0</v>
      </c>
      <c r="BX342" s="90">
        <v>0.0</v>
      </c>
      <c r="BY342" s="90" t="str">
        <f t="array" ref="BY342">XLOOKUP(C342,'PL TOTAL D0'!$A$3:$A$1991,'PL TOTAL D0'!$C$3:$C$1991,"")</f>
        <v/>
      </c>
    </row>
    <row r="343" ht="15.75" customHeight="1">
      <c r="A343" s="50" t="s">
        <v>24</v>
      </c>
      <c r="B343" s="646" t="s">
        <v>4961</v>
      </c>
      <c r="C343" s="94" t="s">
        <v>4962</v>
      </c>
      <c r="D343" s="81" t="s">
        <v>120</v>
      </c>
      <c r="E343" s="95" t="s">
        <v>54</v>
      </c>
      <c r="F343" s="81" t="s">
        <v>348</v>
      </c>
      <c r="G343" s="47" t="str">
        <f t="shared" si="13"/>
        <v>David</v>
      </c>
      <c r="H343" s="49" t="s">
        <v>295</v>
      </c>
      <c r="I343" s="74" t="s">
        <v>382</v>
      </c>
      <c r="J343" s="47" t="str">
        <f t="shared" si="18"/>
        <v>Não</v>
      </c>
      <c r="K343" s="97">
        <v>45204.0</v>
      </c>
      <c r="L343" s="194"/>
      <c r="M343" s="62" t="s">
        <v>61</v>
      </c>
      <c r="N343" s="98">
        <v>0.012</v>
      </c>
      <c r="O343" s="47" t="s">
        <v>66</v>
      </c>
      <c r="P343" s="99">
        <v>0.0</v>
      </c>
      <c r="Q343" s="58"/>
      <c r="R343" s="70"/>
      <c r="S343" s="62" t="s">
        <v>194</v>
      </c>
      <c r="T343" s="32" t="s">
        <v>4963</v>
      </c>
      <c r="U343" s="33">
        <v>5.561982092226E12</v>
      </c>
      <c r="V343" s="33" t="s">
        <v>4964</v>
      </c>
      <c r="W343" s="34">
        <v>37734.0</v>
      </c>
      <c r="X343" s="23" t="s">
        <v>54</v>
      </c>
      <c r="Y343" s="49" t="str">
        <f t="shared" si="14"/>
        <v>Inativo</v>
      </c>
      <c r="Z343" s="62"/>
      <c r="AA343" s="62"/>
      <c r="AB343" s="64" t="s">
        <v>269</v>
      </c>
      <c r="AC343" s="79"/>
      <c r="AD343" s="54">
        <v>45204.0</v>
      </c>
      <c r="AE343" s="77">
        <v>4.9075100011346E13</v>
      </c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65">
        <v>0.0</v>
      </c>
      <c r="AR343" s="65">
        <v>0.0</v>
      </c>
      <c r="AS343" s="65">
        <v>0.0</v>
      </c>
      <c r="AT343" s="65">
        <v>0.0</v>
      </c>
      <c r="AU343" s="65">
        <v>0.0</v>
      </c>
      <c r="AV343" s="65">
        <v>0.0</v>
      </c>
      <c r="AW343" s="65">
        <v>0.0</v>
      </c>
      <c r="AX343" s="65">
        <v>0.0</v>
      </c>
      <c r="AY343" s="65">
        <v>0.0</v>
      </c>
      <c r="AZ343" s="65">
        <v>0.0</v>
      </c>
      <c r="BA343" s="65">
        <v>0.0</v>
      </c>
      <c r="BB343" s="65">
        <v>0.0</v>
      </c>
      <c r="BC343" s="65">
        <v>0.0</v>
      </c>
      <c r="BD343" s="65">
        <v>0.0</v>
      </c>
      <c r="BE343" s="65">
        <v>0.0</v>
      </c>
      <c r="BF343" s="65">
        <v>0.0</v>
      </c>
      <c r="BG343" s="65">
        <v>0.0</v>
      </c>
      <c r="BH343" s="65">
        <v>0.0</v>
      </c>
      <c r="BI343" s="65">
        <v>0.0</v>
      </c>
      <c r="BJ343" s="65">
        <v>0.0</v>
      </c>
      <c r="BK343" s="65">
        <v>0.0</v>
      </c>
      <c r="BL343" s="65">
        <v>0.0</v>
      </c>
      <c r="BM343" s="65">
        <v>0.0</v>
      </c>
      <c r="BN343" s="65">
        <v>0.0</v>
      </c>
      <c r="BO343" s="65">
        <v>0.0</v>
      </c>
      <c r="BP343" s="65">
        <v>0.0</v>
      </c>
      <c r="BQ343" s="65">
        <v>0.0</v>
      </c>
      <c r="BR343" s="65">
        <v>0.0</v>
      </c>
      <c r="BS343" s="65">
        <v>0.0</v>
      </c>
      <c r="BT343" s="88">
        <v>0.0</v>
      </c>
      <c r="BU343" s="65">
        <v>0.0</v>
      </c>
      <c r="BV343" s="65">
        <v>0.0</v>
      </c>
      <c r="BW343" s="90">
        <v>0.0</v>
      </c>
      <c r="BX343" s="90">
        <v>0.0</v>
      </c>
      <c r="BY343" s="90" t="str">
        <f t="array" ref="BY343">XLOOKUP(C343,'PL TOTAL D0'!$A$3:$A$1991,'PL TOTAL D0'!$C$3:$C$1991,"")</f>
        <v/>
      </c>
    </row>
    <row r="344" ht="15.75" customHeight="1">
      <c r="A344" s="50" t="s">
        <v>24</v>
      </c>
      <c r="B344" s="50" t="s">
        <v>4592</v>
      </c>
      <c r="C344" s="94" t="s">
        <v>4967</v>
      </c>
      <c r="D344" s="81" t="s">
        <v>120</v>
      </c>
      <c r="E344" s="95" t="s">
        <v>54</v>
      </c>
      <c r="F344" s="81" t="s">
        <v>125</v>
      </c>
      <c r="G344" s="47" t="str">
        <f t="shared" si="13"/>
        <v>David</v>
      </c>
      <c r="H344" s="49" t="s">
        <v>224</v>
      </c>
      <c r="I344" s="49" t="s">
        <v>66</v>
      </c>
      <c r="J344" s="47" t="str">
        <f t="shared" si="18"/>
        <v>Não</v>
      </c>
      <c r="K344" s="97">
        <v>44974.0</v>
      </c>
      <c r="L344" s="121">
        <v>45636.0</v>
      </c>
      <c r="M344" s="62" t="s">
        <v>61</v>
      </c>
      <c r="N344" s="98">
        <v>0.01</v>
      </c>
      <c r="O344" s="47" t="s">
        <v>66</v>
      </c>
      <c r="P344" s="99">
        <v>0.0</v>
      </c>
      <c r="Q344" s="58"/>
      <c r="R344" s="70"/>
      <c r="S344" s="62" t="s">
        <v>194</v>
      </c>
      <c r="T344" s="32" t="s">
        <v>4591</v>
      </c>
      <c r="U344" s="33" t="s">
        <v>268</v>
      </c>
      <c r="V344" s="33"/>
      <c r="W344" s="33" t="s">
        <v>268</v>
      </c>
      <c r="X344" s="23" t="s">
        <v>54</v>
      </c>
      <c r="Y344" s="49" t="str">
        <f t="shared" si="14"/>
        <v>Encerrado</v>
      </c>
      <c r="Z344" s="62"/>
      <c r="AA344" s="62"/>
      <c r="AB344" s="64" t="s">
        <v>269</v>
      </c>
      <c r="AC344" s="79"/>
      <c r="AD344" s="54">
        <v>44974.0</v>
      </c>
      <c r="AE344" s="77">
        <v>4.9075100005699E13</v>
      </c>
      <c r="AF344" s="79"/>
      <c r="AG344" s="79"/>
      <c r="AH344" s="79"/>
      <c r="AI344" s="65">
        <v>0.0</v>
      </c>
      <c r="AJ344" s="65">
        <v>20003.03</v>
      </c>
      <c r="AK344" s="65">
        <v>20207.06</v>
      </c>
      <c r="AL344" s="65">
        <v>32783.39</v>
      </c>
      <c r="AM344" s="65">
        <v>23401.9</v>
      </c>
      <c r="AN344" s="65">
        <v>7154.16</v>
      </c>
      <c r="AO344" s="65">
        <v>7194.8</v>
      </c>
      <c r="AP344" s="65">
        <v>32273.1</v>
      </c>
      <c r="AQ344" s="65">
        <v>32552.76</v>
      </c>
      <c r="AR344" s="65">
        <v>32798.24</v>
      </c>
      <c r="AS344" s="65">
        <v>38043.74</v>
      </c>
      <c r="AT344" s="65">
        <v>36234.35</v>
      </c>
      <c r="AU344" s="65">
        <v>36560.68</v>
      </c>
      <c r="AV344" s="65">
        <v>36884.33</v>
      </c>
      <c r="AW344" s="65">
        <v>31005.58</v>
      </c>
      <c r="AX344" s="65">
        <v>29301.19</v>
      </c>
      <c r="AY344" s="65">
        <v>29523.82</v>
      </c>
      <c r="AZ344" s="65">
        <v>29752.3</v>
      </c>
      <c r="BA344" s="65">
        <v>29992.85</v>
      </c>
      <c r="BB344" s="65">
        <v>30233.83</v>
      </c>
      <c r="BC344" s="65">
        <v>30339.88</v>
      </c>
      <c r="BD344" s="65">
        <v>2247.4</v>
      </c>
      <c r="BE344" s="65">
        <v>0.0</v>
      </c>
      <c r="BF344" s="65">
        <v>0.0</v>
      </c>
      <c r="BG344" s="65">
        <v>0.0</v>
      </c>
      <c r="BH344" s="65">
        <v>0.0</v>
      </c>
      <c r="BI344" s="65">
        <v>0.0</v>
      </c>
      <c r="BJ344" s="65">
        <v>0.0</v>
      </c>
      <c r="BK344" s="65">
        <v>0.0</v>
      </c>
      <c r="BL344" s="65">
        <v>0.0</v>
      </c>
      <c r="BM344" s="65">
        <v>0.0</v>
      </c>
      <c r="BN344" s="65">
        <v>0.0</v>
      </c>
      <c r="BO344" s="65">
        <v>0.0</v>
      </c>
      <c r="BP344" s="65">
        <v>0.0</v>
      </c>
      <c r="BQ344" s="65">
        <v>0.0</v>
      </c>
      <c r="BR344" s="65">
        <v>0.0</v>
      </c>
      <c r="BS344" s="65">
        <v>0.0</v>
      </c>
      <c r="BT344" s="88">
        <v>0.0</v>
      </c>
      <c r="BU344" s="65">
        <v>0.0</v>
      </c>
      <c r="BV344" s="65">
        <v>0.0</v>
      </c>
      <c r="BW344" s="90">
        <v>0.0</v>
      </c>
      <c r="BX344" s="90">
        <v>0.0</v>
      </c>
      <c r="BY344" s="90" t="str">
        <f t="array" ref="BY344">XLOOKUP(C344,'PL TOTAL D0'!$A$3:$A$1991,'PL TOTAL D0'!$C$3:$C$1991,"")</f>
        <v/>
      </c>
    </row>
    <row r="345" ht="15.75" customHeight="1">
      <c r="A345" s="249" t="s">
        <v>24</v>
      </c>
      <c r="B345" s="191" t="s">
        <v>4971</v>
      </c>
      <c r="C345" s="94" t="s">
        <v>4972</v>
      </c>
      <c r="D345" s="63" t="s">
        <v>255</v>
      </c>
      <c r="E345" s="66" t="s">
        <v>199</v>
      </c>
      <c r="F345" s="63" t="s">
        <v>257</v>
      </c>
      <c r="G345" s="47" t="str">
        <f t="shared" si="13"/>
        <v>David</v>
      </c>
      <c r="H345" s="648" t="s">
        <v>224</v>
      </c>
      <c r="I345" s="648" t="s">
        <v>66</v>
      </c>
      <c r="J345" s="47" t="str">
        <f t="shared" si="18"/>
        <v>Não</v>
      </c>
      <c r="K345" s="649">
        <v>45187.0</v>
      </c>
      <c r="L345" s="650">
        <v>45530.0</v>
      </c>
      <c r="M345" s="515" t="s">
        <v>34</v>
      </c>
      <c r="N345" s="651">
        <v>0.01</v>
      </c>
      <c r="O345" s="652" t="s">
        <v>35</v>
      </c>
      <c r="P345" s="653">
        <v>0.1</v>
      </c>
      <c r="Q345" s="58"/>
      <c r="R345" s="654"/>
      <c r="S345" s="515" t="s">
        <v>194</v>
      </c>
      <c r="T345" s="655" t="s">
        <v>4973</v>
      </c>
      <c r="U345" s="33" t="s">
        <v>268</v>
      </c>
      <c r="V345" s="33"/>
      <c r="W345" s="33" t="s">
        <v>268</v>
      </c>
      <c r="X345" s="33" t="s">
        <v>199</v>
      </c>
      <c r="Y345" s="49" t="str">
        <f t="shared" si="14"/>
        <v>Encerrado</v>
      </c>
      <c r="Z345" s="515"/>
      <c r="AA345" s="515"/>
      <c r="AB345" s="656" t="s">
        <v>244</v>
      </c>
      <c r="AC345" s="657"/>
      <c r="AD345" s="54">
        <v>45187.0</v>
      </c>
      <c r="AE345" s="77">
        <v>4.9075100011354E13</v>
      </c>
      <c r="AF345" s="657"/>
      <c r="AG345" s="657"/>
      <c r="AH345" s="657"/>
      <c r="AI345" s="657"/>
      <c r="AJ345" s="657"/>
      <c r="AK345" s="657"/>
      <c r="AL345" s="657"/>
      <c r="AM345" s="657"/>
      <c r="AN345" s="657"/>
      <c r="AO345" s="657"/>
      <c r="AP345" s="657"/>
      <c r="AQ345" s="658">
        <v>0.0</v>
      </c>
      <c r="AR345" s="658">
        <v>5646.25</v>
      </c>
      <c r="AS345" s="65">
        <v>85674.41</v>
      </c>
      <c r="AT345" s="65">
        <v>86783.11</v>
      </c>
      <c r="AU345" s="65">
        <v>86552.22</v>
      </c>
      <c r="AV345" s="65">
        <v>85956.1</v>
      </c>
      <c r="AW345" s="65">
        <v>86482.09</v>
      </c>
      <c r="AX345" s="65">
        <v>86501.88</v>
      </c>
      <c r="AY345" s="65">
        <v>86668.2</v>
      </c>
      <c r="AZ345" s="65">
        <v>91146.23</v>
      </c>
      <c r="BA345" s="65">
        <v>104225.3</v>
      </c>
      <c r="BB345" s="65">
        <v>0.0</v>
      </c>
      <c r="BC345" s="65">
        <v>0.0</v>
      </c>
      <c r="BD345" s="65">
        <v>0.0</v>
      </c>
      <c r="BE345" s="65">
        <v>0.0</v>
      </c>
      <c r="BF345" s="65">
        <v>0.0</v>
      </c>
      <c r="BG345" s="65">
        <v>0.0</v>
      </c>
      <c r="BH345" s="65">
        <v>0.0</v>
      </c>
      <c r="BI345" s="65">
        <v>0.0</v>
      </c>
      <c r="BJ345" s="65">
        <v>0.0</v>
      </c>
      <c r="BK345" s="65">
        <v>0.0</v>
      </c>
      <c r="BL345" s="65">
        <v>0.0</v>
      </c>
      <c r="BM345" s="65">
        <v>0.0</v>
      </c>
      <c r="BN345" s="65">
        <v>0.0</v>
      </c>
      <c r="BO345" s="65">
        <v>0.0</v>
      </c>
      <c r="BP345" s="65">
        <v>0.0</v>
      </c>
      <c r="BQ345" s="65">
        <v>0.0</v>
      </c>
      <c r="BR345" s="65">
        <v>0.0</v>
      </c>
      <c r="BS345" s="65">
        <v>0.0</v>
      </c>
      <c r="BT345" s="88">
        <v>0.0</v>
      </c>
      <c r="BU345" s="65">
        <v>0.0</v>
      </c>
      <c r="BV345" s="65">
        <v>0.0</v>
      </c>
      <c r="BW345" s="90">
        <v>0.0</v>
      </c>
      <c r="BX345" s="90">
        <v>0.0</v>
      </c>
      <c r="BY345" s="90" t="str">
        <f t="array" ref="BY345">XLOOKUP(C345,'PL TOTAL D0'!$A$3:$A$1991,'PL TOTAL D0'!$C$3:$C$1991,"")</f>
        <v/>
      </c>
    </row>
    <row r="346" ht="15.75" customHeight="1">
      <c r="A346" s="249" t="s">
        <v>24</v>
      </c>
      <c r="B346" s="322" t="s">
        <v>4976</v>
      </c>
      <c r="C346" s="53" t="s">
        <v>2775</v>
      </c>
      <c r="D346" s="141" t="s">
        <v>53</v>
      </c>
      <c r="E346" s="27" t="s">
        <v>54</v>
      </c>
      <c r="F346" s="141" t="s">
        <v>55</v>
      </c>
      <c r="G346" s="47" t="str">
        <f t="shared" si="13"/>
        <v>David</v>
      </c>
      <c r="H346" s="648" t="s">
        <v>183</v>
      </c>
      <c r="I346" s="648" t="s">
        <v>66</v>
      </c>
      <c r="J346" s="47" t="str">
        <f t="shared" si="18"/>
        <v>Não</v>
      </c>
      <c r="K346" s="650">
        <v>46174.0</v>
      </c>
      <c r="M346" s="655" t="s">
        <v>568</v>
      </c>
      <c r="N346" s="659">
        <v>0.013</v>
      </c>
      <c r="O346" s="33" t="s">
        <v>66</v>
      </c>
      <c r="P346" s="660">
        <v>0.0</v>
      </c>
      <c r="Q346" s="58"/>
      <c r="R346" s="654"/>
      <c r="S346" s="655" t="s">
        <v>194</v>
      </c>
      <c r="T346" s="655" t="s">
        <v>4977</v>
      </c>
      <c r="U346" s="33" t="s">
        <v>4978</v>
      </c>
      <c r="V346" s="33" t="s">
        <v>4979</v>
      </c>
      <c r="W346" s="48">
        <v>23283.0</v>
      </c>
      <c r="X346" s="33" t="s">
        <v>77</v>
      </c>
      <c r="Y346" s="49" t="str">
        <f t="shared" si="14"/>
        <v>Ativo</v>
      </c>
      <c r="Z346" s="515"/>
      <c r="AA346" s="655" t="s">
        <v>47</v>
      </c>
      <c r="AB346" s="656"/>
      <c r="AC346" s="657"/>
      <c r="AD346" s="54">
        <v>46203.0</v>
      </c>
      <c r="AE346" s="77"/>
      <c r="AF346" s="657"/>
      <c r="AG346" s="657"/>
      <c r="AH346" s="657"/>
      <c r="AI346" s="657"/>
      <c r="AJ346" s="657"/>
      <c r="AK346" s="657"/>
      <c r="AL346" s="657"/>
      <c r="AM346" s="657"/>
      <c r="AN346" s="657"/>
      <c r="AO346" s="657"/>
      <c r="AP346" s="657"/>
      <c r="AQ346" s="658"/>
      <c r="AR346" s="658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  <c r="BJ346" s="65"/>
      <c r="BK346" s="65"/>
      <c r="BL346" s="65"/>
      <c r="BM346" s="65"/>
      <c r="BN346" s="65"/>
      <c r="BO346" s="65"/>
      <c r="BP346" s="65"/>
      <c r="BQ346" s="65"/>
      <c r="BR346" s="65"/>
      <c r="BS346" s="65"/>
      <c r="BT346" s="88"/>
      <c r="BU346" s="65"/>
      <c r="BV346" s="65"/>
      <c r="BW346" s="90"/>
      <c r="BX346" s="90">
        <v>725271.07</v>
      </c>
      <c r="BY346" s="90">
        <f t="array" ref="BY346">XLOOKUP(C346,'PL TOTAL D0'!$A$3:$A$1991,'PL TOTAL D0'!$C$3:$C$1991,"")</f>
        <v>743389.86</v>
      </c>
    </row>
    <row r="347" ht="15.75" customHeight="1">
      <c r="A347" s="249" t="s">
        <v>24</v>
      </c>
      <c r="B347" s="322" t="s">
        <v>4982</v>
      </c>
      <c r="C347" s="94" t="s">
        <v>3263</v>
      </c>
      <c r="D347" s="30" t="s">
        <v>142</v>
      </c>
      <c r="E347" s="27" t="s">
        <v>54</v>
      </c>
      <c r="F347" s="141" t="s">
        <v>4568</v>
      </c>
      <c r="G347" s="47" t="str">
        <f t="shared" si="13"/>
        <v>David</v>
      </c>
      <c r="H347" s="648" t="s">
        <v>183</v>
      </c>
      <c r="I347" s="648" t="s">
        <v>66</v>
      </c>
      <c r="J347" s="47" t="str">
        <f t="shared" si="18"/>
        <v>Sim</v>
      </c>
      <c r="K347" s="661">
        <v>45861.0</v>
      </c>
      <c r="L347" s="650"/>
      <c r="M347" s="655" t="s">
        <v>61</v>
      </c>
      <c r="N347" s="98">
        <v>0.012</v>
      </c>
      <c r="O347" s="33" t="s">
        <v>66</v>
      </c>
      <c r="P347" s="660">
        <v>0.0</v>
      </c>
      <c r="Q347" s="58" t="s">
        <v>4983</v>
      </c>
      <c r="R347" s="654"/>
      <c r="S347" s="655" t="s">
        <v>194</v>
      </c>
      <c r="T347" s="177" t="s">
        <v>4984</v>
      </c>
      <c r="U347" s="33">
        <v>5.5679924384E12</v>
      </c>
      <c r="V347" s="33" t="s">
        <v>4985</v>
      </c>
      <c r="W347" s="34">
        <v>32157.0</v>
      </c>
      <c r="X347" s="33" t="s">
        <v>77</v>
      </c>
      <c r="Y347" s="49" t="str">
        <f t="shared" si="14"/>
        <v>Ativo</v>
      </c>
      <c r="Z347" s="515"/>
      <c r="AA347" s="655" t="s">
        <v>107</v>
      </c>
      <c r="AB347" s="656"/>
      <c r="AC347" s="657"/>
      <c r="AD347" s="54">
        <v>45863.0</v>
      </c>
      <c r="AE347" s="77">
        <v>4.9075100019241E13</v>
      </c>
      <c r="AF347" s="657"/>
      <c r="AG347" s="657"/>
      <c r="AH347" s="657"/>
      <c r="AI347" s="657"/>
      <c r="AJ347" s="657"/>
      <c r="AK347" s="657"/>
      <c r="AL347" s="657"/>
      <c r="AM347" s="657"/>
      <c r="AN347" s="657"/>
      <c r="AO347" s="657"/>
      <c r="AP347" s="657"/>
      <c r="AQ347" s="658"/>
      <c r="AR347" s="658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>
        <v>150230.22</v>
      </c>
      <c r="BN347" s="65">
        <v>156510.4</v>
      </c>
      <c r="BO347" s="65">
        <v>157975.88</v>
      </c>
      <c r="BP347" s="65">
        <v>163486.4</v>
      </c>
      <c r="BQ347" s="65">
        <v>164637.8</v>
      </c>
      <c r="BR347" s="65">
        <v>166281.9</v>
      </c>
      <c r="BS347" s="65">
        <v>182769.2</v>
      </c>
      <c r="BT347" s="88">
        <v>181312.6</v>
      </c>
      <c r="BU347" s="65">
        <v>178444.9</v>
      </c>
      <c r="BV347" s="65">
        <v>175307.3</v>
      </c>
      <c r="BW347" s="90">
        <v>166834.3</v>
      </c>
      <c r="BX347" s="90">
        <v>158240.01</v>
      </c>
      <c r="BY347" s="90">
        <f t="array" ref="BY347">XLOOKUP(C347,'PL TOTAL D0'!$A$3:$A$1991,'PL TOTAL D0'!$C$3:$C$1991,"")</f>
        <v>127575.68</v>
      </c>
    </row>
    <row r="348" ht="15.75" customHeight="1">
      <c r="A348" s="249" t="s">
        <v>24</v>
      </c>
      <c r="B348" s="322" t="s">
        <v>4988</v>
      </c>
      <c r="C348" s="94" t="s">
        <v>4989</v>
      </c>
      <c r="D348" s="141" t="s">
        <v>365</v>
      </c>
      <c r="E348" s="27" t="s">
        <v>199</v>
      </c>
      <c r="F348" s="141" t="s">
        <v>4481</v>
      </c>
      <c r="G348" s="47" t="str">
        <f t="shared" si="13"/>
        <v>David</v>
      </c>
      <c r="H348" s="648" t="s">
        <v>183</v>
      </c>
      <c r="I348" s="648" t="s">
        <v>382</v>
      </c>
      <c r="J348" s="47" t="str">
        <f t="shared" si="18"/>
        <v>Não</v>
      </c>
      <c r="K348" s="661">
        <v>45918.0</v>
      </c>
      <c r="L348" s="650"/>
      <c r="M348" s="655" t="s">
        <v>390</v>
      </c>
      <c r="N348" s="98">
        <v>0.005</v>
      </c>
      <c r="O348" s="33" t="s">
        <v>66</v>
      </c>
      <c r="P348" s="660">
        <v>0.0</v>
      </c>
      <c r="Q348" s="58"/>
      <c r="R348" s="654"/>
      <c r="S348" s="655" t="s">
        <v>194</v>
      </c>
      <c r="T348" s="177" t="s">
        <v>4991</v>
      </c>
      <c r="U348" s="33" t="s">
        <v>4992</v>
      </c>
      <c r="V348" s="33" t="s">
        <v>4993</v>
      </c>
      <c r="W348" s="34">
        <v>36607.0</v>
      </c>
      <c r="X348" s="33" t="s">
        <v>199</v>
      </c>
      <c r="Y348" s="49" t="str">
        <f t="shared" si="14"/>
        <v>Ativo</v>
      </c>
      <c r="Z348" s="515"/>
      <c r="AA348" s="655" t="s">
        <v>47</v>
      </c>
      <c r="AB348" s="656"/>
      <c r="AC348" s="657"/>
      <c r="AD348" s="54"/>
      <c r="AE348" s="77"/>
      <c r="AF348" s="657"/>
      <c r="AG348" s="657"/>
      <c r="AH348" s="657"/>
      <c r="AI348" s="657"/>
      <c r="AJ348" s="657"/>
      <c r="AK348" s="657"/>
      <c r="AL348" s="657"/>
      <c r="AM348" s="657"/>
      <c r="AN348" s="657"/>
      <c r="AO348" s="657"/>
      <c r="AP348" s="657"/>
      <c r="AQ348" s="658"/>
      <c r="AR348" s="658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65"/>
      <c r="BH348" s="65"/>
      <c r="BI348" s="65"/>
      <c r="BJ348" s="65"/>
      <c r="BK348" s="65"/>
      <c r="BL348" s="65"/>
      <c r="BM348" s="65"/>
      <c r="BN348" s="65"/>
      <c r="BO348" s="65"/>
      <c r="BP348" s="65">
        <v>0.0</v>
      </c>
      <c r="BQ348" s="65">
        <v>0.0</v>
      </c>
      <c r="BR348" s="65">
        <v>0.0</v>
      </c>
      <c r="BS348" s="65">
        <v>0.0</v>
      </c>
      <c r="BT348" s="88">
        <v>0.0</v>
      </c>
      <c r="BU348" s="65">
        <v>0.0</v>
      </c>
      <c r="BV348" s="65">
        <v>0.0</v>
      </c>
      <c r="BW348" s="90">
        <v>0.0</v>
      </c>
      <c r="BX348" s="90">
        <v>0.0</v>
      </c>
      <c r="BY348" s="90" t="str">
        <f t="array" ref="BY348">XLOOKUP(C348,'PL TOTAL D0'!$A$3:$A$1991,'PL TOTAL D0'!$C$3:$C$1991,"")</f>
        <v/>
      </c>
    </row>
    <row r="349" ht="15.75" customHeight="1">
      <c r="A349" s="50" t="s">
        <v>24</v>
      </c>
      <c r="B349" s="50" t="s">
        <v>4507</v>
      </c>
      <c r="C349" s="94" t="s">
        <v>4997</v>
      </c>
      <c r="D349" s="30" t="s">
        <v>89</v>
      </c>
      <c r="E349" s="95" t="s">
        <v>91</v>
      </c>
      <c r="F349" s="81" t="s">
        <v>521</v>
      </c>
      <c r="G349" s="47" t="str">
        <f t="shared" si="13"/>
        <v>David</v>
      </c>
      <c r="H349" s="49" t="s">
        <v>295</v>
      </c>
      <c r="I349" s="49" t="s">
        <v>382</v>
      </c>
      <c r="J349" s="47" t="str">
        <f t="shared" si="18"/>
        <v>Não</v>
      </c>
      <c r="K349" s="97">
        <v>45071.0</v>
      </c>
      <c r="L349" s="62"/>
      <c r="M349" s="62" t="s">
        <v>34</v>
      </c>
      <c r="N349" s="98">
        <v>0.012</v>
      </c>
      <c r="O349" s="47" t="s">
        <v>66</v>
      </c>
      <c r="P349" s="99">
        <v>0.0</v>
      </c>
      <c r="Q349" s="58"/>
      <c r="R349" s="58" t="s">
        <v>4998</v>
      </c>
      <c r="S349" s="62" t="s">
        <v>194</v>
      </c>
      <c r="T349" s="32" t="s">
        <v>4510</v>
      </c>
      <c r="U349" s="33">
        <v>5.543999572926E12</v>
      </c>
      <c r="V349" s="33" t="s">
        <v>4999</v>
      </c>
      <c r="W349" s="34">
        <v>29981.0</v>
      </c>
      <c r="X349" s="23" t="s">
        <v>221</v>
      </c>
      <c r="Y349" s="49" t="str">
        <f t="shared" si="14"/>
        <v>Ativo</v>
      </c>
      <c r="Z349" s="62"/>
      <c r="AA349" s="62"/>
      <c r="AB349" s="64" t="s">
        <v>269</v>
      </c>
      <c r="AC349" s="79"/>
      <c r="AD349" s="54">
        <v>45071.0</v>
      </c>
      <c r="AE349" s="77">
        <v>4.9075100007391E13</v>
      </c>
      <c r="AF349" s="79"/>
      <c r="AG349" s="79"/>
      <c r="AH349" s="79"/>
      <c r="AI349" s="79"/>
      <c r="AJ349" s="79"/>
      <c r="AK349" s="65">
        <v>0.0</v>
      </c>
      <c r="AL349" s="65">
        <v>4494.36</v>
      </c>
      <c r="AM349" s="65">
        <v>9042.84</v>
      </c>
      <c r="AN349" s="65">
        <v>55803.18</v>
      </c>
      <c r="AO349" s="65">
        <v>64644.78</v>
      </c>
      <c r="AP349" s="65">
        <v>69724.15</v>
      </c>
      <c r="AQ349" s="65">
        <v>73758.13</v>
      </c>
      <c r="AR349" s="65">
        <v>78462.55</v>
      </c>
      <c r="AS349" s="65">
        <v>83672.86</v>
      </c>
      <c r="AT349" s="65">
        <v>89237.43</v>
      </c>
      <c r="AU349" s="65">
        <v>93604.02</v>
      </c>
      <c r="AV349" s="65">
        <v>98900.44</v>
      </c>
      <c r="AW349" s="65">
        <v>104351.34</v>
      </c>
      <c r="AX349" s="65">
        <v>108888.25</v>
      </c>
      <c r="AY349" s="65">
        <v>114106.6</v>
      </c>
      <c r="AZ349" s="65">
        <v>119817.4</v>
      </c>
      <c r="BA349" s="65">
        <v>121130.6</v>
      </c>
      <c r="BB349" s="65">
        <v>132376.59</v>
      </c>
      <c r="BC349" s="65">
        <v>137816.73</v>
      </c>
      <c r="BD349" s="65">
        <v>142978.26</v>
      </c>
      <c r="BE349" s="65">
        <v>148298.73</v>
      </c>
      <c r="BF349" s="65">
        <v>153801.37</v>
      </c>
      <c r="BG349" s="65">
        <v>160338.62</v>
      </c>
      <c r="BH349" s="65">
        <v>166706.98</v>
      </c>
      <c r="BI349" s="65">
        <v>173351.46</v>
      </c>
      <c r="BJ349" s="65">
        <v>179997.7</v>
      </c>
      <c r="BK349" s="65">
        <v>186756.52</v>
      </c>
      <c r="BL349" s="65">
        <v>193139.09</v>
      </c>
      <c r="BM349" s="65">
        <v>20461.38</v>
      </c>
      <c r="BN349" s="65">
        <v>20678.25</v>
      </c>
      <c r="BO349" s="65">
        <v>20896.2</v>
      </c>
      <c r="BP349" s="65">
        <v>21148.13</v>
      </c>
      <c r="BQ349" s="65">
        <v>21349.72</v>
      </c>
      <c r="BR349" s="65">
        <v>34.41</v>
      </c>
      <c r="BS349" s="65">
        <v>34.41</v>
      </c>
      <c r="BT349" s="88">
        <v>34.41</v>
      </c>
      <c r="BU349" s="65">
        <v>34.41</v>
      </c>
      <c r="BV349" s="65">
        <v>34.41</v>
      </c>
      <c r="BW349" s="90">
        <v>34.41</v>
      </c>
      <c r="BX349" s="90">
        <v>34.41</v>
      </c>
      <c r="BY349" s="90" t="str">
        <f t="array" ref="BY349">XLOOKUP(C349,'PL TOTAL D0'!$A$3:$A$1991,'PL TOTAL D0'!$C$3:$C$1991,"")</f>
        <v/>
      </c>
    </row>
    <row r="350" ht="15.75" customHeight="1">
      <c r="A350" s="50" t="s">
        <v>24</v>
      </c>
      <c r="B350" s="176" t="s">
        <v>4520</v>
      </c>
      <c r="C350" s="94" t="s">
        <v>5004</v>
      </c>
      <c r="D350" s="30" t="s">
        <v>89</v>
      </c>
      <c r="E350" s="95" t="s">
        <v>91</v>
      </c>
      <c r="F350" s="81" t="s">
        <v>193</v>
      </c>
      <c r="G350" s="47" t="str">
        <f t="shared" si="13"/>
        <v>David</v>
      </c>
      <c r="H350" s="49" t="s">
        <v>224</v>
      </c>
      <c r="I350" s="49" t="s">
        <v>66</v>
      </c>
      <c r="J350" s="47" t="str">
        <f t="shared" si="18"/>
        <v>Não</v>
      </c>
      <c r="K350" s="97">
        <v>45042.0</v>
      </c>
      <c r="L350" s="121">
        <v>45588.0</v>
      </c>
      <c r="M350" s="62" t="s">
        <v>361</v>
      </c>
      <c r="N350" s="98">
        <v>0.02</v>
      </c>
      <c r="O350" s="47" t="s">
        <v>35</v>
      </c>
      <c r="P350" s="99">
        <v>0.2</v>
      </c>
      <c r="Q350" s="58"/>
      <c r="R350" s="70"/>
      <c r="S350" s="62" t="s">
        <v>194</v>
      </c>
      <c r="T350" s="32" t="s">
        <v>4524</v>
      </c>
      <c r="U350" s="33" t="s">
        <v>268</v>
      </c>
      <c r="V350" s="33"/>
      <c r="W350" s="33" t="s">
        <v>268</v>
      </c>
      <c r="X350" s="23" t="s">
        <v>221</v>
      </c>
      <c r="Y350" s="49" t="str">
        <f t="shared" si="14"/>
        <v>Encerrado</v>
      </c>
      <c r="Z350" s="62"/>
      <c r="AA350" s="62"/>
      <c r="AB350" s="64" t="s">
        <v>269</v>
      </c>
      <c r="AC350" s="79"/>
      <c r="AD350" s="54">
        <v>45042.0</v>
      </c>
      <c r="AE350" s="77">
        <v>4.907510000909E13</v>
      </c>
      <c r="AF350" s="79"/>
      <c r="AG350" s="79"/>
      <c r="AH350" s="79"/>
      <c r="AI350" s="79"/>
      <c r="AJ350" s="79"/>
      <c r="AK350" s="65">
        <v>0.0</v>
      </c>
      <c r="AL350" s="65">
        <v>985211.98</v>
      </c>
      <c r="AM350" s="65">
        <v>1042177.69</v>
      </c>
      <c r="AN350" s="65">
        <v>1065696.25</v>
      </c>
      <c r="AO350" s="65">
        <v>1175708.77</v>
      </c>
      <c r="AP350" s="65">
        <v>1162884.52</v>
      </c>
      <c r="AQ350" s="65">
        <v>1164737.49</v>
      </c>
      <c r="AR350" s="65">
        <v>1148983.41</v>
      </c>
      <c r="AS350" s="65">
        <v>1187739.63</v>
      </c>
      <c r="AT350" s="65">
        <v>1101264.32</v>
      </c>
      <c r="AU350" s="65">
        <v>1063698.27</v>
      </c>
      <c r="AV350" s="65">
        <v>1068183.97</v>
      </c>
      <c r="AW350" s="65">
        <v>1009941.62</v>
      </c>
      <c r="AX350" s="65">
        <v>991333.88</v>
      </c>
      <c r="AY350" s="65">
        <v>980816.0</v>
      </c>
      <c r="AZ350" s="65">
        <v>985470.1</v>
      </c>
      <c r="BA350" s="65">
        <v>639417.3</v>
      </c>
      <c r="BB350" s="65">
        <v>648303.14</v>
      </c>
      <c r="BC350" s="65">
        <v>641286.58</v>
      </c>
      <c r="BD350" s="65">
        <v>0.0</v>
      </c>
      <c r="BE350" s="65">
        <v>0.0</v>
      </c>
      <c r="BF350" s="65">
        <v>0.0</v>
      </c>
      <c r="BG350" s="65">
        <v>0.0</v>
      </c>
      <c r="BH350" s="65">
        <v>0.0</v>
      </c>
      <c r="BI350" s="65">
        <v>0.0</v>
      </c>
      <c r="BJ350" s="65">
        <v>0.0</v>
      </c>
      <c r="BK350" s="65">
        <v>0.0</v>
      </c>
      <c r="BL350" s="65">
        <v>0.0</v>
      </c>
      <c r="BM350" s="65">
        <v>0.0</v>
      </c>
      <c r="BN350" s="65">
        <v>0.0</v>
      </c>
      <c r="BO350" s="65">
        <v>0.0</v>
      </c>
      <c r="BP350" s="65">
        <v>0.0</v>
      </c>
      <c r="BQ350" s="65">
        <v>0.0</v>
      </c>
      <c r="BR350" s="65">
        <v>0.0</v>
      </c>
      <c r="BS350" s="65">
        <v>0.0</v>
      </c>
      <c r="BT350" s="88">
        <v>0.0</v>
      </c>
      <c r="BU350" s="65">
        <v>0.0</v>
      </c>
      <c r="BV350" s="65">
        <v>0.0</v>
      </c>
      <c r="BW350" s="90">
        <v>0.0</v>
      </c>
      <c r="BX350" s="90">
        <v>0.0</v>
      </c>
      <c r="BY350" s="90" t="str">
        <f t="array" ref="BY350">XLOOKUP(C350,'PL TOTAL D0'!$A$3:$A$1991,'PL TOTAL D0'!$C$3:$C$1991,"")</f>
        <v/>
      </c>
    </row>
    <row r="351" ht="15.75" customHeight="1">
      <c r="A351" s="50" t="s">
        <v>24</v>
      </c>
      <c r="B351" s="39" t="s">
        <v>4520</v>
      </c>
      <c r="C351" s="94" t="s">
        <v>5009</v>
      </c>
      <c r="D351" s="30" t="s">
        <v>89</v>
      </c>
      <c r="E351" s="95" t="s">
        <v>91</v>
      </c>
      <c r="F351" s="81" t="s">
        <v>193</v>
      </c>
      <c r="G351" s="47" t="str">
        <f t="shared" si="13"/>
        <v>David</v>
      </c>
      <c r="H351" s="49" t="s">
        <v>295</v>
      </c>
      <c r="I351" s="49" t="s">
        <v>382</v>
      </c>
      <c r="J351" s="47" t="str">
        <f t="shared" si="18"/>
        <v>Não</v>
      </c>
      <c r="K351" s="54">
        <v>45638.0</v>
      </c>
      <c r="L351" s="121"/>
      <c r="M351" s="32" t="s">
        <v>1360</v>
      </c>
      <c r="N351" s="290">
        <v>0.015</v>
      </c>
      <c r="O351" s="291" t="s">
        <v>66</v>
      </c>
      <c r="P351" s="292">
        <v>0.0</v>
      </c>
      <c r="Q351" s="58"/>
      <c r="R351" s="70"/>
      <c r="S351" s="32" t="s">
        <v>194</v>
      </c>
      <c r="T351" s="32" t="s">
        <v>4524</v>
      </c>
      <c r="U351" s="33">
        <v>5.543999879325E12</v>
      </c>
      <c r="V351" s="33" t="s">
        <v>5014</v>
      </c>
      <c r="W351" s="48">
        <v>35427.0</v>
      </c>
      <c r="X351" s="23" t="s">
        <v>221</v>
      </c>
      <c r="Y351" s="49" t="str">
        <f t="shared" si="14"/>
        <v>Ativo</v>
      </c>
      <c r="Z351" s="62"/>
      <c r="AA351" s="32" t="s">
        <v>47</v>
      </c>
      <c r="AB351" s="64"/>
      <c r="AC351" s="79"/>
      <c r="AD351" s="54"/>
      <c r="AE351" s="77"/>
      <c r="AF351" s="79"/>
      <c r="AG351" s="79"/>
      <c r="AH351" s="79"/>
      <c r="AI351" s="79"/>
      <c r="AJ351" s="79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>
        <v>0.0</v>
      </c>
      <c r="BG351" s="65">
        <v>0.0</v>
      </c>
      <c r="BH351" s="65">
        <v>0.0</v>
      </c>
      <c r="BI351" s="65">
        <v>0.0</v>
      </c>
      <c r="BJ351" s="65">
        <v>0.0</v>
      </c>
      <c r="BK351" s="65">
        <v>0.0</v>
      </c>
      <c r="BL351" s="65">
        <v>0.0</v>
      </c>
      <c r="BM351" s="65">
        <v>0.0</v>
      </c>
      <c r="BN351" s="65">
        <v>0.0</v>
      </c>
      <c r="BO351" s="65">
        <v>0.0</v>
      </c>
      <c r="BP351" s="65">
        <v>0.0</v>
      </c>
      <c r="BQ351" s="65">
        <v>0.0</v>
      </c>
      <c r="BR351" s="65">
        <v>0.0</v>
      </c>
      <c r="BS351" s="65">
        <v>0.0</v>
      </c>
      <c r="BT351" s="88">
        <v>0.0</v>
      </c>
      <c r="BU351" s="65">
        <v>0.0</v>
      </c>
      <c r="BV351" s="65">
        <v>0.0</v>
      </c>
      <c r="BW351" s="90">
        <v>0.0</v>
      </c>
      <c r="BX351" s="90">
        <v>0.0</v>
      </c>
      <c r="BY351" s="90" t="str">
        <f t="array" ref="BY351">XLOOKUP(C351,'PL TOTAL D0'!$A$3:$A$1991,'PL TOTAL D0'!$C$3:$C$1991,"")</f>
        <v/>
      </c>
    </row>
    <row r="352" ht="15.75" customHeight="1">
      <c r="A352" s="43" t="s">
        <v>24</v>
      </c>
      <c r="B352" s="188" t="s">
        <v>5021</v>
      </c>
      <c r="C352" s="94" t="s">
        <v>5022</v>
      </c>
      <c r="D352" s="30" t="s">
        <v>120</v>
      </c>
      <c r="E352" s="22" t="s">
        <v>199</v>
      </c>
      <c r="F352" s="30" t="s">
        <v>4715</v>
      </c>
      <c r="G352" s="47" t="str">
        <f t="shared" si="13"/>
        <v>David</v>
      </c>
      <c r="H352" s="49" t="s">
        <v>224</v>
      </c>
      <c r="I352" s="49" t="s">
        <v>66</v>
      </c>
      <c r="J352" s="47" t="str">
        <f t="shared" si="18"/>
        <v>Não</v>
      </c>
      <c r="K352" s="54">
        <v>45280.0</v>
      </c>
      <c r="L352" s="55">
        <v>45478.0</v>
      </c>
      <c r="M352" s="62" t="s">
        <v>61</v>
      </c>
      <c r="N352" s="297">
        <v>2.0E-4</v>
      </c>
      <c r="O352" s="299" t="s">
        <v>66</v>
      </c>
      <c r="P352" s="300">
        <v>0.0</v>
      </c>
      <c r="Q352" s="58"/>
      <c r="R352" s="58" t="s">
        <v>5024</v>
      </c>
      <c r="S352" s="32" t="s">
        <v>194</v>
      </c>
      <c r="T352" s="32" t="s">
        <v>5025</v>
      </c>
      <c r="U352" s="33" t="s">
        <v>268</v>
      </c>
      <c r="V352" s="33"/>
      <c r="W352" s="33" t="s">
        <v>268</v>
      </c>
      <c r="X352" s="23" t="s">
        <v>199</v>
      </c>
      <c r="Y352" s="49" t="str">
        <f t="shared" si="14"/>
        <v>Encerrado</v>
      </c>
      <c r="Z352" s="62"/>
      <c r="AA352" s="62"/>
      <c r="AB352" s="64" t="s">
        <v>2158</v>
      </c>
      <c r="AC352" s="79"/>
      <c r="AD352" s="54">
        <v>45280.0</v>
      </c>
      <c r="AE352" s="77">
        <v>4.9075100012962E13</v>
      </c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65">
        <v>91568.41</v>
      </c>
      <c r="AU352" s="65">
        <v>133744.66</v>
      </c>
      <c r="AV352" s="65">
        <v>135542.85</v>
      </c>
      <c r="AW352" s="65">
        <v>137351.63</v>
      </c>
      <c r="AX352" s="65">
        <v>138995.12</v>
      </c>
      <c r="AY352" s="65">
        <v>140520.0</v>
      </c>
      <c r="AZ352" s="65">
        <v>142110.6</v>
      </c>
      <c r="BA352" s="65">
        <v>0.0</v>
      </c>
      <c r="BB352" s="65">
        <v>0.0</v>
      </c>
      <c r="BC352" s="65">
        <v>0.0</v>
      </c>
      <c r="BD352" s="65">
        <v>0.0</v>
      </c>
      <c r="BE352" s="65">
        <v>0.0</v>
      </c>
      <c r="BF352" s="65">
        <v>0.0</v>
      </c>
      <c r="BG352" s="65">
        <v>0.0</v>
      </c>
      <c r="BH352" s="65">
        <v>0.0</v>
      </c>
      <c r="BI352" s="65">
        <v>0.0</v>
      </c>
      <c r="BJ352" s="65">
        <v>0.0</v>
      </c>
      <c r="BK352" s="65">
        <v>0.0</v>
      </c>
      <c r="BL352" s="65">
        <v>0.0</v>
      </c>
      <c r="BM352" s="65">
        <v>0.0</v>
      </c>
      <c r="BN352" s="65">
        <v>0.0</v>
      </c>
      <c r="BO352" s="65">
        <v>0.0</v>
      </c>
      <c r="BP352" s="65">
        <v>0.0</v>
      </c>
      <c r="BQ352" s="65">
        <v>0.0</v>
      </c>
      <c r="BR352" s="65">
        <v>0.0</v>
      </c>
      <c r="BS352" s="65">
        <v>0.0</v>
      </c>
      <c r="BT352" s="88">
        <v>0.0</v>
      </c>
      <c r="BU352" s="65">
        <v>0.0</v>
      </c>
      <c r="BV352" s="65">
        <v>0.0</v>
      </c>
      <c r="BW352" s="90">
        <v>0.0</v>
      </c>
      <c r="BX352" s="90">
        <v>0.0</v>
      </c>
      <c r="BY352" s="90" t="str">
        <f t="array" ref="BY352">XLOOKUP(C352,'PL TOTAL D0'!$A$3:$A$1991,'PL TOTAL D0'!$C$3:$C$1991,"")</f>
        <v/>
      </c>
    </row>
    <row r="353" ht="15.75" customHeight="1">
      <c r="A353" s="50" t="s">
        <v>24</v>
      </c>
      <c r="B353" s="43" t="s">
        <v>5031</v>
      </c>
      <c r="C353" s="94" t="s">
        <v>5032</v>
      </c>
      <c r="D353" s="81" t="s">
        <v>255</v>
      </c>
      <c r="E353" s="95" t="s">
        <v>199</v>
      </c>
      <c r="F353" s="81" t="s">
        <v>257</v>
      </c>
      <c r="G353" s="47" t="str">
        <f t="shared" si="13"/>
        <v>David</v>
      </c>
      <c r="H353" s="49" t="s">
        <v>224</v>
      </c>
      <c r="I353" s="49" t="s">
        <v>66</v>
      </c>
      <c r="J353" s="47" t="str">
        <f t="shared" si="18"/>
        <v>Não</v>
      </c>
      <c r="K353" s="97">
        <v>45105.0</v>
      </c>
      <c r="L353" s="186">
        <v>45524.0</v>
      </c>
      <c r="M353" s="62" t="s">
        <v>209</v>
      </c>
      <c r="N353" s="98">
        <v>0.012</v>
      </c>
      <c r="O353" s="47" t="s">
        <v>35</v>
      </c>
      <c r="P353" s="99">
        <v>0.2</v>
      </c>
      <c r="Q353" s="58"/>
      <c r="R353" s="195" t="s">
        <v>5035</v>
      </c>
      <c r="S353" s="62" t="s">
        <v>194</v>
      </c>
      <c r="T353" s="32" t="s">
        <v>5036</v>
      </c>
      <c r="U353" s="33" t="s">
        <v>268</v>
      </c>
      <c r="V353" s="33"/>
      <c r="W353" s="33" t="s">
        <v>268</v>
      </c>
      <c r="X353" s="23" t="s">
        <v>28</v>
      </c>
      <c r="Y353" s="49" t="str">
        <f t="shared" si="14"/>
        <v>Encerrado</v>
      </c>
      <c r="Z353" s="62"/>
      <c r="AA353" s="62"/>
      <c r="AB353" s="64" t="s">
        <v>269</v>
      </c>
      <c r="AC353" s="79"/>
      <c r="AD353" s="54">
        <v>45105.0</v>
      </c>
      <c r="AE353" s="77">
        <v>4.9075100007195E13</v>
      </c>
      <c r="AF353" s="79"/>
      <c r="AG353" s="79"/>
      <c r="AH353" s="79"/>
      <c r="AI353" s="79"/>
      <c r="AJ353" s="79"/>
      <c r="AK353" s="79"/>
      <c r="AL353" s="79"/>
      <c r="AM353" s="79"/>
      <c r="AN353" s="65">
        <v>1560140.11</v>
      </c>
      <c r="AO353" s="65">
        <v>2076597.42</v>
      </c>
      <c r="AP353" s="65">
        <v>2078715.76</v>
      </c>
      <c r="AQ353" s="65">
        <v>2077435.12</v>
      </c>
      <c r="AR353" s="65">
        <v>2065620.69</v>
      </c>
      <c r="AS353" s="65">
        <v>2086106.44</v>
      </c>
      <c r="AT353" s="65">
        <v>2108824.09</v>
      </c>
      <c r="AU353" s="65">
        <v>2093470.31</v>
      </c>
      <c r="AV353" s="65">
        <v>2089150.94</v>
      </c>
      <c r="AW353" s="65">
        <v>863638.46</v>
      </c>
      <c r="AX353" s="65">
        <v>842995.72</v>
      </c>
      <c r="AY353" s="65">
        <v>834989.7</v>
      </c>
      <c r="AZ353" s="65">
        <v>839414.8</v>
      </c>
      <c r="BA353" s="65">
        <v>0.0</v>
      </c>
      <c r="BB353" s="65">
        <v>0.0</v>
      </c>
      <c r="BC353" s="65">
        <v>0.0</v>
      </c>
      <c r="BD353" s="65">
        <v>0.0</v>
      </c>
      <c r="BE353" s="65">
        <v>0.0</v>
      </c>
      <c r="BF353" s="65">
        <v>0.0</v>
      </c>
      <c r="BG353" s="65">
        <v>0.0</v>
      </c>
      <c r="BH353" s="65">
        <v>0.0</v>
      </c>
      <c r="BI353" s="65">
        <v>0.0</v>
      </c>
      <c r="BJ353" s="65">
        <v>0.0</v>
      </c>
      <c r="BK353" s="65">
        <v>0.0</v>
      </c>
      <c r="BL353" s="65">
        <v>0.0</v>
      </c>
      <c r="BM353" s="65">
        <v>0.0</v>
      </c>
      <c r="BN353" s="65">
        <v>0.0</v>
      </c>
      <c r="BO353" s="65">
        <v>0.0</v>
      </c>
      <c r="BP353" s="65">
        <v>0.0</v>
      </c>
      <c r="BQ353" s="65">
        <v>0.0</v>
      </c>
      <c r="BR353" s="65">
        <v>0.0</v>
      </c>
      <c r="BS353" s="65">
        <v>0.0</v>
      </c>
      <c r="BT353" s="88">
        <v>0.0</v>
      </c>
      <c r="BU353" s="65">
        <v>0.0</v>
      </c>
      <c r="BV353" s="65">
        <v>0.0</v>
      </c>
      <c r="BW353" s="90">
        <v>0.0</v>
      </c>
      <c r="BX353" s="90">
        <v>0.0</v>
      </c>
      <c r="BY353" s="90" t="str">
        <f t="array" ref="BY353">XLOOKUP(C353,'PL TOTAL D0'!$A$3:$A$1991,'PL TOTAL D0'!$C$3:$C$1991,"")</f>
        <v/>
      </c>
    </row>
    <row r="354" ht="15.75" customHeight="1">
      <c r="A354" s="43" t="s">
        <v>24</v>
      </c>
      <c r="B354" s="43" t="s">
        <v>5031</v>
      </c>
      <c r="C354" s="94" t="s">
        <v>5045</v>
      </c>
      <c r="D354" s="30" t="s">
        <v>255</v>
      </c>
      <c r="E354" s="22" t="s">
        <v>199</v>
      </c>
      <c r="F354" s="81" t="s">
        <v>257</v>
      </c>
      <c r="G354" s="47" t="str">
        <f t="shared" si="13"/>
        <v>David</v>
      </c>
      <c r="H354" s="49" t="s">
        <v>224</v>
      </c>
      <c r="I354" s="49" t="s">
        <v>66</v>
      </c>
      <c r="J354" s="47" t="str">
        <f t="shared" si="18"/>
        <v>Não</v>
      </c>
      <c r="K354" s="54">
        <v>45365.0</v>
      </c>
      <c r="L354" s="186">
        <v>45524.0</v>
      </c>
      <c r="M354" s="32" t="s">
        <v>34</v>
      </c>
      <c r="N354" s="56">
        <v>0.014</v>
      </c>
      <c r="O354" s="23" t="s">
        <v>35</v>
      </c>
      <c r="P354" s="57">
        <v>0.1</v>
      </c>
      <c r="Q354" s="58"/>
      <c r="R354" s="195" t="s">
        <v>5035</v>
      </c>
      <c r="S354" s="32" t="s">
        <v>194</v>
      </c>
      <c r="T354" s="177" t="s">
        <v>5036</v>
      </c>
      <c r="U354" s="33" t="s">
        <v>268</v>
      </c>
      <c r="V354" s="33"/>
      <c r="W354" s="33" t="s">
        <v>268</v>
      </c>
      <c r="X354" s="23" t="s">
        <v>28</v>
      </c>
      <c r="Y354" s="49" t="str">
        <f t="shared" si="14"/>
        <v>Encerrado</v>
      </c>
      <c r="Z354" s="62"/>
      <c r="AA354" s="62"/>
      <c r="AB354" s="64" t="s">
        <v>269</v>
      </c>
      <c r="AC354" s="79"/>
      <c r="AD354" s="54">
        <v>45365.0</v>
      </c>
      <c r="AE354" s="77">
        <v>4.9075100013764E13</v>
      </c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65"/>
      <c r="AW354" s="65">
        <v>1239870.15</v>
      </c>
      <c r="AX354" s="65">
        <v>1241516.29</v>
      </c>
      <c r="AY354" s="65">
        <v>1228909.0</v>
      </c>
      <c r="AZ354" s="65">
        <v>1218631.0</v>
      </c>
      <c r="BA354" s="65">
        <v>0.0</v>
      </c>
      <c r="BB354" s="65">
        <v>0.0</v>
      </c>
      <c r="BC354" s="65">
        <v>0.0</v>
      </c>
      <c r="BD354" s="65">
        <v>0.0</v>
      </c>
      <c r="BE354" s="65">
        <v>0.0</v>
      </c>
      <c r="BF354" s="65">
        <v>0.0</v>
      </c>
      <c r="BG354" s="65">
        <v>0.0</v>
      </c>
      <c r="BH354" s="65">
        <v>0.0</v>
      </c>
      <c r="BI354" s="65">
        <v>0.0</v>
      </c>
      <c r="BJ354" s="65">
        <v>0.0</v>
      </c>
      <c r="BK354" s="65">
        <v>0.0</v>
      </c>
      <c r="BL354" s="65">
        <v>0.0</v>
      </c>
      <c r="BM354" s="65">
        <v>0.0</v>
      </c>
      <c r="BN354" s="65">
        <v>0.0</v>
      </c>
      <c r="BO354" s="65">
        <v>0.0</v>
      </c>
      <c r="BP354" s="65">
        <v>0.0</v>
      </c>
      <c r="BQ354" s="65">
        <v>0.0</v>
      </c>
      <c r="BR354" s="65">
        <v>0.0</v>
      </c>
      <c r="BS354" s="65">
        <v>0.0</v>
      </c>
      <c r="BT354" s="88">
        <v>0.0</v>
      </c>
      <c r="BU354" s="65">
        <v>0.0</v>
      </c>
      <c r="BV354" s="65">
        <v>0.0</v>
      </c>
      <c r="BW354" s="90">
        <v>0.0</v>
      </c>
      <c r="BX354" s="90">
        <v>0.0</v>
      </c>
      <c r="BY354" s="90" t="str">
        <f t="array" ref="BY354">XLOOKUP(C354,'PL TOTAL D0'!$A$3:$A$1991,'PL TOTAL D0'!$C$3:$C$1991,"")</f>
        <v/>
      </c>
    </row>
    <row r="355" ht="15.75" customHeight="1">
      <c r="A355" s="50" t="s">
        <v>24</v>
      </c>
      <c r="B355" s="50" t="s">
        <v>5049</v>
      </c>
      <c r="C355" s="94" t="s">
        <v>3349</v>
      </c>
      <c r="D355" s="81" t="s">
        <v>120</v>
      </c>
      <c r="E355" s="95" t="s">
        <v>475</v>
      </c>
      <c r="F355" s="95" t="s">
        <v>1658</v>
      </c>
      <c r="G355" s="47" t="str">
        <f t="shared" si="13"/>
        <v>David</v>
      </c>
      <c r="H355" s="49" t="s">
        <v>183</v>
      </c>
      <c r="I355" s="49" t="s">
        <v>66</v>
      </c>
      <c r="J355" s="47" t="str">
        <f t="shared" si="18"/>
        <v>Não</v>
      </c>
      <c r="K355" s="97">
        <v>45166.0</v>
      </c>
      <c r="L355" s="62"/>
      <c r="M355" s="32" t="s">
        <v>61</v>
      </c>
      <c r="N355" s="56">
        <v>0.012</v>
      </c>
      <c r="O355" s="23" t="s">
        <v>66</v>
      </c>
      <c r="P355" s="57">
        <v>0.0</v>
      </c>
      <c r="Q355" s="58"/>
      <c r="R355" s="58" t="s">
        <v>5050</v>
      </c>
      <c r="S355" s="62" t="s">
        <v>194</v>
      </c>
      <c r="T355" s="32" t="s">
        <v>5051</v>
      </c>
      <c r="U355" s="33">
        <v>6.1998064111E10</v>
      </c>
      <c r="V355" s="33" t="s">
        <v>5052</v>
      </c>
      <c r="W355" s="48">
        <v>29581.0</v>
      </c>
      <c r="X355" s="23" t="s">
        <v>199</v>
      </c>
      <c r="Y355" s="49" t="str">
        <f t="shared" si="14"/>
        <v>Ativo</v>
      </c>
      <c r="Z355" s="62"/>
      <c r="AA355" s="62"/>
      <c r="AB355" s="64" t="s">
        <v>269</v>
      </c>
      <c r="AC355" s="79"/>
      <c r="AD355" s="54">
        <v>45166.0</v>
      </c>
      <c r="AE355" s="77">
        <v>4.9075100006849E13</v>
      </c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65">
        <v>49881.29</v>
      </c>
      <c r="AQ355" s="65">
        <v>50235.48</v>
      </c>
      <c r="AR355" s="65">
        <v>50213.72</v>
      </c>
      <c r="AS355" s="65">
        <v>56319.69</v>
      </c>
      <c r="AT355" s="65">
        <v>57332.02</v>
      </c>
      <c r="AU355" s="65">
        <v>56651.28</v>
      </c>
      <c r="AV355" s="65">
        <v>62158.75</v>
      </c>
      <c r="AW355" s="65">
        <v>62837.01</v>
      </c>
      <c r="AX355" s="65">
        <v>62339.2</v>
      </c>
      <c r="AY355" s="65">
        <v>67298.56</v>
      </c>
      <c r="AZ355" s="65">
        <v>67668.23</v>
      </c>
      <c r="BA355" s="65">
        <v>74561.1</v>
      </c>
      <c r="BB355" s="65">
        <v>74929.79</v>
      </c>
      <c r="BC355" s="65">
        <v>75029.1</v>
      </c>
      <c r="BD355" s="65">
        <v>74965.55</v>
      </c>
      <c r="BE355" s="65">
        <v>74882.57</v>
      </c>
      <c r="BF355" s="65">
        <v>74921.36</v>
      </c>
      <c r="BG355" s="65">
        <v>75901.0</v>
      </c>
      <c r="BH355" s="65">
        <v>76364.59</v>
      </c>
      <c r="BI355" s="65">
        <v>77083.33</v>
      </c>
      <c r="BJ355" s="65">
        <v>77252.11</v>
      </c>
      <c r="BK355" s="65">
        <v>78891.1</v>
      </c>
      <c r="BL355" s="65">
        <v>79660.37</v>
      </c>
      <c r="BM355" s="65">
        <v>80289.85</v>
      </c>
      <c r="BN355" s="65">
        <v>80577.84</v>
      </c>
      <c r="BO355" s="65">
        <v>81290.71</v>
      </c>
      <c r="BP355" s="65">
        <v>82257.78</v>
      </c>
      <c r="BQ355" s="65">
        <v>82782.62</v>
      </c>
      <c r="BR355" s="65">
        <v>83632.17</v>
      </c>
      <c r="BS355" s="65">
        <v>84568.83</v>
      </c>
      <c r="BT355" s="88">
        <v>84917.98</v>
      </c>
      <c r="BU355" s="65">
        <v>85687.55</v>
      </c>
      <c r="BV355" s="65">
        <v>86580.94</v>
      </c>
      <c r="BW355" s="90">
        <v>87220.66</v>
      </c>
      <c r="BX355" s="90">
        <v>88026.94</v>
      </c>
      <c r="BY355" s="90">
        <f t="array" ref="BY355">XLOOKUP(C355,'PL TOTAL D0'!$A$3:$A$1991,'PL TOTAL D0'!$C$3:$C$1991,"")</f>
        <v>88932.82</v>
      </c>
    </row>
    <row r="356" ht="15.75" customHeight="1">
      <c r="A356" s="50" t="s">
        <v>24</v>
      </c>
      <c r="B356" s="43" t="s">
        <v>5060</v>
      </c>
      <c r="C356" s="94" t="s">
        <v>3139</v>
      </c>
      <c r="D356" s="30" t="s">
        <v>89</v>
      </c>
      <c r="E356" s="22" t="s">
        <v>91</v>
      </c>
      <c r="F356" s="22" t="s">
        <v>521</v>
      </c>
      <c r="G356" s="47" t="str">
        <f t="shared" si="13"/>
        <v>David</v>
      </c>
      <c r="H356" s="49" t="s">
        <v>183</v>
      </c>
      <c r="I356" s="49" t="s">
        <v>66</v>
      </c>
      <c r="J356" s="47" t="str">
        <f t="shared" si="18"/>
        <v>Não</v>
      </c>
      <c r="K356" s="54">
        <v>45602.0</v>
      </c>
      <c r="L356" s="62"/>
      <c r="M356" s="32" t="s">
        <v>61</v>
      </c>
      <c r="N356" s="56">
        <v>0.012</v>
      </c>
      <c r="O356" s="23" t="s">
        <v>66</v>
      </c>
      <c r="P356" s="57">
        <v>0.0</v>
      </c>
      <c r="Q356" s="58"/>
      <c r="R356" s="70"/>
      <c r="S356" s="32" t="s">
        <v>194</v>
      </c>
      <c r="T356" s="32" t="s">
        <v>5063</v>
      </c>
      <c r="U356" s="33">
        <v>5.543991950172E12</v>
      </c>
      <c r="V356" s="33" t="s">
        <v>5064</v>
      </c>
      <c r="W356" s="34">
        <v>30775.0</v>
      </c>
      <c r="X356" s="23" t="s">
        <v>221</v>
      </c>
      <c r="Y356" s="49" t="str">
        <f t="shared" si="14"/>
        <v>Ativo</v>
      </c>
      <c r="Z356" s="62"/>
      <c r="AA356" s="32" t="s">
        <v>165</v>
      </c>
      <c r="AB356" s="64"/>
      <c r="AC356" s="79"/>
      <c r="AD356" s="54">
        <v>45609.0</v>
      </c>
      <c r="AE356" s="77">
        <v>4.9075100016224E13</v>
      </c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>
        <v>111374.07</v>
      </c>
      <c r="BF356" s="65">
        <v>112446.9</v>
      </c>
      <c r="BG356" s="65">
        <v>113533.63</v>
      </c>
      <c r="BH356" s="65">
        <v>114629.13</v>
      </c>
      <c r="BI356" s="65">
        <v>115808.59</v>
      </c>
      <c r="BJ356" s="65">
        <v>117228.31</v>
      </c>
      <c r="BK356" s="65">
        <v>118417.7</v>
      </c>
      <c r="BL356" s="65">
        <v>119462.08</v>
      </c>
      <c r="BM356" s="65">
        <v>120797.12</v>
      </c>
      <c r="BN356" s="65">
        <v>121923.7</v>
      </c>
      <c r="BO356" s="65">
        <v>123106.79</v>
      </c>
      <c r="BP356" s="65">
        <v>124528.9</v>
      </c>
      <c r="BQ356" s="65">
        <v>125591.0</v>
      </c>
      <c r="BR356" s="65">
        <v>126880.2</v>
      </c>
      <c r="BS356" s="65">
        <v>128161.96</v>
      </c>
      <c r="BT356" s="88">
        <v>129270.2</v>
      </c>
      <c r="BU356" s="65">
        <v>196445.9</v>
      </c>
      <c r="BV356" s="65">
        <v>198566.9</v>
      </c>
      <c r="BW356" s="90">
        <v>200519.7</v>
      </c>
      <c r="BX356" s="90">
        <v>202409.4</v>
      </c>
      <c r="BY356" s="90">
        <f t="array" ref="BY356">XLOOKUP(C356,'PL TOTAL D0'!$A$3:$A$1991,'PL TOTAL D0'!$C$3:$C$1991,"")</f>
        <v>204477.99</v>
      </c>
    </row>
    <row r="357" ht="13.5" customHeight="1">
      <c r="A357" s="50" t="s">
        <v>24</v>
      </c>
      <c r="B357" s="50" t="s">
        <v>5072</v>
      </c>
      <c r="C357" s="94" t="s">
        <v>5073</v>
      </c>
      <c r="D357" s="81" t="s">
        <v>255</v>
      </c>
      <c r="E357" s="95" t="s">
        <v>199</v>
      </c>
      <c r="F357" s="81" t="s">
        <v>5074</v>
      </c>
      <c r="G357" s="47" t="str">
        <f t="shared" si="13"/>
        <v>David</v>
      </c>
      <c r="H357" s="49" t="s">
        <v>224</v>
      </c>
      <c r="I357" s="49" t="s">
        <v>66</v>
      </c>
      <c r="J357" s="47" t="str">
        <f t="shared" si="18"/>
        <v>Não</v>
      </c>
      <c r="K357" s="97">
        <v>44879.0</v>
      </c>
      <c r="L357" s="55">
        <v>45516.0</v>
      </c>
      <c r="M357" s="62" t="s">
        <v>61</v>
      </c>
      <c r="N357" s="98">
        <v>0.01</v>
      </c>
      <c r="O357" s="47" t="s">
        <v>66</v>
      </c>
      <c r="P357" s="99">
        <v>0.0</v>
      </c>
      <c r="Q357" s="58"/>
      <c r="R357" s="58" t="s">
        <v>5076</v>
      </c>
      <c r="S357" s="62" t="s">
        <v>194</v>
      </c>
      <c r="T357" s="32" t="s">
        <v>4658</v>
      </c>
      <c r="U357" s="33" t="s">
        <v>268</v>
      </c>
      <c r="V357" s="33"/>
      <c r="W357" s="33" t="s">
        <v>268</v>
      </c>
      <c r="X357" s="23" t="s">
        <v>199</v>
      </c>
      <c r="Y357" s="49" t="str">
        <f t="shared" si="14"/>
        <v>Encerrado</v>
      </c>
      <c r="Z357" s="62"/>
      <c r="AA357" s="62"/>
      <c r="AB357" s="64" t="s">
        <v>244</v>
      </c>
      <c r="AC357" s="79"/>
      <c r="AD357" s="54">
        <v>44879.0</v>
      </c>
      <c r="AE357" s="77">
        <v>4.9075100005702E13</v>
      </c>
      <c r="AF357" s="79"/>
      <c r="AG357" s="79"/>
      <c r="AH357" s="65">
        <v>10136.48</v>
      </c>
      <c r="AI357" s="65">
        <v>335914.5</v>
      </c>
      <c r="AJ357" s="65">
        <v>374246.97</v>
      </c>
      <c r="AK357" s="65">
        <v>497306.27</v>
      </c>
      <c r="AL357" s="65">
        <v>563290.94</v>
      </c>
      <c r="AM357" s="65">
        <v>615707.8</v>
      </c>
      <c r="AN357" s="65">
        <v>620316.84</v>
      </c>
      <c r="AO357" s="65">
        <v>625662.88</v>
      </c>
      <c r="AP357" s="65">
        <v>631821.54</v>
      </c>
      <c r="AQ357" s="65">
        <v>635773.95</v>
      </c>
      <c r="AR357" s="65">
        <v>675574.55</v>
      </c>
      <c r="AS357" s="65">
        <v>679688.24</v>
      </c>
      <c r="AT357" s="65">
        <v>684973.02</v>
      </c>
      <c r="AU357" s="65">
        <v>690693.97</v>
      </c>
      <c r="AV357" s="65">
        <v>695825.83</v>
      </c>
      <c r="AW357" s="65">
        <v>697736.76</v>
      </c>
      <c r="AX357" s="65">
        <v>702259.73</v>
      </c>
      <c r="AY357" s="65">
        <v>707620.8</v>
      </c>
      <c r="AZ357" s="65">
        <v>721077.1</v>
      </c>
      <c r="BA357" s="65">
        <v>726874.6</v>
      </c>
      <c r="BB357" s="65">
        <v>0.0</v>
      </c>
      <c r="BC357" s="65">
        <v>0.0</v>
      </c>
      <c r="BD357" s="65">
        <v>0.0</v>
      </c>
      <c r="BE357" s="65">
        <v>0.0</v>
      </c>
      <c r="BF357" s="65">
        <v>0.0</v>
      </c>
      <c r="BG357" s="65">
        <v>0.0</v>
      </c>
      <c r="BH357" s="65">
        <v>0.0</v>
      </c>
      <c r="BI357" s="65">
        <v>0.0</v>
      </c>
      <c r="BJ357" s="65">
        <v>0.0</v>
      </c>
      <c r="BK357" s="65">
        <v>0.0</v>
      </c>
      <c r="BL357" s="65">
        <v>0.0</v>
      </c>
      <c r="BM357" s="65">
        <v>0.0</v>
      </c>
      <c r="BN357" s="65">
        <v>0.0</v>
      </c>
      <c r="BO357" s="65">
        <v>0.0</v>
      </c>
      <c r="BP357" s="65">
        <v>0.0</v>
      </c>
      <c r="BQ357" s="65">
        <v>0.0</v>
      </c>
      <c r="BR357" s="65">
        <v>0.0</v>
      </c>
      <c r="BS357" s="65">
        <v>0.0</v>
      </c>
      <c r="BT357" s="88">
        <v>0.0</v>
      </c>
      <c r="BU357" s="65">
        <v>0.0</v>
      </c>
      <c r="BV357" s="65">
        <v>0.0</v>
      </c>
      <c r="BW357" s="90">
        <v>0.0</v>
      </c>
      <c r="BX357" s="90">
        <v>0.0</v>
      </c>
      <c r="BY357" s="90" t="str">
        <f t="array" ref="BY357">XLOOKUP(C357,'PL TOTAL D0'!$A$3:$A$1991,'PL TOTAL D0'!$C$3:$C$1991,"")</f>
        <v/>
      </c>
    </row>
    <row r="358" ht="13.5" customHeight="1">
      <c r="A358" s="43" t="s">
        <v>24</v>
      </c>
      <c r="B358" s="43" t="s">
        <v>5078</v>
      </c>
      <c r="C358" s="94" t="s">
        <v>5079</v>
      </c>
      <c r="D358" s="30" t="s">
        <v>120</v>
      </c>
      <c r="E358" s="22" t="s">
        <v>54</v>
      </c>
      <c r="F358" s="30" t="s">
        <v>348</v>
      </c>
      <c r="G358" s="47" t="str">
        <f t="shared" si="13"/>
        <v>David</v>
      </c>
      <c r="H358" s="49" t="s">
        <v>224</v>
      </c>
      <c r="I358" s="49" t="s">
        <v>66</v>
      </c>
      <c r="J358" s="47" t="str">
        <f t="shared" si="18"/>
        <v>Não</v>
      </c>
      <c r="K358" s="54">
        <v>45331.0</v>
      </c>
      <c r="L358" s="121">
        <v>45980.0</v>
      </c>
      <c r="M358" s="32" t="s">
        <v>61</v>
      </c>
      <c r="N358" s="56">
        <v>0.012</v>
      </c>
      <c r="O358" s="23" t="s">
        <v>66</v>
      </c>
      <c r="P358" s="57">
        <v>0.0</v>
      </c>
      <c r="Q358" s="58"/>
      <c r="R358" s="70"/>
      <c r="S358" s="32" t="s">
        <v>234</v>
      </c>
      <c r="T358" s="22" t="s">
        <v>5082</v>
      </c>
      <c r="U358" s="33" t="s">
        <v>268</v>
      </c>
      <c r="V358" s="33"/>
      <c r="W358" s="33" t="s">
        <v>268</v>
      </c>
      <c r="X358" s="23" t="s">
        <v>54</v>
      </c>
      <c r="Y358" s="49" t="str">
        <f t="shared" si="14"/>
        <v>Encerrado</v>
      </c>
      <c r="Z358" s="32"/>
      <c r="AA358" s="32"/>
      <c r="AB358" s="64" t="s">
        <v>269</v>
      </c>
      <c r="AC358" s="79"/>
      <c r="AD358" s="54">
        <v>45331.0</v>
      </c>
      <c r="AE358" s="77">
        <v>4.907510001333E13</v>
      </c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65">
        <v>0.0</v>
      </c>
      <c r="AW358" s="65">
        <v>50397.13</v>
      </c>
      <c r="AX358" s="65">
        <v>50833.68</v>
      </c>
      <c r="AY358" s="65">
        <v>51234.96</v>
      </c>
      <c r="AZ358" s="65">
        <v>51665.89</v>
      </c>
      <c r="BA358" s="65">
        <v>52114.84</v>
      </c>
      <c r="BB358" s="65">
        <v>52548.2</v>
      </c>
      <c r="BC358" s="65">
        <v>52916.24</v>
      </c>
      <c r="BD358" s="65">
        <v>53384.51</v>
      </c>
      <c r="BE358" s="65">
        <v>53800.33</v>
      </c>
      <c r="BF358" s="65">
        <v>54270.63</v>
      </c>
      <c r="BG358" s="65">
        <v>54775.74</v>
      </c>
      <c r="BH358" s="65">
        <v>55193.56</v>
      </c>
      <c r="BI358" s="65">
        <v>54793.51</v>
      </c>
      <c r="BJ358" s="65">
        <v>55450.11</v>
      </c>
      <c r="BK358" s="65">
        <v>56025.35</v>
      </c>
      <c r="BL358" s="65">
        <v>56564.42</v>
      </c>
      <c r="BM358" s="65">
        <v>0.0</v>
      </c>
      <c r="BN358" s="65">
        <v>0.0</v>
      </c>
      <c r="BO358" s="65">
        <v>0.0</v>
      </c>
      <c r="BP358" s="65">
        <v>0.0</v>
      </c>
      <c r="BQ358" s="65">
        <v>0.0</v>
      </c>
      <c r="BR358" s="65">
        <v>0.0</v>
      </c>
      <c r="BS358" s="65">
        <v>0.0</v>
      </c>
      <c r="BT358" s="88">
        <v>0.0</v>
      </c>
      <c r="BU358" s="65">
        <v>0.0</v>
      </c>
      <c r="BV358" s="65">
        <v>0.0</v>
      </c>
      <c r="BW358" s="90">
        <v>0.0</v>
      </c>
      <c r="BX358" s="90">
        <v>0.0</v>
      </c>
      <c r="BY358" s="90" t="str">
        <f t="array" ref="BY358">XLOOKUP(C358,'PL TOTAL D0'!$A$3:$A$1991,'PL TOTAL D0'!$C$3:$C$1991,"")</f>
        <v/>
      </c>
    </row>
    <row r="359">
      <c r="A359" s="50" t="s">
        <v>24</v>
      </c>
      <c r="B359" s="547" t="s">
        <v>5086</v>
      </c>
      <c r="C359" s="94" t="s">
        <v>5087</v>
      </c>
      <c r="D359" s="30" t="s">
        <v>89</v>
      </c>
      <c r="E359" s="95" t="s">
        <v>91</v>
      </c>
      <c r="F359" s="66" t="s">
        <v>193</v>
      </c>
      <c r="G359" s="47" t="str">
        <f t="shared" si="13"/>
        <v>David</v>
      </c>
      <c r="H359" s="49" t="s">
        <v>224</v>
      </c>
      <c r="I359" s="49" t="s">
        <v>66</v>
      </c>
      <c r="J359" s="47" t="str">
        <f t="shared" si="18"/>
        <v>Não</v>
      </c>
      <c r="K359" s="97">
        <v>45222.0</v>
      </c>
      <c r="L359" s="121">
        <v>45589.0</v>
      </c>
      <c r="M359" s="62" t="s">
        <v>390</v>
      </c>
      <c r="N359" s="98">
        <v>0.0</v>
      </c>
      <c r="O359" s="47" t="s">
        <v>66</v>
      </c>
      <c r="P359" s="99">
        <v>0.0</v>
      </c>
      <c r="Q359" s="58"/>
      <c r="R359" s="70"/>
      <c r="S359" s="62" t="s">
        <v>194</v>
      </c>
      <c r="T359" s="32" t="s">
        <v>5089</v>
      </c>
      <c r="U359" s="33" t="s">
        <v>268</v>
      </c>
      <c r="V359" s="33"/>
      <c r="W359" s="33" t="s">
        <v>268</v>
      </c>
      <c r="X359" s="23" t="s">
        <v>221</v>
      </c>
      <c r="Y359" s="49" t="str">
        <f t="shared" si="14"/>
        <v>Encerrado</v>
      </c>
      <c r="Z359" s="62"/>
      <c r="AA359" s="62"/>
      <c r="AB359" s="64" t="s">
        <v>269</v>
      </c>
      <c r="AC359" s="79"/>
      <c r="AD359" s="54">
        <v>45222.0</v>
      </c>
      <c r="AE359" s="77">
        <v>4.9075100012334E13</v>
      </c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65">
        <v>0.0</v>
      </c>
      <c r="AS359" s="65">
        <v>0.0</v>
      </c>
      <c r="AT359" s="65">
        <v>0.0</v>
      </c>
      <c r="AU359" s="65">
        <v>0.0</v>
      </c>
      <c r="AV359" s="65">
        <v>0.0</v>
      </c>
      <c r="AW359" s="65">
        <v>0.0</v>
      </c>
      <c r="AX359" s="65">
        <v>0.0</v>
      </c>
      <c r="AY359" s="65">
        <v>0.0</v>
      </c>
      <c r="AZ359" s="65">
        <v>0.0</v>
      </c>
      <c r="BA359" s="65">
        <v>0.0</v>
      </c>
      <c r="BB359" s="65">
        <v>0.0</v>
      </c>
      <c r="BC359" s="65">
        <v>0.0</v>
      </c>
      <c r="BD359" s="65">
        <v>0.0</v>
      </c>
      <c r="BE359" s="65">
        <v>0.0</v>
      </c>
      <c r="BF359" s="65">
        <v>0.0</v>
      </c>
      <c r="BG359" s="65">
        <v>0.0</v>
      </c>
      <c r="BH359" s="65">
        <v>0.0</v>
      </c>
      <c r="BI359" s="65">
        <v>0.0</v>
      </c>
      <c r="BJ359" s="65">
        <v>0.0</v>
      </c>
      <c r="BK359" s="65">
        <v>0.0</v>
      </c>
      <c r="BL359" s="65">
        <v>0.0</v>
      </c>
      <c r="BM359" s="65">
        <v>0.0</v>
      </c>
      <c r="BN359" s="65">
        <v>0.0</v>
      </c>
      <c r="BO359" s="65">
        <v>0.0</v>
      </c>
      <c r="BP359" s="65">
        <v>0.0</v>
      </c>
      <c r="BQ359" s="65">
        <v>0.0</v>
      </c>
      <c r="BR359" s="65">
        <v>0.0</v>
      </c>
      <c r="BS359" s="65">
        <v>0.0</v>
      </c>
      <c r="BT359" s="88">
        <v>0.0</v>
      </c>
      <c r="BU359" s="65">
        <v>0.0</v>
      </c>
      <c r="BV359" s="65">
        <v>0.0</v>
      </c>
      <c r="BW359" s="90">
        <v>0.0</v>
      </c>
      <c r="BX359" s="90">
        <v>0.0</v>
      </c>
      <c r="BY359" s="90" t="str">
        <f t="array" ref="BY359">XLOOKUP(C359,'PL TOTAL D0'!$A$3:$A$1991,'PL TOTAL D0'!$C$3:$C$1991,"")</f>
        <v/>
      </c>
    </row>
    <row r="360" ht="13.5" customHeight="1">
      <c r="A360" s="50" t="s">
        <v>24</v>
      </c>
      <c r="B360" s="191" t="s">
        <v>5095</v>
      </c>
      <c r="C360" s="94" t="s">
        <v>5096</v>
      </c>
      <c r="D360" s="81" t="s">
        <v>255</v>
      </c>
      <c r="E360" s="95" t="s">
        <v>199</v>
      </c>
      <c r="F360" s="81" t="s">
        <v>2328</v>
      </c>
      <c r="G360" s="47" t="str">
        <f t="shared" si="13"/>
        <v>David</v>
      </c>
      <c r="H360" s="49" t="s">
        <v>224</v>
      </c>
      <c r="I360" s="49" t="s">
        <v>66</v>
      </c>
      <c r="J360" s="47" t="str">
        <f t="shared" si="18"/>
        <v>Não</v>
      </c>
      <c r="K360" s="97">
        <v>45174.0</v>
      </c>
      <c r="L360" s="55">
        <v>45526.0</v>
      </c>
      <c r="M360" s="62" t="s">
        <v>61</v>
      </c>
      <c r="N360" s="98">
        <v>0.0085</v>
      </c>
      <c r="O360" s="47" t="s">
        <v>66</v>
      </c>
      <c r="P360" s="99">
        <v>0.0</v>
      </c>
      <c r="Q360" s="58"/>
      <c r="R360" s="70"/>
      <c r="S360" s="62" t="s">
        <v>194</v>
      </c>
      <c r="T360" s="32" t="s">
        <v>5098</v>
      </c>
      <c r="U360" s="33" t="s">
        <v>268</v>
      </c>
      <c r="V360" s="33"/>
      <c r="W360" s="33" t="s">
        <v>268</v>
      </c>
      <c r="X360" s="23" t="s">
        <v>475</v>
      </c>
      <c r="Y360" s="49" t="str">
        <f t="shared" si="14"/>
        <v>Encerrado</v>
      </c>
      <c r="Z360" s="62"/>
      <c r="AA360" s="62"/>
      <c r="AB360" s="64" t="s">
        <v>269</v>
      </c>
      <c r="AC360" s="79"/>
      <c r="AD360" s="54">
        <v>45174.0</v>
      </c>
      <c r="AE360" s="77">
        <v>4.9075100009228E13</v>
      </c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65">
        <v>1008072.0</v>
      </c>
      <c r="AQ360" s="65">
        <v>1015617.95</v>
      </c>
      <c r="AR360" s="65">
        <v>1024973.2</v>
      </c>
      <c r="AS360" s="65">
        <v>1032706.95</v>
      </c>
      <c r="AT360" s="65">
        <v>1040938.18</v>
      </c>
      <c r="AU360" s="65">
        <v>1050466.33</v>
      </c>
      <c r="AV360" s="65">
        <v>1656050.13</v>
      </c>
      <c r="AW360" s="65">
        <v>1639208.17</v>
      </c>
      <c r="AX360" s="65">
        <v>1649756.35</v>
      </c>
      <c r="AY360" s="65">
        <v>1672059.0</v>
      </c>
      <c r="AZ360" s="65">
        <v>1688895.0</v>
      </c>
      <c r="BA360" s="65">
        <v>1707258.0</v>
      </c>
      <c r="BB360" s="65">
        <v>0.0</v>
      </c>
      <c r="BC360" s="65">
        <v>0.0</v>
      </c>
      <c r="BD360" s="65">
        <v>0.0</v>
      </c>
      <c r="BE360" s="65">
        <v>0.0</v>
      </c>
      <c r="BF360" s="65">
        <v>0.0</v>
      </c>
      <c r="BG360" s="65">
        <v>0.0</v>
      </c>
      <c r="BH360" s="65">
        <v>0.0</v>
      </c>
      <c r="BI360" s="65">
        <v>0.0</v>
      </c>
      <c r="BJ360" s="65">
        <v>0.0</v>
      </c>
      <c r="BK360" s="65">
        <v>0.0</v>
      </c>
      <c r="BL360" s="65">
        <v>0.0</v>
      </c>
      <c r="BM360" s="65">
        <v>0.0</v>
      </c>
      <c r="BN360" s="65">
        <v>0.0</v>
      </c>
      <c r="BO360" s="65">
        <v>0.0</v>
      </c>
      <c r="BP360" s="65">
        <v>0.0</v>
      </c>
      <c r="BQ360" s="65">
        <v>0.0</v>
      </c>
      <c r="BR360" s="65">
        <v>0.0</v>
      </c>
      <c r="BS360" s="65">
        <v>0.0</v>
      </c>
      <c r="BT360" s="88">
        <v>0.0</v>
      </c>
      <c r="BU360" s="65">
        <v>0.0</v>
      </c>
      <c r="BV360" s="65">
        <v>0.0</v>
      </c>
      <c r="BW360" s="90">
        <v>0.0</v>
      </c>
      <c r="BX360" s="90">
        <v>0.0</v>
      </c>
      <c r="BY360" s="90" t="str">
        <f t="array" ref="BY360">XLOOKUP(C360,'PL TOTAL D0'!$A$3:$A$1991,'PL TOTAL D0'!$C$3:$C$1991,"")</f>
        <v/>
      </c>
    </row>
    <row r="361" ht="13.5" customHeight="1">
      <c r="A361" s="50" t="s">
        <v>24</v>
      </c>
      <c r="B361" s="322" t="s">
        <v>5101</v>
      </c>
      <c r="C361" s="94" t="s">
        <v>5102</v>
      </c>
      <c r="D361" s="30" t="s">
        <v>89</v>
      </c>
      <c r="E361" s="22" t="s">
        <v>91</v>
      </c>
      <c r="F361" s="30" t="s">
        <v>521</v>
      </c>
      <c r="G361" s="47" t="str">
        <f t="shared" si="13"/>
        <v>David</v>
      </c>
      <c r="H361" s="49" t="s">
        <v>224</v>
      </c>
      <c r="I361" s="49" t="s">
        <v>66</v>
      </c>
      <c r="J361" s="47" t="str">
        <f t="shared" si="18"/>
        <v>Não</v>
      </c>
      <c r="K361" s="54">
        <v>45603.0</v>
      </c>
      <c r="L361" s="55">
        <v>46160.0</v>
      </c>
      <c r="M361" s="32" t="s">
        <v>61</v>
      </c>
      <c r="N361" s="56">
        <v>0.012</v>
      </c>
      <c r="O361" s="23" t="s">
        <v>66</v>
      </c>
      <c r="P361" s="57">
        <v>0.0</v>
      </c>
      <c r="Q361" s="58"/>
      <c r="R361" s="70"/>
      <c r="S361" s="32" t="s">
        <v>194</v>
      </c>
      <c r="T361" s="32" t="s">
        <v>5103</v>
      </c>
      <c r="U361" s="33">
        <v>3.4992603847E10</v>
      </c>
      <c r="V361" s="33" t="s">
        <v>5104</v>
      </c>
      <c r="W361" s="34">
        <v>30572.0</v>
      </c>
      <c r="X361" s="23" t="s">
        <v>618</v>
      </c>
      <c r="Y361" s="49" t="str">
        <f t="shared" si="14"/>
        <v>Encerrado</v>
      </c>
      <c r="Z361" s="62"/>
      <c r="AA361" s="32" t="s">
        <v>165</v>
      </c>
      <c r="AB361" s="64"/>
      <c r="AC361" s="79"/>
      <c r="AD361" s="54">
        <v>45615.0</v>
      </c>
      <c r="AE361" s="77">
        <v>4.9075100016259E13</v>
      </c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>
        <v>80133.13</v>
      </c>
      <c r="BF361" s="65">
        <v>101789.59</v>
      </c>
      <c r="BG361" s="65">
        <v>107771.12</v>
      </c>
      <c r="BH361" s="65">
        <v>112784.34</v>
      </c>
      <c r="BI361" s="65">
        <v>114100.65</v>
      </c>
      <c r="BJ361" s="65">
        <v>115218.75</v>
      </c>
      <c r="BK361" s="65">
        <v>121338.57</v>
      </c>
      <c r="BL361" s="65">
        <v>126712.68</v>
      </c>
      <c r="BM361" s="65">
        <v>132083.57</v>
      </c>
      <c r="BN361" s="65">
        <v>133292.6</v>
      </c>
      <c r="BO361" s="65">
        <v>142541.6</v>
      </c>
      <c r="BP361" s="65">
        <v>146977.7</v>
      </c>
      <c r="BQ361" s="65">
        <v>152610.3</v>
      </c>
      <c r="BR361" s="65">
        <v>154033.2</v>
      </c>
      <c r="BS361" s="65">
        <v>155616.28</v>
      </c>
      <c r="BT361" s="88">
        <v>156868.6</v>
      </c>
      <c r="BU361" s="65">
        <v>158741.7</v>
      </c>
      <c r="BV361" s="65">
        <v>144474.2</v>
      </c>
      <c r="BW361" s="90">
        <v>0.0</v>
      </c>
      <c r="BX361" s="90">
        <v>0.0</v>
      </c>
      <c r="BY361" s="90" t="str">
        <f t="array" ref="BY361">XLOOKUP(C361,'PL TOTAL D0'!$A$3:$A$1991,'PL TOTAL D0'!$C$3:$C$1991,"")</f>
        <v/>
      </c>
    </row>
    <row r="362" ht="13.5" customHeight="1">
      <c r="A362" s="50" t="s">
        <v>24</v>
      </c>
      <c r="B362" s="249" t="s">
        <v>5111</v>
      </c>
      <c r="C362" s="94" t="s">
        <v>3235</v>
      </c>
      <c r="D362" s="81" t="s">
        <v>120</v>
      </c>
      <c r="E362" s="95" t="s">
        <v>199</v>
      </c>
      <c r="F362" s="30" t="s">
        <v>431</v>
      </c>
      <c r="G362" s="47" t="str">
        <f t="shared" si="13"/>
        <v>David</v>
      </c>
      <c r="H362" s="74" t="s">
        <v>183</v>
      </c>
      <c r="I362" s="74" t="s">
        <v>66</v>
      </c>
      <c r="J362" s="47" t="str">
        <f t="shared" si="18"/>
        <v>Não</v>
      </c>
      <c r="K362" s="97">
        <v>45201.0</v>
      </c>
      <c r="L362" s="62"/>
      <c r="M362" s="62" t="s">
        <v>61</v>
      </c>
      <c r="N362" s="98">
        <v>0.012</v>
      </c>
      <c r="O362" s="47" t="s">
        <v>66</v>
      </c>
      <c r="P362" s="99">
        <v>0.0</v>
      </c>
      <c r="Q362" s="58"/>
      <c r="R362" s="70"/>
      <c r="S362" s="62" t="s">
        <v>194</v>
      </c>
      <c r="T362" s="32" t="s">
        <v>5113</v>
      </c>
      <c r="U362" s="33">
        <v>6.19825036E10</v>
      </c>
      <c r="V362" s="33" t="s">
        <v>5115</v>
      </c>
      <c r="W362" s="34">
        <v>25354.0</v>
      </c>
      <c r="X362" s="23" t="s">
        <v>199</v>
      </c>
      <c r="Y362" s="49" t="str">
        <f t="shared" si="14"/>
        <v>Ativo</v>
      </c>
      <c r="Z362" s="62"/>
      <c r="AA362" s="32" t="s">
        <v>47</v>
      </c>
      <c r="AB362" s="64" t="s">
        <v>269</v>
      </c>
      <c r="AC362" s="79"/>
      <c r="AD362" s="54">
        <v>45201.0</v>
      </c>
      <c r="AE362" s="77">
        <v>4.9075100011362E13</v>
      </c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65">
        <v>20000.0</v>
      </c>
      <c r="AR362" s="65">
        <v>40282.69</v>
      </c>
      <c r="AS362" s="65">
        <v>40601.32</v>
      </c>
      <c r="AT362" s="65">
        <v>40928.0</v>
      </c>
      <c r="AU362" s="65">
        <v>35241.03</v>
      </c>
      <c r="AV362" s="65">
        <v>35524.28</v>
      </c>
      <c r="AW362" s="65">
        <v>35820.13</v>
      </c>
      <c r="AX362" s="65">
        <v>36122.49</v>
      </c>
      <c r="AY362" s="65">
        <v>36409.23</v>
      </c>
      <c r="AZ362" s="65">
        <v>36693.51</v>
      </c>
      <c r="BA362" s="65">
        <v>37017.25</v>
      </c>
      <c r="BB362" s="65">
        <v>37323.17</v>
      </c>
      <c r="BC362" s="65">
        <v>66740.18</v>
      </c>
      <c r="BD362" s="65">
        <v>66692.2</v>
      </c>
      <c r="BE362" s="65">
        <v>67147.42</v>
      </c>
      <c r="BF362" s="65">
        <v>67771.38</v>
      </c>
      <c r="BG362" s="65">
        <v>106550.65</v>
      </c>
      <c r="BH362" s="65">
        <v>104454.35</v>
      </c>
      <c r="BI362" s="65">
        <v>105737.33</v>
      </c>
      <c r="BJ362" s="65">
        <v>127247.76</v>
      </c>
      <c r="BK362" s="65">
        <v>128598.39</v>
      </c>
      <c r="BL362" s="65">
        <v>129920.9</v>
      </c>
      <c r="BM362" s="65">
        <v>131217.59</v>
      </c>
      <c r="BN362" s="65">
        <v>132353.4</v>
      </c>
      <c r="BO362" s="65">
        <v>133326.03</v>
      </c>
      <c r="BP362" s="65">
        <v>134923.7</v>
      </c>
      <c r="BQ362" s="65">
        <v>136145.8</v>
      </c>
      <c r="BR362" s="65">
        <v>137698.8</v>
      </c>
      <c r="BS362" s="65">
        <v>138515.27</v>
      </c>
      <c r="BT362" s="88">
        <v>139658.8</v>
      </c>
      <c r="BU362" s="65">
        <v>141445.7</v>
      </c>
      <c r="BV362" s="65">
        <v>142890.3</v>
      </c>
      <c r="BW362" s="90">
        <v>144350.1</v>
      </c>
      <c r="BX362" s="90">
        <v>140743.7</v>
      </c>
      <c r="BY362" s="90">
        <f t="array" ref="BY362">XLOOKUP(C362,'PL TOTAL D0'!$A$3:$A$1991,'PL TOTAL D0'!$C$3:$C$1991,"")</f>
        <v>141249.27</v>
      </c>
    </row>
    <row r="363" ht="13.5" customHeight="1">
      <c r="A363" s="50" t="s">
        <v>24</v>
      </c>
      <c r="B363" s="678" t="s">
        <v>5111</v>
      </c>
      <c r="C363" s="94" t="s">
        <v>5121</v>
      </c>
      <c r="D363" s="81" t="s">
        <v>120</v>
      </c>
      <c r="E363" s="95" t="s">
        <v>199</v>
      </c>
      <c r="F363" s="30" t="s">
        <v>431</v>
      </c>
      <c r="G363" s="47" t="str">
        <f t="shared" si="13"/>
        <v>David</v>
      </c>
      <c r="H363" s="49" t="s">
        <v>183</v>
      </c>
      <c r="I363" s="49" t="s">
        <v>382</v>
      </c>
      <c r="J363" s="47" t="str">
        <f t="shared" si="18"/>
        <v>Não</v>
      </c>
      <c r="K363" s="54">
        <v>45688.0</v>
      </c>
      <c r="L363" s="62"/>
      <c r="M363" s="32" t="s">
        <v>4551</v>
      </c>
      <c r="N363" s="56">
        <v>0.01</v>
      </c>
      <c r="O363" s="23" t="s">
        <v>66</v>
      </c>
      <c r="P363" s="57">
        <v>0.0</v>
      </c>
      <c r="Q363" s="58"/>
      <c r="R363" s="70"/>
      <c r="S363" s="32" t="s">
        <v>194</v>
      </c>
      <c r="T363" s="32" t="s">
        <v>5113</v>
      </c>
      <c r="U363" s="33">
        <v>6.19825036E10</v>
      </c>
      <c r="V363" s="33" t="s">
        <v>5115</v>
      </c>
      <c r="W363" s="34">
        <v>25354.0</v>
      </c>
      <c r="X363" s="23" t="s">
        <v>199</v>
      </c>
      <c r="Y363" s="49" t="str">
        <f t="shared" si="14"/>
        <v>Ativo</v>
      </c>
      <c r="Z363" s="62"/>
      <c r="AA363" s="32" t="s">
        <v>47</v>
      </c>
      <c r="AB363" s="64"/>
      <c r="AC363" s="79"/>
      <c r="AD363" s="54">
        <v>45688.0</v>
      </c>
      <c r="AE363" s="77">
        <v>4.9075100017573E13</v>
      </c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65">
        <v>0.0</v>
      </c>
      <c r="BH363" s="65">
        <v>3024.76</v>
      </c>
      <c r="BI363" s="65">
        <v>3053.52</v>
      </c>
      <c r="BJ363" s="65">
        <v>3240.22</v>
      </c>
      <c r="BK363" s="65">
        <v>3650.19</v>
      </c>
      <c r="BL363" s="65">
        <v>3551.17</v>
      </c>
      <c r="BM363" s="65">
        <v>3971.62</v>
      </c>
      <c r="BN363" s="65">
        <v>3587.75</v>
      </c>
      <c r="BO363" s="65">
        <v>3688.16</v>
      </c>
      <c r="BP363" s="65">
        <v>6360.82</v>
      </c>
      <c r="BQ363" s="65">
        <v>5252.84</v>
      </c>
      <c r="BR363" s="65">
        <v>5225.39</v>
      </c>
      <c r="BS363" s="65">
        <v>4423.94</v>
      </c>
      <c r="BT363" s="88">
        <v>3636.25</v>
      </c>
      <c r="BU363" s="65">
        <v>3812.34</v>
      </c>
      <c r="BV363" s="65">
        <v>0.0</v>
      </c>
      <c r="BW363" s="90">
        <v>0.0</v>
      </c>
      <c r="BX363" s="90">
        <v>0.0</v>
      </c>
      <c r="BY363" s="90" t="str">
        <f t="array" ref="BY363">XLOOKUP(C363,'PL TOTAL D0'!$A$3:$A$1991,'PL TOTAL D0'!$C$3:$C$1991,"")</f>
        <v/>
      </c>
    </row>
    <row r="364" ht="13.5" customHeight="1">
      <c r="A364" s="43" t="s">
        <v>24</v>
      </c>
      <c r="B364" s="43" t="s">
        <v>5130</v>
      </c>
      <c r="C364" s="94" t="s">
        <v>5131</v>
      </c>
      <c r="D364" s="30" t="s">
        <v>120</v>
      </c>
      <c r="E364" s="22" t="s">
        <v>54</v>
      </c>
      <c r="F364" s="30" t="s">
        <v>5132</v>
      </c>
      <c r="G364" s="47" t="str">
        <f t="shared" si="13"/>
        <v>David</v>
      </c>
      <c r="H364" s="49" t="s">
        <v>224</v>
      </c>
      <c r="I364" s="49" t="s">
        <v>66</v>
      </c>
      <c r="J364" s="47" t="str">
        <f t="shared" si="18"/>
        <v>Não</v>
      </c>
      <c r="K364" s="54">
        <v>45373.0</v>
      </c>
      <c r="L364" s="121">
        <v>45957.0</v>
      </c>
      <c r="M364" s="32" t="s">
        <v>61</v>
      </c>
      <c r="N364" s="56">
        <v>0.012</v>
      </c>
      <c r="O364" s="23" t="s">
        <v>66</v>
      </c>
      <c r="P364" s="57">
        <v>0.0</v>
      </c>
      <c r="Q364" s="58"/>
      <c r="R364" s="70"/>
      <c r="S364" s="32" t="s">
        <v>194</v>
      </c>
      <c r="T364" s="177" t="s">
        <v>5134</v>
      </c>
      <c r="U364" s="33">
        <v>6.2984275794E10</v>
      </c>
      <c r="V364" s="33" t="s">
        <v>5135</v>
      </c>
      <c r="W364" s="34">
        <v>33043.0</v>
      </c>
      <c r="X364" s="23" t="s">
        <v>54</v>
      </c>
      <c r="Y364" s="49" t="str">
        <f t="shared" si="14"/>
        <v>Encerrado</v>
      </c>
      <c r="Z364" s="62"/>
      <c r="AA364" s="62"/>
      <c r="AB364" s="64" t="s">
        <v>269</v>
      </c>
      <c r="AC364" s="79"/>
      <c r="AD364" s="54">
        <v>45373.0</v>
      </c>
      <c r="AE364" s="77">
        <v>4.9075100013772E13</v>
      </c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65"/>
      <c r="AW364" s="65">
        <v>50061.93</v>
      </c>
      <c r="AX364" s="65">
        <v>50477.13</v>
      </c>
      <c r="AY364" s="65">
        <v>50892.79</v>
      </c>
      <c r="AZ364" s="65">
        <v>50309.87</v>
      </c>
      <c r="BA364" s="65">
        <v>150858.2</v>
      </c>
      <c r="BB364" s="65">
        <v>151171.61</v>
      </c>
      <c r="BC364" s="65">
        <v>152264.85</v>
      </c>
      <c r="BD364" s="65">
        <v>153749.99</v>
      </c>
      <c r="BE364" s="65">
        <v>154915.17</v>
      </c>
      <c r="BF364" s="65">
        <v>155929.81</v>
      </c>
      <c r="BG364" s="65">
        <v>157417.54</v>
      </c>
      <c r="BH364" s="65">
        <v>155617.65</v>
      </c>
      <c r="BI364" s="65">
        <v>156766.34</v>
      </c>
      <c r="BJ364" s="65">
        <v>52584.35</v>
      </c>
      <c r="BK364" s="65">
        <v>5107.54</v>
      </c>
      <c r="BL364" s="65">
        <v>5157.75</v>
      </c>
      <c r="BM364" s="65">
        <v>5216.27</v>
      </c>
      <c r="BN364" s="65">
        <v>5270.28</v>
      </c>
      <c r="BO364" s="65">
        <v>5324.84</v>
      </c>
      <c r="BP364" s="65">
        <v>0.0</v>
      </c>
      <c r="BQ364" s="65">
        <v>0.0</v>
      </c>
      <c r="BR364" s="65">
        <v>0.0</v>
      </c>
      <c r="BS364" s="65">
        <v>0.0</v>
      </c>
      <c r="BT364" s="88">
        <v>0.0</v>
      </c>
      <c r="BU364" s="65">
        <v>0.0</v>
      </c>
      <c r="BV364" s="65">
        <v>0.0</v>
      </c>
      <c r="BW364" s="90">
        <v>0.0</v>
      </c>
      <c r="BX364" s="90">
        <v>0.0</v>
      </c>
      <c r="BY364" s="90" t="str">
        <f t="array" ref="BY364">XLOOKUP(C364,'PL TOTAL D0'!$A$3:$A$1991,'PL TOTAL D0'!$C$3:$C$1991,"")</f>
        <v/>
      </c>
    </row>
    <row r="365" ht="13.5" customHeight="1">
      <c r="A365" s="43" t="s">
        <v>24</v>
      </c>
      <c r="B365" s="43" t="s">
        <v>5137</v>
      </c>
      <c r="C365" s="94" t="s">
        <v>5140</v>
      </c>
      <c r="D365" s="30" t="s">
        <v>89</v>
      </c>
      <c r="E365" s="22" t="s">
        <v>91</v>
      </c>
      <c r="F365" s="30" t="s">
        <v>5142</v>
      </c>
      <c r="G365" s="47" t="str">
        <f t="shared" si="13"/>
        <v>David</v>
      </c>
      <c r="H365" s="49" t="s">
        <v>295</v>
      </c>
      <c r="I365" s="49" t="s">
        <v>382</v>
      </c>
      <c r="J365" s="47" t="str">
        <f t="shared" si="18"/>
        <v>Não</v>
      </c>
      <c r="K365" s="54">
        <v>45688.0</v>
      </c>
      <c r="L365" s="62"/>
      <c r="M365" s="32" t="s">
        <v>5143</v>
      </c>
      <c r="N365" s="56">
        <v>0.02</v>
      </c>
      <c r="O365" s="23" t="s">
        <v>233</v>
      </c>
      <c r="P365" s="57">
        <v>0.2</v>
      </c>
      <c r="Q365" s="58"/>
      <c r="R365" s="70"/>
      <c r="S365" s="32" t="s">
        <v>194</v>
      </c>
      <c r="T365" s="177" t="s">
        <v>5144</v>
      </c>
      <c r="U365" s="33">
        <v>5.543999097599E12</v>
      </c>
      <c r="V365" s="33" t="s">
        <v>5145</v>
      </c>
      <c r="W365" s="34">
        <v>21366.0</v>
      </c>
      <c r="X365" s="23" t="s">
        <v>221</v>
      </c>
      <c r="Y365" s="49" t="str">
        <f t="shared" si="14"/>
        <v>Ativo</v>
      </c>
      <c r="Z365" s="62"/>
      <c r="AA365" s="32" t="s">
        <v>47</v>
      </c>
      <c r="AB365" s="64"/>
      <c r="AC365" s="79"/>
      <c r="AD365" s="54">
        <v>45688.0</v>
      </c>
      <c r="AE365" s="77">
        <v>4.9075100017581E13</v>
      </c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65"/>
      <c r="AW365" s="65"/>
      <c r="AX365" s="65"/>
      <c r="AY365" s="65"/>
      <c r="AZ365" s="65"/>
      <c r="BA365" s="65"/>
      <c r="BB365" s="65"/>
      <c r="BC365" s="65"/>
      <c r="BD365" s="65"/>
      <c r="BE365" s="65"/>
      <c r="BF365" s="65"/>
      <c r="BG365" s="65">
        <v>0.0</v>
      </c>
      <c r="BH365" s="65">
        <v>0.0</v>
      </c>
      <c r="BI365" s="65">
        <v>0.0</v>
      </c>
      <c r="BJ365" s="65">
        <v>0.0</v>
      </c>
      <c r="BK365" s="65">
        <v>0.0</v>
      </c>
      <c r="BL365" s="65">
        <v>0.0</v>
      </c>
      <c r="BM365" s="65">
        <v>0.0</v>
      </c>
      <c r="BN365" s="65">
        <v>0.0</v>
      </c>
      <c r="BO365" s="65">
        <v>0.0</v>
      </c>
      <c r="BP365" s="65">
        <v>0.0</v>
      </c>
      <c r="BQ365" s="65">
        <v>0.0</v>
      </c>
      <c r="BR365" s="65">
        <v>0.0</v>
      </c>
      <c r="BS365" s="65">
        <v>0.0</v>
      </c>
      <c r="BT365" s="88">
        <v>0.0</v>
      </c>
      <c r="BU365" s="65">
        <v>0.0</v>
      </c>
      <c r="BV365" s="65">
        <v>0.0</v>
      </c>
      <c r="BW365" s="90">
        <v>0.0</v>
      </c>
      <c r="BX365" s="90">
        <v>0.0</v>
      </c>
      <c r="BY365" s="90" t="str">
        <f t="array" ref="BY365">XLOOKUP(C365,'PL TOTAL D0'!$A$3:$A$1991,'PL TOTAL D0'!$C$3:$C$1991,"")</f>
        <v/>
      </c>
    </row>
    <row r="366" ht="15.75" customHeight="1">
      <c r="A366" s="50" t="s">
        <v>24</v>
      </c>
      <c r="B366" s="50" t="s">
        <v>4671</v>
      </c>
      <c r="C366" s="94" t="s">
        <v>5148</v>
      </c>
      <c r="D366" s="81" t="s">
        <v>120</v>
      </c>
      <c r="E366" s="95" t="s">
        <v>54</v>
      </c>
      <c r="F366" s="81" t="s">
        <v>348</v>
      </c>
      <c r="G366" s="47" t="str">
        <f t="shared" si="13"/>
        <v>David</v>
      </c>
      <c r="H366" s="49" t="s">
        <v>295</v>
      </c>
      <c r="I366" s="49" t="s">
        <v>382</v>
      </c>
      <c r="J366" s="47" t="str">
        <f t="shared" si="18"/>
        <v>Não</v>
      </c>
      <c r="K366" s="97">
        <v>45033.0</v>
      </c>
      <c r="L366" s="62"/>
      <c r="M366" s="62" t="s">
        <v>61</v>
      </c>
      <c r="N366" s="98">
        <v>0.012</v>
      </c>
      <c r="O366" s="47" t="s">
        <v>66</v>
      </c>
      <c r="P366" s="99">
        <v>0.0</v>
      </c>
      <c r="Q366" s="58"/>
      <c r="R366" s="58" t="s">
        <v>5151</v>
      </c>
      <c r="S366" s="62" t="s">
        <v>194</v>
      </c>
      <c r="T366" s="32" t="s">
        <v>4670</v>
      </c>
      <c r="U366" s="33">
        <v>5.569992679686E12</v>
      </c>
      <c r="V366" s="33" t="s">
        <v>5152</v>
      </c>
      <c r="W366" s="34">
        <v>25350.0</v>
      </c>
      <c r="X366" s="23" t="s">
        <v>516</v>
      </c>
      <c r="Y366" s="49" t="str">
        <f t="shared" si="14"/>
        <v>Ativo</v>
      </c>
      <c r="Z366" s="62"/>
      <c r="AA366" s="62"/>
      <c r="AB366" s="64" t="s">
        <v>244</v>
      </c>
      <c r="AC366" s="79"/>
      <c r="AD366" s="54">
        <v>45033.0</v>
      </c>
      <c r="AE366" s="77">
        <v>4.9075100008744E13</v>
      </c>
      <c r="AF366" s="79"/>
      <c r="AG366" s="79"/>
      <c r="AH366" s="79"/>
      <c r="AI366" s="79"/>
      <c r="AJ366" s="79"/>
      <c r="AK366" s="65">
        <v>0.0</v>
      </c>
      <c r="AL366" s="65">
        <v>46179.63</v>
      </c>
      <c r="AM366" s="65">
        <v>80855.08</v>
      </c>
      <c r="AN366" s="65">
        <v>81626.89</v>
      </c>
      <c r="AO366" s="65">
        <v>119621.4</v>
      </c>
      <c r="AP366" s="65">
        <v>120539.62</v>
      </c>
      <c r="AQ366" s="65">
        <v>120449.7</v>
      </c>
      <c r="AR366" s="65">
        <v>121096.23</v>
      </c>
      <c r="AS366" s="65">
        <v>125570.61</v>
      </c>
      <c r="AT366" s="65">
        <v>126552.32</v>
      </c>
      <c r="AU366" s="65">
        <v>127514.13</v>
      </c>
      <c r="AV366" s="65">
        <v>128381.85</v>
      </c>
      <c r="AW366" s="65">
        <v>144284.8</v>
      </c>
      <c r="AX366" s="65">
        <v>102445.67</v>
      </c>
      <c r="AY366" s="65">
        <v>103185.0</v>
      </c>
      <c r="AZ366" s="65">
        <v>104081.9</v>
      </c>
      <c r="BA366" s="65">
        <v>0.0</v>
      </c>
      <c r="BB366" s="65">
        <v>0.96</v>
      </c>
      <c r="BC366" s="65">
        <v>0.96</v>
      </c>
      <c r="BD366" s="65">
        <v>0.96</v>
      </c>
      <c r="BE366" s="65">
        <v>0.96</v>
      </c>
      <c r="BF366" s="65">
        <v>0.96</v>
      </c>
      <c r="BG366" s="65">
        <v>0.96</v>
      </c>
      <c r="BH366" s="65">
        <v>0.96</v>
      </c>
      <c r="BI366" s="65">
        <v>0.96</v>
      </c>
      <c r="BJ366" s="65">
        <v>0.96</v>
      </c>
      <c r="BK366" s="65">
        <v>0.96</v>
      </c>
      <c r="BL366" s="65">
        <v>0.96</v>
      </c>
      <c r="BM366" s="65">
        <v>0.96</v>
      </c>
      <c r="BN366" s="65">
        <v>0.96</v>
      </c>
      <c r="BO366" s="65">
        <v>0.96</v>
      </c>
      <c r="BP366" s="65">
        <v>0.96</v>
      </c>
      <c r="BQ366" s="65">
        <v>0.96</v>
      </c>
      <c r="BR366" s="65">
        <v>0.96</v>
      </c>
      <c r="BS366" s="65">
        <v>0.96</v>
      </c>
      <c r="BT366" s="88">
        <v>0.96</v>
      </c>
      <c r="BU366" s="65">
        <v>0.96</v>
      </c>
      <c r="BV366" s="65">
        <v>0.96</v>
      </c>
      <c r="BW366" s="90">
        <v>0.96</v>
      </c>
      <c r="BX366" s="90">
        <v>0.96</v>
      </c>
      <c r="BY366" s="90" t="str">
        <f t="array" ref="BY366">XLOOKUP(C366,'PL TOTAL D0'!$A$3:$A$1991,'PL TOTAL D0'!$C$3:$C$1991,"")</f>
        <v/>
      </c>
    </row>
    <row r="367" ht="15.75" customHeight="1">
      <c r="A367" s="50" t="s">
        <v>24</v>
      </c>
      <c r="B367" s="39" t="s">
        <v>5157</v>
      </c>
      <c r="C367" s="94" t="s">
        <v>5158</v>
      </c>
      <c r="D367" s="81" t="s">
        <v>120</v>
      </c>
      <c r="E367" s="95" t="s">
        <v>54</v>
      </c>
      <c r="F367" s="81" t="s">
        <v>1393</v>
      </c>
      <c r="G367" s="47" t="str">
        <f t="shared" si="13"/>
        <v>David</v>
      </c>
      <c r="H367" s="49" t="s">
        <v>224</v>
      </c>
      <c r="I367" s="49" t="s">
        <v>66</v>
      </c>
      <c r="J367" s="47" t="str">
        <f t="shared" si="18"/>
        <v>Não</v>
      </c>
      <c r="K367" s="97">
        <v>45156.0</v>
      </c>
      <c r="L367" s="55">
        <v>46213.0</v>
      </c>
      <c r="M367" s="62" t="s">
        <v>61</v>
      </c>
      <c r="N367" s="98">
        <v>0.012</v>
      </c>
      <c r="O367" s="47" t="s">
        <v>66</v>
      </c>
      <c r="P367" s="99">
        <v>0.0</v>
      </c>
      <c r="Q367" s="58"/>
      <c r="R367" s="635"/>
      <c r="S367" s="62" t="s">
        <v>194</v>
      </c>
      <c r="T367" s="32" t="s">
        <v>5160</v>
      </c>
      <c r="U367" s="33">
        <v>5.562996062736E12</v>
      </c>
      <c r="V367" s="33" t="s">
        <v>5161</v>
      </c>
      <c r="W367" s="48">
        <v>22583.0</v>
      </c>
      <c r="X367" s="23" t="s">
        <v>54</v>
      </c>
      <c r="Y367" s="49" t="str">
        <f t="shared" si="14"/>
        <v>Encerrado</v>
      </c>
      <c r="Z367" s="62"/>
      <c r="AA367" s="62"/>
      <c r="AB367" s="64" t="s">
        <v>269</v>
      </c>
      <c r="AC367" s="79"/>
      <c r="AD367" s="54">
        <v>45156.0</v>
      </c>
      <c r="AE367" s="77">
        <v>4.9075100003467E13</v>
      </c>
      <c r="AF367" s="79"/>
      <c r="AG367" s="79"/>
      <c r="AH367" s="79"/>
      <c r="AI367" s="79"/>
      <c r="AJ367" s="79"/>
      <c r="AK367" s="79"/>
      <c r="AL367" s="79"/>
      <c r="AM367" s="79"/>
      <c r="AN367" s="79"/>
      <c r="AO367" s="65">
        <v>0.0</v>
      </c>
      <c r="AP367" s="65">
        <v>149636.09</v>
      </c>
      <c r="AQ367" s="65">
        <v>150952.89</v>
      </c>
      <c r="AR367" s="65">
        <v>232166.14</v>
      </c>
      <c r="AS367" s="65">
        <v>233935.6</v>
      </c>
      <c r="AT367" s="65">
        <v>228169.1</v>
      </c>
      <c r="AU367" s="65">
        <v>226107.48</v>
      </c>
      <c r="AV367" s="65">
        <v>228001.65</v>
      </c>
      <c r="AW367" s="65">
        <v>229850.74</v>
      </c>
      <c r="AX367" s="65">
        <v>231564.76</v>
      </c>
      <c r="AY367" s="65">
        <v>233164.3</v>
      </c>
      <c r="AZ367" s="65">
        <v>234974.7</v>
      </c>
      <c r="BA367" s="65">
        <v>236944.4</v>
      </c>
      <c r="BB367" s="65">
        <v>237514.14</v>
      </c>
      <c r="BC367" s="65">
        <v>239191.17</v>
      </c>
      <c r="BD367" s="65">
        <v>241412.58</v>
      </c>
      <c r="BE367" s="65">
        <v>240650.12</v>
      </c>
      <c r="BF367" s="65">
        <v>242306.39</v>
      </c>
      <c r="BG367" s="65">
        <v>236437.4</v>
      </c>
      <c r="BH367" s="65">
        <v>238606.34</v>
      </c>
      <c r="BI367" s="65">
        <v>240970.03</v>
      </c>
      <c r="BJ367" s="65">
        <v>243265.09</v>
      </c>
      <c r="BK367" s="65">
        <v>245183.08</v>
      </c>
      <c r="BL367" s="65">
        <v>247189.19</v>
      </c>
      <c r="BM367" s="65">
        <v>249779.18</v>
      </c>
      <c r="BN367" s="65">
        <v>251637.7</v>
      </c>
      <c r="BO367" s="65">
        <v>253884.53</v>
      </c>
      <c r="BP367" s="65">
        <v>256777.7</v>
      </c>
      <c r="BQ367" s="65">
        <v>0.0</v>
      </c>
      <c r="BR367" s="65">
        <v>0.0</v>
      </c>
      <c r="BS367" s="65">
        <v>0.0</v>
      </c>
      <c r="BT367" s="88">
        <v>0.0</v>
      </c>
      <c r="BU367" s="65">
        <v>0.0</v>
      </c>
      <c r="BV367" s="65">
        <v>0.0</v>
      </c>
      <c r="BW367" s="90">
        <v>0.0</v>
      </c>
      <c r="BX367" s="90">
        <v>0.0</v>
      </c>
      <c r="BY367" s="90" t="str">
        <f t="array" ref="BY367">XLOOKUP(C367,'PL TOTAL D0'!$A$3:$A$1991,'PL TOTAL D0'!$C$3:$C$1991,"")</f>
        <v/>
      </c>
    </row>
    <row r="368" ht="15.75" customHeight="1">
      <c r="A368" s="50" t="s">
        <v>24</v>
      </c>
      <c r="B368" s="368" t="s">
        <v>5166</v>
      </c>
      <c r="C368" s="94" t="s">
        <v>5167</v>
      </c>
      <c r="D368" s="81" t="s">
        <v>120</v>
      </c>
      <c r="E368" s="95" t="s">
        <v>199</v>
      </c>
      <c r="F368" s="81" t="s">
        <v>1914</v>
      </c>
      <c r="G368" s="47" t="str">
        <f t="shared" si="13"/>
        <v>David</v>
      </c>
      <c r="H368" s="49" t="s">
        <v>224</v>
      </c>
      <c r="I368" s="49" t="s">
        <v>66</v>
      </c>
      <c r="J368" s="47" t="str">
        <f t="shared" si="18"/>
        <v>Não</v>
      </c>
      <c r="K368" s="97">
        <v>45244.0</v>
      </c>
      <c r="L368" s="55">
        <v>45574.0</v>
      </c>
      <c r="M368" s="62" t="s">
        <v>61</v>
      </c>
      <c r="N368" s="366">
        <v>0.01</v>
      </c>
      <c r="O368" s="81" t="s">
        <v>66</v>
      </c>
      <c r="P368" s="367">
        <v>0.0</v>
      </c>
      <c r="Q368" s="58"/>
      <c r="R368" s="635"/>
      <c r="S368" s="62" t="s">
        <v>194</v>
      </c>
      <c r="T368" s="32" t="s">
        <v>5168</v>
      </c>
      <c r="U368" s="33" t="s">
        <v>268</v>
      </c>
      <c r="V368" s="33"/>
      <c r="W368" s="33" t="s">
        <v>268</v>
      </c>
      <c r="X368" s="23" t="s">
        <v>199</v>
      </c>
      <c r="Y368" s="49" t="str">
        <f t="shared" si="14"/>
        <v>Encerrado</v>
      </c>
      <c r="Z368" s="62"/>
      <c r="AA368" s="62"/>
      <c r="AB368" s="64" t="s">
        <v>269</v>
      </c>
      <c r="AC368" s="79"/>
      <c r="AD368" s="54">
        <v>45244.0</v>
      </c>
      <c r="AE368" s="77">
        <v>4.9075100012342E13</v>
      </c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65">
        <v>501584.96</v>
      </c>
      <c r="AT368" s="65">
        <v>506734.82</v>
      </c>
      <c r="AU368" s="65">
        <v>584099.36</v>
      </c>
      <c r="AV368" s="65">
        <v>589656.67</v>
      </c>
      <c r="AW368" s="65">
        <v>594327.36</v>
      </c>
      <c r="AX368" s="65">
        <v>597388.77</v>
      </c>
      <c r="AY368" s="65">
        <v>753544.4</v>
      </c>
      <c r="AZ368" s="65">
        <v>760617.8</v>
      </c>
      <c r="BA368" s="65">
        <v>767870.3</v>
      </c>
      <c r="BB368" s="65">
        <v>771094.43</v>
      </c>
      <c r="BC368" s="65">
        <v>775965.69</v>
      </c>
      <c r="BD368" s="65">
        <v>0.0</v>
      </c>
      <c r="BE368" s="65">
        <v>0.0</v>
      </c>
      <c r="BF368" s="65">
        <v>0.0</v>
      </c>
      <c r="BG368" s="65">
        <v>0.0</v>
      </c>
      <c r="BH368" s="65">
        <v>0.0</v>
      </c>
      <c r="BI368" s="65">
        <v>0.0</v>
      </c>
      <c r="BJ368" s="65">
        <v>0.0</v>
      </c>
      <c r="BK368" s="65">
        <v>0.0</v>
      </c>
      <c r="BL368" s="65">
        <v>0.0</v>
      </c>
      <c r="BM368" s="65">
        <v>0.0</v>
      </c>
      <c r="BN368" s="65">
        <v>0.0</v>
      </c>
      <c r="BO368" s="65">
        <v>0.0</v>
      </c>
      <c r="BP368" s="65">
        <v>0.0</v>
      </c>
      <c r="BQ368" s="65">
        <v>0.0</v>
      </c>
      <c r="BR368" s="65">
        <v>0.0</v>
      </c>
      <c r="BS368" s="65">
        <v>0.0</v>
      </c>
      <c r="BT368" s="88">
        <v>0.0</v>
      </c>
      <c r="BU368" s="65">
        <v>0.0</v>
      </c>
      <c r="BV368" s="65">
        <v>0.0</v>
      </c>
      <c r="BW368" s="90">
        <v>0.0</v>
      </c>
      <c r="BX368" s="90">
        <v>0.0</v>
      </c>
      <c r="BY368" s="90" t="str">
        <f t="array" ref="BY368">XLOOKUP(C368,'PL TOTAL D0'!$A$3:$A$1991,'PL TOTAL D0'!$C$3:$C$1991,"")</f>
        <v/>
      </c>
    </row>
    <row r="369" ht="15.75" customHeight="1">
      <c r="A369" s="50" t="s">
        <v>24</v>
      </c>
      <c r="B369" s="176" t="s">
        <v>4693</v>
      </c>
      <c r="C369" s="94" t="s">
        <v>2790</v>
      </c>
      <c r="D369" s="81" t="s">
        <v>120</v>
      </c>
      <c r="E369" s="95" t="s">
        <v>199</v>
      </c>
      <c r="F369" s="95" t="s">
        <v>212</v>
      </c>
      <c r="G369" s="47" t="str">
        <f t="shared" si="13"/>
        <v>Gabriel</v>
      </c>
      <c r="H369" s="74" t="s">
        <v>183</v>
      </c>
      <c r="I369" s="74" t="s">
        <v>66</v>
      </c>
      <c r="J369" s="47" t="str">
        <f t="shared" si="18"/>
        <v>Não</v>
      </c>
      <c r="K369" s="97">
        <v>44998.0</v>
      </c>
      <c r="L369" s="62"/>
      <c r="M369" s="62" t="s">
        <v>61</v>
      </c>
      <c r="N369" s="98">
        <v>0.012</v>
      </c>
      <c r="O369" s="47" t="s">
        <v>66</v>
      </c>
      <c r="P369" s="99">
        <v>0.0</v>
      </c>
      <c r="Q369" s="58"/>
      <c r="R369" s="70"/>
      <c r="S369" s="62" t="s">
        <v>194</v>
      </c>
      <c r="T369" s="32" t="s">
        <v>4692</v>
      </c>
      <c r="U369" s="33">
        <v>6.19991275E10</v>
      </c>
      <c r="V369" s="33" t="s">
        <v>5174</v>
      </c>
      <c r="W369" s="48">
        <v>19353.0</v>
      </c>
      <c r="X369" s="23" t="s">
        <v>199</v>
      </c>
      <c r="Y369" s="49" t="str">
        <f t="shared" si="14"/>
        <v>Ativo</v>
      </c>
      <c r="Z369" s="62"/>
      <c r="AA369" s="62"/>
      <c r="AB369" s="64" t="s">
        <v>269</v>
      </c>
      <c r="AC369" s="79"/>
      <c r="AD369" s="54">
        <v>44998.0</v>
      </c>
      <c r="AE369" s="77">
        <v>4.9075100003841E13</v>
      </c>
      <c r="AF369" s="79"/>
      <c r="AG369" s="79"/>
      <c r="AH369" s="79"/>
      <c r="AI369" s="79"/>
      <c r="AJ369" s="79"/>
      <c r="AK369" s="79"/>
      <c r="AL369" s="65">
        <v>510841.58</v>
      </c>
      <c r="AM369" s="65">
        <v>515470.43</v>
      </c>
      <c r="AN369" s="65">
        <v>520486.64</v>
      </c>
      <c r="AO369" s="65">
        <v>524784.14</v>
      </c>
      <c r="AP369" s="65">
        <v>529994.43</v>
      </c>
      <c r="AQ369" s="65">
        <v>533367.24</v>
      </c>
      <c r="AR369" s="65">
        <v>537439.0</v>
      </c>
      <c r="AS369" s="65">
        <v>541742.34</v>
      </c>
      <c r="AT369" s="65">
        <v>546100.61</v>
      </c>
      <c r="AU369" s="65">
        <v>550935.38</v>
      </c>
      <c r="AV369" s="65">
        <v>555141.12</v>
      </c>
      <c r="AW369" s="65">
        <v>555199.17</v>
      </c>
      <c r="AX369" s="65">
        <v>559656.02</v>
      </c>
      <c r="AY369" s="65">
        <v>563600.9</v>
      </c>
      <c r="AZ369" s="65">
        <v>567745.5</v>
      </c>
      <c r="BA369" s="65">
        <v>570624.1</v>
      </c>
      <c r="BB369" s="65">
        <v>575403.58</v>
      </c>
      <c r="BC369" s="65">
        <v>578549.07</v>
      </c>
      <c r="BD369" s="65">
        <v>583587.0</v>
      </c>
      <c r="BE369" s="65">
        <v>587825.91</v>
      </c>
      <c r="BF369" s="65">
        <v>591335.65</v>
      </c>
      <c r="BG369" s="65">
        <v>596859.22</v>
      </c>
      <c r="BH369" s="65">
        <v>602266.55</v>
      </c>
      <c r="BI369" s="65">
        <v>605519.72</v>
      </c>
      <c r="BJ369" s="65">
        <v>611717.93</v>
      </c>
      <c r="BK369" s="65">
        <v>618273.23</v>
      </c>
      <c r="BL369" s="65">
        <v>623675.64</v>
      </c>
      <c r="BM369" s="65">
        <v>629943.47</v>
      </c>
      <c r="BN369" s="65">
        <v>636366.9</v>
      </c>
      <c r="BO369" s="65">
        <v>642721.79</v>
      </c>
      <c r="BP369" s="65">
        <v>650192.0</v>
      </c>
      <c r="BQ369" s="65">
        <v>654240.0</v>
      </c>
      <c r="BR369" s="65">
        <v>658589.6</v>
      </c>
      <c r="BS369" s="65">
        <v>665963.58</v>
      </c>
      <c r="BT369" s="88">
        <v>708820.0</v>
      </c>
      <c r="BU369" s="65">
        <v>717149.3</v>
      </c>
      <c r="BV369" s="65">
        <v>725387.9</v>
      </c>
      <c r="BW369" s="90">
        <v>733513.4</v>
      </c>
      <c r="BX369" s="90">
        <v>709384.91</v>
      </c>
      <c r="BY369" s="90">
        <f t="array" ref="BY369">XLOOKUP(C369,'PL TOTAL D0'!$A$3:$A$1991,'PL TOTAL D0'!$C$3:$C$1991,"")</f>
        <v>715723.16</v>
      </c>
    </row>
    <row r="370" ht="15.75" customHeight="1">
      <c r="A370" s="50" t="s">
        <v>24</v>
      </c>
      <c r="B370" s="39" t="s">
        <v>5179</v>
      </c>
      <c r="C370" s="94" t="s">
        <v>5181</v>
      </c>
      <c r="D370" s="30" t="s">
        <v>120</v>
      </c>
      <c r="E370" s="22" t="s">
        <v>199</v>
      </c>
      <c r="F370" s="22" t="s">
        <v>1399</v>
      </c>
      <c r="G370" s="47" t="str">
        <f t="shared" si="13"/>
        <v>David</v>
      </c>
      <c r="H370" s="49" t="s">
        <v>224</v>
      </c>
      <c r="I370" s="49" t="s">
        <v>66</v>
      </c>
      <c r="J370" s="47" t="str">
        <f t="shared" si="18"/>
        <v>Não</v>
      </c>
      <c r="K370" s="54">
        <v>45503.0</v>
      </c>
      <c r="L370" s="55">
        <v>45775.0</v>
      </c>
      <c r="M370" s="32" t="s">
        <v>209</v>
      </c>
      <c r="N370" s="56">
        <v>0.015</v>
      </c>
      <c r="O370" s="23" t="s">
        <v>35</v>
      </c>
      <c r="P370" s="57">
        <v>0.1</v>
      </c>
      <c r="Q370" s="58"/>
      <c r="R370" s="70"/>
      <c r="S370" s="32" t="s">
        <v>234</v>
      </c>
      <c r="T370" s="32" t="s">
        <v>5182</v>
      </c>
      <c r="U370" s="33" t="s">
        <v>268</v>
      </c>
      <c r="V370" s="33"/>
      <c r="W370" s="33" t="s">
        <v>268</v>
      </c>
      <c r="X370" s="23" t="s">
        <v>199</v>
      </c>
      <c r="Y370" s="49" t="str">
        <f t="shared" si="14"/>
        <v>Encerrado</v>
      </c>
      <c r="Z370" s="32"/>
      <c r="AA370" s="32" t="s">
        <v>47</v>
      </c>
      <c r="AB370" s="64" t="s">
        <v>269</v>
      </c>
      <c r="AC370" s="79"/>
      <c r="AD370" s="54">
        <v>45503.0</v>
      </c>
      <c r="AE370" s="77">
        <v>4.9075100015351E13</v>
      </c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65"/>
      <c r="AW370" s="65"/>
      <c r="AX370" s="65"/>
      <c r="AY370" s="65"/>
      <c r="AZ370" s="65"/>
      <c r="BA370" s="65">
        <v>672915.7</v>
      </c>
      <c r="BB370" s="65">
        <v>0.0</v>
      </c>
      <c r="BC370" s="65">
        <v>0.0</v>
      </c>
      <c r="BD370" s="65">
        <v>0.0</v>
      </c>
      <c r="BE370" s="65">
        <v>0.0</v>
      </c>
      <c r="BF370" s="65">
        <v>0.0</v>
      </c>
      <c r="BG370" s="65">
        <v>0.0</v>
      </c>
      <c r="BH370" s="65">
        <v>0.0</v>
      </c>
      <c r="BI370" s="65">
        <v>0.0</v>
      </c>
      <c r="BJ370" s="65">
        <v>0.0</v>
      </c>
      <c r="BK370" s="65">
        <v>0.0</v>
      </c>
      <c r="BL370" s="65">
        <v>0.0</v>
      </c>
      <c r="BM370" s="65">
        <v>0.0</v>
      </c>
      <c r="BN370" s="65">
        <v>0.0</v>
      </c>
      <c r="BO370" s="65">
        <v>0.0</v>
      </c>
      <c r="BP370" s="65">
        <v>0.0</v>
      </c>
      <c r="BQ370" s="65">
        <v>0.0</v>
      </c>
      <c r="BR370" s="65">
        <v>0.0</v>
      </c>
      <c r="BS370" s="65">
        <v>0.0</v>
      </c>
      <c r="BT370" s="88">
        <v>0.0</v>
      </c>
      <c r="BU370" s="65">
        <v>0.0</v>
      </c>
      <c r="BV370" s="65">
        <v>0.0</v>
      </c>
      <c r="BW370" s="90">
        <v>0.0</v>
      </c>
      <c r="BX370" s="90">
        <v>0.0</v>
      </c>
      <c r="BY370" s="90" t="str">
        <f t="array" ref="BY370">XLOOKUP(C370,'PL TOTAL D0'!$A$3:$A$1991,'PL TOTAL D0'!$C$3:$C$1991,"")</f>
        <v/>
      </c>
    </row>
    <row r="371" ht="15.75" customHeight="1">
      <c r="A371" s="50" t="s">
        <v>24</v>
      </c>
      <c r="B371" s="39" t="s">
        <v>5188</v>
      </c>
      <c r="C371" s="94" t="s">
        <v>2939</v>
      </c>
      <c r="D371" s="30" t="s">
        <v>120</v>
      </c>
      <c r="E371" s="22" t="s">
        <v>199</v>
      </c>
      <c r="F371" s="22" t="s">
        <v>290</v>
      </c>
      <c r="G371" s="47" t="str">
        <f t="shared" si="13"/>
        <v>Marcus</v>
      </c>
      <c r="H371" s="49" t="s">
        <v>183</v>
      </c>
      <c r="I371" s="49" t="s">
        <v>66</v>
      </c>
      <c r="J371" s="47" t="str">
        <f t="shared" si="18"/>
        <v>Não</v>
      </c>
      <c r="K371" s="54">
        <v>45447.0</v>
      </c>
      <c r="L371" s="62"/>
      <c r="M371" s="32" t="s">
        <v>61</v>
      </c>
      <c r="N371" s="56">
        <v>0.007</v>
      </c>
      <c r="O371" s="23" t="s">
        <v>66</v>
      </c>
      <c r="P371" s="57">
        <v>0.0</v>
      </c>
      <c r="Q371" s="58"/>
      <c r="R371" s="70"/>
      <c r="S371" s="32" t="s">
        <v>194</v>
      </c>
      <c r="T371" s="32" t="s">
        <v>5190</v>
      </c>
      <c r="U371" s="33">
        <v>5.561996556188E12</v>
      </c>
      <c r="V371" s="33" t="s">
        <v>5191</v>
      </c>
      <c r="W371" s="48">
        <v>22270.0</v>
      </c>
      <c r="X371" s="23" t="s">
        <v>199</v>
      </c>
      <c r="Y371" s="49" t="str">
        <f t="shared" si="14"/>
        <v>Ativo</v>
      </c>
      <c r="Z371" s="32"/>
      <c r="AA371" s="32" t="s">
        <v>47</v>
      </c>
      <c r="AB371" s="64" t="s">
        <v>269</v>
      </c>
      <c r="AC371" s="79"/>
      <c r="AD371" s="54">
        <v>45447.0</v>
      </c>
      <c r="AE371" s="77">
        <v>4.9075100014841E13</v>
      </c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65"/>
      <c r="AW371" s="65"/>
      <c r="AX371" s="65"/>
      <c r="AY371" s="65"/>
      <c r="AZ371" s="65">
        <v>0.0</v>
      </c>
      <c r="BA371" s="65">
        <v>0.0</v>
      </c>
      <c r="BB371" s="65">
        <v>0.0</v>
      </c>
      <c r="BC371" s="65">
        <v>0.0</v>
      </c>
      <c r="BD371" s="65">
        <v>1116320.31</v>
      </c>
      <c r="BE371" s="65">
        <v>1219611.56</v>
      </c>
      <c r="BF371" s="65">
        <v>1231877.29</v>
      </c>
      <c r="BG371" s="65">
        <v>1245293.7</v>
      </c>
      <c r="BH371" s="65">
        <v>1255490.2</v>
      </c>
      <c r="BI371" s="65">
        <v>1271469.29</v>
      </c>
      <c r="BJ371" s="65">
        <v>1282806.43</v>
      </c>
      <c r="BK371" s="65">
        <v>1294897.2</v>
      </c>
      <c r="BL371" s="65">
        <v>1307418.64</v>
      </c>
      <c r="BM371" s="65">
        <v>1322828.85</v>
      </c>
      <c r="BN371" s="65">
        <v>1336854.0</v>
      </c>
      <c r="BO371" s="65">
        <v>1347972.96</v>
      </c>
      <c r="BP371" s="65">
        <v>1363894.0</v>
      </c>
      <c r="BQ371" s="65">
        <v>1376175.0</v>
      </c>
      <c r="BR371" s="65">
        <v>1389937.0</v>
      </c>
      <c r="BS371" s="65">
        <v>1095318.82</v>
      </c>
      <c r="BT371" s="88">
        <v>1104127.0</v>
      </c>
      <c r="BU371" s="65">
        <v>1117761.0</v>
      </c>
      <c r="BV371" s="65">
        <v>1131347.0</v>
      </c>
      <c r="BW371" s="90">
        <v>1141136.0</v>
      </c>
      <c r="BX371" s="90">
        <v>1151721.44</v>
      </c>
      <c r="BY371" s="90">
        <f t="array" ref="BY371">XLOOKUP(C371,'PL TOTAL D0'!$A$3:$A$1991,'PL TOTAL D0'!$C$3:$C$1991,"")</f>
        <v>442686.88</v>
      </c>
    </row>
    <row r="372" ht="15.75" customHeight="1">
      <c r="A372" s="50" t="s">
        <v>24</v>
      </c>
      <c r="B372" s="176" t="s">
        <v>5206</v>
      </c>
      <c r="C372" s="94" t="s">
        <v>5207</v>
      </c>
      <c r="D372" s="81" t="s">
        <v>120</v>
      </c>
      <c r="E372" s="95" t="s">
        <v>199</v>
      </c>
      <c r="F372" s="95" t="s">
        <v>4715</v>
      </c>
      <c r="G372" s="47" t="str">
        <f t="shared" si="13"/>
        <v>David</v>
      </c>
      <c r="H372" s="49" t="s">
        <v>224</v>
      </c>
      <c r="I372" s="74" t="s">
        <v>66</v>
      </c>
      <c r="J372" s="47" t="str">
        <f t="shared" si="18"/>
        <v>Não</v>
      </c>
      <c r="K372" s="97">
        <v>45121.0</v>
      </c>
      <c r="L372" s="55">
        <v>45449.0</v>
      </c>
      <c r="M372" s="62" t="s">
        <v>61</v>
      </c>
      <c r="N372" s="98">
        <v>0.007</v>
      </c>
      <c r="O372" s="47" t="s">
        <v>66</v>
      </c>
      <c r="P372" s="99">
        <v>0.0</v>
      </c>
      <c r="Q372" s="58"/>
      <c r="R372" s="70"/>
      <c r="S372" s="62" t="s">
        <v>194</v>
      </c>
      <c r="T372" s="32" t="s">
        <v>4712</v>
      </c>
      <c r="U372" s="33" t="s">
        <v>268</v>
      </c>
      <c r="V372" s="33"/>
      <c r="W372" s="33" t="s">
        <v>268</v>
      </c>
      <c r="X372" s="23" t="s">
        <v>199</v>
      </c>
      <c r="Y372" s="49" t="str">
        <f t="shared" si="14"/>
        <v>Encerrado</v>
      </c>
      <c r="Z372" s="62"/>
      <c r="AA372" s="62"/>
      <c r="AB372" s="64" t="s">
        <v>244</v>
      </c>
      <c r="AC372" s="79"/>
      <c r="AD372" s="54">
        <v>45121.0</v>
      </c>
      <c r="AE372" s="77">
        <v>4.9075100008711E13</v>
      </c>
      <c r="AF372" s="79"/>
      <c r="AG372" s="79"/>
      <c r="AH372" s="79"/>
      <c r="AI372" s="79"/>
      <c r="AJ372" s="79"/>
      <c r="AK372" s="79"/>
      <c r="AL372" s="79"/>
      <c r="AM372" s="79"/>
      <c r="AN372" s="65">
        <v>0.0</v>
      </c>
      <c r="AO372" s="65">
        <v>50227.21</v>
      </c>
      <c r="AP372" s="65">
        <v>894427.47</v>
      </c>
      <c r="AQ372" s="65">
        <v>1048091.75</v>
      </c>
      <c r="AR372" s="65">
        <v>1058910.21</v>
      </c>
      <c r="AS372" s="65">
        <v>1068060.23</v>
      </c>
      <c r="AT372" s="65">
        <v>1123444.54</v>
      </c>
      <c r="AU372" s="65">
        <v>1135918.5</v>
      </c>
      <c r="AV372" s="65">
        <v>1146195.55</v>
      </c>
      <c r="AW372" s="65">
        <v>1158198.34</v>
      </c>
      <c r="AX372" s="65">
        <v>1168973.79</v>
      </c>
      <c r="AY372" s="65">
        <v>1180324.0</v>
      </c>
      <c r="AZ372" s="65">
        <v>0.0</v>
      </c>
      <c r="BA372" s="65">
        <v>0.0</v>
      </c>
      <c r="BB372" s="65">
        <v>0.0</v>
      </c>
      <c r="BC372" s="65">
        <v>0.0</v>
      </c>
      <c r="BD372" s="65">
        <v>0.0</v>
      </c>
      <c r="BE372" s="65">
        <v>0.0</v>
      </c>
      <c r="BF372" s="65">
        <v>0.0</v>
      </c>
      <c r="BG372" s="65">
        <v>0.0</v>
      </c>
      <c r="BH372" s="65">
        <v>0.0</v>
      </c>
      <c r="BI372" s="65">
        <v>0.0</v>
      </c>
      <c r="BJ372" s="65">
        <v>0.0</v>
      </c>
      <c r="BK372" s="65">
        <v>0.0</v>
      </c>
      <c r="BL372" s="65">
        <v>0.0</v>
      </c>
      <c r="BM372" s="65">
        <v>0.0</v>
      </c>
      <c r="BN372" s="65">
        <v>0.0</v>
      </c>
      <c r="BO372" s="65">
        <v>0.0</v>
      </c>
      <c r="BP372" s="65">
        <v>0.0</v>
      </c>
      <c r="BQ372" s="65">
        <v>0.0</v>
      </c>
      <c r="BR372" s="65">
        <v>0.0</v>
      </c>
      <c r="BS372" s="65">
        <v>0.0</v>
      </c>
      <c r="BT372" s="88">
        <v>0.0</v>
      </c>
      <c r="BU372" s="65">
        <v>0.0</v>
      </c>
      <c r="BV372" s="65">
        <v>0.0</v>
      </c>
      <c r="BW372" s="90">
        <v>0.0</v>
      </c>
      <c r="BX372" s="90">
        <v>0.0</v>
      </c>
      <c r="BY372" s="90" t="str">
        <f t="array" ref="BY372">XLOOKUP(C372,'PL TOTAL D0'!$A$3:$A$1991,'PL TOTAL D0'!$C$3:$C$1991,"")</f>
        <v/>
      </c>
    </row>
    <row r="373" ht="15.75" customHeight="1">
      <c r="A373" s="50" t="s">
        <v>24</v>
      </c>
      <c r="B373" s="50" t="s">
        <v>5211</v>
      </c>
      <c r="C373" s="94" t="s">
        <v>5213</v>
      </c>
      <c r="D373" s="30" t="s">
        <v>89</v>
      </c>
      <c r="E373" s="95" t="s">
        <v>91</v>
      </c>
      <c r="F373" s="81" t="s">
        <v>193</v>
      </c>
      <c r="G373" s="47" t="str">
        <f t="shared" si="13"/>
        <v>David</v>
      </c>
      <c r="H373" s="49" t="s">
        <v>224</v>
      </c>
      <c r="I373" s="49" t="s">
        <v>66</v>
      </c>
      <c r="J373" s="47" t="str">
        <f t="shared" si="18"/>
        <v>Não</v>
      </c>
      <c r="K373" s="97">
        <v>44910.0</v>
      </c>
      <c r="L373" s="55">
        <v>45583.0</v>
      </c>
      <c r="M373" s="62" t="s">
        <v>61</v>
      </c>
      <c r="N373" s="98">
        <v>0.01</v>
      </c>
      <c r="O373" s="47" t="s">
        <v>66</v>
      </c>
      <c r="P373" s="99">
        <v>0.0</v>
      </c>
      <c r="Q373" s="58"/>
      <c r="R373" s="70"/>
      <c r="S373" s="62" t="s">
        <v>194</v>
      </c>
      <c r="T373" s="32" t="s">
        <v>5223</v>
      </c>
      <c r="U373" s="33" t="s">
        <v>268</v>
      </c>
      <c r="V373" s="33"/>
      <c r="W373" s="33" t="s">
        <v>268</v>
      </c>
      <c r="X373" s="23" t="s">
        <v>221</v>
      </c>
      <c r="Y373" s="49" t="str">
        <f t="shared" si="14"/>
        <v>Encerrado</v>
      </c>
      <c r="Z373" s="62"/>
      <c r="AA373" s="62"/>
      <c r="AB373" s="64" t="s">
        <v>244</v>
      </c>
      <c r="AC373" s="79"/>
      <c r="AD373" s="54">
        <v>44910.0</v>
      </c>
      <c r="AE373" s="77">
        <v>4.907510000571E13</v>
      </c>
      <c r="AF373" s="79"/>
      <c r="AG373" s="79"/>
      <c r="AH373" s="65">
        <v>68943.58</v>
      </c>
      <c r="AI373" s="65">
        <v>118025.58</v>
      </c>
      <c r="AJ373" s="65">
        <v>155121.31</v>
      </c>
      <c r="AK373" s="65">
        <v>184963.2</v>
      </c>
      <c r="AL373" s="65">
        <v>236338.07</v>
      </c>
      <c r="AM373" s="65">
        <v>268061.12</v>
      </c>
      <c r="AN373" s="65">
        <v>270457.41</v>
      </c>
      <c r="AO373" s="65">
        <v>272850.52</v>
      </c>
      <c r="AP373" s="65">
        <v>275521.85</v>
      </c>
      <c r="AQ373" s="65">
        <v>267637.85</v>
      </c>
      <c r="AR373" s="65">
        <v>330289.47</v>
      </c>
      <c r="AS373" s="65">
        <v>332714.82</v>
      </c>
      <c r="AT373" s="65">
        <v>334027.17</v>
      </c>
      <c r="AU373" s="65">
        <v>336894.57</v>
      </c>
      <c r="AV373" s="65">
        <v>339629.8</v>
      </c>
      <c r="AW373" s="65">
        <v>342743.89</v>
      </c>
      <c r="AX373" s="65">
        <v>344355.68</v>
      </c>
      <c r="AY373" s="65">
        <v>347010.6</v>
      </c>
      <c r="AZ373" s="65">
        <v>349796.6</v>
      </c>
      <c r="BA373" s="65">
        <v>382099.5</v>
      </c>
      <c r="BB373" s="65">
        <v>385271.99</v>
      </c>
      <c r="BC373" s="65">
        <v>372205.93</v>
      </c>
      <c r="BD373" s="65">
        <v>0.0</v>
      </c>
      <c r="BE373" s="65">
        <v>0.0</v>
      </c>
      <c r="BF373" s="65">
        <v>0.0</v>
      </c>
      <c r="BG373" s="65">
        <v>0.0</v>
      </c>
      <c r="BH373" s="65">
        <v>0.0</v>
      </c>
      <c r="BI373" s="65">
        <v>0.0</v>
      </c>
      <c r="BJ373" s="65">
        <v>0.0</v>
      </c>
      <c r="BK373" s="65">
        <v>0.0</v>
      </c>
      <c r="BL373" s="65">
        <v>0.0</v>
      </c>
      <c r="BM373" s="65">
        <v>0.0</v>
      </c>
      <c r="BN373" s="65">
        <v>0.0</v>
      </c>
      <c r="BO373" s="65">
        <v>0.0</v>
      </c>
      <c r="BP373" s="65">
        <v>0.0</v>
      </c>
      <c r="BQ373" s="65">
        <v>0.0</v>
      </c>
      <c r="BR373" s="65">
        <v>0.0</v>
      </c>
      <c r="BS373" s="65">
        <v>0.0</v>
      </c>
      <c r="BT373" s="88">
        <v>0.0</v>
      </c>
      <c r="BU373" s="65">
        <v>0.0</v>
      </c>
      <c r="BV373" s="65">
        <v>0.0</v>
      </c>
      <c r="BW373" s="90">
        <v>0.0</v>
      </c>
      <c r="BX373" s="90">
        <v>0.0</v>
      </c>
      <c r="BY373" s="90" t="str">
        <f t="array" ref="BY373">XLOOKUP(C373,'PL TOTAL D0'!$A$3:$A$1991,'PL TOTAL D0'!$C$3:$C$1991,"")</f>
        <v/>
      </c>
    </row>
    <row r="374" ht="15.75" customHeight="1">
      <c r="A374" s="50" t="s">
        <v>24</v>
      </c>
      <c r="B374" s="43" t="s">
        <v>5211</v>
      </c>
      <c r="C374" s="94" t="s">
        <v>5226</v>
      </c>
      <c r="D374" s="30" t="s">
        <v>89</v>
      </c>
      <c r="E374" s="95" t="s">
        <v>91</v>
      </c>
      <c r="F374" s="81" t="s">
        <v>193</v>
      </c>
      <c r="G374" s="47" t="str">
        <f t="shared" si="13"/>
        <v>Gabriel</v>
      </c>
      <c r="H374" s="49" t="s">
        <v>295</v>
      </c>
      <c r="I374" s="49" t="s">
        <v>5227</v>
      </c>
      <c r="J374" s="47" t="str">
        <f t="shared" si="18"/>
        <v>Não</v>
      </c>
      <c r="K374" s="54">
        <v>45692.0</v>
      </c>
      <c r="L374" s="55"/>
      <c r="M374" s="32" t="s">
        <v>1349</v>
      </c>
      <c r="N374" s="56">
        <v>0.012</v>
      </c>
      <c r="O374" s="23" t="s">
        <v>66</v>
      </c>
      <c r="P374" s="57">
        <v>0.0</v>
      </c>
      <c r="Q374" s="58"/>
      <c r="R374" s="70"/>
      <c r="S374" s="32" t="s">
        <v>194</v>
      </c>
      <c r="T374" s="32" t="s">
        <v>5223</v>
      </c>
      <c r="U374" s="33">
        <v>5.54399121219E12</v>
      </c>
      <c r="V374" s="33" t="s">
        <v>5228</v>
      </c>
      <c r="W374" s="34">
        <v>31220.0</v>
      </c>
      <c r="X374" s="23" t="s">
        <v>221</v>
      </c>
      <c r="Y374" s="49" t="str">
        <f t="shared" si="14"/>
        <v>Ativo</v>
      </c>
      <c r="Z374" s="62"/>
      <c r="AA374" s="32" t="s">
        <v>47</v>
      </c>
      <c r="AB374" s="64"/>
      <c r="AC374" s="79"/>
      <c r="AD374" s="54">
        <v>45698.0</v>
      </c>
      <c r="AE374" s="77">
        <v>4.90751000182E13</v>
      </c>
      <c r="AF374" s="79"/>
      <c r="AG374" s="79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5"/>
      <c r="BG374" s="65"/>
      <c r="BH374" s="65">
        <v>234140.78</v>
      </c>
      <c r="BI374" s="65">
        <v>236708.53</v>
      </c>
      <c r="BJ374" s="65">
        <v>240157.09</v>
      </c>
      <c r="BK374" s="65">
        <v>242899.53</v>
      </c>
      <c r="BL374" s="65">
        <v>245647.51</v>
      </c>
      <c r="BM374" s="65">
        <v>245610.69</v>
      </c>
      <c r="BN374" s="65">
        <v>248231.7</v>
      </c>
      <c r="BO374" s="65">
        <v>249360.28</v>
      </c>
      <c r="BP374" s="65">
        <v>250273.6</v>
      </c>
      <c r="BQ374" s="65">
        <v>252003.3</v>
      </c>
      <c r="BR374" s="65">
        <v>251594.3</v>
      </c>
      <c r="BS374" s="65">
        <v>252903.73</v>
      </c>
      <c r="BT374" s="88">
        <v>253582.7</v>
      </c>
      <c r="BU374" s="65">
        <v>255484.0</v>
      </c>
      <c r="BV374" s="65">
        <v>256907.6</v>
      </c>
      <c r="BW374" s="90">
        <v>259638.7</v>
      </c>
      <c r="BX374" s="90">
        <v>247962.54</v>
      </c>
      <c r="BY374" s="90" t="str">
        <f t="array" ref="BY374">XLOOKUP(C374,'PL TOTAL D0'!$A$3:$A$1991,'PL TOTAL D0'!$C$3:$C$1991,"")</f>
        <v/>
      </c>
    </row>
    <row r="375" ht="15.75" customHeight="1">
      <c r="A375" s="50" t="s">
        <v>24</v>
      </c>
      <c r="B375" s="43" t="s">
        <v>5232</v>
      </c>
      <c r="C375" s="53" t="s">
        <v>2663</v>
      </c>
      <c r="D375" s="30" t="s">
        <v>53</v>
      </c>
      <c r="E375" s="22" t="s">
        <v>54</v>
      </c>
      <c r="F375" s="30" t="s">
        <v>55</v>
      </c>
      <c r="G375" s="47" t="str">
        <f t="shared" si="13"/>
        <v>David</v>
      </c>
      <c r="H375" s="49" t="s">
        <v>183</v>
      </c>
      <c r="I375" s="49" t="s">
        <v>66</v>
      </c>
      <c r="J375" s="47" t="str">
        <f t="shared" si="18"/>
        <v>Sim</v>
      </c>
      <c r="K375" s="54">
        <v>46176.0</v>
      </c>
      <c r="L375" s="55"/>
      <c r="M375" s="32" t="s">
        <v>61</v>
      </c>
      <c r="N375" s="56">
        <v>0.012</v>
      </c>
      <c r="O375" s="23" t="s">
        <v>66</v>
      </c>
      <c r="P375" s="57">
        <v>0.0</v>
      </c>
      <c r="Q375" s="58" t="s">
        <v>5236</v>
      </c>
      <c r="R375" s="70"/>
      <c r="S375" s="32" t="s">
        <v>194</v>
      </c>
      <c r="T375" s="32" t="s">
        <v>5237</v>
      </c>
      <c r="U375" s="33" t="s">
        <v>5238</v>
      </c>
      <c r="V375" s="33" t="s">
        <v>5239</v>
      </c>
      <c r="W375" s="34">
        <v>21729.0</v>
      </c>
      <c r="X375" s="23" t="s">
        <v>77</v>
      </c>
      <c r="Y375" s="49" t="str">
        <f t="shared" si="14"/>
        <v>Ativo</v>
      </c>
      <c r="Z375" s="62"/>
      <c r="AA375" s="32" t="s">
        <v>47</v>
      </c>
      <c r="AB375" s="64"/>
      <c r="AC375" s="79"/>
      <c r="AD375" s="54"/>
      <c r="AE375" s="77"/>
      <c r="AF375" s="79"/>
      <c r="AG375" s="79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65"/>
      <c r="BI375" s="65"/>
      <c r="BJ375" s="65"/>
      <c r="BK375" s="65"/>
      <c r="BL375" s="65"/>
      <c r="BM375" s="65"/>
      <c r="BN375" s="65"/>
      <c r="BO375" s="65"/>
      <c r="BP375" s="65"/>
      <c r="BQ375" s="65"/>
      <c r="BR375" s="65"/>
      <c r="BS375" s="65"/>
      <c r="BT375" s="88"/>
      <c r="BU375" s="65"/>
      <c r="BV375" s="65"/>
      <c r="BW375" s="90"/>
      <c r="BX375" s="90">
        <v>0.0</v>
      </c>
      <c r="BY375" s="90">
        <f t="array" ref="BY375">XLOOKUP(C375,'PL TOTAL D0'!$A$3:$A$1991,'PL TOTAL D0'!$C$3:$C$1991,"")</f>
        <v>1264473.52</v>
      </c>
    </row>
    <row r="376" ht="15.75" customHeight="1">
      <c r="A376" s="50" t="s">
        <v>24</v>
      </c>
      <c r="B376" s="50" t="s">
        <v>5244</v>
      </c>
      <c r="C376" s="94" t="s">
        <v>5245</v>
      </c>
      <c r="D376" s="81" t="s">
        <v>120</v>
      </c>
      <c r="E376" s="95" t="s">
        <v>54</v>
      </c>
      <c r="F376" s="81" t="s">
        <v>348</v>
      </c>
      <c r="G376" s="47" t="str">
        <f t="shared" si="13"/>
        <v>David</v>
      </c>
      <c r="H376" s="49" t="s">
        <v>224</v>
      </c>
      <c r="I376" s="49" t="s">
        <v>66</v>
      </c>
      <c r="J376" s="47" t="str">
        <f t="shared" si="18"/>
        <v>Não</v>
      </c>
      <c r="K376" s="97">
        <v>44935.0</v>
      </c>
      <c r="L376" s="121">
        <v>45943.0</v>
      </c>
      <c r="M376" s="62" t="s">
        <v>61</v>
      </c>
      <c r="N376" s="98">
        <v>0.01</v>
      </c>
      <c r="O376" s="47" t="s">
        <v>66</v>
      </c>
      <c r="P376" s="99">
        <v>0.0</v>
      </c>
      <c r="Q376" s="58"/>
      <c r="R376" s="70"/>
      <c r="S376" s="62" t="s">
        <v>194</v>
      </c>
      <c r="T376" s="32" t="s">
        <v>5246</v>
      </c>
      <c r="U376" s="33">
        <v>5.562981111266E12</v>
      </c>
      <c r="V376" s="33" t="s">
        <v>5247</v>
      </c>
      <c r="W376" s="48">
        <v>36845.0</v>
      </c>
      <c r="X376" s="23" t="s">
        <v>54</v>
      </c>
      <c r="Y376" s="49" t="str">
        <f t="shared" si="14"/>
        <v>Encerrado</v>
      </c>
      <c r="Z376" s="62"/>
      <c r="AA376" s="62"/>
      <c r="AB376" s="64" t="s">
        <v>244</v>
      </c>
      <c r="AC376" s="79"/>
      <c r="AD376" s="54">
        <v>44935.0</v>
      </c>
      <c r="AE376" s="77">
        <v>4.9075100005729E13</v>
      </c>
      <c r="AF376" s="79"/>
      <c r="AG376" s="79"/>
      <c r="AH376" s="65">
        <v>29136.77</v>
      </c>
      <c r="AI376" s="65">
        <v>45816.12</v>
      </c>
      <c r="AJ376" s="65">
        <v>45679.42</v>
      </c>
      <c r="AK376" s="65">
        <v>46286.01</v>
      </c>
      <c r="AL376" s="65">
        <v>46680.77</v>
      </c>
      <c r="AM376" s="65">
        <v>57317.61</v>
      </c>
      <c r="AN376" s="65">
        <v>57739.53</v>
      </c>
      <c r="AO376" s="65">
        <v>58198.8</v>
      </c>
      <c r="AP376" s="65">
        <v>38323.64</v>
      </c>
      <c r="AQ376" s="65">
        <v>38613.83</v>
      </c>
      <c r="AR376" s="65">
        <v>38906.26</v>
      </c>
      <c r="AS376" s="65">
        <v>39184.51</v>
      </c>
      <c r="AT376" s="65">
        <v>39488.94</v>
      </c>
      <c r="AU376" s="65">
        <v>39481.53</v>
      </c>
      <c r="AV376" s="65">
        <v>64947.6</v>
      </c>
      <c r="AW376" s="65">
        <v>68035.38</v>
      </c>
      <c r="AX376" s="65">
        <v>70984.15</v>
      </c>
      <c r="AY376" s="65">
        <v>74044.52</v>
      </c>
      <c r="AZ376" s="65">
        <v>77143.05</v>
      </c>
      <c r="BA376" s="65">
        <v>80311.96</v>
      </c>
      <c r="BB376" s="65">
        <v>85481.85</v>
      </c>
      <c r="BC376" s="65">
        <v>86081.53</v>
      </c>
      <c r="BD376" s="65">
        <v>91780.87</v>
      </c>
      <c r="BE376" s="65">
        <v>92454.63</v>
      </c>
      <c r="BF376" s="65">
        <v>93209.46</v>
      </c>
      <c r="BG376" s="65">
        <v>93887.37</v>
      </c>
      <c r="BH376" s="65">
        <v>94348.66</v>
      </c>
      <c r="BI376" s="65">
        <v>95366.73</v>
      </c>
      <c r="BJ376" s="65">
        <v>96014.92</v>
      </c>
      <c r="BK376" s="65">
        <v>97060.37</v>
      </c>
      <c r="BL376" s="65">
        <v>122801.08</v>
      </c>
      <c r="BM376" s="65">
        <v>128180.12</v>
      </c>
      <c r="BN376" s="65">
        <v>0.0</v>
      </c>
      <c r="BO376" s="65">
        <v>0.0</v>
      </c>
      <c r="BP376" s="65">
        <v>0.0</v>
      </c>
      <c r="BQ376" s="65">
        <v>0.0</v>
      </c>
      <c r="BR376" s="65">
        <v>0.0</v>
      </c>
      <c r="BS376" s="65">
        <v>0.0</v>
      </c>
      <c r="BT376" s="88">
        <v>0.0</v>
      </c>
      <c r="BU376" s="65">
        <v>0.0</v>
      </c>
      <c r="BV376" s="65">
        <v>0.0</v>
      </c>
      <c r="BW376" s="90">
        <v>0.0</v>
      </c>
      <c r="BX376" s="90">
        <v>0.0</v>
      </c>
      <c r="BY376" s="90" t="str">
        <f t="array" ref="BY376">XLOOKUP(C376,'PL TOTAL D0'!$A$3:$A$1991,'PL TOTAL D0'!$C$3:$C$1991,"")</f>
        <v/>
      </c>
    </row>
    <row r="377" ht="15.75" customHeight="1">
      <c r="A377" s="50" t="s">
        <v>24</v>
      </c>
      <c r="B377" s="50" t="s">
        <v>5252</v>
      </c>
      <c r="C377" s="94" t="s">
        <v>5253</v>
      </c>
      <c r="D377" s="81" t="s">
        <v>89</v>
      </c>
      <c r="E377" s="95" t="s">
        <v>199</v>
      </c>
      <c r="F377" s="81" t="s">
        <v>521</v>
      </c>
      <c r="G377" s="47" t="str">
        <f t="shared" si="13"/>
        <v>David</v>
      </c>
      <c r="H377" s="49" t="s">
        <v>224</v>
      </c>
      <c r="I377" s="49" t="s">
        <v>66</v>
      </c>
      <c r="J377" s="47" t="str">
        <f t="shared" si="18"/>
        <v>Não</v>
      </c>
      <c r="K377" s="97">
        <v>46003.0</v>
      </c>
      <c r="L377" s="55">
        <v>46160.0</v>
      </c>
      <c r="M377" s="62" t="s">
        <v>61</v>
      </c>
      <c r="N377" s="98">
        <v>0.012</v>
      </c>
      <c r="O377" s="47" t="s">
        <v>66</v>
      </c>
      <c r="P377" s="99">
        <v>0.0</v>
      </c>
      <c r="Q377" s="58"/>
      <c r="R377" s="70"/>
      <c r="S377" s="62" t="s">
        <v>194</v>
      </c>
      <c r="T377" s="32" t="s">
        <v>5254</v>
      </c>
      <c r="U377" s="33" t="s">
        <v>5255</v>
      </c>
      <c r="V377" s="33" t="s">
        <v>5256</v>
      </c>
      <c r="W377" s="48">
        <v>28660.0</v>
      </c>
      <c r="X377" s="23" t="s">
        <v>221</v>
      </c>
      <c r="Y377" s="49" t="s">
        <v>183</v>
      </c>
      <c r="Z377" s="62"/>
      <c r="AA377" s="62" t="s">
        <v>47</v>
      </c>
      <c r="AB377" s="64"/>
      <c r="AC377" s="79"/>
      <c r="AD377" s="54"/>
      <c r="AE377" s="77"/>
      <c r="AF377" s="79"/>
      <c r="AG377" s="79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65"/>
      <c r="BI377" s="65"/>
      <c r="BJ377" s="65"/>
      <c r="BK377" s="65"/>
      <c r="BL377" s="65"/>
      <c r="BM377" s="65"/>
      <c r="BN377" s="65"/>
      <c r="BO377" s="65"/>
      <c r="BP377" s="65"/>
      <c r="BQ377" s="65"/>
      <c r="BR377" s="65">
        <v>69571.22</v>
      </c>
      <c r="BS377" s="65">
        <v>70282.97</v>
      </c>
      <c r="BT377" s="88">
        <v>67628.85</v>
      </c>
      <c r="BU377" s="65">
        <v>63304.47</v>
      </c>
      <c r="BV377" s="65">
        <v>58386.36</v>
      </c>
      <c r="BW377" s="90">
        <v>0.0</v>
      </c>
      <c r="BX377" s="90">
        <v>0.0</v>
      </c>
      <c r="BY377" s="90" t="str">
        <f t="array" ref="BY377">XLOOKUP(C377,'PL TOTAL D0'!$A$3:$A$1991,'PL TOTAL D0'!$C$3:$C$1991,"")</f>
        <v/>
      </c>
    </row>
    <row r="378" ht="15.75" customHeight="1">
      <c r="A378" s="50" t="s">
        <v>24</v>
      </c>
      <c r="B378" s="43" t="s">
        <v>5260</v>
      </c>
      <c r="C378" s="94" t="s">
        <v>5261</v>
      </c>
      <c r="D378" s="30" t="s">
        <v>89</v>
      </c>
      <c r="E378" s="22" t="s">
        <v>397</v>
      </c>
      <c r="F378" s="30" t="s">
        <v>5262</v>
      </c>
      <c r="G378" s="47" t="str">
        <f t="shared" si="13"/>
        <v>David</v>
      </c>
      <c r="H378" s="49" t="s">
        <v>183</v>
      </c>
      <c r="I378" s="49" t="s">
        <v>382</v>
      </c>
      <c r="J378" s="47" t="str">
        <f t="shared" si="18"/>
        <v>Não</v>
      </c>
      <c r="K378" s="54">
        <v>45666.0</v>
      </c>
      <c r="L378" s="55"/>
      <c r="M378" s="32" t="s">
        <v>61</v>
      </c>
      <c r="N378" s="56">
        <v>0.012</v>
      </c>
      <c r="O378" s="23" t="s">
        <v>66</v>
      </c>
      <c r="P378" s="57">
        <v>0.0</v>
      </c>
      <c r="Q378" s="58"/>
      <c r="R378" s="70"/>
      <c r="S378" s="32" t="s">
        <v>194</v>
      </c>
      <c r="T378" s="32" t="s">
        <v>5263</v>
      </c>
      <c r="U378" s="33">
        <v>2.1983810042E10</v>
      </c>
      <c r="V378" s="33" t="s">
        <v>5264</v>
      </c>
      <c r="W378" s="34">
        <v>23167.0</v>
      </c>
      <c r="X378" s="32" t="s">
        <v>397</v>
      </c>
      <c r="Y378" s="49" t="str">
        <f t="shared" ref="Y378:Y427" si="19">IFS(H:H="Encerrado","Encerrado",COUNTBLANK(AZ378:BK378)&gt;0,"Ativo",SUM(AZ378:BK378)=0,"Inativo",SUM(AZ378:BK378)&gt;0,"Ativo")</f>
        <v>Ativo</v>
      </c>
      <c r="Z378" s="62"/>
      <c r="AA378" s="32" t="s">
        <v>47</v>
      </c>
      <c r="AB378" s="64"/>
      <c r="AC378" s="79"/>
      <c r="AD378" s="54">
        <v>45671.0</v>
      </c>
      <c r="AE378" s="77">
        <v>4.9075100018197E13</v>
      </c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>
        <v>450070.77</v>
      </c>
      <c r="BH378" s="65">
        <v>454445.34</v>
      </c>
      <c r="BI378" s="65">
        <v>460829.92</v>
      </c>
      <c r="BJ378" s="65">
        <v>35357.19</v>
      </c>
      <c r="BK378" s="65">
        <v>35799.66</v>
      </c>
      <c r="BL378" s="65">
        <v>36230.62</v>
      </c>
      <c r="BM378" s="65">
        <v>36737.75</v>
      </c>
      <c r="BN378" s="65">
        <v>37206.99</v>
      </c>
      <c r="BO378" s="65">
        <v>37682.21</v>
      </c>
      <c r="BP378" s="65">
        <v>38232.77</v>
      </c>
      <c r="BQ378" s="65">
        <v>38674.32</v>
      </c>
      <c r="BR378" s="65">
        <v>39191.97</v>
      </c>
      <c r="BS378" s="65">
        <v>39604.21</v>
      </c>
      <c r="BT378" s="88">
        <v>39995.87</v>
      </c>
      <c r="BU378" s="65">
        <v>40492.56</v>
      </c>
      <c r="BV378" s="65">
        <v>0.0</v>
      </c>
      <c r="BW378" s="90">
        <v>0.02</v>
      </c>
      <c r="BX378" s="90">
        <v>0.02</v>
      </c>
      <c r="BY378" s="90" t="str">
        <f t="array" ref="BY378">XLOOKUP(C378,'PL TOTAL D0'!$A$3:$A$1991,'PL TOTAL D0'!$C$3:$C$1991,"")</f>
        <v/>
      </c>
    </row>
    <row r="379" ht="15.75" customHeight="1">
      <c r="A379" s="50" t="s">
        <v>24</v>
      </c>
      <c r="B379" s="43" t="s">
        <v>5275</v>
      </c>
      <c r="C379" s="53" t="s">
        <v>5276</v>
      </c>
      <c r="D379" s="30" t="s">
        <v>53</v>
      </c>
      <c r="E379" s="22" t="s">
        <v>54</v>
      </c>
      <c r="F379" s="30" t="s">
        <v>55</v>
      </c>
      <c r="G379" s="47" t="str">
        <f t="shared" si="13"/>
        <v>David</v>
      </c>
      <c r="H379" s="49" t="s">
        <v>183</v>
      </c>
      <c r="I379" s="49" t="s">
        <v>66</v>
      </c>
      <c r="J379" s="47" t="str">
        <f t="shared" si="18"/>
        <v>Sim</v>
      </c>
      <c r="K379" s="54">
        <v>46226.0</v>
      </c>
      <c r="L379" s="55"/>
      <c r="M379" s="32" t="s">
        <v>61</v>
      </c>
      <c r="N379" s="56">
        <v>0.012</v>
      </c>
      <c r="O379" s="23" t="s">
        <v>66</v>
      </c>
      <c r="P379" s="57">
        <v>0.0</v>
      </c>
      <c r="Q379" s="58" t="s">
        <v>5279</v>
      </c>
      <c r="R379" s="70"/>
      <c r="S379" s="32" t="s">
        <v>194</v>
      </c>
      <c r="T379" s="32" t="s">
        <v>5280</v>
      </c>
      <c r="U379" s="33" t="s">
        <v>5282</v>
      </c>
      <c r="V379" s="33" t="s">
        <v>5283</v>
      </c>
      <c r="W379" s="34">
        <v>25784.0</v>
      </c>
      <c r="X379" s="32" t="s">
        <v>1586</v>
      </c>
      <c r="Y379" s="49" t="str">
        <f t="shared" si="19"/>
        <v>Ativo</v>
      </c>
      <c r="Z379" s="62"/>
      <c r="AA379" s="32" t="s">
        <v>107</v>
      </c>
      <c r="AB379" s="64"/>
      <c r="AC379" s="79"/>
      <c r="AD379" s="54"/>
      <c r="AE379" s="77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65"/>
      <c r="BI379" s="65"/>
      <c r="BJ379" s="65"/>
      <c r="BK379" s="65"/>
      <c r="BL379" s="65"/>
      <c r="BM379" s="65"/>
      <c r="BN379" s="65"/>
      <c r="BO379" s="65"/>
      <c r="BP379" s="65"/>
      <c r="BQ379" s="65"/>
      <c r="BR379" s="65"/>
      <c r="BS379" s="65"/>
      <c r="BT379" s="88"/>
      <c r="BU379" s="65"/>
      <c r="BV379" s="65"/>
      <c r="BW379" s="90"/>
      <c r="BX379" s="90"/>
      <c r="BY379" s="90"/>
    </row>
    <row r="380" ht="15.75" customHeight="1">
      <c r="A380" s="50" t="s">
        <v>24</v>
      </c>
      <c r="B380" s="50" t="s">
        <v>5286</v>
      </c>
      <c r="C380" s="94" t="s">
        <v>5287</v>
      </c>
      <c r="D380" s="81" t="s">
        <v>255</v>
      </c>
      <c r="E380" s="95" t="s">
        <v>199</v>
      </c>
      <c r="F380" s="81" t="s">
        <v>257</v>
      </c>
      <c r="G380" s="47" t="str">
        <f t="shared" si="13"/>
        <v>David</v>
      </c>
      <c r="H380" s="49" t="s">
        <v>224</v>
      </c>
      <c r="I380" s="49" t="s">
        <v>66</v>
      </c>
      <c r="J380" s="47" t="str">
        <f t="shared" si="18"/>
        <v>Não</v>
      </c>
      <c r="K380" s="97">
        <v>45148.0</v>
      </c>
      <c r="L380" s="55">
        <v>45525.0</v>
      </c>
      <c r="M380" s="62" t="s">
        <v>5290</v>
      </c>
      <c r="N380" s="98">
        <v>0.014</v>
      </c>
      <c r="O380" s="23" t="s">
        <v>35</v>
      </c>
      <c r="P380" s="99">
        <v>0.1</v>
      </c>
      <c r="Q380" s="58"/>
      <c r="R380" s="70"/>
      <c r="S380" s="62" t="s">
        <v>194</v>
      </c>
      <c r="T380" s="32" t="s">
        <v>5292</v>
      </c>
      <c r="U380" s="33" t="s">
        <v>268</v>
      </c>
      <c r="V380" s="33"/>
      <c r="W380" s="33" t="s">
        <v>268</v>
      </c>
      <c r="X380" s="23" t="s">
        <v>199</v>
      </c>
      <c r="Y380" s="49" t="str">
        <f t="shared" si="19"/>
        <v>Encerrado</v>
      </c>
      <c r="Z380" s="62"/>
      <c r="AA380" s="62"/>
      <c r="AB380" s="64" t="s">
        <v>269</v>
      </c>
      <c r="AC380" s="79"/>
      <c r="AD380" s="54">
        <v>45148.0</v>
      </c>
      <c r="AE380" s="77">
        <v>4.9075100009155E13</v>
      </c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65">
        <v>426832.92</v>
      </c>
      <c r="AQ380" s="65">
        <v>686106.35</v>
      </c>
      <c r="AR380" s="65">
        <v>903584.83</v>
      </c>
      <c r="AS380" s="65">
        <v>886418.22</v>
      </c>
      <c r="AT380" s="65">
        <v>892959.85</v>
      </c>
      <c r="AU380" s="65">
        <v>856186.29</v>
      </c>
      <c r="AV380" s="65">
        <v>862035.76</v>
      </c>
      <c r="AW380" s="65">
        <v>868861.72</v>
      </c>
      <c r="AX380" s="65">
        <v>861235.1</v>
      </c>
      <c r="AY380" s="65">
        <v>856493.4</v>
      </c>
      <c r="AZ380" s="65">
        <v>862623.0</v>
      </c>
      <c r="BA380" s="65">
        <v>868375.7</v>
      </c>
      <c r="BB380" s="65">
        <v>0.0</v>
      </c>
      <c r="BC380" s="65">
        <v>0.0</v>
      </c>
      <c r="BD380" s="65">
        <v>0.0</v>
      </c>
      <c r="BE380" s="65">
        <v>0.0</v>
      </c>
      <c r="BF380" s="65">
        <v>0.0</v>
      </c>
      <c r="BG380" s="65">
        <v>0.0</v>
      </c>
      <c r="BH380" s="65">
        <v>0.0</v>
      </c>
      <c r="BI380" s="65">
        <v>0.0</v>
      </c>
      <c r="BJ380" s="65">
        <v>0.0</v>
      </c>
      <c r="BK380" s="65">
        <v>0.0</v>
      </c>
      <c r="BL380" s="65">
        <v>0.0</v>
      </c>
      <c r="BM380" s="65">
        <v>0.0</v>
      </c>
      <c r="BN380" s="65">
        <v>0.0</v>
      </c>
      <c r="BO380" s="65">
        <v>0.0</v>
      </c>
      <c r="BP380" s="65">
        <v>0.0</v>
      </c>
      <c r="BQ380" s="65">
        <v>0.0</v>
      </c>
      <c r="BR380" s="65">
        <v>0.0</v>
      </c>
      <c r="BS380" s="65">
        <v>0.0</v>
      </c>
      <c r="BT380" s="88">
        <v>0.0</v>
      </c>
      <c r="BU380" s="65">
        <v>0.0</v>
      </c>
      <c r="BV380" s="65">
        <v>0.0</v>
      </c>
      <c r="BW380" s="90">
        <v>0.0</v>
      </c>
      <c r="BX380" s="90">
        <v>0.0</v>
      </c>
      <c r="BY380" s="90" t="str">
        <f t="array" ref="BY380">XLOOKUP(C380,'PL TOTAL D0'!$A$3:$A$1991,'PL TOTAL D0'!$C$3:$C$1991,"")</f>
        <v/>
      </c>
    </row>
    <row r="381" ht="15.75" customHeight="1">
      <c r="A381" s="50" t="s">
        <v>24</v>
      </c>
      <c r="B381" s="43" t="s">
        <v>5298</v>
      </c>
      <c r="C381" s="94" t="s">
        <v>3346</v>
      </c>
      <c r="D381" s="30" t="s">
        <v>120</v>
      </c>
      <c r="E381" s="22" t="s">
        <v>54</v>
      </c>
      <c r="F381" s="30" t="s">
        <v>125</v>
      </c>
      <c r="G381" s="47" t="str">
        <f t="shared" si="13"/>
        <v>David</v>
      </c>
      <c r="H381" s="49" t="s">
        <v>183</v>
      </c>
      <c r="I381" s="49" t="s">
        <v>66</v>
      </c>
      <c r="J381" s="47" t="str">
        <f t="shared" si="18"/>
        <v>Não</v>
      </c>
      <c r="K381" s="54">
        <v>45910.0</v>
      </c>
      <c r="L381" s="55"/>
      <c r="M381" s="32" t="s">
        <v>61</v>
      </c>
      <c r="N381" s="56">
        <v>0.012</v>
      </c>
      <c r="O381" s="23" t="s">
        <v>66</v>
      </c>
      <c r="P381" s="57">
        <v>0.0</v>
      </c>
      <c r="Q381" s="58"/>
      <c r="R381" s="70"/>
      <c r="S381" s="32" t="s">
        <v>194</v>
      </c>
      <c r="T381" s="32" t="s">
        <v>5299</v>
      </c>
      <c r="U381" s="33" t="s">
        <v>5300</v>
      </c>
      <c r="V381" s="33" t="s">
        <v>5301</v>
      </c>
      <c r="W381" s="48">
        <v>20907.0</v>
      </c>
      <c r="X381" s="23" t="s">
        <v>54</v>
      </c>
      <c r="Y381" s="49" t="str">
        <f t="shared" si="19"/>
        <v>Ativo</v>
      </c>
      <c r="Z381" s="62"/>
      <c r="AA381" s="32" t="s">
        <v>165</v>
      </c>
      <c r="AB381" s="64"/>
      <c r="AC381" s="79"/>
      <c r="AD381" s="54">
        <v>45911.0</v>
      </c>
      <c r="AE381" s="148">
        <v>4.9075100019509E13</v>
      </c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65"/>
      <c r="BH381" s="65"/>
      <c r="BI381" s="65"/>
      <c r="BJ381" s="65"/>
      <c r="BK381" s="65"/>
      <c r="BL381" s="65"/>
      <c r="BM381" s="65"/>
      <c r="BN381" s="65">
        <v>0.0</v>
      </c>
      <c r="BO381" s="65">
        <v>80454.02</v>
      </c>
      <c r="BP381" s="65">
        <v>81516.38</v>
      </c>
      <c r="BQ381" s="65">
        <v>82256.76</v>
      </c>
      <c r="BR381" s="65">
        <v>83147.81</v>
      </c>
      <c r="BS381" s="65">
        <v>84119.14</v>
      </c>
      <c r="BT381" s="88">
        <v>84857.93</v>
      </c>
      <c r="BU381" s="65">
        <v>85930.87</v>
      </c>
      <c r="BV381" s="65">
        <v>86527.33</v>
      </c>
      <c r="BW381" s="90">
        <v>87419.69</v>
      </c>
      <c r="BX381" s="90">
        <v>88243.64</v>
      </c>
      <c r="BY381" s="90">
        <f t="array" ref="BY381">XLOOKUP(C381,'PL TOTAL D0'!$A$3:$A$1991,'PL TOTAL D0'!$C$3:$C$1991,"")</f>
        <v>88978.44</v>
      </c>
    </row>
    <row r="382" ht="15.75" customHeight="1">
      <c r="A382" s="50" t="s">
        <v>24</v>
      </c>
      <c r="B382" s="43" t="s">
        <v>5304</v>
      </c>
      <c r="C382" s="53" t="s">
        <v>5305</v>
      </c>
      <c r="D382" s="30" t="s">
        <v>89</v>
      </c>
      <c r="E382" s="22" t="s">
        <v>91</v>
      </c>
      <c r="F382" s="30" t="s">
        <v>521</v>
      </c>
      <c r="G382" s="47" t="str">
        <f t="shared" si="13"/>
        <v>David</v>
      </c>
      <c r="H382" s="49" t="s">
        <v>183</v>
      </c>
      <c r="I382" s="49" t="s">
        <v>66</v>
      </c>
      <c r="J382" s="47" t="str">
        <f t="shared" si="18"/>
        <v>Não</v>
      </c>
      <c r="K382" s="54">
        <v>46223.0</v>
      </c>
      <c r="L382" s="55"/>
      <c r="M382" s="32" t="s">
        <v>209</v>
      </c>
      <c r="N382" s="56">
        <v>0.015</v>
      </c>
      <c r="O382" s="23" t="s">
        <v>35</v>
      </c>
      <c r="P382" s="57">
        <v>0.1</v>
      </c>
      <c r="Q382" s="58"/>
      <c r="R382" s="70"/>
      <c r="S382" s="32" t="s">
        <v>194</v>
      </c>
      <c r="T382" s="32" t="s">
        <v>5306</v>
      </c>
      <c r="U382" s="33" t="s">
        <v>5307</v>
      </c>
      <c r="V382" s="33" t="s">
        <v>5308</v>
      </c>
      <c r="W382" s="48">
        <v>26514.0</v>
      </c>
      <c r="X382" s="23" t="s">
        <v>221</v>
      </c>
      <c r="Y382" s="49" t="str">
        <f t="shared" si="19"/>
        <v>Ativo</v>
      </c>
      <c r="Z382" s="62"/>
      <c r="AA382" s="32" t="s">
        <v>165</v>
      </c>
      <c r="AB382" s="64"/>
      <c r="AC382" s="79"/>
      <c r="AD382" s="54"/>
      <c r="AE382" s="148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  <c r="BE382" s="65"/>
      <c r="BF382" s="65"/>
      <c r="BG382" s="65"/>
      <c r="BH382" s="65"/>
      <c r="BI382" s="65"/>
      <c r="BJ382" s="65"/>
      <c r="BK382" s="65"/>
      <c r="BL382" s="65"/>
      <c r="BM382" s="65"/>
      <c r="BN382" s="65"/>
      <c r="BO382" s="65"/>
      <c r="BP382" s="65"/>
      <c r="BQ382" s="65"/>
      <c r="BR382" s="65"/>
      <c r="BS382" s="65"/>
      <c r="BT382" s="88"/>
      <c r="BU382" s="65"/>
      <c r="BV382" s="65"/>
      <c r="BW382" s="90"/>
      <c r="BX382" s="90"/>
      <c r="BY382" s="90"/>
    </row>
    <row r="383" ht="15.75" customHeight="1">
      <c r="A383" s="50" t="s">
        <v>24</v>
      </c>
      <c r="B383" s="188" t="s">
        <v>5313</v>
      </c>
      <c r="C383" s="94" t="s">
        <v>2841</v>
      </c>
      <c r="D383" s="30" t="s">
        <v>53</v>
      </c>
      <c r="E383" s="22" t="s">
        <v>54</v>
      </c>
      <c r="F383" s="30" t="s">
        <v>507</v>
      </c>
      <c r="G383" s="47" t="str">
        <f t="shared" si="13"/>
        <v>Gabriel</v>
      </c>
      <c r="H383" s="49" t="s">
        <v>183</v>
      </c>
      <c r="I383" s="49" t="s">
        <v>66</v>
      </c>
      <c r="J383" s="47" t="str">
        <f t="shared" si="18"/>
        <v>Não</v>
      </c>
      <c r="K383" s="54">
        <v>45401.0</v>
      </c>
      <c r="L383" s="62"/>
      <c r="M383" s="32" t="s">
        <v>61</v>
      </c>
      <c r="N383" s="56">
        <v>0.012</v>
      </c>
      <c r="O383" s="47" t="s">
        <v>66</v>
      </c>
      <c r="P383" s="57">
        <v>0.0</v>
      </c>
      <c r="Q383" s="58"/>
      <c r="R383" s="70"/>
      <c r="S383" s="32" t="s">
        <v>194</v>
      </c>
      <c r="T383" s="22" t="s">
        <v>5316</v>
      </c>
      <c r="U383" s="33">
        <v>5.51199600055E12</v>
      </c>
      <c r="V383" s="33" t="s">
        <v>5317</v>
      </c>
      <c r="W383" s="34">
        <v>21230.0</v>
      </c>
      <c r="X383" s="23" t="s">
        <v>54</v>
      </c>
      <c r="Y383" s="49" t="str">
        <f t="shared" si="19"/>
        <v>Ativo</v>
      </c>
      <c r="Z383" s="32"/>
      <c r="AA383" s="32" t="s">
        <v>47</v>
      </c>
      <c r="AB383" s="64" t="s">
        <v>269</v>
      </c>
      <c r="AC383" s="79"/>
      <c r="AD383" s="54">
        <v>45401.0</v>
      </c>
      <c r="AE383" s="77">
        <v>4.9075100014043E13</v>
      </c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65"/>
      <c r="AW383" s="65"/>
      <c r="AX383" s="65">
        <v>0.0</v>
      </c>
      <c r="AY383" s="65">
        <v>605077.2</v>
      </c>
      <c r="AZ383" s="65">
        <v>612210.9</v>
      </c>
      <c r="BA383" s="65">
        <v>614858.8</v>
      </c>
      <c r="BB383" s="65">
        <v>618685.42</v>
      </c>
      <c r="BC383" s="65">
        <v>623878.99</v>
      </c>
      <c r="BD383" s="65">
        <v>630950.2</v>
      </c>
      <c r="BE383" s="65">
        <v>635326.09</v>
      </c>
      <c r="BF383" s="65">
        <v>489480.03</v>
      </c>
      <c r="BG383" s="65">
        <v>493288.35</v>
      </c>
      <c r="BH383" s="65">
        <v>496668.31</v>
      </c>
      <c r="BI383" s="65">
        <v>496977.67</v>
      </c>
      <c r="BJ383" s="65">
        <v>498012.9</v>
      </c>
      <c r="BK383" s="65">
        <v>586210.77</v>
      </c>
      <c r="BL383" s="65">
        <v>593168.39</v>
      </c>
      <c r="BM383" s="65">
        <v>601565.12</v>
      </c>
      <c r="BN383" s="65">
        <v>608022.7</v>
      </c>
      <c r="BO383" s="65">
        <v>616492.27</v>
      </c>
      <c r="BP383" s="65">
        <v>628531.6</v>
      </c>
      <c r="BQ383" s="65">
        <v>629816.2</v>
      </c>
      <c r="BR383" s="65">
        <v>584993.2</v>
      </c>
      <c r="BS383" s="65">
        <v>591733.24</v>
      </c>
      <c r="BT383" s="88">
        <v>593828.3</v>
      </c>
      <c r="BU383" s="65">
        <v>591294.6</v>
      </c>
      <c r="BV383" s="65">
        <v>551617.0</v>
      </c>
      <c r="BW383" s="90">
        <v>565413.9</v>
      </c>
      <c r="BX383" s="90">
        <v>568938.14</v>
      </c>
      <c r="BY383" s="90">
        <f t="array" ref="BY383">XLOOKUP(C383,'PL TOTAL D0'!$A$3:$A$1991,'PL TOTAL D0'!$C$3:$C$1991,"")</f>
        <v>572644.04</v>
      </c>
    </row>
    <row r="384" ht="15.75" customHeight="1">
      <c r="A384" s="43" t="s">
        <v>24</v>
      </c>
      <c r="B384" s="513" t="s">
        <v>5322</v>
      </c>
      <c r="C384" s="94" t="s">
        <v>2814</v>
      </c>
      <c r="D384" s="30" t="s">
        <v>142</v>
      </c>
      <c r="E384" s="22" t="s">
        <v>54</v>
      </c>
      <c r="F384" s="30" t="s">
        <v>158</v>
      </c>
      <c r="G384" s="47" t="str">
        <f t="shared" si="13"/>
        <v>Gabriel</v>
      </c>
      <c r="H384" s="49" t="s">
        <v>183</v>
      </c>
      <c r="I384" s="49" t="s">
        <v>66</v>
      </c>
      <c r="J384" s="47" t="str">
        <f t="shared" si="18"/>
        <v>Não</v>
      </c>
      <c r="K384" s="54">
        <v>45356.0</v>
      </c>
      <c r="L384" s="62"/>
      <c r="M384" s="32" t="s">
        <v>61</v>
      </c>
      <c r="N384" s="56">
        <v>0.012</v>
      </c>
      <c r="O384" s="23" t="s">
        <v>66</v>
      </c>
      <c r="P384" s="57">
        <v>0.0</v>
      </c>
      <c r="Q384" s="58"/>
      <c r="R384" s="70"/>
      <c r="S384" s="32" t="s">
        <v>194</v>
      </c>
      <c r="T384" s="177" t="s">
        <v>5324</v>
      </c>
      <c r="U384" s="33">
        <v>6.2996870592E10</v>
      </c>
      <c r="V384" s="33" t="s">
        <v>5327</v>
      </c>
      <c r="W384" s="48">
        <v>20024.0</v>
      </c>
      <c r="X384" s="23" t="s">
        <v>54</v>
      </c>
      <c r="Y384" s="49" t="str">
        <f t="shared" si="19"/>
        <v>Ativo</v>
      </c>
      <c r="Z384" s="62"/>
      <c r="AA384" s="62"/>
      <c r="AB384" s="64" t="s">
        <v>269</v>
      </c>
      <c r="AC384" s="79"/>
      <c r="AD384" s="54">
        <v>45356.0</v>
      </c>
      <c r="AE384" s="77">
        <v>4.907510001378E13</v>
      </c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65">
        <v>0.0</v>
      </c>
      <c r="AW384" s="65">
        <v>500890.57</v>
      </c>
      <c r="AX384" s="65">
        <v>505181.19</v>
      </c>
      <c r="AY384" s="65">
        <v>508577.4</v>
      </c>
      <c r="AZ384" s="65">
        <v>512866.2</v>
      </c>
      <c r="BA384" s="65">
        <v>517207.5</v>
      </c>
      <c r="BB384" s="65">
        <v>521456.74</v>
      </c>
      <c r="BC384" s="65">
        <v>524305.65</v>
      </c>
      <c r="BD384" s="65">
        <v>529178.18</v>
      </c>
      <c r="BE384" s="65">
        <v>533300.4</v>
      </c>
      <c r="BF384" s="65">
        <v>537772.17</v>
      </c>
      <c r="BG384" s="65">
        <v>542880.33</v>
      </c>
      <c r="BH384" s="65">
        <v>547685.91</v>
      </c>
      <c r="BI384" s="65">
        <v>545382.46</v>
      </c>
      <c r="BJ384" s="65">
        <v>551459.46</v>
      </c>
      <c r="BK384" s="65">
        <v>557519.01</v>
      </c>
      <c r="BL384" s="65">
        <v>562353.04</v>
      </c>
      <c r="BM384" s="65">
        <v>568766.34</v>
      </c>
      <c r="BN384" s="65">
        <v>574234.2</v>
      </c>
      <c r="BO384" s="65">
        <v>579654.02</v>
      </c>
      <c r="BP384" s="65">
        <v>586861.4</v>
      </c>
      <c r="BQ384" s="65">
        <v>591642.8</v>
      </c>
      <c r="BR384" s="65">
        <v>597686.7</v>
      </c>
      <c r="BS384" s="65">
        <v>604427.34</v>
      </c>
      <c r="BT384" s="88">
        <v>609639.8</v>
      </c>
      <c r="BU384" s="65">
        <v>612610.1</v>
      </c>
      <c r="BV384" s="65">
        <v>619578.3</v>
      </c>
      <c r="BW384" s="90">
        <v>625898.9</v>
      </c>
      <c r="BX384" s="90">
        <v>631842.76</v>
      </c>
      <c r="BY384" s="90">
        <f t="array" ref="BY384">XLOOKUP(C384,'PL TOTAL D0'!$A$3:$A$1991,'PL TOTAL D0'!$C$3:$C$1991,"")</f>
        <v>639471.46</v>
      </c>
    </row>
    <row r="385" ht="15.75" customHeight="1">
      <c r="A385" s="50" t="s">
        <v>24</v>
      </c>
      <c r="B385" s="50" t="s">
        <v>5339</v>
      </c>
      <c r="C385" s="94" t="s">
        <v>5340</v>
      </c>
      <c r="D385" s="81" t="s">
        <v>120</v>
      </c>
      <c r="E385" s="95" t="s">
        <v>54</v>
      </c>
      <c r="F385" s="81" t="s">
        <v>379</v>
      </c>
      <c r="G385" s="47" t="str">
        <f t="shared" si="13"/>
        <v>David</v>
      </c>
      <c r="H385" s="49" t="s">
        <v>224</v>
      </c>
      <c r="I385" s="49" t="s">
        <v>66</v>
      </c>
      <c r="J385" s="47" t="str">
        <f t="shared" si="18"/>
        <v>Não</v>
      </c>
      <c r="K385" s="97">
        <v>44887.0</v>
      </c>
      <c r="L385" s="121">
        <v>45946.0</v>
      </c>
      <c r="M385" s="32" t="s">
        <v>61</v>
      </c>
      <c r="N385" s="56">
        <v>0.012</v>
      </c>
      <c r="O385" s="23" t="s">
        <v>66</v>
      </c>
      <c r="P385" s="57">
        <v>0.0</v>
      </c>
      <c r="Q385" s="58"/>
      <c r="R385" s="58" t="s">
        <v>5341</v>
      </c>
      <c r="S385" s="62" t="s">
        <v>194</v>
      </c>
      <c r="T385" s="32" t="s">
        <v>4788</v>
      </c>
      <c r="U385" s="33" t="s">
        <v>268</v>
      </c>
      <c r="V385" s="33"/>
      <c r="W385" s="33" t="s">
        <v>268</v>
      </c>
      <c r="X385" s="23" t="s">
        <v>199</v>
      </c>
      <c r="Y385" s="49" t="str">
        <f t="shared" si="19"/>
        <v>Encerrado</v>
      </c>
      <c r="Z385" s="62"/>
      <c r="AA385" s="62"/>
      <c r="AB385" s="64" t="s">
        <v>244</v>
      </c>
      <c r="AC385" s="79"/>
      <c r="AD385" s="54">
        <v>44887.0</v>
      </c>
      <c r="AE385" s="77">
        <v>4.9075100005737E13</v>
      </c>
      <c r="AF385" s="79"/>
      <c r="AG385" s="79"/>
      <c r="AH385" s="65">
        <v>173707.66</v>
      </c>
      <c r="AI385" s="65">
        <v>235453.15</v>
      </c>
      <c r="AJ385" s="65">
        <v>232519.02</v>
      </c>
      <c r="AK385" s="65">
        <v>254973.37</v>
      </c>
      <c r="AL385" s="65">
        <v>365637.43</v>
      </c>
      <c r="AM385" s="65">
        <v>372607.98</v>
      </c>
      <c r="AN385" s="65">
        <v>380089.6</v>
      </c>
      <c r="AO385" s="65">
        <v>361798.24</v>
      </c>
      <c r="AP385" s="65">
        <v>362265.63</v>
      </c>
      <c r="AQ385" s="65">
        <v>362470.6</v>
      </c>
      <c r="AR385" s="65">
        <v>349419.43</v>
      </c>
      <c r="AS385" s="65">
        <v>353423.45</v>
      </c>
      <c r="AT385" s="65">
        <v>357872.3</v>
      </c>
      <c r="AU385" s="65">
        <v>353814.22</v>
      </c>
      <c r="AV385" s="65">
        <v>356135.22</v>
      </c>
      <c r="AW385" s="65">
        <v>351339.11</v>
      </c>
      <c r="AX385" s="65">
        <v>338399.15</v>
      </c>
      <c r="AY385" s="65">
        <v>330280.5</v>
      </c>
      <c r="AZ385" s="65">
        <v>218548.8</v>
      </c>
      <c r="BA385" s="65">
        <v>213578.4</v>
      </c>
      <c r="BB385" s="65">
        <v>213643.13</v>
      </c>
      <c r="BC385" s="65">
        <v>167841.24</v>
      </c>
      <c r="BD385" s="65">
        <v>167482.77</v>
      </c>
      <c r="BE385" s="65">
        <v>164246.94</v>
      </c>
      <c r="BF385" s="65">
        <v>161029.07</v>
      </c>
      <c r="BG385" s="65">
        <v>155737.67</v>
      </c>
      <c r="BH385" s="65">
        <v>184371.14</v>
      </c>
      <c r="BI385" s="65">
        <v>180187.38</v>
      </c>
      <c r="BJ385" s="65">
        <v>179379.39</v>
      </c>
      <c r="BK385" s="65">
        <v>178683.29</v>
      </c>
      <c r="BL385" s="65">
        <v>0.0</v>
      </c>
      <c r="BM385" s="65">
        <v>0.0</v>
      </c>
      <c r="BN385" s="65">
        <v>0.0</v>
      </c>
      <c r="BO385" s="65">
        <v>0.0</v>
      </c>
      <c r="BP385" s="65">
        <v>0.0</v>
      </c>
      <c r="BQ385" s="65">
        <v>0.0</v>
      </c>
      <c r="BR385" s="65">
        <v>0.0</v>
      </c>
      <c r="BS385" s="65">
        <v>0.0</v>
      </c>
      <c r="BT385" s="88">
        <v>0.0</v>
      </c>
      <c r="BU385" s="65">
        <v>0.0</v>
      </c>
      <c r="BV385" s="65">
        <v>0.0</v>
      </c>
      <c r="BW385" s="90">
        <v>0.0</v>
      </c>
      <c r="BX385" s="90">
        <v>0.0</v>
      </c>
      <c r="BY385" s="90" t="str">
        <f t="array" ref="BY385">XLOOKUP(C385,'PL TOTAL D0'!$A$3:$A$1991,'PL TOTAL D0'!$C$3:$C$1991,"")</f>
        <v/>
      </c>
    </row>
    <row r="386" ht="15.75" customHeight="1">
      <c r="A386" s="50" t="s">
        <v>24</v>
      </c>
      <c r="B386" s="50" t="s">
        <v>5345</v>
      </c>
      <c r="C386" s="94" t="s">
        <v>5346</v>
      </c>
      <c r="D386" s="81" t="s">
        <v>120</v>
      </c>
      <c r="E386" s="95" t="s">
        <v>54</v>
      </c>
      <c r="F386" s="81" t="s">
        <v>348</v>
      </c>
      <c r="G386" s="47" t="str">
        <f t="shared" si="13"/>
        <v>David</v>
      </c>
      <c r="H386" s="49" t="s">
        <v>295</v>
      </c>
      <c r="I386" s="74" t="s">
        <v>382</v>
      </c>
      <c r="J386" s="47" t="str">
        <f t="shared" si="18"/>
        <v>Não</v>
      </c>
      <c r="K386" s="97">
        <v>45166.0</v>
      </c>
      <c r="L386" s="62"/>
      <c r="M386" s="62" t="s">
        <v>209</v>
      </c>
      <c r="N386" s="98">
        <v>0.015</v>
      </c>
      <c r="O386" s="47" t="s">
        <v>35</v>
      </c>
      <c r="P386" s="99">
        <v>0.1</v>
      </c>
      <c r="Q386" s="58"/>
      <c r="R386" s="70"/>
      <c r="S386" s="62" t="s">
        <v>234</v>
      </c>
      <c r="T386" s="32" t="s">
        <v>5348</v>
      </c>
      <c r="U386" s="33">
        <v>5.561981212666E12</v>
      </c>
      <c r="V386" s="33" t="s">
        <v>4882</v>
      </c>
      <c r="W386" s="34">
        <v>42136.0</v>
      </c>
      <c r="X386" s="23" t="s">
        <v>54</v>
      </c>
      <c r="Y386" s="49" t="str">
        <f t="shared" si="19"/>
        <v>Inativo</v>
      </c>
      <c r="Z386" s="62"/>
      <c r="AA386" s="62"/>
      <c r="AB386" s="64" t="s">
        <v>269</v>
      </c>
      <c r="AC386" s="79"/>
      <c r="AD386" s="54">
        <v>45166.0</v>
      </c>
      <c r="AE386" s="77">
        <v>4.907510001137E13</v>
      </c>
      <c r="AF386" s="79"/>
      <c r="AG386" s="79"/>
      <c r="AH386" s="79"/>
      <c r="AI386" s="79"/>
      <c r="AJ386" s="79"/>
      <c r="AK386" s="79"/>
      <c r="AL386" s="79"/>
      <c r="AM386" s="79"/>
      <c r="AN386" s="79"/>
      <c r="AO386" s="65">
        <v>0.0</v>
      </c>
      <c r="AP386" s="65">
        <v>0.0</v>
      </c>
      <c r="AQ386" s="65">
        <v>0.0</v>
      </c>
      <c r="AR386" s="65">
        <v>0.0</v>
      </c>
      <c r="AS386" s="65">
        <v>0.0</v>
      </c>
      <c r="AT386" s="65">
        <v>0.0</v>
      </c>
      <c r="AU386" s="65">
        <v>0.0</v>
      </c>
      <c r="AV386" s="65">
        <v>0.0</v>
      </c>
      <c r="AW386" s="65">
        <v>0.0</v>
      </c>
      <c r="AX386" s="65">
        <v>0.0</v>
      </c>
      <c r="AY386" s="65">
        <v>0.0</v>
      </c>
      <c r="AZ386" s="65">
        <v>0.0</v>
      </c>
      <c r="BA386" s="65">
        <v>0.0</v>
      </c>
      <c r="BB386" s="65">
        <v>0.0</v>
      </c>
      <c r="BC386" s="65">
        <v>0.0</v>
      </c>
      <c r="BD386" s="65">
        <v>0.0</v>
      </c>
      <c r="BE386" s="65">
        <v>0.0</v>
      </c>
      <c r="BF386" s="65">
        <v>0.0</v>
      </c>
      <c r="BG386" s="65">
        <v>0.0</v>
      </c>
      <c r="BH386" s="65">
        <v>0.0</v>
      </c>
      <c r="BI386" s="65">
        <v>0.0</v>
      </c>
      <c r="BJ386" s="65">
        <v>0.0</v>
      </c>
      <c r="BK386" s="65">
        <v>0.0</v>
      </c>
      <c r="BL386" s="65">
        <v>0.0</v>
      </c>
      <c r="BM386" s="65">
        <v>0.0</v>
      </c>
      <c r="BN386" s="65">
        <v>0.0</v>
      </c>
      <c r="BO386" s="65">
        <v>0.0</v>
      </c>
      <c r="BP386" s="65">
        <v>0.0</v>
      </c>
      <c r="BQ386" s="65">
        <v>0.0</v>
      </c>
      <c r="BR386" s="65">
        <v>0.0</v>
      </c>
      <c r="BS386" s="65">
        <v>0.0</v>
      </c>
      <c r="BT386" s="88">
        <v>0.0</v>
      </c>
      <c r="BU386" s="65">
        <v>0.0</v>
      </c>
      <c r="BV386" s="65">
        <v>0.0</v>
      </c>
      <c r="BW386" s="90">
        <v>0.0</v>
      </c>
      <c r="BX386" s="90">
        <v>0.0</v>
      </c>
      <c r="BY386" s="90" t="str">
        <f t="array" ref="BY386">XLOOKUP(C386,'PL TOTAL D0'!$A$3:$A$1991,'PL TOTAL D0'!$C$3:$C$1991,"")</f>
        <v/>
      </c>
    </row>
    <row r="387" ht="15.75" customHeight="1">
      <c r="A387" s="50" t="s">
        <v>24</v>
      </c>
      <c r="B387" s="43" t="s">
        <v>5353</v>
      </c>
      <c r="C387" s="53" t="s">
        <v>2773</v>
      </c>
      <c r="D387" s="30" t="s">
        <v>53</v>
      </c>
      <c r="E387" s="22" t="s">
        <v>54</v>
      </c>
      <c r="F387" s="30" t="s">
        <v>55</v>
      </c>
      <c r="G387" s="47" t="str">
        <f t="shared" si="13"/>
        <v>David</v>
      </c>
      <c r="H387" s="49" t="s">
        <v>183</v>
      </c>
      <c r="I387" s="49" t="s">
        <v>66</v>
      </c>
      <c r="J387" s="47" t="str">
        <f t="shared" si="18"/>
        <v>Não</v>
      </c>
      <c r="K387" s="54">
        <v>46216.0</v>
      </c>
      <c r="L387" s="62"/>
      <c r="M387" s="32" t="s">
        <v>209</v>
      </c>
      <c r="N387" s="56">
        <v>0.015</v>
      </c>
      <c r="O387" s="23" t="s">
        <v>35</v>
      </c>
      <c r="P387" s="57">
        <v>0.1</v>
      </c>
      <c r="Q387" s="58"/>
      <c r="R387" s="70"/>
      <c r="S387" s="32" t="s">
        <v>194</v>
      </c>
      <c r="T387" s="32" t="s">
        <v>5358</v>
      </c>
      <c r="U387" s="33" t="s">
        <v>5359</v>
      </c>
      <c r="V387" s="33" t="s">
        <v>5360</v>
      </c>
      <c r="W387" s="34">
        <v>32267.0</v>
      </c>
      <c r="X387" s="23" t="s">
        <v>77</v>
      </c>
      <c r="Y387" s="49" t="str">
        <f t="shared" si="19"/>
        <v>Ativo</v>
      </c>
      <c r="Z387" s="62"/>
      <c r="AA387" s="32" t="s">
        <v>47</v>
      </c>
      <c r="AB387" s="64"/>
      <c r="AC387" s="79"/>
      <c r="AD387" s="54"/>
      <c r="AE387" s="77"/>
      <c r="AF387" s="79"/>
      <c r="AG387" s="79"/>
      <c r="AH387" s="79"/>
      <c r="AI387" s="79"/>
      <c r="AJ387" s="79"/>
      <c r="AK387" s="79"/>
      <c r="AL387" s="79"/>
      <c r="AM387" s="79"/>
      <c r="AN387" s="79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65"/>
      <c r="BI387" s="65"/>
      <c r="BJ387" s="65"/>
      <c r="BK387" s="65"/>
      <c r="BL387" s="65"/>
      <c r="BM387" s="65"/>
      <c r="BN387" s="65"/>
      <c r="BO387" s="65"/>
      <c r="BP387" s="65"/>
      <c r="BQ387" s="65"/>
      <c r="BR387" s="65"/>
      <c r="BS387" s="65"/>
      <c r="BT387" s="88"/>
      <c r="BU387" s="65"/>
      <c r="BV387" s="65"/>
      <c r="BW387" s="90"/>
      <c r="BX387" s="90">
        <v>0.0</v>
      </c>
      <c r="BY387" s="90">
        <f t="array" ref="BY387">XLOOKUP(C387,'PL TOTAL D0'!$A$3:$A$1991,'PL TOTAL D0'!$C$3:$C$1991,"")</f>
        <v>744117.32</v>
      </c>
    </row>
    <row r="388" ht="15.75" customHeight="1">
      <c r="A388" s="50" t="s">
        <v>24</v>
      </c>
      <c r="B388" s="43" t="s">
        <v>5366</v>
      </c>
      <c r="C388" s="53" t="s">
        <v>2755</v>
      </c>
      <c r="D388" s="30" t="s">
        <v>3843</v>
      </c>
      <c r="E388" s="22" t="s">
        <v>54</v>
      </c>
      <c r="F388" s="30" t="s">
        <v>3844</v>
      </c>
      <c r="G388" s="47" t="str">
        <f t="shared" si="13"/>
        <v>David</v>
      </c>
      <c r="H388" s="49" t="s">
        <v>183</v>
      </c>
      <c r="I388" s="49" t="s">
        <v>66</v>
      </c>
      <c r="J388" s="47" t="str">
        <f t="shared" si="18"/>
        <v>Não</v>
      </c>
      <c r="K388" s="54">
        <v>46190.0</v>
      </c>
      <c r="L388" s="62"/>
      <c r="M388" s="32" t="s">
        <v>209</v>
      </c>
      <c r="N388" s="56">
        <v>0.015</v>
      </c>
      <c r="O388" s="23" t="s">
        <v>35</v>
      </c>
      <c r="P388" s="57">
        <v>0.1</v>
      </c>
      <c r="Q388" s="58"/>
      <c r="R388" s="70"/>
      <c r="S388" s="32" t="s">
        <v>194</v>
      </c>
      <c r="T388" s="32" t="s">
        <v>5369</v>
      </c>
      <c r="U388" s="33" t="s">
        <v>5370</v>
      </c>
      <c r="V388" s="33" t="s">
        <v>5371</v>
      </c>
      <c r="W388" s="34">
        <v>31111.0</v>
      </c>
      <c r="X388" s="23" t="s">
        <v>54</v>
      </c>
      <c r="Y388" s="49" t="str">
        <f t="shared" si="19"/>
        <v>Ativo</v>
      </c>
      <c r="Z388" s="62"/>
      <c r="AA388" s="32" t="s">
        <v>47</v>
      </c>
      <c r="AB388" s="64"/>
      <c r="AC388" s="79"/>
      <c r="AD388" s="54">
        <v>46203.0</v>
      </c>
      <c r="AE388" s="77"/>
      <c r="AF388" s="79"/>
      <c r="AG388" s="79"/>
      <c r="AH388" s="79"/>
      <c r="AI388" s="79"/>
      <c r="AJ388" s="79"/>
      <c r="AK388" s="79"/>
      <c r="AL388" s="79"/>
      <c r="AM388" s="79"/>
      <c r="AN388" s="79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5"/>
      <c r="BG388" s="65"/>
      <c r="BH388" s="65"/>
      <c r="BI388" s="65"/>
      <c r="BJ388" s="65"/>
      <c r="BK388" s="65"/>
      <c r="BL388" s="65"/>
      <c r="BM388" s="65"/>
      <c r="BN388" s="65"/>
      <c r="BO388" s="65"/>
      <c r="BP388" s="65"/>
      <c r="BQ388" s="65"/>
      <c r="BR388" s="65"/>
      <c r="BS388" s="65"/>
      <c r="BT388" s="88"/>
      <c r="BU388" s="65"/>
      <c r="BV388" s="65"/>
      <c r="BW388" s="90"/>
      <c r="BX388" s="90">
        <v>350291.21</v>
      </c>
      <c r="BY388" s="90">
        <f t="array" ref="BY388">XLOOKUP(C388,'PL TOTAL D0'!$A$3:$A$1991,'PL TOTAL D0'!$C$3:$C$1991,"")</f>
        <v>849067.48</v>
      </c>
    </row>
    <row r="389" ht="15.75" customHeight="1">
      <c r="A389" s="50" t="s">
        <v>24</v>
      </c>
      <c r="B389" s="43" t="s">
        <v>5377</v>
      </c>
      <c r="C389" s="94" t="s">
        <v>3491</v>
      </c>
      <c r="D389" s="30" t="s">
        <v>120</v>
      </c>
      <c r="E389" s="22" t="s">
        <v>199</v>
      </c>
      <c r="F389" s="30" t="s">
        <v>290</v>
      </c>
      <c r="G389" s="47" t="str">
        <f t="shared" si="13"/>
        <v>Gabriel</v>
      </c>
      <c r="H389" s="49" t="s">
        <v>295</v>
      </c>
      <c r="I389" s="49" t="s">
        <v>296</v>
      </c>
      <c r="J389" s="47" t="str">
        <f t="shared" si="18"/>
        <v>Não</v>
      </c>
      <c r="K389" s="54">
        <v>46052.0</v>
      </c>
      <c r="L389" s="55"/>
      <c r="M389" s="32" t="s">
        <v>61</v>
      </c>
      <c r="N389" s="56">
        <v>0.012</v>
      </c>
      <c r="O389" s="23" t="s">
        <v>66</v>
      </c>
      <c r="P389" s="57">
        <v>0.0</v>
      </c>
      <c r="Q389" s="58"/>
      <c r="R389" s="58" t="s">
        <v>5381</v>
      </c>
      <c r="S389" s="32" t="s">
        <v>194</v>
      </c>
      <c r="T389" s="32" t="s">
        <v>5382</v>
      </c>
      <c r="U389" s="33" t="s">
        <v>5383</v>
      </c>
      <c r="V389" s="33" t="s">
        <v>5384</v>
      </c>
      <c r="W389" s="48">
        <v>27544.0</v>
      </c>
      <c r="X389" s="23" t="s">
        <v>199</v>
      </c>
      <c r="Y389" s="49" t="str">
        <f t="shared" si="19"/>
        <v>Ativo</v>
      </c>
      <c r="Z389" s="32"/>
      <c r="AA389" s="32" t="s">
        <v>47</v>
      </c>
      <c r="AB389" s="64" t="s">
        <v>269</v>
      </c>
      <c r="AC389" s="79"/>
      <c r="AD389" s="54">
        <v>45457.0</v>
      </c>
      <c r="AE389" s="77">
        <v>4.9075100015147E13</v>
      </c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65"/>
      <c r="AW389" s="65"/>
      <c r="AX389" s="65"/>
      <c r="AY389" s="65"/>
      <c r="AZ389" s="65">
        <v>288518.7</v>
      </c>
      <c r="BA389" s="65">
        <v>299004.3</v>
      </c>
      <c r="BB389" s="65">
        <v>305884.89</v>
      </c>
      <c r="BC389" s="65">
        <v>311679.0</v>
      </c>
      <c r="BD389" s="65">
        <v>321271.45</v>
      </c>
      <c r="BE389" s="65">
        <v>324486.4</v>
      </c>
      <c r="BF389" s="65">
        <v>315347.52</v>
      </c>
      <c r="BG389" s="65">
        <v>0.0</v>
      </c>
      <c r="BH389" s="65">
        <v>0.0</v>
      </c>
      <c r="BI389" s="65">
        <v>0.0</v>
      </c>
      <c r="BJ389" s="65">
        <v>0.0</v>
      </c>
      <c r="BK389" s="65">
        <v>0.0</v>
      </c>
      <c r="BL389" s="65">
        <v>0.0</v>
      </c>
      <c r="BM389" s="65">
        <v>0.0</v>
      </c>
      <c r="BN389" s="65">
        <v>0.0</v>
      </c>
      <c r="BO389" s="65">
        <v>0.0</v>
      </c>
      <c r="BP389" s="65">
        <v>0.0</v>
      </c>
      <c r="BQ389" s="65">
        <v>0.0</v>
      </c>
      <c r="BR389" s="65">
        <v>0.0</v>
      </c>
      <c r="BS389" s="65">
        <v>449540.12</v>
      </c>
      <c r="BT389" s="88">
        <v>457486.2</v>
      </c>
      <c r="BU389" s="65">
        <v>463747.6</v>
      </c>
      <c r="BV389" s="65">
        <v>503173.3</v>
      </c>
      <c r="BW389" s="90">
        <v>531085.0</v>
      </c>
      <c r="BX389" s="90">
        <v>32424.35</v>
      </c>
      <c r="BY389" s="90">
        <f t="array" ref="BY389">XLOOKUP(C389,'PL TOTAL D0'!$A$3:$A$1991,'PL TOTAL D0'!$C$3:$C$1991,"")</f>
        <v>32715.33</v>
      </c>
    </row>
    <row r="390" ht="15.75" customHeight="1">
      <c r="A390" s="50" t="s">
        <v>24</v>
      </c>
      <c r="B390" s="43" t="s">
        <v>5388</v>
      </c>
      <c r="C390" s="53" t="s">
        <v>2900</v>
      </c>
      <c r="D390" s="30" t="s">
        <v>120</v>
      </c>
      <c r="E390" s="22" t="s">
        <v>199</v>
      </c>
      <c r="F390" s="30" t="s">
        <v>290</v>
      </c>
      <c r="G390" s="47" t="str">
        <f t="shared" si="13"/>
        <v>David</v>
      </c>
      <c r="H390" s="49" t="s">
        <v>183</v>
      </c>
      <c r="I390" s="49" t="s">
        <v>66</v>
      </c>
      <c r="J390" s="47" t="str">
        <f t="shared" si="18"/>
        <v>Não</v>
      </c>
      <c r="K390" s="54">
        <v>46153.0</v>
      </c>
      <c r="L390" s="55"/>
      <c r="M390" s="32" t="s">
        <v>61</v>
      </c>
      <c r="N390" s="56">
        <v>0.012</v>
      </c>
      <c r="O390" s="23" t="s">
        <v>66</v>
      </c>
      <c r="P390" s="57">
        <v>0.0</v>
      </c>
      <c r="Q390" s="58"/>
      <c r="R390" s="58"/>
      <c r="S390" s="32" t="s">
        <v>194</v>
      </c>
      <c r="T390" s="32" t="s">
        <v>5382</v>
      </c>
      <c r="U390" s="33" t="s">
        <v>5383</v>
      </c>
      <c r="V390" s="33" t="s">
        <v>5384</v>
      </c>
      <c r="W390" s="48">
        <v>27544.0</v>
      </c>
      <c r="X390" s="23" t="s">
        <v>199</v>
      </c>
      <c r="Y390" s="49" t="str">
        <f t="shared" si="19"/>
        <v>Ativo</v>
      </c>
      <c r="Z390" s="32"/>
      <c r="AA390" s="32" t="s">
        <v>47</v>
      </c>
      <c r="AB390" s="64"/>
      <c r="AC390" s="79"/>
      <c r="AD390" s="54">
        <v>46203.0</v>
      </c>
      <c r="AE390" s="77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65"/>
      <c r="BH390" s="65"/>
      <c r="BI390" s="65"/>
      <c r="BJ390" s="65"/>
      <c r="BK390" s="65"/>
      <c r="BL390" s="65"/>
      <c r="BM390" s="65"/>
      <c r="BN390" s="65"/>
      <c r="BO390" s="65"/>
      <c r="BP390" s="65"/>
      <c r="BQ390" s="65"/>
      <c r="BR390" s="65"/>
      <c r="BS390" s="65"/>
      <c r="BT390" s="88"/>
      <c r="BU390" s="65"/>
      <c r="BV390" s="65"/>
      <c r="BW390" s="90">
        <v>0.0</v>
      </c>
      <c r="BX390" s="90">
        <v>480684.95</v>
      </c>
      <c r="BY390" s="90">
        <f t="array" ref="BY390">XLOOKUP(C390,'PL TOTAL D0'!$A$3:$A$1991,'PL TOTAL D0'!$C$3:$C$1991,"")</f>
        <v>493695.9</v>
      </c>
    </row>
    <row r="391" ht="15.75" customHeight="1">
      <c r="A391" s="50" t="s">
        <v>24</v>
      </c>
      <c r="B391" s="200" t="s">
        <v>5394</v>
      </c>
      <c r="C391" s="94" t="s">
        <v>5395</v>
      </c>
      <c r="D391" s="30" t="s">
        <v>120</v>
      </c>
      <c r="E391" s="22" t="s">
        <v>199</v>
      </c>
      <c r="F391" s="30" t="s">
        <v>431</v>
      </c>
      <c r="G391" s="47" t="str">
        <f t="shared" si="13"/>
        <v>Gabriel</v>
      </c>
      <c r="H391" s="49" t="s">
        <v>183</v>
      </c>
      <c r="I391" s="49" t="s">
        <v>66</v>
      </c>
      <c r="J391" s="47" t="str">
        <f t="shared" si="18"/>
        <v>Sim</v>
      </c>
      <c r="K391" s="54">
        <v>45545.0</v>
      </c>
      <c r="L391" s="62"/>
      <c r="M391" s="32" t="s">
        <v>213</v>
      </c>
      <c r="N391" s="56">
        <v>0.007</v>
      </c>
      <c r="O391" s="23" t="s">
        <v>66</v>
      </c>
      <c r="P391" s="57">
        <v>0.0</v>
      </c>
      <c r="Q391" s="58" t="s">
        <v>5396</v>
      </c>
      <c r="R391" s="70"/>
      <c r="S391" s="32" t="s">
        <v>234</v>
      </c>
      <c r="T391" s="32" t="s">
        <v>5397</v>
      </c>
      <c r="U391" s="33">
        <v>5.561996226124E12</v>
      </c>
      <c r="V391" s="33" t="s">
        <v>5398</v>
      </c>
      <c r="W391" s="34">
        <v>44028.0</v>
      </c>
      <c r="X391" s="23" t="s">
        <v>54</v>
      </c>
      <c r="Y391" s="49" t="str">
        <f t="shared" si="19"/>
        <v>Ativo</v>
      </c>
      <c r="Z391" s="62"/>
      <c r="AA391" s="32" t="s">
        <v>47</v>
      </c>
      <c r="AB391" s="64"/>
      <c r="AC391" s="79"/>
      <c r="AD391" s="54">
        <v>45545.0</v>
      </c>
      <c r="AE391" s="77">
        <v>4.9075100015759E13</v>
      </c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65"/>
      <c r="AW391" s="65"/>
      <c r="AX391" s="65"/>
      <c r="AY391" s="65"/>
      <c r="AZ391" s="65"/>
      <c r="BA391" s="65"/>
      <c r="BB391" s="65"/>
      <c r="BC391" s="65">
        <v>432297.89</v>
      </c>
      <c r="BD391" s="65">
        <v>496497.98</v>
      </c>
      <c r="BE391" s="65">
        <v>377320.39</v>
      </c>
      <c r="BF391" s="65">
        <v>581005.31</v>
      </c>
      <c r="BG391" s="65">
        <v>781155.44</v>
      </c>
      <c r="BH391" s="65">
        <v>706580.08</v>
      </c>
      <c r="BI391" s="65">
        <v>426906.3</v>
      </c>
      <c r="BJ391" s="65">
        <v>349953.14</v>
      </c>
      <c r="BK391" s="65">
        <v>151459.6</v>
      </c>
      <c r="BL391" s="65">
        <v>101174.49</v>
      </c>
      <c r="BM391" s="65">
        <v>0.0</v>
      </c>
      <c r="BN391" s="65">
        <v>0.2</v>
      </c>
      <c r="BO391" s="65">
        <v>0.2</v>
      </c>
      <c r="BP391" s="65">
        <v>0.2</v>
      </c>
      <c r="BQ391" s="65">
        <v>0.2</v>
      </c>
      <c r="BR391" s="65">
        <v>560648.4</v>
      </c>
      <c r="BS391" s="65">
        <v>380063.88</v>
      </c>
      <c r="BT391" s="88">
        <v>242552.9</v>
      </c>
      <c r="BU391" s="65">
        <v>244766.1</v>
      </c>
      <c r="BV391" s="65">
        <v>12202.59</v>
      </c>
      <c r="BW391" s="90">
        <v>12354.33</v>
      </c>
      <c r="BX391" s="90">
        <v>12461.97</v>
      </c>
      <c r="BY391" s="90" t="str">
        <f t="array" ref="BY391">XLOOKUP(C391,'PL TOTAL D0'!$A$3:$A$1991,'PL TOTAL D0'!$C$3:$C$1991,"")</f>
        <v/>
      </c>
    </row>
    <row r="392" ht="15.75" customHeight="1">
      <c r="A392" s="50" t="s">
        <v>24</v>
      </c>
      <c r="B392" s="188" t="s">
        <v>5394</v>
      </c>
      <c r="C392" s="94" t="s">
        <v>5403</v>
      </c>
      <c r="D392" s="30" t="s">
        <v>120</v>
      </c>
      <c r="E392" s="22" t="s">
        <v>199</v>
      </c>
      <c r="F392" s="30" t="s">
        <v>431</v>
      </c>
      <c r="G392" s="47" t="str">
        <f t="shared" si="13"/>
        <v>David</v>
      </c>
      <c r="H392" s="49" t="s">
        <v>295</v>
      </c>
      <c r="I392" s="49" t="s">
        <v>382</v>
      </c>
      <c r="J392" s="47" t="str">
        <f t="shared" si="18"/>
        <v>Não</v>
      </c>
      <c r="K392" s="54">
        <v>45441.0</v>
      </c>
      <c r="L392" s="62"/>
      <c r="M392" s="32" t="s">
        <v>61</v>
      </c>
      <c r="N392" s="56">
        <v>0.012</v>
      </c>
      <c r="O392" s="23" t="s">
        <v>66</v>
      </c>
      <c r="P392" s="57">
        <v>0.0</v>
      </c>
      <c r="Q392" s="58"/>
      <c r="R392" s="70"/>
      <c r="S392" s="32" t="s">
        <v>194</v>
      </c>
      <c r="T392" s="32" t="s">
        <v>5404</v>
      </c>
      <c r="U392" s="33">
        <v>5.561996226124E12</v>
      </c>
      <c r="V392" s="33" t="s">
        <v>5398</v>
      </c>
      <c r="W392" s="34">
        <v>33310.0</v>
      </c>
      <c r="X392" s="23" t="s">
        <v>199</v>
      </c>
      <c r="Y392" s="49" t="str">
        <f t="shared" si="19"/>
        <v>Inativo</v>
      </c>
      <c r="Z392" s="62"/>
      <c r="AA392" s="32" t="s">
        <v>47</v>
      </c>
      <c r="AB392" s="64" t="s">
        <v>269</v>
      </c>
      <c r="AC392" s="79"/>
      <c r="AD392" s="54">
        <v>45441.0</v>
      </c>
      <c r="AE392" s="77">
        <v>4.9075100014515E13</v>
      </c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65"/>
      <c r="AW392" s="65"/>
      <c r="AX392" s="65"/>
      <c r="AY392" s="65">
        <v>0.0</v>
      </c>
      <c r="AZ392" s="65">
        <v>0.0</v>
      </c>
      <c r="BA392" s="65">
        <v>0.0</v>
      </c>
      <c r="BB392" s="65">
        <v>0.0</v>
      </c>
      <c r="BC392" s="65">
        <v>0.0</v>
      </c>
      <c r="BD392" s="65">
        <v>0.0</v>
      </c>
      <c r="BE392" s="65">
        <v>0.0</v>
      </c>
      <c r="BF392" s="65">
        <v>0.0</v>
      </c>
      <c r="BG392" s="65">
        <v>0.0</v>
      </c>
      <c r="BH392" s="65">
        <v>0.0</v>
      </c>
      <c r="BI392" s="65">
        <v>0.0</v>
      </c>
      <c r="BJ392" s="65">
        <v>0.0</v>
      </c>
      <c r="BK392" s="65">
        <v>0.0</v>
      </c>
      <c r="BL392" s="65">
        <v>0.0</v>
      </c>
      <c r="BM392" s="65">
        <v>0.0</v>
      </c>
      <c r="BN392" s="65">
        <v>0.0</v>
      </c>
      <c r="BO392" s="65">
        <v>0.0</v>
      </c>
      <c r="BP392" s="65">
        <v>0.0</v>
      </c>
      <c r="BQ392" s="65">
        <v>0.0</v>
      </c>
      <c r="BR392" s="65">
        <v>0.0</v>
      </c>
      <c r="BS392" s="65">
        <v>0.0</v>
      </c>
      <c r="BT392" s="88">
        <v>0.0</v>
      </c>
      <c r="BU392" s="65">
        <v>0.0</v>
      </c>
      <c r="BV392" s="65">
        <v>0.0</v>
      </c>
      <c r="BW392" s="90">
        <v>0.0</v>
      </c>
      <c r="BX392" s="90">
        <v>0.0</v>
      </c>
      <c r="BY392" s="90" t="str">
        <f t="array" ref="BY392">XLOOKUP(C392,'PL TOTAL D0'!$A$3:$A$1991,'PL TOTAL D0'!$C$3:$C$1991,"")</f>
        <v/>
      </c>
    </row>
    <row r="393" ht="15.75" customHeight="1">
      <c r="A393" s="50" t="s">
        <v>24</v>
      </c>
      <c r="B393" s="368" t="s">
        <v>5410</v>
      </c>
      <c r="C393" s="94" t="s">
        <v>3079</v>
      </c>
      <c r="D393" s="30" t="s">
        <v>365</v>
      </c>
      <c r="E393" s="95" t="s">
        <v>199</v>
      </c>
      <c r="F393" s="30" t="s">
        <v>1111</v>
      </c>
      <c r="G393" s="47" t="str">
        <f t="shared" si="13"/>
        <v>Gabriel</v>
      </c>
      <c r="H393" s="74" t="s">
        <v>183</v>
      </c>
      <c r="I393" s="49" t="s">
        <v>66</v>
      </c>
      <c r="J393" s="47" t="str">
        <f t="shared" si="18"/>
        <v>Não</v>
      </c>
      <c r="K393" s="97">
        <v>45253.0</v>
      </c>
      <c r="L393" s="62"/>
      <c r="M393" s="66" t="s">
        <v>34</v>
      </c>
      <c r="N393" s="366">
        <v>0.012</v>
      </c>
      <c r="O393" s="81" t="s">
        <v>35</v>
      </c>
      <c r="P393" s="367">
        <v>0.1</v>
      </c>
      <c r="Q393" s="58"/>
      <c r="R393" s="70"/>
      <c r="S393" s="62" t="s">
        <v>194</v>
      </c>
      <c r="T393" s="32" t="s">
        <v>5413</v>
      </c>
      <c r="U393" s="33">
        <v>6.1996938687E10</v>
      </c>
      <c r="V393" s="33" t="s">
        <v>5414</v>
      </c>
      <c r="W393" s="34">
        <v>29757.0</v>
      </c>
      <c r="X393" s="23" t="s">
        <v>199</v>
      </c>
      <c r="Y393" s="49" t="str">
        <f t="shared" si="19"/>
        <v>Ativo</v>
      </c>
      <c r="Z393" s="62"/>
      <c r="AA393" s="62"/>
      <c r="AB393" s="64" t="s">
        <v>269</v>
      </c>
      <c r="AC393" s="79"/>
      <c r="AD393" s="54">
        <v>45253.0</v>
      </c>
      <c r="AE393" s="77">
        <v>4.907510001235E13</v>
      </c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65">
        <v>187798.24</v>
      </c>
      <c r="AT393" s="65">
        <v>189858.08</v>
      </c>
      <c r="AU393" s="65">
        <v>189968.42</v>
      </c>
      <c r="AV393" s="65">
        <v>205457.16</v>
      </c>
      <c r="AW393" s="65">
        <v>207262.24</v>
      </c>
      <c r="AX393" s="65">
        <v>212115.66</v>
      </c>
      <c r="AY393" s="65">
        <v>213222.3</v>
      </c>
      <c r="AZ393" s="65">
        <v>214719.1</v>
      </c>
      <c r="BA393" s="65">
        <v>216691.7</v>
      </c>
      <c r="BB393" s="65">
        <v>218399.53</v>
      </c>
      <c r="BC393" s="65">
        <v>219574.08</v>
      </c>
      <c r="BD393" s="65">
        <v>225755.75</v>
      </c>
      <c r="BE393" s="65">
        <v>226886.39</v>
      </c>
      <c r="BF393" s="65">
        <v>227807.37</v>
      </c>
      <c r="BG393" s="65">
        <v>229995.03</v>
      </c>
      <c r="BH393" s="65">
        <v>232046.61</v>
      </c>
      <c r="BI393" s="65">
        <v>234120.66</v>
      </c>
      <c r="BJ393" s="65">
        <v>236409.25</v>
      </c>
      <c r="BK393" s="65">
        <v>238957.74</v>
      </c>
      <c r="BL393" s="65">
        <v>240919.15</v>
      </c>
      <c r="BM393" s="65">
        <v>243653.33</v>
      </c>
      <c r="BN393" s="65">
        <v>246259.6</v>
      </c>
      <c r="BO393" s="65">
        <v>248859.87</v>
      </c>
      <c r="BP393" s="65">
        <v>251487.5</v>
      </c>
      <c r="BQ393" s="65">
        <v>253894.5</v>
      </c>
      <c r="BR393" s="65">
        <v>256612.2</v>
      </c>
      <c r="BS393" s="65">
        <v>259470.77</v>
      </c>
      <c r="BT393" s="88">
        <v>261761.6</v>
      </c>
      <c r="BU393" s="65">
        <v>264955.8</v>
      </c>
      <c r="BV393" s="65">
        <v>267379.7</v>
      </c>
      <c r="BW393" s="90">
        <v>269101.6</v>
      </c>
      <c r="BX393" s="90">
        <v>280198.9</v>
      </c>
      <c r="BY393" s="90">
        <f t="array" ref="BY393">XLOOKUP(C393,'PL TOTAL D0'!$A$3:$A$1991,'PL TOTAL D0'!$C$3:$C$1991,"")</f>
        <v>275129.86</v>
      </c>
    </row>
    <row r="394" ht="15.75" customHeight="1">
      <c r="A394" s="50" t="s">
        <v>24</v>
      </c>
      <c r="B394" s="50" t="s">
        <v>5416</v>
      </c>
      <c r="C394" s="94" t="s">
        <v>5417</v>
      </c>
      <c r="D394" s="30" t="s">
        <v>89</v>
      </c>
      <c r="E394" s="95" t="s">
        <v>91</v>
      </c>
      <c r="F394" s="81" t="s">
        <v>193</v>
      </c>
      <c r="G394" s="47" t="str">
        <f t="shared" si="13"/>
        <v>David</v>
      </c>
      <c r="H394" s="49" t="s">
        <v>224</v>
      </c>
      <c r="I394" s="49" t="s">
        <v>66</v>
      </c>
      <c r="J394" s="47" t="str">
        <f t="shared" si="18"/>
        <v>Não</v>
      </c>
      <c r="K394" s="97">
        <v>45156.0</v>
      </c>
      <c r="L394" s="55">
        <v>45449.0</v>
      </c>
      <c r="M394" s="62" t="s">
        <v>61</v>
      </c>
      <c r="N394" s="98">
        <v>0.012</v>
      </c>
      <c r="O394" s="47" t="s">
        <v>66</v>
      </c>
      <c r="P394" s="99">
        <v>0.0</v>
      </c>
      <c r="Q394" s="58"/>
      <c r="R394" s="58" t="s">
        <v>1767</v>
      </c>
      <c r="S394" s="62" t="s">
        <v>194</v>
      </c>
      <c r="T394" s="32" t="s">
        <v>5424</v>
      </c>
      <c r="U394" s="33" t="s">
        <v>268</v>
      </c>
      <c r="V394" s="33"/>
      <c r="W394" s="33" t="s">
        <v>268</v>
      </c>
      <c r="X394" s="23" t="s">
        <v>221</v>
      </c>
      <c r="Y394" s="49" t="str">
        <f t="shared" si="19"/>
        <v>Encerrado</v>
      </c>
      <c r="Z394" s="62"/>
      <c r="AA394" s="62"/>
      <c r="AB394" s="64" t="s">
        <v>269</v>
      </c>
      <c r="AC394" s="79"/>
      <c r="AD394" s="54">
        <v>45156.0</v>
      </c>
      <c r="AE394" s="77">
        <v>4.9075100003823E13</v>
      </c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65">
        <v>5022.66</v>
      </c>
      <c r="AQ394" s="65">
        <v>5072.91</v>
      </c>
      <c r="AR394" s="65">
        <v>325.32</v>
      </c>
      <c r="AS394" s="65">
        <v>0.0</v>
      </c>
      <c r="AT394" s="65">
        <v>0.0</v>
      </c>
      <c r="AU394" s="65">
        <v>0.0</v>
      </c>
      <c r="AV394" s="65">
        <v>0.3</v>
      </c>
      <c r="AW394" s="65">
        <v>1504.25</v>
      </c>
      <c r="AX394" s="65">
        <v>0.0</v>
      </c>
      <c r="AY394" s="65">
        <v>0.0</v>
      </c>
      <c r="AZ394" s="65">
        <v>0.0</v>
      </c>
      <c r="BA394" s="65">
        <v>0.0</v>
      </c>
      <c r="BB394" s="65">
        <v>0.0</v>
      </c>
      <c r="BC394" s="65">
        <v>0.0</v>
      </c>
      <c r="BD394" s="65">
        <v>0.0</v>
      </c>
      <c r="BE394" s="65">
        <v>0.0</v>
      </c>
      <c r="BF394" s="65">
        <v>0.0</v>
      </c>
      <c r="BG394" s="65">
        <v>0.0</v>
      </c>
      <c r="BH394" s="65">
        <v>0.0</v>
      </c>
      <c r="BI394" s="65">
        <v>0.0</v>
      </c>
      <c r="BJ394" s="65">
        <v>0.0</v>
      </c>
      <c r="BK394" s="65">
        <v>0.0</v>
      </c>
      <c r="BL394" s="65">
        <v>0.0</v>
      </c>
      <c r="BM394" s="65">
        <v>0.0</v>
      </c>
      <c r="BN394" s="65">
        <v>0.0</v>
      </c>
      <c r="BO394" s="65">
        <v>0.0</v>
      </c>
      <c r="BP394" s="65">
        <v>0.0</v>
      </c>
      <c r="BQ394" s="65">
        <v>0.0</v>
      </c>
      <c r="BR394" s="65">
        <v>0.0</v>
      </c>
      <c r="BS394" s="65">
        <v>0.0</v>
      </c>
      <c r="BT394" s="88">
        <v>0.0</v>
      </c>
      <c r="BU394" s="65">
        <v>0.0</v>
      </c>
      <c r="BV394" s="65">
        <v>0.0</v>
      </c>
      <c r="BW394" s="90">
        <v>0.0</v>
      </c>
      <c r="BX394" s="90">
        <v>0.0</v>
      </c>
      <c r="BY394" s="90" t="str">
        <f t="array" ref="BY394">XLOOKUP(C394,'PL TOTAL D0'!$A$3:$A$1991,'PL TOTAL D0'!$C$3:$C$1991,"")</f>
        <v/>
      </c>
    </row>
    <row r="395" ht="15.75" customHeight="1">
      <c r="A395" s="50" t="s">
        <v>24</v>
      </c>
      <c r="B395" s="50" t="s">
        <v>5426</v>
      </c>
      <c r="C395" s="94" t="s">
        <v>5427</v>
      </c>
      <c r="D395" s="30" t="s">
        <v>89</v>
      </c>
      <c r="E395" s="95" t="s">
        <v>91</v>
      </c>
      <c r="F395" s="81" t="s">
        <v>193</v>
      </c>
      <c r="G395" s="47" t="str">
        <f t="shared" si="13"/>
        <v>David</v>
      </c>
      <c r="H395" s="49" t="s">
        <v>295</v>
      </c>
      <c r="I395" s="74" t="s">
        <v>382</v>
      </c>
      <c r="J395" s="47" t="str">
        <f t="shared" si="18"/>
        <v>Não</v>
      </c>
      <c r="K395" s="97">
        <v>45166.0</v>
      </c>
      <c r="L395" s="62"/>
      <c r="M395" s="62" t="s">
        <v>61</v>
      </c>
      <c r="N395" s="98">
        <v>0.012</v>
      </c>
      <c r="O395" s="47" t="s">
        <v>66</v>
      </c>
      <c r="P395" s="99">
        <v>0.0</v>
      </c>
      <c r="Q395" s="58"/>
      <c r="R395" s="70"/>
      <c r="S395" s="62" t="s">
        <v>194</v>
      </c>
      <c r="T395" s="32" t="s">
        <v>5431</v>
      </c>
      <c r="U395" s="33">
        <v>5.543999087458E12</v>
      </c>
      <c r="V395" s="33" t="s">
        <v>5433</v>
      </c>
      <c r="W395" s="34">
        <v>32918.0</v>
      </c>
      <c r="X395" s="23" t="s">
        <v>221</v>
      </c>
      <c r="Y395" s="49" t="str">
        <f t="shared" si="19"/>
        <v>Inativo</v>
      </c>
      <c r="Z395" s="62"/>
      <c r="AA395" s="62"/>
      <c r="AB395" s="64" t="s">
        <v>269</v>
      </c>
      <c r="AC395" s="79"/>
      <c r="AD395" s="54">
        <v>45166.0</v>
      </c>
      <c r="AE395" s="77">
        <v>4.9075100011389E13</v>
      </c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65">
        <v>0.0</v>
      </c>
      <c r="AQ395" s="65">
        <v>0.0</v>
      </c>
      <c r="AR395" s="65">
        <v>0.0</v>
      </c>
      <c r="AS395" s="65">
        <v>0.0</v>
      </c>
      <c r="AT395" s="65">
        <v>0.0</v>
      </c>
      <c r="AU395" s="65">
        <v>0.0</v>
      </c>
      <c r="AV395" s="65">
        <v>0.0</v>
      </c>
      <c r="AW395" s="65">
        <v>0.0</v>
      </c>
      <c r="AX395" s="65">
        <v>0.0</v>
      </c>
      <c r="AY395" s="65">
        <v>0.0</v>
      </c>
      <c r="AZ395" s="65">
        <v>0.0</v>
      </c>
      <c r="BA395" s="65">
        <v>0.0</v>
      </c>
      <c r="BB395" s="65">
        <v>0.0</v>
      </c>
      <c r="BC395" s="65">
        <v>0.0</v>
      </c>
      <c r="BD395" s="65">
        <v>0.0</v>
      </c>
      <c r="BE395" s="65">
        <v>0.0</v>
      </c>
      <c r="BF395" s="65">
        <v>0.0</v>
      </c>
      <c r="BG395" s="65">
        <v>0.0</v>
      </c>
      <c r="BH395" s="65">
        <v>0.0</v>
      </c>
      <c r="BI395" s="65">
        <v>0.0</v>
      </c>
      <c r="BJ395" s="65">
        <v>0.0</v>
      </c>
      <c r="BK395" s="65">
        <v>0.0</v>
      </c>
      <c r="BL395" s="65">
        <v>0.0</v>
      </c>
      <c r="BM395" s="65">
        <v>0.0</v>
      </c>
      <c r="BN395" s="65">
        <v>0.0</v>
      </c>
      <c r="BO395" s="65">
        <v>0.0</v>
      </c>
      <c r="BP395" s="65">
        <v>0.0</v>
      </c>
      <c r="BQ395" s="65">
        <v>0.0</v>
      </c>
      <c r="BR395" s="65">
        <v>0.0</v>
      </c>
      <c r="BS395" s="65">
        <v>0.0</v>
      </c>
      <c r="BT395" s="88">
        <v>0.0</v>
      </c>
      <c r="BU395" s="65">
        <v>0.0</v>
      </c>
      <c r="BV395" s="65">
        <v>0.0</v>
      </c>
      <c r="BW395" s="90">
        <v>0.0</v>
      </c>
      <c r="BX395" s="90">
        <v>0.0</v>
      </c>
      <c r="BY395" s="90" t="str">
        <f t="array" ref="BY395">XLOOKUP(C395,'PL TOTAL D0'!$A$3:$A$1991,'PL TOTAL D0'!$C$3:$C$1991,"")</f>
        <v/>
      </c>
    </row>
    <row r="396" ht="15.75" customHeight="1">
      <c r="A396" s="50" t="s">
        <v>24</v>
      </c>
      <c r="B396" s="50" t="s">
        <v>5435</v>
      </c>
      <c r="C396" s="94" t="s">
        <v>3432</v>
      </c>
      <c r="D396" s="81" t="s">
        <v>120</v>
      </c>
      <c r="E396" s="95" t="s">
        <v>199</v>
      </c>
      <c r="F396" s="81" t="s">
        <v>212</v>
      </c>
      <c r="G396" s="47" t="str">
        <f t="shared" si="13"/>
        <v>David</v>
      </c>
      <c r="H396" s="49" t="s">
        <v>183</v>
      </c>
      <c r="I396" s="49" t="s">
        <v>66</v>
      </c>
      <c r="J396" s="47" t="str">
        <f t="shared" si="18"/>
        <v>Sim</v>
      </c>
      <c r="K396" s="97">
        <v>45000.0</v>
      </c>
      <c r="L396" s="62"/>
      <c r="M396" s="62" t="s">
        <v>61</v>
      </c>
      <c r="N396" s="98">
        <v>0.007</v>
      </c>
      <c r="O396" s="47" t="s">
        <v>66</v>
      </c>
      <c r="P396" s="99">
        <v>0.0</v>
      </c>
      <c r="Q396" s="58" t="s">
        <v>5436</v>
      </c>
      <c r="R396" s="70" t="s">
        <v>5437</v>
      </c>
      <c r="S396" s="62" t="s">
        <v>194</v>
      </c>
      <c r="T396" s="32" t="s">
        <v>752</v>
      </c>
      <c r="U396" s="33">
        <v>5.561998666361E12</v>
      </c>
      <c r="V396" s="33" t="s">
        <v>5438</v>
      </c>
      <c r="W396" s="34">
        <v>30820.0</v>
      </c>
      <c r="X396" s="23" t="s">
        <v>199</v>
      </c>
      <c r="Y396" s="49" t="str">
        <f t="shared" si="19"/>
        <v>Ativo</v>
      </c>
      <c r="Z396" s="62"/>
      <c r="AA396" s="32" t="s">
        <v>47</v>
      </c>
      <c r="AB396" s="64" t="s">
        <v>269</v>
      </c>
      <c r="AC396" s="79"/>
      <c r="AD396" s="54">
        <v>45000.0</v>
      </c>
      <c r="AE396" s="77">
        <v>4.9075100009341E13</v>
      </c>
      <c r="AF396" s="79"/>
      <c r="AG396" s="79"/>
      <c r="AH396" s="79"/>
      <c r="AI396" s="79"/>
      <c r="AJ396" s="65">
        <v>0.0</v>
      </c>
      <c r="AK396" s="65">
        <v>730631.33</v>
      </c>
      <c r="AL396" s="65">
        <v>718977.18</v>
      </c>
      <c r="AM396" s="65">
        <v>582319.12</v>
      </c>
      <c r="AN396" s="65">
        <v>557848.13</v>
      </c>
      <c r="AO396" s="65">
        <v>562832.0</v>
      </c>
      <c r="AP396" s="65">
        <v>567372.97</v>
      </c>
      <c r="AQ396" s="65">
        <v>571465.32</v>
      </c>
      <c r="AR396" s="65">
        <v>570352.28</v>
      </c>
      <c r="AS396" s="65">
        <v>575328.93</v>
      </c>
      <c r="AT396" s="65">
        <v>554246.48</v>
      </c>
      <c r="AU396" s="65">
        <v>559873.19</v>
      </c>
      <c r="AV396" s="65">
        <v>564789.92</v>
      </c>
      <c r="AW396" s="65">
        <v>569717.36</v>
      </c>
      <c r="AX396" s="65">
        <v>572877.2</v>
      </c>
      <c r="AY396" s="65">
        <v>275261.4</v>
      </c>
      <c r="AZ396" s="65">
        <v>277036.5</v>
      </c>
      <c r="BA396" s="65">
        <v>177379.1</v>
      </c>
      <c r="BB396" s="65">
        <v>179079.72</v>
      </c>
      <c r="BC396" s="65">
        <v>123251.29</v>
      </c>
      <c r="BD396" s="65">
        <v>124442.33</v>
      </c>
      <c r="BE396" s="65">
        <v>125847.62</v>
      </c>
      <c r="BF396" s="65">
        <v>361190.31</v>
      </c>
      <c r="BG396" s="65">
        <v>314847.91</v>
      </c>
      <c r="BH396" s="65">
        <v>276530.36</v>
      </c>
      <c r="BI396" s="65">
        <v>216799.66</v>
      </c>
      <c r="BJ396" s="65">
        <v>188611.61</v>
      </c>
      <c r="BK396" s="65">
        <v>189950.68</v>
      </c>
      <c r="BL396" s="65">
        <v>191878.2</v>
      </c>
      <c r="BM396" s="65">
        <v>194238.36</v>
      </c>
      <c r="BN396" s="65">
        <v>196402.4</v>
      </c>
      <c r="BO396" s="65">
        <v>162776.57</v>
      </c>
      <c r="BP396" s="65">
        <v>51150.61</v>
      </c>
      <c r="BQ396" s="65">
        <v>51654.09</v>
      </c>
      <c r="BR396" s="65">
        <v>52206.87</v>
      </c>
      <c r="BS396" s="65">
        <v>52758.83</v>
      </c>
      <c r="BT396" s="88">
        <v>53255.54</v>
      </c>
      <c r="BU396" s="65">
        <v>53918.2</v>
      </c>
      <c r="BV396" s="65">
        <v>54550.98</v>
      </c>
      <c r="BW396" s="90">
        <v>55184.86</v>
      </c>
      <c r="BX396" s="90">
        <v>55804.26</v>
      </c>
      <c r="BY396" s="90">
        <f t="array" ref="BY396">XLOOKUP(C396,'PL TOTAL D0'!$A$3:$A$1991,'PL TOTAL D0'!$C$3:$C$1991,"")</f>
        <v>56529.2</v>
      </c>
    </row>
    <row r="397" ht="15.75" customHeight="1">
      <c r="A397" s="50" t="s">
        <v>24</v>
      </c>
      <c r="B397" s="50" t="s">
        <v>5435</v>
      </c>
      <c r="C397" s="94" t="s">
        <v>5442</v>
      </c>
      <c r="D397" s="81" t="s">
        <v>120</v>
      </c>
      <c r="E397" s="95" t="s">
        <v>199</v>
      </c>
      <c r="F397" s="81" t="s">
        <v>212</v>
      </c>
      <c r="G397" s="47" t="str">
        <f t="shared" si="13"/>
        <v>David</v>
      </c>
      <c r="H397" s="49" t="s">
        <v>224</v>
      </c>
      <c r="I397" s="49" t="s">
        <v>66</v>
      </c>
      <c r="J397" s="47" t="str">
        <f t="shared" si="18"/>
        <v>Não</v>
      </c>
      <c r="K397" s="97">
        <v>45007.0</v>
      </c>
      <c r="L397" s="55">
        <v>45964.0</v>
      </c>
      <c r="M397" s="32" t="s">
        <v>4465</v>
      </c>
      <c r="N397" s="56">
        <v>0.02</v>
      </c>
      <c r="O397" s="23" t="s">
        <v>233</v>
      </c>
      <c r="P397" s="57">
        <v>0.2</v>
      </c>
      <c r="Q397" s="58"/>
      <c r="R397" s="58" t="s">
        <v>610</v>
      </c>
      <c r="S397" s="62" t="s">
        <v>194</v>
      </c>
      <c r="T397" s="32" t="s">
        <v>752</v>
      </c>
      <c r="U397" s="33">
        <v>5.561998666361E12</v>
      </c>
      <c r="V397" s="33" t="s">
        <v>5438</v>
      </c>
      <c r="W397" s="34">
        <v>30820.0</v>
      </c>
      <c r="X397" s="23" t="s">
        <v>199</v>
      </c>
      <c r="Y397" s="49" t="str">
        <f t="shared" si="19"/>
        <v>Encerrado</v>
      </c>
      <c r="Z397" s="62"/>
      <c r="AA397" s="32" t="s">
        <v>47</v>
      </c>
      <c r="AB397" s="64" t="s">
        <v>269</v>
      </c>
      <c r="AC397" s="79"/>
      <c r="AD397" s="54">
        <v>45007.0</v>
      </c>
      <c r="AE397" s="77">
        <v>4.9075100009511E13</v>
      </c>
      <c r="AF397" s="79"/>
      <c r="AG397" s="79"/>
      <c r="AH397" s="79"/>
      <c r="AI397" s="79"/>
      <c r="AJ397" s="65">
        <v>0.0</v>
      </c>
      <c r="AK397" s="65">
        <v>28599.53</v>
      </c>
      <c r="AL397" s="65">
        <v>28871.73</v>
      </c>
      <c r="AM397" s="65">
        <v>166990.86</v>
      </c>
      <c r="AN397" s="65">
        <v>171702.31</v>
      </c>
      <c r="AO397" s="65">
        <v>174734.94</v>
      </c>
      <c r="AP397" s="65">
        <v>175131.05</v>
      </c>
      <c r="AQ397" s="65">
        <v>176450.43</v>
      </c>
      <c r="AR397" s="65">
        <v>175758.13</v>
      </c>
      <c r="AS397" s="65">
        <v>176255.91</v>
      </c>
      <c r="AT397" s="65">
        <v>204219.98</v>
      </c>
      <c r="AU397" s="65">
        <v>204989.23</v>
      </c>
      <c r="AV397" s="65">
        <v>209221.56</v>
      </c>
      <c r="AW397" s="65">
        <v>210892.59</v>
      </c>
      <c r="AX397" s="65">
        <v>279899.46</v>
      </c>
      <c r="AY397" s="65">
        <v>279046.2</v>
      </c>
      <c r="AZ397" s="65">
        <v>277368.6</v>
      </c>
      <c r="BA397" s="65">
        <v>280700.6</v>
      </c>
      <c r="BB397" s="65">
        <v>284560.42</v>
      </c>
      <c r="BC397" s="65">
        <v>280358.56</v>
      </c>
      <c r="BD397" s="65">
        <v>277733.36</v>
      </c>
      <c r="BE397" s="65">
        <v>274787.68</v>
      </c>
      <c r="BF397" s="65">
        <v>1449.62</v>
      </c>
      <c r="BG397" s="65">
        <v>0.12</v>
      </c>
      <c r="BH397" s="65">
        <v>0.15</v>
      </c>
      <c r="BI397" s="65">
        <v>0.0</v>
      </c>
      <c r="BJ397" s="65">
        <v>0.0</v>
      </c>
      <c r="BK397" s="65">
        <v>0.0</v>
      </c>
      <c r="BL397" s="65">
        <v>0.0</v>
      </c>
      <c r="BM397" s="65">
        <v>0.0</v>
      </c>
      <c r="BN397" s="65">
        <v>0.0</v>
      </c>
      <c r="BO397" s="65">
        <v>0.0</v>
      </c>
      <c r="BP397" s="65">
        <v>0.0</v>
      </c>
      <c r="BQ397" s="65">
        <v>0.0</v>
      </c>
      <c r="BR397" s="65">
        <v>0.0</v>
      </c>
      <c r="BS397" s="65">
        <v>0.0</v>
      </c>
      <c r="BT397" s="88">
        <v>0.0</v>
      </c>
      <c r="BU397" s="65">
        <v>0.0</v>
      </c>
      <c r="BV397" s="65">
        <v>0.0</v>
      </c>
      <c r="BW397" s="90">
        <v>0.0</v>
      </c>
      <c r="BX397" s="90">
        <v>0.0</v>
      </c>
      <c r="BY397" s="90" t="str">
        <f t="array" ref="BY397">XLOOKUP(C397,'PL TOTAL D0'!$A$3:$A$1991,'PL TOTAL D0'!$C$3:$C$1991,"")</f>
        <v/>
      </c>
    </row>
    <row r="398" ht="15.75" customHeight="1">
      <c r="A398" s="50" t="s">
        <v>24</v>
      </c>
      <c r="B398" s="43" t="s">
        <v>5449</v>
      </c>
      <c r="C398" s="94" t="s">
        <v>3113</v>
      </c>
      <c r="D398" s="30" t="s">
        <v>120</v>
      </c>
      <c r="E398" s="22" t="s">
        <v>54</v>
      </c>
      <c r="F398" s="30" t="s">
        <v>125</v>
      </c>
      <c r="G398" s="47" t="str">
        <f t="shared" si="13"/>
        <v>Gabriel</v>
      </c>
      <c r="H398" s="49" t="s">
        <v>183</v>
      </c>
      <c r="I398" s="49" t="s">
        <v>66</v>
      </c>
      <c r="J398" s="47" t="str">
        <f t="shared" si="18"/>
        <v>Não</v>
      </c>
      <c r="K398" s="54">
        <v>45393.0</v>
      </c>
      <c r="L398" s="62"/>
      <c r="M398" s="32" t="s">
        <v>61</v>
      </c>
      <c r="N398" s="56">
        <v>0.012</v>
      </c>
      <c r="O398" s="23" t="s">
        <v>66</v>
      </c>
      <c r="P398" s="57">
        <v>0.0</v>
      </c>
      <c r="Q398" s="58"/>
      <c r="R398" s="70"/>
      <c r="S398" s="32" t="s">
        <v>194</v>
      </c>
      <c r="T398" s="32" t="s">
        <v>5451</v>
      </c>
      <c r="U398" s="33">
        <v>5.562992434801E12</v>
      </c>
      <c r="V398" s="33" t="s">
        <v>5452</v>
      </c>
      <c r="W398" s="34">
        <v>19777.0</v>
      </c>
      <c r="X398" s="23" t="s">
        <v>54</v>
      </c>
      <c r="Y398" s="49" t="str">
        <f t="shared" si="19"/>
        <v>Ativo</v>
      </c>
      <c r="Z398" s="32"/>
      <c r="AA398" s="32" t="s">
        <v>47</v>
      </c>
      <c r="AB398" s="64" t="s">
        <v>269</v>
      </c>
      <c r="AC398" s="79"/>
      <c r="AD398" s="54">
        <v>45393.0</v>
      </c>
      <c r="AE398" s="77">
        <v>4.9075100014051E13</v>
      </c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65"/>
      <c r="AW398" s="65"/>
      <c r="AX398" s="65">
        <v>0.0</v>
      </c>
      <c r="AY398" s="65">
        <v>100501.1</v>
      </c>
      <c r="AZ398" s="65">
        <v>101336.5</v>
      </c>
      <c r="BA398" s="65">
        <v>102238.1</v>
      </c>
      <c r="BB398" s="65">
        <v>153407.09</v>
      </c>
      <c r="BC398" s="65">
        <v>154517.36</v>
      </c>
      <c r="BD398" s="65">
        <v>155764.54</v>
      </c>
      <c r="BE398" s="65">
        <v>156926.31</v>
      </c>
      <c r="BF398" s="65">
        <v>158313.17</v>
      </c>
      <c r="BG398" s="65">
        <v>190010.4</v>
      </c>
      <c r="BH398" s="65">
        <v>191642.87</v>
      </c>
      <c r="BI398" s="65">
        <v>193506.33</v>
      </c>
      <c r="BJ398" s="65">
        <v>215630.86</v>
      </c>
      <c r="BK398" s="65">
        <v>236310.35</v>
      </c>
      <c r="BL398" s="65">
        <v>258579.26</v>
      </c>
      <c r="BM398" s="65">
        <v>261470.19</v>
      </c>
      <c r="BN398" s="65">
        <v>283662.0</v>
      </c>
      <c r="BO398" s="65">
        <v>286326.44</v>
      </c>
      <c r="BP398" s="65">
        <v>309873.0</v>
      </c>
      <c r="BQ398" s="65">
        <v>312436.6</v>
      </c>
      <c r="BR398" s="65">
        <v>315399.2</v>
      </c>
      <c r="BS398" s="65">
        <v>318866.82</v>
      </c>
      <c r="BT398" s="88">
        <v>321157.0</v>
      </c>
      <c r="BU398" s="65">
        <v>345331.1</v>
      </c>
      <c r="BV398" s="65">
        <v>317788.1</v>
      </c>
      <c r="BW398" s="90">
        <v>289183.4</v>
      </c>
      <c r="BX398" s="90">
        <v>271640.31</v>
      </c>
      <c r="BY398" s="90">
        <f t="array" ref="BY398">XLOOKUP(C398,'PL TOTAL D0'!$A$3:$A$1991,'PL TOTAL D0'!$C$3:$C$1991,"")</f>
        <v>222994.75</v>
      </c>
    </row>
    <row r="399" ht="15.75" customHeight="1">
      <c r="A399" s="50" t="s">
        <v>24</v>
      </c>
      <c r="B399" s="43" t="s">
        <v>5453</v>
      </c>
      <c r="C399" s="94" t="s">
        <v>2961</v>
      </c>
      <c r="D399" s="30" t="s">
        <v>120</v>
      </c>
      <c r="E399" s="22" t="s">
        <v>199</v>
      </c>
      <c r="F399" s="30" t="s">
        <v>290</v>
      </c>
      <c r="G399" s="47" t="str">
        <f t="shared" si="13"/>
        <v>Gabriel</v>
      </c>
      <c r="H399" s="49" t="s">
        <v>183</v>
      </c>
      <c r="I399" s="49" t="s">
        <v>66</v>
      </c>
      <c r="J399" s="47" t="str">
        <f t="shared" si="18"/>
        <v>Não</v>
      </c>
      <c r="K399" s="54">
        <v>45474.0</v>
      </c>
      <c r="L399" s="62"/>
      <c r="M399" s="32" t="s">
        <v>61</v>
      </c>
      <c r="N399" s="290">
        <v>0.012</v>
      </c>
      <c r="O399" s="291" t="s">
        <v>66</v>
      </c>
      <c r="P399" s="292">
        <v>0.0</v>
      </c>
      <c r="Q399" s="58"/>
      <c r="R399" s="70"/>
      <c r="S399" s="32" t="s">
        <v>194</v>
      </c>
      <c r="T399" s="32" t="s">
        <v>5455</v>
      </c>
      <c r="U399" s="33">
        <v>5.561981295858E12</v>
      </c>
      <c r="V399" s="33" t="s">
        <v>5456</v>
      </c>
      <c r="W399" s="34">
        <v>20983.0</v>
      </c>
      <c r="X399" s="23" t="s">
        <v>199</v>
      </c>
      <c r="Y399" s="49" t="str">
        <f t="shared" si="19"/>
        <v>Ativo</v>
      </c>
      <c r="Z399" s="32"/>
      <c r="AA399" s="32" t="s">
        <v>107</v>
      </c>
      <c r="AB399" s="64" t="s">
        <v>269</v>
      </c>
      <c r="AC399" s="79"/>
      <c r="AD399" s="54">
        <v>45474.0</v>
      </c>
      <c r="AE399" s="77">
        <v>4.9075100015449E13</v>
      </c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65"/>
      <c r="AW399" s="65"/>
      <c r="AX399" s="65"/>
      <c r="AY399" s="65"/>
      <c r="AZ399" s="65"/>
      <c r="BA399" s="65">
        <v>148387.7</v>
      </c>
      <c r="BB399" s="65">
        <v>159763.29</v>
      </c>
      <c r="BC399" s="65">
        <v>160953.95</v>
      </c>
      <c r="BD399" s="65">
        <v>162387.83</v>
      </c>
      <c r="BE399" s="65">
        <v>163286.01</v>
      </c>
      <c r="BF399" s="65">
        <v>164705.64</v>
      </c>
      <c r="BG399" s="65">
        <v>178769.02</v>
      </c>
      <c r="BH399" s="65">
        <v>188276.21</v>
      </c>
      <c r="BI399" s="65">
        <v>198477.03</v>
      </c>
      <c r="BJ399" s="65">
        <v>208942.48</v>
      </c>
      <c r="BK399" s="65">
        <v>219304.86</v>
      </c>
      <c r="BL399" s="65">
        <v>221468.46</v>
      </c>
      <c r="BM399" s="65">
        <v>223511.65</v>
      </c>
      <c r="BN399" s="65">
        <v>236404.6</v>
      </c>
      <c r="BO399" s="65">
        <v>248845.98</v>
      </c>
      <c r="BP399" s="65">
        <v>265800.6</v>
      </c>
      <c r="BQ399" s="65">
        <v>274285.8</v>
      </c>
      <c r="BR399" s="65">
        <v>321427.2</v>
      </c>
      <c r="BS399" s="65">
        <v>344585.52</v>
      </c>
      <c r="BT399" s="88">
        <v>353981.9</v>
      </c>
      <c r="BU399" s="65">
        <v>364491.6</v>
      </c>
      <c r="BV399" s="65">
        <v>368674.1</v>
      </c>
      <c r="BW399" s="90">
        <v>372615.4</v>
      </c>
      <c r="BX399" s="90">
        <v>394301.21</v>
      </c>
      <c r="BY399" s="90">
        <f t="array" ref="BY399">XLOOKUP(C399,'PL TOTAL D0'!$A$3:$A$1991,'PL TOTAL D0'!$C$3:$C$1991,"")</f>
        <v>419789.64</v>
      </c>
    </row>
    <row r="400" ht="15.75" customHeight="1">
      <c r="A400" s="50" t="s">
        <v>24</v>
      </c>
      <c r="B400" s="43" t="s">
        <v>5474</v>
      </c>
      <c r="C400" s="94" t="s">
        <v>3422</v>
      </c>
      <c r="D400" s="30" t="s">
        <v>89</v>
      </c>
      <c r="E400" s="22" t="s">
        <v>91</v>
      </c>
      <c r="F400" s="30" t="s">
        <v>193</v>
      </c>
      <c r="G400" s="47" t="str">
        <f t="shared" si="13"/>
        <v>David</v>
      </c>
      <c r="H400" s="49" t="s">
        <v>183</v>
      </c>
      <c r="I400" s="49" t="s">
        <v>66</v>
      </c>
      <c r="J400" s="47" t="str">
        <f t="shared" si="18"/>
        <v>Não</v>
      </c>
      <c r="K400" s="54">
        <v>46100.0</v>
      </c>
      <c r="L400" s="62"/>
      <c r="M400" s="32" t="s">
        <v>34</v>
      </c>
      <c r="N400" s="290">
        <v>0.012</v>
      </c>
      <c r="O400" s="291" t="s">
        <v>35</v>
      </c>
      <c r="P400" s="292">
        <v>0.1</v>
      </c>
      <c r="Q400" s="58"/>
      <c r="R400" s="70"/>
      <c r="S400" s="32" t="s">
        <v>194</v>
      </c>
      <c r="T400" s="32" t="s">
        <v>5477</v>
      </c>
      <c r="U400" s="33" t="s">
        <v>5478</v>
      </c>
      <c r="V400" s="33" t="s">
        <v>5479</v>
      </c>
      <c r="W400" s="34">
        <v>35083.0</v>
      </c>
      <c r="X400" s="23" t="s">
        <v>221</v>
      </c>
      <c r="Y400" s="49" t="str">
        <f t="shared" si="19"/>
        <v>Ativo</v>
      </c>
      <c r="Z400" s="32"/>
      <c r="AA400" s="32" t="s">
        <v>47</v>
      </c>
      <c r="AB400" s="64"/>
      <c r="AC400" s="79"/>
      <c r="AD400" s="54">
        <v>46203.0</v>
      </c>
      <c r="AE400" s="77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5"/>
      <c r="BG400" s="65"/>
      <c r="BH400" s="65"/>
      <c r="BI400" s="65"/>
      <c r="BJ400" s="65"/>
      <c r="BK400" s="65"/>
      <c r="BL400" s="65"/>
      <c r="BM400" s="65"/>
      <c r="BN400" s="65"/>
      <c r="BO400" s="65"/>
      <c r="BP400" s="65"/>
      <c r="BQ400" s="65"/>
      <c r="BR400" s="65"/>
      <c r="BS400" s="65"/>
      <c r="BT400" s="88"/>
      <c r="BU400" s="65">
        <v>53881.02</v>
      </c>
      <c r="BV400" s="65">
        <v>58986.68</v>
      </c>
      <c r="BW400" s="90">
        <v>60052.1</v>
      </c>
      <c r="BX400" s="90">
        <v>57184.22</v>
      </c>
      <c r="BY400" s="90">
        <f t="array" ref="BY400">XLOOKUP(C400,'PL TOTAL D0'!$A$3:$A$1991,'PL TOTAL D0'!$C$3:$C$1991,"")</f>
        <v>57856.23</v>
      </c>
    </row>
    <row r="401" ht="15.75" customHeight="1">
      <c r="A401" s="50" t="s">
        <v>24</v>
      </c>
      <c r="B401" s="43" t="s">
        <v>5483</v>
      </c>
      <c r="C401" s="94" t="s">
        <v>5484</v>
      </c>
      <c r="D401" s="30" t="s">
        <v>120</v>
      </c>
      <c r="E401" s="22" t="s">
        <v>54</v>
      </c>
      <c r="F401" s="30" t="s">
        <v>379</v>
      </c>
      <c r="G401" s="47" t="str">
        <f t="shared" si="13"/>
        <v>David</v>
      </c>
      <c r="H401" s="49" t="s">
        <v>224</v>
      </c>
      <c r="I401" s="49" t="s">
        <v>66</v>
      </c>
      <c r="J401" s="47" t="str">
        <f t="shared" si="18"/>
        <v>Não</v>
      </c>
      <c r="K401" s="54">
        <v>45446.0</v>
      </c>
      <c r="L401" s="55">
        <v>45935.0</v>
      </c>
      <c r="M401" s="692" t="s">
        <v>61</v>
      </c>
      <c r="N401" s="297">
        <v>0.012</v>
      </c>
      <c r="O401" s="693" t="s">
        <v>66</v>
      </c>
      <c r="P401" s="300">
        <v>0.0</v>
      </c>
      <c r="Q401" s="58"/>
      <c r="R401" s="70"/>
      <c r="S401" s="32" t="s">
        <v>194</v>
      </c>
      <c r="T401" s="32" t="s">
        <v>5487</v>
      </c>
      <c r="U401" s="33">
        <v>6.1984130864E10</v>
      </c>
      <c r="V401" s="33" t="s">
        <v>5488</v>
      </c>
      <c r="W401" s="34">
        <v>16090.0</v>
      </c>
      <c r="X401" s="23" t="s">
        <v>199</v>
      </c>
      <c r="Y401" s="49" t="str">
        <f t="shared" si="19"/>
        <v>Encerrado</v>
      </c>
      <c r="Z401" s="32"/>
      <c r="AA401" s="32" t="s">
        <v>107</v>
      </c>
      <c r="AB401" s="64" t="s">
        <v>269</v>
      </c>
      <c r="AC401" s="79"/>
      <c r="AD401" s="54">
        <v>45446.0</v>
      </c>
      <c r="AE401" s="77">
        <v>4.9075100014825E13</v>
      </c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65"/>
      <c r="AW401" s="65"/>
      <c r="AX401" s="65"/>
      <c r="AY401" s="65"/>
      <c r="AZ401" s="65">
        <v>0.0</v>
      </c>
      <c r="BA401" s="65">
        <v>0.0</v>
      </c>
      <c r="BB401" s="65">
        <v>0.0</v>
      </c>
      <c r="BC401" s="65">
        <v>0.0</v>
      </c>
      <c r="BD401" s="65">
        <v>2007832.17</v>
      </c>
      <c r="BE401" s="65">
        <v>2024161.93</v>
      </c>
      <c r="BF401" s="65">
        <v>2443701.66</v>
      </c>
      <c r="BG401" s="65">
        <v>2467526.71</v>
      </c>
      <c r="BH401" s="65">
        <v>2489620.83</v>
      </c>
      <c r="BI401" s="65">
        <v>2516343.3</v>
      </c>
      <c r="BJ401" s="65">
        <v>2541439.66</v>
      </c>
      <c r="BK401" s="65">
        <v>2567143.69</v>
      </c>
      <c r="BL401" s="65">
        <v>2589594.63</v>
      </c>
      <c r="BM401" s="65">
        <v>2617247.51</v>
      </c>
      <c r="BN401" s="65">
        <v>2847053.0</v>
      </c>
      <c r="BO401" s="65">
        <v>0.0</v>
      </c>
      <c r="BP401" s="65">
        <v>0.0</v>
      </c>
      <c r="BQ401" s="65">
        <v>0.0</v>
      </c>
      <c r="BR401" s="65">
        <v>0.0</v>
      </c>
      <c r="BS401" s="65">
        <v>0.0</v>
      </c>
      <c r="BT401" s="88">
        <v>0.0</v>
      </c>
      <c r="BU401" s="65">
        <v>0.0</v>
      </c>
      <c r="BV401" s="65">
        <v>0.0</v>
      </c>
      <c r="BW401" s="90">
        <v>0.0</v>
      </c>
      <c r="BX401" s="90">
        <v>0.0</v>
      </c>
      <c r="BY401" s="90" t="str">
        <f t="array" ref="BY401">XLOOKUP(C401,'PL TOTAL D0'!$A$3:$A$1991,'PL TOTAL D0'!$C$3:$C$1991,"")</f>
        <v/>
      </c>
    </row>
    <row r="402" ht="15.75" customHeight="1">
      <c r="A402" s="50" t="s">
        <v>24</v>
      </c>
      <c r="B402" s="43" t="s">
        <v>5483</v>
      </c>
      <c r="C402" s="94" t="s">
        <v>5492</v>
      </c>
      <c r="D402" s="30" t="s">
        <v>120</v>
      </c>
      <c r="E402" s="22" t="s">
        <v>54</v>
      </c>
      <c r="F402" s="30" t="s">
        <v>379</v>
      </c>
      <c r="G402" s="47" t="str">
        <f t="shared" si="13"/>
        <v>David</v>
      </c>
      <c r="H402" s="49" t="s">
        <v>224</v>
      </c>
      <c r="I402" s="49" t="s">
        <v>66</v>
      </c>
      <c r="J402" s="47" t="str">
        <f t="shared" si="18"/>
        <v>Não</v>
      </c>
      <c r="K402" s="54">
        <v>45677.0</v>
      </c>
      <c r="L402" s="55">
        <v>45936.0</v>
      </c>
      <c r="M402" s="694" t="s">
        <v>61</v>
      </c>
      <c r="N402" s="695">
        <v>0.012</v>
      </c>
      <c r="O402" s="696" t="s">
        <v>66</v>
      </c>
      <c r="P402" s="697">
        <v>0.0</v>
      </c>
      <c r="Q402" s="58"/>
      <c r="R402" s="70"/>
      <c r="S402" s="32" t="s">
        <v>194</v>
      </c>
      <c r="T402" s="32" t="s">
        <v>5487</v>
      </c>
      <c r="U402" s="33">
        <v>6.1984130864E10</v>
      </c>
      <c r="V402" s="33" t="s">
        <v>5488</v>
      </c>
      <c r="W402" s="34">
        <v>16090.0</v>
      </c>
      <c r="X402" s="23" t="s">
        <v>199</v>
      </c>
      <c r="Y402" s="49" t="str">
        <f t="shared" si="19"/>
        <v>Encerrado</v>
      </c>
      <c r="Z402" s="32"/>
      <c r="AA402" s="32" t="s">
        <v>107</v>
      </c>
      <c r="AB402" s="64"/>
      <c r="AC402" s="79"/>
      <c r="AD402" s="54">
        <v>45678.0</v>
      </c>
      <c r="AE402" s="77">
        <v>4.9075100017662E13</v>
      </c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>
        <v>119038.35</v>
      </c>
      <c r="BH402" s="65">
        <v>120257.34</v>
      </c>
      <c r="BI402" s="65">
        <v>122216.3</v>
      </c>
      <c r="BJ402" s="65">
        <v>123478.9</v>
      </c>
      <c r="BK402" s="65">
        <v>124640.6</v>
      </c>
      <c r="BL402" s="65">
        <v>125805.44</v>
      </c>
      <c r="BM402" s="65">
        <v>127179.04</v>
      </c>
      <c r="BN402" s="65">
        <v>128410.4</v>
      </c>
      <c r="BO402" s="65">
        <v>0.0</v>
      </c>
      <c r="BP402" s="65">
        <v>0.0</v>
      </c>
      <c r="BQ402" s="65">
        <v>0.0</v>
      </c>
      <c r="BR402" s="65">
        <v>0.0</v>
      </c>
      <c r="BS402" s="65">
        <v>0.0</v>
      </c>
      <c r="BT402" s="88">
        <v>0.0</v>
      </c>
      <c r="BU402" s="65">
        <v>0.0</v>
      </c>
      <c r="BV402" s="65">
        <v>0.0</v>
      </c>
      <c r="BW402" s="90">
        <v>0.0</v>
      </c>
      <c r="BX402" s="90">
        <v>0.0</v>
      </c>
      <c r="BY402" s="90" t="str">
        <f t="array" ref="BY402">XLOOKUP(C402,'PL TOTAL D0'!$A$3:$A$1991,'PL TOTAL D0'!$C$3:$C$1991,"")</f>
        <v/>
      </c>
    </row>
    <row r="403" ht="15.75" customHeight="1">
      <c r="A403" s="50" t="s">
        <v>24</v>
      </c>
      <c r="B403" s="43" t="s">
        <v>5496</v>
      </c>
      <c r="C403" s="94" t="s">
        <v>5497</v>
      </c>
      <c r="D403" s="30" t="s">
        <v>120</v>
      </c>
      <c r="E403" s="22" t="s">
        <v>199</v>
      </c>
      <c r="F403" s="81" t="s">
        <v>290</v>
      </c>
      <c r="G403" s="47" t="str">
        <f t="shared" si="13"/>
        <v>David</v>
      </c>
      <c r="H403" s="49" t="s">
        <v>183</v>
      </c>
      <c r="I403" s="49" t="s">
        <v>66</v>
      </c>
      <c r="J403" s="47" t="str">
        <f t="shared" si="18"/>
        <v>Sim</v>
      </c>
      <c r="K403" s="54">
        <v>45467.0</v>
      </c>
      <c r="L403" s="62"/>
      <c r="M403" s="32" t="s">
        <v>213</v>
      </c>
      <c r="N403" s="56">
        <v>0.008</v>
      </c>
      <c r="O403" s="23" t="s">
        <v>66</v>
      </c>
      <c r="P403" s="57">
        <v>0.0</v>
      </c>
      <c r="Q403" s="58" t="s">
        <v>5498</v>
      </c>
      <c r="R403" s="635"/>
      <c r="S403" s="32" t="s">
        <v>234</v>
      </c>
      <c r="T403" s="32" t="s">
        <v>5499</v>
      </c>
      <c r="U403" s="33">
        <v>5.561999863484E12</v>
      </c>
      <c r="V403" s="33" t="s">
        <v>5500</v>
      </c>
      <c r="W403" s="34">
        <v>40233.0</v>
      </c>
      <c r="X403" s="23" t="s">
        <v>199</v>
      </c>
      <c r="Y403" s="49" t="str">
        <f t="shared" si="19"/>
        <v>Ativo</v>
      </c>
      <c r="Z403" s="32"/>
      <c r="AA403" s="32" t="s">
        <v>107</v>
      </c>
      <c r="AB403" s="64" t="s">
        <v>269</v>
      </c>
      <c r="AC403" s="79"/>
      <c r="AD403" s="54">
        <v>45467.0</v>
      </c>
      <c r="AE403" s="77">
        <v>4.9075100014914E13</v>
      </c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65"/>
      <c r="AW403" s="65"/>
      <c r="AX403" s="65"/>
      <c r="AY403" s="65"/>
      <c r="AZ403" s="65">
        <v>0.0</v>
      </c>
      <c r="BA403" s="65">
        <v>850511.4</v>
      </c>
      <c r="BB403" s="65">
        <v>858378.29</v>
      </c>
      <c r="BC403" s="65">
        <v>865281.54</v>
      </c>
      <c r="BD403" s="65">
        <v>872494.33</v>
      </c>
      <c r="BE403" s="65">
        <v>877457.42</v>
      </c>
      <c r="BF403" s="65">
        <v>842169.28</v>
      </c>
      <c r="BG403" s="65">
        <v>806889.91</v>
      </c>
      <c r="BH403" s="65">
        <v>773486.27</v>
      </c>
      <c r="BI403" s="65">
        <v>750902.55</v>
      </c>
      <c r="BJ403" s="65">
        <v>727253.85</v>
      </c>
      <c r="BK403" s="65">
        <v>693668.41</v>
      </c>
      <c r="BL403" s="65">
        <v>657479.04</v>
      </c>
      <c r="BM403" s="65">
        <v>623839.23</v>
      </c>
      <c r="BN403" s="65">
        <v>548757.2</v>
      </c>
      <c r="BO403" s="65">
        <v>412373.69</v>
      </c>
      <c r="BP403" s="65">
        <v>336569.1</v>
      </c>
      <c r="BQ403" s="65">
        <v>303378.1</v>
      </c>
      <c r="BR403" s="65">
        <v>254786.7</v>
      </c>
      <c r="BS403" s="65">
        <v>176891.04</v>
      </c>
      <c r="BT403" s="88">
        <v>156950.4</v>
      </c>
      <c r="BU403" s="65">
        <v>97100.57</v>
      </c>
      <c r="BV403" s="65">
        <v>51887.54</v>
      </c>
      <c r="BW403" s="90">
        <v>14055.4</v>
      </c>
      <c r="BX403" s="90">
        <v>1.48</v>
      </c>
      <c r="BY403" s="90" t="str">
        <f t="array" ref="BY403">XLOOKUP(C403,'PL TOTAL D0'!$A$3:$A$1991,'PL TOTAL D0'!$C$3:$C$1991,"")</f>
        <v/>
      </c>
    </row>
    <row r="404" ht="15.75" customHeight="1">
      <c r="A404" s="50" t="s">
        <v>24</v>
      </c>
      <c r="B404" s="43" t="s">
        <v>5504</v>
      </c>
      <c r="C404" s="94" t="s">
        <v>5506</v>
      </c>
      <c r="D404" s="81" t="s">
        <v>255</v>
      </c>
      <c r="E404" s="95" t="s">
        <v>199</v>
      </c>
      <c r="F404" s="81" t="s">
        <v>257</v>
      </c>
      <c r="G404" s="47" t="str">
        <f t="shared" si="13"/>
        <v>David</v>
      </c>
      <c r="H404" s="49" t="s">
        <v>224</v>
      </c>
      <c r="I404" s="49" t="s">
        <v>66</v>
      </c>
      <c r="J404" s="47" t="str">
        <f t="shared" si="18"/>
        <v>Não</v>
      </c>
      <c r="K404" s="97">
        <v>45133.0</v>
      </c>
      <c r="L404" s="55">
        <v>45527.0</v>
      </c>
      <c r="M404" s="62" t="s">
        <v>61</v>
      </c>
      <c r="N404" s="98">
        <v>0.012</v>
      </c>
      <c r="O404" s="47" t="s">
        <v>66</v>
      </c>
      <c r="P404" s="99">
        <v>0.0</v>
      </c>
      <c r="Q404" s="58"/>
      <c r="R404" s="70"/>
      <c r="S404" s="62" t="s">
        <v>194</v>
      </c>
      <c r="T404" s="32" t="s">
        <v>5509</v>
      </c>
      <c r="U404" s="33" t="s">
        <v>268</v>
      </c>
      <c r="V404" s="33"/>
      <c r="W404" s="33" t="s">
        <v>268</v>
      </c>
      <c r="X404" s="23" t="s">
        <v>199</v>
      </c>
      <c r="Y404" s="49" t="str">
        <f t="shared" si="19"/>
        <v>Encerrado</v>
      </c>
      <c r="Z404" s="62"/>
      <c r="AA404" s="62"/>
      <c r="AB404" s="64" t="s">
        <v>244</v>
      </c>
      <c r="AC404" s="79"/>
      <c r="AD404" s="54">
        <v>45133.0</v>
      </c>
      <c r="AE404" s="77">
        <v>4.9075100007349E13</v>
      </c>
      <c r="AF404" s="79"/>
      <c r="AG404" s="79"/>
      <c r="AH404" s="79"/>
      <c r="AI404" s="79"/>
      <c r="AJ404" s="79"/>
      <c r="AK404" s="79"/>
      <c r="AL404" s="79"/>
      <c r="AM404" s="79"/>
      <c r="AN404" s="79"/>
      <c r="AO404" s="65">
        <v>87914.05</v>
      </c>
      <c r="AP404" s="65">
        <v>88851.51</v>
      </c>
      <c r="AQ404" s="65">
        <v>89560.38</v>
      </c>
      <c r="AR404" s="65">
        <v>95296.87</v>
      </c>
      <c r="AS404" s="65">
        <v>96133.77</v>
      </c>
      <c r="AT404" s="65">
        <v>96979.47</v>
      </c>
      <c r="AU404" s="65">
        <v>97755.11</v>
      </c>
      <c r="AV404" s="65">
        <v>98497.47</v>
      </c>
      <c r="AW404" s="65">
        <v>98937.03</v>
      </c>
      <c r="AX404" s="65">
        <v>99482.6</v>
      </c>
      <c r="AY404" s="65">
        <v>114239.1</v>
      </c>
      <c r="AZ404" s="65">
        <v>123100.2</v>
      </c>
      <c r="BA404" s="65">
        <v>132090.7</v>
      </c>
      <c r="BB404" s="65">
        <v>0.0</v>
      </c>
      <c r="BC404" s="65">
        <v>0.0</v>
      </c>
      <c r="BD404" s="65">
        <v>0.0</v>
      </c>
      <c r="BE404" s="65">
        <v>0.0</v>
      </c>
      <c r="BF404" s="65">
        <v>0.0</v>
      </c>
      <c r="BG404" s="65">
        <v>0.0</v>
      </c>
      <c r="BH404" s="65">
        <v>0.0</v>
      </c>
      <c r="BI404" s="65">
        <v>0.0</v>
      </c>
      <c r="BJ404" s="65">
        <v>0.0</v>
      </c>
      <c r="BK404" s="65">
        <v>0.0</v>
      </c>
      <c r="BL404" s="65">
        <v>0.0</v>
      </c>
      <c r="BM404" s="65">
        <v>0.0</v>
      </c>
      <c r="BN404" s="65">
        <v>0.0</v>
      </c>
      <c r="BO404" s="65">
        <v>0.0</v>
      </c>
      <c r="BP404" s="65">
        <v>0.0</v>
      </c>
      <c r="BQ404" s="65">
        <v>0.0</v>
      </c>
      <c r="BR404" s="65">
        <v>0.0</v>
      </c>
      <c r="BS404" s="65">
        <v>0.0</v>
      </c>
      <c r="BT404" s="88">
        <v>0.0</v>
      </c>
      <c r="BU404" s="65">
        <v>0.0</v>
      </c>
      <c r="BV404" s="65">
        <v>0.0</v>
      </c>
      <c r="BW404" s="90">
        <v>0.0</v>
      </c>
      <c r="BX404" s="90">
        <v>0.0</v>
      </c>
      <c r="BY404" s="90" t="str">
        <f t="array" ref="BY404">XLOOKUP(C404,'PL TOTAL D0'!$A$3:$A$1991,'PL TOTAL D0'!$C$3:$C$1991,"")</f>
        <v/>
      </c>
    </row>
    <row r="405" ht="15.75" customHeight="1">
      <c r="A405" s="50" t="s">
        <v>24</v>
      </c>
      <c r="B405" s="43" t="s">
        <v>5518</v>
      </c>
      <c r="C405" s="94" t="s">
        <v>5519</v>
      </c>
      <c r="D405" s="30" t="s">
        <v>142</v>
      </c>
      <c r="E405" s="22" t="s">
        <v>54</v>
      </c>
      <c r="F405" s="30" t="s">
        <v>4568</v>
      </c>
      <c r="G405" s="47" t="str">
        <f t="shared" si="13"/>
        <v>David</v>
      </c>
      <c r="H405" s="49" t="s">
        <v>295</v>
      </c>
      <c r="I405" s="49" t="s">
        <v>66</v>
      </c>
      <c r="J405" s="47" t="str">
        <f t="shared" si="18"/>
        <v>Sim</v>
      </c>
      <c r="K405" s="54">
        <v>45841.0</v>
      </c>
      <c r="L405" s="55"/>
      <c r="M405" s="32" t="s">
        <v>61</v>
      </c>
      <c r="N405" s="56">
        <v>0.012</v>
      </c>
      <c r="O405" s="23" t="s">
        <v>66</v>
      </c>
      <c r="P405" s="57">
        <v>0.0</v>
      </c>
      <c r="Q405" s="58" t="s">
        <v>5520</v>
      </c>
      <c r="R405" s="70"/>
      <c r="S405" s="32" t="s">
        <v>194</v>
      </c>
      <c r="T405" s="32" t="s">
        <v>5521</v>
      </c>
      <c r="U405" s="33">
        <v>5.562981330052E12</v>
      </c>
      <c r="V405" s="33" t="s">
        <v>5522</v>
      </c>
      <c r="W405" s="34">
        <v>31267.0</v>
      </c>
      <c r="X405" s="23" t="s">
        <v>77</v>
      </c>
      <c r="Y405" s="49" t="str">
        <f t="shared" si="19"/>
        <v>Ativo</v>
      </c>
      <c r="Z405" s="62"/>
      <c r="AA405" s="32" t="s">
        <v>107</v>
      </c>
      <c r="AB405" s="64"/>
      <c r="AC405" s="79"/>
      <c r="AD405" s="54">
        <v>45861.0</v>
      </c>
      <c r="AE405" s="77">
        <v>4.9075100019223E13</v>
      </c>
      <c r="AF405" s="79"/>
      <c r="AG405" s="79"/>
      <c r="AH405" s="79"/>
      <c r="AI405" s="79"/>
      <c r="AJ405" s="79"/>
      <c r="AK405" s="79"/>
      <c r="AL405" s="79"/>
      <c r="AM405" s="79"/>
      <c r="AN405" s="79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  <c r="BE405" s="65"/>
      <c r="BF405" s="65"/>
      <c r="BG405" s="65"/>
      <c r="BH405" s="65"/>
      <c r="BI405" s="65"/>
      <c r="BJ405" s="65"/>
      <c r="BK405" s="65"/>
      <c r="BL405" s="65"/>
      <c r="BM405" s="65">
        <v>112349.24</v>
      </c>
      <c r="BN405" s="65">
        <v>112631.1</v>
      </c>
      <c r="BO405" s="65">
        <v>113683.99</v>
      </c>
      <c r="BP405" s="65">
        <v>107542.9</v>
      </c>
      <c r="BQ405" s="65">
        <v>108257.0</v>
      </c>
      <c r="BR405" s="65">
        <v>109402.2</v>
      </c>
      <c r="BS405" s="65">
        <v>1.49</v>
      </c>
      <c r="BT405" s="88">
        <v>1.76</v>
      </c>
      <c r="BU405" s="65">
        <v>1.76</v>
      </c>
      <c r="BV405" s="65">
        <v>1.76</v>
      </c>
      <c r="BW405" s="90">
        <v>1.76</v>
      </c>
      <c r="BX405" s="90">
        <v>1.76</v>
      </c>
      <c r="BY405" s="90" t="str">
        <f t="array" ref="BY405">XLOOKUP(C405,'PL TOTAL D0'!$A$3:$A$1991,'PL TOTAL D0'!$C$3:$C$1991,"")</f>
        <v/>
      </c>
    </row>
    <row r="406" ht="15.75" customHeight="1">
      <c r="A406" s="50" t="s">
        <v>24</v>
      </c>
      <c r="B406" s="43" t="s">
        <v>762</v>
      </c>
      <c r="C406" s="94" t="s">
        <v>5530</v>
      </c>
      <c r="D406" s="30" t="s">
        <v>89</v>
      </c>
      <c r="E406" s="22" t="s">
        <v>91</v>
      </c>
      <c r="F406" s="30" t="s">
        <v>521</v>
      </c>
      <c r="G406" s="47" t="str">
        <f t="shared" si="13"/>
        <v>Marcus</v>
      </c>
      <c r="H406" s="49" t="s">
        <v>295</v>
      </c>
      <c r="I406" s="49" t="s">
        <v>5227</v>
      </c>
      <c r="J406" s="47" t="str">
        <f t="shared" si="18"/>
        <v>Sim</v>
      </c>
      <c r="K406" s="54">
        <v>45623.0</v>
      </c>
      <c r="L406" s="55"/>
      <c r="M406" s="32" t="s">
        <v>1349</v>
      </c>
      <c r="N406" s="56">
        <v>0.012</v>
      </c>
      <c r="O406" s="23" t="s">
        <v>66</v>
      </c>
      <c r="P406" s="57">
        <v>0.0</v>
      </c>
      <c r="Q406" s="58" t="s">
        <v>5533</v>
      </c>
      <c r="R406" s="58" t="s">
        <v>5534</v>
      </c>
      <c r="S406" s="32" t="s">
        <v>194</v>
      </c>
      <c r="T406" s="32" t="s">
        <v>764</v>
      </c>
      <c r="U406" s="33">
        <v>5.543984743313E12</v>
      </c>
      <c r="V406" s="33" t="s">
        <v>766</v>
      </c>
      <c r="W406" s="34">
        <v>31356.0</v>
      </c>
      <c r="X406" s="23" t="s">
        <v>221</v>
      </c>
      <c r="Y406" s="49" t="str">
        <f t="shared" si="19"/>
        <v>Ativo</v>
      </c>
      <c r="Z406" s="62"/>
      <c r="AA406" s="32" t="s">
        <v>47</v>
      </c>
      <c r="AB406" s="64"/>
      <c r="AC406" s="79"/>
      <c r="AD406" s="54">
        <v>45638.0</v>
      </c>
      <c r="AE406" s="77">
        <v>4.9075100016291E13</v>
      </c>
      <c r="AF406" s="79"/>
      <c r="AG406" s="79"/>
      <c r="AH406" s="79"/>
      <c r="AI406" s="79"/>
      <c r="AJ406" s="79"/>
      <c r="AK406" s="79"/>
      <c r="AL406" s="79"/>
      <c r="AM406" s="79"/>
      <c r="AN406" s="79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  <c r="BE406" s="65">
        <v>0.0</v>
      </c>
      <c r="BF406" s="65">
        <v>408231.86</v>
      </c>
      <c r="BG406" s="65">
        <v>412463.35</v>
      </c>
      <c r="BH406" s="65">
        <v>415989.37</v>
      </c>
      <c r="BI406" s="65">
        <v>419623.73</v>
      </c>
      <c r="BJ406" s="65">
        <v>460758.06</v>
      </c>
      <c r="BK406" s="65">
        <v>502913.71</v>
      </c>
      <c r="BL406" s="65">
        <v>572882.28</v>
      </c>
      <c r="BM406" s="65">
        <v>627630.79</v>
      </c>
      <c r="BN406" s="65">
        <v>674009.8</v>
      </c>
      <c r="BO406" s="65">
        <v>697237.1</v>
      </c>
      <c r="BP406" s="65">
        <v>731256.4</v>
      </c>
      <c r="BQ406" s="65">
        <v>802227.2</v>
      </c>
      <c r="BR406" s="65">
        <v>921638.5</v>
      </c>
      <c r="BS406" s="65">
        <v>974190.63</v>
      </c>
      <c r="BT406" s="88">
        <v>1012141.0</v>
      </c>
      <c r="BU406" s="65">
        <v>969548.8</v>
      </c>
      <c r="BV406" s="65">
        <v>980548.0</v>
      </c>
      <c r="BW406" s="90">
        <v>1021998.0</v>
      </c>
      <c r="BX406" s="90">
        <v>0.0</v>
      </c>
      <c r="BY406" s="90" t="str">
        <f t="array" ref="BY406">XLOOKUP(C406,'PL TOTAL D0'!$A$3:$A$1991,'PL TOTAL D0'!$C$3:$C$1991,"")</f>
        <v/>
      </c>
    </row>
    <row r="407" ht="15.75" customHeight="1">
      <c r="A407" s="50" t="s">
        <v>24</v>
      </c>
      <c r="B407" s="43" t="s">
        <v>762</v>
      </c>
      <c r="C407" s="94" t="s">
        <v>5542</v>
      </c>
      <c r="D407" s="30" t="s">
        <v>89</v>
      </c>
      <c r="E407" s="22" t="s">
        <v>91</v>
      </c>
      <c r="F407" s="30" t="s">
        <v>521</v>
      </c>
      <c r="G407" s="47" t="str">
        <f t="shared" si="13"/>
        <v>David</v>
      </c>
      <c r="H407" s="49" t="s">
        <v>295</v>
      </c>
      <c r="I407" s="49" t="s">
        <v>5227</v>
      </c>
      <c r="J407" s="47" t="str">
        <f t="shared" si="18"/>
        <v>Não</v>
      </c>
      <c r="K407" s="54">
        <v>46042.0</v>
      </c>
      <c r="L407" s="55"/>
      <c r="M407" s="32" t="s">
        <v>4551</v>
      </c>
      <c r="N407" s="56">
        <v>0.01</v>
      </c>
      <c r="O407" s="23" t="s">
        <v>66</v>
      </c>
      <c r="P407" s="57">
        <v>0.0</v>
      </c>
      <c r="Q407" s="58"/>
      <c r="R407" s="58"/>
      <c r="S407" s="32" t="s">
        <v>194</v>
      </c>
      <c r="T407" s="32" t="s">
        <v>764</v>
      </c>
      <c r="U407" s="33">
        <v>5.543984743313E12</v>
      </c>
      <c r="V407" s="33" t="s">
        <v>766</v>
      </c>
      <c r="W407" s="34">
        <v>31356.0</v>
      </c>
      <c r="X407" s="23" t="s">
        <v>221</v>
      </c>
      <c r="Y407" s="49" t="str">
        <f t="shared" si="19"/>
        <v>Ativo</v>
      </c>
      <c r="Z407" s="62"/>
      <c r="AA407" s="32" t="s">
        <v>47</v>
      </c>
      <c r="AB407" s="64"/>
      <c r="AC407" s="79"/>
      <c r="AD407" s="54"/>
      <c r="AE407" s="77"/>
      <c r="AF407" s="79"/>
      <c r="AG407" s="79"/>
      <c r="AH407" s="79"/>
      <c r="AI407" s="79"/>
      <c r="AJ407" s="79"/>
      <c r="AK407" s="79"/>
      <c r="AL407" s="79"/>
      <c r="AM407" s="79"/>
      <c r="AN407" s="79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  <c r="BE407" s="65"/>
      <c r="BF407" s="65"/>
      <c r="BG407" s="65"/>
      <c r="BH407" s="65"/>
      <c r="BI407" s="65"/>
      <c r="BJ407" s="65"/>
      <c r="BK407" s="65"/>
      <c r="BL407" s="65"/>
      <c r="BM407" s="65"/>
      <c r="BN407" s="65"/>
      <c r="BO407" s="65"/>
      <c r="BP407" s="65"/>
      <c r="BQ407" s="65"/>
      <c r="BR407" s="65"/>
      <c r="BS407" s="65">
        <v>2683.94</v>
      </c>
      <c r="BT407" s="88">
        <v>2167.38</v>
      </c>
      <c r="BU407" s="65">
        <v>2284.75</v>
      </c>
      <c r="BV407" s="65">
        <v>2462.13</v>
      </c>
      <c r="BW407" s="90">
        <v>2333.51</v>
      </c>
      <c r="BX407" s="90">
        <v>0.0</v>
      </c>
      <c r="BY407" s="90" t="str">
        <f t="array" ref="BY407">XLOOKUP(C407,'PL TOTAL D0'!$A$3:$A$1991,'PL TOTAL D0'!$C$3:$C$1991,"")</f>
        <v/>
      </c>
    </row>
    <row r="408" ht="15.75" customHeight="1">
      <c r="A408" s="50" t="s">
        <v>24</v>
      </c>
      <c r="B408" s="50" t="s">
        <v>790</v>
      </c>
      <c r="C408" s="94" t="s">
        <v>2828</v>
      </c>
      <c r="D408" s="30" t="s">
        <v>89</v>
      </c>
      <c r="E408" s="95" t="s">
        <v>91</v>
      </c>
      <c r="F408" s="81" t="s">
        <v>521</v>
      </c>
      <c r="G408" s="47" t="str">
        <f t="shared" si="13"/>
        <v>Marcus</v>
      </c>
      <c r="H408" s="49" t="s">
        <v>183</v>
      </c>
      <c r="I408" s="49" t="s">
        <v>66</v>
      </c>
      <c r="J408" s="47" t="str">
        <f t="shared" si="18"/>
        <v>Sim</v>
      </c>
      <c r="K408" s="97">
        <v>45127.0</v>
      </c>
      <c r="L408" s="189"/>
      <c r="M408" s="32" t="s">
        <v>1349</v>
      </c>
      <c r="N408" s="56">
        <v>0.012</v>
      </c>
      <c r="O408" s="23" t="s">
        <v>66</v>
      </c>
      <c r="P408" s="57">
        <v>0.0</v>
      </c>
      <c r="Q408" s="58" t="s">
        <v>5550</v>
      </c>
      <c r="R408" s="58" t="s">
        <v>5551</v>
      </c>
      <c r="S408" s="62" t="s">
        <v>194</v>
      </c>
      <c r="T408" s="32" t="s">
        <v>798</v>
      </c>
      <c r="U408" s="33">
        <v>4.3996096972E10</v>
      </c>
      <c r="V408" s="33" t="s">
        <v>800</v>
      </c>
      <c r="W408" s="34">
        <v>27804.0</v>
      </c>
      <c r="X408" s="23" t="s">
        <v>221</v>
      </c>
      <c r="Y408" s="49" t="str">
        <f t="shared" si="19"/>
        <v>Ativo</v>
      </c>
      <c r="Z408" s="62"/>
      <c r="AA408" s="62"/>
      <c r="AB408" s="64" t="s">
        <v>269</v>
      </c>
      <c r="AC408" s="79"/>
      <c r="AD408" s="54">
        <v>45127.0</v>
      </c>
      <c r="AE408" s="77">
        <v>4.9075100008892E13</v>
      </c>
      <c r="AF408" s="79"/>
      <c r="AG408" s="79"/>
      <c r="AH408" s="79"/>
      <c r="AI408" s="79"/>
      <c r="AJ408" s="79"/>
      <c r="AK408" s="79"/>
      <c r="AL408" s="65">
        <v>0.0</v>
      </c>
      <c r="AM408" s="65">
        <v>0.0</v>
      </c>
      <c r="AN408" s="65">
        <v>0.0</v>
      </c>
      <c r="AO408" s="65">
        <v>755370.21</v>
      </c>
      <c r="AP408" s="65">
        <v>750615.93</v>
      </c>
      <c r="AQ408" s="65">
        <v>753820.19</v>
      </c>
      <c r="AR408" s="65">
        <v>751964.49</v>
      </c>
      <c r="AS408" s="65">
        <v>768079.0</v>
      </c>
      <c r="AT408" s="65">
        <v>778605.93</v>
      </c>
      <c r="AU408" s="65">
        <v>767063.11</v>
      </c>
      <c r="AV408" s="65">
        <v>806356.24</v>
      </c>
      <c r="AW408" s="65">
        <v>815684.51</v>
      </c>
      <c r="AX408" s="65">
        <v>807916.64</v>
      </c>
      <c r="AY408" s="65">
        <v>805084.2</v>
      </c>
      <c r="AZ408" s="65">
        <v>809340.6</v>
      </c>
      <c r="BA408" s="65">
        <v>818911.9</v>
      </c>
      <c r="BB408" s="65">
        <v>829201.89</v>
      </c>
      <c r="BC408" s="65">
        <v>827038.04</v>
      </c>
      <c r="BD408" s="65">
        <v>821281.02</v>
      </c>
      <c r="BE408" s="65">
        <v>815974.96</v>
      </c>
      <c r="BF408" s="65">
        <v>815982.23</v>
      </c>
      <c r="BG408" s="65">
        <v>827938.85</v>
      </c>
      <c r="BH408" s="65">
        <v>836558.04</v>
      </c>
      <c r="BI408" s="65">
        <v>749886.61</v>
      </c>
      <c r="BJ408" s="65">
        <v>757890.1</v>
      </c>
      <c r="BK408" s="65">
        <v>766005.56</v>
      </c>
      <c r="BL408" s="65">
        <v>772453.56</v>
      </c>
      <c r="BM408" s="65">
        <v>781182.67</v>
      </c>
      <c r="BN408" s="65">
        <v>789137.0</v>
      </c>
      <c r="BO408" s="65">
        <v>796520.05</v>
      </c>
      <c r="BP408" s="65">
        <v>805059.8</v>
      </c>
      <c r="BQ408" s="65">
        <v>812355.9</v>
      </c>
      <c r="BR408" s="65">
        <v>818972.4</v>
      </c>
      <c r="BS408" s="65">
        <v>828124.98</v>
      </c>
      <c r="BT408" s="88">
        <v>833632.4</v>
      </c>
      <c r="BU408" s="65">
        <v>699437.3</v>
      </c>
      <c r="BV408" s="65">
        <v>707521.9</v>
      </c>
      <c r="BW408" s="90">
        <v>715460.8</v>
      </c>
      <c r="BX408" s="90">
        <v>576870.28</v>
      </c>
      <c r="BY408" s="90">
        <f t="array" ref="BY408">XLOOKUP(C408,'PL TOTAL D0'!$A$3:$A$1991,'PL TOTAL D0'!$C$3:$C$1991,"")</f>
        <v>582886.42</v>
      </c>
    </row>
    <row r="409" ht="15.75" customHeight="1">
      <c r="A409" s="50" t="s">
        <v>24</v>
      </c>
      <c r="B409" s="50" t="s">
        <v>5561</v>
      </c>
      <c r="C409" s="94" t="s">
        <v>5562</v>
      </c>
      <c r="D409" s="30" t="s">
        <v>1358</v>
      </c>
      <c r="E409" s="95" t="s">
        <v>199</v>
      </c>
      <c r="F409" s="81" t="s">
        <v>5563</v>
      </c>
      <c r="G409" s="47" t="str">
        <f t="shared" si="13"/>
        <v>David</v>
      </c>
      <c r="H409" s="49" t="s">
        <v>183</v>
      </c>
      <c r="I409" s="49" t="s">
        <v>382</v>
      </c>
      <c r="J409" s="47" t="str">
        <f t="shared" si="18"/>
        <v>Sim</v>
      </c>
      <c r="K409" s="97">
        <v>45665.0</v>
      </c>
      <c r="L409" s="189"/>
      <c r="M409" s="32" t="s">
        <v>34</v>
      </c>
      <c r="N409" s="56">
        <v>0.012</v>
      </c>
      <c r="O409" s="23" t="s">
        <v>66</v>
      </c>
      <c r="P409" s="57">
        <v>0.0</v>
      </c>
      <c r="Q409" s="58" t="s">
        <v>5566</v>
      </c>
      <c r="R409" s="58"/>
      <c r="S409" s="62" t="s">
        <v>194</v>
      </c>
      <c r="T409" s="32" t="s">
        <v>5567</v>
      </c>
      <c r="U409" s="33" t="s">
        <v>5568</v>
      </c>
      <c r="V409" s="33" t="s">
        <v>5569</v>
      </c>
      <c r="W409" s="34">
        <v>31700.0</v>
      </c>
      <c r="X409" s="23" t="s">
        <v>199</v>
      </c>
      <c r="Y409" s="49" t="str">
        <f t="shared" si="19"/>
        <v>Ativo</v>
      </c>
      <c r="Z409" s="62"/>
      <c r="AA409" s="62" t="s">
        <v>107</v>
      </c>
      <c r="AB409" s="64"/>
      <c r="AC409" s="79"/>
      <c r="AD409" s="54"/>
      <c r="AE409" s="77"/>
      <c r="AF409" s="79"/>
      <c r="AG409" s="79"/>
      <c r="AH409" s="79"/>
      <c r="AI409" s="79"/>
      <c r="AJ409" s="79"/>
      <c r="AK409" s="79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5"/>
      <c r="BG409" s="65"/>
      <c r="BH409" s="65"/>
      <c r="BI409" s="65"/>
      <c r="BJ409" s="65"/>
      <c r="BK409" s="65"/>
      <c r="BL409" s="65"/>
      <c r="BM409" s="65"/>
      <c r="BN409" s="65"/>
      <c r="BO409" s="65"/>
      <c r="BP409" s="65"/>
      <c r="BQ409" s="65"/>
      <c r="BR409" s="65"/>
      <c r="BS409" s="65">
        <v>141562.1</v>
      </c>
      <c r="BT409" s="88">
        <v>75800.82</v>
      </c>
      <c r="BU409" s="65">
        <v>0.0</v>
      </c>
      <c r="BV409" s="65">
        <v>1.61</v>
      </c>
      <c r="BW409" s="90">
        <v>1.61</v>
      </c>
      <c r="BX409" s="90">
        <v>1.61</v>
      </c>
      <c r="BY409" s="90" t="str">
        <f t="array" ref="BY409">XLOOKUP(C409,'PL TOTAL D0'!$A$3:$A$1991,'PL TOTAL D0'!$C$3:$C$1991,"")</f>
        <v/>
      </c>
    </row>
    <row r="410" ht="15.75" customHeight="1">
      <c r="A410" s="50" t="s">
        <v>24</v>
      </c>
      <c r="B410" s="43" t="s">
        <v>5577</v>
      </c>
      <c r="C410" s="94" t="s">
        <v>3476</v>
      </c>
      <c r="D410" s="30" t="s">
        <v>249</v>
      </c>
      <c r="E410" s="22" t="s">
        <v>199</v>
      </c>
      <c r="F410" s="30" t="s">
        <v>251</v>
      </c>
      <c r="G410" s="47" t="str">
        <f t="shared" si="13"/>
        <v>David</v>
      </c>
      <c r="H410" s="49" t="s">
        <v>183</v>
      </c>
      <c r="I410" s="49" t="s">
        <v>66</v>
      </c>
      <c r="J410" s="47" t="str">
        <f t="shared" si="18"/>
        <v>Não</v>
      </c>
      <c r="K410" s="54">
        <v>45902.0</v>
      </c>
      <c r="L410" s="189"/>
      <c r="M410" s="32" t="s">
        <v>61</v>
      </c>
      <c r="N410" s="56">
        <v>0.012</v>
      </c>
      <c r="O410" s="23" t="s">
        <v>66</v>
      </c>
      <c r="P410" s="57">
        <v>0.0</v>
      </c>
      <c r="Q410" s="58"/>
      <c r="R410" s="58"/>
      <c r="S410" s="32" t="s">
        <v>194</v>
      </c>
      <c r="T410" s="32" t="s">
        <v>5582</v>
      </c>
      <c r="U410" s="33" t="s">
        <v>5584</v>
      </c>
      <c r="V410" s="33" t="s">
        <v>5587</v>
      </c>
      <c r="W410" s="34">
        <v>32612.0</v>
      </c>
      <c r="X410" s="23" t="s">
        <v>199</v>
      </c>
      <c r="Y410" s="49" t="str">
        <f t="shared" si="19"/>
        <v>Ativo</v>
      </c>
      <c r="Z410" s="62"/>
      <c r="AA410" s="32" t="s">
        <v>47</v>
      </c>
      <c r="AB410" s="64"/>
      <c r="AC410" s="79"/>
      <c r="AD410" s="54">
        <v>45902.0</v>
      </c>
      <c r="AE410" s="148">
        <v>4.9075100019479E13</v>
      </c>
      <c r="AF410" s="79"/>
      <c r="AG410" s="79"/>
      <c r="AH410" s="79"/>
      <c r="AI410" s="79"/>
      <c r="AJ410" s="79"/>
      <c r="AK410" s="79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5"/>
      <c r="BG410" s="65"/>
      <c r="BH410" s="65"/>
      <c r="BI410" s="65"/>
      <c r="BJ410" s="65"/>
      <c r="BK410" s="65"/>
      <c r="BL410" s="65"/>
      <c r="BM410" s="65"/>
      <c r="BN410" s="65">
        <v>0.0</v>
      </c>
      <c r="BO410" s="65">
        <v>34349.18</v>
      </c>
      <c r="BP410" s="65">
        <v>34773.82</v>
      </c>
      <c r="BQ410" s="65">
        <v>36047.35</v>
      </c>
      <c r="BR410" s="65">
        <v>36399.13</v>
      </c>
      <c r="BS410" s="65">
        <v>36856.04</v>
      </c>
      <c r="BT410" s="88">
        <v>37111.03</v>
      </c>
      <c r="BU410" s="65">
        <v>38755.2</v>
      </c>
      <c r="BV410" s="65">
        <v>39162.68</v>
      </c>
      <c r="BW410" s="90">
        <v>39439.0</v>
      </c>
      <c r="BX410" s="90">
        <v>39697.03</v>
      </c>
      <c r="BY410" s="90">
        <f t="array" ref="BY410">XLOOKUP(C410,'PL TOTAL D0'!$A$3:$A$1991,'PL TOTAL D0'!$C$3:$C$1991,"")</f>
        <v>40119.54</v>
      </c>
    </row>
    <row r="411" ht="15.75" customHeight="1">
      <c r="A411" s="43" t="s">
        <v>24</v>
      </c>
      <c r="B411" s="43" t="s">
        <v>5594</v>
      </c>
      <c r="C411" s="94" t="s">
        <v>3064</v>
      </c>
      <c r="D411" s="30" t="s">
        <v>89</v>
      </c>
      <c r="E411" s="22" t="s">
        <v>91</v>
      </c>
      <c r="F411" s="30" t="s">
        <v>193</v>
      </c>
      <c r="G411" s="47" t="str">
        <f t="shared" si="13"/>
        <v>David</v>
      </c>
      <c r="H411" s="49" t="s">
        <v>183</v>
      </c>
      <c r="I411" s="49" t="s">
        <v>66</v>
      </c>
      <c r="J411" s="47" t="str">
        <f t="shared" si="18"/>
        <v>Não</v>
      </c>
      <c r="K411" s="54">
        <v>46020.0</v>
      </c>
      <c r="L411" s="189"/>
      <c r="M411" s="32" t="s">
        <v>231</v>
      </c>
      <c r="N411" s="56">
        <v>0.02</v>
      </c>
      <c r="O411" s="23" t="s">
        <v>233</v>
      </c>
      <c r="P411" s="57">
        <v>0.2</v>
      </c>
      <c r="Q411" s="58"/>
      <c r="R411" s="58"/>
      <c r="S411" s="32" t="s">
        <v>194</v>
      </c>
      <c r="T411" s="32" t="s">
        <v>5595</v>
      </c>
      <c r="U411" s="33" t="s">
        <v>5596</v>
      </c>
      <c r="V411" s="33" t="s">
        <v>5597</v>
      </c>
      <c r="W411" s="48" t="s">
        <v>5602</v>
      </c>
      <c r="X411" s="23" t="s">
        <v>28</v>
      </c>
      <c r="Y411" s="49" t="str">
        <f t="shared" si="19"/>
        <v>Ativo</v>
      </c>
      <c r="Z411" s="62"/>
      <c r="AA411" s="32" t="s">
        <v>165</v>
      </c>
      <c r="AB411" s="64"/>
      <c r="AC411" s="79"/>
      <c r="AD411" s="54">
        <v>46203.0</v>
      </c>
      <c r="AE411" s="77"/>
      <c r="AF411" s="79"/>
      <c r="AG411" s="79"/>
      <c r="AH411" s="79"/>
      <c r="AI411" s="79"/>
      <c r="AJ411" s="79"/>
      <c r="AK411" s="79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65"/>
      <c r="BI411" s="65"/>
      <c r="BJ411" s="65"/>
      <c r="BK411" s="65"/>
      <c r="BL411" s="65"/>
      <c r="BM411" s="65"/>
      <c r="BN411" s="65"/>
      <c r="BO411" s="65"/>
      <c r="BP411" s="65"/>
      <c r="BQ411" s="65"/>
      <c r="BR411" s="65">
        <v>0.0</v>
      </c>
      <c r="BS411" s="65">
        <v>114617.94</v>
      </c>
      <c r="BT411" s="88">
        <v>212371.3</v>
      </c>
      <c r="BU411" s="65">
        <v>312936.1</v>
      </c>
      <c r="BV411" s="65">
        <v>313836.7</v>
      </c>
      <c r="BW411" s="90">
        <v>298669.4</v>
      </c>
      <c r="BX411" s="90">
        <v>303442.43</v>
      </c>
      <c r="BY411" s="90">
        <f t="array" ref="BY411">XLOOKUP(C411,'PL TOTAL D0'!$A$3:$A$1991,'PL TOTAL D0'!$C$3:$C$1991,"")</f>
        <v>300769.16</v>
      </c>
    </row>
    <row r="412" ht="15.75" customHeight="1">
      <c r="A412" s="50" t="s">
        <v>24</v>
      </c>
      <c r="B412" s="50" t="s">
        <v>5607</v>
      </c>
      <c r="C412" s="94" t="s">
        <v>5608</v>
      </c>
      <c r="D412" s="81" t="s">
        <v>120</v>
      </c>
      <c r="E412" s="95" t="s">
        <v>54</v>
      </c>
      <c r="F412" s="95" t="s">
        <v>348</v>
      </c>
      <c r="G412" s="47" t="str">
        <f t="shared" si="13"/>
        <v>David</v>
      </c>
      <c r="H412" s="49" t="s">
        <v>224</v>
      </c>
      <c r="I412" s="49" t="s">
        <v>66</v>
      </c>
      <c r="J412" s="47" t="str">
        <f t="shared" si="18"/>
        <v>Não</v>
      </c>
      <c r="K412" s="97">
        <v>45016.0</v>
      </c>
      <c r="L412" s="121">
        <v>45579.0</v>
      </c>
      <c r="M412" s="62" t="s">
        <v>61</v>
      </c>
      <c r="N412" s="144">
        <v>0.012</v>
      </c>
      <c r="O412" s="47" t="s">
        <v>66</v>
      </c>
      <c r="P412" s="99">
        <v>0.0</v>
      </c>
      <c r="Q412" s="58"/>
      <c r="R412" s="70"/>
      <c r="S412" s="62" t="s">
        <v>194</v>
      </c>
      <c r="T412" s="32" t="s">
        <v>5609</v>
      </c>
      <c r="U412" s="33" t="s">
        <v>268</v>
      </c>
      <c r="V412" s="33"/>
      <c r="W412" s="33" t="s">
        <v>268</v>
      </c>
      <c r="X412" s="23" t="s">
        <v>475</v>
      </c>
      <c r="Y412" s="49" t="str">
        <f t="shared" si="19"/>
        <v>Encerrado</v>
      </c>
      <c r="Z412" s="62"/>
      <c r="AA412" s="62"/>
      <c r="AB412" s="64" t="s">
        <v>269</v>
      </c>
      <c r="AC412" s="79"/>
      <c r="AD412" s="54">
        <v>45016.0</v>
      </c>
      <c r="AE412" s="77">
        <v>4.9075100006741E13</v>
      </c>
      <c r="AF412" s="79"/>
      <c r="AG412" s="79"/>
      <c r="AH412" s="79"/>
      <c r="AI412" s="79"/>
      <c r="AJ412" s="79"/>
      <c r="AK412" s="65">
        <v>52009.59</v>
      </c>
      <c r="AL412" s="65">
        <v>60212.68</v>
      </c>
      <c r="AM412" s="65">
        <v>62211.39</v>
      </c>
      <c r="AN412" s="65">
        <v>63535.51</v>
      </c>
      <c r="AO412" s="65">
        <v>64110.84</v>
      </c>
      <c r="AP412" s="65">
        <v>64136.46</v>
      </c>
      <c r="AQ412" s="65">
        <v>91165.55</v>
      </c>
      <c r="AR412" s="65">
        <v>96544.81</v>
      </c>
      <c r="AS412" s="65">
        <v>97652.92</v>
      </c>
      <c r="AT412" s="65">
        <v>109125.88</v>
      </c>
      <c r="AU412" s="65">
        <v>115227.69</v>
      </c>
      <c r="AV412" s="65">
        <v>116081.77</v>
      </c>
      <c r="AW412" s="65">
        <v>117049.0</v>
      </c>
      <c r="AX412" s="65">
        <v>117631.63</v>
      </c>
      <c r="AY412" s="65">
        <v>120623.4</v>
      </c>
      <c r="AZ412" s="65">
        <v>124398.5</v>
      </c>
      <c r="BA412" s="65">
        <v>128206.8</v>
      </c>
      <c r="BB412" s="65">
        <v>132152.73</v>
      </c>
      <c r="BC412" s="65">
        <v>135965.9</v>
      </c>
      <c r="BD412" s="65">
        <v>0.0</v>
      </c>
      <c r="BE412" s="65">
        <v>0.0</v>
      </c>
      <c r="BF412" s="65">
        <v>0.0</v>
      </c>
      <c r="BG412" s="65">
        <v>0.0</v>
      </c>
      <c r="BH412" s="65">
        <v>0.0</v>
      </c>
      <c r="BI412" s="65">
        <v>0.0</v>
      </c>
      <c r="BJ412" s="65">
        <v>0.0</v>
      </c>
      <c r="BK412" s="65">
        <v>0.0</v>
      </c>
      <c r="BL412" s="65">
        <v>0.0</v>
      </c>
      <c r="BM412" s="65">
        <v>0.0</v>
      </c>
      <c r="BN412" s="65">
        <v>0.0</v>
      </c>
      <c r="BO412" s="65">
        <v>0.0</v>
      </c>
      <c r="BP412" s="65">
        <v>0.0</v>
      </c>
      <c r="BQ412" s="65">
        <v>0.0</v>
      </c>
      <c r="BR412" s="65">
        <v>0.0</v>
      </c>
      <c r="BS412" s="65">
        <v>0.0</v>
      </c>
      <c r="BT412" s="88">
        <v>0.0</v>
      </c>
      <c r="BU412" s="65">
        <v>0.0</v>
      </c>
      <c r="BV412" s="65">
        <v>0.0</v>
      </c>
      <c r="BW412" s="90">
        <v>0.0</v>
      </c>
      <c r="BX412" s="90">
        <v>0.0</v>
      </c>
      <c r="BY412" s="90" t="str">
        <f t="array" ref="BY412">XLOOKUP(C412,'PL TOTAL D0'!$A$3:$A$1991,'PL TOTAL D0'!$C$3:$C$1991,"")</f>
        <v/>
      </c>
    </row>
    <row r="413" ht="15.75" customHeight="1">
      <c r="A413" s="50" t="s">
        <v>24</v>
      </c>
      <c r="B413" s="43" t="s">
        <v>5617</v>
      </c>
      <c r="C413" s="53" t="s">
        <v>3274</v>
      </c>
      <c r="D413" s="30" t="s">
        <v>1257</v>
      </c>
      <c r="E413" s="22" t="s">
        <v>199</v>
      </c>
      <c r="F413" s="22" t="s">
        <v>1257</v>
      </c>
      <c r="G413" s="47" t="str">
        <f t="shared" si="13"/>
        <v>David</v>
      </c>
      <c r="H413" s="49" t="s">
        <v>183</v>
      </c>
      <c r="I413" s="49" t="s">
        <v>66</v>
      </c>
      <c r="J413" s="47" t="str">
        <f t="shared" si="18"/>
        <v>Não</v>
      </c>
      <c r="K413" s="54">
        <v>46139.0</v>
      </c>
      <c r="L413" s="121"/>
      <c r="M413" s="32" t="s">
        <v>1262</v>
      </c>
      <c r="N413" s="144"/>
      <c r="O413" s="47" t="s">
        <v>66</v>
      </c>
      <c r="P413" s="57">
        <v>0.0</v>
      </c>
      <c r="Q413" s="58"/>
      <c r="R413" s="70"/>
      <c r="S413" s="32" t="s">
        <v>194</v>
      </c>
      <c r="T413" s="32" t="s">
        <v>5621</v>
      </c>
      <c r="U413" s="33" t="s">
        <v>1266</v>
      </c>
      <c r="V413" s="33" t="s">
        <v>1267</v>
      </c>
      <c r="W413" s="48">
        <v>29047.0</v>
      </c>
      <c r="X413" s="23" t="s">
        <v>618</v>
      </c>
      <c r="Y413" s="49" t="str">
        <f t="shared" si="19"/>
        <v>Ativo</v>
      </c>
      <c r="Z413" s="62"/>
      <c r="AA413" s="32" t="s">
        <v>47</v>
      </c>
      <c r="AB413" s="64"/>
      <c r="AC413" s="79"/>
      <c r="AD413" s="54">
        <v>46203.0</v>
      </c>
      <c r="AE413" s="77"/>
      <c r="AF413" s="79"/>
      <c r="AG413" s="79"/>
      <c r="AH413" s="79"/>
      <c r="AI413" s="79"/>
      <c r="AJ413" s="79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5"/>
      <c r="BG413" s="65"/>
      <c r="BH413" s="65"/>
      <c r="BI413" s="65"/>
      <c r="BJ413" s="65"/>
      <c r="BK413" s="65"/>
      <c r="BL413" s="65"/>
      <c r="BM413" s="65"/>
      <c r="BN413" s="65"/>
      <c r="BO413" s="65"/>
      <c r="BP413" s="65"/>
      <c r="BQ413" s="65"/>
      <c r="BR413" s="65"/>
      <c r="BS413" s="65"/>
      <c r="BT413" s="88"/>
      <c r="BU413" s="65"/>
      <c r="BV413" s="65">
        <v>113927.5</v>
      </c>
      <c r="BW413" s="90">
        <v>114995.3</v>
      </c>
      <c r="BX413" s="90">
        <v>116259.14</v>
      </c>
      <c r="BY413" s="90">
        <f t="array" ref="BY413">XLOOKUP(C413,'PL TOTAL D0'!$A$3:$A$1991,'PL TOTAL D0'!$C$3:$C$1991,"")</f>
        <v>118042.38</v>
      </c>
    </row>
    <row r="414" ht="15.75" customHeight="1">
      <c r="A414" s="50" t="s">
        <v>24</v>
      </c>
      <c r="B414" s="50" t="s">
        <v>625</v>
      </c>
      <c r="C414" s="94" t="s">
        <v>5629</v>
      </c>
      <c r="D414" s="81" t="s">
        <v>120</v>
      </c>
      <c r="E414" s="95" t="s">
        <v>199</v>
      </c>
      <c r="F414" s="22" t="s">
        <v>290</v>
      </c>
      <c r="G414" s="47" t="str">
        <f t="shared" si="13"/>
        <v>David</v>
      </c>
      <c r="H414" s="49" t="s">
        <v>224</v>
      </c>
      <c r="I414" s="49" t="s">
        <v>66</v>
      </c>
      <c r="J414" s="47" t="str">
        <f t="shared" si="18"/>
        <v>Não</v>
      </c>
      <c r="K414" s="97">
        <v>45162.0</v>
      </c>
      <c r="L414" s="186">
        <v>45614.0</v>
      </c>
      <c r="M414" s="62" t="s">
        <v>231</v>
      </c>
      <c r="N414" s="56">
        <v>0.02</v>
      </c>
      <c r="O414" s="23" t="s">
        <v>233</v>
      </c>
      <c r="P414" s="99">
        <v>0.2</v>
      </c>
      <c r="Q414" s="58"/>
      <c r="R414" s="190" t="s">
        <v>5630</v>
      </c>
      <c r="S414" s="62" t="s">
        <v>194</v>
      </c>
      <c r="T414" s="32" t="s">
        <v>638</v>
      </c>
      <c r="U414" s="33" t="s">
        <v>268</v>
      </c>
      <c r="V414" s="33"/>
      <c r="W414" s="33" t="s">
        <v>268</v>
      </c>
      <c r="X414" s="23" t="s">
        <v>618</v>
      </c>
      <c r="Y414" s="49" t="str">
        <f t="shared" si="19"/>
        <v>Encerrado</v>
      </c>
      <c r="Z414" s="62"/>
      <c r="AA414" s="62"/>
      <c r="AB414" s="64" t="s">
        <v>269</v>
      </c>
      <c r="AC414" s="79"/>
      <c r="AD414" s="54">
        <v>45162.0</v>
      </c>
      <c r="AE414" s="77">
        <v>4.9075100007837E13</v>
      </c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65">
        <v>1025511.35</v>
      </c>
      <c r="AQ414" s="65">
        <v>1122870.63</v>
      </c>
      <c r="AR414" s="65">
        <v>1175913.46</v>
      </c>
      <c r="AS414" s="65">
        <v>1183757.76</v>
      </c>
      <c r="AT414" s="65">
        <v>1239969.47</v>
      </c>
      <c r="AU414" s="65">
        <v>1150550.24</v>
      </c>
      <c r="AV414" s="65">
        <v>1247790.69</v>
      </c>
      <c r="AW414" s="65">
        <v>1066970.04</v>
      </c>
      <c r="AX414" s="65">
        <v>529275.36</v>
      </c>
      <c r="AY414" s="65">
        <v>513336.9</v>
      </c>
      <c r="AZ414" s="65">
        <v>110881.1</v>
      </c>
      <c r="BA414" s="65">
        <v>113538.6</v>
      </c>
      <c r="BB414" s="65">
        <v>115842.31</v>
      </c>
      <c r="BC414" s="65">
        <v>63555.14</v>
      </c>
      <c r="BD414" s="65">
        <v>61325.28</v>
      </c>
      <c r="BE414" s="65">
        <v>59505.23</v>
      </c>
      <c r="BF414" s="65">
        <v>0.0</v>
      </c>
      <c r="BG414" s="65">
        <v>0.0</v>
      </c>
      <c r="BH414" s="65">
        <v>0.0</v>
      </c>
      <c r="BI414" s="65">
        <v>0.0</v>
      </c>
      <c r="BJ414" s="65">
        <v>0.0</v>
      </c>
      <c r="BK414" s="65">
        <v>0.0</v>
      </c>
      <c r="BL414" s="65">
        <v>0.0</v>
      </c>
      <c r="BM414" s="65">
        <v>0.0</v>
      </c>
      <c r="BN414" s="65">
        <v>0.0</v>
      </c>
      <c r="BO414" s="65">
        <v>0.0</v>
      </c>
      <c r="BP414" s="65">
        <v>0.0</v>
      </c>
      <c r="BQ414" s="65">
        <v>0.0</v>
      </c>
      <c r="BR414" s="65">
        <v>0.0</v>
      </c>
      <c r="BS414" s="65">
        <v>0.0</v>
      </c>
      <c r="BT414" s="88">
        <v>0.0</v>
      </c>
      <c r="BU414" s="65">
        <v>0.0</v>
      </c>
      <c r="BV414" s="65">
        <v>0.0</v>
      </c>
      <c r="BW414" s="90">
        <v>0.0</v>
      </c>
      <c r="BX414" s="90">
        <v>0.0</v>
      </c>
      <c r="BY414" s="90" t="str">
        <f t="array" ref="BY414">XLOOKUP(C414,'PL TOTAL D0'!$A$3:$A$1991,'PL TOTAL D0'!$C$3:$C$1991,"")</f>
        <v/>
      </c>
    </row>
    <row r="415" ht="15.75" customHeight="1">
      <c r="A415" s="50" t="s">
        <v>24</v>
      </c>
      <c r="B415" s="50" t="s">
        <v>831</v>
      </c>
      <c r="C415" s="94" t="s">
        <v>3385</v>
      </c>
      <c r="D415" s="30" t="s">
        <v>89</v>
      </c>
      <c r="E415" s="95" t="s">
        <v>91</v>
      </c>
      <c r="F415" s="95" t="s">
        <v>521</v>
      </c>
      <c r="G415" s="47" t="str">
        <f t="shared" si="13"/>
        <v>David</v>
      </c>
      <c r="H415" s="74" t="s">
        <v>183</v>
      </c>
      <c r="I415" s="74" t="s">
        <v>66</v>
      </c>
      <c r="J415" s="47" t="str">
        <f t="shared" si="18"/>
        <v>Não</v>
      </c>
      <c r="K415" s="97">
        <v>45166.0</v>
      </c>
      <c r="L415" s="189"/>
      <c r="M415" s="62" t="s">
        <v>209</v>
      </c>
      <c r="N415" s="144">
        <v>0.015</v>
      </c>
      <c r="O415" s="62" t="s">
        <v>35</v>
      </c>
      <c r="P415" s="520">
        <v>0.1</v>
      </c>
      <c r="Q415" s="58"/>
      <c r="R415" s="58" t="s">
        <v>5638</v>
      </c>
      <c r="S415" s="62" t="s">
        <v>194</v>
      </c>
      <c r="T415" s="32" t="s">
        <v>836</v>
      </c>
      <c r="U415" s="33">
        <v>5.543999950224E12</v>
      </c>
      <c r="V415" s="33" t="s">
        <v>838</v>
      </c>
      <c r="W415" s="48">
        <v>26964.0</v>
      </c>
      <c r="X415" s="23" t="s">
        <v>221</v>
      </c>
      <c r="Y415" s="49" t="str">
        <f t="shared" si="19"/>
        <v>Ativo</v>
      </c>
      <c r="Z415" s="62"/>
      <c r="AA415" s="62"/>
      <c r="AB415" s="64" t="s">
        <v>269</v>
      </c>
      <c r="AC415" s="79"/>
      <c r="AD415" s="54">
        <v>45166.0</v>
      </c>
      <c r="AE415" s="77">
        <v>4.9075100006687E13</v>
      </c>
      <c r="AF415" s="79"/>
      <c r="AG415" s="79"/>
      <c r="AH415" s="79"/>
      <c r="AI415" s="79"/>
      <c r="AJ415" s="79"/>
      <c r="AK415" s="79"/>
      <c r="AL415" s="65">
        <v>0.0</v>
      </c>
      <c r="AM415" s="65">
        <v>0.0</v>
      </c>
      <c r="AN415" s="65">
        <v>0.0</v>
      </c>
      <c r="AO415" s="65">
        <v>0.0</v>
      </c>
      <c r="AP415" s="65">
        <v>150839.36</v>
      </c>
      <c r="AQ415" s="65">
        <v>151158.65</v>
      </c>
      <c r="AR415" s="65">
        <v>155985.48</v>
      </c>
      <c r="AS415" s="65">
        <v>159430.4</v>
      </c>
      <c r="AT415" s="65">
        <v>162488.4</v>
      </c>
      <c r="AU415" s="65">
        <v>160193.34</v>
      </c>
      <c r="AV415" s="65">
        <v>161566.9</v>
      </c>
      <c r="AW415" s="65">
        <v>162955.89</v>
      </c>
      <c r="AX415" s="65">
        <v>161962.69</v>
      </c>
      <c r="AY415" s="65">
        <v>161363.3</v>
      </c>
      <c r="AZ415" s="65">
        <v>162364.3</v>
      </c>
      <c r="BA415" s="65">
        <v>164635.7</v>
      </c>
      <c r="BB415" s="65">
        <v>166595.23</v>
      </c>
      <c r="BC415" s="65">
        <v>64742.15</v>
      </c>
      <c r="BD415" s="65">
        <v>64088.18</v>
      </c>
      <c r="BE415" s="65">
        <v>63687.34</v>
      </c>
      <c r="BF415" s="65">
        <v>63668.32</v>
      </c>
      <c r="BG415" s="65">
        <v>64556.5</v>
      </c>
      <c r="BH415" s="65">
        <v>65158.84</v>
      </c>
      <c r="BI415" s="65">
        <v>65708.61</v>
      </c>
      <c r="BJ415" s="65">
        <v>65896.3</v>
      </c>
      <c r="BK415" s="65">
        <v>67086.86</v>
      </c>
      <c r="BL415" s="65">
        <v>67572.86</v>
      </c>
      <c r="BM415" s="65">
        <v>68068.76</v>
      </c>
      <c r="BN415" s="65">
        <v>68708.73</v>
      </c>
      <c r="BO415" s="65">
        <v>69544.9</v>
      </c>
      <c r="BP415" s="65">
        <v>70071.2</v>
      </c>
      <c r="BQ415" s="65">
        <v>71229.75</v>
      </c>
      <c r="BR415" s="65">
        <v>71913.9</v>
      </c>
      <c r="BS415" s="65">
        <v>72677.2</v>
      </c>
      <c r="BT415" s="88">
        <v>73469.71</v>
      </c>
      <c r="BU415" s="65">
        <v>74482.42</v>
      </c>
      <c r="BV415" s="65">
        <v>73895.91</v>
      </c>
      <c r="BW415" s="90">
        <v>72476.94</v>
      </c>
      <c r="BX415" s="90">
        <v>73655.39</v>
      </c>
      <c r="BY415" s="90">
        <f t="array" ref="BY415">XLOOKUP(C415,'PL TOTAL D0'!$A$3:$A$1991,'PL TOTAL D0'!$C$3:$C$1991,"")</f>
        <v>74770.95</v>
      </c>
    </row>
    <row r="416" ht="15.75" customHeight="1">
      <c r="A416" s="50" t="s">
        <v>24</v>
      </c>
      <c r="B416" s="43" t="s">
        <v>5655</v>
      </c>
      <c r="C416" s="94" t="s">
        <v>2879</v>
      </c>
      <c r="D416" s="30" t="s">
        <v>210</v>
      </c>
      <c r="E416" s="22" t="s">
        <v>199</v>
      </c>
      <c r="F416" s="22" t="s">
        <v>275</v>
      </c>
      <c r="G416" s="47" t="str">
        <f t="shared" si="13"/>
        <v>David</v>
      </c>
      <c r="H416" s="49" t="s">
        <v>183</v>
      </c>
      <c r="I416" s="49" t="s">
        <v>66</v>
      </c>
      <c r="J416" s="47" t="str">
        <f t="shared" si="18"/>
        <v>Sim</v>
      </c>
      <c r="K416" s="54">
        <v>46079.0</v>
      </c>
      <c r="L416" s="189"/>
      <c r="M416" s="32" t="s">
        <v>213</v>
      </c>
      <c r="N416" s="199">
        <v>0.01</v>
      </c>
      <c r="O416" s="32" t="s">
        <v>66</v>
      </c>
      <c r="P416" s="702">
        <v>0.0</v>
      </c>
      <c r="Q416" s="58" t="s">
        <v>5658</v>
      </c>
      <c r="R416" s="58"/>
      <c r="S416" s="32" t="s">
        <v>234</v>
      </c>
      <c r="T416" s="32" t="s">
        <v>5659</v>
      </c>
      <c r="U416" s="33" t="s">
        <v>5660</v>
      </c>
      <c r="V416" s="33" t="s">
        <v>5661</v>
      </c>
      <c r="W416" s="48">
        <v>43286.0</v>
      </c>
      <c r="X416" s="23" t="s">
        <v>199</v>
      </c>
      <c r="Y416" s="49" t="str">
        <f t="shared" si="19"/>
        <v>Ativo</v>
      </c>
      <c r="Z416" s="62"/>
      <c r="AA416" s="32" t="s">
        <v>107</v>
      </c>
      <c r="AB416" s="64"/>
      <c r="AC416" s="79"/>
      <c r="AD416" s="54">
        <v>46203.0</v>
      </c>
      <c r="AE416" s="77"/>
      <c r="AF416" s="79"/>
      <c r="AG416" s="79"/>
      <c r="AH416" s="79"/>
      <c r="AI416" s="79"/>
      <c r="AJ416" s="79"/>
      <c r="AK416" s="79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  <c r="BE416" s="65"/>
      <c r="BF416" s="65"/>
      <c r="BG416" s="65"/>
      <c r="BH416" s="65"/>
      <c r="BI416" s="65"/>
      <c r="BJ416" s="65"/>
      <c r="BK416" s="65"/>
      <c r="BL416" s="65"/>
      <c r="BM416" s="65"/>
      <c r="BN416" s="65"/>
      <c r="BO416" s="65"/>
      <c r="BP416" s="65"/>
      <c r="BQ416" s="65"/>
      <c r="BR416" s="65"/>
      <c r="BS416" s="65"/>
      <c r="BT416" s="88">
        <v>200000.0</v>
      </c>
      <c r="BU416" s="65">
        <v>505806.8</v>
      </c>
      <c r="BV416" s="65">
        <v>511261.4</v>
      </c>
      <c r="BW416" s="90">
        <v>515189.0</v>
      </c>
      <c r="BX416" s="90">
        <v>520306.85</v>
      </c>
      <c r="BY416" s="90">
        <f t="array" ref="BY416">XLOOKUP(C416,'PL TOTAL D0'!$A$3:$A$1991,'PL TOTAL D0'!$C$3:$C$1991,"")</f>
        <v>526312.37</v>
      </c>
    </row>
    <row r="417" ht="15.75" customHeight="1">
      <c r="A417" s="50" t="s">
        <v>24</v>
      </c>
      <c r="B417" s="43" t="s">
        <v>5666</v>
      </c>
      <c r="C417" s="94" t="s">
        <v>2732</v>
      </c>
      <c r="D417" s="30" t="s">
        <v>89</v>
      </c>
      <c r="E417" s="95" t="s">
        <v>91</v>
      </c>
      <c r="F417" s="95" t="s">
        <v>521</v>
      </c>
      <c r="G417" s="47" t="str">
        <f t="shared" si="13"/>
        <v>Gabriel</v>
      </c>
      <c r="H417" s="49" t="s">
        <v>183</v>
      </c>
      <c r="I417" s="49" t="s">
        <v>66</v>
      </c>
      <c r="J417" s="47" t="str">
        <f t="shared" si="18"/>
        <v>Não</v>
      </c>
      <c r="K417" s="54">
        <v>45694.0</v>
      </c>
      <c r="L417" s="189"/>
      <c r="M417" s="32" t="s">
        <v>61</v>
      </c>
      <c r="N417" s="199">
        <v>0.012</v>
      </c>
      <c r="O417" s="32" t="s">
        <v>66</v>
      </c>
      <c r="P417" s="702">
        <v>0.0</v>
      </c>
      <c r="Q417" s="58"/>
      <c r="R417" s="58"/>
      <c r="S417" s="32" t="s">
        <v>234</v>
      </c>
      <c r="T417" s="32" t="s">
        <v>5667</v>
      </c>
      <c r="U417" s="33">
        <v>5.544999926511E12</v>
      </c>
      <c r="V417" s="33" t="s">
        <v>556</v>
      </c>
      <c r="W417" s="48">
        <v>41205.0</v>
      </c>
      <c r="X417" s="23" t="s">
        <v>221</v>
      </c>
      <c r="Y417" s="49" t="str">
        <f t="shared" si="19"/>
        <v>Ativo</v>
      </c>
      <c r="Z417" s="62"/>
      <c r="AA417" s="32" t="s">
        <v>47</v>
      </c>
      <c r="AB417" s="64"/>
      <c r="AC417" s="79"/>
      <c r="AD417" s="54">
        <v>45721.0</v>
      </c>
      <c r="AE417" s="77">
        <v>4.9075100018251E13</v>
      </c>
      <c r="AF417" s="79"/>
      <c r="AG417" s="79"/>
      <c r="AH417" s="79"/>
      <c r="AI417" s="79"/>
      <c r="AJ417" s="79"/>
      <c r="AK417" s="79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  <c r="BE417" s="65"/>
      <c r="BF417" s="65"/>
      <c r="BG417" s="65"/>
      <c r="BH417" s="65">
        <v>0.0</v>
      </c>
      <c r="BI417" s="65">
        <v>139687.7</v>
      </c>
      <c r="BJ417" s="65">
        <v>159623.65</v>
      </c>
      <c r="BK417" s="65">
        <v>179307.42</v>
      </c>
      <c r="BL417" s="65">
        <v>195754.22</v>
      </c>
      <c r="BM417" s="65">
        <v>215980.08</v>
      </c>
      <c r="BN417" s="65">
        <v>236337.2</v>
      </c>
      <c r="BO417" s="65">
        <v>256995.82</v>
      </c>
      <c r="BP417" s="65">
        <v>279085.8</v>
      </c>
      <c r="BQ417" s="65">
        <v>299996.7</v>
      </c>
      <c r="BR417" s="65">
        <v>320013.3</v>
      </c>
      <c r="BS417" s="65">
        <v>355131.93</v>
      </c>
      <c r="BT417" s="88">
        <v>375611.8</v>
      </c>
      <c r="BU417" s="65">
        <v>397644.3</v>
      </c>
      <c r="BV417" s="65">
        <v>427448.4</v>
      </c>
      <c r="BW417" s="90">
        <v>756377.5</v>
      </c>
      <c r="BX417" s="90">
        <v>843309.56</v>
      </c>
      <c r="BY417" s="90">
        <f t="array" ref="BY417">XLOOKUP(C417,'PL TOTAL D0'!$A$3:$A$1991,'PL TOTAL D0'!$C$3:$C$1991,"")</f>
        <v>916239.45</v>
      </c>
    </row>
    <row r="418" ht="15.75" customHeight="1">
      <c r="A418" s="50" t="s">
        <v>24</v>
      </c>
      <c r="B418" s="50" t="s">
        <v>5673</v>
      </c>
      <c r="C418" s="94" t="s">
        <v>5674</v>
      </c>
      <c r="D418" s="81" t="s">
        <v>255</v>
      </c>
      <c r="E418" s="95" t="s">
        <v>199</v>
      </c>
      <c r="F418" s="81" t="s">
        <v>257</v>
      </c>
      <c r="G418" s="47" t="str">
        <f t="shared" si="13"/>
        <v>David</v>
      </c>
      <c r="H418" s="152" t="s">
        <v>224</v>
      </c>
      <c r="I418" s="49" t="s">
        <v>66</v>
      </c>
      <c r="J418" s="47" t="str">
        <f t="shared" si="18"/>
        <v>Não</v>
      </c>
      <c r="K418" s="553">
        <v>45140.0</v>
      </c>
      <c r="L418" s="708">
        <v>45516.0</v>
      </c>
      <c r="M418" s="62" t="s">
        <v>61</v>
      </c>
      <c r="N418" s="366">
        <v>0.01</v>
      </c>
      <c r="O418" s="81" t="s">
        <v>66</v>
      </c>
      <c r="P418" s="82">
        <v>0.0</v>
      </c>
      <c r="Q418" s="58"/>
      <c r="R418" s="153" t="s">
        <v>1767</v>
      </c>
      <c r="S418" s="95" t="s">
        <v>194</v>
      </c>
      <c r="T418" s="32" t="s">
        <v>5678</v>
      </c>
      <c r="U418" s="33" t="s">
        <v>268</v>
      </c>
      <c r="V418" s="33"/>
      <c r="W418" s="33" t="s">
        <v>268</v>
      </c>
      <c r="X418" s="30" t="s">
        <v>199</v>
      </c>
      <c r="Y418" s="49" t="str">
        <f t="shared" si="19"/>
        <v>Encerrado</v>
      </c>
      <c r="Z418" s="95"/>
      <c r="AA418" s="95"/>
      <c r="AB418" s="709" t="s">
        <v>269</v>
      </c>
      <c r="AC418" s="96"/>
      <c r="AD418" s="54">
        <v>45140.0</v>
      </c>
      <c r="AE418" s="77">
        <v>4.9075100007152E13</v>
      </c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0">
        <v>2602048.34</v>
      </c>
      <c r="AQ418" s="90">
        <v>2732335.22</v>
      </c>
      <c r="AR418" s="65">
        <v>2754067.6</v>
      </c>
      <c r="AS418" s="65">
        <v>2770541.78</v>
      </c>
      <c r="AT418" s="65">
        <v>2791200.63</v>
      </c>
      <c r="AU418" s="65">
        <v>2800945.46</v>
      </c>
      <c r="AV418" s="65">
        <v>2815410.01</v>
      </c>
      <c r="AW418" s="65">
        <v>2839628.15</v>
      </c>
      <c r="AX418" s="65">
        <v>2853685.02</v>
      </c>
      <c r="AY418" s="65">
        <v>2872593.0</v>
      </c>
      <c r="AZ418" s="65">
        <v>2893378.0</v>
      </c>
      <c r="BA418" s="65">
        <v>0.0</v>
      </c>
      <c r="BB418" s="65">
        <v>0.0</v>
      </c>
      <c r="BC418" s="65">
        <v>0.0</v>
      </c>
      <c r="BD418" s="65">
        <v>0.0</v>
      </c>
      <c r="BE418" s="65">
        <v>0.0</v>
      </c>
      <c r="BF418" s="65">
        <v>0.0</v>
      </c>
      <c r="BG418" s="65">
        <v>0.0</v>
      </c>
      <c r="BH418" s="65">
        <v>0.0</v>
      </c>
      <c r="BI418" s="65">
        <v>0.0</v>
      </c>
      <c r="BJ418" s="65">
        <v>0.0</v>
      </c>
      <c r="BK418" s="65">
        <v>0.0</v>
      </c>
      <c r="BL418" s="65">
        <v>0.0</v>
      </c>
      <c r="BM418" s="65">
        <v>0.0</v>
      </c>
      <c r="BN418" s="65">
        <v>0.0</v>
      </c>
      <c r="BO418" s="65">
        <v>0.0</v>
      </c>
      <c r="BP418" s="65">
        <v>0.0</v>
      </c>
      <c r="BQ418" s="65">
        <v>0.0</v>
      </c>
      <c r="BR418" s="65">
        <v>0.0</v>
      </c>
      <c r="BS418" s="65">
        <v>0.0</v>
      </c>
      <c r="BT418" s="88">
        <v>0.0</v>
      </c>
      <c r="BU418" s="65">
        <v>0.0</v>
      </c>
      <c r="BV418" s="65">
        <v>0.0</v>
      </c>
      <c r="BW418" s="90">
        <v>0.0</v>
      </c>
      <c r="BX418" s="90">
        <v>0.0</v>
      </c>
      <c r="BY418" s="90" t="str">
        <f t="array" ref="BY418">XLOOKUP(C418,'PL TOTAL D0'!$A$3:$A$1991,'PL TOTAL D0'!$C$3:$C$1991,"")</f>
        <v/>
      </c>
    </row>
    <row r="419" ht="15.75" customHeight="1">
      <c r="A419" s="50" t="s">
        <v>24</v>
      </c>
      <c r="B419" s="43" t="s">
        <v>5682</v>
      </c>
      <c r="C419" s="94" t="s">
        <v>5683</v>
      </c>
      <c r="D419" s="30" t="s">
        <v>120</v>
      </c>
      <c r="E419" s="22" t="s">
        <v>199</v>
      </c>
      <c r="F419" s="30" t="s">
        <v>431</v>
      </c>
      <c r="G419" s="47" t="str">
        <f t="shared" si="13"/>
        <v>David</v>
      </c>
      <c r="H419" s="152" t="s">
        <v>295</v>
      </c>
      <c r="I419" s="49" t="s">
        <v>447</v>
      </c>
      <c r="J419" s="47" t="str">
        <f t="shared" si="18"/>
        <v>Sim</v>
      </c>
      <c r="K419" s="711">
        <v>45623.0</v>
      </c>
      <c r="L419" s="708"/>
      <c r="M419" s="32" t="s">
        <v>201</v>
      </c>
      <c r="N419" s="29">
        <v>0.003</v>
      </c>
      <c r="O419" s="30" t="s">
        <v>66</v>
      </c>
      <c r="P419" s="173">
        <v>0.0</v>
      </c>
      <c r="Q419" s="58" t="s">
        <v>4811</v>
      </c>
      <c r="R419" s="153"/>
      <c r="S419" s="22" t="s">
        <v>194</v>
      </c>
      <c r="T419" s="32" t="s">
        <v>5687</v>
      </c>
      <c r="U419" s="33">
        <v>5.531987481718E12</v>
      </c>
      <c r="V419" s="33" t="s">
        <v>5690</v>
      </c>
      <c r="W419" s="34">
        <v>32552.0</v>
      </c>
      <c r="X419" s="30" t="s">
        <v>618</v>
      </c>
      <c r="Y419" s="49" t="str">
        <f t="shared" si="19"/>
        <v>Ativo</v>
      </c>
      <c r="Z419" s="95"/>
      <c r="AA419" s="22" t="s">
        <v>47</v>
      </c>
      <c r="AB419" s="709"/>
      <c r="AC419" s="96"/>
      <c r="AD419" s="54">
        <v>45623.0</v>
      </c>
      <c r="AE419" s="77">
        <v>4.9075100016305E13</v>
      </c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0"/>
      <c r="AQ419" s="90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  <c r="BE419" s="65">
        <v>0.0</v>
      </c>
      <c r="BF419" s="65">
        <v>0.0</v>
      </c>
      <c r="BG419" s="65">
        <v>0.0</v>
      </c>
      <c r="BH419" s="65">
        <v>0.0</v>
      </c>
      <c r="BI419" s="65">
        <v>0.0</v>
      </c>
      <c r="BJ419" s="65">
        <v>0.0</v>
      </c>
      <c r="BK419" s="65">
        <v>0.0</v>
      </c>
      <c r="BL419" s="65">
        <v>0.0</v>
      </c>
      <c r="BM419" s="65">
        <v>0.0</v>
      </c>
      <c r="BN419" s="65">
        <v>0.0</v>
      </c>
      <c r="BO419" s="65">
        <v>0.0</v>
      </c>
      <c r="BP419" s="65">
        <v>0.0</v>
      </c>
      <c r="BQ419" s="65">
        <v>0.0</v>
      </c>
      <c r="BR419" s="65">
        <v>0.0</v>
      </c>
      <c r="BS419" s="65">
        <v>0.0</v>
      </c>
      <c r="BT419" s="88">
        <v>0.0</v>
      </c>
      <c r="BU419" s="65">
        <v>0.0</v>
      </c>
      <c r="BV419" s="65">
        <v>0.0</v>
      </c>
      <c r="BW419" s="90">
        <v>0.0</v>
      </c>
      <c r="BX419" s="90">
        <v>0.0</v>
      </c>
      <c r="BY419" s="90" t="str">
        <f t="array" ref="BY419">XLOOKUP(C419,'PL TOTAL D0'!$A$3:$A$1991,'PL TOTAL D0'!$C$3:$C$1991,"")</f>
        <v/>
      </c>
    </row>
    <row r="420" ht="15.75" customHeight="1">
      <c r="A420" s="50" t="s">
        <v>24</v>
      </c>
      <c r="B420" s="405" t="s">
        <v>5706</v>
      </c>
      <c r="C420" s="94" t="s">
        <v>5707</v>
      </c>
      <c r="D420" s="81" t="s">
        <v>120</v>
      </c>
      <c r="E420" s="95" t="s">
        <v>199</v>
      </c>
      <c r="F420" s="95" t="s">
        <v>677</v>
      </c>
      <c r="G420" s="47" t="str">
        <f t="shared" si="13"/>
        <v>David</v>
      </c>
      <c r="H420" s="49" t="s">
        <v>224</v>
      </c>
      <c r="I420" s="49" t="s">
        <v>66</v>
      </c>
      <c r="J420" s="47" t="str">
        <f>IF(R420=0,"Não","Sim")</f>
        <v>Sim</v>
      </c>
      <c r="K420" s="97">
        <v>45180.0</v>
      </c>
      <c r="L420" s="55">
        <v>45449.0</v>
      </c>
      <c r="M420" s="62" t="s">
        <v>61</v>
      </c>
      <c r="N420" s="144">
        <v>0.012</v>
      </c>
      <c r="O420" s="47" t="s">
        <v>66</v>
      </c>
      <c r="P420" s="99">
        <v>0.0</v>
      </c>
      <c r="Q420" s="58"/>
      <c r="R420" s="195" t="s">
        <v>1767</v>
      </c>
      <c r="S420" s="62" t="s">
        <v>194</v>
      </c>
      <c r="T420" s="32" t="s">
        <v>5708</v>
      </c>
      <c r="U420" s="33" t="s">
        <v>268</v>
      </c>
      <c r="V420" s="33"/>
      <c r="W420" s="33" t="s">
        <v>268</v>
      </c>
      <c r="X420" s="23" t="s">
        <v>397</v>
      </c>
      <c r="Y420" s="49" t="str">
        <f t="shared" si="19"/>
        <v>Encerrado</v>
      </c>
      <c r="Z420" s="62"/>
      <c r="AA420" s="62"/>
      <c r="AB420" s="64" t="s">
        <v>269</v>
      </c>
      <c r="AC420" s="79"/>
      <c r="AD420" s="54">
        <v>45180.0</v>
      </c>
      <c r="AE420" s="77">
        <v>4.9075100012369E13</v>
      </c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65">
        <v>140046.36</v>
      </c>
      <c r="AR420" s="65">
        <v>137218.75</v>
      </c>
      <c r="AS420" s="65">
        <v>142385.63</v>
      </c>
      <c r="AT420" s="65">
        <v>144548.32</v>
      </c>
      <c r="AU420" s="65">
        <v>0.0</v>
      </c>
      <c r="AV420" s="65">
        <v>0.0</v>
      </c>
      <c r="AW420" s="65">
        <v>0.0</v>
      </c>
      <c r="AX420" s="65">
        <v>0.0</v>
      </c>
      <c r="AY420" s="65">
        <v>0.0</v>
      </c>
      <c r="AZ420" s="65">
        <v>0.0</v>
      </c>
      <c r="BA420" s="65">
        <v>0.0</v>
      </c>
      <c r="BB420" s="65">
        <v>0.0</v>
      </c>
      <c r="BC420" s="65">
        <v>0.0</v>
      </c>
      <c r="BD420" s="65">
        <v>0.0</v>
      </c>
      <c r="BE420" s="65">
        <v>0.0</v>
      </c>
      <c r="BF420" s="65">
        <v>0.0</v>
      </c>
      <c r="BG420" s="65">
        <v>0.0</v>
      </c>
      <c r="BH420" s="65">
        <v>0.0</v>
      </c>
      <c r="BI420" s="65">
        <v>0.0</v>
      </c>
      <c r="BJ420" s="65">
        <v>0.0</v>
      </c>
      <c r="BK420" s="65">
        <v>0.0</v>
      </c>
      <c r="BL420" s="65">
        <v>0.0</v>
      </c>
      <c r="BM420" s="65">
        <v>0.0</v>
      </c>
      <c r="BN420" s="65">
        <v>0.0</v>
      </c>
      <c r="BO420" s="65">
        <v>0.0</v>
      </c>
      <c r="BP420" s="65">
        <v>0.0</v>
      </c>
      <c r="BQ420" s="65">
        <v>0.0</v>
      </c>
      <c r="BR420" s="65">
        <v>0.0</v>
      </c>
      <c r="BS420" s="65">
        <v>0.0</v>
      </c>
      <c r="BT420" s="88">
        <v>0.0</v>
      </c>
      <c r="BU420" s="65">
        <v>0.0</v>
      </c>
      <c r="BV420" s="65">
        <v>0.0</v>
      </c>
      <c r="BW420" s="90">
        <v>0.0</v>
      </c>
      <c r="BX420" s="90">
        <v>0.0</v>
      </c>
      <c r="BY420" s="90" t="str">
        <f t="array" ref="BY420">XLOOKUP(C420,'PL TOTAL D0'!$A$3:$A$1991,'PL TOTAL D0'!$C$3:$C$1991,"")</f>
        <v/>
      </c>
    </row>
    <row r="421" ht="15.75" customHeight="1">
      <c r="A421" s="50" t="s">
        <v>24</v>
      </c>
      <c r="B421" s="50" t="s">
        <v>5712</v>
      </c>
      <c r="C421" s="94" t="s">
        <v>5713</v>
      </c>
      <c r="D421" s="81" t="s">
        <v>120</v>
      </c>
      <c r="E421" s="95" t="s">
        <v>199</v>
      </c>
      <c r="F421" s="22" t="s">
        <v>290</v>
      </c>
      <c r="G421" s="47" t="str">
        <f t="shared" si="13"/>
        <v>David</v>
      </c>
      <c r="H421" s="49" t="s">
        <v>295</v>
      </c>
      <c r="I421" s="49" t="s">
        <v>382</v>
      </c>
      <c r="J421" s="47" t="str">
        <f t="shared" ref="J421:J427" si="20">IF(Q421=0,"Não","Sim")</f>
        <v>Não</v>
      </c>
      <c r="K421" s="97">
        <v>45049.0</v>
      </c>
      <c r="L421" s="62"/>
      <c r="M421" s="62" t="s">
        <v>361</v>
      </c>
      <c r="N421" s="144">
        <v>0.02</v>
      </c>
      <c r="O421" s="62" t="s">
        <v>35</v>
      </c>
      <c r="P421" s="520">
        <v>0.2</v>
      </c>
      <c r="Q421" s="58"/>
      <c r="R421" s="58" t="s">
        <v>5717</v>
      </c>
      <c r="S421" s="62" t="s">
        <v>194</v>
      </c>
      <c r="T421" s="32" t="s">
        <v>5718</v>
      </c>
      <c r="U421" s="33">
        <v>5.561999282518E12</v>
      </c>
      <c r="V421" s="33" t="s">
        <v>5719</v>
      </c>
      <c r="W421" s="34">
        <v>36630.0</v>
      </c>
      <c r="X421" s="23" t="s">
        <v>199</v>
      </c>
      <c r="Y421" s="49" t="str">
        <f t="shared" si="19"/>
        <v>Ativo</v>
      </c>
      <c r="Z421" s="62"/>
      <c r="AA421" s="62"/>
      <c r="AB421" s="64" t="s">
        <v>269</v>
      </c>
      <c r="AC421" s="79"/>
      <c r="AD421" s="54">
        <v>45049.0</v>
      </c>
      <c r="AE421" s="77">
        <v>4.9075100007225E13</v>
      </c>
      <c r="AF421" s="79"/>
      <c r="AG421" s="79"/>
      <c r="AH421" s="79"/>
      <c r="AI421" s="79"/>
      <c r="AJ421" s="79"/>
      <c r="AK421" s="79"/>
      <c r="AL421" s="65">
        <v>20000.0</v>
      </c>
      <c r="AM421" s="65">
        <v>22448.47</v>
      </c>
      <c r="AN421" s="65">
        <v>27560.74</v>
      </c>
      <c r="AO421" s="65">
        <v>30883.77</v>
      </c>
      <c r="AP421" s="65">
        <v>42960.57</v>
      </c>
      <c r="AQ421" s="65">
        <v>42867.55</v>
      </c>
      <c r="AR421" s="65">
        <v>42436.21</v>
      </c>
      <c r="AS421" s="65">
        <v>45603.16</v>
      </c>
      <c r="AT421" s="65">
        <v>46752.95</v>
      </c>
      <c r="AU421" s="65">
        <v>47818.23</v>
      </c>
      <c r="AV421" s="65">
        <v>48284.92</v>
      </c>
      <c r="AW421" s="65">
        <v>54098.91</v>
      </c>
      <c r="AX421" s="65">
        <v>55670.24</v>
      </c>
      <c r="AY421" s="65">
        <v>55450.68</v>
      </c>
      <c r="AZ421" s="65">
        <v>23307.53</v>
      </c>
      <c r="BA421" s="65">
        <v>268.05</v>
      </c>
      <c r="BB421" s="65">
        <v>173.61</v>
      </c>
      <c r="BC421" s="65">
        <v>173.6</v>
      </c>
      <c r="BD421" s="65">
        <v>173.6</v>
      </c>
      <c r="BE421" s="65">
        <v>173.6</v>
      </c>
      <c r="BF421" s="65">
        <v>173.6</v>
      </c>
      <c r="BG421" s="65">
        <v>25.3</v>
      </c>
      <c r="BH421" s="65">
        <v>25.3</v>
      </c>
      <c r="BI421" s="65">
        <v>25.3</v>
      </c>
      <c r="BJ421" s="65">
        <v>25.3</v>
      </c>
      <c r="BK421" s="65">
        <v>25.3</v>
      </c>
      <c r="BL421" s="65">
        <v>25.3</v>
      </c>
      <c r="BM421" s="65">
        <v>25.3</v>
      </c>
      <c r="BN421" s="65">
        <v>25.31</v>
      </c>
      <c r="BO421" s="65">
        <v>25.31</v>
      </c>
      <c r="BP421" s="65">
        <v>25.31</v>
      </c>
      <c r="BQ421" s="65">
        <v>25.31</v>
      </c>
      <c r="BR421" s="65">
        <v>25.31</v>
      </c>
      <c r="BS421" s="65">
        <v>25.31</v>
      </c>
      <c r="BT421" s="88">
        <v>25.31</v>
      </c>
      <c r="BU421" s="65">
        <v>25.31</v>
      </c>
      <c r="BV421" s="65">
        <v>25.31</v>
      </c>
      <c r="BW421" s="90">
        <v>25.31</v>
      </c>
      <c r="BX421" s="90">
        <v>25.31</v>
      </c>
      <c r="BY421" s="90" t="str">
        <f t="array" ref="BY421">XLOOKUP(C421,'PL TOTAL D0'!$A$3:$A$1991,'PL TOTAL D0'!$C$3:$C$1991,"")</f>
        <v/>
      </c>
    </row>
    <row r="422" ht="15.75" customHeight="1">
      <c r="A422" s="43" t="s">
        <v>24</v>
      </c>
      <c r="B422" s="43" t="s">
        <v>5726</v>
      </c>
      <c r="C422" s="94" t="s">
        <v>5728</v>
      </c>
      <c r="D422" s="30" t="s">
        <v>120</v>
      </c>
      <c r="E422" s="22" t="s">
        <v>199</v>
      </c>
      <c r="F422" s="22" t="s">
        <v>290</v>
      </c>
      <c r="G422" s="47" t="str">
        <f t="shared" si="13"/>
        <v>David</v>
      </c>
      <c r="H422" s="49" t="s">
        <v>183</v>
      </c>
      <c r="I422" s="49" t="s">
        <v>382</v>
      </c>
      <c r="J422" s="47" t="str">
        <f t="shared" si="20"/>
        <v>Não</v>
      </c>
      <c r="K422" s="54">
        <v>45985.0</v>
      </c>
      <c r="L422" s="62"/>
      <c r="M422" s="32" t="s">
        <v>201</v>
      </c>
      <c r="N422" s="199">
        <v>0.0</v>
      </c>
      <c r="O422" s="32" t="s">
        <v>66</v>
      </c>
      <c r="P422" s="702">
        <v>0.0</v>
      </c>
      <c r="Q422" s="58"/>
      <c r="R422" s="58"/>
      <c r="S422" s="32" t="s">
        <v>194</v>
      </c>
      <c r="T422" s="32" t="s">
        <v>5731</v>
      </c>
      <c r="U422" s="33" t="s">
        <v>5732</v>
      </c>
      <c r="V422" s="33" t="s">
        <v>5733</v>
      </c>
      <c r="W422" s="48">
        <v>29399.0</v>
      </c>
      <c r="X422" s="23" t="s">
        <v>397</v>
      </c>
      <c r="Y422" s="49" t="str">
        <f t="shared" si="19"/>
        <v>Ativo</v>
      </c>
      <c r="Z422" s="62"/>
      <c r="AA422" s="32" t="s">
        <v>47</v>
      </c>
      <c r="AB422" s="64"/>
      <c r="AC422" s="79"/>
      <c r="AD422" s="54"/>
      <c r="AE422" s="77"/>
      <c r="AF422" s="79"/>
      <c r="AG422" s="79"/>
      <c r="AH422" s="79"/>
      <c r="AI422" s="79"/>
      <c r="AJ422" s="79"/>
      <c r="AK422" s="79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  <c r="BE422" s="65"/>
      <c r="BF422" s="65"/>
      <c r="BG422" s="65"/>
      <c r="BH422" s="65"/>
      <c r="BI422" s="65"/>
      <c r="BJ422" s="65"/>
      <c r="BK422" s="65"/>
      <c r="BL422" s="65"/>
      <c r="BM422" s="65"/>
      <c r="BN422" s="65"/>
      <c r="BO422" s="65"/>
      <c r="BP422" s="65"/>
      <c r="BQ422" s="65">
        <v>0.0</v>
      </c>
      <c r="BR422" s="65">
        <v>0.0</v>
      </c>
      <c r="BS422" s="65">
        <v>0.0</v>
      </c>
      <c r="BT422" s="88">
        <v>0.0</v>
      </c>
      <c r="BU422" s="65">
        <v>0.0</v>
      </c>
      <c r="BV422" s="65">
        <v>0.0</v>
      </c>
      <c r="BW422" s="90">
        <v>0.0</v>
      </c>
      <c r="BX422" s="90">
        <v>0.0</v>
      </c>
      <c r="BY422" s="90" t="str">
        <f t="array" ref="BY422">XLOOKUP(C422,'PL TOTAL D0'!$A$3:$A$1991,'PL TOTAL D0'!$C$3:$C$1991,"")</f>
        <v/>
      </c>
    </row>
    <row r="423" ht="15.75" customHeight="1">
      <c r="A423" s="43" t="s">
        <v>24</v>
      </c>
      <c r="B423" s="43" t="s">
        <v>5735</v>
      </c>
      <c r="C423" s="53" t="s">
        <v>3246</v>
      </c>
      <c r="D423" s="30" t="s">
        <v>53</v>
      </c>
      <c r="E423" s="22" t="s">
        <v>54</v>
      </c>
      <c r="F423" s="22" t="s">
        <v>55</v>
      </c>
      <c r="G423" s="47" t="str">
        <f t="shared" si="13"/>
        <v>David</v>
      </c>
      <c r="H423" s="49" t="s">
        <v>183</v>
      </c>
      <c r="I423" s="49" t="s">
        <v>66</v>
      </c>
      <c r="J423" s="47" t="str">
        <f t="shared" si="20"/>
        <v>Não</v>
      </c>
      <c r="K423" s="54">
        <v>46192.0</v>
      </c>
      <c r="L423" s="62"/>
      <c r="M423" s="32" t="s">
        <v>61</v>
      </c>
      <c r="N423" s="199">
        <v>0.012</v>
      </c>
      <c r="O423" s="32" t="s">
        <v>66</v>
      </c>
      <c r="P423" s="702">
        <v>0.0</v>
      </c>
      <c r="Q423" s="58"/>
      <c r="R423" s="58"/>
      <c r="S423" s="32" t="s">
        <v>194</v>
      </c>
      <c r="T423" s="32" t="s">
        <v>5736</v>
      </c>
      <c r="U423" s="33" t="s">
        <v>5737</v>
      </c>
      <c r="V423" s="33" t="s">
        <v>5738</v>
      </c>
      <c r="W423" s="48">
        <v>30685.0</v>
      </c>
      <c r="X423" s="23" t="s">
        <v>77</v>
      </c>
      <c r="Y423" s="49" t="str">
        <f t="shared" si="19"/>
        <v>Ativo</v>
      </c>
      <c r="Z423" s="62"/>
      <c r="AA423" s="32" t="s">
        <v>47</v>
      </c>
      <c r="AB423" s="64"/>
      <c r="AC423" s="79"/>
      <c r="AD423" s="54">
        <v>46203.0</v>
      </c>
      <c r="AE423" s="77"/>
      <c r="AF423" s="79"/>
      <c r="AG423" s="79"/>
      <c r="AH423" s="79"/>
      <c r="AI423" s="79"/>
      <c r="AJ423" s="79"/>
      <c r="AK423" s="79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5"/>
      <c r="BG423" s="65"/>
      <c r="BH423" s="65"/>
      <c r="BI423" s="65"/>
      <c r="BJ423" s="65"/>
      <c r="BK423" s="65"/>
      <c r="BL423" s="65"/>
      <c r="BM423" s="65"/>
      <c r="BN423" s="65"/>
      <c r="BO423" s="65"/>
      <c r="BP423" s="65"/>
      <c r="BQ423" s="65"/>
      <c r="BR423" s="65"/>
      <c r="BS423" s="65"/>
      <c r="BT423" s="88"/>
      <c r="BU423" s="65"/>
      <c r="BV423" s="65"/>
      <c r="BW423" s="90"/>
      <c r="BX423" s="90">
        <v>20000.0</v>
      </c>
      <c r="BY423" s="90">
        <f t="array" ref="BY423">XLOOKUP(C423,'PL TOTAL D0'!$A$3:$A$1991,'PL TOTAL D0'!$C$3:$C$1991,"")</f>
        <v>136245.74</v>
      </c>
    </row>
    <row r="424" ht="15.75" customHeight="1">
      <c r="A424" s="50" t="s">
        <v>24</v>
      </c>
      <c r="B424" s="50" t="s">
        <v>5745</v>
      </c>
      <c r="C424" s="94" t="s">
        <v>5746</v>
      </c>
      <c r="D424" s="81" t="s">
        <v>120</v>
      </c>
      <c r="E424" s="95" t="s">
        <v>199</v>
      </c>
      <c r="F424" s="81" t="s">
        <v>212</v>
      </c>
      <c r="G424" s="47" t="str">
        <f t="shared" si="13"/>
        <v>David</v>
      </c>
      <c r="H424" s="49" t="s">
        <v>295</v>
      </c>
      <c r="I424" s="49" t="s">
        <v>756</v>
      </c>
      <c r="J424" s="47" t="str">
        <f t="shared" si="20"/>
        <v>Não</v>
      </c>
      <c r="K424" s="97">
        <v>44993.0</v>
      </c>
      <c r="L424" s="62"/>
      <c r="M424" s="62" t="s">
        <v>61</v>
      </c>
      <c r="N424" s="98">
        <v>0.012</v>
      </c>
      <c r="O424" s="47" t="s">
        <v>66</v>
      </c>
      <c r="P424" s="99">
        <v>0.0</v>
      </c>
      <c r="Q424" s="58"/>
      <c r="R424" s="70"/>
      <c r="S424" s="62" t="s">
        <v>194</v>
      </c>
      <c r="T424" s="32" t="s">
        <v>5747</v>
      </c>
      <c r="U424" s="33">
        <v>5.561999883855E12</v>
      </c>
      <c r="V424" s="33" t="s">
        <v>5748</v>
      </c>
      <c r="W424" s="34">
        <v>30431.0</v>
      </c>
      <c r="X424" s="23" t="s">
        <v>199</v>
      </c>
      <c r="Y424" s="49" t="str">
        <f t="shared" si="19"/>
        <v>Ativo</v>
      </c>
      <c r="Z424" s="62"/>
      <c r="AA424" s="62"/>
      <c r="AB424" s="64" t="s">
        <v>269</v>
      </c>
      <c r="AC424" s="79"/>
      <c r="AD424" s="54">
        <v>44993.0</v>
      </c>
      <c r="AE424" s="77">
        <v>4.9075100011397E13</v>
      </c>
      <c r="AF424" s="79"/>
      <c r="AG424" s="79"/>
      <c r="AH424" s="79"/>
      <c r="AI424" s="79"/>
      <c r="AJ424" s="65">
        <v>0.0</v>
      </c>
      <c r="AK424" s="65">
        <v>67255.19</v>
      </c>
      <c r="AL424" s="65">
        <v>100244.63</v>
      </c>
      <c r="AM424" s="65">
        <v>101366.48</v>
      </c>
      <c r="AN424" s="65">
        <v>40.97</v>
      </c>
      <c r="AO424" s="65">
        <v>0.0</v>
      </c>
      <c r="AP424" s="65">
        <v>0.0</v>
      </c>
      <c r="AQ424" s="65">
        <v>0.0</v>
      </c>
      <c r="AR424" s="65">
        <v>0.0</v>
      </c>
      <c r="AS424" s="65">
        <v>0.0</v>
      </c>
      <c r="AT424" s="65">
        <v>0.0</v>
      </c>
      <c r="AU424" s="65">
        <v>0.0</v>
      </c>
      <c r="AV424" s="65">
        <v>0.0</v>
      </c>
      <c r="AW424" s="65">
        <v>0.0</v>
      </c>
      <c r="AX424" s="65">
        <v>51.44</v>
      </c>
      <c r="AY424" s="65">
        <v>51.44</v>
      </c>
      <c r="AZ424" s="65">
        <v>51.44</v>
      </c>
      <c r="BA424" s="65">
        <v>51.44</v>
      </c>
      <c r="BB424" s="65">
        <v>51.44</v>
      </c>
      <c r="BC424" s="65">
        <v>51.44</v>
      </c>
      <c r="BD424" s="65">
        <v>51.44</v>
      </c>
      <c r="BE424" s="65">
        <v>51.44</v>
      </c>
      <c r="BF424" s="65">
        <v>51.44</v>
      </c>
      <c r="BG424" s="65">
        <v>51.44</v>
      </c>
      <c r="BH424" s="65">
        <v>51.44</v>
      </c>
      <c r="BI424" s="65">
        <v>51.44</v>
      </c>
      <c r="BJ424" s="65">
        <v>51.44</v>
      </c>
      <c r="BK424" s="65">
        <v>51.44</v>
      </c>
      <c r="BL424" s="65">
        <v>51.44</v>
      </c>
      <c r="BM424" s="65">
        <v>51.44</v>
      </c>
      <c r="BN424" s="65">
        <v>51.44</v>
      </c>
      <c r="BO424" s="65">
        <v>51.44</v>
      </c>
      <c r="BP424" s="65">
        <v>51.44</v>
      </c>
      <c r="BQ424" s="65">
        <v>51.44</v>
      </c>
      <c r="BR424" s="65">
        <v>51.44</v>
      </c>
      <c r="BS424" s="65">
        <v>51.44</v>
      </c>
      <c r="BT424" s="88">
        <v>51.44</v>
      </c>
      <c r="BU424" s="65">
        <v>51.44</v>
      </c>
      <c r="BV424" s="65">
        <v>51.44</v>
      </c>
      <c r="BW424" s="90">
        <v>51.44</v>
      </c>
      <c r="BX424" s="90">
        <v>51.44</v>
      </c>
      <c r="BY424" s="90" t="str">
        <f t="array" ref="BY424">XLOOKUP(C424,'PL TOTAL D0'!$A$3:$A$1991,'PL TOTAL D0'!$C$3:$C$1991,"")</f>
        <v/>
      </c>
    </row>
    <row r="425" ht="15.75" customHeight="1">
      <c r="A425" s="50" t="s">
        <v>24</v>
      </c>
      <c r="B425" s="50" t="s">
        <v>5755</v>
      </c>
      <c r="C425" s="94" t="s">
        <v>5756</v>
      </c>
      <c r="D425" s="81" t="s">
        <v>120</v>
      </c>
      <c r="E425" s="95" t="s">
        <v>199</v>
      </c>
      <c r="F425" s="81" t="s">
        <v>212</v>
      </c>
      <c r="G425" s="47" t="str">
        <f t="shared" si="13"/>
        <v>David</v>
      </c>
      <c r="H425" s="49" t="s">
        <v>295</v>
      </c>
      <c r="I425" s="49" t="s">
        <v>756</v>
      </c>
      <c r="J425" s="47" t="str">
        <f t="shared" si="20"/>
        <v>Não</v>
      </c>
      <c r="K425" s="97">
        <v>45056.0</v>
      </c>
      <c r="L425" s="189"/>
      <c r="M425" s="62" t="s">
        <v>231</v>
      </c>
      <c r="N425" s="98">
        <v>0.025</v>
      </c>
      <c r="O425" s="23" t="s">
        <v>233</v>
      </c>
      <c r="P425" s="99">
        <v>0.2</v>
      </c>
      <c r="Q425" s="58"/>
      <c r="R425" s="70"/>
      <c r="S425" s="62" t="s">
        <v>194</v>
      </c>
      <c r="T425" s="32" t="s">
        <v>5747</v>
      </c>
      <c r="U425" s="33">
        <v>5.561999883855E12</v>
      </c>
      <c r="V425" s="33" t="s">
        <v>5748</v>
      </c>
      <c r="W425" s="34">
        <v>30431.0</v>
      </c>
      <c r="X425" s="23" t="s">
        <v>199</v>
      </c>
      <c r="Y425" s="49" t="str">
        <f t="shared" si="19"/>
        <v>Inativo</v>
      </c>
      <c r="Z425" s="62"/>
      <c r="AA425" s="62"/>
      <c r="AB425" s="64" t="s">
        <v>269</v>
      </c>
      <c r="AC425" s="79"/>
      <c r="AD425" s="54">
        <v>45056.0</v>
      </c>
      <c r="AE425" s="77">
        <v>4.9075100012377E13</v>
      </c>
      <c r="AF425" s="79"/>
      <c r="AG425" s="79"/>
      <c r="AH425" s="79"/>
      <c r="AI425" s="79"/>
      <c r="AJ425" s="65">
        <v>0.0</v>
      </c>
      <c r="AK425" s="65">
        <v>0.0</v>
      </c>
      <c r="AL425" s="65">
        <v>0.0</v>
      </c>
      <c r="AM425" s="65">
        <v>10590.8</v>
      </c>
      <c r="AN425" s="65">
        <v>862.31</v>
      </c>
      <c r="AO425" s="65">
        <v>0.0</v>
      </c>
      <c r="AP425" s="65">
        <v>0.0</v>
      </c>
      <c r="AQ425" s="65">
        <v>0.0</v>
      </c>
      <c r="AR425" s="65">
        <v>0.0</v>
      </c>
      <c r="AS425" s="65">
        <v>0.0</v>
      </c>
      <c r="AT425" s="65">
        <v>0.0</v>
      </c>
      <c r="AU425" s="65">
        <v>0.0</v>
      </c>
      <c r="AV425" s="65">
        <v>0.0</v>
      </c>
      <c r="AW425" s="65">
        <v>0.0</v>
      </c>
      <c r="AX425" s="65">
        <v>0.0</v>
      </c>
      <c r="AY425" s="65">
        <v>0.0</v>
      </c>
      <c r="AZ425" s="65">
        <v>0.0</v>
      </c>
      <c r="BA425" s="65">
        <v>0.0</v>
      </c>
      <c r="BB425" s="65">
        <v>0.0</v>
      </c>
      <c r="BC425" s="65">
        <v>0.0</v>
      </c>
      <c r="BD425" s="65">
        <v>0.0</v>
      </c>
      <c r="BE425" s="65">
        <v>0.0</v>
      </c>
      <c r="BF425" s="65">
        <v>0.0</v>
      </c>
      <c r="BG425" s="65">
        <v>0.0</v>
      </c>
      <c r="BH425" s="65">
        <v>0.0</v>
      </c>
      <c r="BI425" s="65">
        <v>0.0</v>
      </c>
      <c r="BJ425" s="65">
        <v>0.0</v>
      </c>
      <c r="BK425" s="65">
        <v>0.0</v>
      </c>
      <c r="BL425" s="65">
        <v>0.0</v>
      </c>
      <c r="BM425" s="65">
        <v>0.0</v>
      </c>
      <c r="BN425" s="65">
        <v>0.0</v>
      </c>
      <c r="BO425" s="65">
        <v>0.0</v>
      </c>
      <c r="BP425" s="65">
        <v>0.0</v>
      </c>
      <c r="BQ425" s="65">
        <v>0.0</v>
      </c>
      <c r="BR425" s="65">
        <v>0.0</v>
      </c>
      <c r="BS425" s="65">
        <v>0.0</v>
      </c>
      <c r="BT425" s="88">
        <v>0.0</v>
      </c>
      <c r="BU425" s="65">
        <v>0.0</v>
      </c>
      <c r="BV425" s="65">
        <v>0.0</v>
      </c>
      <c r="BW425" s="90">
        <v>0.0</v>
      </c>
      <c r="BX425" s="90">
        <v>0.0</v>
      </c>
      <c r="BY425" s="90" t="str">
        <f t="array" ref="BY425">XLOOKUP(C425,'PL TOTAL D0'!$A$3:$A$1991,'PL TOTAL D0'!$C$3:$C$1991,"")</f>
        <v/>
      </c>
    </row>
    <row r="426" ht="15.75" customHeight="1">
      <c r="A426" s="50" t="s">
        <v>24</v>
      </c>
      <c r="B426" s="50" t="s">
        <v>5764</v>
      </c>
      <c r="C426" s="94" t="s">
        <v>2641</v>
      </c>
      <c r="D426" s="81" t="s">
        <v>142</v>
      </c>
      <c r="E426" s="95" t="s">
        <v>54</v>
      </c>
      <c r="F426" s="81" t="s">
        <v>158</v>
      </c>
      <c r="G426" s="47" t="str">
        <f t="shared" si="13"/>
        <v>Marcus</v>
      </c>
      <c r="H426" s="74" t="s">
        <v>183</v>
      </c>
      <c r="I426" s="74" t="s">
        <v>66</v>
      </c>
      <c r="J426" s="47" t="str">
        <f t="shared" si="20"/>
        <v>Não</v>
      </c>
      <c r="K426" s="97">
        <v>45260.0</v>
      </c>
      <c r="L426" s="189"/>
      <c r="M426" s="62" t="s">
        <v>61</v>
      </c>
      <c r="N426" s="98">
        <v>0.01</v>
      </c>
      <c r="O426" s="47" t="s">
        <v>66</v>
      </c>
      <c r="P426" s="99">
        <v>0.0</v>
      </c>
      <c r="Q426" s="58"/>
      <c r="R426" s="70"/>
      <c r="S426" s="62" t="s">
        <v>194</v>
      </c>
      <c r="T426" s="32" t="s">
        <v>5766</v>
      </c>
      <c r="U426" s="33">
        <v>6.2981471456E10</v>
      </c>
      <c r="V426" s="33" t="s">
        <v>5767</v>
      </c>
      <c r="W426" s="34">
        <v>32162.0</v>
      </c>
      <c r="X426" s="23" t="s">
        <v>54</v>
      </c>
      <c r="Y426" s="49" t="str">
        <f t="shared" si="19"/>
        <v>Ativo</v>
      </c>
      <c r="Z426" s="62"/>
      <c r="AA426" s="62"/>
      <c r="AB426" s="64" t="s">
        <v>269</v>
      </c>
      <c r="AC426" s="79"/>
      <c r="AD426" s="54">
        <v>45260.0</v>
      </c>
      <c r="AE426" s="77">
        <v>4.9075100012393E13</v>
      </c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65">
        <v>338036.22</v>
      </c>
      <c r="AT426" s="65">
        <v>340522.0</v>
      </c>
      <c r="AU426" s="65">
        <v>343331.92</v>
      </c>
      <c r="AV426" s="65">
        <v>345734.41</v>
      </c>
      <c r="AW426" s="65">
        <v>348379.66</v>
      </c>
      <c r="AX426" s="65">
        <v>350826.87</v>
      </c>
      <c r="AY426" s="65">
        <v>670892.2</v>
      </c>
      <c r="AZ426" s="65">
        <v>676607.8</v>
      </c>
      <c r="BA426" s="65">
        <v>682511.6</v>
      </c>
      <c r="BB426" s="65">
        <v>687774.23</v>
      </c>
      <c r="BC426" s="65">
        <v>692366.71</v>
      </c>
      <c r="BD426" s="65">
        <v>698850.1</v>
      </c>
      <c r="BE426" s="65">
        <v>895140.31</v>
      </c>
      <c r="BF426" s="65">
        <v>903206.56</v>
      </c>
      <c r="BG426" s="65">
        <v>1013616.41</v>
      </c>
      <c r="BH426" s="65">
        <v>1023323.35</v>
      </c>
      <c r="BI426" s="65">
        <v>1030957.33</v>
      </c>
      <c r="BJ426" s="65">
        <v>1040361.35</v>
      </c>
      <c r="BK426" s="65">
        <v>1051089.06</v>
      </c>
      <c r="BL426" s="65">
        <v>1060730.79</v>
      </c>
      <c r="BM426" s="65">
        <v>1072985.7</v>
      </c>
      <c r="BN426" s="65">
        <v>1084347.0</v>
      </c>
      <c r="BO426" s="65">
        <v>1095428.08</v>
      </c>
      <c r="BP426" s="65">
        <v>1108135.0</v>
      </c>
      <c r="BQ426" s="65">
        <v>1118011.0</v>
      </c>
      <c r="BR426" s="65">
        <v>1124494.0</v>
      </c>
      <c r="BS426" s="65">
        <v>1135745.19</v>
      </c>
      <c r="BT426" s="88">
        <v>1145367.0</v>
      </c>
      <c r="BU426" s="65">
        <v>1478622.0</v>
      </c>
      <c r="BV426" s="65">
        <v>1495437.0</v>
      </c>
      <c r="BW426" s="90">
        <v>1501549.0</v>
      </c>
      <c r="BX426" s="90">
        <v>1504811.65</v>
      </c>
      <c r="BY426" s="90">
        <f t="array" ref="BY426">XLOOKUP(C426,'PL TOTAL D0'!$A$3:$A$1991,'PL TOTAL D0'!$C$3:$C$1991,"")</f>
        <v>1524140.31</v>
      </c>
    </row>
    <row r="427" ht="15.75" customHeight="1">
      <c r="A427" s="50" t="s">
        <v>24</v>
      </c>
      <c r="B427" s="50" t="s">
        <v>5764</v>
      </c>
      <c r="C427" s="94" t="s">
        <v>5775</v>
      </c>
      <c r="D427" s="81" t="s">
        <v>142</v>
      </c>
      <c r="E427" s="95" t="s">
        <v>54</v>
      </c>
      <c r="F427" s="81" t="s">
        <v>158</v>
      </c>
      <c r="G427" s="47" t="str">
        <f t="shared" si="13"/>
        <v>David</v>
      </c>
      <c r="H427" s="49" t="s">
        <v>224</v>
      </c>
      <c r="I427" s="49" t="s">
        <v>66</v>
      </c>
      <c r="J427" s="47" t="str">
        <f t="shared" si="20"/>
        <v>Não</v>
      </c>
      <c r="K427" s="97">
        <v>45260.0</v>
      </c>
      <c r="L427" s="186">
        <v>45531.0</v>
      </c>
      <c r="M427" s="62" t="s">
        <v>201</v>
      </c>
      <c r="N427" s="98">
        <v>0.0</v>
      </c>
      <c r="O427" s="47" t="s">
        <v>66</v>
      </c>
      <c r="P427" s="99">
        <v>0.0</v>
      </c>
      <c r="Q427" s="58"/>
      <c r="R427" s="70"/>
      <c r="S427" s="62" t="s">
        <v>194</v>
      </c>
      <c r="T427" s="32" t="s">
        <v>5766</v>
      </c>
      <c r="U427" s="33" t="s">
        <v>268</v>
      </c>
      <c r="V427" s="33"/>
      <c r="W427" s="33" t="s">
        <v>268</v>
      </c>
      <c r="X427" s="23" t="s">
        <v>54</v>
      </c>
      <c r="Y427" s="49" t="str">
        <f t="shared" si="19"/>
        <v>Encerrado</v>
      </c>
      <c r="Z427" s="62"/>
      <c r="AA427" s="62"/>
      <c r="AB427" s="64" t="s">
        <v>2158</v>
      </c>
      <c r="AC427" s="79"/>
      <c r="AD427" s="54">
        <v>45260.0</v>
      </c>
      <c r="AE427" s="77">
        <v>4.9075100012385E13</v>
      </c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65">
        <v>550719.1</v>
      </c>
      <c r="AT427" s="65">
        <v>564843.35</v>
      </c>
      <c r="AU427" s="65">
        <v>557066.15</v>
      </c>
      <c r="AV427" s="65">
        <v>563498.62</v>
      </c>
      <c r="AW427" s="65">
        <v>568342.23</v>
      </c>
      <c r="AX427" s="65">
        <v>564452.38</v>
      </c>
      <c r="AY427" s="65">
        <v>560162.5</v>
      </c>
      <c r="AZ427" s="65">
        <v>0.0</v>
      </c>
      <c r="BA427" s="65">
        <v>0.0</v>
      </c>
      <c r="BB427" s="65">
        <v>0.0</v>
      </c>
      <c r="BC427" s="65">
        <v>0.0</v>
      </c>
      <c r="BD427" s="65">
        <v>0.0</v>
      </c>
      <c r="BE427" s="65">
        <v>0.0</v>
      </c>
      <c r="BF427" s="65">
        <v>0.0</v>
      </c>
      <c r="BG427" s="65">
        <v>0.0</v>
      </c>
      <c r="BH427" s="65">
        <v>0.0</v>
      </c>
      <c r="BI427" s="65">
        <v>0.0</v>
      </c>
      <c r="BJ427" s="65">
        <v>0.0</v>
      </c>
      <c r="BK427" s="65">
        <v>0.0</v>
      </c>
      <c r="BL427" s="65">
        <v>0.0</v>
      </c>
      <c r="BM427" s="65">
        <v>0.0</v>
      </c>
      <c r="BN427" s="65">
        <v>0.0</v>
      </c>
      <c r="BO427" s="65">
        <v>0.0</v>
      </c>
      <c r="BP427" s="65">
        <v>0.0</v>
      </c>
      <c r="BQ427" s="65">
        <v>0.0</v>
      </c>
      <c r="BR427" s="65">
        <v>0.0</v>
      </c>
      <c r="BS427" s="65">
        <v>0.0</v>
      </c>
      <c r="BT427" s="88">
        <v>0.0</v>
      </c>
      <c r="BU427" s="65">
        <v>0.0</v>
      </c>
      <c r="BV427" s="65">
        <v>0.0</v>
      </c>
      <c r="BW427" s="90">
        <v>0.0</v>
      </c>
      <c r="BX427" s="90">
        <v>0.0</v>
      </c>
      <c r="BY427" s="90" t="str">
        <f t="array" ref="BY427">XLOOKUP(C427,'PL TOTAL D0'!$A$3:$A$1991,'PL TOTAL D0'!$C$3:$C$1991,"")</f>
        <v/>
      </c>
    </row>
    <row r="428" ht="15.75" customHeight="1">
      <c r="A428" s="43" t="s">
        <v>24</v>
      </c>
      <c r="B428" s="43" t="s">
        <v>5778</v>
      </c>
      <c r="C428" s="94" t="s">
        <v>3031</v>
      </c>
      <c r="D428" s="30" t="s">
        <v>53</v>
      </c>
      <c r="E428" s="22" t="s">
        <v>54</v>
      </c>
      <c r="F428" s="30" t="s">
        <v>507</v>
      </c>
      <c r="G428" s="47" t="str">
        <f t="shared" si="13"/>
        <v>Gabriel</v>
      </c>
      <c r="H428" s="49" t="s">
        <v>183</v>
      </c>
      <c r="I428" s="49" t="s">
        <v>66</v>
      </c>
      <c r="J428" s="23" t="s">
        <v>563</v>
      </c>
      <c r="K428" s="54">
        <v>45750.0</v>
      </c>
      <c r="L428" s="186"/>
      <c r="M428" s="32" t="s">
        <v>1678</v>
      </c>
      <c r="N428" s="56">
        <v>0.015</v>
      </c>
      <c r="O428" s="23" t="s">
        <v>66</v>
      </c>
      <c r="P428" s="57">
        <v>0.0</v>
      </c>
      <c r="Q428" s="58" t="s">
        <v>5780</v>
      </c>
      <c r="R428" s="58" t="s">
        <v>5781</v>
      </c>
      <c r="S428" s="32" t="s">
        <v>194</v>
      </c>
      <c r="T428" s="32" t="s">
        <v>5782</v>
      </c>
      <c r="U428" s="33">
        <v>5.563E12</v>
      </c>
      <c r="V428" s="33" t="s">
        <v>5783</v>
      </c>
      <c r="W428" s="34">
        <v>34384.0</v>
      </c>
      <c r="X428" s="23" t="s">
        <v>54</v>
      </c>
      <c r="Y428" s="49" t="s">
        <v>183</v>
      </c>
      <c r="Z428" s="62"/>
      <c r="AA428" s="32" t="s">
        <v>47</v>
      </c>
      <c r="AB428" s="64"/>
      <c r="AC428" s="79"/>
      <c r="AD428" s="54">
        <v>45750.0</v>
      </c>
      <c r="AE428" s="77">
        <v>4.9075100018588E13</v>
      </c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  <c r="BE428" s="65"/>
      <c r="BF428" s="65"/>
      <c r="BG428" s="65"/>
      <c r="BH428" s="65"/>
      <c r="BI428" s="65"/>
      <c r="BJ428" s="65" t="s">
        <v>5788</v>
      </c>
      <c r="BK428" s="65" t="s">
        <v>5789</v>
      </c>
      <c r="BL428" s="65" t="s">
        <v>5790</v>
      </c>
      <c r="BM428" s="65" t="s">
        <v>5791</v>
      </c>
      <c r="BN428" s="65" t="s">
        <v>5792</v>
      </c>
      <c r="BO428" s="65"/>
      <c r="BP428" s="65">
        <v>362280.4</v>
      </c>
      <c r="BQ428" s="65">
        <v>355714.0</v>
      </c>
      <c r="BR428" s="65">
        <v>348805.3</v>
      </c>
      <c r="BS428" s="65">
        <v>346280.51</v>
      </c>
      <c r="BT428" s="88">
        <v>340147.8</v>
      </c>
      <c r="BU428" s="65">
        <v>326740.7</v>
      </c>
      <c r="BV428" s="65">
        <v>330770.2</v>
      </c>
      <c r="BW428" s="90">
        <v>330047.6</v>
      </c>
      <c r="BX428" s="90">
        <v>327604.77</v>
      </c>
      <c r="BY428" s="90">
        <f t="array" ref="BY428">XLOOKUP(C428,'PL TOTAL D0'!$A$3:$A$1991,'PL TOTAL D0'!$C$3:$C$1991,"")</f>
        <v>326441.73</v>
      </c>
    </row>
    <row r="429" ht="15.75" customHeight="1">
      <c r="A429" s="43" t="s">
        <v>24</v>
      </c>
      <c r="B429" s="43" t="s">
        <v>5798</v>
      </c>
      <c r="C429" s="94" t="s">
        <v>2501</v>
      </c>
      <c r="D429" s="30" t="s">
        <v>142</v>
      </c>
      <c r="E429" s="22" t="s">
        <v>54</v>
      </c>
      <c r="F429" s="30" t="s">
        <v>158</v>
      </c>
      <c r="G429" s="47" t="str">
        <f t="shared" si="13"/>
        <v>Marcus</v>
      </c>
      <c r="H429" s="49" t="s">
        <v>183</v>
      </c>
      <c r="I429" s="49" t="s">
        <v>66</v>
      </c>
      <c r="J429" s="23" t="s">
        <v>563</v>
      </c>
      <c r="K429" s="54">
        <v>46030.0</v>
      </c>
      <c r="L429" s="186"/>
      <c r="M429" s="32" t="s">
        <v>61</v>
      </c>
      <c r="N429" s="56">
        <v>0.012</v>
      </c>
      <c r="O429" s="23" t="s">
        <v>66</v>
      </c>
      <c r="P429" s="57">
        <v>0.0</v>
      </c>
      <c r="Q429" s="58" t="s">
        <v>5799</v>
      </c>
      <c r="R429" s="58"/>
      <c r="S429" s="32" t="s">
        <v>194</v>
      </c>
      <c r="T429" s="32" t="s">
        <v>5801</v>
      </c>
      <c r="U429" s="33" t="s">
        <v>5803</v>
      </c>
      <c r="V429" s="33" t="s">
        <v>5804</v>
      </c>
      <c r="W429" s="34">
        <v>29326.0</v>
      </c>
      <c r="X429" s="23" t="s">
        <v>54</v>
      </c>
      <c r="Y429" s="49" t="s">
        <v>183</v>
      </c>
      <c r="Z429" s="62"/>
      <c r="AA429" s="32" t="s">
        <v>47</v>
      </c>
      <c r="AB429" s="64"/>
      <c r="AC429" s="79"/>
      <c r="AD429" s="54">
        <v>46203.0</v>
      </c>
      <c r="AE429" s="77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  <c r="BE429" s="65"/>
      <c r="BF429" s="65"/>
      <c r="BG429" s="65"/>
      <c r="BH429" s="65"/>
      <c r="BI429" s="65"/>
      <c r="BJ429" s="65"/>
      <c r="BK429" s="65"/>
      <c r="BL429" s="65"/>
      <c r="BM429" s="65"/>
      <c r="BN429" s="65"/>
      <c r="BO429" s="65"/>
      <c r="BP429" s="65"/>
      <c r="BQ429" s="65"/>
      <c r="BR429" s="65"/>
      <c r="BS429" s="65">
        <v>3123100.21</v>
      </c>
      <c r="BT429" s="88">
        <v>3273406.0</v>
      </c>
      <c r="BU429" s="65">
        <v>3407988.0</v>
      </c>
      <c r="BV429" s="65">
        <v>3562278.0</v>
      </c>
      <c r="BW429" s="90">
        <v>3714589.0</v>
      </c>
      <c r="BX429" s="90">
        <v>3860598.36</v>
      </c>
      <c r="BY429" s="90">
        <f t="array" ref="BY429">XLOOKUP(C429,'PL TOTAL D0'!$A$3:$A$1991,'PL TOTAL D0'!$C$3:$C$1991,"")</f>
        <v>4006177.42</v>
      </c>
    </row>
    <row r="430" ht="15.75" customHeight="1">
      <c r="A430" s="50" t="s">
        <v>24</v>
      </c>
      <c r="B430" s="188" t="s">
        <v>5812</v>
      </c>
      <c r="C430" s="94" t="s">
        <v>3520</v>
      </c>
      <c r="D430" s="30" t="s">
        <v>120</v>
      </c>
      <c r="E430" s="22" t="s">
        <v>54</v>
      </c>
      <c r="F430" s="30" t="s">
        <v>1393</v>
      </c>
      <c r="G430" s="47" t="str">
        <f t="shared" si="13"/>
        <v>David</v>
      </c>
      <c r="H430" s="49" t="s">
        <v>183</v>
      </c>
      <c r="I430" s="49" t="s">
        <v>66</v>
      </c>
      <c r="J430" s="47" t="str">
        <f t="shared" ref="J430:J451" si="21">IF(Q430=0,"Não","Sim")</f>
        <v>Não</v>
      </c>
      <c r="K430" s="54">
        <v>45446.0</v>
      </c>
      <c r="L430" s="189"/>
      <c r="M430" s="32" t="s">
        <v>61</v>
      </c>
      <c r="N430" s="56">
        <v>0.012</v>
      </c>
      <c r="O430" s="23" t="s">
        <v>66</v>
      </c>
      <c r="P430" s="57">
        <v>0.0</v>
      </c>
      <c r="Q430" s="58"/>
      <c r="R430" s="70"/>
      <c r="S430" s="32" t="s">
        <v>194</v>
      </c>
      <c r="T430" s="32" t="s">
        <v>5825</v>
      </c>
      <c r="U430" s="33">
        <v>5.562991586309E12</v>
      </c>
      <c r="V430" s="33" t="s">
        <v>5826</v>
      </c>
      <c r="W430" s="48">
        <v>23668.0</v>
      </c>
      <c r="X430" s="23" t="s">
        <v>54</v>
      </c>
      <c r="Y430" s="49" t="str">
        <f t="shared" ref="Y430:Y974" si="22">IFS(H:H="Encerrado","Encerrado",COUNTBLANK(AZ430:BK430)&gt;0,"Ativo",SUM(AZ430:BK430)=0,"Inativo",SUM(AZ430:BK430)&gt;0,"Ativo")</f>
        <v>Ativo</v>
      </c>
      <c r="Z430" s="32"/>
      <c r="AA430" s="32" t="s">
        <v>107</v>
      </c>
      <c r="AB430" s="64" t="s">
        <v>269</v>
      </c>
      <c r="AC430" s="79"/>
      <c r="AD430" s="54">
        <v>45446.0</v>
      </c>
      <c r="AE430" s="77">
        <v>4.9075100014833E13</v>
      </c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65"/>
      <c r="AW430" s="65"/>
      <c r="AX430" s="65"/>
      <c r="AY430" s="65"/>
      <c r="AZ430" s="65">
        <v>0.0</v>
      </c>
      <c r="BA430" s="65">
        <v>0.0</v>
      </c>
      <c r="BB430" s="65">
        <v>0.0</v>
      </c>
      <c r="BC430" s="65">
        <v>0.0</v>
      </c>
      <c r="BD430" s="65">
        <v>1808700.82</v>
      </c>
      <c r="BE430" s="65">
        <v>1903463.4</v>
      </c>
      <c r="BF430" s="65">
        <v>1830267.64</v>
      </c>
      <c r="BG430" s="65">
        <v>1630826.94</v>
      </c>
      <c r="BH430" s="65">
        <v>874421.59</v>
      </c>
      <c r="BI430" s="65">
        <v>1255879.79</v>
      </c>
      <c r="BJ430" s="65">
        <v>1178206.71</v>
      </c>
      <c r="BK430" s="65">
        <v>860801.73</v>
      </c>
      <c r="BL430" s="65">
        <v>319686.33</v>
      </c>
      <c r="BM430" s="65">
        <v>215782.04</v>
      </c>
      <c r="BN430" s="65">
        <v>159306.5</v>
      </c>
      <c r="BO430" s="65">
        <v>21850.66</v>
      </c>
      <c r="BP430" s="65">
        <v>22099.09</v>
      </c>
      <c r="BQ430" s="65">
        <v>22312.48</v>
      </c>
      <c r="BR430" s="65">
        <v>21578.05</v>
      </c>
      <c r="BS430" s="65">
        <v>21806.3</v>
      </c>
      <c r="BT430" s="88">
        <v>22003.3</v>
      </c>
      <c r="BU430" s="65">
        <v>22243.72</v>
      </c>
      <c r="BV430" s="65">
        <v>22475.02</v>
      </c>
      <c r="BW430" s="90">
        <v>22712.71</v>
      </c>
      <c r="BX430" s="90">
        <v>22953.49</v>
      </c>
      <c r="BY430" s="90">
        <f t="array" ref="BY430">XLOOKUP(C430,'PL TOTAL D0'!$A$3:$A$1991,'PL TOTAL D0'!$C$3:$C$1991,"")</f>
        <v>23245.16</v>
      </c>
    </row>
    <row r="431" ht="15.75" customHeight="1">
      <c r="A431" s="50" t="s">
        <v>24</v>
      </c>
      <c r="B431" s="188" t="s">
        <v>5841</v>
      </c>
      <c r="C431" s="94" t="s">
        <v>3417</v>
      </c>
      <c r="D431" s="30" t="s">
        <v>89</v>
      </c>
      <c r="E431" s="22" t="s">
        <v>91</v>
      </c>
      <c r="F431" s="30" t="s">
        <v>193</v>
      </c>
      <c r="G431" s="47" t="str">
        <f t="shared" si="13"/>
        <v>David</v>
      </c>
      <c r="H431" s="49" t="s">
        <v>183</v>
      </c>
      <c r="I431" s="49" t="s">
        <v>66</v>
      </c>
      <c r="J431" s="47" t="str">
        <f t="shared" si="21"/>
        <v>Não</v>
      </c>
      <c r="K431" s="54">
        <v>46094.0</v>
      </c>
      <c r="L431" s="189"/>
      <c r="M431" s="32" t="s">
        <v>209</v>
      </c>
      <c r="N431" s="56">
        <v>0.015</v>
      </c>
      <c r="O431" s="23" t="s">
        <v>35</v>
      </c>
      <c r="P431" s="57">
        <v>0.1</v>
      </c>
      <c r="Q431" s="58"/>
      <c r="R431" s="70"/>
      <c r="S431" s="32" t="s">
        <v>194</v>
      </c>
      <c r="T431" s="32" t="s">
        <v>5843</v>
      </c>
      <c r="U431" s="33" t="s">
        <v>5844</v>
      </c>
      <c r="V431" s="33" t="s">
        <v>5845</v>
      </c>
      <c r="W431" s="48">
        <v>37839.0</v>
      </c>
      <c r="X431" s="23" t="s">
        <v>221</v>
      </c>
      <c r="Y431" s="49" t="str">
        <f t="shared" si="22"/>
        <v>Ativo</v>
      </c>
      <c r="Z431" s="32"/>
      <c r="AA431" s="32" t="s">
        <v>47</v>
      </c>
      <c r="AB431" s="64"/>
      <c r="AC431" s="79"/>
      <c r="AD431" s="54">
        <v>46203.0</v>
      </c>
      <c r="AE431" s="77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65"/>
      <c r="AW431" s="65"/>
      <c r="AX431" s="65"/>
      <c r="AY431" s="65"/>
      <c r="AZ431" s="65"/>
      <c r="BA431" s="65"/>
      <c r="BB431" s="65"/>
      <c r="BC431" s="65"/>
      <c r="BD431" s="65"/>
      <c r="BE431" s="65"/>
      <c r="BF431" s="65"/>
      <c r="BG431" s="65"/>
      <c r="BH431" s="65"/>
      <c r="BI431" s="65"/>
      <c r="BJ431" s="65"/>
      <c r="BK431" s="65"/>
      <c r="BL431" s="65"/>
      <c r="BM431" s="65"/>
      <c r="BN431" s="65"/>
      <c r="BO431" s="65"/>
      <c r="BP431" s="65"/>
      <c r="BQ431" s="65"/>
      <c r="BR431" s="65"/>
      <c r="BS431" s="65"/>
      <c r="BT431" s="88"/>
      <c r="BU431" s="65">
        <v>76449.78</v>
      </c>
      <c r="BV431" s="65">
        <v>77337.53</v>
      </c>
      <c r="BW431" s="90">
        <v>77742.76</v>
      </c>
      <c r="BX431" s="90">
        <v>78446.34</v>
      </c>
      <c r="BY431" s="90">
        <f t="array" ref="BY431">XLOOKUP(C431,'PL TOTAL D0'!$A$3:$A$1991,'PL TOTAL D0'!$C$3:$C$1991,"")</f>
        <v>61805.35</v>
      </c>
    </row>
    <row r="432" ht="15.75" customHeight="1">
      <c r="A432" s="50" t="s">
        <v>24</v>
      </c>
      <c r="B432" s="188" t="s">
        <v>5841</v>
      </c>
      <c r="C432" s="94" t="s">
        <v>3175</v>
      </c>
      <c r="D432" s="30" t="s">
        <v>89</v>
      </c>
      <c r="E432" s="22" t="s">
        <v>91</v>
      </c>
      <c r="F432" s="30" t="s">
        <v>193</v>
      </c>
      <c r="G432" s="23" t="s">
        <v>829</v>
      </c>
      <c r="H432" s="49" t="s">
        <v>183</v>
      </c>
      <c r="I432" s="49" t="s">
        <v>66</v>
      </c>
      <c r="J432" s="47" t="str">
        <f t="shared" si="21"/>
        <v>Não</v>
      </c>
      <c r="K432" s="54">
        <v>46105.0</v>
      </c>
      <c r="L432" s="189"/>
      <c r="M432" s="32" t="s">
        <v>209</v>
      </c>
      <c r="N432" s="56">
        <v>0.015</v>
      </c>
      <c r="O432" s="23" t="s">
        <v>35</v>
      </c>
      <c r="P432" s="57">
        <v>0.1</v>
      </c>
      <c r="Q432" s="58"/>
      <c r="R432" s="70"/>
      <c r="S432" s="32" t="s">
        <v>194</v>
      </c>
      <c r="T432" s="32" t="s">
        <v>5843</v>
      </c>
      <c r="U432" s="33" t="s">
        <v>5844</v>
      </c>
      <c r="V432" s="33" t="s">
        <v>5845</v>
      </c>
      <c r="W432" s="48">
        <v>37839.0</v>
      </c>
      <c r="X432" s="23" t="s">
        <v>221</v>
      </c>
      <c r="Y432" s="49" t="str">
        <f t="shared" si="22"/>
        <v>Ativo</v>
      </c>
      <c r="Z432" s="32"/>
      <c r="AA432" s="32" t="s">
        <v>47</v>
      </c>
      <c r="AB432" s="64"/>
      <c r="AC432" s="79"/>
      <c r="AD432" s="54">
        <v>46203.0</v>
      </c>
      <c r="AE432" s="77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65"/>
      <c r="AW432" s="65"/>
      <c r="AX432" s="65"/>
      <c r="AY432" s="65"/>
      <c r="AZ432" s="65"/>
      <c r="BA432" s="65"/>
      <c r="BB432" s="65"/>
      <c r="BC432" s="65"/>
      <c r="BD432" s="65"/>
      <c r="BE432" s="65"/>
      <c r="BF432" s="65"/>
      <c r="BG432" s="65"/>
      <c r="BH432" s="65"/>
      <c r="BI432" s="65"/>
      <c r="BJ432" s="65"/>
      <c r="BK432" s="65"/>
      <c r="BL432" s="65"/>
      <c r="BM432" s="65"/>
      <c r="BN432" s="65"/>
      <c r="BO432" s="65"/>
      <c r="BP432" s="65"/>
      <c r="BQ432" s="65"/>
      <c r="BR432" s="65"/>
      <c r="BS432" s="65"/>
      <c r="BT432" s="88"/>
      <c r="BU432" s="65">
        <v>268884.6</v>
      </c>
      <c r="BV432" s="65">
        <v>173789.4</v>
      </c>
      <c r="BW432" s="90">
        <v>179143.3</v>
      </c>
      <c r="BX432" s="90">
        <v>184172.83</v>
      </c>
      <c r="BY432" s="90">
        <f t="array" ref="BY432">XLOOKUP(C432,'PL TOTAL D0'!$A$3:$A$1991,'PL TOTAL D0'!$C$3:$C$1991,"")</f>
        <v>185700.83</v>
      </c>
    </row>
    <row r="433" ht="15.75" customHeight="1">
      <c r="A433" s="50" t="s">
        <v>24</v>
      </c>
      <c r="B433" s="200" t="s">
        <v>5862</v>
      </c>
      <c r="C433" s="94" t="s">
        <v>5863</v>
      </c>
      <c r="D433" s="30" t="s">
        <v>365</v>
      </c>
      <c r="E433" s="22" t="s">
        <v>199</v>
      </c>
      <c r="F433" s="30" t="s">
        <v>4481</v>
      </c>
      <c r="G433" s="47" t="str">
        <f t="shared" ref="G433:G480" si="23">IFS($BS$4:$BS$1280&lt;=250000,"David",$BS$4:$BS$1280&lt;=800000,"Gabriel", $BS$4:$BS$1280&gt;800000,"Marcus")</f>
        <v>David</v>
      </c>
      <c r="H433" s="49" t="s">
        <v>183</v>
      </c>
      <c r="I433" s="49" t="s">
        <v>382</v>
      </c>
      <c r="J433" s="47" t="str">
        <f t="shared" si="21"/>
        <v>Sim</v>
      </c>
      <c r="K433" s="54">
        <v>45695.0</v>
      </c>
      <c r="L433" s="189"/>
      <c r="M433" s="32" t="s">
        <v>61</v>
      </c>
      <c r="N433" s="56">
        <v>0.012</v>
      </c>
      <c r="O433" s="23" t="s">
        <v>66</v>
      </c>
      <c r="P433" s="57">
        <v>0.0</v>
      </c>
      <c r="Q433" s="58" t="s">
        <v>5865</v>
      </c>
      <c r="R433" s="70"/>
      <c r="S433" s="32" t="s">
        <v>194</v>
      </c>
      <c r="T433" s="32" t="s">
        <v>5866</v>
      </c>
      <c r="U433" s="33">
        <v>5.561981145858E12</v>
      </c>
      <c r="V433" s="33" t="s">
        <v>5867</v>
      </c>
      <c r="W433" s="34">
        <v>29113.0</v>
      </c>
      <c r="X433" s="23" t="s">
        <v>199</v>
      </c>
      <c r="Y433" s="49" t="str">
        <f t="shared" si="22"/>
        <v>Ativo</v>
      </c>
      <c r="Z433" s="32"/>
      <c r="AA433" s="32" t="s">
        <v>47</v>
      </c>
      <c r="AB433" s="64"/>
      <c r="AC433" s="79"/>
      <c r="AD433" s="54">
        <v>45701.0</v>
      </c>
      <c r="AE433" s="77">
        <v>4.907510001817E13</v>
      </c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65"/>
      <c r="AW433" s="65"/>
      <c r="AX433" s="65"/>
      <c r="AY433" s="65"/>
      <c r="AZ433" s="65"/>
      <c r="BA433" s="65"/>
      <c r="BB433" s="65"/>
      <c r="BC433" s="65"/>
      <c r="BD433" s="65"/>
      <c r="BE433" s="65"/>
      <c r="BF433" s="65"/>
      <c r="BG433" s="65"/>
      <c r="BH433" s="65">
        <v>150813.34</v>
      </c>
      <c r="BI433" s="65">
        <v>192914.56</v>
      </c>
      <c r="BJ433" s="65">
        <v>230142.03</v>
      </c>
      <c r="BK433" s="65">
        <v>258374.74</v>
      </c>
      <c r="BL433" s="65">
        <v>260895.81</v>
      </c>
      <c r="BM433" s="65">
        <v>58723.31</v>
      </c>
      <c r="BN433" s="65">
        <v>79610.94</v>
      </c>
      <c r="BO433" s="65">
        <v>48892.16</v>
      </c>
      <c r="BP433" s="65">
        <v>5553.82</v>
      </c>
      <c r="BQ433" s="65">
        <v>31839.81</v>
      </c>
      <c r="BR433" s="65">
        <v>32191.8</v>
      </c>
      <c r="BS433" s="65">
        <v>32526.19</v>
      </c>
      <c r="BT433" s="88">
        <v>32811.1</v>
      </c>
      <c r="BU433" s="65">
        <v>56402.36</v>
      </c>
      <c r="BV433" s="65">
        <v>79160.92</v>
      </c>
      <c r="BW433" s="90">
        <v>79471.78</v>
      </c>
      <c r="BX433" s="90">
        <v>57007.32</v>
      </c>
      <c r="BY433" s="90" t="str">
        <f t="array" ref="BY433">XLOOKUP(C433,'PL TOTAL D0'!$A$3:$A$1991,'PL TOTAL D0'!$C$3:$C$1991,"")</f>
        <v/>
      </c>
    </row>
    <row r="434" ht="15.75" customHeight="1">
      <c r="A434" s="43" t="s">
        <v>24</v>
      </c>
      <c r="B434" s="188" t="s">
        <v>5868</v>
      </c>
      <c r="C434" s="94" t="s">
        <v>2684</v>
      </c>
      <c r="D434" s="30" t="s">
        <v>142</v>
      </c>
      <c r="E434" s="22" t="s">
        <v>54</v>
      </c>
      <c r="F434" s="30" t="s">
        <v>158</v>
      </c>
      <c r="G434" s="47" t="str">
        <f t="shared" si="23"/>
        <v>Marcus</v>
      </c>
      <c r="H434" s="49" t="s">
        <v>183</v>
      </c>
      <c r="I434" s="49" t="s">
        <v>66</v>
      </c>
      <c r="J434" s="47" t="str">
        <f t="shared" si="21"/>
        <v>Não</v>
      </c>
      <c r="K434" s="54">
        <v>45483.0</v>
      </c>
      <c r="L434" s="189"/>
      <c r="M434" s="32" t="s">
        <v>61</v>
      </c>
      <c r="N434" s="56">
        <v>0.012</v>
      </c>
      <c r="O434" s="23" t="s">
        <v>66</v>
      </c>
      <c r="P434" s="57">
        <v>0.0</v>
      </c>
      <c r="Q434" s="58"/>
      <c r="R434" s="70"/>
      <c r="S434" s="32" t="s">
        <v>194</v>
      </c>
      <c r="T434" s="32" t="s">
        <v>5870</v>
      </c>
      <c r="U434" s="33">
        <v>6.2999716799E10</v>
      </c>
      <c r="V434" s="33" t="s">
        <v>5871</v>
      </c>
      <c r="W434" s="34">
        <v>22757.0</v>
      </c>
      <c r="X434" s="23" t="s">
        <v>54</v>
      </c>
      <c r="Y434" s="49" t="str">
        <f t="shared" si="22"/>
        <v>Ativo</v>
      </c>
      <c r="Z434" s="32"/>
      <c r="AA434" s="32" t="s">
        <v>47</v>
      </c>
      <c r="AB434" s="64" t="s">
        <v>269</v>
      </c>
      <c r="AC434" s="79"/>
      <c r="AD434" s="54">
        <v>45483.0</v>
      </c>
      <c r="AE434" s="77">
        <v>4.9075100015422E13</v>
      </c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65"/>
      <c r="AW434" s="65"/>
      <c r="AX434" s="65"/>
      <c r="AY434" s="65"/>
      <c r="AZ434" s="65"/>
      <c r="BA434" s="65">
        <v>261935.8</v>
      </c>
      <c r="BB434" s="65">
        <v>265223.85</v>
      </c>
      <c r="BC434" s="65">
        <v>277309.7</v>
      </c>
      <c r="BD434" s="65">
        <v>280003.51</v>
      </c>
      <c r="BE434" s="65">
        <v>404982.5</v>
      </c>
      <c r="BF434" s="65">
        <v>457085.87</v>
      </c>
      <c r="BG434" s="65">
        <v>461128.93</v>
      </c>
      <c r="BH434" s="65">
        <v>464614.06</v>
      </c>
      <c r="BI434" s="65">
        <v>463528.28</v>
      </c>
      <c r="BJ434" s="65">
        <v>738091.27</v>
      </c>
      <c r="BK434" s="65">
        <v>750678.24</v>
      </c>
      <c r="BL434" s="65">
        <v>845660.23</v>
      </c>
      <c r="BM434" s="65">
        <v>856561.22</v>
      </c>
      <c r="BN434" s="65">
        <v>916744.3</v>
      </c>
      <c r="BO434" s="65">
        <v>976922.76</v>
      </c>
      <c r="BP434" s="65">
        <v>989910.6</v>
      </c>
      <c r="BQ434" s="65">
        <v>1044465.0</v>
      </c>
      <c r="BR434" s="65">
        <v>1053459.0</v>
      </c>
      <c r="BS434" s="65">
        <v>1064028.73</v>
      </c>
      <c r="BT434" s="88">
        <v>1069091.0</v>
      </c>
      <c r="BU434" s="65">
        <v>1102963.0</v>
      </c>
      <c r="BV434" s="65">
        <v>1123380.0</v>
      </c>
      <c r="BW434" s="90">
        <v>1138590.0</v>
      </c>
      <c r="BX434" s="90">
        <v>1145391.95</v>
      </c>
      <c r="BY434" s="90">
        <f t="array" ref="BY434">XLOOKUP(C434,'PL TOTAL D0'!$A$3:$A$1991,'PL TOTAL D0'!$C$3:$C$1991,"")</f>
        <v>1155421.44</v>
      </c>
    </row>
    <row r="435" ht="15.75" customHeight="1">
      <c r="A435" s="43" t="s">
        <v>24</v>
      </c>
      <c r="B435" s="200" t="s">
        <v>5880</v>
      </c>
      <c r="C435" s="94" t="s">
        <v>5881</v>
      </c>
      <c r="D435" s="30" t="s">
        <v>89</v>
      </c>
      <c r="E435" s="22" t="s">
        <v>397</v>
      </c>
      <c r="F435" s="30" t="s">
        <v>5262</v>
      </c>
      <c r="G435" s="47" t="str">
        <f t="shared" si="23"/>
        <v>Gabriel</v>
      </c>
      <c r="H435" s="49" t="s">
        <v>295</v>
      </c>
      <c r="I435" s="49" t="s">
        <v>296</v>
      </c>
      <c r="J435" s="47" t="str">
        <f t="shared" si="21"/>
        <v>Não</v>
      </c>
      <c r="K435" s="54">
        <v>45666.0</v>
      </c>
      <c r="L435" s="189"/>
      <c r="M435" s="32" t="s">
        <v>61</v>
      </c>
      <c r="N435" s="56">
        <v>0.012</v>
      </c>
      <c r="O435" s="23" t="s">
        <v>66</v>
      </c>
      <c r="P435" s="57">
        <v>0.0</v>
      </c>
      <c r="Q435" s="58"/>
      <c r="R435" s="58" t="s">
        <v>5894</v>
      </c>
      <c r="S435" s="32" t="s">
        <v>194</v>
      </c>
      <c r="T435" s="32" t="s">
        <v>5895</v>
      </c>
      <c r="U435" s="33">
        <v>6.2999734396E10</v>
      </c>
      <c r="V435" s="33" t="s">
        <v>5896</v>
      </c>
      <c r="W435" s="34">
        <v>24524.0</v>
      </c>
      <c r="X435" s="23" t="s">
        <v>54</v>
      </c>
      <c r="Y435" s="49" t="str">
        <f t="shared" si="22"/>
        <v>Ativo</v>
      </c>
      <c r="Z435" s="32"/>
      <c r="AA435" s="32" t="s">
        <v>47</v>
      </c>
      <c r="AB435" s="64"/>
      <c r="AC435" s="79"/>
      <c r="AD435" s="54">
        <v>45680.0</v>
      </c>
      <c r="AE435" s="77">
        <v>4.9075100017689E13</v>
      </c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65"/>
      <c r="AW435" s="65"/>
      <c r="AX435" s="65"/>
      <c r="AY435" s="65"/>
      <c r="AZ435" s="65"/>
      <c r="BA435" s="65"/>
      <c r="BB435" s="65"/>
      <c r="BC435" s="65"/>
      <c r="BD435" s="65"/>
      <c r="BE435" s="65"/>
      <c r="BF435" s="65"/>
      <c r="BG435" s="65">
        <v>483370.1</v>
      </c>
      <c r="BH435" s="65">
        <v>488431.38</v>
      </c>
      <c r="BI435" s="65">
        <v>493543.86</v>
      </c>
      <c r="BJ435" s="65">
        <v>499178.99</v>
      </c>
      <c r="BK435" s="65">
        <v>504448.71</v>
      </c>
      <c r="BL435" s="65">
        <v>509614.89</v>
      </c>
      <c r="BM435" s="65">
        <v>515427.65</v>
      </c>
      <c r="BN435" s="65">
        <v>520588.4</v>
      </c>
      <c r="BO435" s="65">
        <v>525860.78</v>
      </c>
      <c r="BP435" s="65">
        <v>532077.2</v>
      </c>
      <c r="BQ435" s="65">
        <v>537059.3</v>
      </c>
      <c r="BR435" s="65">
        <v>542825.9</v>
      </c>
      <c r="BS435" s="65">
        <v>548978.86</v>
      </c>
      <c r="BT435" s="88">
        <v>553662.2</v>
      </c>
      <c r="BU435" s="65">
        <v>153.47</v>
      </c>
      <c r="BV435" s="65">
        <v>0.0</v>
      </c>
      <c r="BW435" s="90">
        <v>0.0</v>
      </c>
      <c r="BX435" s="90">
        <v>0.0</v>
      </c>
      <c r="BY435" s="90" t="str">
        <f t="array" ref="BY435">XLOOKUP(C435,'PL TOTAL D0'!$A$3:$A$1991,'PL TOTAL D0'!$C$3:$C$1991,"")</f>
        <v/>
      </c>
    </row>
    <row r="436" ht="15.75" customHeight="1">
      <c r="A436" s="50" t="s">
        <v>24</v>
      </c>
      <c r="B436" s="50" t="s">
        <v>5899</v>
      </c>
      <c r="C436" s="94" t="s">
        <v>2667</v>
      </c>
      <c r="D436" s="30" t="s">
        <v>120</v>
      </c>
      <c r="E436" s="95" t="s">
        <v>199</v>
      </c>
      <c r="F436" s="30" t="s">
        <v>431</v>
      </c>
      <c r="G436" s="47" t="str">
        <f t="shared" si="23"/>
        <v>Marcus</v>
      </c>
      <c r="H436" s="74" t="s">
        <v>183</v>
      </c>
      <c r="I436" s="49" t="s">
        <v>66</v>
      </c>
      <c r="J436" s="47" t="str">
        <f t="shared" si="21"/>
        <v>Sim</v>
      </c>
      <c r="K436" s="97">
        <v>45264.0</v>
      </c>
      <c r="L436" s="189"/>
      <c r="M436" s="32" t="s">
        <v>34</v>
      </c>
      <c r="N436" s="98">
        <v>0.014</v>
      </c>
      <c r="O436" s="47" t="s">
        <v>35</v>
      </c>
      <c r="P436" s="99">
        <v>0.2</v>
      </c>
      <c r="Q436" s="58" t="s">
        <v>5902</v>
      </c>
      <c r="R436" s="70"/>
      <c r="S436" s="62" t="s">
        <v>194</v>
      </c>
      <c r="T436" s="32" t="s">
        <v>5905</v>
      </c>
      <c r="U436" s="33">
        <v>6.1995792432E10</v>
      </c>
      <c r="V436" s="33" t="s">
        <v>5906</v>
      </c>
      <c r="W436" s="34">
        <v>34402.0</v>
      </c>
      <c r="X436" s="23" t="s">
        <v>199</v>
      </c>
      <c r="Y436" s="49" t="str">
        <f t="shared" si="22"/>
        <v>Ativo</v>
      </c>
      <c r="Z436" s="62"/>
      <c r="AA436" s="62"/>
      <c r="AB436" s="64" t="s">
        <v>269</v>
      </c>
      <c r="AC436" s="79"/>
      <c r="AD436" s="54">
        <v>45264.0</v>
      </c>
      <c r="AE436" s="77">
        <v>4.907510001297E13</v>
      </c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65">
        <v>24842.56</v>
      </c>
      <c r="AT436" s="65">
        <v>12876.33</v>
      </c>
      <c r="AU436" s="65">
        <v>12838.67</v>
      </c>
      <c r="AV436" s="65">
        <v>139108.07</v>
      </c>
      <c r="AW436" s="65">
        <v>140596.37</v>
      </c>
      <c r="AX436" s="65">
        <v>140726.53</v>
      </c>
      <c r="AY436" s="65">
        <v>115281.2</v>
      </c>
      <c r="AZ436" s="65">
        <v>85219.14</v>
      </c>
      <c r="BA436" s="65">
        <v>133729.8</v>
      </c>
      <c r="BB436" s="65">
        <v>135150.62</v>
      </c>
      <c r="BC436" s="65">
        <v>135634.75</v>
      </c>
      <c r="BD436" s="65">
        <v>136062.22</v>
      </c>
      <c r="BE436" s="65">
        <v>130229.72</v>
      </c>
      <c r="BF436" s="65">
        <v>128259.96</v>
      </c>
      <c r="BG436" s="65">
        <v>133471.68</v>
      </c>
      <c r="BH436" s="65">
        <v>103223.34</v>
      </c>
      <c r="BI436" s="65">
        <v>109619.04</v>
      </c>
      <c r="BJ436" s="65">
        <v>110817.38</v>
      </c>
      <c r="BK436" s="65">
        <v>91523.08</v>
      </c>
      <c r="BL436" s="65">
        <v>92427.21</v>
      </c>
      <c r="BM436" s="65">
        <v>93558.75</v>
      </c>
      <c r="BN436" s="65">
        <v>316536.4</v>
      </c>
      <c r="BO436" s="65">
        <v>319798.81</v>
      </c>
      <c r="BP436" s="65">
        <v>323873.9</v>
      </c>
      <c r="BQ436" s="65">
        <v>316048.6</v>
      </c>
      <c r="BR436" s="65">
        <v>1623919.0</v>
      </c>
      <c r="BS436" s="65">
        <v>1643314.42</v>
      </c>
      <c r="BT436" s="88">
        <v>1635026.0</v>
      </c>
      <c r="BU436" s="65">
        <v>1577334.0</v>
      </c>
      <c r="BV436" s="65">
        <v>1554381.0</v>
      </c>
      <c r="BW436" s="90">
        <v>1540010.0</v>
      </c>
      <c r="BX436" s="90">
        <v>1529171.95</v>
      </c>
      <c r="BY436" s="90">
        <f t="array" ref="BY436">XLOOKUP(C436,'PL TOTAL D0'!$A$3:$A$1991,'PL TOTAL D0'!$C$3:$C$1991,"")</f>
        <v>1260840.53</v>
      </c>
    </row>
    <row r="437" ht="15.75" customHeight="1">
      <c r="A437" s="50" t="s">
        <v>24</v>
      </c>
      <c r="B437" s="50" t="s">
        <v>4859</v>
      </c>
      <c r="C437" s="94" t="s">
        <v>5914</v>
      </c>
      <c r="D437" s="30" t="s">
        <v>89</v>
      </c>
      <c r="E437" s="95" t="s">
        <v>91</v>
      </c>
      <c r="F437" s="81" t="s">
        <v>521</v>
      </c>
      <c r="G437" s="47" t="str">
        <f t="shared" si="23"/>
        <v>David</v>
      </c>
      <c r="H437" s="49" t="s">
        <v>295</v>
      </c>
      <c r="I437" s="49" t="s">
        <v>382</v>
      </c>
      <c r="J437" s="47" t="str">
        <f t="shared" si="21"/>
        <v>Não</v>
      </c>
      <c r="K437" s="97">
        <v>45071.0</v>
      </c>
      <c r="L437" s="62"/>
      <c r="M437" s="62" t="s">
        <v>34</v>
      </c>
      <c r="N437" s="98">
        <v>0.012</v>
      </c>
      <c r="O437" s="47" t="s">
        <v>66</v>
      </c>
      <c r="P437" s="99">
        <v>0.0</v>
      </c>
      <c r="Q437" s="58"/>
      <c r="R437" s="58" t="s">
        <v>4998</v>
      </c>
      <c r="S437" s="62" t="s">
        <v>194</v>
      </c>
      <c r="T437" s="32" t="s">
        <v>4865</v>
      </c>
      <c r="U437" s="33">
        <v>5.543999572925E12</v>
      </c>
      <c r="V437" s="33" t="s">
        <v>5917</v>
      </c>
      <c r="W437" s="48">
        <v>30675.0</v>
      </c>
      <c r="X437" s="23" t="s">
        <v>221</v>
      </c>
      <c r="Y437" s="49" t="str">
        <f t="shared" si="22"/>
        <v>Ativo</v>
      </c>
      <c r="Z437" s="62"/>
      <c r="AA437" s="62"/>
      <c r="AB437" s="64" t="s">
        <v>269</v>
      </c>
      <c r="AC437" s="79"/>
      <c r="AD437" s="54">
        <v>45071.0</v>
      </c>
      <c r="AE437" s="77">
        <v>4.9075100007403E13</v>
      </c>
      <c r="AF437" s="79"/>
      <c r="AG437" s="79"/>
      <c r="AH437" s="79"/>
      <c r="AI437" s="79"/>
      <c r="AJ437" s="79"/>
      <c r="AK437" s="65">
        <v>0.0</v>
      </c>
      <c r="AL437" s="65">
        <v>4494.36</v>
      </c>
      <c r="AM437" s="65">
        <v>9046.45</v>
      </c>
      <c r="AN437" s="65">
        <v>59580.63</v>
      </c>
      <c r="AO437" s="65">
        <v>64645.61</v>
      </c>
      <c r="AP437" s="65">
        <v>69737.71</v>
      </c>
      <c r="AQ437" s="65">
        <v>73780.3</v>
      </c>
      <c r="AR437" s="65">
        <v>78497.84</v>
      </c>
      <c r="AS437" s="65">
        <v>83684.32</v>
      </c>
      <c r="AT437" s="65">
        <v>89258.15</v>
      </c>
      <c r="AU437" s="65">
        <v>93577.49</v>
      </c>
      <c r="AV437" s="65">
        <v>98876.78</v>
      </c>
      <c r="AW437" s="65">
        <v>104327.22</v>
      </c>
      <c r="AX437" s="65">
        <v>108839.68</v>
      </c>
      <c r="AY437" s="65">
        <v>114048.5</v>
      </c>
      <c r="AZ437" s="65">
        <v>119832.7</v>
      </c>
      <c r="BA437" s="65">
        <v>121076.7</v>
      </c>
      <c r="BB437" s="65">
        <v>132304.68</v>
      </c>
      <c r="BC437" s="65">
        <v>137740.87</v>
      </c>
      <c r="BD437" s="65">
        <v>143089.37</v>
      </c>
      <c r="BE437" s="65">
        <v>148416.33</v>
      </c>
      <c r="BF437" s="65">
        <v>153822.01</v>
      </c>
      <c r="BG437" s="65">
        <v>160353.64</v>
      </c>
      <c r="BH437" s="65">
        <v>166744.36</v>
      </c>
      <c r="BI437" s="65">
        <v>173241.31</v>
      </c>
      <c r="BJ437" s="65">
        <v>179969.43</v>
      </c>
      <c r="BK437" s="65">
        <v>186788.19</v>
      </c>
      <c r="BL437" s="65">
        <v>193298.21</v>
      </c>
      <c r="BM437" s="65">
        <v>9161.69</v>
      </c>
      <c r="BN437" s="65">
        <v>9257.93</v>
      </c>
      <c r="BO437" s="65">
        <v>9354.49</v>
      </c>
      <c r="BP437" s="65">
        <v>9466.09</v>
      </c>
      <c r="BQ437" s="65">
        <v>9555.38</v>
      </c>
      <c r="BR437" s="65">
        <v>34.41</v>
      </c>
      <c r="BS437" s="65">
        <v>0.0</v>
      </c>
      <c r="BT437" s="88">
        <v>0.0</v>
      </c>
      <c r="BU437" s="65">
        <v>0.0</v>
      </c>
      <c r="BV437" s="65">
        <v>0.0</v>
      </c>
      <c r="BW437" s="90">
        <v>0.0</v>
      </c>
      <c r="BX437" s="90">
        <v>0.0</v>
      </c>
      <c r="BY437" s="90" t="str">
        <f t="array" ref="BY437">XLOOKUP(C437,'PL TOTAL D0'!$A$3:$A$1991,'PL TOTAL D0'!$C$3:$C$1991,"")</f>
        <v/>
      </c>
    </row>
    <row r="438" ht="15.75" customHeight="1">
      <c r="A438" s="50" t="s">
        <v>24</v>
      </c>
      <c r="B438" s="43" t="s">
        <v>5926</v>
      </c>
      <c r="C438" s="53" t="s">
        <v>3323</v>
      </c>
      <c r="D438" s="30" t="s">
        <v>3843</v>
      </c>
      <c r="E438" s="22" t="s">
        <v>54</v>
      </c>
      <c r="F438" s="30" t="s">
        <v>3844</v>
      </c>
      <c r="G438" s="47" t="str">
        <f t="shared" si="23"/>
        <v>David</v>
      </c>
      <c r="H438" s="49" t="s">
        <v>183</v>
      </c>
      <c r="I438" s="49" t="s">
        <v>66</v>
      </c>
      <c r="J438" s="47" t="str">
        <f t="shared" si="21"/>
        <v>Não</v>
      </c>
      <c r="K438" s="54">
        <v>46157.0</v>
      </c>
      <c r="L438" s="62"/>
      <c r="M438" s="32" t="s">
        <v>209</v>
      </c>
      <c r="N438" s="56">
        <v>0.015</v>
      </c>
      <c r="O438" s="23" t="s">
        <v>35</v>
      </c>
      <c r="P438" s="57">
        <v>0.1</v>
      </c>
      <c r="Q438" s="58"/>
      <c r="R438" s="58"/>
      <c r="S438" s="32" t="s">
        <v>194</v>
      </c>
      <c r="T438" s="32" t="s">
        <v>5930</v>
      </c>
      <c r="U438" s="33" t="s">
        <v>5931</v>
      </c>
      <c r="V438" s="33" t="s">
        <v>5932</v>
      </c>
      <c r="W438" s="48">
        <v>28159.0</v>
      </c>
      <c r="X438" s="23" t="s">
        <v>54</v>
      </c>
      <c r="Y438" s="49" t="str">
        <f t="shared" si="22"/>
        <v>Ativo</v>
      </c>
      <c r="Z438" s="62"/>
      <c r="AA438" s="32" t="s">
        <v>47</v>
      </c>
      <c r="AB438" s="64"/>
      <c r="AC438" s="79"/>
      <c r="AD438" s="54">
        <v>46203.0</v>
      </c>
      <c r="AE438" s="77"/>
      <c r="AF438" s="79"/>
      <c r="AG438" s="79"/>
      <c r="AH438" s="79"/>
      <c r="AI438" s="79"/>
      <c r="AJ438" s="79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  <c r="BE438" s="65"/>
      <c r="BF438" s="65"/>
      <c r="BG438" s="65"/>
      <c r="BH438" s="65"/>
      <c r="BI438" s="65"/>
      <c r="BJ438" s="65"/>
      <c r="BK438" s="65"/>
      <c r="BL438" s="65"/>
      <c r="BM438" s="65"/>
      <c r="BN438" s="65"/>
      <c r="BO438" s="65"/>
      <c r="BP438" s="65"/>
      <c r="BQ438" s="65"/>
      <c r="BR438" s="65"/>
      <c r="BS438" s="65"/>
      <c r="BT438" s="88"/>
      <c r="BU438" s="65"/>
      <c r="BV438" s="65"/>
      <c r="BW438" s="90">
        <v>31931.57</v>
      </c>
      <c r="BX438" s="90">
        <v>60517.8</v>
      </c>
      <c r="BY438" s="90">
        <f t="array" ref="BY438">XLOOKUP(C438,'PL TOTAL D0'!$A$3:$A$1991,'PL TOTAL D0'!$C$3:$C$1991,"")</f>
        <v>101459.23</v>
      </c>
    </row>
    <row r="439" ht="15.75" customHeight="1">
      <c r="A439" s="50" t="s">
        <v>24</v>
      </c>
      <c r="B439" s="43" t="s">
        <v>5937</v>
      </c>
      <c r="C439" s="53" t="s">
        <v>2698</v>
      </c>
      <c r="D439" s="30" t="s">
        <v>53</v>
      </c>
      <c r="E439" s="22" t="s">
        <v>54</v>
      </c>
      <c r="F439" s="30" t="s">
        <v>55</v>
      </c>
      <c r="G439" s="47" t="str">
        <f t="shared" si="23"/>
        <v>David</v>
      </c>
      <c r="H439" s="49" t="s">
        <v>183</v>
      </c>
      <c r="I439" s="49" t="s">
        <v>66</v>
      </c>
      <c r="J439" s="47" t="str">
        <f t="shared" si="21"/>
        <v>Sim</v>
      </c>
      <c r="K439" s="54">
        <v>46191.0</v>
      </c>
      <c r="L439" s="62"/>
      <c r="M439" s="32" t="s">
        <v>61</v>
      </c>
      <c r="N439" s="56">
        <v>0.012</v>
      </c>
      <c r="O439" s="23" t="s">
        <v>66</v>
      </c>
      <c r="P439" s="57">
        <v>0.0</v>
      </c>
      <c r="Q439" s="58" t="s">
        <v>5939</v>
      </c>
      <c r="R439" s="58"/>
      <c r="S439" s="32" t="s">
        <v>194</v>
      </c>
      <c r="T439" s="32" t="s">
        <v>5940</v>
      </c>
      <c r="U439" s="33" t="s">
        <v>5941</v>
      </c>
      <c r="V439" s="33" t="s">
        <v>5943</v>
      </c>
      <c r="W439" s="48">
        <v>21784.0</v>
      </c>
      <c r="X439" s="23" t="s">
        <v>77</v>
      </c>
      <c r="Y439" s="49" t="str">
        <f t="shared" si="22"/>
        <v>Ativo</v>
      </c>
      <c r="Z439" s="62"/>
      <c r="AA439" s="32" t="s">
        <v>47</v>
      </c>
      <c r="AB439" s="64"/>
      <c r="AC439" s="79"/>
      <c r="AD439" s="54">
        <v>46203.0</v>
      </c>
      <c r="AE439" s="77"/>
      <c r="AF439" s="79"/>
      <c r="AG439" s="79"/>
      <c r="AH439" s="79"/>
      <c r="AI439" s="79"/>
      <c r="AJ439" s="79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  <c r="BE439" s="65"/>
      <c r="BF439" s="65"/>
      <c r="BG439" s="65"/>
      <c r="BH439" s="65"/>
      <c r="BI439" s="65"/>
      <c r="BJ439" s="65"/>
      <c r="BK439" s="65"/>
      <c r="BL439" s="65"/>
      <c r="BM439" s="65"/>
      <c r="BN439" s="65"/>
      <c r="BO439" s="65"/>
      <c r="BP439" s="65"/>
      <c r="BQ439" s="65"/>
      <c r="BR439" s="65"/>
      <c r="BS439" s="65"/>
      <c r="BT439" s="88"/>
      <c r="BU439" s="65"/>
      <c r="BV439" s="65"/>
      <c r="BW439" s="90"/>
      <c r="BX439" s="90">
        <v>1000371.19</v>
      </c>
      <c r="BY439" s="90">
        <f t="array" ref="BY439">XLOOKUP(C439,'PL TOTAL D0'!$A$3:$A$1991,'PL TOTAL D0'!$C$3:$C$1991,"")</f>
        <v>1011890.35</v>
      </c>
    </row>
    <row r="440" ht="15.75" customHeight="1">
      <c r="A440" s="50" t="s">
        <v>24</v>
      </c>
      <c r="B440" s="176" t="s">
        <v>4873</v>
      </c>
      <c r="C440" s="94" t="s">
        <v>2938</v>
      </c>
      <c r="D440" s="30" t="s">
        <v>89</v>
      </c>
      <c r="E440" s="95" t="s">
        <v>91</v>
      </c>
      <c r="F440" s="81" t="s">
        <v>521</v>
      </c>
      <c r="G440" s="47" t="str">
        <f t="shared" si="23"/>
        <v>Gabriel</v>
      </c>
      <c r="H440" s="74" t="s">
        <v>183</v>
      </c>
      <c r="I440" s="49" t="s">
        <v>66</v>
      </c>
      <c r="J440" s="47" t="str">
        <f t="shared" si="21"/>
        <v>Não</v>
      </c>
      <c r="K440" s="97">
        <v>45166.0</v>
      </c>
      <c r="L440" s="189"/>
      <c r="M440" s="32" t="s">
        <v>1349</v>
      </c>
      <c r="N440" s="98">
        <v>0.012</v>
      </c>
      <c r="O440" s="47" t="s">
        <v>66</v>
      </c>
      <c r="P440" s="99">
        <v>0.0</v>
      </c>
      <c r="Q440" s="58"/>
      <c r="R440" s="58" t="s">
        <v>5951</v>
      </c>
      <c r="S440" s="62" t="s">
        <v>194</v>
      </c>
      <c r="T440" s="32" t="s">
        <v>4878</v>
      </c>
      <c r="U440" s="33">
        <v>5.543999117303E12</v>
      </c>
      <c r="V440" s="33" t="s">
        <v>5953</v>
      </c>
      <c r="W440" s="34">
        <v>28706.0</v>
      </c>
      <c r="X440" s="49" t="s">
        <v>221</v>
      </c>
      <c r="Y440" s="49" t="str">
        <f t="shared" si="22"/>
        <v>Ativo</v>
      </c>
      <c r="Z440" s="62"/>
      <c r="AA440" s="32" t="s">
        <v>165</v>
      </c>
      <c r="AB440" s="64" t="s">
        <v>269</v>
      </c>
      <c r="AC440" s="725"/>
      <c r="AD440" s="54">
        <v>45166.0</v>
      </c>
      <c r="AE440" s="77">
        <v>4.9075100011419E13</v>
      </c>
      <c r="AF440" s="725"/>
      <c r="AG440" s="725"/>
      <c r="AH440" s="725"/>
      <c r="AI440" s="725"/>
      <c r="AJ440" s="725"/>
      <c r="AK440" s="725"/>
      <c r="AL440" s="727">
        <v>0.0</v>
      </c>
      <c r="AM440" s="65">
        <v>0.0</v>
      </c>
      <c r="AN440" s="65">
        <v>0.0</v>
      </c>
      <c r="AO440" s="65">
        <v>0.0</v>
      </c>
      <c r="AP440" s="65">
        <v>0.0</v>
      </c>
      <c r="AQ440" s="65">
        <v>254370.41</v>
      </c>
      <c r="AR440" s="65">
        <v>255090.55</v>
      </c>
      <c r="AS440" s="65">
        <v>355615.23</v>
      </c>
      <c r="AT440" s="65">
        <v>359033.96</v>
      </c>
      <c r="AU440" s="65">
        <v>359051.22</v>
      </c>
      <c r="AV440" s="65">
        <v>361215.79</v>
      </c>
      <c r="AW440" s="65">
        <v>361097.71</v>
      </c>
      <c r="AX440" s="65">
        <v>362952.49</v>
      </c>
      <c r="AY440" s="65">
        <v>363199.8</v>
      </c>
      <c r="AZ440" s="65">
        <v>365484.1</v>
      </c>
      <c r="BA440" s="65">
        <v>364516.1</v>
      </c>
      <c r="BB440" s="65">
        <v>367726.22</v>
      </c>
      <c r="BC440" s="65">
        <v>369655.64</v>
      </c>
      <c r="BD440" s="65">
        <v>373101.52</v>
      </c>
      <c r="BE440" s="65">
        <v>376036.06</v>
      </c>
      <c r="BF440" s="65">
        <v>379010.9</v>
      </c>
      <c r="BG440" s="65">
        <v>381932.88</v>
      </c>
      <c r="BH440" s="65">
        <v>385176.55</v>
      </c>
      <c r="BI440" s="65">
        <v>389759.29</v>
      </c>
      <c r="BJ440" s="65">
        <v>393678.76</v>
      </c>
      <c r="BK440" s="65">
        <v>396854.29</v>
      </c>
      <c r="BL440" s="65">
        <v>399889.49</v>
      </c>
      <c r="BM440" s="65">
        <v>403698.06</v>
      </c>
      <c r="BN440" s="65">
        <v>407233.8</v>
      </c>
      <c r="BO440" s="65">
        <v>410768.29</v>
      </c>
      <c r="BP440" s="65">
        <v>415326.1</v>
      </c>
      <c r="BQ440" s="65">
        <v>418106.5</v>
      </c>
      <c r="BR440" s="65">
        <v>421801.3</v>
      </c>
      <c r="BS440" s="65">
        <v>423945.66</v>
      </c>
      <c r="BT440" s="88">
        <v>427322.7</v>
      </c>
      <c r="BU440" s="65">
        <v>432329.0</v>
      </c>
      <c r="BV440" s="65">
        <v>437283.9</v>
      </c>
      <c r="BW440" s="90">
        <v>440962.8</v>
      </c>
      <c r="BX440" s="90">
        <v>445170.45</v>
      </c>
      <c r="BY440" s="90">
        <f t="array" ref="BY440">XLOOKUP(C440,'PL TOTAL D0'!$A$3:$A$1991,'PL TOTAL D0'!$C$3:$C$1991,"")</f>
        <v>448183.77</v>
      </c>
    </row>
    <row r="441" ht="15.75" customHeight="1">
      <c r="A441" s="50" t="s">
        <v>24</v>
      </c>
      <c r="B441" s="176" t="s">
        <v>4873</v>
      </c>
      <c r="C441" s="94" t="s">
        <v>3513</v>
      </c>
      <c r="D441" s="30" t="s">
        <v>89</v>
      </c>
      <c r="E441" s="95" t="s">
        <v>91</v>
      </c>
      <c r="F441" s="81" t="s">
        <v>521</v>
      </c>
      <c r="G441" s="47" t="str">
        <f t="shared" si="23"/>
        <v>David</v>
      </c>
      <c r="H441" s="74" t="s">
        <v>295</v>
      </c>
      <c r="I441" s="49" t="s">
        <v>447</v>
      </c>
      <c r="J441" s="47" t="str">
        <f t="shared" si="21"/>
        <v>Não</v>
      </c>
      <c r="K441" s="97">
        <v>45062.0</v>
      </c>
      <c r="L441" s="189"/>
      <c r="M441" s="32" t="s">
        <v>201</v>
      </c>
      <c r="N441" s="98">
        <v>0.0</v>
      </c>
      <c r="O441" s="47" t="s">
        <v>66</v>
      </c>
      <c r="P441" s="99">
        <v>0.0</v>
      </c>
      <c r="Q441" s="58"/>
      <c r="R441" s="70"/>
      <c r="S441" s="62" t="s">
        <v>194</v>
      </c>
      <c r="T441" s="32" t="s">
        <v>4878</v>
      </c>
      <c r="U441" s="33">
        <v>5.543999117303E12</v>
      </c>
      <c r="V441" s="33" t="s">
        <v>5953</v>
      </c>
      <c r="W441" s="34">
        <v>28706.0</v>
      </c>
      <c r="X441" s="49" t="s">
        <v>221</v>
      </c>
      <c r="Y441" s="49" t="str">
        <f t="shared" si="22"/>
        <v>Ativo</v>
      </c>
      <c r="Z441" s="62"/>
      <c r="AA441" s="32" t="s">
        <v>165</v>
      </c>
      <c r="AB441" s="64" t="s">
        <v>269</v>
      </c>
      <c r="AC441" s="725"/>
      <c r="AD441" s="54">
        <v>45062.0</v>
      </c>
      <c r="AE441" s="77">
        <v>4.90751000114E13</v>
      </c>
      <c r="AF441" s="725"/>
      <c r="AG441" s="725"/>
      <c r="AH441" s="725"/>
      <c r="AI441" s="725"/>
      <c r="AJ441" s="725"/>
      <c r="AK441" s="725"/>
      <c r="AL441" s="727">
        <v>0.0</v>
      </c>
      <c r="AM441" s="65">
        <v>0.0</v>
      </c>
      <c r="AN441" s="65">
        <v>0.0</v>
      </c>
      <c r="AO441" s="65">
        <v>0.0</v>
      </c>
      <c r="AP441" s="65">
        <v>0.0</v>
      </c>
      <c r="AQ441" s="65">
        <v>15451.87</v>
      </c>
      <c r="AR441" s="65">
        <v>111352.41</v>
      </c>
      <c r="AS441" s="65">
        <v>16431.38</v>
      </c>
      <c r="AT441" s="65">
        <v>17943.63</v>
      </c>
      <c r="AU441" s="65">
        <v>16053.74</v>
      </c>
      <c r="AV441" s="65">
        <v>15802.56</v>
      </c>
      <c r="AW441" s="65">
        <v>18586.32</v>
      </c>
      <c r="AX441" s="65">
        <v>17453.16</v>
      </c>
      <c r="AY441" s="65">
        <v>17166.67</v>
      </c>
      <c r="AZ441" s="65">
        <v>16998.55</v>
      </c>
      <c r="BA441" s="65">
        <v>17498.17</v>
      </c>
      <c r="BB441" s="65">
        <v>19551.07</v>
      </c>
      <c r="BC441" s="65">
        <v>19050.13</v>
      </c>
      <c r="BD441" s="65">
        <v>18656.28</v>
      </c>
      <c r="BE441" s="65">
        <v>16547.62</v>
      </c>
      <c r="BF441" s="65">
        <v>16520.02</v>
      </c>
      <c r="BG441" s="65">
        <v>17786.14</v>
      </c>
      <c r="BH441" s="65">
        <v>16863.13</v>
      </c>
      <c r="BI441" s="65">
        <v>18170.44</v>
      </c>
      <c r="BJ441" s="65">
        <v>20101.06</v>
      </c>
      <c r="BK441" s="65">
        <v>21213.11</v>
      </c>
      <c r="BL441" s="65">
        <v>21867.77</v>
      </c>
      <c r="BM441" s="65">
        <v>20113.97</v>
      </c>
      <c r="BN441" s="65">
        <v>21518.46</v>
      </c>
      <c r="BO441" s="65">
        <v>22406.01</v>
      </c>
      <c r="BP441" s="65">
        <v>22530.01</v>
      </c>
      <c r="BQ441" s="65">
        <v>24889.83</v>
      </c>
      <c r="BR441" s="65">
        <v>23713.55</v>
      </c>
      <c r="BS441" s="65">
        <v>25713.78</v>
      </c>
      <c r="BT441" s="88">
        <v>27196.4</v>
      </c>
      <c r="BU441" s="65">
        <v>27874.42</v>
      </c>
      <c r="BV441" s="65">
        <v>28162.08</v>
      </c>
      <c r="BW441" s="90">
        <v>26693.82</v>
      </c>
      <c r="BX441" s="90">
        <v>26243.47</v>
      </c>
      <c r="BY441" s="90">
        <f t="array" ref="BY441">XLOOKUP(C441,'PL TOTAL D0'!$A$3:$A$1991,'PL TOTAL D0'!$C$3:$C$1991,"")</f>
        <v>26487.47</v>
      </c>
    </row>
    <row r="442" ht="15.75" customHeight="1">
      <c r="A442" s="50" t="s">
        <v>24</v>
      </c>
      <c r="B442" s="39" t="s">
        <v>5967</v>
      </c>
      <c r="C442" s="94" t="s">
        <v>2861</v>
      </c>
      <c r="D442" s="30" t="s">
        <v>142</v>
      </c>
      <c r="E442" s="22" t="s">
        <v>54</v>
      </c>
      <c r="F442" s="30" t="s">
        <v>158</v>
      </c>
      <c r="G442" s="47" t="str">
        <f t="shared" si="23"/>
        <v>David</v>
      </c>
      <c r="H442" s="49" t="s">
        <v>183</v>
      </c>
      <c r="I442" s="49" t="s">
        <v>66</v>
      </c>
      <c r="J442" s="47" t="str">
        <f t="shared" si="21"/>
        <v>Não</v>
      </c>
      <c r="K442" s="54">
        <v>45785.0</v>
      </c>
      <c r="L442" s="189"/>
      <c r="M442" s="32" t="s">
        <v>61</v>
      </c>
      <c r="N442" s="56">
        <v>0.012</v>
      </c>
      <c r="O442" s="23" t="s">
        <v>66</v>
      </c>
      <c r="P442" s="57">
        <v>0.0</v>
      </c>
      <c r="Q442" s="58"/>
      <c r="R442" s="70"/>
      <c r="S442" s="32" t="s">
        <v>194</v>
      </c>
      <c r="T442" s="32" t="s">
        <v>5971</v>
      </c>
      <c r="U442" s="33">
        <v>6.2981772701E10</v>
      </c>
      <c r="V442" s="33" t="s">
        <v>5972</v>
      </c>
      <c r="W442" s="34">
        <v>28001.0</v>
      </c>
      <c r="X442" s="49" t="s">
        <v>54</v>
      </c>
      <c r="Y442" s="49" t="str">
        <f t="shared" si="22"/>
        <v>Ativo</v>
      </c>
      <c r="Z442" s="62"/>
      <c r="AA442" s="32" t="s">
        <v>47</v>
      </c>
      <c r="AB442" s="64"/>
      <c r="AC442" s="725"/>
      <c r="AD442" s="54">
        <v>45789.0</v>
      </c>
      <c r="AE442" s="77">
        <v>4.9075100018804E13</v>
      </c>
      <c r="AF442" s="725"/>
      <c r="AG442" s="725"/>
      <c r="AH442" s="725"/>
      <c r="AI442" s="725"/>
      <c r="AJ442" s="725"/>
      <c r="AK442" s="725"/>
      <c r="AL442" s="727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  <c r="BE442" s="65"/>
      <c r="BF442" s="65"/>
      <c r="BG442" s="65"/>
      <c r="BH442" s="65"/>
      <c r="BI442" s="65"/>
      <c r="BJ442" s="65"/>
      <c r="BK442" s="65">
        <v>332094.13</v>
      </c>
      <c r="BL442" s="65">
        <v>360897.59</v>
      </c>
      <c r="BM442" s="65">
        <v>364590.86</v>
      </c>
      <c r="BN442" s="65">
        <v>368663.8</v>
      </c>
      <c r="BO442" s="65">
        <v>270665.22</v>
      </c>
      <c r="BP442" s="65">
        <v>222332.5</v>
      </c>
      <c r="BQ442" s="65">
        <v>224767.3</v>
      </c>
      <c r="BR442" s="65">
        <v>226869.3</v>
      </c>
      <c r="BS442" s="65">
        <v>229309.75</v>
      </c>
      <c r="BT442" s="88">
        <v>231217.2</v>
      </c>
      <c r="BU442" s="65">
        <v>233977.3</v>
      </c>
      <c r="BV442" s="65">
        <v>236778.8</v>
      </c>
      <c r="BW442" s="90">
        <v>239430.6</v>
      </c>
      <c r="BX442" s="90">
        <v>543007.57</v>
      </c>
      <c r="BY442" s="90">
        <f t="array" ref="BY442">XLOOKUP(C442,'PL TOTAL D0'!$A$3:$A$1991,'PL TOTAL D0'!$C$3:$C$1991,"")</f>
        <v>549116.62</v>
      </c>
    </row>
    <row r="443" ht="15.75" customHeight="1">
      <c r="A443" s="50" t="s">
        <v>24</v>
      </c>
      <c r="B443" s="50" t="s">
        <v>4918</v>
      </c>
      <c r="C443" s="94" t="s">
        <v>2646</v>
      </c>
      <c r="D443" s="81" t="s">
        <v>255</v>
      </c>
      <c r="E443" s="95" t="s">
        <v>199</v>
      </c>
      <c r="F443" s="81" t="s">
        <v>5074</v>
      </c>
      <c r="G443" s="47" t="str">
        <f t="shared" si="23"/>
        <v>Marcus</v>
      </c>
      <c r="H443" s="49" t="s">
        <v>183</v>
      </c>
      <c r="I443" s="74" t="s">
        <v>66</v>
      </c>
      <c r="J443" s="47" t="str">
        <f t="shared" si="21"/>
        <v>Sim</v>
      </c>
      <c r="K443" s="97">
        <v>44981.0</v>
      </c>
      <c r="L443" s="62"/>
      <c r="M443" s="32" t="s">
        <v>34</v>
      </c>
      <c r="N443" s="56">
        <v>0.008</v>
      </c>
      <c r="O443" s="23" t="s">
        <v>35</v>
      </c>
      <c r="P443" s="57">
        <v>0.1</v>
      </c>
      <c r="Q443" s="58" t="s">
        <v>5979</v>
      </c>
      <c r="R443" s="58" t="s">
        <v>5980</v>
      </c>
      <c r="S443" s="62" t="s">
        <v>194</v>
      </c>
      <c r="T443" s="32" t="s">
        <v>4917</v>
      </c>
      <c r="U443" s="33">
        <v>5.561993576238E12</v>
      </c>
      <c r="V443" s="33" t="s">
        <v>5982</v>
      </c>
      <c r="W443" s="34">
        <v>30333.0</v>
      </c>
      <c r="X443" s="23" t="s">
        <v>199</v>
      </c>
      <c r="Y443" s="49" t="str">
        <f t="shared" si="22"/>
        <v>Ativo</v>
      </c>
      <c r="Z443" s="62"/>
      <c r="AA443" s="62"/>
      <c r="AB443" s="64" t="s">
        <v>269</v>
      </c>
      <c r="AC443" s="79"/>
      <c r="AD443" s="54">
        <v>44981.0</v>
      </c>
      <c r="AE443" s="77">
        <v>4.9075100003858E13</v>
      </c>
      <c r="AF443" s="79"/>
      <c r="AG443" s="79"/>
      <c r="AH443" s="79"/>
      <c r="AI443" s="79"/>
      <c r="AJ443" s="65">
        <v>0.0</v>
      </c>
      <c r="AK443" s="65">
        <v>1024736.72</v>
      </c>
      <c r="AL443" s="65">
        <v>1124960.48</v>
      </c>
      <c r="AM443" s="65">
        <v>1141560.8</v>
      </c>
      <c r="AN443" s="65">
        <v>1154904.36</v>
      </c>
      <c r="AO443" s="65">
        <v>1185006.62</v>
      </c>
      <c r="AP443" s="65">
        <v>1197819.19</v>
      </c>
      <c r="AQ443" s="65">
        <v>1211281.02</v>
      </c>
      <c r="AR443" s="65">
        <v>1228233.75</v>
      </c>
      <c r="AS443" s="65">
        <v>1236755.29</v>
      </c>
      <c r="AT443" s="65">
        <v>1261922.22</v>
      </c>
      <c r="AU443" s="65">
        <v>1272725.39</v>
      </c>
      <c r="AV443" s="65">
        <v>1282631.02</v>
      </c>
      <c r="AW443" s="65">
        <v>1312108.37</v>
      </c>
      <c r="AX443" s="65">
        <v>1313712.5</v>
      </c>
      <c r="AY443" s="65">
        <v>1315401.0</v>
      </c>
      <c r="AZ443" s="65">
        <v>1324639.0</v>
      </c>
      <c r="BA443" s="65">
        <v>1359087.0</v>
      </c>
      <c r="BB443" s="65">
        <v>1373241.25</v>
      </c>
      <c r="BC443" s="65">
        <v>1381030.48</v>
      </c>
      <c r="BD443" s="65">
        <v>1363870.08</v>
      </c>
      <c r="BE443" s="65">
        <v>1366916.43</v>
      </c>
      <c r="BF443" s="65">
        <v>1372101.54</v>
      </c>
      <c r="BG443" s="65">
        <v>1405149.67</v>
      </c>
      <c r="BH443" s="65">
        <v>1401156.74</v>
      </c>
      <c r="BI443" s="65">
        <v>1398931.55</v>
      </c>
      <c r="BJ443" s="65">
        <v>1404769.51</v>
      </c>
      <c r="BK443" s="65">
        <v>1396265.19</v>
      </c>
      <c r="BL443" s="65">
        <v>1403026.38</v>
      </c>
      <c r="BM443" s="65">
        <v>1423074.39</v>
      </c>
      <c r="BN443" s="65">
        <v>1427129.0</v>
      </c>
      <c r="BO443" s="65">
        <v>1443457.43</v>
      </c>
      <c r="BP443" s="65">
        <v>1462328.0</v>
      </c>
      <c r="BQ443" s="65">
        <v>1481039.0</v>
      </c>
      <c r="BR443" s="65">
        <v>1420448.0</v>
      </c>
      <c r="BS443" s="65">
        <v>1436740.23</v>
      </c>
      <c r="BT443" s="88">
        <v>1448467.0</v>
      </c>
      <c r="BU443" s="65">
        <v>1455430.0</v>
      </c>
      <c r="BV443" s="65">
        <v>1458159.0</v>
      </c>
      <c r="BW443" s="90">
        <v>1442172.0</v>
      </c>
      <c r="BX443" s="90">
        <v>1504700.88</v>
      </c>
      <c r="BY443" s="90">
        <f t="array" ref="BY443">XLOOKUP(C443,'PL TOTAL D0'!$A$3:$A$1991,'PL TOTAL D0'!$C$3:$C$1991,"")</f>
        <v>1468492.89</v>
      </c>
    </row>
    <row r="444" ht="15.75" customHeight="1">
      <c r="A444" s="50" t="s">
        <v>24</v>
      </c>
      <c r="B444" s="50" t="s">
        <v>5988</v>
      </c>
      <c r="C444" s="94" t="s">
        <v>5989</v>
      </c>
      <c r="D444" s="81" t="s">
        <v>120</v>
      </c>
      <c r="E444" s="95" t="s">
        <v>54</v>
      </c>
      <c r="F444" s="81" t="s">
        <v>348</v>
      </c>
      <c r="G444" s="47" t="str">
        <f t="shared" si="23"/>
        <v>David</v>
      </c>
      <c r="H444" s="49" t="s">
        <v>224</v>
      </c>
      <c r="I444" s="49" t="s">
        <v>66</v>
      </c>
      <c r="J444" s="47" t="str">
        <f t="shared" si="21"/>
        <v>Não</v>
      </c>
      <c r="K444" s="97">
        <v>44951.0</v>
      </c>
      <c r="L444" s="121">
        <v>45943.0</v>
      </c>
      <c r="M444" s="62" t="s">
        <v>61</v>
      </c>
      <c r="N444" s="98">
        <v>0.01</v>
      </c>
      <c r="O444" s="47" t="s">
        <v>66</v>
      </c>
      <c r="P444" s="99">
        <v>0.0</v>
      </c>
      <c r="Q444" s="58"/>
      <c r="R444" s="728"/>
      <c r="S444" s="62" t="s">
        <v>234</v>
      </c>
      <c r="T444" s="32" t="s">
        <v>4924</v>
      </c>
      <c r="U444" s="33" t="s">
        <v>268</v>
      </c>
      <c r="V444" s="33"/>
      <c r="W444" s="33" t="s">
        <v>268</v>
      </c>
      <c r="X444" s="23" t="s">
        <v>54</v>
      </c>
      <c r="Y444" s="49" t="str">
        <f t="shared" si="22"/>
        <v>Encerrado</v>
      </c>
      <c r="Z444" s="62"/>
      <c r="AA444" s="62"/>
      <c r="AB444" s="64" t="s">
        <v>244</v>
      </c>
      <c r="AC444" s="79"/>
      <c r="AD444" s="54">
        <v>44951.0</v>
      </c>
      <c r="AE444" s="77">
        <v>4.9075100005745E13</v>
      </c>
      <c r="AF444" s="79"/>
      <c r="AG444" s="79"/>
      <c r="AH444" s="79"/>
      <c r="AI444" s="65">
        <v>166812.44</v>
      </c>
      <c r="AJ444" s="65">
        <v>172150.64</v>
      </c>
      <c r="AK444" s="65">
        <v>116340.75</v>
      </c>
      <c r="AL444" s="65">
        <v>33029.19</v>
      </c>
      <c r="AM444" s="65">
        <v>33319.77</v>
      </c>
      <c r="AN444" s="65">
        <v>33450.01</v>
      </c>
      <c r="AO444" s="65">
        <v>33570.75</v>
      </c>
      <c r="AP444" s="65">
        <v>33812.38</v>
      </c>
      <c r="AQ444" s="65">
        <v>34034.86</v>
      </c>
      <c r="AR444" s="65">
        <v>34177.44</v>
      </c>
      <c r="AS444" s="65">
        <v>34378.83</v>
      </c>
      <c r="AT444" s="65">
        <v>34313.3</v>
      </c>
      <c r="AU444" s="65">
        <v>34671.11</v>
      </c>
      <c r="AV444" s="65">
        <v>34902.79</v>
      </c>
      <c r="AW444" s="65">
        <v>35304.36</v>
      </c>
      <c r="AX444" s="65">
        <v>35362.11</v>
      </c>
      <c r="AY444" s="65">
        <v>35644.19</v>
      </c>
      <c r="AZ444" s="65">
        <v>35812.68</v>
      </c>
      <c r="BA444" s="65">
        <v>101632.4</v>
      </c>
      <c r="BB444" s="65">
        <v>102564.19</v>
      </c>
      <c r="BC444" s="65">
        <v>103231.26</v>
      </c>
      <c r="BD444" s="65">
        <v>104115.16</v>
      </c>
      <c r="BE444" s="65">
        <v>104870.28</v>
      </c>
      <c r="BF444" s="65">
        <v>105708.35</v>
      </c>
      <c r="BG444" s="65">
        <v>106698.96</v>
      </c>
      <c r="BH444" s="65">
        <v>107480.95</v>
      </c>
      <c r="BI444" s="65">
        <v>78046.86</v>
      </c>
      <c r="BJ444" s="65">
        <v>78596.43</v>
      </c>
      <c r="BK444" s="65">
        <v>104411.8</v>
      </c>
      <c r="BL444" s="65">
        <v>104885.68</v>
      </c>
      <c r="BM444" s="65">
        <v>0.0</v>
      </c>
      <c r="BN444" s="65">
        <v>0.0</v>
      </c>
      <c r="BO444" s="65">
        <v>0.0</v>
      </c>
      <c r="BP444" s="65">
        <v>0.0</v>
      </c>
      <c r="BQ444" s="65">
        <v>0.0</v>
      </c>
      <c r="BR444" s="65">
        <v>0.0</v>
      </c>
      <c r="BS444" s="65">
        <v>0.0</v>
      </c>
      <c r="BT444" s="88">
        <v>0.0</v>
      </c>
      <c r="BU444" s="65">
        <v>0.0</v>
      </c>
      <c r="BV444" s="65">
        <v>0.0</v>
      </c>
      <c r="BW444" s="90">
        <v>0.0</v>
      </c>
      <c r="BX444" s="90">
        <v>0.0</v>
      </c>
      <c r="BY444" s="90" t="str">
        <f t="array" ref="BY444">XLOOKUP(C444,'PL TOTAL D0'!$A$3:$A$1991,'PL TOTAL D0'!$C$3:$C$1991,"")</f>
        <v/>
      </c>
    </row>
    <row r="445" ht="15.75" customHeight="1">
      <c r="A445" s="50" t="s">
        <v>24</v>
      </c>
      <c r="B445" s="50" t="s">
        <v>5994</v>
      </c>
      <c r="C445" s="94" t="s">
        <v>3115</v>
      </c>
      <c r="D445" s="30" t="s">
        <v>89</v>
      </c>
      <c r="E445" s="95" t="s">
        <v>91</v>
      </c>
      <c r="F445" s="81" t="s">
        <v>193</v>
      </c>
      <c r="G445" s="47" t="str">
        <f t="shared" si="23"/>
        <v>David</v>
      </c>
      <c r="H445" s="74" t="s">
        <v>183</v>
      </c>
      <c r="I445" s="74" t="s">
        <v>66</v>
      </c>
      <c r="J445" s="47" t="str">
        <f t="shared" si="21"/>
        <v>Não</v>
      </c>
      <c r="K445" s="97">
        <v>45162.0</v>
      </c>
      <c r="L445" s="189"/>
      <c r="M445" s="62" t="s">
        <v>209</v>
      </c>
      <c r="N445" s="98">
        <v>0.015</v>
      </c>
      <c r="O445" s="47" t="s">
        <v>35</v>
      </c>
      <c r="P445" s="99">
        <v>0.1</v>
      </c>
      <c r="Q445" s="58"/>
      <c r="R445" s="58" t="s">
        <v>3878</v>
      </c>
      <c r="S445" s="62" t="s">
        <v>194</v>
      </c>
      <c r="T445" s="32" t="s">
        <v>4893</v>
      </c>
      <c r="U445" s="33">
        <v>5.543988567921E12</v>
      </c>
      <c r="V445" s="33" t="s">
        <v>5995</v>
      </c>
      <c r="W445" s="34">
        <v>32549.0</v>
      </c>
      <c r="X445" s="23" t="s">
        <v>475</v>
      </c>
      <c r="Y445" s="49" t="str">
        <f t="shared" si="22"/>
        <v>Ativo</v>
      </c>
      <c r="Z445" s="62"/>
      <c r="AA445" s="62"/>
      <c r="AB445" s="64" t="s">
        <v>269</v>
      </c>
      <c r="AC445" s="79"/>
      <c r="AD445" s="54">
        <v>45162.0</v>
      </c>
      <c r="AE445" s="77">
        <v>4.9075100008027E13</v>
      </c>
      <c r="AF445" s="79"/>
      <c r="AG445" s="79"/>
      <c r="AH445" s="79"/>
      <c r="AI445" s="79"/>
      <c r="AJ445" s="79"/>
      <c r="AK445" s="79"/>
      <c r="AL445" s="65">
        <v>0.0</v>
      </c>
      <c r="AM445" s="65">
        <v>0.0</v>
      </c>
      <c r="AN445" s="65">
        <v>0.0</v>
      </c>
      <c r="AO445" s="65">
        <v>0.0</v>
      </c>
      <c r="AP445" s="65">
        <v>215837.83</v>
      </c>
      <c r="AQ445" s="65">
        <v>339032.61</v>
      </c>
      <c r="AR445" s="65">
        <v>334907.89</v>
      </c>
      <c r="AS445" s="65">
        <v>341266.8</v>
      </c>
      <c r="AT445" s="65">
        <v>347862.26</v>
      </c>
      <c r="AU445" s="65">
        <v>291506.32</v>
      </c>
      <c r="AV445" s="65">
        <v>291958.98</v>
      </c>
      <c r="AW445" s="65">
        <v>294925.98</v>
      </c>
      <c r="AX445" s="65">
        <v>293014.22</v>
      </c>
      <c r="AY445" s="65">
        <v>291363.1</v>
      </c>
      <c r="AZ445" s="65">
        <v>281582.3</v>
      </c>
      <c r="BA445" s="65">
        <v>285575.0</v>
      </c>
      <c r="BB445" s="65">
        <v>288456.62</v>
      </c>
      <c r="BC445" s="65">
        <v>288085.88</v>
      </c>
      <c r="BD445" s="65">
        <v>284512.36</v>
      </c>
      <c r="BE445" s="65">
        <v>282376.56</v>
      </c>
      <c r="BF445" s="65">
        <v>282209.52</v>
      </c>
      <c r="BG445" s="65">
        <v>222153.7</v>
      </c>
      <c r="BH445" s="65">
        <v>224371.3</v>
      </c>
      <c r="BI445" s="65">
        <v>226719.76</v>
      </c>
      <c r="BJ445" s="65">
        <v>229853.49</v>
      </c>
      <c r="BK445" s="65">
        <v>232739.22</v>
      </c>
      <c r="BL445" s="65">
        <v>234864.2</v>
      </c>
      <c r="BM445" s="65">
        <v>236262.1</v>
      </c>
      <c r="BN445" s="65">
        <v>238630.6</v>
      </c>
      <c r="BO445" s="65">
        <v>241674.81</v>
      </c>
      <c r="BP445" s="65">
        <v>244574.8</v>
      </c>
      <c r="BQ445" s="65">
        <v>248846.1</v>
      </c>
      <c r="BR445" s="65">
        <v>194046.7</v>
      </c>
      <c r="BS445" s="65">
        <v>197389.27</v>
      </c>
      <c r="BT445" s="88">
        <v>199734.4</v>
      </c>
      <c r="BU445" s="65">
        <v>201738.5</v>
      </c>
      <c r="BV445" s="65">
        <v>203779.8</v>
      </c>
      <c r="BW445" s="90">
        <v>199083.9</v>
      </c>
      <c r="BX445" s="90">
        <v>201013.94</v>
      </c>
      <c r="BY445" s="90">
        <f t="array" ref="BY445">XLOOKUP(C445,'PL TOTAL D0'!$A$3:$A$1991,'PL TOTAL D0'!$C$3:$C$1991,"")</f>
        <v>222983.48</v>
      </c>
    </row>
    <row r="446" ht="15.75" customHeight="1">
      <c r="A446" s="50" t="s">
        <v>24</v>
      </c>
      <c r="B446" s="43" t="s">
        <v>6000</v>
      </c>
      <c r="C446" s="94" t="s">
        <v>3311</v>
      </c>
      <c r="D446" s="30" t="s">
        <v>1358</v>
      </c>
      <c r="E446" s="22" t="s">
        <v>199</v>
      </c>
      <c r="F446" s="30" t="s">
        <v>6001</v>
      </c>
      <c r="G446" s="47" t="str">
        <f t="shared" si="23"/>
        <v>David</v>
      </c>
      <c r="H446" s="49" t="s">
        <v>183</v>
      </c>
      <c r="I446" s="49" t="s">
        <v>66</v>
      </c>
      <c r="J446" s="47" t="str">
        <f t="shared" si="21"/>
        <v>Não</v>
      </c>
      <c r="K446" s="54">
        <v>46090.0</v>
      </c>
      <c r="L446" s="189"/>
      <c r="M446" s="32" t="s">
        <v>6003</v>
      </c>
      <c r="N446" s="56">
        <v>0.015</v>
      </c>
      <c r="O446" s="23" t="s">
        <v>35</v>
      </c>
      <c r="P446" s="57">
        <v>0.1</v>
      </c>
      <c r="Q446" s="58"/>
      <c r="R446" s="58"/>
      <c r="S446" s="32" t="s">
        <v>194</v>
      </c>
      <c r="T446" s="32" t="s">
        <v>6005</v>
      </c>
      <c r="U446" s="33" t="s">
        <v>6006</v>
      </c>
      <c r="V446" s="33" t="s">
        <v>6007</v>
      </c>
      <c r="W446" s="34">
        <v>30737.0</v>
      </c>
      <c r="X446" s="23" t="s">
        <v>199</v>
      </c>
      <c r="Y446" s="49" t="str">
        <f t="shared" si="22"/>
        <v>Ativo</v>
      </c>
      <c r="Z446" s="62"/>
      <c r="AA446" s="32" t="s">
        <v>47</v>
      </c>
      <c r="AB446" s="64"/>
      <c r="AC446" s="79"/>
      <c r="AD446" s="54">
        <v>46203.0</v>
      </c>
      <c r="AE446" s="77"/>
      <c r="AF446" s="79"/>
      <c r="AG446" s="79"/>
      <c r="AH446" s="79"/>
      <c r="AI446" s="79"/>
      <c r="AJ446" s="79"/>
      <c r="AK446" s="79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5"/>
      <c r="BG446" s="65"/>
      <c r="BH446" s="65"/>
      <c r="BI446" s="65"/>
      <c r="BJ446" s="65"/>
      <c r="BK446" s="65"/>
      <c r="BL446" s="65"/>
      <c r="BM446" s="65"/>
      <c r="BN446" s="65"/>
      <c r="BO446" s="65"/>
      <c r="BP446" s="65"/>
      <c r="BQ446" s="65"/>
      <c r="BR446" s="65"/>
      <c r="BS446" s="65"/>
      <c r="BT446" s="88"/>
      <c r="BU446" s="65">
        <v>101633.5</v>
      </c>
      <c r="BV446" s="65">
        <v>102565.2</v>
      </c>
      <c r="BW446" s="90">
        <v>101567.5</v>
      </c>
      <c r="BX446" s="90">
        <v>102724.11</v>
      </c>
      <c r="BY446" s="90">
        <f t="array" ref="BY446">XLOOKUP(C446,'PL TOTAL D0'!$A$3:$A$1991,'PL TOTAL D0'!$C$3:$C$1991,"")</f>
        <v>103542.98</v>
      </c>
    </row>
    <row r="447" ht="15.75" customHeight="1">
      <c r="A447" s="50" t="s">
        <v>24</v>
      </c>
      <c r="B447" s="50" t="s">
        <v>4908</v>
      </c>
      <c r="C447" s="94" t="s">
        <v>6012</v>
      </c>
      <c r="D447" s="30" t="s">
        <v>89</v>
      </c>
      <c r="E447" s="95" t="s">
        <v>91</v>
      </c>
      <c r="F447" s="81" t="s">
        <v>521</v>
      </c>
      <c r="G447" s="47" t="str">
        <f t="shared" si="23"/>
        <v>David</v>
      </c>
      <c r="H447" s="49" t="s">
        <v>295</v>
      </c>
      <c r="I447" s="49" t="s">
        <v>382</v>
      </c>
      <c r="J447" s="47" t="str">
        <f t="shared" si="21"/>
        <v>Não</v>
      </c>
      <c r="K447" s="97">
        <v>45162.0</v>
      </c>
      <c r="L447" s="189"/>
      <c r="M447" s="62" t="s">
        <v>209</v>
      </c>
      <c r="N447" s="98">
        <v>0.015</v>
      </c>
      <c r="O447" s="47" t="s">
        <v>35</v>
      </c>
      <c r="P447" s="99">
        <v>0.1</v>
      </c>
      <c r="Q447" s="58"/>
      <c r="R447" s="58" t="s">
        <v>6016</v>
      </c>
      <c r="S447" s="62" t="s">
        <v>194</v>
      </c>
      <c r="T447" s="32" t="s">
        <v>6017</v>
      </c>
      <c r="U447" s="33">
        <v>4.3991792669E10</v>
      </c>
      <c r="V447" s="33" t="s">
        <v>859</v>
      </c>
      <c r="W447" s="34">
        <v>29497.0</v>
      </c>
      <c r="X447" s="23" t="s">
        <v>221</v>
      </c>
      <c r="Y447" s="49" t="str">
        <f t="shared" si="22"/>
        <v>Ativo</v>
      </c>
      <c r="Z447" s="62"/>
      <c r="AA447" s="62"/>
      <c r="AB447" s="64" t="s">
        <v>269</v>
      </c>
      <c r="AC447" s="79"/>
      <c r="AD447" s="54">
        <v>45162.0</v>
      </c>
      <c r="AE447" s="77">
        <v>4.9075100010188E13</v>
      </c>
      <c r="AF447" s="79"/>
      <c r="AG447" s="79"/>
      <c r="AH447" s="79"/>
      <c r="AI447" s="79"/>
      <c r="AJ447" s="79"/>
      <c r="AK447" s="65">
        <v>0.0</v>
      </c>
      <c r="AL447" s="65">
        <v>0.0</v>
      </c>
      <c r="AM447" s="65">
        <v>0.0</v>
      </c>
      <c r="AN447" s="65">
        <v>0.0</v>
      </c>
      <c r="AO447" s="65">
        <v>0.0</v>
      </c>
      <c r="AP447" s="65">
        <v>379303.12</v>
      </c>
      <c r="AQ447" s="65">
        <v>380937.88</v>
      </c>
      <c r="AR447" s="65">
        <v>376718.5</v>
      </c>
      <c r="AS447" s="65">
        <v>385262.12</v>
      </c>
      <c r="AT447" s="65">
        <v>392664.63</v>
      </c>
      <c r="AU447" s="65">
        <v>386516.66</v>
      </c>
      <c r="AV447" s="65">
        <v>388053.01</v>
      </c>
      <c r="AW447" s="65">
        <v>404628.32</v>
      </c>
      <c r="AX447" s="65">
        <v>400904.77</v>
      </c>
      <c r="AY447" s="65">
        <v>399765.9</v>
      </c>
      <c r="AZ447" s="65">
        <v>402285.0</v>
      </c>
      <c r="BA447" s="65">
        <v>407855.0</v>
      </c>
      <c r="BB447" s="65">
        <v>44010.15</v>
      </c>
      <c r="BC447" s="65">
        <v>827.9</v>
      </c>
      <c r="BD447" s="65">
        <v>828.21</v>
      </c>
      <c r="BE447" s="65">
        <v>828.88</v>
      </c>
      <c r="BF447" s="65">
        <v>658.26</v>
      </c>
      <c r="BG447" s="65">
        <v>248.49</v>
      </c>
      <c r="BH447" s="65">
        <v>248.49</v>
      </c>
      <c r="BI447" s="65">
        <v>248.49</v>
      </c>
      <c r="BJ447" s="65">
        <v>248.49</v>
      </c>
      <c r="BK447" s="65">
        <v>248.49</v>
      </c>
      <c r="BL447" s="65">
        <v>248.49</v>
      </c>
      <c r="BM447" s="65">
        <v>248.49</v>
      </c>
      <c r="BN447" s="65">
        <v>248.49</v>
      </c>
      <c r="BO447" s="65">
        <v>248.49</v>
      </c>
      <c r="BP447" s="65">
        <v>248.49</v>
      </c>
      <c r="BQ447" s="65">
        <v>248.49</v>
      </c>
      <c r="BR447" s="65">
        <v>248.49</v>
      </c>
      <c r="BS447" s="65">
        <v>250.12</v>
      </c>
      <c r="BT447" s="88">
        <v>252.6</v>
      </c>
      <c r="BU447" s="65">
        <v>255.68</v>
      </c>
      <c r="BV447" s="65">
        <v>258.44</v>
      </c>
      <c r="BW447" s="90">
        <v>259.31</v>
      </c>
      <c r="BX447" s="90">
        <v>262.04</v>
      </c>
      <c r="BY447" s="90" t="str">
        <f t="array" ref="BY447">XLOOKUP(C447,'PL TOTAL D0'!$A$3:$A$1991,'PL TOTAL D0'!$C$3:$C$1991,"")</f>
        <v/>
      </c>
    </row>
    <row r="448" ht="15.75" customHeight="1">
      <c r="A448" s="50" t="s">
        <v>24</v>
      </c>
      <c r="B448" s="43" t="s">
        <v>6023</v>
      </c>
      <c r="C448" s="94" t="s">
        <v>6024</v>
      </c>
      <c r="D448" s="30" t="s">
        <v>142</v>
      </c>
      <c r="E448" s="22" t="s">
        <v>54</v>
      </c>
      <c r="F448" s="30" t="s">
        <v>158</v>
      </c>
      <c r="G448" s="47" t="str">
        <f t="shared" si="23"/>
        <v>David</v>
      </c>
      <c r="H448" s="49" t="s">
        <v>183</v>
      </c>
      <c r="I448" s="49" t="s">
        <v>66</v>
      </c>
      <c r="J448" s="47" t="str">
        <f t="shared" si="21"/>
        <v>Não</v>
      </c>
      <c r="K448" s="54">
        <v>46085.0</v>
      </c>
      <c r="L448" s="189"/>
      <c r="M448" s="32" t="s">
        <v>61</v>
      </c>
      <c r="N448" s="56">
        <v>0.012</v>
      </c>
      <c r="O448" s="23" t="s">
        <v>66</v>
      </c>
      <c r="P448" s="57">
        <v>0.0</v>
      </c>
      <c r="Q448" s="58"/>
      <c r="R448" s="58"/>
      <c r="S448" s="62" t="s">
        <v>194</v>
      </c>
      <c r="T448" s="32" t="s">
        <v>6026</v>
      </c>
      <c r="U448" s="33" t="s">
        <v>6027</v>
      </c>
      <c r="V448" s="33" t="s">
        <v>6028</v>
      </c>
      <c r="W448" s="34">
        <v>29488.0</v>
      </c>
      <c r="X448" s="23" t="s">
        <v>54</v>
      </c>
      <c r="Y448" s="49" t="str">
        <f t="shared" si="22"/>
        <v>Ativo</v>
      </c>
      <c r="Z448" s="62"/>
      <c r="AA448" s="32" t="s">
        <v>47</v>
      </c>
      <c r="AB448" s="64"/>
      <c r="AC448" s="79"/>
      <c r="AD448" s="54"/>
      <c r="AE448" s="77"/>
      <c r="AF448" s="79"/>
      <c r="AG448" s="79"/>
      <c r="AH448" s="79"/>
      <c r="AI448" s="79"/>
      <c r="AJ448" s="79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5"/>
      <c r="BG448" s="65"/>
      <c r="BH448" s="65"/>
      <c r="BI448" s="65"/>
      <c r="BJ448" s="65"/>
      <c r="BK448" s="65"/>
      <c r="BL448" s="65"/>
      <c r="BM448" s="65"/>
      <c r="BN448" s="65"/>
      <c r="BO448" s="65"/>
      <c r="BP448" s="65"/>
      <c r="BQ448" s="65"/>
      <c r="BR448" s="65"/>
      <c r="BS448" s="65"/>
      <c r="BT448" s="88" t="s">
        <v>1739</v>
      </c>
      <c r="BU448" s="65">
        <v>0.0</v>
      </c>
      <c r="BV448" s="65">
        <v>0.0</v>
      </c>
      <c r="BW448" s="90">
        <v>0.0</v>
      </c>
      <c r="BX448" s="90">
        <v>0.0</v>
      </c>
      <c r="BY448" s="90" t="str">
        <f t="array" ref="BY448">XLOOKUP(C448,'PL TOTAL D0'!$A$3:$A$1991,'PL TOTAL D0'!$C$3:$C$1991,"")</f>
        <v/>
      </c>
    </row>
    <row r="449" ht="15.75" customHeight="1">
      <c r="A449" s="50" t="s">
        <v>24</v>
      </c>
      <c r="B449" s="43" t="s">
        <v>6038</v>
      </c>
      <c r="C449" s="94" t="s">
        <v>3332</v>
      </c>
      <c r="D449" s="30" t="s">
        <v>89</v>
      </c>
      <c r="E449" s="22" t="s">
        <v>91</v>
      </c>
      <c r="F449" s="30" t="s">
        <v>1869</v>
      </c>
      <c r="G449" s="47" t="str">
        <f t="shared" si="23"/>
        <v>David</v>
      </c>
      <c r="H449" s="49" t="s">
        <v>183</v>
      </c>
      <c r="I449" s="49" t="s">
        <v>66</v>
      </c>
      <c r="J449" s="47" t="str">
        <f t="shared" si="21"/>
        <v>Não</v>
      </c>
      <c r="K449" s="54">
        <v>45558.0</v>
      </c>
      <c r="L449" s="62"/>
      <c r="M449" s="32" t="s">
        <v>34</v>
      </c>
      <c r="N449" s="56">
        <v>0.012</v>
      </c>
      <c r="O449" s="23" t="s">
        <v>35</v>
      </c>
      <c r="P449" s="57">
        <v>0.1</v>
      </c>
      <c r="Q449" s="58"/>
      <c r="R449" s="58"/>
      <c r="S449" s="32" t="s">
        <v>234</v>
      </c>
      <c r="T449" s="32" t="s">
        <v>6041</v>
      </c>
      <c r="U449" s="33">
        <v>4.3998702221E10</v>
      </c>
      <c r="V449" s="33" t="s">
        <v>6042</v>
      </c>
      <c r="W449" s="34">
        <v>44329.0</v>
      </c>
      <c r="X449" s="23" t="s">
        <v>221</v>
      </c>
      <c r="Y449" s="49" t="str">
        <f t="shared" si="22"/>
        <v>Ativo</v>
      </c>
      <c r="Z449" s="62"/>
      <c r="AA449" s="32" t="s">
        <v>107</v>
      </c>
      <c r="AB449" s="64"/>
      <c r="AC449" s="79"/>
      <c r="AD449" s="54">
        <v>45558.0</v>
      </c>
      <c r="AE449" s="77">
        <v>4.9075100015775E13</v>
      </c>
      <c r="AF449" s="79"/>
      <c r="AG449" s="79"/>
      <c r="AH449" s="79"/>
      <c r="AI449" s="79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>
        <v>101140.59</v>
      </c>
      <c r="BD449" s="65">
        <v>101190.97</v>
      </c>
      <c r="BE449" s="65">
        <v>101309.8</v>
      </c>
      <c r="BF449" s="65">
        <v>101762.5</v>
      </c>
      <c r="BG449" s="65">
        <v>82383.3</v>
      </c>
      <c r="BH449" s="65">
        <v>83084.62</v>
      </c>
      <c r="BI449" s="65">
        <v>83958.34</v>
      </c>
      <c r="BJ449" s="65">
        <v>84920.22</v>
      </c>
      <c r="BK449" s="65">
        <v>85738.95</v>
      </c>
      <c r="BL449" s="65">
        <v>86607.36</v>
      </c>
      <c r="BM449" s="65">
        <v>87518.02</v>
      </c>
      <c r="BN449" s="65">
        <v>88232.39</v>
      </c>
      <c r="BO449" s="65">
        <v>89189.65</v>
      </c>
      <c r="BP449" s="65">
        <v>89969.0</v>
      </c>
      <c r="BQ449" s="65">
        <v>90690.18</v>
      </c>
      <c r="BR449" s="65">
        <v>91163.73</v>
      </c>
      <c r="BS449" s="65">
        <v>55780.92</v>
      </c>
      <c r="BT449" s="88">
        <v>91154.32</v>
      </c>
      <c r="BU449" s="65">
        <v>91632.71</v>
      </c>
      <c r="BV449" s="65">
        <v>92201.86</v>
      </c>
      <c r="BW449" s="90">
        <v>92318.53</v>
      </c>
      <c r="BX449" s="90">
        <v>93278.96</v>
      </c>
      <c r="BY449" s="90">
        <f t="array" ref="BY449">XLOOKUP(C449,'PL TOTAL D0'!$A$3:$A$1991,'PL TOTAL D0'!$C$3:$C$1991,"")</f>
        <v>94291.94</v>
      </c>
    </row>
    <row r="450" ht="15.75" customHeight="1">
      <c r="A450" s="50" t="s">
        <v>24</v>
      </c>
      <c r="B450" s="50" t="s">
        <v>6048</v>
      </c>
      <c r="C450" s="94" t="s">
        <v>6049</v>
      </c>
      <c r="D450" s="81" t="s">
        <v>120</v>
      </c>
      <c r="E450" s="95" t="s">
        <v>54</v>
      </c>
      <c r="F450" s="81" t="s">
        <v>379</v>
      </c>
      <c r="G450" s="47" t="str">
        <f t="shared" si="23"/>
        <v>David</v>
      </c>
      <c r="H450" s="49" t="s">
        <v>295</v>
      </c>
      <c r="I450" s="74" t="s">
        <v>382</v>
      </c>
      <c r="J450" s="47" t="str">
        <f t="shared" si="21"/>
        <v>Não</v>
      </c>
      <c r="K450" s="97">
        <v>44928.0</v>
      </c>
      <c r="L450" s="62"/>
      <c r="M450" s="62" t="s">
        <v>61</v>
      </c>
      <c r="N450" s="98">
        <v>0.01</v>
      </c>
      <c r="O450" s="47" t="s">
        <v>66</v>
      </c>
      <c r="P450" s="99">
        <v>0.0</v>
      </c>
      <c r="Q450" s="58"/>
      <c r="R450" s="58" t="s">
        <v>6051</v>
      </c>
      <c r="S450" s="62" t="s">
        <v>194</v>
      </c>
      <c r="T450" s="32" t="s">
        <v>6052</v>
      </c>
      <c r="U450" s="33">
        <v>6.1981652296E10</v>
      </c>
      <c r="V450" s="33" t="s">
        <v>6053</v>
      </c>
      <c r="W450" s="34">
        <v>15515.0</v>
      </c>
      <c r="X450" s="23" t="s">
        <v>199</v>
      </c>
      <c r="Y450" s="49" t="str">
        <f t="shared" si="22"/>
        <v>Ativo</v>
      </c>
      <c r="Z450" s="62"/>
      <c r="AA450" s="62"/>
      <c r="AB450" s="64" t="s">
        <v>244</v>
      </c>
      <c r="AC450" s="79"/>
      <c r="AD450" s="54">
        <v>44928.0</v>
      </c>
      <c r="AE450" s="77">
        <v>4.9075100012407E13</v>
      </c>
      <c r="AF450" s="79"/>
      <c r="AG450" s="79"/>
      <c r="AH450" s="65">
        <v>20142.9</v>
      </c>
      <c r="AI450" s="65">
        <v>7109.61</v>
      </c>
      <c r="AJ450" s="65">
        <v>7168.33</v>
      </c>
      <c r="AK450" s="65">
        <v>9.65</v>
      </c>
      <c r="AL450" s="65">
        <v>9.66</v>
      </c>
      <c r="AM450" s="65">
        <v>9.67</v>
      </c>
      <c r="AN450" s="65">
        <v>9.67</v>
      </c>
      <c r="AO450" s="65">
        <v>9.68</v>
      </c>
      <c r="AP450" s="65">
        <v>9.69</v>
      </c>
      <c r="AQ450" s="65">
        <v>9.7</v>
      </c>
      <c r="AR450" s="65">
        <v>9.71</v>
      </c>
      <c r="AS450" s="65">
        <v>9.71</v>
      </c>
      <c r="AT450" s="65">
        <v>9.72</v>
      </c>
      <c r="AU450" s="65">
        <v>9.73</v>
      </c>
      <c r="AV450" s="65">
        <v>9.73</v>
      </c>
      <c r="AW450" s="65">
        <v>9.74</v>
      </c>
      <c r="AX450" s="65">
        <v>9.75</v>
      </c>
      <c r="AY450" s="65">
        <v>9.76</v>
      </c>
      <c r="AZ450" s="65">
        <v>9.76</v>
      </c>
      <c r="BA450" s="65">
        <v>9.77</v>
      </c>
      <c r="BB450" s="65">
        <v>9.78</v>
      </c>
      <c r="BC450" s="65">
        <v>9.78</v>
      </c>
      <c r="BD450" s="65">
        <v>9.79</v>
      </c>
      <c r="BE450" s="65">
        <v>9.8</v>
      </c>
      <c r="BF450" s="65">
        <v>9.81</v>
      </c>
      <c r="BG450" s="65">
        <v>9.81</v>
      </c>
      <c r="BH450" s="65">
        <v>9.82</v>
      </c>
      <c r="BI450" s="65">
        <v>9.84</v>
      </c>
      <c r="BJ450" s="65">
        <v>0.0</v>
      </c>
      <c r="BK450" s="65">
        <v>0.0</v>
      </c>
      <c r="BL450" s="65">
        <v>0.0</v>
      </c>
      <c r="BM450" s="65">
        <v>0.0</v>
      </c>
      <c r="BN450" s="65">
        <v>0.0</v>
      </c>
      <c r="BO450" s="65">
        <v>0.0</v>
      </c>
      <c r="BP450" s="65">
        <v>0.0</v>
      </c>
      <c r="BQ450" s="65">
        <v>0.0</v>
      </c>
      <c r="BR450" s="65">
        <v>0.0</v>
      </c>
      <c r="BS450" s="65">
        <v>0.0</v>
      </c>
      <c r="BT450" s="88">
        <v>0.0</v>
      </c>
      <c r="BU450" s="65">
        <v>0.0</v>
      </c>
      <c r="BV450" s="65">
        <v>0.0</v>
      </c>
      <c r="BW450" s="90">
        <v>0.0</v>
      </c>
      <c r="BX450" s="90">
        <v>0.0</v>
      </c>
      <c r="BY450" s="90" t="str">
        <f t="array" ref="BY450">XLOOKUP(C450,'PL TOTAL D0'!$A$3:$A$1991,'PL TOTAL D0'!$C$3:$C$1991,"")</f>
        <v/>
      </c>
    </row>
    <row r="451" ht="15.75" customHeight="1">
      <c r="A451" s="50" t="s">
        <v>24</v>
      </c>
      <c r="B451" s="43" t="s">
        <v>6058</v>
      </c>
      <c r="C451" s="94" t="s">
        <v>3364</v>
      </c>
      <c r="D451" s="30" t="s">
        <v>120</v>
      </c>
      <c r="E451" s="22" t="s">
        <v>199</v>
      </c>
      <c r="F451" s="30" t="s">
        <v>707</v>
      </c>
      <c r="G451" s="47" t="str">
        <f t="shared" si="23"/>
        <v>David</v>
      </c>
      <c r="H451" s="49" t="s">
        <v>295</v>
      </c>
      <c r="I451" s="49" t="s">
        <v>382</v>
      </c>
      <c r="J451" s="47" t="str">
        <f t="shared" si="21"/>
        <v>Não</v>
      </c>
      <c r="K451" s="54">
        <v>46035.0</v>
      </c>
      <c r="L451" s="62"/>
      <c r="M451" s="32" t="s">
        <v>390</v>
      </c>
      <c r="N451" s="56">
        <v>0.005</v>
      </c>
      <c r="O451" s="23" t="s">
        <v>66</v>
      </c>
      <c r="P451" s="57">
        <v>0.0</v>
      </c>
      <c r="Q451" s="58"/>
      <c r="R451" s="58"/>
      <c r="S451" s="32" t="s">
        <v>194</v>
      </c>
      <c r="T451" s="32" t="s">
        <v>6066</v>
      </c>
      <c r="U451" s="33" t="s">
        <v>6068</v>
      </c>
      <c r="V451" s="33" t="s">
        <v>6069</v>
      </c>
      <c r="W451" s="34">
        <v>32879.0</v>
      </c>
      <c r="X451" s="23" t="s">
        <v>54</v>
      </c>
      <c r="Y451" s="49" t="str">
        <f t="shared" si="22"/>
        <v>Ativo</v>
      </c>
      <c r="Z451" s="62"/>
      <c r="AA451" s="32" t="s">
        <v>47</v>
      </c>
      <c r="AB451" s="64"/>
      <c r="AC451" s="79"/>
      <c r="AD451" s="54"/>
      <c r="AE451" s="77"/>
      <c r="AF451" s="79"/>
      <c r="AG451" s="79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65"/>
      <c r="BH451" s="65"/>
      <c r="BI451" s="65"/>
      <c r="BJ451" s="65"/>
      <c r="BK451" s="65"/>
      <c r="BL451" s="65"/>
      <c r="BM451" s="65"/>
      <c r="BN451" s="65"/>
      <c r="BO451" s="65"/>
      <c r="BP451" s="65"/>
      <c r="BQ451" s="65"/>
      <c r="BR451" s="65"/>
      <c r="BS451" s="65">
        <v>26277.97</v>
      </c>
      <c r="BT451" s="88">
        <v>20489.1</v>
      </c>
      <c r="BU451" s="65">
        <v>1.05</v>
      </c>
      <c r="BV451" s="65">
        <v>1.05</v>
      </c>
      <c r="BW451" s="90">
        <v>1.05</v>
      </c>
      <c r="BX451" s="90">
        <v>1.05</v>
      </c>
      <c r="BY451" s="90">
        <f t="array" ref="BY451">XLOOKUP(C451,'PL TOTAL D0'!$A$3:$A$1991,'PL TOTAL D0'!$C$3:$C$1991,"")</f>
        <v>80845.53</v>
      </c>
    </row>
    <row r="452" ht="15.75" customHeight="1">
      <c r="A452" s="43" t="s">
        <v>24</v>
      </c>
      <c r="B452" s="43" t="s">
        <v>6073</v>
      </c>
      <c r="C452" s="94" t="s">
        <v>6074</v>
      </c>
      <c r="D452" s="30" t="s">
        <v>255</v>
      </c>
      <c r="E452" s="22" t="s">
        <v>199</v>
      </c>
      <c r="F452" s="30" t="s">
        <v>257</v>
      </c>
      <c r="G452" s="47" t="str">
        <f t="shared" si="23"/>
        <v>David</v>
      </c>
      <c r="H452" s="49" t="s">
        <v>224</v>
      </c>
      <c r="I452" s="49" t="s">
        <v>66</v>
      </c>
      <c r="J452" s="23" t="s">
        <v>6075</v>
      </c>
      <c r="K452" s="54">
        <v>45392.0</v>
      </c>
      <c r="L452" s="121">
        <v>45525.0</v>
      </c>
      <c r="M452" s="32" t="s">
        <v>6076</v>
      </c>
      <c r="N452" s="56">
        <v>0.01</v>
      </c>
      <c r="O452" s="23" t="s">
        <v>66</v>
      </c>
      <c r="P452" s="57">
        <v>0.0</v>
      </c>
      <c r="Q452" s="58"/>
      <c r="R452" s="58"/>
      <c r="S452" s="32" t="s">
        <v>194</v>
      </c>
      <c r="T452" s="32" t="s">
        <v>6079</v>
      </c>
      <c r="U452" s="33" t="s">
        <v>268</v>
      </c>
      <c r="V452" s="33"/>
      <c r="W452" s="33" t="s">
        <v>268</v>
      </c>
      <c r="X452" s="23" t="s">
        <v>397</v>
      </c>
      <c r="Y452" s="49" t="str">
        <f t="shared" si="22"/>
        <v>Encerrado</v>
      </c>
      <c r="Z452" s="62"/>
      <c r="AA452" s="62"/>
      <c r="AB452" s="64"/>
      <c r="AC452" s="79"/>
      <c r="AD452" s="54">
        <v>45392.0</v>
      </c>
      <c r="AE452" s="77">
        <v>4.9075100014361E13</v>
      </c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65"/>
      <c r="AW452" s="65"/>
      <c r="AX452" s="65">
        <v>572257.08</v>
      </c>
      <c r="AY452" s="65">
        <v>588819.8</v>
      </c>
      <c r="AZ452" s="65">
        <v>579849.8</v>
      </c>
      <c r="BA452" s="65">
        <v>602189.0</v>
      </c>
      <c r="BB452" s="65">
        <v>0.0</v>
      </c>
      <c r="BC452" s="65">
        <v>0.0</v>
      </c>
      <c r="BD452" s="65">
        <v>0.0</v>
      </c>
      <c r="BE452" s="65">
        <v>0.0</v>
      </c>
      <c r="BF452" s="65">
        <v>0.0</v>
      </c>
      <c r="BG452" s="65">
        <v>0.0</v>
      </c>
      <c r="BH452" s="65">
        <v>0.0</v>
      </c>
      <c r="BI452" s="65">
        <v>0.0</v>
      </c>
      <c r="BJ452" s="65">
        <v>0.0</v>
      </c>
      <c r="BK452" s="65">
        <v>0.0</v>
      </c>
      <c r="BL452" s="65">
        <v>0.0</v>
      </c>
      <c r="BM452" s="65">
        <v>0.0</v>
      </c>
      <c r="BN452" s="65">
        <v>0.0</v>
      </c>
      <c r="BO452" s="65">
        <v>0.0</v>
      </c>
      <c r="BP452" s="65">
        <v>0.0</v>
      </c>
      <c r="BQ452" s="65">
        <v>0.0</v>
      </c>
      <c r="BR452" s="65">
        <v>0.0</v>
      </c>
      <c r="BS452" s="65">
        <v>0.0</v>
      </c>
      <c r="BT452" s="88">
        <v>0.0</v>
      </c>
      <c r="BU452" s="65">
        <v>0.0</v>
      </c>
      <c r="BV452" s="65">
        <v>0.0</v>
      </c>
      <c r="BW452" s="90">
        <v>0.0</v>
      </c>
      <c r="BX452" s="90">
        <v>0.0</v>
      </c>
      <c r="BY452" s="90" t="str">
        <f t="array" ref="BY452">XLOOKUP(C452,'PL TOTAL D0'!$A$3:$A$1991,'PL TOTAL D0'!$C$3:$C$1991,"")</f>
        <v/>
      </c>
    </row>
    <row r="453" ht="15.75" customHeight="1">
      <c r="A453" s="50" t="s">
        <v>24</v>
      </c>
      <c r="B453" s="50" t="s">
        <v>6083</v>
      </c>
      <c r="C453" s="94" t="s">
        <v>6084</v>
      </c>
      <c r="D453" s="81" t="s">
        <v>120</v>
      </c>
      <c r="E453" s="95" t="s">
        <v>54</v>
      </c>
      <c r="F453" s="81" t="s">
        <v>348</v>
      </c>
      <c r="G453" s="47" t="str">
        <f t="shared" si="23"/>
        <v>David</v>
      </c>
      <c r="H453" s="74" t="s">
        <v>224</v>
      </c>
      <c r="I453" s="74" t="s">
        <v>66</v>
      </c>
      <c r="J453" s="47" t="str">
        <f t="shared" ref="J453:J505" si="24">IF(Q453=0,"Não","Sim")</f>
        <v>Não</v>
      </c>
      <c r="K453" s="97">
        <v>44951.0</v>
      </c>
      <c r="L453" s="194">
        <v>45126.0</v>
      </c>
      <c r="M453" s="62" t="s">
        <v>61</v>
      </c>
      <c r="N453" s="98">
        <v>0.012</v>
      </c>
      <c r="O453" s="47" t="s">
        <v>66</v>
      </c>
      <c r="P453" s="99">
        <v>0.0</v>
      </c>
      <c r="Q453" s="58"/>
      <c r="R453" s="70"/>
      <c r="S453" s="62" t="s">
        <v>194</v>
      </c>
      <c r="T453" s="32" t="s">
        <v>6085</v>
      </c>
      <c r="U453" s="33" t="s">
        <v>268</v>
      </c>
      <c r="V453" s="33"/>
      <c r="W453" s="33" t="s">
        <v>268</v>
      </c>
      <c r="X453" s="23" t="s">
        <v>54</v>
      </c>
      <c r="Y453" s="49" t="str">
        <f t="shared" si="22"/>
        <v>Encerrado</v>
      </c>
      <c r="Z453" s="62"/>
      <c r="AA453" s="62"/>
      <c r="AB453" s="64"/>
      <c r="AC453" s="79"/>
      <c r="AD453" s="54">
        <v>44951.0</v>
      </c>
      <c r="AE453" s="77"/>
      <c r="AF453" s="79"/>
      <c r="AG453" s="79"/>
      <c r="AH453" s="79"/>
      <c r="AI453" s="65">
        <v>174735.51</v>
      </c>
      <c r="AJ453" s="65">
        <v>175767.51</v>
      </c>
      <c r="AK453" s="65">
        <v>150419.13</v>
      </c>
      <c r="AL453" s="65">
        <v>163652.6</v>
      </c>
      <c r="AM453" s="65">
        <v>165822.31</v>
      </c>
      <c r="AN453" s="65">
        <v>167418.83</v>
      </c>
      <c r="AO453" s="65">
        <v>0.0</v>
      </c>
      <c r="AP453" s="65">
        <v>0.0</v>
      </c>
      <c r="AQ453" s="65">
        <v>0.0</v>
      </c>
      <c r="AR453" s="65">
        <v>0.0</v>
      </c>
      <c r="AS453" s="65">
        <v>0.0</v>
      </c>
      <c r="AT453" s="65">
        <v>0.0</v>
      </c>
      <c r="AU453" s="65">
        <v>0.0</v>
      </c>
      <c r="AV453" s="65">
        <v>0.0</v>
      </c>
      <c r="AW453" s="65">
        <v>0.0</v>
      </c>
      <c r="AX453" s="65">
        <v>0.0</v>
      </c>
      <c r="AY453" s="65">
        <v>0.0</v>
      </c>
      <c r="AZ453" s="65">
        <v>0.0</v>
      </c>
      <c r="BA453" s="65">
        <v>0.0</v>
      </c>
      <c r="BB453" s="65">
        <v>0.0</v>
      </c>
      <c r="BC453" s="65">
        <v>0.0</v>
      </c>
      <c r="BD453" s="65">
        <v>0.0</v>
      </c>
      <c r="BE453" s="65">
        <v>0.0</v>
      </c>
      <c r="BF453" s="65">
        <v>0.0</v>
      </c>
      <c r="BG453" s="65">
        <v>0.0</v>
      </c>
      <c r="BH453" s="65">
        <v>0.0</v>
      </c>
      <c r="BI453" s="65">
        <v>0.0</v>
      </c>
      <c r="BJ453" s="65">
        <v>0.0</v>
      </c>
      <c r="BK453" s="65">
        <v>0.0</v>
      </c>
      <c r="BL453" s="65">
        <v>0.0</v>
      </c>
      <c r="BM453" s="65">
        <v>0.0</v>
      </c>
      <c r="BN453" s="65">
        <v>0.0</v>
      </c>
      <c r="BO453" s="65">
        <v>0.0</v>
      </c>
      <c r="BP453" s="65">
        <v>0.0</v>
      </c>
      <c r="BQ453" s="65">
        <v>0.0</v>
      </c>
      <c r="BR453" s="65">
        <v>0.0</v>
      </c>
      <c r="BS453" s="65">
        <v>0.0</v>
      </c>
      <c r="BT453" s="88">
        <v>0.0</v>
      </c>
      <c r="BU453" s="65">
        <v>0.0</v>
      </c>
      <c r="BV453" s="65">
        <v>0.0</v>
      </c>
      <c r="BW453" s="90">
        <v>0.0</v>
      </c>
      <c r="BX453" s="90">
        <v>0.0</v>
      </c>
      <c r="BY453" s="90" t="str">
        <f t="array" ref="BY453">XLOOKUP(C453,'PL TOTAL D0'!$A$3:$A$1991,'PL TOTAL D0'!$C$3:$C$1991,"")</f>
        <v/>
      </c>
    </row>
    <row r="454" ht="15.75" customHeight="1">
      <c r="A454" s="50" t="s">
        <v>24</v>
      </c>
      <c r="B454" s="50" t="s">
        <v>6091</v>
      </c>
      <c r="C454" s="94" t="s">
        <v>6092</v>
      </c>
      <c r="D454" s="81" t="s">
        <v>120</v>
      </c>
      <c r="E454" s="95" t="s">
        <v>199</v>
      </c>
      <c r="F454" s="81" t="s">
        <v>290</v>
      </c>
      <c r="G454" s="47" t="str">
        <f t="shared" si="23"/>
        <v>David</v>
      </c>
      <c r="H454" s="49" t="s">
        <v>295</v>
      </c>
      <c r="I454" s="49" t="s">
        <v>382</v>
      </c>
      <c r="J454" s="47" t="str">
        <f t="shared" si="24"/>
        <v>Não</v>
      </c>
      <c r="K454" s="97">
        <v>44924.0</v>
      </c>
      <c r="L454" s="62"/>
      <c r="M454" s="62" t="s">
        <v>61</v>
      </c>
      <c r="N454" s="98">
        <v>0.012</v>
      </c>
      <c r="O454" s="47" t="s">
        <v>66</v>
      </c>
      <c r="P454" s="99">
        <v>0.0</v>
      </c>
      <c r="Q454" s="58"/>
      <c r="R454" s="635"/>
      <c r="S454" s="62" t="s">
        <v>194</v>
      </c>
      <c r="T454" s="32" t="s">
        <v>6093</v>
      </c>
      <c r="U454" s="33">
        <v>5.51199999999E11</v>
      </c>
      <c r="V454" s="33" t="s">
        <v>6094</v>
      </c>
      <c r="W454" s="34">
        <v>19629.0</v>
      </c>
      <c r="X454" s="23" t="s">
        <v>397</v>
      </c>
      <c r="Y454" s="49" t="str">
        <f t="shared" si="22"/>
        <v>Ativo</v>
      </c>
      <c r="Z454" s="62"/>
      <c r="AA454" s="62"/>
      <c r="AB454" s="64" t="s">
        <v>244</v>
      </c>
      <c r="AC454" s="79"/>
      <c r="AD454" s="54">
        <v>44924.0</v>
      </c>
      <c r="AE454" s="77">
        <v>4.9075100005771E13</v>
      </c>
      <c r="AF454" s="79"/>
      <c r="AG454" s="79"/>
      <c r="AH454" s="65">
        <v>200089.91</v>
      </c>
      <c r="AI454" s="65">
        <v>202258.1</v>
      </c>
      <c r="AJ454" s="65">
        <v>203853.38</v>
      </c>
      <c r="AK454" s="65">
        <v>206066.06</v>
      </c>
      <c r="AL454" s="65">
        <v>207604.09</v>
      </c>
      <c r="AM454" s="65">
        <v>209789.01</v>
      </c>
      <c r="AN454" s="65">
        <v>211684.93</v>
      </c>
      <c r="AO454" s="65">
        <v>213546.39</v>
      </c>
      <c r="AP454" s="65">
        <v>215625.62</v>
      </c>
      <c r="AQ454" s="65">
        <v>217385.52</v>
      </c>
      <c r="AR454" s="65">
        <v>219295.9</v>
      </c>
      <c r="AS454" s="65">
        <v>207.97</v>
      </c>
      <c r="AT454" s="65">
        <v>21.27</v>
      </c>
      <c r="AU454" s="65">
        <v>21.27</v>
      </c>
      <c r="AV454" s="65">
        <v>136.82</v>
      </c>
      <c r="AW454" s="65">
        <v>137.32</v>
      </c>
      <c r="AX454" s="65">
        <v>138.53</v>
      </c>
      <c r="AY454" s="65">
        <v>139.24</v>
      </c>
      <c r="AZ454" s="65">
        <v>140.34</v>
      </c>
      <c r="BA454" s="65">
        <v>141.6</v>
      </c>
      <c r="BB454" s="65">
        <v>142.84</v>
      </c>
      <c r="BC454" s="65">
        <v>144.03</v>
      </c>
      <c r="BD454" s="65">
        <v>145.36</v>
      </c>
      <c r="BE454" s="65">
        <v>145.43</v>
      </c>
      <c r="BF454" s="65">
        <v>146.77</v>
      </c>
      <c r="BG454" s="65">
        <v>148.28</v>
      </c>
      <c r="BH454" s="65">
        <v>149.73</v>
      </c>
      <c r="BI454" s="65">
        <v>151.15</v>
      </c>
      <c r="BJ454" s="65">
        <v>152.73</v>
      </c>
      <c r="BK454" s="65">
        <v>153.12</v>
      </c>
      <c r="BL454" s="65">
        <v>154.79</v>
      </c>
      <c r="BM454" s="65">
        <v>156.75</v>
      </c>
      <c r="BN454" s="65">
        <v>158.56</v>
      </c>
      <c r="BO454" s="65">
        <v>160.4</v>
      </c>
      <c r="BP454" s="65">
        <v>162.5</v>
      </c>
      <c r="BQ454" s="65">
        <v>162.53</v>
      </c>
      <c r="BR454" s="65">
        <v>164.51</v>
      </c>
      <c r="BS454" s="65">
        <v>166.42</v>
      </c>
      <c r="BT454" s="88">
        <v>168.07</v>
      </c>
      <c r="BU454" s="65">
        <v>170.12</v>
      </c>
      <c r="BV454" s="65">
        <v>171.95</v>
      </c>
      <c r="BW454" s="90">
        <v>172.1</v>
      </c>
      <c r="BX454" s="90">
        <v>173.92</v>
      </c>
      <c r="BY454" s="90" t="str">
        <f t="array" ref="BY454">XLOOKUP(C454,'PL TOTAL D0'!$A$3:$A$1991,'PL TOTAL D0'!$C$3:$C$1991,"")</f>
        <v/>
      </c>
    </row>
    <row r="455" ht="15.75" customHeight="1">
      <c r="A455" s="50" t="s">
        <v>24</v>
      </c>
      <c r="B455" s="43" t="s">
        <v>2147</v>
      </c>
      <c r="C455" s="94" t="s">
        <v>6099</v>
      </c>
      <c r="D455" s="30" t="s">
        <v>89</v>
      </c>
      <c r="E455" s="22" t="s">
        <v>91</v>
      </c>
      <c r="F455" s="30" t="s">
        <v>521</v>
      </c>
      <c r="G455" s="47" t="str">
        <f t="shared" si="23"/>
        <v>David</v>
      </c>
      <c r="H455" s="49" t="s">
        <v>295</v>
      </c>
      <c r="I455" s="49" t="s">
        <v>382</v>
      </c>
      <c r="J455" s="47" t="str">
        <f t="shared" si="24"/>
        <v>Não</v>
      </c>
      <c r="K455" s="54">
        <v>45726.0</v>
      </c>
      <c r="L455" s="194"/>
      <c r="M455" s="32" t="s">
        <v>61</v>
      </c>
      <c r="N455" s="56">
        <v>0.012</v>
      </c>
      <c r="O455" s="23" t="s">
        <v>66</v>
      </c>
      <c r="P455" s="57">
        <v>0.0</v>
      </c>
      <c r="Q455" s="58"/>
      <c r="R455" s="70"/>
      <c r="S455" s="32" t="s">
        <v>194</v>
      </c>
      <c r="T455" s="32" t="s">
        <v>2150</v>
      </c>
      <c r="U455" s="33">
        <v>5.562999802005E12</v>
      </c>
      <c r="V455" s="33" t="s">
        <v>2152</v>
      </c>
      <c r="W455" s="34">
        <v>30822.0</v>
      </c>
      <c r="X455" s="23" t="s">
        <v>54</v>
      </c>
      <c r="Y455" s="49" t="str">
        <f t="shared" si="22"/>
        <v>Ativo</v>
      </c>
      <c r="Z455" s="62"/>
      <c r="AA455" s="32" t="s">
        <v>47</v>
      </c>
      <c r="AB455" s="64"/>
      <c r="AC455" s="79"/>
      <c r="AD455" s="54"/>
      <c r="AE455" s="77"/>
      <c r="AF455" s="79"/>
      <c r="AG455" s="79"/>
      <c r="AH455" s="79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  <c r="BE455" s="65"/>
      <c r="BF455" s="65"/>
      <c r="BG455" s="65"/>
      <c r="BH455" s="65"/>
      <c r="BI455" s="65">
        <v>0.0</v>
      </c>
      <c r="BJ455" s="65">
        <v>0.0</v>
      </c>
      <c r="BK455" s="65">
        <v>0.0</v>
      </c>
      <c r="BL455" s="65">
        <v>0.0</v>
      </c>
      <c r="BM455" s="65">
        <v>0.0</v>
      </c>
      <c r="BN455" s="65">
        <v>0.0</v>
      </c>
      <c r="BO455" s="65">
        <v>0.0</v>
      </c>
      <c r="BP455" s="65">
        <v>0.0</v>
      </c>
      <c r="BQ455" s="65">
        <v>0.0</v>
      </c>
      <c r="BR455" s="65">
        <v>0.0</v>
      </c>
      <c r="BS455" s="65">
        <v>0.0</v>
      </c>
      <c r="BT455" s="88">
        <v>0.0</v>
      </c>
      <c r="BU455" s="65">
        <v>0.0</v>
      </c>
      <c r="BV455" s="65">
        <v>0.0</v>
      </c>
      <c r="BW455" s="90">
        <v>0.0</v>
      </c>
      <c r="BX455" s="90">
        <v>0.0</v>
      </c>
      <c r="BY455" s="90" t="str">
        <f t="array" ref="BY455">XLOOKUP(C455,'PL TOTAL D0'!$A$3:$A$1991,'PL TOTAL D0'!$C$3:$C$1991,"")</f>
        <v/>
      </c>
    </row>
    <row r="456" ht="15.75" customHeight="1">
      <c r="A456" s="50" t="s">
        <v>24</v>
      </c>
      <c r="B456" s="50" t="s">
        <v>883</v>
      </c>
      <c r="C456" s="94" t="s">
        <v>2627</v>
      </c>
      <c r="D456" s="30" t="s">
        <v>120</v>
      </c>
      <c r="E456" s="95" t="s">
        <v>91</v>
      </c>
      <c r="F456" s="81" t="s">
        <v>884</v>
      </c>
      <c r="G456" s="47" t="str">
        <f t="shared" si="23"/>
        <v>Marcus</v>
      </c>
      <c r="H456" s="49" t="s">
        <v>183</v>
      </c>
      <c r="I456" s="49" t="s">
        <v>66</v>
      </c>
      <c r="J456" s="47" t="str">
        <f t="shared" si="24"/>
        <v>Não</v>
      </c>
      <c r="K456" s="97">
        <v>45166.0</v>
      </c>
      <c r="L456" s="189"/>
      <c r="M456" s="62" t="s">
        <v>61</v>
      </c>
      <c r="N456" s="98">
        <v>0.007</v>
      </c>
      <c r="O456" s="47" t="s">
        <v>66</v>
      </c>
      <c r="P456" s="99">
        <v>0.0</v>
      </c>
      <c r="Q456" s="58"/>
      <c r="R456" s="70" t="s">
        <v>6109</v>
      </c>
      <c r="S456" s="62" t="s">
        <v>194</v>
      </c>
      <c r="T456" s="32" t="s">
        <v>886</v>
      </c>
      <c r="U456" s="33">
        <v>5.514997029785E12</v>
      </c>
      <c r="V456" s="33" t="s">
        <v>888</v>
      </c>
      <c r="W456" s="34">
        <v>26642.0</v>
      </c>
      <c r="X456" s="23" t="s">
        <v>475</v>
      </c>
      <c r="Y456" s="49" t="str">
        <f t="shared" si="22"/>
        <v>Ativo</v>
      </c>
      <c r="Z456" s="62"/>
      <c r="AA456" s="62"/>
      <c r="AB456" s="64" t="s">
        <v>269</v>
      </c>
      <c r="AC456" s="79"/>
      <c r="AD456" s="54">
        <v>45166.0</v>
      </c>
      <c r="AE456" s="77">
        <v>4.9075100011427E13</v>
      </c>
      <c r="AF456" s="79"/>
      <c r="AG456" s="79"/>
      <c r="AH456" s="79"/>
      <c r="AI456" s="79"/>
      <c r="AJ456" s="79"/>
      <c r="AK456" s="79"/>
      <c r="AL456" s="65">
        <v>0.0</v>
      </c>
      <c r="AM456" s="65">
        <v>0.0</v>
      </c>
      <c r="AN456" s="65">
        <v>0.0</v>
      </c>
      <c r="AO456" s="65">
        <v>0.0</v>
      </c>
      <c r="AP456" s="65">
        <v>0.0</v>
      </c>
      <c r="AQ456" s="65">
        <v>0.0</v>
      </c>
      <c r="AR456" s="65">
        <v>0.0</v>
      </c>
      <c r="AS456" s="65">
        <v>0.0</v>
      </c>
      <c r="AT456" s="65">
        <v>0.0</v>
      </c>
      <c r="AU456" s="65">
        <v>0.0</v>
      </c>
      <c r="AV456" s="65">
        <v>0.0</v>
      </c>
      <c r="AW456" s="65">
        <v>0.0</v>
      </c>
      <c r="AX456" s="65">
        <v>0.0</v>
      </c>
      <c r="AY456" s="65">
        <v>0.0</v>
      </c>
      <c r="AZ456" s="65">
        <v>0.0</v>
      </c>
      <c r="BA456" s="65">
        <v>0.0</v>
      </c>
      <c r="BB456" s="65">
        <v>0.0</v>
      </c>
      <c r="BC456" s="65">
        <v>0.0</v>
      </c>
      <c r="BD456" s="65">
        <v>0.0</v>
      </c>
      <c r="BE456" s="65">
        <v>1699333.69</v>
      </c>
      <c r="BF456" s="65">
        <v>1609306.0</v>
      </c>
      <c r="BG456" s="65">
        <v>1554964.6</v>
      </c>
      <c r="BH456" s="65">
        <v>1550430.38</v>
      </c>
      <c r="BI456" s="65">
        <v>1545572.63</v>
      </c>
      <c r="BJ456" s="65">
        <v>1543117.11</v>
      </c>
      <c r="BK456" s="65">
        <v>1531915.71</v>
      </c>
      <c r="BL456" s="65">
        <v>1526138.93</v>
      </c>
      <c r="BM456" s="65">
        <v>1523622.35</v>
      </c>
      <c r="BN456" s="65">
        <v>1539925.0</v>
      </c>
      <c r="BO456" s="65">
        <v>1535957.24</v>
      </c>
      <c r="BP456" s="65">
        <v>1533925.0</v>
      </c>
      <c r="BQ456" s="65">
        <v>1525050.0</v>
      </c>
      <c r="BR456" s="65">
        <v>1519930.0</v>
      </c>
      <c r="BS456" s="65">
        <v>1536267.69</v>
      </c>
      <c r="BT456" s="88">
        <v>1549131.0</v>
      </c>
      <c r="BU456" s="65">
        <v>1567393.0</v>
      </c>
      <c r="BV456" s="65">
        <v>1578707.0</v>
      </c>
      <c r="BW456" s="90">
        <v>1585542.0</v>
      </c>
      <c r="BX456" s="90">
        <v>1600869.33</v>
      </c>
      <c r="BY456" s="90">
        <f t="array" ref="BY456">XLOOKUP(C456,'PL TOTAL D0'!$A$3:$A$1991,'PL TOTAL D0'!$C$3:$C$1991,"")</f>
        <v>1622440.37</v>
      </c>
    </row>
    <row r="457" ht="15.75" customHeight="1">
      <c r="A457" s="50" t="s">
        <v>24</v>
      </c>
      <c r="B457" s="566" t="s">
        <v>6111</v>
      </c>
      <c r="C457" s="94" t="s">
        <v>6112</v>
      </c>
      <c r="D457" s="81" t="s">
        <v>120</v>
      </c>
      <c r="E457" s="95" t="s">
        <v>54</v>
      </c>
      <c r="F457" s="81" t="s">
        <v>348</v>
      </c>
      <c r="G457" s="47" t="str">
        <f t="shared" si="23"/>
        <v>David</v>
      </c>
      <c r="H457" s="49" t="s">
        <v>224</v>
      </c>
      <c r="I457" s="49" t="s">
        <v>66</v>
      </c>
      <c r="J457" s="47" t="str">
        <f t="shared" si="24"/>
        <v>Não</v>
      </c>
      <c r="K457" s="97">
        <v>45219.0</v>
      </c>
      <c r="L457" s="55">
        <v>45539.0</v>
      </c>
      <c r="M457" s="62" t="s">
        <v>61</v>
      </c>
      <c r="N457" s="733">
        <v>0.008</v>
      </c>
      <c r="O457" s="47" t="s">
        <v>66</v>
      </c>
      <c r="P457" s="99">
        <v>0.0</v>
      </c>
      <c r="Q457" s="58"/>
      <c r="R457" s="70"/>
      <c r="S457" s="62" t="s">
        <v>234</v>
      </c>
      <c r="T457" s="32" t="s">
        <v>6113</v>
      </c>
      <c r="U457" s="33" t="s">
        <v>268</v>
      </c>
      <c r="V457" s="33"/>
      <c r="W457" s="33" t="s">
        <v>268</v>
      </c>
      <c r="X457" s="23" t="s">
        <v>54</v>
      </c>
      <c r="Y457" s="49" t="str">
        <f t="shared" si="22"/>
        <v>Encerrado</v>
      </c>
      <c r="Z457" s="62"/>
      <c r="AA457" s="62"/>
      <c r="AB457" s="64" t="s">
        <v>269</v>
      </c>
      <c r="AC457" s="79"/>
      <c r="AD457" s="54">
        <v>45219.0</v>
      </c>
      <c r="AE457" s="77">
        <v>4.9075100012482E13</v>
      </c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65">
        <v>0.0</v>
      </c>
      <c r="AS457" s="65">
        <v>0.0</v>
      </c>
      <c r="AT457" s="65">
        <v>0.0</v>
      </c>
      <c r="AU457" s="65">
        <v>0.0</v>
      </c>
      <c r="AV457" s="65">
        <v>886613.59</v>
      </c>
      <c r="AW457" s="65">
        <v>983365.96</v>
      </c>
      <c r="AX457" s="65">
        <v>1493039.19</v>
      </c>
      <c r="AY457" s="65">
        <v>2057689.0</v>
      </c>
      <c r="AZ457" s="65">
        <v>2075857.0</v>
      </c>
      <c r="BA457" s="65">
        <v>2259102.0</v>
      </c>
      <c r="BB457" s="65">
        <v>2165469.91</v>
      </c>
      <c r="BC457" s="65">
        <v>0.0</v>
      </c>
      <c r="BD457" s="65">
        <v>0.0</v>
      </c>
      <c r="BE457" s="65">
        <v>0.0</v>
      </c>
      <c r="BF457" s="65">
        <v>0.0</v>
      </c>
      <c r="BG457" s="65">
        <v>0.0</v>
      </c>
      <c r="BH457" s="65">
        <v>0.0</v>
      </c>
      <c r="BI457" s="65">
        <v>0.0</v>
      </c>
      <c r="BJ457" s="65">
        <v>0.0</v>
      </c>
      <c r="BK457" s="65">
        <v>0.0</v>
      </c>
      <c r="BL457" s="65">
        <v>0.0</v>
      </c>
      <c r="BM457" s="65">
        <v>0.0</v>
      </c>
      <c r="BN457" s="65">
        <v>0.0</v>
      </c>
      <c r="BO457" s="65">
        <v>0.0</v>
      </c>
      <c r="BP457" s="65">
        <v>0.0</v>
      </c>
      <c r="BQ457" s="65">
        <v>0.0</v>
      </c>
      <c r="BR457" s="65">
        <v>0.0</v>
      </c>
      <c r="BS457" s="65">
        <v>0.0</v>
      </c>
      <c r="BT457" s="88">
        <v>0.0</v>
      </c>
      <c r="BU457" s="65">
        <v>0.0</v>
      </c>
      <c r="BV457" s="65">
        <v>0.0</v>
      </c>
      <c r="BW457" s="90">
        <v>0.0</v>
      </c>
      <c r="BX457" s="90">
        <v>0.0</v>
      </c>
      <c r="BY457" s="90" t="str">
        <f t="array" ref="BY457">XLOOKUP(C457,'PL TOTAL D0'!$A$3:$A$1991,'PL TOTAL D0'!$C$3:$C$1991,"")</f>
        <v/>
      </c>
    </row>
    <row r="458" ht="15.75" customHeight="1">
      <c r="A458" s="50" t="s">
        <v>24</v>
      </c>
      <c r="B458" s="50" t="s">
        <v>6119</v>
      </c>
      <c r="C458" s="94" t="s">
        <v>6120</v>
      </c>
      <c r="D458" s="81" t="s">
        <v>120</v>
      </c>
      <c r="E458" s="95" t="s">
        <v>54</v>
      </c>
      <c r="F458" s="81" t="s">
        <v>348</v>
      </c>
      <c r="G458" s="47" t="str">
        <f t="shared" si="23"/>
        <v>David</v>
      </c>
      <c r="H458" s="49" t="s">
        <v>295</v>
      </c>
      <c r="I458" s="49" t="s">
        <v>382</v>
      </c>
      <c r="J458" s="47" t="str">
        <f t="shared" si="24"/>
        <v>Não</v>
      </c>
      <c r="K458" s="97">
        <v>44998.0</v>
      </c>
      <c r="L458" s="62"/>
      <c r="M458" s="62" t="s">
        <v>61</v>
      </c>
      <c r="N458" s="98">
        <v>0.012</v>
      </c>
      <c r="O458" s="47" t="s">
        <v>66</v>
      </c>
      <c r="P458" s="99">
        <v>0.0</v>
      </c>
      <c r="Q458" s="58"/>
      <c r="R458" s="635"/>
      <c r="S458" s="62" t="s">
        <v>194</v>
      </c>
      <c r="T458" s="32" t="s">
        <v>4980</v>
      </c>
      <c r="U458" s="33">
        <v>5.562999132626E12</v>
      </c>
      <c r="V458" s="33" t="s">
        <v>6122</v>
      </c>
      <c r="W458" s="34">
        <v>37824.0</v>
      </c>
      <c r="X458" s="23" t="s">
        <v>54</v>
      </c>
      <c r="Y458" s="49" t="str">
        <f t="shared" si="22"/>
        <v>Ativo</v>
      </c>
      <c r="Z458" s="62"/>
      <c r="AA458" s="62"/>
      <c r="AB458" s="64" t="s">
        <v>269</v>
      </c>
      <c r="AC458" s="79"/>
      <c r="AD458" s="54">
        <v>44998.0</v>
      </c>
      <c r="AE458" s="77">
        <v>4.9075100008558E13</v>
      </c>
      <c r="AF458" s="79"/>
      <c r="AG458" s="79"/>
      <c r="AH458" s="79"/>
      <c r="AI458" s="79"/>
      <c r="AJ458" s="65">
        <v>21865.15</v>
      </c>
      <c r="AK458" s="65">
        <v>43465.11</v>
      </c>
      <c r="AL458" s="65">
        <v>43794.1</v>
      </c>
      <c r="AM458" s="65">
        <v>43995.85</v>
      </c>
      <c r="AN458" s="65">
        <v>44411.94</v>
      </c>
      <c r="AO458" s="65">
        <v>43803.84</v>
      </c>
      <c r="AP458" s="65">
        <v>8628.77</v>
      </c>
      <c r="AQ458" s="65">
        <v>8648.56</v>
      </c>
      <c r="AR458" s="65">
        <v>8712.66</v>
      </c>
      <c r="AS458" s="65">
        <v>8769.11</v>
      </c>
      <c r="AT458" s="65">
        <v>8830.75</v>
      </c>
      <c r="AU458" s="65">
        <v>8914.99</v>
      </c>
      <c r="AV458" s="65">
        <v>8989.08</v>
      </c>
      <c r="AW458" s="65">
        <v>9079.5</v>
      </c>
      <c r="AX458" s="65">
        <v>9175.44</v>
      </c>
      <c r="AY458" s="65">
        <v>9241.1</v>
      </c>
      <c r="AZ458" s="65">
        <v>9315.07</v>
      </c>
      <c r="BA458" s="65">
        <v>0.0</v>
      </c>
      <c r="BB458" s="65">
        <v>0.03</v>
      </c>
      <c r="BC458" s="65">
        <v>0.03</v>
      </c>
      <c r="BD458" s="65">
        <v>0.03</v>
      </c>
      <c r="BE458" s="65">
        <v>0.03</v>
      </c>
      <c r="BF458" s="65">
        <v>0.03</v>
      </c>
      <c r="BG458" s="65">
        <v>0.03</v>
      </c>
      <c r="BH458" s="65">
        <v>0.03</v>
      </c>
      <c r="BI458" s="65">
        <v>0.03</v>
      </c>
      <c r="BJ458" s="65">
        <v>0.0</v>
      </c>
      <c r="BK458" s="65">
        <v>0.0</v>
      </c>
      <c r="BL458" s="65">
        <v>0.0</v>
      </c>
      <c r="BM458" s="65">
        <v>0.0</v>
      </c>
      <c r="BN458" s="65">
        <v>0.0</v>
      </c>
      <c r="BO458" s="65">
        <v>0.0</v>
      </c>
      <c r="BP458" s="65">
        <v>0.0</v>
      </c>
      <c r="BQ458" s="65">
        <v>0.0</v>
      </c>
      <c r="BR458" s="65">
        <v>0.0</v>
      </c>
      <c r="BS458" s="65">
        <v>0.0</v>
      </c>
      <c r="BT458" s="88">
        <v>0.0</v>
      </c>
      <c r="BU458" s="65">
        <v>0.0</v>
      </c>
      <c r="BV458" s="65">
        <v>0.0</v>
      </c>
      <c r="BW458" s="90">
        <v>0.0</v>
      </c>
      <c r="BX458" s="90">
        <v>0.0</v>
      </c>
      <c r="BY458" s="90" t="str">
        <f t="array" ref="BY458">XLOOKUP(C458,'PL TOTAL D0'!$A$3:$A$1991,'PL TOTAL D0'!$C$3:$C$1991,"")</f>
        <v/>
      </c>
    </row>
    <row r="459" ht="15.75" customHeight="1">
      <c r="A459" s="50" t="s">
        <v>24</v>
      </c>
      <c r="B459" s="50" t="s">
        <v>6126</v>
      </c>
      <c r="C459" s="94" t="s">
        <v>6127</v>
      </c>
      <c r="D459" s="81" t="s">
        <v>120</v>
      </c>
      <c r="E459" s="95" t="s">
        <v>199</v>
      </c>
      <c r="F459" s="81" t="s">
        <v>1914</v>
      </c>
      <c r="G459" s="47" t="str">
        <f t="shared" si="23"/>
        <v>David</v>
      </c>
      <c r="H459" s="49" t="s">
        <v>224</v>
      </c>
      <c r="I459" s="49" t="s">
        <v>66</v>
      </c>
      <c r="J459" s="47" t="str">
        <f t="shared" si="24"/>
        <v>Não</v>
      </c>
      <c r="K459" s="97">
        <v>45086.0</v>
      </c>
      <c r="L459" s="55">
        <v>45799.0</v>
      </c>
      <c r="M459" s="62" t="s">
        <v>390</v>
      </c>
      <c r="N459" s="56">
        <v>0.0</v>
      </c>
      <c r="O459" s="23" t="s">
        <v>66</v>
      </c>
      <c r="P459" s="57">
        <v>0.0</v>
      </c>
      <c r="Q459" s="58"/>
      <c r="R459" s="58" t="s">
        <v>610</v>
      </c>
      <c r="S459" s="62" t="s">
        <v>194</v>
      </c>
      <c r="T459" s="32" t="s">
        <v>6129</v>
      </c>
      <c r="U459" s="33" t="s">
        <v>268</v>
      </c>
      <c r="V459" s="33"/>
      <c r="W459" s="33" t="s">
        <v>268</v>
      </c>
      <c r="X459" s="23" t="s">
        <v>199</v>
      </c>
      <c r="Y459" s="49" t="str">
        <f t="shared" si="22"/>
        <v>Encerrado</v>
      </c>
      <c r="Z459" s="62"/>
      <c r="AA459" s="62"/>
      <c r="AB459" s="64" t="s">
        <v>269</v>
      </c>
      <c r="AC459" s="79"/>
      <c r="AD459" s="54">
        <v>45086.0</v>
      </c>
      <c r="AE459" s="77">
        <v>4.9075100010145E13</v>
      </c>
      <c r="AF459" s="79"/>
      <c r="AG459" s="79"/>
      <c r="AH459" s="79"/>
      <c r="AI459" s="79"/>
      <c r="AJ459" s="79"/>
      <c r="AK459" s="79"/>
      <c r="AL459" s="79"/>
      <c r="AM459" s="65">
        <v>0.0</v>
      </c>
      <c r="AN459" s="65">
        <v>25144.17</v>
      </c>
      <c r="AO459" s="65">
        <v>25359.46</v>
      </c>
      <c r="AP459" s="65">
        <v>25603.34</v>
      </c>
      <c r="AQ459" s="65">
        <v>25643.06</v>
      </c>
      <c r="AR459" s="65">
        <v>25817.29</v>
      </c>
      <c r="AS459" s="65">
        <v>25753.04</v>
      </c>
      <c r="AT459" s="65">
        <v>25949.84</v>
      </c>
      <c r="AU459" s="65">
        <v>26197.12</v>
      </c>
      <c r="AV459" s="65">
        <v>26382.92</v>
      </c>
      <c r="AW459" s="65">
        <v>26561.96</v>
      </c>
      <c r="AX459" s="65">
        <v>25673.55</v>
      </c>
      <c r="AY459" s="65">
        <v>25878.66</v>
      </c>
      <c r="AZ459" s="65">
        <v>25936.27</v>
      </c>
      <c r="BA459" s="65">
        <v>26178.17</v>
      </c>
      <c r="BB459" s="65">
        <v>24382.5</v>
      </c>
      <c r="BC459" s="65">
        <v>24575.11</v>
      </c>
      <c r="BD459" s="65">
        <v>24811.35</v>
      </c>
      <c r="BE459" s="65">
        <v>0.0</v>
      </c>
      <c r="BF459" s="65">
        <v>0.0</v>
      </c>
      <c r="BG459" s="65">
        <v>0.0</v>
      </c>
      <c r="BH459" s="65">
        <v>0.0</v>
      </c>
      <c r="BI459" s="65">
        <v>0.0</v>
      </c>
      <c r="BJ459" s="65">
        <v>0.0</v>
      </c>
      <c r="BK459" s="65">
        <v>0.0</v>
      </c>
      <c r="BL459" s="65">
        <v>0.0</v>
      </c>
      <c r="BM459" s="65">
        <v>0.0</v>
      </c>
      <c r="BN459" s="65">
        <v>0.0</v>
      </c>
      <c r="BO459" s="65">
        <v>0.0</v>
      </c>
      <c r="BP459" s="65">
        <v>0.0</v>
      </c>
      <c r="BQ459" s="65">
        <v>0.0</v>
      </c>
      <c r="BR459" s="65">
        <v>0.0</v>
      </c>
      <c r="BS459" s="65">
        <v>0.0</v>
      </c>
      <c r="BT459" s="88">
        <v>0.0</v>
      </c>
      <c r="BU459" s="65">
        <v>0.0</v>
      </c>
      <c r="BV459" s="65">
        <v>0.0</v>
      </c>
      <c r="BW459" s="90">
        <v>0.0</v>
      </c>
      <c r="BX459" s="90">
        <v>0.0</v>
      </c>
      <c r="BY459" s="90" t="str">
        <f t="array" ref="BY459">XLOOKUP(C459,'PL TOTAL D0'!$A$3:$A$1991,'PL TOTAL D0'!$C$3:$C$1991,"")</f>
        <v/>
      </c>
    </row>
    <row r="460" ht="15.75" customHeight="1">
      <c r="A460" s="50" t="s">
        <v>24</v>
      </c>
      <c r="B460" s="191" t="s">
        <v>6131</v>
      </c>
      <c r="C460" s="94" t="s">
        <v>6132</v>
      </c>
      <c r="D460" s="30" t="s">
        <v>89</v>
      </c>
      <c r="E460" s="95" t="s">
        <v>91</v>
      </c>
      <c r="F460" s="66" t="s">
        <v>521</v>
      </c>
      <c r="G460" s="47" t="str">
        <f t="shared" si="23"/>
        <v>David</v>
      </c>
      <c r="H460" s="49" t="s">
        <v>224</v>
      </c>
      <c r="I460" s="49" t="s">
        <v>66</v>
      </c>
      <c r="J460" s="47" t="str">
        <f t="shared" si="24"/>
        <v>Não</v>
      </c>
      <c r="K460" s="97">
        <v>45212.0</v>
      </c>
      <c r="L460" s="55">
        <v>45966.0</v>
      </c>
      <c r="M460" s="62" t="s">
        <v>390</v>
      </c>
      <c r="N460" s="98">
        <v>0.0</v>
      </c>
      <c r="O460" s="47" t="s">
        <v>66</v>
      </c>
      <c r="P460" s="99">
        <v>0.0</v>
      </c>
      <c r="Q460" s="58"/>
      <c r="R460" s="58" t="s">
        <v>610</v>
      </c>
      <c r="S460" s="62" t="s">
        <v>194</v>
      </c>
      <c r="T460" s="32" t="s">
        <v>6135</v>
      </c>
      <c r="U460" s="33">
        <v>5.543991316803E12</v>
      </c>
      <c r="V460" s="33" t="s">
        <v>6136</v>
      </c>
      <c r="W460" s="34">
        <v>36054.0</v>
      </c>
      <c r="X460" s="23" t="s">
        <v>221</v>
      </c>
      <c r="Y460" s="49" t="str">
        <f t="shared" si="22"/>
        <v>Encerrado</v>
      </c>
      <c r="Z460" s="62"/>
      <c r="AA460" s="62"/>
      <c r="AB460" s="64" t="s">
        <v>269</v>
      </c>
      <c r="AC460" s="79"/>
      <c r="AD460" s="54">
        <v>45212.0</v>
      </c>
      <c r="AE460" s="77">
        <v>4.9075100012415E13</v>
      </c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65">
        <v>20580.91</v>
      </c>
      <c r="AS460" s="65">
        <v>20755.49</v>
      </c>
      <c r="AT460" s="65">
        <v>20889.91</v>
      </c>
      <c r="AU460" s="65">
        <v>0.0</v>
      </c>
      <c r="AV460" s="65">
        <v>0.09</v>
      </c>
      <c r="AW460" s="65">
        <v>0.09</v>
      </c>
      <c r="AX460" s="65">
        <v>0.09</v>
      </c>
      <c r="AY460" s="65">
        <v>0.09</v>
      </c>
      <c r="AZ460" s="65">
        <v>0.09</v>
      </c>
      <c r="BA460" s="65">
        <v>0.09</v>
      </c>
      <c r="BB460" s="65">
        <v>0.09</v>
      </c>
      <c r="BC460" s="65">
        <v>0.09</v>
      </c>
      <c r="BD460" s="65">
        <v>0.09</v>
      </c>
      <c r="BE460" s="65">
        <v>0.09</v>
      </c>
      <c r="BF460" s="65">
        <v>0.09</v>
      </c>
      <c r="BG460" s="65">
        <v>0.09</v>
      </c>
      <c r="BH460" s="65">
        <v>0.09</v>
      </c>
      <c r="BI460" s="65">
        <v>0.09</v>
      </c>
      <c r="BJ460" s="65">
        <v>0.0</v>
      </c>
      <c r="BK460" s="65">
        <v>0.0</v>
      </c>
      <c r="BL460" s="65">
        <v>0.0</v>
      </c>
      <c r="BM460" s="65">
        <v>0.0</v>
      </c>
      <c r="BN460" s="65">
        <v>0.0</v>
      </c>
      <c r="BO460" s="65">
        <v>0.0</v>
      </c>
      <c r="BP460" s="65">
        <v>0.0</v>
      </c>
      <c r="BQ460" s="65">
        <v>0.0</v>
      </c>
      <c r="BR460" s="65">
        <v>0.0</v>
      </c>
      <c r="BS460" s="65">
        <v>0.0</v>
      </c>
      <c r="BT460" s="88">
        <v>0.0</v>
      </c>
      <c r="BU460" s="65">
        <v>0.0</v>
      </c>
      <c r="BV460" s="65">
        <v>0.0</v>
      </c>
      <c r="BW460" s="90">
        <v>0.0</v>
      </c>
      <c r="BX460" s="90">
        <v>0.0</v>
      </c>
      <c r="BY460" s="90" t="str">
        <f t="array" ref="BY460">XLOOKUP(C460,'PL TOTAL D0'!$A$3:$A$1991,'PL TOTAL D0'!$C$3:$C$1991,"")</f>
        <v/>
      </c>
    </row>
    <row r="461" ht="15.75" customHeight="1">
      <c r="A461" s="50" t="s">
        <v>24</v>
      </c>
      <c r="B461" s="322" t="s">
        <v>6138</v>
      </c>
      <c r="C461" s="94" t="s">
        <v>6139</v>
      </c>
      <c r="D461" s="30" t="s">
        <v>120</v>
      </c>
      <c r="E461" s="22" t="s">
        <v>199</v>
      </c>
      <c r="F461" s="27" t="s">
        <v>1399</v>
      </c>
      <c r="G461" s="47" t="str">
        <f t="shared" si="23"/>
        <v>David</v>
      </c>
      <c r="H461" s="49" t="s">
        <v>224</v>
      </c>
      <c r="I461" s="49" t="s">
        <v>66</v>
      </c>
      <c r="J461" s="47" t="str">
        <f t="shared" si="24"/>
        <v>Não</v>
      </c>
      <c r="K461" s="54">
        <v>45454.0</v>
      </c>
      <c r="L461" s="55">
        <v>45770.0</v>
      </c>
      <c r="M461" s="32" t="s">
        <v>61</v>
      </c>
      <c r="N461" s="56">
        <v>0.012</v>
      </c>
      <c r="O461" s="23" t="s">
        <v>66</v>
      </c>
      <c r="P461" s="57">
        <v>0.0</v>
      </c>
      <c r="Q461" s="58"/>
      <c r="R461" s="70"/>
      <c r="S461" s="32" t="s">
        <v>194</v>
      </c>
      <c r="T461" s="32" t="s">
        <v>6142</v>
      </c>
      <c r="U461" s="33" t="s">
        <v>268</v>
      </c>
      <c r="V461" s="33"/>
      <c r="W461" s="33" t="s">
        <v>268</v>
      </c>
      <c r="X461" s="23" t="s">
        <v>475</v>
      </c>
      <c r="Y461" s="49" t="str">
        <f t="shared" si="22"/>
        <v>Encerrado</v>
      </c>
      <c r="Z461" s="32"/>
      <c r="AA461" s="32" t="s">
        <v>47</v>
      </c>
      <c r="AB461" s="64" t="s">
        <v>269</v>
      </c>
      <c r="AC461" s="79"/>
      <c r="AD461" s="54">
        <v>45454.0</v>
      </c>
      <c r="AE461" s="77">
        <v>4.907510001512E13</v>
      </c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65"/>
      <c r="AW461" s="65"/>
      <c r="AX461" s="65"/>
      <c r="AY461" s="65"/>
      <c r="AZ461" s="65">
        <v>125681.7</v>
      </c>
      <c r="BA461" s="65">
        <v>153893.8</v>
      </c>
      <c r="BB461" s="65">
        <v>155321.13</v>
      </c>
      <c r="BC461" s="65">
        <v>156486.46</v>
      </c>
      <c r="BD461" s="65">
        <v>141010.93</v>
      </c>
      <c r="BE461" s="65">
        <v>0.0</v>
      </c>
      <c r="BF461" s="65">
        <v>0.0</v>
      </c>
      <c r="BG461" s="65">
        <v>0.0</v>
      </c>
      <c r="BH461" s="65">
        <v>0.0</v>
      </c>
      <c r="BI461" s="65">
        <v>0.0</v>
      </c>
      <c r="BJ461" s="65">
        <v>0.0</v>
      </c>
      <c r="BK461" s="65">
        <v>0.0</v>
      </c>
      <c r="BL461" s="65">
        <v>0.0</v>
      </c>
      <c r="BM461" s="65">
        <v>0.0</v>
      </c>
      <c r="BN461" s="65">
        <v>0.0</v>
      </c>
      <c r="BO461" s="65">
        <v>0.0</v>
      </c>
      <c r="BP461" s="65">
        <v>0.0</v>
      </c>
      <c r="BQ461" s="65">
        <v>0.0</v>
      </c>
      <c r="BR461" s="65">
        <v>0.0</v>
      </c>
      <c r="BS461" s="65">
        <v>0.0</v>
      </c>
      <c r="BT461" s="88">
        <v>0.0</v>
      </c>
      <c r="BU461" s="65">
        <v>0.0</v>
      </c>
      <c r="BV461" s="65">
        <v>0.0</v>
      </c>
      <c r="BW461" s="90">
        <v>0.0</v>
      </c>
      <c r="BX461" s="90">
        <v>0.0</v>
      </c>
      <c r="BY461" s="90" t="str">
        <f t="array" ref="BY461">XLOOKUP(C461,'PL TOTAL D0'!$A$3:$A$1991,'PL TOTAL D0'!$C$3:$C$1991,"")</f>
        <v/>
      </c>
    </row>
    <row r="462" ht="15.75" customHeight="1">
      <c r="A462" s="50" t="s">
        <v>24</v>
      </c>
      <c r="B462" s="322" t="s">
        <v>6145</v>
      </c>
      <c r="C462" s="94" t="s">
        <v>3287</v>
      </c>
      <c r="D462" s="30" t="s">
        <v>1358</v>
      </c>
      <c r="E462" s="22" t="s">
        <v>199</v>
      </c>
      <c r="F462" s="27" t="s">
        <v>6146</v>
      </c>
      <c r="G462" s="47" t="str">
        <f t="shared" si="23"/>
        <v>David</v>
      </c>
      <c r="H462" s="49" t="s">
        <v>183</v>
      </c>
      <c r="I462" s="49" t="s">
        <v>66</v>
      </c>
      <c r="J462" s="47" t="str">
        <f t="shared" si="24"/>
        <v>Não</v>
      </c>
      <c r="K462" s="54">
        <v>45952.0</v>
      </c>
      <c r="L462" s="55"/>
      <c r="M462" s="32" t="s">
        <v>34</v>
      </c>
      <c r="N462" s="56">
        <v>0.012</v>
      </c>
      <c r="O462" s="23" t="s">
        <v>35</v>
      </c>
      <c r="P462" s="57">
        <v>0.1</v>
      </c>
      <c r="Q462" s="58"/>
      <c r="R462" s="70"/>
      <c r="S462" s="32" t="s">
        <v>194</v>
      </c>
      <c r="T462" s="32" t="s">
        <v>6148</v>
      </c>
      <c r="U462" s="33" t="s">
        <v>6149</v>
      </c>
      <c r="V462" s="33" t="s">
        <v>6150</v>
      </c>
      <c r="W462" s="33">
        <v>23702.0</v>
      </c>
      <c r="X462" s="23" t="s">
        <v>54</v>
      </c>
      <c r="Y462" s="49" t="str">
        <f t="shared" si="22"/>
        <v>Ativo</v>
      </c>
      <c r="Z462" s="32"/>
      <c r="AA462" s="32" t="s">
        <v>47</v>
      </c>
      <c r="AB462" s="64"/>
      <c r="AC462" s="79"/>
      <c r="AD462" s="54">
        <v>45964.0</v>
      </c>
      <c r="AE462" s="148">
        <v>4.9075100019681E13</v>
      </c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65"/>
      <c r="AW462" s="65"/>
      <c r="AX462" s="65"/>
      <c r="AY462" s="65"/>
      <c r="AZ462" s="65"/>
      <c r="BA462" s="65"/>
      <c r="BB462" s="65"/>
      <c r="BC462" s="65"/>
      <c r="BD462" s="65"/>
      <c r="BE462" s="65"/>
      <c r="BF462" s="65"/>
      <c r="BG462" s="65"/>
      <c r="BH462" s="65"/>
      <c r="BI462" s="65"/>
      <c r="BJ462" s="65"/>
      <c r="BK462" s="65"/>
      <c r="BL462" s="65"/>
      <c r="BM462" s="65"/>
      <c r="BN462" s="65"/>
      <c r="BO462" s="65"/>
      <c r="BP462" s="65">
        <v>105685.5</v>
      </c>
      <c r="BQ462" s="65">
        <v>105963.3</v>
      </c>
      <c r="BR462" s="65">
        <v>107069.6</v>
      </c>
      <c r="BS462" s="65">
        <v>107929.21</v>
      </c>
      <c r="BT462" s="88">
        <v>108958.2</v>
      </c>
      <c r="BU462" s="65">
        <v>110204.0</v>
      </c>
      <c r="BV462" s="65">
        <v>111226.2</v>
      </c>
      <c r="BW462" s="90">
        <v>111466.5</v>
      </c>
      <c r="BX462" s="90">
        <v>112106.84</v>
      </c>
      <c r="BY462" s="90">
        <f t="array" ref="BY462">XLOOKUP(C462,'PL TOTAL D0'!$A$3:$A$1991,'PL TOTAL D0'!$C$3:$C$1991,"")</f>
        <v>113274.06</v>
      </c>
    </row>
    <row r="463" ht="15.75" customHeight="1">
      <c r="A463" s="50" t="s">
        <v>24</v>
      </c>
      <c r="B463" s="191" t="s">
        <v>6168</v>
      </c>
      <c r="C463" s="94" t="s">
        <v>6169</v>
      </c>
      <c r="D463" s="30" t="s">
        <v>120</v>
      </c>
      <c r="E463" s="22" t="s">
        <v>199</v>
      </c>
      <c r="F463" s="27" t="s">
        <v>290</v>
      </c>
      <c r="G463" s="47" t="str">
        <f t="shared" si="23"/>
        <v>David</v>
      </c>
      <c r="H463" s="49" t="s">
        <v>183</v>
      </c>
      <c r="I463" s="49" t="s">
        <v>66</v>
      </c>
      <c r="J463" s="47" t="str">
        <f t="shared" si="24"/>
        <v>Não</v>
      </c>
      <c r="K463" s="54">
        <v>45582.0</v>
      </c>
      <c r="L463" s="62"/>
      <c r="M463" s="32" t="s">
        <v>390</v>
      </c>
      <c r="N463" s="56">
        <v>0.0</v>
      </c>
      <c r="O463" s="23" t="s">
        <v>66</v>
      </c>
      <c r="P463" s="57">
        <v>0.0</v>
      </c>
      <c r="Q463" s="58"/>
      <c r="R463" s="70"/>
      <c r="S463" s="32" t="s">
        <v>194</v>
      </c>
      <c r="T463" s="32" t="s">
        <v>6171</v>
      </c>
      <c r="U463" s="33">
        <v>5.561981212666E12</v>
      </c>
      <c r="V463" s="33" t="s">
        <v>4882</v>
      </c>
      <c r="W463" s="34">
        <v>42194.0</v>
      </c>
      <c r="X463" s="23" t="s">
        <v>199</v>
      </c>
      <c r="Y463" s="49" t="str">
        <f t="shared" si="22"/>
        <v>Ativo</v>
      </c>
      <c r="Z463" s="32"/>
      <c r="AA463" s="32" t="s">
        <v>107</v>
      </c>
      <c r="AB463" s="64"/>
      <c r="AC463" s="79"/>
      <c r="AD463" s="54">
        <v>45582.0</v>
      </c>
      <c r="AE463" s="77">
        <v>4.9075100015902E13</v>
      </c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65"/>
      <c r="AW463" s="65"/>
      <c r="AX463" s="65"/>
      <c r="AY463" s="65"/>
      <c r="AZ463" s="65"/>
      <c r="BA463" s="65"/>
      <c r="BB463" s="65"/>
      <c r="BC463" s="65"/>
      <c r="BD463" s="65">
        <v>511.87</v>
      </c>
      <c r="BE463" s="65">
        <v>668.41</v>
      </c>
      <c r="BF463" s="65">
        <v>686.58</v>
      </c>
      <c r="BG463" s="65">
        <v>988.89</v>
      </c>
      <c r="BH463" s="65">
        <v>1053.04</v>
      </c>
      <c r="BI463" s="65">
        <v>1028.35</v>
      </c>
      <c r="BJ463" s="65">
        <v>1096.63</v>
      </c>
      <c r="BK463" s="65">
        <v>1147.02</v>
      </c>
      <c r="BL463" s="65">
        <v>1138.84</v>
      </c>
      <c r="BM463" s="65">
        <v>1210.32</v>
      </c>
      <c r="BN463" s="65">
        <v>1173.88</v>
      </c>
      <c r="BO463" s="65">
        <v>1510.03</v>
      </c>
      <c r="BP463" s="65">
        <v>1526.62</v>
      </c>
      <c r="BQ463" s="65">
        <v>1462.5</v>
      </c>
      <c r="BR463" s="65">
        <v>2474.73</v>
      </c>
      <c r="BS463" s="65">
        <v>2442.82</v>
      </c>
      <c r="BT463" s="88">
        <v>2388.62</v>
      </c>
      <c r="BU463" s="65">
        <v>2416.34</v>
      </c>
      <c r="BV463" s="65">
        <v>2504.59</v>
      </c>
      <c r="BW463" s="90">
        <v>2494.53</v>
      </c>
      <c r="BX463" s="90">
        <v>2460.81</v>
      </c>
      <c r="BY463" s="90" t="str">
        <f t="array" ref="BY463">XLOOKUP(C463,'PL TOTAL D0'!$A$3:$A$1991,'PL TOTAL D0'!$C$3:$C$1991,"")</f>
        <v/>
      </c>
    </row>
    <row r="464" ht="15.75" customHeight="1">
      <c r="A464" s="50" t="s">
        <v>24</v>
      </c>
      <c r="B464" s="50" t="s">
        <v>6177</v>
      </c>
      <c r="C464" s="94" t="s">
        <v>6178</v>
      </c>
      <c r="D464" s="81" t="s">
        <v>120</v>
      </c>
      <c r="E464" s="95" t="s">
        <v>54</v>
      </c>
      <c r="F464" s="81" t="s">
        <v>125</v>
      </c>
      <c r="G464" s="47" t="str">
        <f t="shared" si="23"/>
        <v>David</v>
      </c>
      <c r="H464" s="49" t="s">
        <v>224</v>
      </c>
      <c r="I464" s="49" t="s">
        <v>66</v>
      </c>
      <c r="J464" s="47" t="str">
        <f t="shared" si="24"/>
        <v>Não</v>
      </c>
      <c r="K464" s="97">
        <v>45086.0</v>
      </c>
      <c r="L464" s="55">
        <v>45845.0</v>
      </c>
      <c r="M464" s="62" t="s">
        <v>61</v>
      </c>
      <c r="N464" s="98">
        <v>0.012</v>
      </c>
      <c r="O464" s="47" t="s">
        <v>66</v>
      </c>
      <c r="P464" s="99">
        <v>0.0</v>
      </c>
      <c r="Q464" s="58"/>
      <c r="R464" s="736" t="s">
        <v>610</v>
      </c>
      <c r="S464" s="62" t="s">
        <v>194</v>
      </c>
      <c r="T464" s="32" t="s">
        <v>6180</v>
      </c>
      <c r="U464" s="33">
        <v>6.2998741997E10</v>
      </c>
      <c r="V464" s="33" t="s">
        <v>6181</v>
      </c>
      <c r="W464" s="34">
        <v>35628.0</v>
      </c>
      <c r="X464" s="23" t="s">
        <v>54</v>
      </c>
      <c r="Y464" s="49" t="str">
        <f t="shared" si="22"/>
        <v>Encerrado</v>
      </c>
      <c r="Z464" s="62"/>
      <c r="AA464" s="62"/>
      <c r="AB464" s="64" t="s">
        <v>269</v>
      </c>
      <c r="AC464" s="79"/>
      <c r="AD464" s="54">
        <v>45086.0</v>
      </c>
      <c r="AE464" s="77">
        <v>4.9075100005958E13</v>
      </c>
      <c r="AF464" s="79"/>
      <c r="AG464" s="79"/>
      <c r="AH464" s="79"/>
      <c r="AI464" s="79"/>
      <c r="AJ464" s="79"/>
      <c r="AK464" s="79"/>
      <c r="AL464" s="79"/>
      <c r="AM464" s="79"/>
      <c r="AN464" s="65">
        <v>130886.44</v>
      </c>
      <c r="AO464" s="65">
        <v>132006.38</v>
      </c>
      <c r="AP464" s="65">
        <v>133338.15</v>
      </c>
      <c r="AQ464" s="65">
        <v>119244.02</v>
      </c>
      <c r="AR464" s="65">
        <v>106189.76</v>
      </c>
      <c r="AS464" s="65">
        <v>106947.0</v>
      </c>
      <c r="AT464" s="65">
        <v>61874.96</v>
      </c>
      <c r="AU464" s="65">
        <v>62390.42</v>
      </c>
      <c r="AV464" s="65">
        <v>62854.8</v>
      </c>
      <c r="AW464" s="65">
        <v>57945.12</v>
      </c>
      <c r="AX464" s="65">
        <v>58386.23</v>
      </c>
      <c r="AY464" s="65">
        <v>58807.36</v>
      </c>
      <c r="AZ464" s="65">
        <v>14752.63</v>
      </c>
      <c r="BA464" s="65">
        <v>14861.67</v>
      </c>
      <c r="BB464" s="65">
        <v>14973.35</v>
      </c>
      <c r="BC464" s="65">
        <v>15053.03</v>
      </c>
      <c r="BD464" s="65">
        <v>15176.2</v>
      </c>
      <c r="BE464" s="65">
        <v>15280.62</v>
      </c>
      <c r="BF464" s="65">
        <v>0.19</v>
      </c>
      <c r="BG464" s="65">
        <v>0.2</v>
      </c>
      <c r="BH464" s="65">
        <v>0.0</v>
      </c>
      <c r="BI464" s="65">
        <v>0.0</v>
      </c>
      <c r="BJ464" s="65">
        <v>0.0</v>
      </c>
      <c r="BK464" s="65">
        <v>0.0</v>
      </c>
      <c r="BL464" s="65">
        <v>0.0</v>
      </c>
      <c r="BM464" s="65">
        <v>0.0</v>
      </c>
      <c r="BN464" s="65">
        <v>0.0</v>
      </c>
      <c r="BO464" s="65">
        <v>0.0</v>
      </c>
      <c r="BP464" s="65">
        <v>0.0</v>
      </c>
      <c r="BQ464" s="65">
        <v>0.0</v>
      </c>
      <c r="BR464" s="65">
        <v>0.0</v>
      </c>
      <c r="BS464" s="65">
        <v>0.0</v>
      </c>
      <c r="BT464" s="88">
        <v>0.0</v>
      </c>
      <c r="BU464" s="65">
        <v>0.0</v>
      </c>
      <c r="BV464" s="65">
        <v>0.0</v>
      </c>
      <c r="BW464" s="90">
        <v>0.0</v>
      </c>
      <c r="BX464" s="90">
        <v>0.0</v>
      </c>
      <c r="BY464" s="90" t="str">
        <f t="array" ref="BY464">XLOOKUP(C464,'PL TOTAL D0'!$A$3:$A$1991,'PL TOTAL D0'!$C$3:$C$1991,"")</f>
        <v/>
      </c>
    </row>
    <row r="465" ht="15.75" customHeight="1">
      <c r="A465" s="50" t="s">
        <v>24</v>
      </c>
      <c r="B465" s="50" t="s">
        <v>6184</v>
      </c>
      <c r="C465" s="94" t="s">
        <v>6185</v>
      </c>
      <c r="D465" s="81" t="s">
        <v>255</v>
      </c>
      <c r="E465" s="95" t="s">
        <v>199</v>
      </c>
      <c r="F465" s="81" t="s">
        <v>257</v>
      </c>
      <c r="G465" s="47" t="str">
        <f t="shared" si="23"/>
        <v>David</v>
      </c>
      <c r="H465" s="49" t="s">
        <v>224</v>
      </c>
      <c r="I465" s="49" t="s">
        <v>66</v>
      </c>
      <c r="J465" s="47" t="str">
        <f t="shared" si="24"/>
        <v>Não</v>
      </c>
      <c r="K465" s="97">
        <v>45173.0</v>
      </c>
      <c r="L465" s="55">
        <v>45513.0</v>
      </c>
      <c r="M465" s="62" t="s">
        <v>209</v>
      </c>
      <c r="N465" s="98">
        <v>0.01</v>
      </c>
      <c r="O465" s="47" t="s">
        <v>35</v>
      </c>
      <c r="P465" s="99">
        <v>0.1</v>
      </c>
      <c r="Q465" s="58"/>
      <c r="R465" s="736" t="s">
        <v>3969</v>
      </c>
      <c r="S465" s="62" t="s">
        <v>194</v>
      </c>
      <c r="T465" s="32" t="s">
        <v>6190</v>
      </c>
      <c r="U465" s="33" t="s">
        <v>268</v>
      </c>
      <c r="V465" s="33"/>
      <c r="W465" s="33" t="s">
        <v>268</v>
      </c>
      <c r="X465" s="23" t="s">
        <v>199</v>
      </c>
      <c r="Y465" s="49" t="str">
        <f t="shared" si="22"/>
        <v>Encerrado</v>
      </c>
      <c r="Z465" s="62"/>
      <c r="AA465" s="62"/>
      <c r="AB465" s="64" t="s">
        <v>269</v>
      </c>
      <c r="AC465" s="79"/>
      <c r="AD465" s="54">
        <v>45173.0</v>
      </c>
      <c r="AE465" s="77">
        <v>4.907510000795E13</v>
      </c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65">
        <v>272748.49</v>
      </c>
      <c r="AQ465" s="65">
        <v>406616.99</v>
      </c>
      <c r="AR465" s="65">
        <v>408579.22</v>
      </c>
      <c r="AS465" s="65">
        <v>414068.26</v>
      </c>
      <c r="AT465" s="65">
        <v>421408.31</v>
      </c>
      <c r="AU465" s="65">
        <v>416908.41</v>
      </c>
      <c r="AV465" s="65">
        <v>421109.72</v>
      </c>
      <c r="AW465" s="65">
        <v>425000.19</v>
      </c>
      <c r="AX465" s="65">
        <v>421252.01</v>
      </c>
      <c r="AY465" s="65">
        <v>419970.6</v>
      </c>
      <c r="AZ465" s="65">
        <v>422664.1</v>
      </c>
      <c r="BA465" s="65">
        <v>0.0</v>
      </c>
      <c r="BB465" s="65">
        <v>0.0</v>
      </c>
      <c r="BC465" s="65">
        <v>0.0</v>
      </c>
      <c r="BD465" s="65">
        <v>0.0</v>
      </c>
      <c r="BE465" s="65">
        <v>0.0</v>
      </c>
      <c r="BF465" s="65">
        <v>0.0</v>
      </c>
      <c r="BG465" s="65">
        <v>0.0</v>
      </c>
      <c r="BH465" s="65">
        <v>0.0</v>
      </c>
      <c r="BI465" s="65">
        <v>0.0</v>
      </c>
      <c r="BJ465" s="65">
        <v>0.0</v>
      </c>
      <c r="BK465" s="65">
        <v>0.0</v>
      </c>
      <c r="BL465" s="65">
        <v>0.0</v>
      </c>
      <c r="BM465" s="65">
        <v>0.0</v>
      </c>
      <c r="BN465" s="65">
        <v>0.0</v>
      </c>
      <c r="BO465" s="65">
        <v>0.0</v>
      </c>
      <c r="BP465" s="65">
        <v>0.0</v>
      </c>
      <c r="BQ465" s="65">
        <v>0.0</v>
      </c>
      <c r="BR465" s="65">
        <v>0.0</v>
      </c>
      <c r="BS465" s="65">
        <v>0.0</v>
      </c>
      <c r="BT465" s="88">
        <v>0.0</v>
      </c>
      <c r="BU465" s="65">
        <v>0.0</v>
      </c>
      <c r="BV465" s="65">
        <v>0.0</v>
      </c>
      <c r="BW465" s="90">
        <v>0.0</v>
      </c>
      <c r="BX465" s="90">
        <v>0.0</v>
      </c>
      <c r="BY465" s="90" t="str">
        <f t="array" ref="BY465">XLOOKUP(C465,'PL TOTAL D0'!$A$3:$A$1991,'PL TOTAL D0'!$C$3:$C$1991,"")</f>
        <v/>
      </c>
    </row>
    <row r="466" ht="15.75" customHeight="1">
      <c r="A466" s="43" t="s">
        <v>24</v>
      </c>
      <c r="B466" s="50" t="s">
        <v>5006</v>
      </c>
      <c r="C466" s="94" t="s">
        <v>6195</v>
      </c>
      <c r="D466" s="30" t="s">
        <v>120</v>
      </c>
      <c r="E466" s="22" t="s">
        <v>199</v>
      </c>
      <c r="F466" s="30" t="s">
        <v>431</v>
      </c>
      <c r="G466" s="47" t="str">
        <f t="shared" si="23"/>
        <v>David</v>
      </c>
      <c r="H466" s="49" t="s">
        <v>295</v>
      </c>
      <c r="I466" s="49" t="s">
        <v>447</v>
      </c>
      <c r="J466" s="47" t="str">
        <f t="shared" si="24"/>
        <v>Sim</v>
      </c>
      <c r="K466" s="54">
        <v>45279.0</v>
      </c>
      <c r="L466" s="62"/>
      <c r="M466" s="32" t="s">
        <v>201</v>
      </c>
      <c r="N466" s="56">
        <v>0.003</v>
      </c>
      <c r="O466" s="23" t="s">
        <v>66</v>
      </c>
      <c r="P466" s="57">
        <v>0.0</v>
      </c>
      <c r="Q466" s="58" t="s">
        <v>4811</v>
      </c>
      <c r="R466" s="635"/>
      <c r="S466" s="32" t="s">
        <v>194</v>
      </c>
      <c r="T466" s="32" t="s">
        <v>5005</v>
      </c>
      <c r="U466" s="33">
        <v>5.531983349952E12</v>
      </c>
      <c r="V466" s="33" t="s">
        <v>6196</v>
      </c>
      <c r="W466" s="34">
        <v>32190.0</v>
      </c>
      <c r="X466" s="23" t="s">
        <v>199</v>
      </c>
      <c r="Y466" s="49" t="str">
        <f t="shared" si="22"/>
        <v>Ativo</v>
      </c>
      <c r="Z466" s="62"/>
      <c r="AA466" s="62"/>
      <c r="AB466" s="64" t="s">
        <v>269</v>
      </c>
      <c r="AC466" s="79"/>
      <c r="AD466" s="54">
        <v>45279.0</v>
      </c>
      <c r="AE466" s="77">
        <v>4.9075100013349E13</v>
      </c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65">
        <v>702013.08</v>
      </c>
      <c r="AU466" s="65">
        <v>863930.09</v>
      </c>
      <c r="AV466" s="65">
        <v>16.18</v>
      </c>
      <c r="AW466" s="65">
        <v>16.18</v>
      </c>
      <c r="AX466" s="65">
        <v>16.18</v>
      </c>
      <c r="AY466" s="65">
        <v>16.18</v>
      </c>
      <c r="AZ466" s="65">
        <v>19.2</v>
      </c>
      <c r="BA466" s="65">
        <v>19.2</v>
      </c>
      <c r="BB466" s="65">
        <v>19.2</v>
      </c>
      <c r="BC466" s="65">
        <v>19.2</v>
      </c>
      <c r="BD466" s="65">
        <v>19.2</v>
      </c>
      <c r="BE466" s="65">
        <v>19.2</v>
      </c>
      <c r="BF466" s="65">
        <v>0.0</v>
      </c>
      <c r="BG466" s="65">
        <v>0.0</v>
      </c>
      <c r="BH466" s="65">
        <v>0.0</v>
      </c>
      <c r="BI466" s="65">
        <v>0.0</v>
      </c>
      <c r="BJ466" s="65">
        <v>0.0</v>
      </c>
      <c r="BK466" s="65">
        <v>0.0</v>
      </c>
      <c r="BL466" s="65">
        <v>0.0</v>
      </c>
      <c r="BM466" s="65">
        <v>0.0</v>
      </c>
      <c r="BN466" s="65">
        <v>0.0</v>
      </c>
      <c r="BO466" s="65">
        <v>0.0</v>
      </c>
      <c r="BP466" s="65">
        <v>0.0</v>
      </c>
      <c r="BQ466" s="65">
        <v>0.0</v>
      </c>
      <c r="BR466" s="65">
        <v>0.0</v>
      </c>
      <c r="BS466" s="65">
        <v>0.0</v>
      </c>
      <c r="BT466" s="88">
        <v>0.0</v>
      </c>
      <c r="BU466" s="65">
        <v>0.0</v>
      </c>
      <c r="BV466" s="65">
        <v>0.0</v>
      </c>
      <c r="BW466" s="90">
        <v>0.0</v>
      </c>
      <c r="BX466" s="90">
        <v>0.0</v>
      </c>
      <c r="BY466" s="90" t="str">
        <f t="array" ref="BY466">XLOOKUP(C466,'PL TOTAL D0'!$A$3:$A$1991,'PL TOTAL D0'!$C$3:$C$1991,"")</f>
        <v/>
      </c>
    </row>
    <row r="467" ht="15.75" customHeight="1">
      <c r="A467" s="43" t="s">
        <v>24</v>
      </c>
      <c r="B467" s="50" t="s">
        <v>6203</v>
      </c>
      <c r="C467" s="94" t="s">
        <v>3210</v>
      </c>
      <c r="D467" s="30" t="s">
        <v>89</v>
      </c>
      <c r="E467" s="22" t="s">
        <v>91</v>
      </c>
      <c r="F467" s="30" t="s">
        <v>193</v>
      </c>
      <c r="G467" s="47" t="str">
        <f t="shared" si="23"/>
        <v>David</v>
      </c>
      <c r="H467" s="49" t="s">
        <v>183</v>
      </c>
      <c r="I467" s="49" t="s">
        <v>66</v>
      </c>
      <c r="J467" s="47" t="str">
        <f t="shared" si="24"/>
        <v>Sim</v>
      </c>
      <c r="K467" s="54" t="s">
        <v>6205</v>
      </c>
      <c r="L467" s="62"/>
      <c r="M467" s="32" t="s">
        <v>61</v>
      </c>
      <c r="N467" s="56">
        <v>0.012</v>
      </c>
      <c r="O467" s="23" t="s">
        <v>66</v>
      </c>
      <c r="P467" s="57">
        <v>0.0</v>
      </c>
      <c r="Q467" s="58" t="s">
        <v>6206</v>
      </c>
      <c r="R467" s="635"/>
      <c r="S467" s="32" t="s">
        <v>194</v>
      </c>
      <c r="T467" s="32" t="s">
        <v>6207</v>
      </c>
      <c r="U467" s="33" t="s">
        <v>6208</v>
      </c>
      <c r="V467" s="33" t="s">
        <v>6209</v>
      </c>
      <c r="W467" s="34">
        <v>38300.0</v>
      </c>
      <c r="X467" s="23" t="s">
        <v>221</v>
      </c>
      <c r="Y467" s="49" t="str">
        <f t="shared" si="22"/>
        <v>Ativo</v>
      </c>
      <c r="Z467" s="62"/>
      <c r="AA467" s="62" t="s">
        <v>107</v>
      </c>
      <c r="AB467" s="64"/>
      <c r="AC467" s="79"/>
      <c r="AD467" s="54">
        <v>46203.0</v>
      </c>
      <c r="AE467" s="77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  <c r="BE467" s="65"/>
      <c r="BF467" s="65"/>
      <c r="BG467" s="65"/>
      <c r="BH467" s="65"/>
      <c r="BI467" s="65"/>
      <c r="BJ467" s="65"/>
      <c r="BK467" s="65"/>
      <c r="BL467" s="65"/>
      <c r="BM467" s="65"/>
      <c r="BN467" s="65"/>
      <c r="BO467" s="65"/>
      <c r="BP467" s="65"/>
      <c r="BQ467" s="65"/>
      <c r="BR467" s="65"/>
      <c r="BS467" s="65"/>
      <c r="BT467" s="88"/>
      <c r="BU467" s="65">
        <v>0.0</v>
      </c>
      <c r="BV467" s="65">
        <v>100700.0</v>
      </c>
      <c r="BW467" s="90">
        <v>101736.9</v>
      </c>
      <c r="BX467" s="90">
        <v>102752.98</v>
      </c>
      <c r="BY467" s="90">
        <f t="array" ref="BY467">XLOOKUP(C467,'PL TOTAL D0'!$A$3:$A$1991,'PL TOTAL D0'!$C$3:$C$1991,"")</f>
        <v>153943.27</v>
      </c>
    </row>
    <row r="468" ht="15.75" customHeight="1">
      <c r="A468" s="50" t="s">
        <v>24</v>
      </c>
      <c r="B468" s="176" t="s">
        <v>5107</v>
      </c>
      <c r="C468" s="94" t="s">
        <v>6217</v>
      </c>
      <c r="D468" s="30" t="s">
        <v>89</v>
      </c>
      <c r="E468" s="95" t="s">
        <v>91</v>
      </c>
      <c r="F468" s="81" t="s">
        <v>193</v>
      </c>
      <c r="G468" s="47" t="str">
        <f t="shared" si="23"/>
        <v>David</v>
      </c>
      <c r="H468" s="49" t="s">
        <v>224</v>
      </c>
      <c r="I468" s="49" t="s">
        <v>66</v>
      </c>
      <c r="J468" s="47" t="str">
        <f t="shared" si="24"/>
        <v>Não</v>
      </c>
      <c r="K468" s="97">
        <v>45022.0</v>
      </c>
      <c r="L468" s="55">
        <v>45574.0</v>
      </c>
      <c r="M468" s="62" t="s">
        <v>209</v>
      </c>
      <c r="N468" s="98">
        <v>0.015</v>
      </c>
      <c r="O468" s="47" t="s">
        <v>35</v>
      </c>
      <c r="P468" s="99">
        <v>0.1</v>
      </c>
      <c r="Q468" s="58"/>
      <c r="R468" s="635"/>
      <c r="S468" s="62" t="s">
        <v>194</v>
      </c>
      <c r="T468" s="32" t="s">
        <v>5110</v>
      </c>
      <c r="U468" s="33" t="s">
        <v>268</v>
      </c>
      <c r="V468" s="33"/>
      <c r="W468" s="33" t="s">
        <v>268</v>
      </c>
      <c r="X468" s="23" t="s">
        <v>221</v>
      </c>
      <c r="Y468" s="49" t="str">
        <f t="shared" si="22"/>
        <v>Encerrado</v>
      </c>
      <c r="Z468" s="62"/>
      <c r="AA468" s="62"/>
      <c r="AB468" s="64" t="s">
        <v>269</v>
      </c>
      <c r="AC468" s="79"/>
      <c r="AD468" s="54">
        <v>45022.0</v>
      </c>
      <c r="AE468" s="77">
        <v>4.9075100005801E13</v>
      </c>
      <c r="AF468" s="79"/>
      <c r="AG468" s="79"/>
      <c r="AH468" s="79"/>
      <c r="AI468" s="79"/>
      <c r="AJ468" s="79"/>
      <c r="AK468" s="65">
        <v>0.0</v>
      </c>
      <c r="AL468" s="65">
        <v>178768.84</v>
      </c>
      <c r="AM468" s="65">
        <v>217959.2</v>
      </c>
      <c r="AN468" s="65">
        <v>227559.12</v>
      </c>
      <c r="AO468" s="65">
        <v>233832.43</v>
      </c>
      <c r="AP468" s="65">
        <v>211821.84</v>
      </c>
      <c r="AQ468" s="65">
        <v>212805.65</v>
      </c>
      <c r="AR468" s="65">
        <v>215002.09</v>
      </c>
      <c r="AS468" s="65">
        <v>231266.51</v>
      </c>
      <c r="AT468" s="65">
        <v>235736.96</v>
      </c>
      <c r="AU468" s="65">
        <v>236622.47</v>
      </c>
      <c r="AV468" s="65">
        <v>241182.41</v>
      </c>
      <c r="AW468" s="65">
        <v>245498.57</v>
      </c>
      <c r="AX468" s="65">
        <v>186316.5</v>
      </c>
      <c r="AY468" s="65">
        <v>187781.6</v>
      </c>
      <c r="AZ468" s="65">
        <v>190591.7</v>
      </c>
      <c r="BA468" s="65">
        <v>195283.0</v>
      </c>
      <c r="BB468" s="65">
        <v>197113.79</v>
      </c>
      <c r="BC468" s="65">
        <v>197261.56</v>
      </c>
      <c r="BD468" s="65">
        <v>0.0</v>
      </c>
      <c r="BE468" s="65">
        <v>0.0</v>
      </c>
      <c r="BF468" s="65">
        <v>0.0</v>
      </c>
      <c r="BG468" s="65">
        <v>0.0</v>
      </c>
      <c r="BH468" s="65">
        <v>0.0</v>
      </c>
      <c r="BI468" s="65">
        <v>0.0</v>
      </c>
      <c r="BJ468" s="65">
        <v>0.0</v>
      </c>
      <c r="BK468" s="65">
        <v>0.0</v>
      </c>
      <c r="BL468" s="65">
        <v>0.0</v>
      </c>
      <c r="BM468" s="65">
        <v>0.0</v>
      </c>
      <c r="BN468" s="65">
        <v>0.0</v>
      </c>
      <c r="BO468" s="65">
        <v>0.0</v>
      </c>
      <c r="BP468" s="65">
        <v>0.0</v>
      </c>
      <c r="BQ468" s="65">
        <v>0.0</v>
      </c>
      <c r="BR468" s="65">
        <v>0.0</v>
      </c>
      <c r="BS468" s="65">
        <v>0.0</v>
      </c>
      <c r="BT468" s="88">
        <v>0.0</v>
      </c>
      <c r="BU468" s="65">
        <v>0.0</v>
      </c>
      <c r="BV468" s="65">
        <v>0.0</v>
      </c>
      <c r="BW468" s="90">
        <v>0.0</v>
      </c>
      <c r="BX468" s="90">
        <v>0.0</v>
      </c>
      <c r="BY468" s="90" t="str">
        <f t="array" ref="BY468">XLOOKUP(C468,'PL TOTAL D0'!$A$3:$A$1991,'PL TOTAL D0'!$C$3:$C$1991,"")</f>
        <v/>
      </c>
    </row>
    <row r="469" ht="15.75" customHeight="1">
      <c r="A469" s="50" t="s">
        <v>24</v>
      </c>
      <c r="B469" s="39" t="s">
        <v>5107</v>
      </c>
      <c r="C469" s="94" t="s">
        <v>3050</v>
      </c>
      <c r="D469" s="30" t="s">
        <v>89</v>
      </c>
      <c r="E469" s="95" t="s">
        <v>91</v>
      </c>
      <c r="F469" s="81" t="s">
        <v>193</v>
      </c>
      <c r="G469" s="47" t="str">
        <f t="shared" si="23"/>
        <v>Gabriel</v>
      </c>
      <c r="H469" s="49" t="s">
        <v>183</v>
      </c>
      <c r="I469" s="49" t="s">
        <v>66</v>
      </c>
      <c r="J469" s="47" t="str">
        <f t="shared" si="24"/>
        <v>Não</v>
      </c>
      <c r="K469" s="54">
        <v>45673.0</v>
      </c>
      <c r="L469" s="55"/>
      <c r="M469" s="32" t="s">
        <v>34</v>
      </c>
      <c r="N469" s="56">
        <v>0.012</v>
      </c>
      <c r="O469" s="23" t="s">
        <v>35</v>
      </c>
      <c r="P469" s="57">
        <v>0.1</v>
      </c>
      <c r="Q469" s="58"/>
      <c r="R469" s="635"/>
      <c r="S469" s="32" t="s">
        <v>194</v>
      </c>
      <c r="T469" s="32" t="s">
        <v>5110</v>
      </c>
      <c r="U469" s="33">
        <v>9.1985016911E10</v>
      </c>
      <c r="V469" s="33" t="s">
        <v>6224</v>
      </c>
      <c r="W469" s="48">
        <v>33900.0</v>
      </c>
      <c r="X469" s="23" t="s">
        <v>221</v>
      </c>
      <c r="Y469" s="49" t="str">
        <f t="shared" si="22"/>
        <v>Ativo</v>
      </c>
      <c r="Z469" s="62"/>
      <c r="AA469" s="32" t="s">
        <v>47</v>
      </c>
      <c r="AB469" s="64"/>
      <c r="AC469" s="79"/>
      <c r="AD469" s="54">
        <v>45684.0</v>
      </c>
      <c r="AE469" s="77">
        <v>4.9075100017719E13</v>
      </c>
      <c r="AF469" s="79"/>
      <c r="AG469" s="79"/>
      <c r="AH469" s="79"/>
      <c r="AI469" s="79"/>
      <c r="AJ469" s="79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5"/>
      <c r="BG469" s="65">
        <v>188822.49</v>
      </c>
      <c r="BH469" s="65">
        <v>190260.68</v>
      </c>
      <c r="BI469" s="65">
        <v>192427.91</v>
      </c>
      <c r="BJ469" s="65">
        <v>185944.13</v>
      </c>
      <c r="BK469" s="65">
        <v>177496.51</v>
      </c>
      <c r="BL469" s="65">
        <v>178850.87</v>
      </c>
      <c r="BM469" s="65">
        <v>241668.73</v>
      </c>
      <c r="BN469" s="65">
        <v>244017.4</v>
      </c>
      <c r="BO469" s="65">
        <v>245112.8</v>
      </c>
      <c r="BP469" s="65">
        <v>248029.4</v>
      </c>
      <c r="BQ469" s="65">
        <v>249957.4</v>
      </c>
      <c r="BR469" s="65">
        <v>252176.9</v>
      </c>
      <c r="BS469" s="65">
        <v>254923.87</v>
      </c>
      <c r="BT469" s="88">
        <v>256870.5</v>
      </c>
      <c r="BU469" s="65">
        <v>259020.8</v>
      </c>
      <c r="BV469" s="65">
        <v>261759.5</v>
      </c>
      <c r="BW469" s="90">
        <v>295642.1</v>
      </c>
      <c r="BX469" s="90">
        <v>306341.09</v>
      </c>
      <c r="BY469" s="90">
        <f t="array" ref="BY469">XLOOKUP(C469,'PL TOTAL D0'!$A$3:$A$1991,'PL TOTAL D0'!$C$3:$C$1991,"")</f>
        <v>309158.43</v>
      </c>
    </row>
    <row r="470" ht="15.75" customHeight="1">
      <c r="A470" s="50" t="s">
        <v>24</v>
      </c>
      <c r="B470" s="39" t="s">
        <v>804</v>
      </c>
      <c r="C470" s="94" t="s">
        <v>6229</v>
      </c>
      <c r="D470" s="30" t="s">
        <v>249</v>
      </c>
      <c r="E470" s="22" t="s">
        <v>199</v>
      </c>
      <c r="F470" s="30" t="s">
        <v>251</v>
      </c>
      <c r="G470" s="47" t="str">
        <f t="shared" si="23"/>
        <v>David</v>
      </c>
      <c r="H470" s="49" t="s">
        <v>224</v>
      </c>
      <c r="I470" s="49" t="s">
        <v>66</v>
      </c>
      <c r="J470" s="47" t="str">
        <f t="shared" si="24"/>
        <v>Não</v>
      </c>
      <c r="K470" s="54">
        <v>45681.0</v>
      </c>
      <c r="L470" s="55">
        <v>45693.0</v>
      </c>
      <c r="M470" s="32" t="s">
        <v>4833</v>
      </c>
      <c r="N470" s="56">
        <v>0.007</v>
      </c>
      <c r="O470" s="23" t="s">
        <v>66</v>
      </c>
      <c r="P470" s="57">
        <v>0.0</v>
      </c>
      <c r="Q470" s="58"/>
      <c r="R470" s="635"/>
      <c r="S470" s="32" t="s">
        <v>194</v>
      </c>
      <c r="T470" s="32" t="s">
        <v>807</v>
      </c>
      <c r="U470" s="33" t="s">
        <v>268</v>
      </c>
      <c r="V470" s="33"/>
      <c r="W470" s="33" t="s">
        <v>268</v>
      </c>
      <c r="X470" s="23" t="s">
        <v>199</v>
      </c>
      <c r="Y470" s="49" t="str">
        <f t="shared" si="22"/>
        <v>Encerrado</v>
      </c>
      <c r="Z470" s="62"/>
      <c r="AA470" s="32" t="s">
        <v>47</v>
      </c>
      <c r="AB470" s="64"/>
      <c r="AC470" s="79"/>
      <c r="AD470" s="54">
        <v>45681.0</v>
      </c>
      <c r="AE470" s="77">
        <v>4.9075100017591E13</v>
      </c>
      <c r="AF470" s="79"/>
      <c r="AG470" s="79"/>
      <c r="AH470" s="79"/>
      <c r="AI470" s="79"/>
      <c r="AJ470" s="79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  <c r="BE470" s="65"/>
      <c r="BF470" s="65"/>
      <c r="BG470" s="65">
        <v>0.0</v>
      </c>
      <c r="BH470" s="65">
        <v>0.0</v>
      </c>
      <c r="BI470" s="65">
        <v>0.0</v>
      </c>
      <c r="BJ470" s="65">
        <v>0.0</v>
      </c>
      <c r="BK470" s="65">
        <v>0.0</v>
      </c>
      <c r="BL470" s="65">
        <v>0.0</v>
      </c>
      <c r="BM470" s="65">
        <v>0.0</v>
      </c>
      <c r="BN470" s="65">
        <v>0.0</v>
      </c>
      <c r="BO470" s="65">
        <v>0.0</v>
      </c>
      <c r="BP470" s="65">
        <v>0.0</v>
      </c>
      <c r="BQ470" s="65">
        <v>0.0</v>
      </c>
      <c r="BR470" s="65">
        <v>0.0</v>
      </c>
      <c r="BS470" s="65">
        <v>0.0</v>
      </c>
      <c r="BT470" s="88">
        <v>0.0</v>
      </c>
      <c r="BU470" s="65">
        <v>0.0</v>
      </c>
      <c r="BV470" s="65">
        <v>0.0</v>
      </c>
      <c r="BW470" s="90">
        <v>0.0</v>
      </c>
      <c r="BX470" s="90">
        <v>0.0</v>
      </c>
      <c r="BY470" s="90" t="str">
        <f t="array" ref="BY470">XLOOKUP(C470,'PL TOTAL D0'!$A$3:$A$1991,'PL TOTAL D0'!$C$3:$C$1991,"")</f>
        <v/>
      </c>
    </row>
    <row r="471" ht="15.75" customHeight="1">
      <c r="A471" s="50" t="s">
        <v>24</v>
      </c>
      <c r="B471" s="39" t="s">
        <v>6235</v>
      </c>
      <c r="C471" s="94" t="s">
        <v>3511</v>
      </c>
      <c r="D471" s="30" t="s">
        <v>120</v>
      </c>
      <c r="E471" s="22" t="s">
        <v>199</v>
      </c>
      <c r="F471" s="30" t="s">
        <v>290</v>
      </c>
      <c r="G471" s="47" t="str">
        <f t="shared" si="23"/>
        <v>David</v>
      </c>
      <c r="H471" s="49" t="s">
        <v>183</v>
      </c>
      <c r="I471" s="49" t="s">
        <v>66</v>
      </c>
      <c r="J471" s="47" t="str">
        <f t="shared" si="24"/>
        <v>Não</v>
      </c>
      <c r="K471" s="54">
        <v>46063.0</v>
      </c>
      <c r="L471" s="55"/>
      <c r="M471" s="32" t="s">
        <v>390</v>
      </c>
      <c r="N471" s="56">
        <v>0.005</v>
      </c>
      <c r="O471" s="23" t="s">
        <v>66</v>
      </c>
      <c r="P471" s="57">
        <v>0.0</v>
      </c>
      <c r="Q471" s="58"/>
      <c r="R471" s="635"/>
      <c r="S471" s="32" t="s">
        <v>194</v>
      </c>
      <c r="T471" s="32" t="s">
        <v>6239</v>
      </c>
      <c r="U471" s="33" t="s">
        <v>6240</v>
      </c>
      <c r="V471" s="33" t="s">
        <v>6241</v>
      </c>
      <c r="W471" s="48">
        <v>32537.0</v>
      </c>
      <c r="X471" s="23" t="s">
        <v>475</v>
      </c>
      <c r="Y471" s="49" t="str">
        <f t="shared" si="22"/>
        <v>Ativo</v>
      </c>
      <c r="Z471" s="62"/>
      <c r="AA471" s="32" t="s">
        <v>107</v>
      </c>
      <c r="AB471" s="64"/>
      <c r="AC471" s="79"/>
      <c r="AD471" s="54">
        <v>46203.0</v>
      </c>
      <c r="AE471" s="77"/>
      <c r="AF471" s="79"/>
      <c r="AG471" s="79"/>
      <c r="AH471" s="79"/>
      <c r="AI471" s="79"/>
      <c r="AJ471" s="79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  <c r="BE471" s="65"/>
      <c r="BF471" s="65"/>
      <c r="BG471" s="65"/>
      <c r="BH471" s="65"/>
      <c r="BI471" s="65"/>
      <c r="BJ471" s="65"/>
      <c r="BK471" s="65"/>
      <c r="BL471" s="65"/>
      <c r="BM471" s="65"/>
      <c r="BN471" s="65"/>
      <c r="BO471" s="65"/>
      <c r="BP471" s="65"/>
      <c r="BQ471" s="65"/>
      <c r="BR471" s="65"/>
      <c r="BS471" s="65"/>
      <c r="BT471" s="88">
        <v>23663.08</v>
      </c>
      <c r="BU471" s="65">
        <v>23888.62</v>
      </c>
      <c r="BV471" s="65">
        <v>27126.74</v>
      </c>
      <c r="BW471" s="90">
        <v>27367.19</v>
      </c>
      <c r="BX471" s="90">
        <v>27570.68</v>
      </c>
      <c r="BY471" s="90">
        <f t="array" ref="BY471">XLOOKUP(C471,'PL TOTAL D0'!$A$3:$A$1991,'PL TOTAL D0'!$C$3:$C$1991,"")</f>
        <v>27830.83</v>
      </c>
    </row>
    <row r="472" ht="15.75" customHeight="1">
      <c r="A472" s="50" t="s">
        <v>24</v>
      </c>
      <c r="B472" s="50" t="s">
        <v>6244</v>
      </c>
      <c r="C472" s="94" t="s">
        <v>6245</v>
      </c>
      <c r="D472" s="81" t="s">
        <v>120</v>
      </c>
      <c r="E472" s="95" t="s">
        <v>54</v>
      </c>
      <c r="F472" s="81" t="s">
        <v>1393</v>
      </c>
      <c r="G472" s="47" t="str">
        <f t="shared" si="23"/>
        <v>David</v>
      </c>
      <c r="H472" s="49" t="s">
        <v>224</v>
      </c>
      <c r="I472" s="49" t="s">
        <v>66</v>
      </c>
      <c r="J472" s="47" t="str">
        <f t="shared" si="24"/>
        <v>Não</v>
      </c>
      <c r="K472" s="97">
        <v>45000.0</v>
      </c>
      <c r="L472" s="55">
        <v>46134.0</v>
      </c>
      <c r="M472" s="62" t="s">
        <v>61</v>
      </c>
      <c r="N472" s="98">
        <v>0.012</v>
      </c>
      <c r="O472" s="47" t="s">
        <v>66</v>
      </c>
      <c r="P472" s="99">
        <v>0.0</v>
      </c>
      <c r="Q472" s="58"/>
      <c r="R472" s="736" t="s">
        <v>610</v>
      </c>
      <c r="S472" s="62" t="s">
        <v>194</v>
      </c>
      <c r="T472" s="32" t="s">
        <v>6247</v>
      </c>
      <c r="U472" s="33">
        <v>5.562981144396E12</v>
      </c>
      <c r="V472" s="33" t="s">
        <v>6249</v>
      </c>
      <c r="W472" s="34">
        <v>32376.0</v>
      </c>
      <c r="X472" s="23" t="s">
        <v>54</v>
      </c>
      <c r="Y472" s="49" t="str">
        <f t="shared" si="22"/>
        <v>Encerrado</v>
      </c>
      <c r="Z472" s="62"/>
      <c r="AA472" s="62"/>
      <c r="AB472" s="64" t="s">
        <v>244</v>
      </c>
      <c r="AC472" s="79"/>
      <c r="AD472" s="54">
        <v>45000.0</v>
      </c>
      <c r="AE472" s="77">
        <v>4.9075100009686E13</v>
      </c>
      <c r="AF472" s="79"/>
      <c r="AG472" s="79"/>
      <c r="AH472" s="79"/>
      <c r="AI472" s="79"/>
      <c r="AJ472" s="79"/>
      <c r="AK472" s="65">
        <v>174896.65</v>
      </c>
      <c r="AL472" s="65">
        <v>206415.12</v>
      </c>
      <c r="AM472" s="65">
        <v>704652.48</v>
      </c>
      <c r="AN472" s="65">
        <v>706625.56</v>
      </c>
      <c r="AO472" s="65">
        <v>705083.3</v>
      </c>
      <c r="AP472" s="65">
        <v>716756.26</v>
      </c>
      <c r="AQ472" s="65">
        <v>722243.24</v>
      </c>
      <c r="AR472" s="65">
        <v>761808.76</v>
      </c>
      <c r="AS472" s="65">
        <v>793383.7</v>
      </c>
      <c r="AT472" s="65">
        <v>799717.97</v>
      </c>
      <c r="AU472" s="65">
        <v>806972.53</v>
      </c>
      <c r="AV472" s="65">
        <v>802850.76</v>
      </c>
      <c r="AW472" s="65">
        <v>801302.32</v>
      </c>
      <c r="AX472" s="65">
        <v>808094.5</v>
      </c>
      <c r="AY472" s="65">
        <v>100308.8</v>
      </c>
      <c r="AZ472" s="65">
        <v>100820.7</v>
      </c>
      <c r="BA472" s="65">
        <v>101685.4</v>
      </c>
      <c r="BB472" s="65">
        <v>102520.01</v>
      </c>
      <c r="BC472" s="65">
        <v>103242.54</v>
      </c>
      <c r="BD472" s="65">
        <v>104211.7</v>
      </c>
      <c r="BE472" s="65">
        <v>603484.0</v>
      </c>
      <c r="BF472" s="65">
        <v>775601.17</v>
      </c>
      <c r="BG472" s="65">
        <v>772069.62</v>
      </c>
      <c r="BH472" s="65">
        <v>778690.78</v>
      </c>
      <c r="BI472" s="65">
        <v>777110.47</v>
      </c>
      <c r="BJ472" s="65">
        <v>773591.38</v>
      </c>
      <c r="BK472" s="65">
        <v>773055.4</v>
      </c>
      <c r="BL472" s="65">
        <v>779721.5</v>
      </c>
      <c r="BM472" s="65">
        <v>801633.8</v>
      </c>
      <c r="BN472" s="65">
        <v>801686.9</v>
      </c>
      <c r="BO472" s="65">
        <v>830722.02</v>
      </c>
      <c r="BP472" s="65">
        <v>985081.0</v>
      </c>
      <c r="BQ472" s="65">
        <v>981728.1</v>
      </c>
      <c r="BR472" s="65">
        <v>980177.7</v>
      </c>
      <c r="BS472" s="65">
        <v>0.0</v>
      </c>
      <c r="BT472" s="88">
        <v>0.0</v>
      </c>
      <c r="BU472" s="65">
        <v>0.0</v>
      </c>
      <c r="BV472" s="65">
        <v>0.0</v>
      </c>
      <c r="BW472" s="90">
        <v>0.0</v>
      </c>
      <c r="BX472" s="90">
        <v>0.0</v>
      </c>
      <c r="BY472" s="90" t="str">
        <f t="array" ref="BY472">XLOOKUP(C472,'PL TOTAL D0'!$A$3:$A$1991,'PL TOTAL D0'!$C$3:$C$1991,"")</f>
        <v/>
      </c>
    </row>
    <row r="473" ht="15.75" customHeight="1">
      <c r="A473" s="50" t="s">
        <v>24</v>
      </c>
      <c r="B473" s="188" t="s">
        <v>6256</v>
      </c>
      <c r="C473" s="94" t="s">
        <v>6257</v>
      </c>
      <c r="D473" s="30" t="s">
        <v>120</v>
      </c>
      <c r="E473" s="22" t="s">
        <v>199</v>
      </c>
      <c r="F473" s="30" t="s">
        <v>677</v>
      </c>
      <c r="G473" s="47" t="str">
        <f t="shared" si="23"/>
        <v>David</v>
      </c>
      <c r="H473" s="49" t="s">
        <v>224</v>
      </c>
      <c r="I473" s="49" t="s">
        <v>66</v>
      </c>
      <c r="J473" s="47" t="str">
        <f t="shared" si="24"/>
        <v>Não</v>
      </c>
      <c r="K473" s="54">
        <v>45439.0</v>
      </c>
      <c r="L473" s="55">
        <v>45796.0</v>
      </c>
      <c r="M473" s="32" t="s">
        <v>34</v>
      </c>
      <c r="N473" s="56">
        <v>0.012</v>
      </c>
      <c r="O473" s="23" t="s">
        <v>35</v>
      </c>
      <c r="P473" s="57">
        <v>0.1</v>
      </c>
      <c r="Q473" s="58"/>
      <c r="R473" s="736" t="s">
        <v>610</v>
      </c>
      <c r="S473" s="32" t="s">
        <v>194</v>
      </c>
      <c r="T473" s="177" t="s">
        <v>6259</v>
      </c>
      <c r="U473" s="33" t="s">
        <v>268</v>
      </c>
      <c r="V473" s="33"/>
      <c r="W473" s="33" t="s">
        <v>268</v>
      </c>
      <c r="X473" s="23" t="s">
        <v>199</v>
      </c>
      <c r="Y473" s="49" t="str">
        <f t="shared" si="22"/>
        <v>Encerrado</v>
      </c>
      <c r="Z473" s="32"/>
      <c r="AA473" s="32" t="s">
        <v>47</v>
      </c>
      <c r="AB473" s="64" t="s">
        <v>269</v>
      </c>
      <c r="AC473" s="79"/>
      <c r="AD473" s="54">
        <v>45439.0</v>
      </c>
      <c r="AE473" s="77">
        <v>4.9075100014523E13</v>
      </c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65"/>
      <c r="AW473" s="65"/>
      <c r="AX473" s="65"/>
      <c r="AY473" s="65">
        <v>62779.43</v>
      </c>
      <c r="AZ473" s="65">
        <v>66910.08</v>
      </c>
      <c r="BA473" s="65">
        <v>74709.77</v>
      </c>
      <c r="BB473" s="65">
        <v>75292.17</v>
      </c>
      <c r="BC473" s="65">
        <v>58750.76</v>
      </c>
      <c r="BD473" s="65">
        <v>59224.57</v>
      </c>
      <c r="BE473" s="65">
        <v>59242.6</v>
      </c>
      <c r="BF473" s="65">
        <v>63760.47</v>
      </c>
      <c r="BG473" s="65">
        <v>68377.41</v>
      </c>
      <c r="BH473" s="65">
        <v>0.0</v>
      </c>
      <c r="BI473" s="65">
        <v>0.0</v>
      </c>
      <c r="BJ473" s="65">
        <v>0.0</v>
      </c>
      <c r="BK473" s="65">
        <v>0.0</v>
      </c>
      <c r="BL473" s="65">
        <v>0.0</v>
      </c>
      <c r="BM473" s="65">
        <v>0.0</v>
      </c>
      <c r="BN473" s="65">
        <v>0.0</v>
      </c>
      <c r="BO473" s="65">
        <v>0.0</v>
      </c>
      <c r="BP473" s="65">
        <v>0.0</v>
      </c>
      <c r="BQ473" s="65">
        <v>0.0</v>
      </c>
      <c r="BR473" s="65">
        <v>0.0</v>
      </c>
      <c r="BS473" s="65">
        <v>0.0</v>
      </c>
      <c r="BT473" s="88">
        <v>0.0</v>
      </c>
      <c r="BU473" s="65">
        <v>0.0</v>
      </c>
      <c r="BV473" s="65">
        <v>0.0</v>
      </c>
      <c r="BW473" s="90">
        <v>0.0</v>
      </c>
      <c r="BX473" s="90">
        <v>0.0</v>
      </c>
      <c r="BY473" s="90" t="str">
        <f t="array" ref="BY473">XLOOKUP(C473,'PL TOTAL D0'!$A$3:$A$1991,'PL TOTAL D0'!$C$3:$C$1991,"")</f>
        <v/>
      </c>
    </row>
    <row r="474" ht="15.75" customHeight="1">
      <c r="A474" s="50" t="s">
        <v>24</v>
      </c>
      <c r="B474" s="200" t="s">
        <v>6265</v>
      </c>
      <c r="C474" s="94" t="s">
        <v>3038</v>
      </c>
      <c r="D474" s="30" t="s">
        <v>365</v>
      </c>
      <c r="E474" s="22" t="s">
        <v>199</v>
      </c>
      <c r="F474" s="30" t="s">
        <v>4481</v>
      </c>
      <c r="G474" s="47" t="str">
        <f t="shared" si="23"/>
        <v>Gabriel</v>
      </c>
      <c r="H474" s="49" t="s">
        <v>183</v>
      </c>
      <c r="I474" s="49" t="s">
        <v>66</v>
      </c>
      <c r="J474" s="47" t="str">
        <f t="shared" si="24"/>
        <v>Sim</v>
      </c>
      <c r="K474" s="54">
        <v>45890.0</v>
      </c>
      <c r="L474" s="55"/>
      <c r="M474" s="32" t="s">
        <v>61</v>
      </c>
      <c r="N474" s="56">
        <v>0.012</v>
      </c>
      <c r="O474" s="23" t="s">
        <v>66</v>
      </c>
      <c r="P474" s="57">
        <v>0.0</v>
      </c>
      <c r="Q474" s="58" t="s">
        <v>6267</v>
      </c>
      <c r="R474" s="736"/>
      <c r="S474" s="32" t="s">
        <v>194</v>
      </c>
      <c r="T474" s="177" t="s">
        <v>6270</v>
      </c>
      <c r="U474" s="33" t="s">
        <v>6271</v>
      </c>
      <c r="V474" s="33" t="s">
        <v>6272</v>
      </c>
      <c r="W474" s="34">
        <v>31819.0</v>
      </c>
      <c r="X474" s="742" t="s">
        <v>1387</v>
      </c>
      <c r="Y474" s="49" t="str">
        <f t="shared" si="22"/>
        <v>Ativo</v>
      </c>
      <c r="Z474" s="32"/>
      <c r="AA474" s="32" t="s">
        <v>107</v>
      </c>
      <c r="AB474" s="64"/>
      <c r="AC474" s="79"/>
      <c r="AD474" s="54">
        <v>45890.0</v>
      </c>
      <c r="AE474" s="77">
        <v>4.9075100019371E13</v>
      </c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65"/>
      <c r="AW474" s="65"/>
      <c r="AX474" s="65"/>
      <c r="AY474" s="65"/>
      <c r="AZ474" s="65"/>
      <c r="BA474" s="65"/>
      <c r="BB474" s="65"/>
      <c r="BC474" s="65"/>
      <c r="BD474" s="65"/>
      <c r="BE474" s="65"/>
      <c r="BF474" s="65"/>
      <c r="BG474" s="65"/>
      <c r="BH474" s="65"/>
      <c r="BI474" s="65"/>
      <c r="BJ474" s="65"/>
      <c r="BK474" s="65"/>
      <c r="BL474" s="65"/>
      <c r="BM474" s="65">
        <v>0.0</v>
      </c>
      <c r="BN474" s="65">
        <v>290235.9</v>
      </c>
      <c r="BO474" s="65">
        <v>293313.74</v>
      </c>
      <c r="BP474" s="65">
        <v>297040.7</v>
      </c>
      <c r="BQ474" s="65">
        <v>299037.3</v>
      </c>
      <c r="BR474" s="65">
        <v>302054.6</v>
      </c>
      <c r="BS474" s="65">
        <v>305246.47</v>
      </c>
      <c r="BT474" s="88">
        <v>307139.5</v>
      </c>
      <c r="BU474" s="65">
        <v>309458.9</v>
      </c>
      <c r="BV474" s="65">
        <v>312849.1</v>
      </c>
      <c r="BW474" s="90">
        <v>315014.0</v>
      </c>
      <c r="BX474" s="90">
        <v>317946.22</v>
      </c>
      <c r="BY474" s="90">
        <f t="array" ref="BY474">XLOOKUP(C474,'PL TOTAL D0'!$A$3:$A$1991,'PL TOTAL D0'!$C$3:$C$1991,"")</f>
        <v>320579</v>
      </c>
    </row>
    <row r="475" ht="15.75" customHeight="1">
      <c r="A475" s="50" t="s">
        <v>24</v>
      </c>
      <c r="B475" s="200" t="s">
        <v>6276</v>
      </c>
      <c r="C475" s="53" t="s">
        <v>3089</v>
      </c>
      <c r="D475" s="30" t="s">
        <v>120</v>
      </c>
      <c r="E475" s="22" t="s">
        <v>54</v>
      </c>
      <c r="F475" s="30" t="s">
        <v>125</v>
      </c>
      <c r="G475" s="47" t="str">
        <f t="shared" si="23"/>
        <v>David</v>
      </c>
      <c r="H475" s="49" t="s">
        <v>183</v>
      </c>
      <c r="I475" s="49" t="s">
        <v>66</v>
      </c>
      <c r="J475" s="47" t="str">
        <f t="shared" si="24"/>
        <v>Sim</v>
      </c>
      <c r="K475" s="54">
        <v>46161.0</v>
      </c>
      <c r="L475" s="55"/>
      <c r="M475" s="32" t="s">
        <v>61</v>
      </c>
      <c r="N475" s="56">
        <v>0.012</v>
      </c>
      <c r="O475" s="23" t="s">
        <v>66</v>
      </c>
      <c r="P475" s="57">
        <v>0.0</v>
      </c>
      <c r="Q475" s="58" t="s">
        <v>6278</v>
      </c>
      <c r="R475" s="736"/>
      <c r="S475" s="32" t="s">
        <v>194</v>
      </c>
      <c r="T475" s="177" t="s">
        <v>6279</v>
      </c>
      <c r="U475" s="33" t="s">
        <v>6280</v>
      </c>
      <c r="V475" s="33" t="s">
        <v>6281</v>
      </c>
      <c r="W475" s="34">
        <v>37473.0</v>
      </c>
      <c r="X475" s="23" t="s">
        <v>54</v>
      </c>
      <c r="Y475" s="49" t="str">
        <f t="shared" si="22"/>
        <v>Ativo</v>
      </c>
      <c r="Z475" s="32"/>
      <c r="AA475" s="32" t="s">
        <v>107</v>
      </c>
      <c r="AB475" s="64"/>
      <c r="AC475" s="79"/>
      <c r="AD475" s="54">
        <v>46203.0</v>
      </c>
      <c r="AE475" s="77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5"/>
      <c r="BG475" s="65"/>
      <c r="BH475" s="65"/>
      <c r="BI475" s="65"/>
      <c r="BJ475" s="65"/>
      <c r="BK475" s="65"/>
      <c r="BL475" s="65"/>
      <c r="BM475" s="65"/>
      <c r="BN475" s="65"/>
      <c r="BO475" s="65"/>
      <c r="BP475" s="65"/>
      <c r="BQ475" s="65"/>
      <c r="BR475" s="65"/>
      <c r="BS475" s="65"/>
      <c r="BT475" s="88"/>
      <c r="BU475" s="65"/>
      <c r="BV475" s="65"/>
      <c r="BW475" s="90">
        <v>0.0</v>
      </c>
      <c r="BX475" s="90">
        <v>259561.07</v>
      </c>
      <c r="BY475" s="90">
        <f t="array" ref="BY475">XLOOKUP(C475,'PL TOTAL D0'!$A$3:$A$1991,'PL TOTAL D0'!$C$3:$C$1991,"")</f>
        <v>262752.22</v>
      </c>
    </row>
    <row r="476" ht="15.75" customHeight="1">
      <c r="A476" s="50" t="s">
        <v>24</v>
      </c>
      <c r="B476" s="50" t="s">
        <v>5029</v>
      </c>
      <c r="C476" s="94" t="s">
        <v>3444</v>
      </c>
      <c r="D476" s="81" t="s">
        <v>120</v>
      </c>
      <c r="E476" s="95" t="s">
        <v>199</v>
      </c>
      <c r="F476" s="30" t="s">
        <v>332</v>
      </c>
      <c r="G476" s="47" t="str">
        <f t="shared" si="23"/>
        <v>David</v>
      </c>
      <c r="H476" s="74" t="s">
        <v>183</v>
      </c>
      <c r="I476" s="74" t="s">
        <v>66</v>
      </c>
      <c r="J476" s="47" t="str">
        <f t="shared" si="24"/>
        <v>Não</v>
      </c>
      <c r="K476" s="97">
        <v>45012.0</v>
      </c>
      <c r="L476" s="62"/>
      <c r="M476" s="62" t="s">
        <v>61</v>
      </c>
      <c r="N476" s="98">
        <v>0.012</v>
      </c>
      <c r="O476" s="47" t="s">
        <v>66</v>
      </c>
      <c r="P476" s="99">
        <v>0.0</v>
      </c>
      <c r="Q476" s="58"/>
      <c r="R476" s="635"/>
      <c r="S476" s="62" t="s">
        <v>194</v>
      </c>
      <c r="T476" s="32" t="s">
        <v>5028</v>
      </c>
      <c r="U476" s="33">
        <v>6.1992742861E10</v>
      </c>
      <c r="V476" s="33" t="s">
        <v>6288</v>
      </c>
      <c r="W476" s="34">
        <v>35246.0</v>
      </c>
      <c r="X476" s="742" t="s">
        <v>6289</v>
      </c>
      <c r="Y476" s="49" t="str">
        <f t="shared" si="22"/>
        <v>Ativo</v>
      </c>
      <c r="Z476" s="62"/>
      <c r="AA476" s="62"/>
      <c r="AB476" s="64" t="s">
        <v>269</v>
      </c>
      <c r="AC476" s="79"/>
      <c r="AD476" s="54">
        <v>45012.0</v>
      </c>
      <c r="AE476" s="77">
        <v>4.9075100008833E13</v>
      </c>
      <c r="AF476" s="79"/>
      <c r="AG476" s="79"/>
      <c r="AH476" s="79"/>
      <c r="AI476" s="79"/>
      <c r="AJ476" s="79"/>
      <c r="AK476" s="65">
        <v>25864.7</v>
      </c>
      <c r="AL476" s="65">
        <v>30146.55</v>
      </c>
      <c r="AM476" s="65">
        <v>30452.71</v>
      </c>
      <c r="AN476" s="65">
        <v>35206.62</v>
      </c>
      <c r="AO476" s="65">
        <v>35422.57</v>
      </c>
      <c r="AP476" s="65">
        <v>40792.84</v>
      </c>
      <c r="AQ476" s="65">
        <v>41124.97</v>
      </c>
      <c r="AR476" s="65">
        <v>41413.94</v>
      </c>
      <c r="AS476" s="65">
        <v>41684.11</v>
      </c>
      <c r="AT476" s="65">
        <v>41999.88</v>
      </c>
      <c r="AU476" s="65">
        <v>42204.33</v>
      </c>
      <c r="AV476" s="65">
        <v>42543.11</v>
      </c>
      <c r="AW476" s="65">
        <v>42896.63</v>
      </c>
      <c r="AX476" s="65">
        <v>43196.12</v>
      </c>
      <c r="AY476" s="65">
        <v>43521.48</v>
      </c>
      <c r="AZ476" s="65">
        <v>43853.62</v>
      </c>
      <c r="BA476" s="65">
        <v>44207.53</v>
      </c>
      <c r="BB476" s="65">
        <v>44545.66</v>
      </c>
      <c r="BC476" s="65">
        <v>44842.47</v>
      </c>
      <c r="BD476" s="65">
        <v>45069.16</v>
      </c>
      <c r="BE476" s="65">
        <v>45379.03</v>
      </c>
      <c r="BF476" s="65">
        <v>45687.06</v>
      </c>
      <c r="BG476" s="65">
        <v>45920.49</v>
      </c>
      <c r="BH476" s="65">
        <v>46341.65</v>
      </c>
      <c r="BI476" s="65">
        <v>46737.42</v>
      </c>
      <c r="BJ476" s="65">
        <v>47062.67</v>
      </c>
      <c r="BK476" s="65">
        <v>47292.69</v>
      </c>
      <c r="BL476" s="65">
        <v>47679.39</v>
      </c>
      <c r="BM476" s="65">
        <v>48233.69</v>
      </c>
      <c r="BN476" s="65">
        <v>48735.59</v>
      </c>
      <c r="BO476" s="65">
        <v>49233.3</v>
      </c>
      <c r="BP476" s="65">
        <v>49348.69</v>
      </c>
      <c r="BQ476" s="65">
        <v>49710.32</v>
      </c>
      <c r="BR476" s="65">
        <v>50124.87</v>
      </c>
      <c r="BS476" s="65">
        <v>50681.31</v>
      </c>
      <c r="BT476" s="88">
        <v>51046.53</v>
      </c>
      <c r="BU476" s="65">
        <v>51639.77</v>
      </c>
      <c r="BV476" s="65">
        <v>52004.57</v>
      </c>
      <c r="BW476" s="90">
        <v>52520.23</v>
      </c>
      <c r="BX476" s="90">
        <v>52943.52</v>
      </c>
      <c r="BY476" s="90">
        <f t="array" ref="BY476">XLOOKUP(C476,'PL TOTAL D0'!$A$3:$A$1991,'PL TOTAL D0'!$C$3:$C$1991,"")</f>
        <v>53452.25</v>
      </c>
    </row>
    <row r="477" ht="15.75" customHeight="1">
      <c r="A477" s="50" t="s">
        <v>24</v>
      </c>
      <c r="B477" s="188" t="s">
        <v>6300</v>
      </c>
      <c r="C477" s="94" t="s">
        <v>6301</v>
      </c>
      <c r="D477" s="30" t="s">
        <v>120</v>
      </c>
      <c r="E477" s="22" t="s">
        <v>54</v>
      </c>
      <c r="F477" s="30" t="s">
        <v>348</v>
      </c>
      <c r="G477" s="47" t="str">
        <f t="shared" si="23"/>
        <v>David</v>
      </c>
      <c r="H477" s="49" t="s">
        <v>224</v>
      </c>
      <c r="I477" s="49" t="s">
        <v>66</v>
      </c>
      <c r="J477" s="47" t="str">
        <f t="shared" si="24"/>
        <v>Não</v>
      </c>
      <c r="K477" s="54">
        <v>45414.0</v>
      </c>
      <c r="L477" s="55">
        <v>45873.0</v>
      </c>
      <c r="M477" s="62" t="s">
        <v>61</v>
      </c>
      <c r="N477" s="98">
        <v>0.012</v>
      </c>
      <c r="O477" s="47" t="s">
        <v>66</v>
      </c>
      <c r="P477" s="99">
        <v>0.0</v>
      </c>
      <c r="Q477" s="58"/>
      <c r="R477" s="736" t="s">
        <v>610</v>
      </c>
      <c r="S477" s="32" t="s">
        <v>234</v>
      </c>
      <c r="T477" s="177" t="s">
        <v>6303</v>
      </c>
      <c r="U477" s="33" t="s">
        <v>268</v>
      </c>
      <c r="V477" s="33"/>
      <c r="W477" s="33" t="s">
        <v>268</v>
      </c>
      <c r="X477" s="177" t="s">
        <v>54</v>
      </c>
      <c r="Y477" s="49" t="str">
        <f t="shared" si="22"/>
        <v>Encerrado</v>
      </c>
      <c r="Z477" s="32"/>
      <c r="AA477" s="32" t="s">
        <v>47</v>
      </c>
      <c r="AB477" s="64" t="s">
        <v>269</v>
      </c>
      <c r="AC477" s="79"/>
      <c r="AD477" s="54">
        <v>45414.0</v>
      </c>
      <c r="AE477" s="77">
        <v>4.9075100014531E13</v>
      </c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65"/>
      <c r="AW477" s="65"/>
      <c r="AX477" s="65"/>
      <c r="AY477" s="65">
        <v>0.0</v>
      </c>
      <c r="AZ477" s="65">
        <v>0.0</v>
      </c>
      <c r="BA477" s="65">
        <v>201741.4</v>
      </c>
      <c r="BB477" s="65">
        <v>203608.77</v>
      </c>
      <c r="BC477" s="65">
        <v>204952.06</v>
      </c>
      <c r="BD477" s="65">
        <v>206799.82</v>
      </c>
      <c r="BE477" s="65">
        <v>208387.37</v>
      </c>
      <c r="BF477" s="65">
        <v>260300.95</v>
      </c>
      <c r="BG477" s="65">
        <v>262759.04</v>
      </c>
      <c r="BH477" s="65">
        <v>305121.41</v>
      </c>
      <c r="BI477" s="65">
        <v>308437.5</v>
      </c>
      <c r="BJ477" s="65">
        <v>311477.29</v>
      </c>
      <c r="BK477" s="65">
        <v>314270.43</v>
      </c>
      <c r="BL477" s="65">
        <v>0.0</v>
      </c>
      <c r="BM477" s="65">
        <v>0.0</v>
      </c>
      <c r="BN477" s="65">
        <v>0.0</v>
      </c>
      <c r="BO477" s="65">
        <v>0.0</v>
      </c>
      <c r="BP477" s="65">
        <v>0.0</v>
      </c>
      <c r="BQ477" s="65">
        <v>0.0</v>
      </c>
      <c r="BR477" s="65">
        <v>0.0</v>
      </c>
      <c r="BS477" s="65">
        <v>0.0</v>
      </c>
      <c r="BT477" s="88">
        <v>0.0</v>
      </c>
      <c r="BU477" s="65">
        <v>0.0</v>
      </c>
      <c r="BV477" s="65">
        <v>0.0</v>
      </c>
      <c r="BW477" s="90">
        <v>0.0</v>
      </c>
      <c r="BX477" s="90">
        <v>0.0</v>
      </c>
      <c r="BY477" s="90" t="str">
        <f t="array" ref="BY477">XLOOKUP(C477,'PL TOTAL D0'!$A$3:$A$1991,'PL TOTAL D0'!$C$3:$C$1991,"")</f>
        <v/>
      </c>
    </row>
    <row r="478" ht="15.75" customHeight="1">
      <c r="A478" s="50" t="s">
        <v>24</v>
      </c>
      <c r="B478" s="200" t="s">
        <v>6307</v>
      </c>
      <c r="C478" s="53" t="s">
        <v>6308</v>
      </c>
      <c r="D478" s="30" t="s">
        <v>89</v>
      </c>
      <c r="E478" s="22" t="s">
        <v>91</v>
      </c>
      <c r="F478" s="30" t="s">
        <v>521</v>
      </c>
      <c r="G478" s="47" t="str">
        <f t="shared" si="23"/>
        <v>David</v>
      </c>
      <c r="H478" s="49" t="s">
        <v>183</v>
      </c>
      <c r="I478" s="49" t="s">
        <v>66</v>
      </c>
      <c r="J478" s="47" t="str">
        <f t="shared" si="24"/>
        <v>Não</v>
      </c>
      <c r="K478" s="54">
        <v>46153.0</v>
      </c>
      <c r="L478" s="55"/>
      <c r="M478" s="32" t="s">
        <v>34</v>
      </c>
      <c r="N478" s="56">
        <v>0.012</v>
      </c>
      <c r="O478" s="23" t="s">
        <v>35</v>
      </c>
      <c r="P478" s="57">
        <v>0.1</v>
      </c>
      <c r="Q478" s="58"/>
      <c r="R478" s="736"/>
      <c r="S478" s="32" t="s">
        <v>234</v>
      </c>
      <c r="T478" s="177" t="s">
        <v>6309</v>
      </c>
      <c r="U478" s="33" t="s">
        <v>6310</v>
      </c>
      <c r="V478" s="33" t="s">
        <v>6312</v>
      </c>
      <c r="W478" s="48">
        <v>43203.0</v>
      </c>
      <c r="X478" s="177" t="s">
        <v>221</v>
      </c>
      <c r="Y478" s="49" t="str">
        <f t="shared" si="22"/>
        <v>Ativo</v>
      </c>
      <c r="Z478" s="32"/>
      <c r="AA478" s="32" t="s">
        <v>165</v>
      </c>
      <c r="AB478" s="64"/>
      <c r="AC478" s="79"/>
      <c r="AD478" s="54"/>
      <c r="AE478" s="77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65"/>
      <c r="AW478" s="65"/>
      <c r="AX478" s="65"/>
      <c r="AY478" s="65"/>
      <c r="AZ478" s="65"/>
      <c r="BA478" s="65"/>
      <c r="BB478" s="65"/>
      <c r="BC478" s="65"/>
      <c r="BD478" s="65"/>
      <c r="BE478" s="65"/>
      <c r="BF478" s="65"/>
      <c r="BG478" s="65"/>
      <c r="BH478" s="65"/>
      <c r="BI478" s="65"/>
      <c r="BJ478" s="65"/>
      <c r="BK478" s="65"/>
      <c r="BL478" s="65"/>
      <c r="BM478" s="65"/>
      <c r="BN478" s="65"/>
      <c r="BO478" s="65"/>
      <c r="BP478" s="65"/>
      <c r="BQ478" s="65"/>
      <c r="BR478" s="65"/>
      <c r="BS478" s="65"/>
      <c r="BT478" s="88"/>
      <c r="BU478" s="65"/>
      <c r="BV478" s="65"/>
      <c r="BW478" s="90">
        <v>0.0</v>
      </c>
      <c r="BX478" s="90">
        <v>0.0</v>
      </c>
      <c r="BY478" s="90" t="str">
        <f t="array" ref="BY478">XLOOKUP(C478,'PL TOTAL D0'!$A$3:$A$1991,'PL TOTAL D0'!$C$3:$C$1991,"")</f>
        <v/>
      </c>
    </row>
    <row r="479" ht="15.75" customHeight="1">
      <c r="A479" s="50" t="s">
        <v>24</v>
      </c>
      <c r="B479" s="368" t="s">
        <v>6314</v>
      </c>
      <c r="C479" s="94" t="s">
        <v>6315</v>
      </c>
      <c r="D479" s="81" t="s">
        <v>255</v>
      </c>
      <c r="E479" s="95" t="s">
        <v>199</v>
      </c>
      <c r="F479" s="81" t="s">
        <v>257</v>
      </c>
      <c r="G479" s="47" t="str">
        <f t="shared" si="23"/>
        <v>David</v>
      </c>
      <c r="H479" s="49" t="s">
        <v>224</v>
      </c>
      <c r="I479" s="49" t="s">
        <v>66</v>
      </c>
      <c r="J479" s="47" t="str">
        <f t="shared" si="24"/>
        <v>Não</v>
      </c>
      <c r="K479" s="97">
        <v>45257.0</v>
      </c>
      <c r="L479" s="55">
        <v>45530.0</v>
      </c>
      <c r="M479" s="62" t="s">
        <v>34</v>
      </c>
      <c r="N479" s="98">
        <v>0.012</v>
      </c>
      <c r="O479" s="47" t="s">
        <v>35</v>
      </c>
      <c r="P479" s="99">
        <v>0.1</v>
      </c>
      <c r="Q479" s="58"/>
      <c r="R479" s="635"/>
      <c r="S479" s="62" t="s">
        <v>194</v>
      </c>
      <c r="T479" s="32" t="s">
        <v>6317</v>
      </c>
      <c r="U479" s="33" t="s">
        <v>268</v>
      </c>
      <c r="V479" s="33"/>
      <c r="W479" s="33" t="s">
        <v>268</v>
      </c>
      <c r="X479" s="396" t="s">
        <v>199</v>
      </c>
      <c r="Y479" s="49" t="str">
        <f t="shared" si="22"/>
        <v>Encerrado</v>
      </c>
      <c r="Z479" s="62"/>
      <c r="AA479" s="62"/>
      <c r="AB479" s="64" t="s">
        <v>269</v>
      </c>
      <c r="AC479" s="79"/>
      <c r="AD479" s="54">
        <v>45257.0</v>
      </c>
      <c r="AE479" s="77">
        <v>4.9075100012423E13</v>
      </c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65">
        <v>697839.31</v>
      </c>
      <c r="AT479" s="65">
        <v>341582.5</v>
      </c>
      <c r="AU479" s="65">
        <v>341631.92</v>
      </c>
      <c r="AV479" s="65">
        <v>344322.63</v>
      </c>
      <c r="AW479" s="65">
        <v>345713.6</v>
      </c>
      <c r="AX479" s="65">
        <v>240293.79</v>
      </c>
      <c r="AY479" s="65">
        <v>189082.7</v>
      </c>
      <c r="AZ479" s="65">
        <v>190381.5</v>
      </c>
      <c r="BA479" s="65">
        <v>139512.0</v>
      </c>
      <c r="BB479" s="65">
        <v>0.0</v>
      </c>
      <c r="BC479" s="65">
        <v>0.0</v>
      </c>
      <c r="BD479" s="65">
        <v>0.0</v>
      </c>
      <c r="BE479" s="65">
        <v>0.0</v>
      </c>
      <c r="BF479" s="65">
        <v>0.0</v>
      </c>
      <c r="BG479" s="65">
        <v>0.0</v>
      </c>
      <c r="BH479" s="65">
        <v>0.0</v>
      </c>
      <c r="BI479" s="65">
        <v>0.0</v>
      </c>
      <c r="BJ479" s="65">
        <v>0.0</v>
      </c>
      <c r="BK479" s="65">
        <v>0.0</v>
      </c>
      <c r="BL479" s="65">
        <v>0.0</v>
      </c>
      <c r="BM479" s="65">
        <v>0.0</v>
      </c>
      <c r="BN479" s="65">
        <v>0.0</v>
      </c>
      <c r="BO479" s="65">
        <v>0.0</v>
      </c>
      <c r="BP479" s="65">
        <v>0.0</v>
      </c>
      <c r="BQ479" s="65">
        <v>0.0</v>
      </c>
      <c r="BR479" s="65">
        <v>0.0</v>
      </c>
      <c r="BS479" s="65">
        <v>0.0</v>
      </c>
      <c r="BT479" s="88">
        <v>0.0</v>
      </c>
      <c r="BU479" s="65">
        <v>0.0</v>
      </c>
      <c r="BV479" s="65">
        <v>0.0</v>
      </c>
      <c r="BW479" s="90">
        <v>0.0</v>
      </c>
      <c r="BX479" s="90">
        <v>0.0</v>
      </c>
      <c r="BY479" s="90" t="str">
        <f t="array" ref="BY479">XLOOKUP(C479,'PL TOTAL D0'!$A$3:$A$1991,'PL TOTAL D0'!$C$3:$C$1991,"")</f>
        <v/>
      </c>
    </row>
    <row r="480" ht="15.75" customHeight="1">
      <c r="A480" s="50" t="s">
        <v>24</v>
      </c>
      <c r="B480" s="50" t="s">
        <v>6321</v>
      </c>
      <c r="C480" s="94" t="s">
        <v>2831</v>
      </c>
      <c r="D480" s="81" t="s">
        <v>120</v>
      </c>
      <c r="E480" s="95" t="s">
        <v>54</v>
      </c>
      <c r="F480" s="81" t="s">
        <v>1393</v>
      </c>
      <c r="G480" s="47" t="str">
        <f t="shared" si="23"/>
        <v>Gabriel</v>
      </c>
      <c r="H480" s="49" t="s">
        <v>183</v>
      </c>
      <c r="I480" s="49" t="s">
        <v>66</v>
      </c>
      <c r="J480" s="47" t="str">
        <f t="shared" si="24"/>
        <v>Não</v>
      </c>
      <c r="K480" s="97">
        <v>45132.0</v>
      </c>
      <c r="L480" s="62"/>
      <c r="M480" s="62" t="s">
        <v>61</v>
      </c>
      <c r="N480" s="98">
        <v>0.012</v>
      </c>
      <c r="O480" s="47" t="s">
        <v>66</v>
      </c>
      <c r="P480" s="99">
        <v>0.0</v>
      </c>
      <c r="Q480" s="58"/>
      <c r="R480" s="635"/>
      <c r="S480" s="62" t="s">
        <v>194</v>
      </c>
      <c r="T480" s="32" t="s">
        <v>6324</v>
      </c>
      <c r="U480" s="33">
        <v>5.562982992233E12</v>
      </c>
      <c r="V480" s="33" t="s">
        <v>6326</v>
      </c>
      <c r="W480" s="34">
        <v>23290.0</v>
      </c>
      <c r="X480" s="23" t="s">
        <v>54</v>
      </c>
      <c r="Y480" s="49" t="str">
        <f t="shared" si="22"/>
        <v>Ativo</v>
      </c>
      <c r="Z480" s="62"/>
      <c r="AA480" s="62"/>
      <c r="AB480" s="64" t="s">
        <v>269</v>
      </c>
      <c r="AC480" s="79"/>
      <c r="AD480" s="54">
        <v>45132.0</v>
      </c>
      <c r="AE480" s="77">
        <v>4.9075100008094E13</v>
      </c>
      <c r="AF480" s="79"/>
      <c r="AG480" s="79"/>
      <c r="AH480" s="79"/>
      <c r="AI480" s="79"/>
      <c r="AJ480" s="79"/>
      <c r="AK480" s="79"/>
      <c r="AL480" s="79"/>
      <c r="AM480" s="79"/>
      <c r="AN480" s="79"/>
      <c r="AO480" s="65">
        <v>320613.61</v>
      </c>
      <c r="AP480" s="65">
        <v>323891.64</v>
      </c>
      <c r="AQ480" s="65">
        <v>326428.52</v>
      </c>
      <c r="AR480" s="65">
        <v>329253.36</v>
      </c>
      <c r="AS480" s="65">
        <v>331557.81</v>
      </c>
      <c r="AT480" s="65">
        <v>323510.06</v>
      </c>
      <c r="AU480" s="65">
        <v>326108.63</v>
      </c>
      <c r="AV480" s="65">
        <v>328312.54</v>
      </c>
      <c r="AW480" s="65">
        <v>330757.68</v>
      </c>
      <c r="AX480" s="65">
        <v>333159.47</v>
      </c>
      <c r="AY480" s="65">
        <v>386215.9</v>
      </c>
      <c r="AZ480" s="65">
        <v>429875.5</v>
      </c>
      <c r="BA480" s="65">
        <v>383090.2</v>
      </c>
      <c r="BB480" s="65">
        <v>385895.1</v>
      </c>
      <c r="BC480" s="65">
        <v>368162.34</v>
      </c>
      <c r="BD480" s="65">
        <v>371610.32</v>
      </c>
      <c r="BE480" s="65">
        <v>374616.71</v>
      </c>
      <c r="BF480" s="65">
        <v>377411.87</v>
      </c>
      <c r="BG480" s="65">
        <v>381049.68</v>
      </c>
      <c r="BH480" s="65">
        <v>384287.83</v>
      </c>
      <c r="BI480" s="65">
        <v>386316.86</v>
      </c>
      <c r="BJ480" s="65">
        <v>388909.75</v>
      </c>
      <c r="BK480" s="65">
        <v>391791.3</v>
      </c>
      <c r="BL480" s="65">
        <v>395757.57</v>
      </c>
      <c r="BM480" s="65">
        <v>400325.53</v>
      </c>
      <c r="BN480" s="65">
        <v>422915.7</v>
      </c>
      <c r="BO480" s="65">
        <v>431730.37</v>
      </c>
      <c r="BP480" s="65">
        <v>436652.0</v>
      </c>
      <c r="BQ480" s="65">
        <v>460549.5</v>
      </c>
      <c r="BR480" s="65">
        <v>485256.6</v>
      </c>
      <c r="BS480" s="65">
        <v>507486.37</v>
      </c>
      <c r="BT480" s="88">
        <v>511670.4</v>
      </c>
      <c r="BU480" s="65">
        <v>516659.7</v>
      </c>
      <c r="BV480" s="65">
        <v>540425.9</v>
      </c>
      <c r="BW480" s="90">
        <v>563726.8</v>
      </c>
      <c r="BX480" s="90">
        <v>569439.16</v>
      </c>
      <c r="BY480" s="90">
        <f t="array" ref="BY480">XLOOKUP(C480,'PL TOTAL D0'!$A$3:$A$1991,'PL TOTAL D0'!$C$3:$C$1991,"")</f>
        <v>579908.72</v>
      </c>
    </row>
    <row r="481" ht="15.75" customHeight="1">
      <c r="A481" s="50" t="s">
        <v>24</v>
      </c>
      <c r="B481" s="50" t="s">
        <v>6334</v>
      </c>
      <c r="C481" s="94" t="s">
        <v>2818</v>
      </c>
      <c r="D481" s="81" t="s">
        <v>142</v>
      </c>
      <c r="E481" s="95" t="s">
        <v>54</v>
      </c>
      <c r="F481" s="81" t="s">
        <v>158</v>
      </c>
      <c r="G481" s="23" t="s">
        <v>829</v>
      </c>
      <c r="H481" s="49" t="s">
        <v>183</v>
      </c>
      <c r="I481" s="49" t="s">
        <v>66</v>
      </c>
      <c r="J481" s="47" t="str">
        <f t="shared" si="24"/>
        <v>Não</v>
      </c>
      <c r="K481" s="97">
        <v>46125.0</v>
      </c>
      <c r="L481" s="62"/>
      <c r="M481" s="32" t="s">
        <v>716</v>
      </c>
      <c r="N481" s="98">
        <v>0.012</v>
      </c>
      <c r="O481" s="47" t="s">
        <v>66</v>
      </c>
      <c r="P481" s="99">
        <v>0.0</v>
      </c>
      <c r="Q481" s="58"/>
      <c r="R481" s="635"/>
      <c r="S481" s="62" t="s">
        <v>194</v>
      </c>
      <c r="T481" s="32" t="s">
        <v>6336</v>
      </c>
      <c r="U481" s="33" t="s">
        <v>6337</v>
      </c>
      <c r="V481" s="33" t="s">
        <v>6338</v>
      </c>
      <c r="W481" s="34">
        <v>28054.0</v>
      </c>
      <c r="X481" s="23" t="s">
        <v>54</v>
      </c>
      <c r="Y481" s="49" t="str">
        <f t="shared" si="22"/>
        <v>Ativo</v>
      </c>
      <c r="Z481" s="62"/>
      <c r="AA481" s="62" t="s">
        <v>47</v>
      </c>
      <c r="AB481" s="64"/>
      <c r="AC481" s="79"/>
      <c r="AD481" s="54">
        <v>46203.0</v>
      </c>
      <c r="AE481" s="77"/>
      <c r="AF481" s="79"/>
      <c r="AG481" s="79"/>
      <c r="AH481" s="79"/>
      <c r="AI481" s="79"/>
      <c r="AJ481" s="79"/>
      <c r="AK481" s="79"/>
      <c r="AL481" s="79"/>
      <c r="AM481" s="79"/>
      <c r="AN481" s="79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  <c r="BE481" s="65"/>
      <c r="BF481" s="65"/>
      <c r="BG481" s="65"/>
      <c r="BH481" s="65"/>
      <c r="BI481" s="65"/>
      <c r="BJ481" s="65"/>
      <c r="BK481" s="65"/>
      <c r="BL481" s="65"/>
      <c r="BM481" s="65"/>
      <c r="BN481" s="65"/>
      <c r="BO481" s="65"/>
      <c r="BP481" s="65"/>
      <c r="BQ481" s="65"/>
      <c r="BR481" s="65"/>
      <c r="BS481" s="65"/>
      <c r="BT481" s="88"/>
      <c r="BU481" s="65"/>
      <c r="BV481" s="65">
        <v>502701.9</v>
      </c>
      <c r="BW481" s="90">
        <v>508239.0</v>
      </c>
      <c r="BX481" s="90">
        <v>513216.19</v>
      </c>
      <c r="BY481" s="90">
        <f t="array" ref="BY481">XLOOKUP(C481,'PL TOTAL D0'!$A$3:$A$1991,'PL TOTAL D0'!$C$3:$C$1991,"")</f>
        <v>635855.82</v>
      </c>
    </row>
    <row r="482" ht="15.75" customHeight="1">
      <c r="A482" s="50" t="s">
        <v>24</v>
      </c>
      <c r="B482" s="43" t="s">
        <v>6344</v>
      </c>
      <c r="C482" s="53" t="s">
        <v>3087</v>
      </c>
      <c r="D482" s="30" t="s">
        <v>120</v>
      </c>
      <c r="E482" s="22" t="s">
        <v>54</v>
      </c>
      <c r="F482" s="30" t="s">
        <v>125</v>
      </c>
      <c r="G482" s="23" t="s">
        <v>829</v>
      </c>
      <c r="H482" s="49" t="s">
        <v>183</v>
      </c>
      <c r="I482" s="49" t="s">
        <v>66</v>
      </c>
      <c r="J482" s="47" t="str">
        <f t="shared" si="24"/>
        <v>Sim</v>
      </c>
      <c r="K482" s="54">
        <v>46181.0</v>
      </c>
      <c r="L482" s="62"/>
      <c r="M482" s="32" t="s">
        <v>61</v>
      </c>
      <c r="N482" s="56">
        <v>0.012</v>
      </c>
      <c r="O482" s="23" t="s">
        <v>66</v>
      </c>
      <c r="P482" s="57">
        <v>0.0</v>
      </c>
      <c r="Q482" s="58" t="s">
        <v>6345</v>
      </c>
      <c r="R482" s="635"/>
      <c r="S482" s="32" t="s">
        <v>194</v>
      </c>
      <c r="T482" s="32" t="s">
        <v>6347</v>
      </c>
      <c r="U482" s="33" t="s">
        <v>6348</v>
      </c>
      <c r="V482" s="33" t="s">
        <v>6349</v>
      </c>
      <c r="W482" s="34">
        <v>36126.0</v>
      </c>
      <c r="X482" s="23" t="s">
        <v>54</v>
      </c>
      <c r="Y482" s="49" t="str">
        <f t="shared" si="22"/>
        <v>Ativo</v>
      </c>
      <c r="Z482" s="62"/>
      <c r="AA482" s="32" t="s">
        <v>107</v>
      </c>
      <c r="AB482" s="64"/>
      <c r="AC482" s="79"/>
      <c r="AD482" s="54">
        <v>46203.0</v>
      </c>
      <c r="AE482" s="77"/>
      <c r="AF482" s="79"/>
      <c r="AG482" s="79"/>
      <c r="AH482" s="79"/>
      <c r="AI482" s="79"/>
      <c r="AJ482" s="79"/>
      <c r="AK482" s="79"/>
      <c r="AL482" s="79"/>
      <c r="AM482" s="79"/>
      <c r="AN482" s="79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  <c r="BE482" s="65"/>
      <c r="BF482" s="65"/>
      <c r="BG482" s="65"/>
      <c r="BH482" s="65"/>
      <c r="BI482" s="65"/>
      <c r="BJ482" s="65"/>
      <c r="BK482" s="65"/>
      <c r="BL482" s="65"/>
      <c r="BM482" s="65"/>
      <c r="BN482" s="65"/>
      <c r="BO482" s="65"/>
      <c r="BP482" s="65"/>
      <c r="BQ482" s="65"/>
      <c r="BR482" s="65"/>
      <c r="BS482" s="65"/>
      <c r="BT482" s="88"/>
      <c r="BU482" s="65"/>
      <c r="BV482" s="65"/>
      <c r="BW482" s="90"/>
      <c r="BX482" s="90">
        <v>259857.72</v>
      </c>
      <c r="BY482" s="90">
        <f t="array" ref="BY482">XLOOKUP(C482,'PL TOTAL D0'!$A$3:$A$1991,'PL TOTAL D0'!$C$3:$C$1991,"")</f>
        <v>262924.45</v>
      </c>
    </row>
    <row r="483" ht="15.75" customHeight="1">
      <c r="A483" s="50" t="s">
        <v>24</v>
      </c>
      <c r="B483" s="43" t="s">
        <v>6351</v>
      </c>
      <c r="C483" s="53" t="s">
        <v>6352</v>
      </c>
      <c r="D483" s="30" t="s">
        <v>120</v>
      </c>
      <c r="E483" s="22" t="s">
        <v>54</v>
      </c>
      <c r="F483" s="30" t="s">
        <v>125</v>
      </c>
      <c r="G483" s="23" t="s">
        <v>829</v>
      </c>
      <c r="H483" s="49" t="s">
        <v>335</v>
      </c>
      <c r="I483" s="49" t="s">
        <v>66</v>
      </c>
      <c r="J483" s="47" t="str">
        <f t="shared" si="24"/>
        <v>Não</v>
      </c>
      <c r="K483" s="54">
        <v>46234.0</v>
      </c>
      <c r="L483" s="62"/>
      <c r="M483" s="32" t="s">
        <v>61</v>
      </c>
      <c r="N483" s="56">
        <v>0.012</v>
      </c>
      <c r="O483" s="23" t="s">
        <v>66</v>
      </c>
      <c r="P483" s="57">
        <v>0.0</v>
      </c>
      <c r="Q483" s="58"/>
      <c r="R483" s="635"/>
      <c r="S483" s="32" t="s">
        <v>194</v>
      </c>
      <c r="T483" s="32" t="s">
        <v>6354</v>
      </c>
      <c r="U483" s="33" t="s">
        <v>191</v>
      </c>
      <c r="V483" s="33" t="s">
        <v>6355</v>
      </c>
      <c r="W483" s="34">
        <v>34642.0</v>
      </c>
      <c r="X483" s="23" t="s">
        <v>54</v>
      </c>
      <c r="Y483" s="49" t="str">
        <f t="shared" si="22"/>
        <v>Ativo</v>
      </c>
      <c r="Z483" s="62"/>
      <c r="AA483" s="32" t="s">
        <v>107</v>
      </c>
      <c r="AB483" s="64"/>
      <c r="AC483" s="79"/>
      <c r="AD483" s="54"/>
      <c r="AE483" s="77"/>
      <c r="AF483" s="79"/>
      <c r="AG483" s="79"/>
      <c r="AH483" s="79"/>
      <c r="AI483" s="79"/>
      <c r="AJ483" s="79"/>
      <c r="AK483" s="79"/>
      <c r="AL483" s="79"/>
      <c r="AM483" s="79"/>
      <c r="AN483" s="79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  <c r="BE483" s="65"/>
      <c r="BF483" s="65"/>
      <c r="BG483" s="65"/>
      <c r="BH483" s="65"/>
      <c r="BI483" s="65"/>
      <c r="BJ483" s="65"/>
      <c r="BK483" s="65"/>
      <c r="BL483" s="65"/>
      <c r="BM483" s="65"/>
      <c r="BN483" s="65"/>
      <c r="BO483" s="65"/>
      <c r="BP483" s="65"/>
      <c r="BQ483" s="65"/>
      <c r="BR483" s="65"/>
      <c r="BS483" s="65"/>
      <c r="BT483" s="88"/>
      <c r="BU483" s="65"/>
      <c r="BV483" s="65"/>
      <c r="BW483" s="90"/>
      <c r="BX483" s="90"/>
      <c r="BY483" s="90"/>
    </row>
    <row r="484" ht="15.75" customHeight="1">
      <c r="A484" s="50" t="s">
        <v>24</v>
      </c>
      <c r="B484" s="50" t="s">
        <v>6359</v>
      </c>
      <c r="C484" s="94" t="s">
        <v>6360</v>
      </c>
      <c r="D484" s="30" t="s">
        <v>89</v>
      </c>
      <c r="E484" s="95" t="s">
        <v>91</v>
      </c>
      <c r="F484" s="81" t="s">
        <v>193</v>
      </c>
      <c r="G484" s="47" t="str">
        <f t="shared" ref="G484:G644" si="25">IFS($BS$4:$BS$1280&lt;=250000,"David",$BS$4:$BS$1280&lt;=800000,"Gabriel", $BS$4:$BS$1280&gt;800000,"Marcus")</f>
        <v>David</v>
      </c>
      <c r="H484" s="74" t="s">
        <v>295</v>
      </c>
      <c r="I484" s="74" t="s">
        <v>382</v>
      </c>
      <c r="J484" s="47" t="str">
        <f t="shared" si="24"/>
        <v>Não</v>
      </c>
      <c r="K484" s="97">
        <v>45103.0</v>
      </c>
      <c r="L484" s="62"/>
      <c r="M484" s="62" t="s">
        <v>209</v>
      </c>
      <c r="N484" s="98">
        <v>0.015</v>
      </c>
      <c r="O484" s="47" t="s">
        <v>35</v>
      </c>
      <c r="P484" s="99">
        <v>0.1</v>
      </c>
      <c r="Q484" s="58"/>
      <c r="R484" s="70" t="s">
        <v>6365</v>
      </c>
      <c r="S484" s="62" t="s">
        <v>194</v>
      </c>
      <c r="T484" s="32" t="s">
        <v>6366</v>
      </c>
      <c r="U484" s="33" t="s">
        <v>268</v>
      </c>
      <c r="V484" s="33"/>
      <c r="W484" s="33" t="s">
        <v>268</v>
      </c>
      <c r="X484" s="23" t="s">
        <v>397</v>
      </c>
      <c r="Y484" s="49" t="str">
        <f t="shared" si="22"/>
        <v>Ativo</v>
      </c>
      <c r="Z484" s="62"/>
      <c r="AA484" s="62"/>
      <c r="AB484" s="64" t="s">
        <v>269</v>
      </c>
      <c r="AC484" s="79"/>
      <c r="AD484" s="54">
        <v>45103.0</v>
      </c>
      <c r="AE484" s="77">
        <v>4.9075100004609E13</v>
      </c>
      <c r="AF484" s="79"/>
      <c r="AG484" s="79"/>
      <c r="AH484" s="79"/>
      <c r="AI484" s="79"/>
      <c r="AJ484" s="79"/>
      <c r="AK484" s="79"/>
      <c r="AL484" s="79"/>
      <c r="AM484" s="79"/>
      <c r="AN484" s="79"/>
      <c r="AO484" s="65">
        <v>0.0</v>
      </c>
      <c r="AP484" s="65">
        <v>434.0</v>
      </c>
      <c r="AQ484" s="65">
        <v>334.0</v>
      </c>
      <c r="AR484" s="65">
        <v>0.0</v>
      </c>
      <c r="AS484" s="65">
        <v>0.0</v>
      </c>
      <c r="AT484" s="65">
        <v>0.0</v>
      </c>
      <c r="AU484" s="65">
        <v>0.0</v>
      </c>
      <c r="AV484" s="65">
        <v>0.0</v>
      </c>
      <c r="AW484" s="65">
        <v>0.0</v>
      </c>
      <c r="AX484" s="65">
        <v>0.0</v>
      </c>
      <c r="AY484" s="65">
        <v>0.0</v>
      </c>
      <c r="AZ484" s="65">
        <v>0.0</v>
      </c>
      <c r="BA484" s="65">
        <v>0.0</v>
      </c>
      <c r="BB484" s="65">
        <v>0.0</v>
      </c>
      <c r="BC484" s="65">
        <v>0.0</v>
      </c>
      <c r="BD484" s="65">
        <v>530.05</v>
      </c>
      <c r="BE484" s="65">
        <v>0.0</v>
      </c>
      <c r="BF484" s="65">
        <v>0.0</v>
      </c>
      <c r="BG484" s="65">
        <v>1381.76</v>
      </c>
      <c r="BH484" s="65">
        <v>0.0</v>
      </c>
      <c r="BI484" s="65">
        <v>0.0</v>
      </c>
      <c r="BJ484" s="65">
        <v>0.0</v>
      </c>
      <c r="BK484" s="65">
        <v>0.0</v>
      </c>
      <c r="BL484" s="65">
        <v>0.0</v>
      </c>
      <c r="BM484" s="65">
        <v>0.0</v>
      </c>
      <c r="BN484" s="65">
        <v>0.0</v>
      </c>
      <c r="BO484" s="65">
        <v>0.0</v>
      </c>
      <c r="BP484" s="65">
        <v>0.0</v>
      </c>
      <c r="BQ484" s="65">
        <v>0.0</v>
      </c>
      <c r="BR484" s="65">
        <v>0.0</v>
      </c>
      <c r="BS484" s="65">
        <v>0.0</v>
      </c>
      <c r="BT484" s="88">
        <v>0.0</v>
      </c>
      <c r="BU484" s="65">
        <v>0.0</v>
      </c>
      <c r="BV484" s="65">
        <v>0.0</v>
      </c>
      <c r="BW484" s="90">
        <v>0.0</v>
      </c>
      <c r="BX484" s="90">
        <v>0.0</v>
      </c>
      <c r="BY484" s="90" t="str">
        <f t="array" ref="BY484">XLOOKUP(C484,'PL TOTAL D0'!$A$3:$A$1991,'PL TOTAL D0'!$C$3:$C$1991,"")</f>
        <v/>
      </c>
    </row>
    <row r="485" ht="15.75" customHeight="1">
      <c r="A485" s="50" t="s">
        <v>24</v>
      </c>
      <c r="B485" s="50" t="s">
        <v>6372</v>
      </c>
      <c r="C485" s="94" t="s">
        <v>3451</v>
      </c>
      <c r="D485" s="30" t="s">
        <v>120</v>
      </c>
      <c r="E485" s="95" t="s">
        <v>199</v>
      </c>
      <c r="F485" s="81" t="s">
        <v>6373</v>
      </c>
      <c r="G485" s="47" t="str">
        <f t="shared" si="25"/>
        <v>David</v>
      </c>
      <c r="H485" s="49" t="s">
        <v>183</v>
      </c>
      <c r="I485" s="74" t="s">
        <v>66</v>
      </c>
      <c r="J485" s="47" t="str">
        <f t="shared" si="24"/>
        <v>Não</v>
      </c>
      <c r="K485" s="97">
        <v>46090.0</v>
      </c>
      <c r="L485" s="62"/>
      <c r="M485" s="62" t="s">
        <v>61</v>
      </c>
      <c r="N485" s="98">
        <v>0.012</v>
      </c>
      <c r="O485" s="47" t="s">
        <v>66</v>
      </c>
      <c r="P485" s="99">
        <v>0.0</v>
      </c>
      <c r="Q485" s="58"/>
      <c r="R485" s="70"/>
      <c r="S485" s="62" t="s">
        <v>194</v>
      </c>
      <c r="T485" s="32" t="s">
        <v>6374</v>
      </c>
      <c r="U485" s="33" t="s">
        <v>6375</v>
      </c>
      <c r="V485" s="33" t="s">
        <v>6376</v>
      </c>
      <c r="W485" s="33">
        <v>23332.0</v>
      </c>
      <c r="X485" s="23" t="s">
        <v>199</v>
      </c>
      <c r="Y485" s="49" t="str">
        <f t="shared" si="22"/>
        <v>Ativo</v>
      </c>
      <c r="Z485" s="62"/>
      <c r="AA485" s="62" t="s">
        <v>107</v>
      </c>
      <c r="AB485" s="64"/>
      <c r="AC485" s="79"/>
      <c r="AD485" s="54">
        <v>46203.0</v>
      </c>
      <c r="AE485" s="77"/>
      <c r="AF485" s="79"/>
      <c r="AG485" s="79"/>
      <c r="AH485" s="79"/>
      <c r="AI485" s="79"/>
      <c r="AJ485" s="79"/>
      <c r="AK485" s="79"/>
      <c r="AL485" s="79"/>
      <c r="AM485" s="79"/>
      <c r="AN485" s="79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  <c r="BE485" s="65"/>
      <c r="BF485" s="65"/>
      <c r="BG485" s="65"/>
      <c r="BH485" s="65"/>
      <c r="BI485" s="65"/>
      <c r="BJ485" s="65"/>
      <c r="BK485" s="65"/>
      <c r="BL485" s="65"/>
      <c r="BM485" s="65"/>
      <c r="BN485" s="65"/>
      <c r="BO485" s="65"/>
      <c r="BP485" s="65"/>
      <c r="BQ485" s="65"/>
      <c r="BR485" s="65"/>
      <c r="BS485" s="65"/>
      <c r="BT485" s="88"/>
      <c r="BU485" s="65">
        <v>48490.12</v>
      </c>
      <c r="BV485" s="65">
        <v>49025.16</v>
      </c>
      <c r="BW485" s="90">
        <v>49495.29</v>
      </c>
      <c r="BX485" s="90">
        <v>49978.87</v>
      </c>
      <c r="BY485" s="90">
        <f t="array" ref="BY485">XLOOKUP(C485,'PL TOTAL D0'!$A$3:$A$1991,'PL TOTAL D0'!$C$3:$C$1991,"")</f>
        <v>50509.67</v>
      </c>
    </row>
    <row r="486" ht="15.75" customHeight="1">
      <c r="A486" s="50" t="s">
        <v>24</v>
      </c>
      <c r="B486" s="176" t="s">
        <v>6377</v>
      </c>
      <c r="C486" s="94" t="s">
        <v>2598</v>
      </c>
      <c r="D486" s="81" t="s">
        <v>120</v>
      </c>
      <c r="E486" s="95" t="s">
        <v>54</v>
      </c>
      <c r="F486" s="30" t="s">
        <v>125</v>
      </c>
      <c r="G486" s="47" t="str">
        <f t="shared" si="25"/>
        <v>Marcus</v>
      </c>
      <c r="H486" s="74" t="s">
        <v>183</v>
      </c>
      <c r="I486" s="74" t="s">
        <v>66</v>
      </c>
      <c r="J486" s="47" t="str">
        <f t="shared" si="24"/>
        <v>Sim</v>
      </c>
      <c r="K486" s="97">
        <v>45013.0</v>
      </c>
      <c r="L486" s="62"/>
      <c r="M486" s="32" t="s">
        <v>568</v>
      </c>
      <c r="N486" s="98">
        <v>0.012</v>
      </c>
      <c r="O486" s="23" t="s">
        <v>35</v>
      </c>
      <c r="P486" s="57">
        <v>0.1</v>
      </c>
      <c r="Q486" s="58" t="s">
        <v>6381</v>
      </c>
      <c r="R486" s="748" t="s">
        <v>6382</v>
      </c>
      <c r="S486" s="62" t="s">
        <v>194</v>
      </c>
      <c r="T486" s="32" t="s">
        <v>6383</v>
      </c>
      <c r="U486" s="33">
        <v>6.2999682433E10</v>
      </c>
      <c r="V486" s="33" t="s">
        <v>6385</v>
      </c>
      <c r="W486" s="34">
        <v>19957.0</v>
      </c>
      <c r="X486" s="23" t="s">
        <v>54</v>
      </c>
      <c r="Y486" s="49" t="str">
        <f t="shared" si="22"/>
        <v>Ativo</v>
      </c>
      <c r="Z486" s="62"/>
      <c r="AA486" s="62"/>
      <c r="AB486" s="64" t="s">
        <v>269</v>
      </c>
      <c r="AC486" s="79"/>
      <c r="AD486" s="54">
        <v>45013.0</v>
      </c>
      <c r="AE486" s="77">
        <v>4.9075100006751E13</v>
      </c>
      <c r="AF486" s="79"/>
      <c r="AG486" s="79"/>
      <c r="AH486" s="79"/>
      <c r="AI486" s="79"/>
      <c r="AJ486" s="79"/>
      <c r="AK486" s="65">
        <v>104138.41</v>
      </c>
      <c r="AL486" s="65">
        <v>1219227.02</v>
      </c>
      <c r="AM486" s="65">
        <v>1236011.28</v>
      </c>
      <c r="AN486" s="65">
        <v>1248592.63</v>
      </c>
      <c r="AO486" s="65">
        <v>1259014.66</v>
      </c>
      <c r="AP486" s="65">
        <v>1271123.79</v>
      </c>
      <c r="AQ486" s="65">
        <v>1281011.89</v>
      </c>
      <c r="AR486" s="65">
        <v>1287933.72</v>
      </c>
      <c r="AS486" s="65">
        <v>1296732.87</v>
      </c>
      <c r="AT486" s="65">
        <v>1359249.82</v>
      </c>
      <c r="AU486" s="65">
        <v>1369971.36</v>
      </c>
      <c r="AV486" s="65">
        <v>1432652.01</v>
      </c>
      <c r="AW486" s="65">
        <v>1444199.99</v>
      </c>
      <c r="AX486" s="65">
        <v>1646633.99</v>
      </c>
      <c r="AY486" s="65">
        <v>1693514.0</v>
      </c>
      <c r="AZ486" s="65">
        <v>1793006.0</v>
      </c>
      <c r="BA486" s="65">
        <v>1857679.0</v>
      </c>
      <c r="BB486" s="65">
        <v>1661555.83</v>
      </c>
      <c r="BC486" s="65">
        <v>1657160.51</v>
      </c>
      <c r="BD486" s="65">
        <v>1780438.31</v>
      </c>
      <c r="BE486" s="65">
        <v>1812475.83</v>
      </c>
      <c r="BF486" s="65">
        <v>1726082.14</v>
      </c>
      <c r="BG486" s="65">
        <v>1681499.15</v>
      </c>
      <c r="BH486" s="65">
        <v>1644547.31</v>
      </c>
      <c r="BI486" s="65">
        <v>1555628.1</v>
      </c>
      <c r="BJ486" s="65">
        <v>1764596.19</v>
      </c>
      <c r="BK486" s="65">
        <v>1595244.56</v>
      </c>
      <c r="BL486" s="65">
        <v>1506147.32</v>
      </c>
      <c r="BM486" s="65">
        <v>1552654.9</v>
      </c>
      <c r="BN486" s="65">
        <v>1585940.0</v>
      </c>
      <c r="BO486" s="65">
        <v>1599853.93</v>
      </c>
      <c r="BP486" s="65">
        <v>1616053.0</v>
      </c>
      <c r="BQ486" s="65">
        <v>1466175.0</v>
      </c>
      <c r="BR486" s="65">
        <v>1553042.0</v>
      </c>
      <c r="BS486" s="65">
        <v>1609042.6</v>
      </c>
      <c r="BT486" s="88">
        <v>1644869.0</v>
      </c>
      <c r="BU486" s="65">
        <v>1511570.0</v>
      </c>
      <c r="BV486" s="65">
        <v>1423610.0</v>
      </c>
      <c r="BW486" s="90">
        <v>2680175.0</v>
      </c>
      <c r="BX486" s="90">
        <v>2228839.22</v>
      </c>
      <c r="BY486" s="90">
        <f t="array" ref="BY486">XLOOKUP(C486,'PL TOTAL D0'!$A$3:$A$1991,'PL TOTAL D0'!$C$3:$C$1991,"")</f>
        <v>1913609.07</v>
      </c>
    </row>
    <row r="487" ht="15.75" customHeight="1">
      <c r="A487" s="43" t="s">
        <v>24</v>
      </c>
      <c r="B487" s="43" t="s">
        <v>6391</v>
      </c>
      <c r="C487" s="94" t="s">
        <v>3066</v>
      </c>
      <c r="D487" s="30" t="s">
        <v>142</v>
      </c>
      <c r="E487" s="22" t="s">
        <v>54</v>
      </c>
      <c r="F487" s="30" t="s">
        <v>158</v>
      </c>
      <c r="G487" s="47" t="str">
        <f t="shared" si="25"/>
        <v>Gabriel</v>
      </c>
      <c r="H487" s="49" t="s">
        <v>183</v>
      </c>
      <c r="I487" s="49" t="s">
        <v>66</v>
      </c>
      <c r="J487" s="47" t="str">
        <f t="shared" si="24"/>
        <v>Não</v>
      </c>
      <c r="K487" s="54">
        <v>45301.0</v>
      </c>
      <c r="L487" s="62"/>
      <c r="M487" s="32" t="s">
        <v>61</v>
      </c>
      <c r="N487" s="56">
        <v>0.012</v>
      </c>
      <c r="O487" s="23" t="s">
        <v>66</v>
      </c>
      <c r="P487" s="57">
        <v>0.0</v>
      </c>
      <c r="Q487" s="58"/>
      <c r="R487" s="635"/>
      <c r="S487" s="32" t="s">
        <v>194</v>
      </c>
      <c r="T487" s="32" t="s">
        <v>6394</v>
      </c>
      <c r="U487" s="33">
        <v>5.562999713612E12</v>
      </c>
      <c r="V487" s="33" t="s">
        <v>6395</v>
      </c>
      <c r="W487" s="34">
        <v>21958.0</v>
      </c>
      <c r="X487" s="23" t="s">
        <v>54</v>
      </c>
      <c r="Y487" s="49" t="str">
        <f t="shared" si="22"/>
        <v>Ativo</v>
      </c>
      <c r="Z487" s="62"/>
      <c r="AA487" s="62"/>
      <c r="AB487" s="64" t="s">
        <v>269</v>
      </c>
      <c r="AC487" s="79"/>
      <c r="AD487" s="54">
        <v>45301.0</v>
      </c>
      <c r="AE487" s="77">
        <v>4.9075100013152E13</v>
      </c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65">
        <v>360048.14</v>
      </c>
      <c r="AV487" s="65">
        <v>362928.01</v>
      </c>
      <c r="AW487" s="65">
        <v>366231.42</v>
      </c>
      <c r="AX487" s="65">
        <v>368738.79</v>
      </c>
      <c r="AY487" s="65">
        <v>369682.5</v>
      </c>
      <c r="AZ487" s="65">
        <v>372594.1</v>
      </c>
      <c r="BA487" s="65">
        <v>375367.2</v>
      </c>
      <c r="BB487" s="65">
        <v>376700.36</v>
      </c>
      <c r="BC487" s="65">
        <v>379198.72</v>
      </c>
      <c r="BD487" s="65">
        <v>382553.13</v>
      </c>
      <c r="BE487" s="65">
        <v>385376.65</v>
      </c>
      <c r="BF487" s="65">
        <v>388094.45</v>
      </c>
      <c r="BG487" s="65">
        <v>391793.38</v>
      </c>
      <c r="BH487" s="65">
        <v>395369.77</v>
      </c>
      <c r="BI487" s="65">
        <v>399201.24</v>
      </c>
      <c r="BJ487" s="65">
        <v>403388.3</v>
      </c>
      <c r="BK487" s="65">
        <v>404676.2</v>
      </c>
      <c r="BL487" s="65">
        <v>408072.69</v>
      </c>
      <c r="BM487" s="65">
        <v>412636.91</v>
      </c>
      <c r="BN487" s="65">
        <v>416658.2</v>
      </c>
      <c r="BO487" s="65">
        <v>420684.67</v>
      </c>
      <c r="BP487" s="65">
        <v>425088.7</v>
      </c>
      <c r="BQ487" s="65">
        <v>427866.2</v>
      </c>
      <c r="BR487" s="65">
        <v>431608.0</v>
      </c>
      <c r="BS487" s="65">
        <v>432015.01</v>
      </c>
      <c r="BT487" s="88">
        <v>425244.1</v>
      </c>
      <c r="BU487" s="65">
        <v>400621.3</v>
      </c>
      <c r="BV487" s="65">
        <v>356882.0</v>
      </c>
      <c r="BW487" s="90">
        <v>344060.6</v>
      </c>
      <c r="BX487" s="90">
        <v>330274.82</v>
      </c>
      <c r="BY487" s="90">
        <f t="array" ref="BY487">XLOOKUP(C487,'PL TOTAL D0'!$A$3:$A$1991,'PL TOTAL D0'!$C$3:$C$1991,"")</f>
        <v>300618.75</v>
      </c>
    </row>
    <row r="488" ht="15.75" customHeight="1">
      <c r="A488" s="43" t="s">
        <v>24</v>
      </c>
      <c r="B488" s="43" t="s">
        <v>6399</v>
      </c>
      <c r="C488" s="94" t="s">
        <v>3225</v>
      </c>
      <c r="D488" s="30" t="s">
        <v>120</v>
      </c>
      <c r="E488" s="22" t="s">
        <v>199</v>
      </c>
      <c r="F488" s="30" t="s">
        <v>290</v>
      </c>
      <c r="G488" s="47" t="str">
        <f t="shared" si="25"/>
        <v>David</v>
      </c>
      <c r="H488" s="49" t="s">
        <v>183</v>
      </c>
      <c r="I488" s="49" t="s">
        <v>66</v>
      </c>
      <c r="J488" s="47" t="str">
        <f t="shared" si="24"/>
        <v>Sim</v>
      </c>
      <c r="K488" s="54">
        <v>46077.0</v>
      </c>
      <c r="L488" s="62"/>
      <c r="M488" s="32" t="s">
        <v>61</v>
      </c>
      <c r="N488" s="56">
        <v>0.012</v>
      </c>
      <c r="O488" s="23" t="s">
        <v>66</v>
      </c>
      <c r="P488" s="57">
        <v>0.0</v>
      </c>
      <c r="Q488" s="58" t="s">
        <v>6406</v>
      </c>
      <c r="R488" s="635"/>
      <c r="S488" s="32" t="s">
        <v>194</v>
      </c>
      <c r="T488" s="32" t="s">
        <v>6407</v>
      </c>
      <c r="U488" s="33" t="s">
        <v>6408</v>
      </c>
      <c r="V488" s="33" t="s">
        <v>6409</v>
      </c>
      <c r="W488" s="34">
        <v>35627.0</v>
      </c>
      <c r="X488" s="23" t="s">
        <v>6410</v>
      </c>
      <c r="Y488" s="49" t="str">
        <f t="shared" si="22"/>
        <v>Ativo</v>
      </c>
      <c r="Z488" s="62"/>
      <c r="AA488" s="62" t="s">
        <v>47</v>
      </c>
      <c r="AB488" s="64"/>
      <c r="AC488" s="79"/>
      <c r="AD488" s="54">
        <v>46203.0</v>
      </c>
      <c r="AE488" s="77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  <c r="BE488" s="65"/>
      <c r="BF488" s="65"/>
      <c r="BG488" s="65"/>
      <c r="BH488" s="65"/>
      <c r="BI488" s="65"/>
      <c r="BJ488" s="65"/>
      <c r="BK488" s="65"/>
      <c r="BL488" s="65"/>
      <c r="BM488" s="65"/>
      <c r="BN488" s="65"/>
      <c r="BO488" s="65"/>
      <c r="BP488" s="65"/>
      <c r="BQ488" s="65"/>
      <c r="BR488" s="65"/>
      <c r="BS488" s="65"/>
      <c r="BT488" s="88">
        <v>104167.5</v>
      </c>
      <c r="BU488" s="65">
        <v>105437.9</v>
      </c>
      <c r="BV488" s="65">
        <v>142053.8</v>
      </c>
      <c r="BW488" s="90">
        <v>144098.9</v>
      </c>
      <c r="BX488" s="90">
        <v>144792.2</v>
      </c>
      <c r="BY488" s="90">
        <f t="array" ref="BY488">XLOOKUP(C488,'PL TOTAL D0'!$A$3:$A$1991,'PL TOTAL D0'!$C$3:$C$1991,"")</f>
        <v>146596.09</v>
      </c>
    </row>
    <row r="489" ht="15.75" customHeight="1">
      <c r="A489" s="50" t="s">
        <v>24</v>
      </c>
      <c r="B489" s="166" t="s">
        <v>6416</v>
      </c>
      <c r="C489" s="94" t="s">
        <v>6417</v>
      </c>
      <c r="D489" s="30" t="s">
        <v>89</v>
      </c>
      <c r="E489" s="95" t="s">
        <v>91</v>
      </c>
      <c r="F489" s="81" t="s">
        <v>193</v>
      </c>
      <c r="G489" s="47" t="str">
        <f t="shared" si="25"/>
        <v>David</v>
      </c>
      <c r="H489" s="49" t="s">
        <v>224</v>
      </c>
      <c r="I489" s="49" t="s">
        <v>66</v>
      </c>
      <c r="J489" s="47" t="str">
        <f t="shared" si="24"/>
        <v>Não</v>
      </c>
      <c r="K489" s="97">
        <v>45187.0</v>
      </c>
      <c r="L489" s="55">
        <v>45440.0</v>
      </c>
      <c r="M489" s="62" t="s">
        <v>61</v>
      </c>
      <c r="N489" s="98">
        <v>0.012</v>
      </c>
      <c r="O489" s="47" t="s">
        <v>66</v>
      </c>
      <c r="P489" s="99">
        <v>0.0</v>
      </c>
      <c r="Q489" s="58"/>
      <c r="R489" s="70" t="s">
        <v>6365</v>
      </c>
      <c r="S489" s="62" t="s">
        <v>194</v>
      </c>
      <c r="T489" s="32" t="s">
        <v>6419</v>
      </c>
      <c r="U489" s="33" t="s">
        <v>268</v>
      </c>
      <c r="V489" s="33"/>
      <c r="W489" s="33" t="s">
        <v>268</v>
      </c>
      <c r="X489" s="23" t="s">
        <v>221</v>
      </c>
      <c r="Y489" s="49" t="str">
        <f t="shared" si="22"/>
        <v>Encerrado</v>
      </c>
      <c r="Z489" s="62"/>
      <c r="AA489" s="62"/>
      <c r="AB489" s="64" t="s">
        <v>269</v>
      </c>
      <c r="AC489" s="79"/>
      <c r="AD489" s="54">
        <v>45187.0</v>
      </c>
      <c r="AE489" s="77">
        <v>4.9075100011435E13</v>
      </c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65">
        <v>3010.17</v>
      </c>
      <c r="AR489" s="65">
        <v>7075.21</v>
      </c>
      <c r="AS489" s="65">
        <v>11157.62</v>
      </c>
      <c r="AT489" s="65">
        <v>11248.06</v>
      </c>
      <c r="AU489" s="65">
        <v>11345.97</v>
      </c>
      <c r="AV489" s="65">
        <v>11426.78</v>
      </c>
      <c r="AW489" s="65">
        <v>11512.46</v>
      </c>
      <c r="AX489" s="65">
        <v>11604.37</v>
      </c>
      <c r="AY489" s="65">
        <v>0.0</v>
      </c>
      <c r="AZ489" s="65">
        <v>0.0</v>
      </c>
      <c r="BA489" s="65">
        <v>0.0</v>
      </c>
      <c r="BB489" s="65">
        <v>0.0</v>
      </c>
      <c r="BC489" s="65">
        <v>0.0</v>
      </c>
      <c r="BD489" s="65">
        <v>0.0</v>
      </c>
      <c r="BE489" s="65">
        <v>0.0</v>
      </c>
      <c r="BF489" s="65">
        <v>0.0</v>
      </c>
      <c r="BG489" s="65">
        <v>0.0</v>
      </c>
      <c r="BH489" s="65">
        <v>0.0</v>
      </c>
      <c r="BI489" s="65">
        <v>0.0</v>
      </c>
      <c r="BJ489" s="65">
        <v>0.0</v>
      </c>
      <c r="BK489" s="65">
        <v>0.0</v>
      </c>
      <c r="BL489" s="65">
        <v>0.0</v>
      </c>
      <c r="BM489" s="65">
        <v>0.0</v>
      </c>
      <c r="BN489" s="65">
        <v>0.0</v>
      </c>
      <c r="BO489" s="65">
        <v>0.0</v>
      </c>
      <c r="BP489" s="65">
        <v>0.0</v>
      </c>
      <c r="BQ489" s="65">
        <v>0.0</v>
      </c>
      <c r="BR489" s="65">
        <v>0.0</v>
      </c>
      <c r="BS489" s="65">
        <v>0.0</v>
      </c>
      <c r="BT489" s="88">
        <v>0.0</v>
      </c>
      <c r="BU489" s="65">
        <v>0.0</v>
      </c>
      <c r="BV489" s="65">
        <v>0.0</v>
      </c>
      <c r="BW489" s="90">
        <v>0.0</v>
      </c>
      <c r="BX489" s="90">
        <v>0.0</v>
      </c>
      <c r="BY489" s="90" t="str">
        <f t="array" ref="BY489">XLOOKUP(C489,'PL TOTAL D0'!$A$3:$A$1991,'PL TOTAL D0'!$C$3:$C$1991,"")</f>
        <v/>
      </c>
    </row>
    <row r="490" ht="15.75" customHeight="1">
      <c r="A490" s="50" t="s">
        <v>24</v>
      </c>
      <c r="B490" s="188" t="s">
        <v>6423</v>
      </c>
      <c r="C490" s="94" t="s">
        <v>6425</v>
      </c>
      <c r="D490" s="30" t="s">
        <v>365</v>
      </c>
      <c r="E490" s="22" t="s">
        <v>199</v>
      </c>
      <c r="F490" s="30" t="s">
        <v>368</v>
      </c>
      <c r="G490" s="47" t="str">
        <f t="shared" si="25"/>
        <v>David</v>
      </c>
      <c r="H490" s="49" t="s">
        <v>224</v>
      </c>
      <c r="I490" s="49" t="s">
        <v>66</v>
      </c>
      <c r="J490" s="47" t="str">
        <f t="shared" si="24"/>
        <v>Não</v>
      </c>
      <c r="K490" s="54">
        <v>45418.0</v>
      </c>
      <c r="L490" s="55">
        <v>45793.0</v>
      </c>
      <c r="M490" s="32" t="s">
        <v>61</v>
      </c>
      <c r="N490" s="56">
        <v>0.012</v>
      </c>
      <c r="O490" s="23" t="s">
        <v>66</v>
      </c>
      <c r="P490" s="57">
        <v>0.0</v>
      </c>
      <c r="Q490" s="58"/>
      <c r="R490" s="58" t="s">
        <v>2352</v>
      </c>
      <c r="S490" s="32" t="s">
        <v>194</v>
      </c>
      <c r="T490" s="32" t="s">
        <v>6428</v>
      </c>
      <c r="U490" s="33" t="s">
        <v>268</v>
      </c>
      <c r="V490" s="33"/>
      <c r="W490" s="33" t="s">
        <v>268</v>
      </c>
      <c r="X490" s="23" t="s">
        <v>199</v>
      </c>
      <c r="Y490" s="49" t="str">
        <f t="shared" si="22"/>
        <v>Encerrado</v>
      </c>
      <c r="Z490" s="32"/>
      <c r="AA490" s="32" t="s">
        <v>47</v>
      </c>
      <c r="AB490" s="64" t="s">
        <v>269</v>
      </c>
      <c r="AC490" s="79"/>
      <c r="AD490" s="54">
        <v>45418.0</v>
      </c>
      <c r="AE490" s="77">
        <v>4.9075100014541E13</v>
      </c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65"/>
      <c r="AW490" s="65"/>
      <c r="AX490" s="65"/>
      <c r="AY490" s="65">
        <v>658865.3</v>
      </c>
      <c r="AZ490" s="65">
        <v>663758.8</v>
      </c>
      <c r="BA490" s="65">
        <v>669086.1</v>
      </c>
      <c r="BB490" s="65">
        <v>673443.75</v>
      </c>
      <c r="BC490" s="65">
        <v>676594.62</v>
      </c>
      <c r="BD490" s="65">
        <v>682661.65</v>
      </c>
      <c r="BE490" s="65">
        <v>687723.63</v>
      </c>
      <c r="BF490" s="65">
        <v>693635.27</v>
      </c>
      <c r="BG490" s="65">
        <v>698691.62</v>
      </c>
      <c r="BH490" s="65">
        <v>680054.12</v>
      </c>
      <c r="BI490" s="65">
        <v>0.0</v>
      </c>
      <c r="BJ490" s="65">
        <v>0.0</v>
      </c>
      <c r="BK490" s="65">
        <v>0.0</v>
      </c>
      <c r="BL490" s="65">
        <v>0.0</v>
      </c>
      <c r="BM490" s="65">
        <v>0.0</v>
      </c>
      <c r="BN490" s="65">
        <v>0.0</v>
      </c>
      <c r="BO490" s="65">
        <v>0.0</v>
      </c>
      <c r="BP490" s="65">
        <v>0.0</v>
      </c>
      <c r="BQ490" s="65">
        <v>0.0</v>
      </c>
      <c r="BR490" s="65">
        <v>0.0</v>
      </c>
      <c r="BS490" s="65">
        <v>0.0</v>
      </c>
      <c r="BT490" s="88">
        <v>0.0</v>
      </c>
      <c r="BU490" s="65">
        <v>0.0</v>
      </c>
      <c r="BV490" s="65">
        <v>0.0</v>
      </c>
      <c r="BW490" s="90">
        <v>0.0</v>
      </c>
      <c r="BX490" s="90">
        <v>0.0</v>
      </c>
      <c r="BY490" s="90" t="str">
        <f t="array" ref="BY490">XLOOKUP(C490,'PL TOTAL D0'!$A$3:$A$1991,'PL TOTAL D0'!$C$3:$C$1991,"")</f>
        <v/>
      </c>
    </row>
    <row r="491" ht="15.75" customHeight="1">
      <c r="A491" s="50" t="s">
        <v>24</v>
      </c>
      <c r="B491" s="50" t="s">
        <v>5123</v>
      </c>
      <c r="C491" s="94" t="s">
        <v>6429</v>
      </c>
      <c r="D491" s="81" t="s">
        <v>120</v>
      </c>
      <c r="E491" s="95" t="s">
        <v>199</v>
      </c>
      <c r="F491" s="30" t="s">
        <v>332</v>
      </c>
      <c r="G491" s="47" t="str">
        <f t="shared" si="25"/>
        <v>David</v>
      </c>
      <c r="H491" s="49" t="s">
        <v>295</v>
      </c>
      <c r="I491" s="49" t="s">
        <v>382</v>
      </c>
      <c r="J491" s="47" t="str">
        <f t="shared" si="24"/>
        <v>Não</v>
      </c>
      <c r="K491" s="97">
        <v>44955.0</v>
      </c>
      <c r="L491" s="62"/>
      <c r="M491" s="62" t="s">
        <v>61</v>
      </c>
      <c r="N491" s="98">
        <v>0.01</v>
      </c>
      <c r="O491" s="47" t="s">
        <v>66</v>
      </c>
      <c r="P491" s="99">
        <v>0.0</v>
      </c>
      <c r="Q491" s="58"/>
      <c r="R491" s="635"/>
      <c r="S491" s="62" t="s">
        <v>194</v>
      </c>
      <c r="T491" s="32" t="s">
        <v>5122</v>
      </c>
      <c r="U491" s="33" t="s">
        <v>268</v>
      </c>
      <c r="V491" s="33"/>
      <c r="W491" s="33" t="s">
        <v>268</v>
      </c>
      <c r="X491" s="23" t="s">
        <v>199</v>
      </c>
      <c r="Y491" s="49" t="str">
        <f t="shared" si="22"/>
        <v>Ativo</v>
      </c>
      <c r="Z491" s="62"/>
      <c r="AA491" s="62"/>
      <c r="AB491" s="64" t="s">
        <v>269</v>
      </c>
      <c r="AC491" s="79"/>
      <c r="AD491" s="54">
        <v>44955.0</v>
      </c>
      <c r="AE491" s="77">
        <v>4.9075100005788E13</v>
      </c>
      <c r="AF491" s="79"/>
      <c r="AG491" s="79"/>
      <c r="AH491" s="79"/>
      <c r="AI491" s="65">
        <v>86000.57</v>
      </c>
      <c r="AJ491" s="65">
        <v>99999.09</v>
      </c>
      <c r="AK491" s="65">
        <v>101013.83</v>
      </c>
      <c r="AL491" s="65">
        <v>101652.76</v>
      </c>
      <c r="AM491" s="65">
        <v>102562.49</v>
      </c>
      <c r="AN491" s="65">
        <v>103228.03</v>
      </c>
      <c r="AO491" s="65">
        <v>104020.22</v>
      </c>
      <c r="AP491" s="65">
        <v>104899.6</v>
      </c>
      <c r="AQ491" s="65">
        <v>105646.4</v>
      </c>
      <c r="AR491" s="65">
        <v>106495.19</v>
      </c>
      <c r="AS491" s="65">
        <v>107148.96</v>
      </c>
      <c r="AT491" s="65">
        <v>107896.84</v>
      </c>
      <c r="AU491" s="65">
        <v>106244.51</v>
      </c>
      <c r="AV491" s="65">
        <v>107072.08</v>
      </c>
      <c r="AW491" s="65">
        <v>107989.36</v>
      </c>
      <c r="AX491" s="65">
        <v>108872.81</v>
      </c>
      <c r="AY491" s="65">
        <v>109449.7</v>
      </c>
      <c r="AZ491" s="65">
        <v>105689.3</v>
      </c>
      <c r="BA491" s="65">
        <v>0.0</v>
      </c>
      <c r="BB491" s="65">
        <v>25.08</v>
      </c>
      <c r="BC491" s="65">
        <v>25.08</v>
      </c>
      <c r="BD491" s="65">
        <v>25.08</v>
      </c>
      <c r="BE491" s="65">
        <v>25.08</v>
      </c>
      <c r="BF491" s="65">
        <v>25.08</v>
      </c>
      <c r="BG491" s="65">
        <v>25.08</v>
      </c>
      <c r="BH491" s="65">
        <v>25.08</v>
      </c>
      <c r="BI491" s="65">
        <v>0.0</v>
      </c>
      <c r="BJ491" s="65">
        <v>0.0</v>
      </c>
      <c r="BK491" s="65">
        <v>0.0</v>
      </c>
      <c r="BL491" s="65">
        <v>0.0</v>
      </c>
      <c r="BM491" s="65">
        <v>0.0</v>
      </c>
      <c r="BN491" s="65">
        <v>0.0</v>
      </c>
      <c r="BO491" s="65">
        <v>0.0</v>
      </c>
      <c r="BP491" s="65">
        <v>0.0</v>
      </c>
      <c r="BQ491" s="65">
        <v>0.0</v>
      </c>
      <c r="BR491" s="65">
        <v>0.0</v>
      </c>
      <c r="BS491" s="65">
        <v>0.0</v>
      </c>
      <c r="BT491" s="88">
        <v>0.0</v>
      </c>
      <c r="BU491" s="65">
        <v>0.0</v>
      </c>
      <c r="BV491" s="65">
        <v>0.0</v>
      </c>
      <c r="BW491" s="90">
        <v>0.0</v>
      </c>
      <c r="BX491" s="90">
        <v>0.0</v>
      </c>
      <c r="BY491" s="90" t="str">
        <f t="array" ref="BY491">XLOOKUP(C491,'PL TOTAL D0'!$A$3:$A$1991,'PL TOTAL D0'!$C$3:$C$1991,"")</f>
        <v/>
      </c>
    </row>
    <row r="492" ht="15.75" customHeight="1">
      <c r="A492" s="50" t="s">
        <v>24</v>
      </c>
      <c r="B492" s="444" t="s">
        <v>6438</v>
      </c>
      <c r="C492" s="94" t="s">
        <v>6439</v>
      </c>
      <c r="D492" s="81" t="s">
        <v>120</v>
      </c>
      <c r="E492" s="95" t="s">
        <v>54</v>
      </c>
      <c r="F492" s="81" t="s">
        <v>348</v>
      </c>
      <c r="G492" s="47" t="str">
        <f t="shared" si="25"/>
        <v>David</v>
      </c>
      <c r="H492" s="49" t="s">
        <v>295</v>
      </c>
      <c r="I492" s="74" t="s">
        <v>382</v>
      </c>
      <c r="J492" s="47" t="str">
        <f t="shared" si="24"/>
        <v>Não</v>
      </c>
      <c r="K492" s="97">
        <v>45223.0</v>
      </c>
      <c r="L492" s="62"/>
      <c r="M492" s="62" t="s">
        <v>61</v>
      </c>
      <c r="N492" s="98">
        <v>0.012</v>
      </c>
      <c r="O492" s="47" t="s">
        <v>66</v>
      </c>
      <c r="P492" s="99">
        <v>0.0</v>
      </c>
      <c r="Q492" s="58"/>
      <c r="R492" s="736" t="s">
        <v>6442</v>
      </c>
      <c r="S492" s="62" t="s">
        <v>194</v>
      </c>
      <c r="T492" s="32" t="s">
        <v>6443</v>
      </c>
      <c r="U492" s="33">
        <v>5.56298241466E12</v>
      </c>
      <c r="V492" s="33" t="s">
        <v>6444</v>
      </c>
      <c r="W492" s="34">
        <v>33872.0</v>
      </c>
      <c r="X492" s="23" t="s">
        <v>54</v>
      </c>
      <c r="Y492" s="49" t="str">
        <f t="shared" si="22"/>
        <v>Inativo</v>
      </c>
      <c r="Z492" s="62"/>
      <c r="AA492" s="62"/>
      <c r="AB492" s="64" t="s">
        <v>269</v>
      </c>
      <c r="AC492" s="79"/>
      <c r="AD492" s="54">
        <v>45223.0</v>
      </c>
      <c r="AE492" s="77">
        <v>4.9075100012431E13</v>
      </c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65">
        <v>0.0</v>
      </c>
      <c r="AS492" s="65">
        <v>0.0</v>
      </c>
      <c r="AT492" s="65">
        <v>0.0</v>
      </c>
      <c r="AU492" s="65">
        <v>0.0</v>
      </c>
      <c r="AV492" s="65">
        <v>0.0</v>
      </c>
      <c r="AW492" s="65">
        <v>0.0</v>
      </c>
      <c r="AX492" s="65">
        <v>0.0</v>
      </c>
      <c r="AY492" s="65">
        <v>0.0</v>
      </c>
      <c r="AZ492" s="65">
        <v>0.0</v>
      </c>
      <c r="BA492" s="65">
        <v>0.0</v>
      </c>
      <c r="BB492" s="65">
        <v>0.0</v>
      </c>
      <c r="BC492" s="65">
        <v>0.0</v>
      </c>
      <c r="BD492" s="65">
        <v>0.0</v>
      </c>
      <c r="BE492" s="65">
        <v>0.0</v>
      </c>
      <c r="BF492" s="65">
        <v>0.0</v>
      </c>
      <c r="BG492" s="65">
        <v>0.0</v>
      </c>
      <c r="BH492" s="65">
        <v>0.0</v>
      </c>
      <c r="BI492" s="65">
        <v>0.0</v>
      </c>
      <c r="BJ492" s="65">
        <v>0.0</v>
      </c>
      <c r="BK492" s="65">
        <v>0.0</v>
      </c>
      <c r="BL492" s="65">
        <v>0.0</v>
      </c>
      <c r="BM492" s="65">
        <v>0.0</v>
      </c>
      <c r="BN492" s="65">
        <v>0.0</v>
      </c>
      <c r="BO492" s="65">
        <v>0.0</v>
      </c>
      <c r="BP492" s="65">
        <v>0.0</v>
      </c>
      <c r="BQ492" s="65">
        <v>0.0</v>
      </c>
      <c r="BR492" s="65">
        <v>0.0</v>
      </c>
      <c r="BS492" s="65">
        <v>0.0</v>
      </c>
      <c r="BT492" s="88">
        <v>0.0</v>
      </c>
      <c r="BU492" s="65">
        <v>0.0</v>
      </c>
      <c r="BV492" s="65">
        <v>0.0</v>
      </c>
      <c r="BW492" s="90">
        <v>0.0</v>
      </c>
      <c r="BX492" s="90">
        <v>0.0</v>
      </c>
      <c r="BY492" s="90" t="str">
        <f t="array" ref="BY492">XLOOKUP(C492,'PL TOTAL D0'!$A$3:$A$1991,'PL TOTAL D0'!$C$3:$C$1991,"")</f>
        <v/>
      </c>
    </row>
    <row r="493" ht="15.75" customHeight="1">
      <c r="A493" s="50" t="s">
        <v>24</v>
      </c>
      <c r="B493" s="43" t="s">
        <v>6451</v>
      </c>
      <c r="C493" s="94" t="s">
        <v>3372</v>
      </c>
      <c r="D493" s="30" t="s">
        <v>120</v>
      </c>
      <c r="E493" s="22" t="s">
        <v>199</v>
      </c>
      <c r="F493" s="30" t="s">
        <v>707</v>
      </c>
      <c r="G493" s="47" t="str">
        <f t="shared" si="25"/>
        <v>David</v>
      </c>
      <c r="H493" s="49" t="s">
        <v>183</v>
      </c>
      <c r="I493" s="49" t="s">
        <v>66</v>
      </c>
      <c r="J493" s="47" t="str">
        <f t="shared" si="24"/>
        <v>Não</v>
      </c>
      <c r="K493" s="54">
        <v>45544.0</v>
      </c>
      <c r="L493" s="62"/>
      <c r="M493" s="751" t="s">
        <v>61</v>
      </c>
      <c r="N493" s="752">
        <v>0.012</v>
      </c>
      <c r="O493" s="319" t="s">
        <v>66</v>
      </c>
      <c r="P493" s="753">
        <v>0.0</v>
      </c>
      <c r="Q493" s="58"/>
      <c r="R493" s="635"/>
      <c r="S493" s="32" t="s">
        <v>194</v>
      </c>
      <c r="T493" s="32" t="s">
        <v>6456</v>
      </c>
      <c r="U493" s="33">
        <v>6.1981014633E10</v>
      </c>
      <c r="V493" s="33" t="s">
        <v>6457</v>
      </c>
      <c r="W493" s="34">
        <v>32292.0</v>
      </c>
      <c r="X493" s="23" t="s">
        <v>199</v>
      </c>
      <c r="Y493" s="49" t="str">
        <f t="shared" si="22"/>
        <v>Ativo</v>
      </c>
      <c r="Z493" s="62"/>
      <c r="AA493" s="32" t="s">
        <v>47</v>
      </c>
      <c r="AB493" s="64"/>
      <c r="AC493" s="79"/>
      <c r="AD493" s="54">
        <v>45544.0</v>
      </c>
      <c r="AE493" s="77">
        <v>4.9075100015694E13</v>
      </c>
      <c r="AF493" s="79"/>
      <c r="AG493" s="79"/>
      <c r="AH493" s="79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>
        <v>30202.57</v>
      </c>
      <c r="BD493" s="65">
        <v>30459.22</v>
      </c>
      <c r="BE493" s="65">
        <v>30559.73</v>
      </c>
      <c r="BF493" s="65">
        <v>30808.73</v>
      </c>
      <c r="BG493" s="65">
        <v>60507.86</v>
      </c>
      <c r="BH493" s="65">
        <v>61375.86</v>
      </c>
      <c r="BI493" s="65">
        <v>62539.87</v>
      </c>
      <c r="BJ493" s="65">
        <v>63437.85</v>
      </c>
      <c r="BK493" s="65">
        <v>64332.86</v>
      </c>
      <c r="BL493" s="65">
        <v>65245.95</v>
      </c>
      <c r="BM493" s="65">
        <v>66289.37</v>
      </c>
      <c r="BN493" s="65">
        <v>67270.41</v>
      </c>
      <c r="BO493" s="65">
        <v>68155.59</v>
      </c>
      <c r="BP493" s="65">
        <v>69372.59</v>
      </c>
      <c r="BQ493" s="65">
        <v>70116.04</v>
      </c>
      <c r="BR493" s="65">
        <v>71182.6</v>
      </c>
      <c r="BS493" s="65">
        <v>72253.55</v>
      </c>
      <c r="BT493" s="88">
        <v>73200.47</v>
      </c>
      <c r="BU493" s="65">
        <v>74457.57</v>
      </c>
      <c r="BV493" s="65">
        <v>75636.61</v>
      </c>
      <c r="BW493" s="90">
        <v>76607.55</v>
      </c>
      <c r="BX493" s="90">
        <v>77703.6</v>
      </c>
      <c r="BY493" s="90">
        <f t="array" ref="BY493">XLOOKUP(C493,'PL TOTAL D0'!$A$3:$A$1991,'PL TOTAL D0'!$C$3:$C$1991,"")</f>
        <v>78040.37</v>
      </c>
    </row>
    <row r="494" ht="15.75" customHeight="1">
      <c r="A494" s="50" t="s">
        <v>24</v>
      </c>
      <c r="B494" s="43" t="s">
        <v>6461</v>
      </c>
      <c r="C494" s="53" t="s">
        <v>3003</v>
      </c>
      <c r="D494" s="30" t="s">
        <v>120</v>
      </c>
      <c r="E494" s="22" t="s">
        <v>54</v>
      </c>
      <c r="F494" s="30" t="s">
        <v>125</v>
      </c>
      <c r="G494" s="47" t="str">
        <f t="shared" si="25"/>
        <v>David</v>
      </c>
      <c r="H494" s="49" t="s">
        <v>183</v>
      </c>
      <c r="I494" s="49" t="s">
        <v>66</v>
      </c>
      <c r="J494" s="47" t="str">
        <f t="shared" si="24"/>
        <v>Sim</v>
      </c>
      <c r="K494" s="54">
        <v>46197.0</v>
      </c>
      <c r="L494" s="62"/>
      <c r="M494" s="754" t="s">
        <v>61</v>
      </c>
      <c r="N494" s="755">
        <v>0.012</v>
      </c>
      <c r="O494" s="318" t="s">
        <v>66</v>
      </c>
      <c r="P494" s="756">
        <v>0.0</v>
      </c>
      <c r="Q494" s="58" t="s">
        <v>6463</v>
      </c>
      <c r="R494" s="635"/>
      <c r="S494" s="32" t="s">
        <v>194</v>
      </c>
      <c r="T494" s="32" t="s">
        <v>6464</v>
      </c>
      <c r="U494" s="33" t="s">
        <v>6465</v>
      </c>
      <c r="V494" s="33" t="s">
        <v>6466</v>
      </c>
      <c r="W494" s="34">
        <v>30428.0</v>
      </c>
      <c r="X494" s="23" t="s">
        <v>54</v>
      </c>
      <c r="Y494" s="49" t="str">
        <f t="shared" si="22"/>
        <v>Ativo</v>
      </c>
      <c r="Z494" s="62"/>
      <c r="AA494" s="32" t="s">
        <v>47</v>
      </c>
      <c r="AB494" s="64"/>
      <c r="AC494" s="79"/>
      <c r="AD494" s="54">
        <v>46203.0</v>
      </c>
      <c r="AE494" s="77"/>
      <c r="AF494" s="79"/>
      <c r="AG494" s="79"/>
      <c r="AH494" s="79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65"/>
      <c r="BH494" s="65"/>
      <c r="BI494" s="65"/>
      <c r="BJ494" s="65"/>
      <c r="BK494" s="65"/>
      <c r="BL494" s="65"/>
      <c r="BM494" s="65"/>
      <c r="BN494" s="65"/>
      <c r="BO494" s="65"/>
      <c r="BP494" s="65"/>
      <c r="BQ494" s="65"/>
      <c r="BR494" s="65"/>
      <c r="BS494" s="65"/>
      <c r="BT494" s="88"/>
      <c r="BU494" s="65"/>
      <c r="BV494" s="65"/>
      <c r="BW494" s="90"/>
      <c r="BX494" s="90">
        <v>200000.0</v>
      </c>
      <c r="BY494" s="90">
        <f t="array" ref="BY494">XLOOKUP(C494,'PL TOTAL D0'!$A$3:$A$1991,'PL TOTAL D0'!$C$3:$C$1991,"")</f>
        <v>352976.67</v>
      </c>
    </row>
    <row r="495" ht="15.75" customHeight="1">
      <c r="A495" s="43" t="s">
        <v>24</v>
      </c>
      <c r="B495" s="428" t="s">
        <v>830</v>
      </c>
      <c r="C495" s="94" t="s">
        <v>2836</v>
      </c>
      <c r="D495" s="30" t="s">
        <v>120</v>
      </c>
      <c r="E495" s="22" t="s">
        <v>54</v>
      </c>
      <c r="F495" s="30" t="s">
        <v>379</v>
      </c>
      <c r="G495" s="47" t="str">
        <f t="shared" si="25"/>
        <v>Gabriel</v>
      </c>
      <c r="H495" s="49" t="s">
        <v>183</v>
      </c>
      <c r="I495" s="49" t="s">
        <v>66</v>
      </c>
      <c r="J495" s="47" t="str">
        <f t="shared" si="24"/>
        <v>Sim</v>
      </c>
      <c r="K495" s="54">
        <v>45364.0</v>
      </c>
      <c r="L495" s="62"/>
      <c r="M495" s="32" t="s">
        <v>34</v>
      </c>
      <c r="N495" s="56">
        <v>0.012</v>
      </c>
      <c r="O495" s="23" t="s">
        <v>35</v>
      </c>
      <c r="P495" s="57">
        <v>0.1</v>
      </c>
      <c r="Q495" s="58" t="s">
        <v>6476</v>
      </c>
      <c r="R495" s="635"/>
      <c r="S495" s="32" t="s">
        <v>194</v>
      </c>
      <c r="T495" s="22" t="s">
        <v>833</v>
      </c>
      <c r="U495" s="33">
        <v>6.298117432E10</v>
      </c>
      <c r="V495" s="33" t="s">
        <v>6477</v>
      </c>
      <c r="W495" s="48">
        <v>22608.0</v>
      </c>
      <c r="X495" s="23" t="s">
        <v>54</v>
      </c>
      <c r="Y495" s="49" t="str">
        <f t="shared" si="22"/>
        <v>Ativo</v>
      </c>
      <c r="Z495" s="62"/>
      <c r="AA495" s="32" t="s">
        <v>47</v>
      </c>
      <c r="AB495" s="64" t="s">
        <v>269</v>
      </c>
      <c r="AC495" s="79"/>
      <c r="AD495" s="54">
        <v>45364.0</v>
      </c>
      <c r="AE495" s="77">
        <v>4.9075100013799E13</v>
      </c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65"/>
      <c r="AW495" s="65">
        <v>0.0</v>
      </c>
      <c r="AX495" s="65">
        <v>100000.0</v>
      </c>
      <c r="AY495" s="65">
        <v>101097.5</v>
      </c>
      <c r="AZ495" s="65">
        <v>182553.5</v>
      </c>
      <c r="BA495" s="65">
        <v>184345.2</v>
      </c>
      <c r="BB495" s="65">
        <v>216312.19</v>
      </c>
      <c r="BC495" s="65">
        <v>252768.61</v>
      </c>
      <c r="BD495" s="65">
        <v>255097.8</v>
      </c>
      <c r="BE495" s="65">
        <v>257066.44</v>
      </c>
      <c r="BF495" s="65">
        <v>258853.67</v>
      </c>
      <c r="BG495" s="65">
        <v>316650.31</v>
      </c>
      <c r="BH495" s="65">
        <v>349674.63</v>
      </c>
      <c r="BI495" s="65">
        <v>352621.7</v>
      </c>
      <c r="BJ495" s="65">
        <v>386553.72</v>
      </c>
      <c r="BK495" s="65">
        <v>420439.07</v>
      </c>
      <c r="BL495" s="65">
        <v>424003.65</v>
      </c>
      <c r="BM495" s="65">
        <v>572714.49</v>
      </c>
      <c r="BN495" s="65">
        <v>577508.5</v>
      </c>
      <c r="BO495" s="65">
        <v>657107.82</v>
      </c>
      <c r="BP495" s="65">
        <v>664922.4</v>
      </c>
      <c r="BQ495" s="65">
        <v>670322.6</v>
      </c>
      <c r="BR495" s="65">
        <v>676391.3</v>
      </c>
      <c r="BS495" s="65">
        <v>682145.36</v>
      </c>
      <c r="BT495" s="88">
        <v>557109.5</v>
      </c>
      <c r="BU495" s="65">
        <v>563491.8</v>
      </c>
      <c r="BV495" s="65">
        <v>567211.2</v>
      </c>
      <c r="BW495" s="90">
        <v>570580.8</v>
      </c>
      <c r="BX495" s="90">
        <v>574512.45</v>
      </c>
      <c r="BY495" s="90">
        <f t="array" ref="BY495">XLOOKUP(C495,'PL TOTAL D0'!$A$3:$A$1991,'PL TOTAL D0'!$C$3:$C$1991,"")</f>
        <v>579822.19</v>
      </c>
    </row>
    <row r="496" ht="15.75" customHeight="1">
      <c r="A496" s="43" t="s">
        <v>24</v>
      </c>
      <c r="B496" s="428" t="s">
        <v>830</v>
      </c>
      <c r="C496" s="94" t="s">
        <v>6483</v>
      </c>
      <c r="D496" s="30" t="s">
        <v>120</v>
      </c>
      <c r="E496" s="22" t="s">
        <v>54</v>
      </c>
      <c r="F496" s="30" t="s">
        <v>379</v>
      </c>
      <c r="G496" s="47" t="str">
        <f t="shared" si="25"/>
        <v>David</v>
      </c>
      <c r="H496" s="49" t="s">
        <v>295</v>
      </c>
      <c r="I496" s="49" t="s">
        <v>382</v>
      </c>
      <c r="J496" s="47" t="str">
        <f t="shared" si="24"/>
        <v>Sim</v>
      </c>
      <c r="K496" s="54">
        <v>45848.0</v>
      </c>
      <c r="L496" s="62"/>
      <c r="M496" s="32" t="s">
        <v>231</v>
      </c>
      <c r="N496" s="290">
        <v>0.025</v>
      </c>
      <c r="O496" s="291" t="s">
        <v>233</v>
      </c>
      <c r="P496" s="292">
        <v>0.2</v>
      </c>
      <c r="Q496" s="58" t="s">
        <v>6484</v>
      </c>
      <c r="R496" s="635"/>
      <c r="S496" s="32" t="s">
        <v>194</v>
      </c>
      <c r="T496" s="22" t="s">
        <v>833</v>
      </c>
      <c r="U496" s="33">
        <v>6.298117432E10</v>
      </c>
      <c r="V496" s="33" t="s">
        <v>6477</v>
      </c>
      <c r="W496" s="48">
        <v>22608.0</v>
      </c>
      <c r="X496" s="23" t="s">
        <v>54</v>
      </c>
      <c r="Y496" s="49" t="str">
        <f t="shared" si="22"/>
        <v>Ativo</v>
      </c>
      <c r="Z496" s="62"/>
      <c r="AA496" s="32" t="s">
        <v>47</v>
      </c>
      <c r="AB496" s="64"/>
      <c r="AC496" s="79"/>
      <c r="AD496" s="54"/>
      <c r="AE496" s="77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  <c r="BJ496" s="65"/>
      <c r="BK496" s="65"/>
      <c r="BL496" s="65"/>
      <c r="BM496" s="65">
        <v>0.0</v>
      </c>
      <c r="BN496" s="65">
        <v>0.0</v>
      </c>
      <c r="BO496" s="65">
        <v>0.0</v>
      </c>
      <c r="BP496" s="65">
        <v>0.0</v>
      </c>
      <c r="BQ496" s="65">
        <v>0.0</v>
      </c>
      <c r="BR496" s="65">
        <v>0.0</v>
      </c>
      <c r="BS496" s="65">
        <v>0.0</v>
      </c>
      <c r="BT496" s="88">
        <v>0.0</v>
      </c>
      <c r="BU496" s="65">
        <v>0.0</v>
      </c>
      <c r="BV496" s="65">
        <v>0.0</v>
      </c>
      <c r="BW496" s="90">
        <v>0.0</v>
      </c>
      <c r="BX496" s="90">
        <v>0.0</v>
      </c>
      <c r="BY496" s="90" t="str">
        <f t="array" ref="BY496">XLOOKUP(C496,'PL TOTAL D0'!$A$3:$A$1991,'PL TOTAL D0'!$C$3:$C$1991,"")</f>
        <v/>
      </c>
    </row>
    <row r="497" ht="15.75" customHeight="1">
      <c r="A497" s="43" t="s">
        <v>24</v>
      </c>
      <c r="B497" s="428" t="s">
        <v>6489</v>
      </c>
      <c r="C497" s="94" t="s">
        <v>2784</v>
      </c>
      <c r="D497" s="30" t="s">
        <v>142</v>
      </c>
      <c r="E497" s="22" t="s">
        <v>54</v>
      </c>
      <c r="F497" s="30" t="s">
        <v>158</v>
      </c>
      <c r="G497" s="47" t="str">
        <f t="shared" si="25"/>
        <v>Marcus</v>
      </c>
      <c r="H497" s="49" t="s">
        <v>183</v>
      </c>
      <c r="I497" s="49" t="s">
        <v>66</v>
      </c>
      <c r="J497" s="47" t="str">
        <f t="shared" si="24"/>
        <v>Sim</v>
      </c>
      <c r="K497" s="54">
        <v>45446.0</v>
      </c>
      <c r="L497" s="62"/>
      <c r="M497" s="692" t="s">
        <v>61</v>
      </c>
      <c r="N497" s="297">
        <v>0.012</v>
      </c>
      <c r="O497" s="693" t="s">
        <v>66</v>
      </c>
      <c r="P497" s="300">
        <v>0.0</v>
      </c>
      <c r="Q497" s="58" t="s">
        <v>6490</v>
      </c>
      <c r="R497" s="635"/>
      <c r="S497" s="32" t="s">
        <v>194</v>
      </c>
      <c r="T497" s="22" t="s">
        <v>6491</v>
      </c>
      <c r="U497" s="33">
        <v>6.6981145665E10</v>
      </c>
      <c r="V497" s="33" t="s">
        <v>6494</v>
      </c>
      <c r="W497" s="34">
        <v>27463.0</v>
      </c>
      <c r="X497" s="23" t="s">
        <v>1586</v>
      </c>
      <c r="Y497" s="49" t="str">
        <f t="shared" si="22"/>
        <v>Ativo</v>
      </c>
      <c r="Z497" s="32"/>
      <c r="AA497" s="32" t="s">
        <v>165</v>
      </c>
      <c r="AB497" s="64" t="s">
        <v>269</v>
      </c>
      <c r="AC497" s="79"/>
      <c r="AD497" s="54">
        <v>45446.0</v>
      </c>
      <c r="AE497" s="77">
        <v>4.9075100014981E13</v>
      </c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65"/>
      <c r="AW497" s="65"/>
      <c r="AX497" s="65"/>
      <c r="AY497" s="65"/>
      <c r="AZ497" s="65">
        <v>564152.7</v>
      </c>
      <c r="BA497" s="65">
        <v>565018.9</v>
      </c>
      <c r="BB497" s="65">
        <v>589010.72</v>
      </c>
      <c r="BC497" s="65">
        <v>620273.87</v>
      </c>
      <c r="BD497" s="65">
        <v>647478.73</v>
      </c>
      <c r="BE497" s="65">
        <v>624961.66</v>
      </c>
      <c r="BF497" s="65">
        <v>620327.43</v>
      </c>
      <c r="BG497" s="65">
        <v>652254.6</v>
      </c>
      <c r="BH497" s="65">
        <v>645685.31</v>
      </c>
      <c r="BI497" s="65">
        <v>661850.6</v>
      </c>
      <c r="BJ497" s="65">
        <v>653503.57</v>
      </c>
      <c r="BK497" s="65">
        <v>747505.95</v>
      </c>
      <c r="BL497" s="65">
        <v>768609.96</v>
      </c>
      <c r="BM497" s="65">
        <v>741723.48</v>
      </c>
      <c r="BN497" s="65">
        <v>745787.1</v>
      </c>
      <c r="BO497" s="65">
        <v>757448.02</v>
      </c>
      <c r="BP497" s="65">
        <v>779165.9</v>
      </c>
      <c r="BQ497" s="65">
        <v>794163.8</v>
      </c>
      <c r="BR497" s="65">
        <v>807264.5</v>
      </c>
      <c r="BS497" s="65">
        <v>801130.22</v>
      </c>
      <c r="BT497" s="88">
        <v>684510.1</v>
      </c>
      <c r="BU497" s="65">
        <v>692989.7</v>
      </c>
      <c r="BV497" s="65">
        <v>700946.8</v>
      </c>
      <c r="BW497" s="90">
        <v>707524.8</v>
      </c>
      <c r="BX497" s="90">
        <v>713880.67</v>
      </c>
      <c r="BY497" s="90">
        <f t="array" ref="BY497">XLOOKUP(C497,'PL TOTAL D0'!$A$3:$A$1991,'PL TOTAL D0'!$C$3:$C$1991,"")</f>
        <v>722601.25</v>
      </c>
    </row>
    <row r="498" ht="15.75" customHeight="1">
      <c r="A498" s="43" t="s">
        <v>24</v>
      </c>
      <c r="B498" s="50" t="s">
        <v>6497</v>
      </c>
      <c r="C498" s="94" t="s">
        <v>6498</v>
      </c>
      <c r="D498" s="30" t="s">
        <v>120</v>
      </c>
      <c r="E498" s="22" t="s">
        <v>54</v>
      </c>
      <c r="F498" s="30" t="s">
        <v>125</v>
      </c>
      <c r="G498" s="47" t="str">
        <f t="shared" si="25"/>
        <v>David</v>
      </c>
      <c r="H498" s="49" t="s">
        <v>295</v>
      </c>
      <c r="I498" s="49" t="s">
        <v>756</v>
      </c>
      <c r="J498" s="47" t="str">
        <f t="shared" si="24"/>
        <v>Não</v>
      </c>
      <c r="K498" s="54">
        <v>45309.0</v>
      </c>
      <c r="L498" s="62"/>
      <c r="M498" s="66" t="s">
        <v>61</v>
      </c>
      <c r="N498" s="366">
        <v>0.012</v>
      </c>
      <c r="O498" s="81" t="s">
        <v>66</v>
      </c>
      <c r="P498" s="367">
        <v>0.0</v>
      </c>
      <c r="Q498" s="58"/>
      <c r="R498" s="635"/>
      <c r="S498" s="32" t="s">
        <v>234</v>
      </c>
      <c r="T498" s="32" t="s">
        <v>6499</v>
      </c>
      <c r="U498" s="33">
        <v>5.562992960909E12</v>
      </c>
      <c r="V498" s="33" t="s">
        <v>6502</v>
      </c>
      <c r="W498" s="34">
        <v>43698.0</v>
      </c>
      <c r="X498" s="23" t="s">
        <v>54</v>
      </c>
      <c r="Y498" s="49" t="str">
        <f t="shared" si="22"/>
        <v>Inativo</v>
      </c>
      <c r="Z498" s="62"/>
      <c r="AA498" s="62"/>
      <c r="AB498" s="64" t="s">
        <v>269</v>
      </c>
      <c r="AC498" s="79"/>
      <c r="AD498" s="54">
        <v>45309.0</v>
      </c>
      <c r="AE498" s="77">
        <v>4.907510001316E13</v>
      </c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65">
        <v>0.0</v>
      </c>
      <c r="AV498" s="65">
        <v>0.0</v>
      </c>
      <c r="AW498" s="65">
        <v>0.0</v>
      </c>
      <c r="AX498" s="65">
        <v>0.0</v>
      </c>
      <c r="AY498" s="65">
        <v>0.0</v>
      </c>
      <c r="AZ498" s="65">
        <v>0.0</v>
      </c>
      <c r="BA498" s="65">
        <v>0.0</v>
      </c>
      <c r="BB498" s="65">
        <v>0.0</v>
      </c>
      <c r="BC498" s="65">
        <v>0.0</v>
      </c>
      <c r="BD498" s="65">
        <v>0.0</v>
      </c>
      <c r="BE498" s="65">
        <v>0.0</v>
      </c>
      <c r="BF498" s="65">
        <v>0.0</v>
      </c>
      <c r="BG498" s="65">
        <v>0.0</v>
      </c>
      <c r="BH498" s="65">
        <v>0.0</v>
      </c>
      <c r="BI498" s="65">
        <v>0.0</v>
      </c>
      <c r="BJ498" s="65">
        <v>0.0</v>
      </c>
      <c r="BK498" s="65">
        <v>0.0</v>
      </c>
      <c r="BL498" s="65">
        <v>0.0</v>
      </c>
      <c r="BM498" s="65">
        <v>0.0</v>
      </c>
      <c r="BN498" s="65">
        <v>0.0</v>
      </c>
      <c r="BO498" s="65">
        <v>0.0</v>
      </c>
      <c r="BP498" s="65">
        <v>0.0</v>
      </c>
      <c r="BQ498" s="65">
        <v>0.0</v>
      </c>
      <c r="BR498" s="65">
        <v>0.0</v>
      </c>
      <c r="BS498" s="65">
        <v>0.0</v>
      </c>
      <c r="BT498" s="88">
        <v>0.0</v>
      </c>
      <c r="BU498" s="65">
        <v>0.0</v>
      </c>
      <c r="BV498" s="65">
        <v>0.0</v>
      </c>
      <c r="BW498" s="90">
        <v>0.0</v>
      </c>
      <c r="BX498" s="90">
        <v>0.0</v>
      </c>
      <c r="BY498" s="90" t="str">
        <f t="array" ref="BY498">XLOOKUP(C498,'PL TOTAL D0'!$A$3:$A$1991,'PL TOTAL D0'!$C$3:$C$1991,"")</f>
        <v/>
      </c>
    </row>
    <row r="499" ht="15.75" customHeight="1">
      <c r="A499" s="43" t="s">
        <v>24</v>
      </c>
      <c r="B499" s="43" t="s">
        <v>6508</v>
      </c>
      <c r="C499" s="53" t="s">
        <v>3152</v>
      </c>
      <c r="D499" s="30" t="s">
        <v>120</v>
      </c>
      <c r="E499" s="22" t="s">
        <v>199</v>
      </c>
      <c r="F499" s="30" t="s">
        <v>6509</v>
      </c>
      <c r="G499" s="47" t="str">
        <f t="shared" si="25"/>
        <v>David</v>
      </c>
      <c r="H499" s="49" t="s">
        <v>183</v>
      </c>
      <c r="I499" s="49" t="s">
        <v>66</v>
      </c>
      <c r="J499" s="47" t="str">
        <f t="shared" si="24"/>
        <v>Não</v>
      </c>
      <c r="K499" s="54">
        <v>46213.0</v>
      </c>
      <c r="L499" s="62"/>
      <c r="M499" s="27" t="s">
        <v>61</v>
      </c>
      <c r="N499" s="29">
        <v>0.0</v>
      </c>
      <c r="O499" s="30" t="s">
        <v>66</v>
      </c>
      <c r="P499" s="31">
        <v>0.0</v>
      </c>
      <c r="Q499" s="58"/>
      <c r="R499" s="635"/>
      <c r="S499" s="32" t="s">
        <v>234</v>
      </c>
      <c r="T499" s="32" t="s">
        <v>6511</v>
      </c>
      <c r="U499" s="33" t="s">
        <v>6514</v>
      </c>
      <c r="V499" s="33" t="s">
        <v>6515</v>
      </c>
      <c r="W499" s="34">
        <v>46211.0</v>
      </c>
      <c r="X499" s="23" t="s">
        <v>199</v>
      </c>
      <c r="Y499" s="49" t="str">
        <f t="shared" si="22"/>
        <v>Ativo</v>
      </c>
      <c r="Z499" s="62"/>
      <c r="AA499" s="32" t="s">
        <v>47</v>
      </c>
      <c r="AB499" s="64"/>
      <c r="AC499" s="79"/>
      <c r="AD499" s="54"/>
      <c r="AE499" s="77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88"/>
      <c r="BU499" s="65"/>
      <c r="BV499" s="65"/>
      <c r="BW499" s="90"/>
      <c r="BX499" s="90">
        <v>0.0</v>
      </c>
      <c r="BY499" s="90">
        <f t="array" ref="BY499">XLOOKUP(C499,'PL TOTAL D0'!$A$3:$A$1991,'PL TOTAL D0'!$C$3:$C$1991,"")</f>
        <v>200225.43</v>
      </c>
    </row>
    <row r="500" ht="15.75" customHeight="1">
      <c r="A500" s="50" t="s">
        <v>24</v>
      </c>
      <c r="B500" s="50" t="s">
        <v>6520</v>
      </c>
      <c r="C500" s="94" t="s">
        <v>6521</v>
      </c>
      <c r="D500" s="81" t="s">
        <v>120</v>
      </c>
      <c r="E500" s="95" t="s">
        <v>54</v>
      </c>
      <c r="F500" s="81" t="s">
        <v>348</v>
      </c>
      <c r="G500" s="47" t="str">
        <f t="shared" si="25"/>
        <v>David</v>
      </c>
      <c r="H500" s="49" t="s">
        <v>224</v>
      </c>
      <c r="I500" s="49" t="s">
        <v>66</v>
      </c>
      <c r="J500" s="47" t="str">
        <f t="shared" si="24"/>
        <v>Não</v>
      </c>
      <c r="K500" s="97">
        <v>44944.0</v>
      </c>
      <c r="L500" s="55">
        <v>45896.0</v>
      </c>
      <c r="M500" s="32" t="s">
        <v>568</v>
      </c>
      <c r="N500" s="56">
        <v>0.012</v>
      </c>
      <c r="O500" s="23" t="s">
        <v>35</v>
      </c>
      <c r="P500" s="57">
        <v>0.1</v>
      </c>
      <c r="Q500" s="58"/>
      <c r="R500" s="58" t="s">
        <v>6523</v>
      </c>
      <c r="S500" s="62" t="s">
        <v>194</v>
      </c>
      <c r="T500" s="32" t="s">
        <v>6524</v>
      </c>
      <c r="U500" s="33" t="s">
        <v>268</v>
      </c>
      <c r="V500" s="33"/>
      <c r="W500" s="33" t="s">
        <v>268</v>
      </c>
      <c r="X500" s="23" t="s">
        <v>54</v>
      </c>
      <c r="Y500" s="49" t="str">
        <f t="shared" si="22"/>
        <v>Encerrado</v>
      </c>
      <c r="Z500" s="62"/>
      <c r="AA500" s="62"/>
      <c r="AB500" s="64" t="s">
        <v>244</v>
      </c>
      <c r="AC500" s="79"/>
      <c r="AD500" s="54">
        <v>44944.0</v>
      </c>
      <c r="AE500" s="77">
        <v>4.9075100005796E13</v>
      </c>
      <c r="AF500" s="79"/>
      <c r="AG500" s="79"/>
      <c r="AH500" s="79"/>
      <c r="AI500" s="65">
        <v>5379.4</v>
      </c>
      <c r="AJ500" s="65">
        <v>5432.22</v>
      </c>
      <c r="AK500" s="65">
        <v>44329.56</v>
      </c>
      <c r="AL500" s="65">
        <v>87717.56</v>
      </c>
      <c r="AM500" s="65">
        <v>107326.56</v>
      </c>
      <c r="AN500" s="65">
        <v>108290.97</v>
      </c>
      <c r="AO500" s="65">
        <v>138763.11</v>
      </c>
      <c r="AP500" s="65">
        <v>139892.01</v>
      </c>
      <c r="AQ500" s="65">
        <v>142567.1</v>
      </c>
      <c r="AR500" s="65">
        <v>146745.03</v>
      </c>
      <c r="AS500" s="65">
        <v>147811.24</v>
      </c>
      <c r="AT500" s="65">
        <v>148976.11</v>
      </c>
      <c r="AU500" s="65">
        <v>152388.93</v>
      </c>
      <c r="AV500" s="65">
        <v>156551.96</v>
      </c>
      <c r="AW500" s="65">
        <v>160286.49</v>
      </c>
      <c r="AX500" s="65">
        <v>164453.17</v>
      </c>
      <c r="AY500" s="65">
        <v>166956.4</v>
      </c>
      <c r="AZ500" s="65">
        <v>170351.6</v>
      </c>
      <c r="BA500" s="65">
        <v>173931.2</v>
      </c>
      <c r="BB500" s="65">
        <v>176973.94</v>
      </c>
      <c r="BC500" s="65">
        <v>179022.1</v>
      </c>
      <c r="BD500" s="65">
        <v>181562.86</v>
      </c>
      <c r="BE500" s="65">
        <v>183844.34</v>
      </c>
      <c r="BF500" s="65">
        <v>184872.62</v>
      </c>
      <c r="BG500" s="65">
        <v>187956.49</v>
      </c>
      <c r="BH500" s="65">
        <v>158778.5</v>
      </c>
      <c r="BI500" s="65">
        <v>160187.13</v>
      </c>
      <c r="BJ500" s="65">
        <v>155305.28</v>
      </c>
      <c r="BK500" s="65">
        <v>157514.65</v>
      </c>
      <c r="BL500" s="65">
        <v>158946.21</v>
      </c>
      <c r="BM500" s="65">
        <v>0.0</v>
      </c>
      <c r="BN500" s="65">
        <v>0.0</v>
      </c>
      <c r="BO500" s="65">
        <v>0.0</v>
      </c>
      <c r="BP500" s="65">
        <v>0.0</v>
      </c>
      <c r="BQ500" s="65">
        <v>0.0</v>
      </c>
      <c r="BR500" s="65">
        <v>0.0</v>
      </c>
      <c r="BS500" s="65">
        <v>0.0</v>
      </c>
      <c r="BT500" s="88">
        <v>0.0</v>
      </c>
      <c r="BU500" s="65">
        <v>0.0</v>
      </c>
      <c r="BV500" s="65">
        <v>0.0</v>
      </c>
      <c r="BW500" s="90">
        <v>0.0</v>
      </c>
      <c r="BX500" s="90">
        <v>0.0</v>
      </c>
      <c r="BY500" s="90" t="str">
        <f t="array" ref="BY500">XLOOKUP(C500,'PL TOTAL D0'!$A$3:$A$1991,'PL TOTAL D0'!$C$3:$C$1991,"")</f>
        <v/>
      </c>
    </row>
    <row r="501" ht="15.75" customHeight="1">
      <c r="A501" s="50" t="s">
        <v>24</v>
      </c>
      <c r="B501" s="50" t="s">
        <v>6528</v>
      </c>
      <c r="C501" s="94" t="s">
        <v>6529</v>
      </c>
      <c r="D501" s="81" t="s">
        <v>120</v>
      </c>
      <c r="E501" s="95" t="s">
        <v>54</v>
      </c>
      <c r="F501" s="81" t="s">
        <v>1393</v>
      </c>
      <c r="G501" s="47" t="str">
        <f t="shared" si="25"/>
        <v>David</v>
      </c>
      <c r="H501" s="49" t="s">
        <v>295</v>
      </c>
      <c r="I501" s="49" t="s">
        <v>382</v>
      </c>
      <c r="J501" s="47" t="str">
        <f t="shared" si="24"/>
        <v>Não</v>
      </c>
      <c r="K501" s="97">
        <v>45056.0</v>
      </c>
      <c r="L501" s="62"/>
      <c r="M501" s="62" t="s">
        <v>61</v>
      </c>
      <c r="N501" s="98">
        <v>0.012</v>
      </c>
      <c r="O501" s="47" t="s">
        <v>66</v>
      </c>
      <c r="P501" s="99">
        <v>0.0</v>
      </c>
      <c r="Q501" s="58"/>
      <c r="R501" s="635"/>
      <c r="S501" s="62" t="s">
        <v>194</v>
      </c>
      <c r="T501" s="32" t="s">
        <v>6531</v>
      </c>
      <c r="U501" s="33">
        <v>5.562984666624E12</v>
      </c>
      <c r="V501" s="33" t="s">
        <v>6532</v>
      </c>
      <c r="W501" s="34">
        <v>34453.0</v>
      </c>
      <c r="X501" s="23" t="s">
        <v>54</v>
      </c>
      <c r="Y501" s="49" t="str">
        <f t="shared" si="22"/>
        <v>Ativo</v>
      </c>
      <c r="Z501" s="62"/>
      <c r="AA501" s="62"/>
      <c r="AB501" s="64" t="s">
        <v>269</v>
      </c>
      <c r="AC501" s="79"/>
      <c r="AD501" s="54">
        <v>45056.0</v>
      </c>
      <c r="AE501" s="77">
        <v>4.9075100012441E13</v>
      </c>
      <c r="AF501" s="79"/>
      <c r="AG501" s="79"/>
      <c r="AH501" s="79"/>
      <c r="AI501" s="79"/>
      <c r="AJ501" s="79"/>
      <c r="AK501" s="79"/>
      <c r="AL501" s="65">
        <v>445004.58</v>
      </c>
      <c r="AM501" s="65">
        <v>450031.58</v>
      </c>
      <c r="AN501" s="65">
        <v>454481.44</v>
      </c>
      <c r="AO501" s="65">
        <v>458776.15</v>
      </c>
      <c r="AP501" s="65">
        <v>462672.2</v>
      </c>
      <c r="AQ501" s="65">
        <v>466634.96</v>
      </c>
      <c r="AR501" s="65">
        <v>470661.51</v>
      </c>
      <c r="AS501" s="65">
        <v>474201.15</v>
      </c>
      <c r="AT501" s="65">
        <v>477990.33</v>
      </c>
      <c r="AU501" s="65">
        <v>482406.36</v>
      </c>
      <c r="AV501" s="65">
        <v>197.68</v>
      </c>
      <c r="AW501" s="65">
        <v>146.74</v>
      </c>
      <c r="AX501" s="65">
        <v>147.63</v>
      </c>
      <c r="AY501" s="65">
        <v>147.7</v>
      </c>
      <c r="AZ501" s="65">
        <v>148.61</v>
      </c>
      <c r="BA501" s="65">
        <v>149.55</v>
      </c>
      <c r="BB501" s="65">
        <v>150.47</v>
      </c>
      <c r="BC501" s="65">
        <v>151.35</v>
      </c>
      <c r="BD501" s="65">
        <v>152.34</v>
      </c>
      <c r="BE501" s="65">
        <v>152.39</v>
      </c>
      <c r="BF501" s="65">
        <v>153.39</v>
      </c>
      <c r="BG501" s="65">
        <v>154.51</v>
      </c>
      <c r="BH501" s="65">
        <v>155.59</v>
      </c>
      <c r="BI501" s="65">
        <v>156.64</v>
      </c>
      <c r="BJ501" s="65">
        <v>0.01</v>
      </c>
      <c r="BK501" s="65">
        <v>0.01</v>
      </c>
      <c r="BL501" s="65">
        <v>0.01</v>
      </c>
      <c r="BM501" s="65">
        <v>0.0</v>
      </c>
      <c r="BN501" s="65">
        <v>0.01</v>
      </c>
      <c r="BO501" s="65">
        <v>0.01</v>
      </c>
      <c r="BP501" s="65">
        <v>0.01</v>
      </c>
      <c r="BQ501" s="65">
        <v>0.01</v>
      </c>
      <c r="BR501" s="65">
        <v>0.01</v>
      </c>
      <c r="BS501" s="65">
        <v>0.01</v>
      </c>
      <c r="BT501" s="88">
        <v>0.01</v>
      </c>
      <c r="BU501" s="65">
        <v>0.01</v>
      </c>
      <c r="BV501" s="65">
        <v>0.01</v>
      </c>
      <c r="BW501" s="90">
        <v>0.01</v>
      </c>
      <c r="BX501" s="90">
        <v>0.01</v>
      </c>
      <c r="BY501" s="90" t="str">
        <f t="array" ref="BY501">XLOOKUP(C501,'PL TOTAL D0'!$A$3:$A$1991,'PL TOTAL D0'!$C$3:$C$1991,"")</f>
        <v/>
      </c>
    </row>
    <row r="502" ht="15.75" customHeight="1">
      <c r="A502" s="50" t="s">
        <v>24</v>
      </c>
      <c r="B502" s="191" t="s">
        <v>2104</v>
      </c>
      <c r="C502" s="94" t="s">
        <v>2539</v>
      </c>
      <c r="D502" s="81" t="s">
        <v>120</v>
      </c>
      <c r="E502" s="95" t="s">
        <v>54</v>
      </c>
      <c r="F502" s="81" t="s">
        <v>125</v>
      </c>
      <c r="G502" s="47" t="str">
        <f t="shared" si="25"/>
        <v>Marcus</v>
      </c>
      <c r="H502" s="49" t="s">
        <v>183</v>
      </c>
      <c r="I502" s="49" t="s">
        <v>66</v>
      </c>
      <c r="J502" s="47" t="str">
        <f t="shared" si="24"/>
        <v>Sim</v>
      </c>
      <c r="K502" s="97">
        <v>45183.0</v>
      </c>
      <c r="L502" s="62"/>
      <c r="M502" s="32" t="s">
        <v>61</v>
      </c>
      <c r="N502" s="56">
        <v>0.012</v>
      </c>
      <c r="O502" s="23" t="s">
        <v>66</v>
      </c>
      <c r="P502" s="57">
        <v>0.0</v>
      </c>
      <c r="Q502" s="58" t="s">
        <v>6537</v>
      </c>
      <c r="R502" s="58" t="s">
        <v>6538</v>
      </c>
      <c r="S502" s="62" t="s">
        <v>194</v>
      </c>
      <c r="T502" s="32" t="s">
        <v>2108</v>
      </c>
      <c r="U502" s="33">
        <v>6.1982468989E10</v>
      </c>
      <c r="V502" s="33" t="s">
        <v>2110</v>
      </c>
      <c r="W502" s="34">
        <v>31606.0</v>
      </c>
      <c r="X502" s="23" t="s">
        <v>199</v>
      </c>
      <c r="Y502" s="49" t="str">
        <f t="shared" si="22"/>
        <v>Ativo</v>
      </c>
      <c r="Z502" s="62"/>
      <c r="AA502" s="32" t="s">
        <v>165</v>
      </c>
      <c r="AB502" s="64" t="s">
        <v>269</v>
      </c>
      <c r="AC502" s="79"/>
      <c r="AD502" s="54">
        <v>45183.0</v>
      </c>
      <c r="AE502" s="77">
        <v>4.9075100011443E13</v>
      </c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65">
        <v>92871.91</v>
      </c>
      <c r="AR502" s="65">
        <v>128014.4</v>
      </c>
      <c r="AS502" s="65">
        <v>156010.58</v>
      </c>
      <c r="AT502" s="65">
        <v>188898.43</v>
      </c>
      <c r="AU502" s="65">
        <v>226640.08</v>
      </c>
      <c r="AV502" s="65">
        <v>261942.39</v>
      </c>
      <c r="AW502" s="65">
        <v>264749.49</v>
      </c>
      <c r="AX502" s="65">
        <v>262927.17</v>
      </c>
      <c r="AY502" s="65">
        <v>286396.5</v>
      </c>
      <c r="AZ502" s="65">
        <v>288107.6</v>
      </c>
      <c r="BA502" s="65">
        <v>292099.8</v>
      </c>
      <c r="BB502" s="65">
        <v>350411.34</v>
      </c>
      <c r="BC502" s="65">
        <v>400079.6</v>
      </c>
      <c r="BD502" s="65">
        <v>398969.68</v>
      </c>
      <c r="BE502" s="65">
        <v>402047.36</v>
      </c>
      <c r="BF502" s="65">
        <v>405295.13</v>
      </c>
      <c r="BG502" s="65">
        <v>483623.21</v>
      </c>
      <c r="BH502" s="65">
        <v>502630.09</v>
      </c>
      <c r="BI502" s="65">
        <v>541033.04</v>
      </c>
      <c r="BJ502" s="65">
        <v>1299228.54</v>
      </c>
      <c r="BK502" s="65">
        <v>1338583.73</v>
      </c>
      <c r="BL502" s="65">
        <v>1426138.51</v>
      </c>
      <c r="BM502" s="65">
        <v>1588587.17</v>
      </c>
      <c r="BN502" s="65">
        <v>1755952.0</v>
      </c>
      <c r="BO502" s="65">
        <v>1862761.03</v>
      </c>
      <c r="BP502" s="65">
        <v>1964898.0</v>
      </c>
      <c r="BQ502" s="65">
        <v>2016221.0</v>
      </c>
      <c r="BR502" s="65">
        <v>2066057.0</v>
      </c>
      <c r="BS502" s="65">
        <v>2620896.59</v>
      </c>
      <c r="BT502" s="88">
        <v>2697887.0</v>
      </c>
      <c r="BU502" s="65">
        <v>2750268.0</v>
      </c>
      <c r="BV502" s="65">
        <v>2817207.0</v>
      </c>
      <c r="BW502" s="90">
        <v>2980454.0</v>
      </c>
      <c r="BX502" s="90">
        <v>3001994.86</v>
      </c>
      <c r="BY502" s="90">
        <f t="array" ref="BY502">XLOOKUP(C502,'PL TOTAL D0'!$A$3:$A$1991,'PL TOTAL D0'!$C$3:$C$1991,"")</f>
        <v>2814617.82</v>
      </c>
    </row>
    <row r="503" ht="15.75" customHeight="1">
      <c r="A503" s="43" t="s">
        <v>24</v>
      </c>
      <c r="B503" s="43" t="s">
        <v>6542</v>
      </c>
      <c r="C503" s="94" t="s">
        <v>6543</v>
      </c>
      <c r="D503" s="30" t="s">
        <v>255</v>
      </c>
      <c r="E503" s="22" t="s">
        <v>199</v>
      </c>
      <c r="F503" s="30" t="s">
        <v>257</v>
      </c>
      <c r="G503" s="47" t="str">
        <f t="shared" si="25"/>
        <v>David</v>
      </c>
      <c r="H503" s="49" t="s">
        <v>295</v>
      </c>
      <c r="I503" s="49" t="s">
        <v>447</v>
      </c>
      <c r="J503" s="47" t="str">
        <f t="shared" si="24"/>
        <v>Não</v>
      </c>
      <c r="K503" s="54">
        <v>45370.0</v>
      </c>
      <c r="L503" s="62"/>
      <c r="M503" s="32" t="s">
        <v>201</v>
      </c>
      <c r="N503" s="56">
        <v>0.0</v>
      </c>
      <c r="O503" s="23" t="s">
        <v>66</v>
      </c>
      <c r="P503" s="57">
        <v>0.0</v>
      </c>
      <c r="Q503" s="58"/>
      <c r="R503" s="635"/>
      <c r="S503" s="32" t="s">
        <v>194</v>
      </c>
      <c r="T503" s="177" t="s">
        <v>6545</v>
      </c>
      <c r="U503" s="33">
        <v>5.561999779694E12</v>
      </c>
      <c r="V503" s="33" t="s">
        <v>6546</v>
      </c>
      <c r="W503" s="34">
        <v>31660.0</v>
      </c>
      <c r="X503" s="23" t="s">
        <v>199</v>
      </c>
      <c r="Y503" s="49" t="str">
        <f t="shared" si="22"/>
        <v>Ativo</v>
      </c>
      <c r="Z503" s="62"/>
      <c r="AA503" s="62"/>
      <c r="AB503" s="64" t="s">
        <v>269</v>
      </c>
      <c r="AC503" s="79"/>
      <c r="AD503" s="54">
        <v>45370.0</v>
      </c>
      <c r="AE503" s="77">
        <v>4.9075100013802E13</v>
      </c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65"/>
      <c r="AW503" s="65">
        <v>0.0</v>
      </c>
      <c r="AX503" s="65">
        <v>0.0</v>
      </c>
      <c r="AY503" s="65">
        <v>0.0</v>
      </c>
      <c r="AZ503" s="65">
        <v>1.1</v>
      </c>
      <c r="BA503" s="65">
        <v>1.1</v>
      </c>
      <c r="BB503" s="65">
        <v>1.1</v>
      </c>
      <c r="BC503" s="65">
        <v>1.1</v>
      </c>
      <c r="BD503" s="65">
        <v>1.1</v>
      </c>
      <c r="BE503" s="65">
        <v>1.1</v>
      </c>
      <c r="BF503" s="65">
        <v>1.1</v>
      </c>
      <c r="BG503" s="65">
        <v>1.1</v>
      </c>
      <c r="BH503" s="65">
        <v>0.0</v>
      </c>
      <c r="BI503" s="65">
        <v>0.0</v>
      </c>
      <c r="BJ503" s="65">
        <v>0.0</v>
      </c>
      <c r="BK503" s="65">
        <v>0.0</v>
      </c>
      <c r="BL503" s="65">
        <v>0.0</v>
      </c>
      <c r="BM503" s="65">
        <v>0.0</v>
      </c>
      <c r="BN503" s="65">
        <v>0.0</v>
      </c>
      <c r="BO503" s="65">
        <v>0.0</v>
      </c>
      <c r="BP503" s="65">
        <v>0.0</v>
      </c>
      <c r="BQ503" s="65">
        <v>0.0</v>
      </c>
      <c r="BR503" s="65">
        <v>0.0</v>
      </c>
      <c r="BS503" s="65">
        <v>0.0</v>
      </c>
      <c r="BT503" s="88">
        <v>0.0</v>
      </c>
      <c r="BU503" s="65">
        <v>0.0</v>
      </c>
      <c r="BV503" s="65">
        <v>0.0</v>
      </c>
      <c r="BW503" s="90">
        <v>0.0</v>
      </c>
      <c r="BX503" s="90">
        <v>0.0</v>
      </c>
      <c r="BY503" s="90" t="str">
        <f t="array" ref="BY503">XLOOKUP(C503,'PL TOTAL D0'!$A$3:$A$1991,'PL TOTAL D0'!$C$3:$C$1991,"")</f>
        <v/>
      </c>
    </row>
    <row r="504" ht="15.75" customHeight="1">
      <c r="A504" s="43" t="s">
        <v>24</v>
      </c>
      <c r="B504" s="50" t="s">
        <v>6548</v>
      </c>
      <c r="C504" s="94" t="s">
        <v>6549</v>
      </c>
      <c r="D504" s="30" t="s">
        <v>120</v>
      </c>
      <c r="E504" s="22" t="s">
        <v>199</v>
      </c>
      <c r="F504" s="30" t="s">
        <v>431</v>
      </c>
      <c r="G504" s="47" t="str">
        <f t="shared" si="25"/>
        <v>Gabriel</v>
      </c>
      <c r="H504" s="49" t="s">
        <v>295</v>
      </c>
      <c r="I504" s="49" t="s">
        <v>447</v>
      </c>
      <c r="J504" s="47" t="str">
        <f t="shared" si="24"/>
        <v>Sim</v>
      </c>
      <c r="K504" s="54">
        <v>45279.0</v>
      </c>
      <c r="L504" s="62"/>
      <c r="M504" s="32" t="s">
        <v>201</v>
      </c>
      <c r="N504" s="56">
        <v>0.003</v>
      </c>
      <c r="O504" s="23" t="s">
        <v>66</v>
      </c>
      <c r="P504" s="57">
        <v>0.0</v>
      </c>
      <c r="Q504" s="58" t="s">
        <v>4811</v>
      </c>
      <c r="R504" s="635"/>
      <c r="S504" s="32" t="s">
        <v>194</v>
      </c>
      <c r="T504" s="32" t="s">
        <v>6550</v>
      </c>
      <c r="U504" s="33">
        <v>5.531987199881E12</v>
      </c>
      <c r="V504" s="33" t="s">
        <v>6551</v>
      </c>
      <c r="W504" s="34">
        <v>36766.0</v>
      </c>
      <c r="X504" s="23" t="s">
        <v>618</v>
      </c>
      <c r="Y504" s="49" t="str">
        <f t="shared" si="22"/>
        <v>Ativo</v>
      </c>
      <c r="Z504" s="62"/>
      <c r="AA504" s="62"/>
      <c r="AB504" s="64" t="s">
        <v>269</v>
      </c>
      <c r="AC504" s="79"/>
      <c r="AD504" s="54">
        <v>45279.0</v>
      </c>
      <c r="AE504" s="77">
        <v>4.9075100013357E13</v>
      </c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65">
        <v>0.0</v>
      </c>
      <c r="AU504" s="65">
        <v>0.0</v>
      </c>
      <c r="AV504" s="65">
        <v>223.64</v>
      </c>
      <c r="AW504" s="65">
        <v>225.51</v>
      </c>
      <c r="AX504" s="65">
        <v>227.49</v>
      </c>
      <c r="AY504" s="65">
        <v>228.36</v>
      </c>
      <c r="AZ504" s="65">
        <v>230.45</v>
      </c>
      <c r="BA504" s="65">
        <v>220073.4</v>
      </c>
      <c r="BB504" s="65">
        <v>118250.0</v>
      </c>
      <c r="BC504" s="65">
        <v>118250.0</v>
      </c>
      <c r="BD504" s="65">
        <v>678356.22</v>
      </c>
      <c r="BE504" s="65">
        <v>678356.23</v>
      </c>
      <c r="BF504" s="65">
        <v>678418.39</v>
      </c>
      <c r="BG504" s="65">
        <v>700840.18</v>
      </c>
      <c r="BH504" s="65">
        <v>700723.58</v>
      </c>
      <c r="BI504" s="65">
        <v>705550.86</v>
      </c>
      <c r="BJ504" s="65">
        <v>683084.0</v>
      </c>
      <c r="BK504" s="65">
        <v>683013.6</v>
      </c>
      <c r="BL504" s="65">
        <v>682890.16</v>
      </c>
      <c r="BM504" s="65">
        <v>682803.4</v>
      </c>
      <c r="BN504" s="65">
        <v>682665.7</v>
      </c>
      <c r="BO504" s="65">
        <v>682542.35</v>
      </c>
      <c r="BP504" s="65">
        <v>682415.7</v>
      </c>
      <c r="BQ504" s="65">
        <v>683393.6</v>
      </c>
      <c r="BR504" s="65">
        <v>690581.8</v>
      </c>
      <c r="BS504" s="65">
        <v>692414.45</v>
      </c>
      <c r="BT504" s="88">
        <v>692245.4</v>
      </c>
      <c r="BU504" s="65">
        <v>692249.5</v>
      </c>
      <c r="BV504" s="65">
        <v>688750.5</v>
      </c>
      <c r="BW504" s="90">
        <v>0.68</v>
      </c>
      <c r="BX504" s="90">
        <v>0.03</v>
      </c>
      <c r="BY504" s="90" t="str">
        <f t="array" ref="BY504">XLOOKUP(C504,'PL TOTAL D0'!$A$3:$A$1991,'PL TOTAL D0'!$C$3:$C$1991,"")</f>
        <v/>
      </c>
    </row>
    <row r="505" ht="15.75" customHeight="1">
      <c r="A505" s="50" t="s">
        <v>24</v>
      </c>
      <c r="B505" s="368" t="s">
        <v>6557</v>
      </c>
      <c r="C505" s="94" t="s">
        <v>6559</v>
      </c>
      <c r="D505" s="30" t="s">
        <v>89</v>
      </c>
      <c r="E505" s="95" t="s">
        <v>91</v>
      </c>
      <c r="F505" s="81" t="s">
        <v>884</v>
      </c>
      <c r="G505" s="47" t="str">
        <f t="shared" si="25"/>
        <v>David</v>
      </c>
      <c r="H505" s="49" t="s">
        <v>224</v>
      </c>
      <c r="I505" s="49" t="s">
        <v>66</v>
      </c>
      <c r="J505" s="47" t="str">
        <f t="shared" si="24"/>
        <v>Não</v>
      </c>
      <c r="K505" s="97">
        <v>45236.0</v>
      </c>
      <c r="L505" s="55">
        <v>45393.0</v>
      </c>
      <c r="M505" s="62" t="s">
        <v>390</v>
      </c>
      <c r="N505" s="98">
        <v>0.0</v>
      </c>
      <c r="O505" s="47" t="s">
        <v>66</v>
      </c>
      <c r="P505" s="99">
        <v>0.0</v>
      </c>
      <c r="Q505" s="58"/>
      <c r="R505" s="58" t="s">
        <v>6560</v>
      </c>
      <c r="S505" s="62" t="s">
        <v>194</v>
      </c>
      <c r="T505" s="32" t="s">
        <v>6561</v>
      </c>
      <c r="U505" s="33" t="s">
        <v>268</v>
      </c>
      <c r="V505" s="33"/>
      <c r="W505" s="33" t="s">
        <v>268</v>
      </c>
      <c r="X505" s="23" t="s">
        <v>221</v>
      </c>
      <c r="Y505" s="49" t="str">
        <f t="shared" si="22"/>
        <v>Encerrado</v>
      </c>
      <c r="Z505" s="62"/>
      <c r="AA505" s="62"/>
      <c r="AB505" s="64" t="s">
        <v>269</v>
      </c>
      <c r="AC505" s="79"/>
      <c r="AD505" s="54">
        <v>45236.0</v>
      </c>
      <c r="AE505" s="77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65">
        <v>1074083.05</v>
      </c>
      <c r="AT505" s="65">
        <v>1082442.27</v>
      </c>
      <c r="AU505" s="65">
        <v>1032148.19</v>
      </c>
      <c r="AV505" s="65">
        <v>908055.54</v>
      </c>
      <c r="AW505" s="65">
        <v>862950.86</v>
      </c>
      <c r="AX505" s="65">
        <v>0.0</v>
      </c>
      <c r="AY505" s="65">
        <v>0.0</v>
      </c>
      <c r="AZ505" s="65">
        <v>0.0</v>
      </c>
      <c r="BA505" s="65">
        <v>0.0</v>
      </c>
      <c r="BB505" s="65">
        <v>0.0</v>
      </c>
      <c r="BC505" s="65">
        <v>0.0</v>
      </c>
      <c r="BD505" s="65">
        <v>0.0</v>
      </c>
      <c r="BE505" s="65">
        <v>0.0</v>
      </c>
      <c r="BF505" s="65">
        <v>0.0</v>
      </c>
      <c r="BG505" s="65">
        <v>0.0</v>
      </c>
      <c r="BH505" s="65">
        <v>0.0</v>
      </c>
      <c r="BI505" s="65">
        <v>0.0</v>
      </c>
      <c r="BJ505" s="65">
        <v>0.0</v>
      </c>
      <c r="BK505" s="65">
        <v>0.0</v>
      </c>
      <c r="BL505" s="65">
        <v>0.0</v>
      </c>
      <c r="BM505" s="65">
        <v>0.0</v>
      </c>
      <c r="BN505" s="65">
        <v>0.0</v>
      </c>
      <c r="BO505" s="65">
        <v>0.0</v>
      </c>
      <c r="BP505" s="65">
        <v>0.0</v>
      </c>
      <c r="BQ505" s="65">
        <v>0.0</v>
      </c>
      <c r="BR505" s="65">
        <v>0.0</v>
      </c>
      <c r="BS505" s="65">
        <v>0.0</v>
      </c>
      <c r="BT505" s="88">
        <v>0.0</v>
      </c>
      <c r="BU505" s="65">
        <v>0.0</v>
      </c>
      <c r="BV505" s="65">
        <v>0.0</v>
      </c>
      <c r="BW505" s="90">
        <v>0.0</v>
      </c>
      <c r="BX505" s="90">
        <v>0.0</v>
      </c>
      <c r="BY505" s="90" t="str">
        <f t="array" ref="BY505">XLOOKUP(C505,'PL TOTAL D0'!$A$3:$A$1991,'PL TOTAL D0'!$C$3:$C$1991,"")</f>
        <v/>
      </c>
    </row>
    <row r="506" ht="15.75" customHeight="1">
      <c r="A506" s="43" t="s">
        <v>24</v>
      </c>
      <c r="B506" s="167" t="s">
        <v>6564</v>
      </c>
      <c r="C506" s="94" t="s">
        <v>6565</v>
      </c>
      <c r="D506" s="30" t="s">
        <v>255</v>
      </c>
      <c r="E506" s="22" t="s">
        <v>199</v>
      </c>
      <c r="F506" s="30" t="s">
        <v>2328</v>
      </c>
      <c r="G506" s="47" t="str">
        <f t="shared" si="25"/>
        <v>David</v>
      </c>
      <c r="H506" s="49" t="s">
        <v>224</v>
      </c>
      <c r="I506" s="49" t="s">
        <v>66</v>
      </c>
      <c r="J506" s="23" t="s">
        <v>563</v>
      </c>
      <c r="K506" s="54">
        <v>45120.0</v>
      </c>
      <c r="L506" s="55">
        <v>45513.0</v>
      </c>
      <c r="M506" s="32" t="s">
        <v>1443</v>
      </c>
      <c r="N506" s="290">
        <v>0.01</v>
      </c>
      <c r="O506" s="291" t="s">
        <v>35</v>
      </c>
      <c r="P506" s="292">
        <v>0.1</v>
      </c>
      <c r="Q506" s="58"/>
      <c r="R506" s="58" t="s">
        <v>3969</v>
      </c>
      <c r="S506" s="32" t="s">
        <v>194</v>
      </c>
      <c r="T506" s="32" t="s">
        <v>6566</v>
      </c>
      <c r="U506" s="33" t="s">
        <v>268</v>
      </c>
      <c r="V506" s="33"/>
      <c r="W506" s="33" t="s">
        <v>268</v>
      </c>
      <c r="X506" s="23" t="s">
        <v>199</v>
      </c>
      <c r="Y506" s="49" t="str">
        <f t="shared" si="22"/>
        <v>Encerrado</v>
      </c>
      <c r="Z506" s="62"/>
      <c r="AA506" s="62"/>
      <c r="AB506" s="64" t="s">
        <v>269</v>
      </c>
      <c r="AC506" s="79"/>
      <c r="AD506" s="54">
        <v>45120.0</v>
      </c>
      <c r="AE506" s="77">
        <v>4.9075100009244E13</v>
      </c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65">
        <v>2954688.83</v>
      </c>
      <c r="AV506" s="65">
        <v>2988057.52</v>
      </c>
      <c r="AW506" s="65">
        <v>3023601.99</v>
      </c>
      <c r="AX506" s="65">
        <v>3016751.72</v>
      </c>
      <c r="AY506" s="65">
        <v>3331607.0</v>
      </c>
      <c r="AZ506" s="65">
        <v>3363386.0</v>
      </c>
      <c r="BA506" s="65">
        <v>0.0</v>
      </c>
      <c r="BB506" s="65">
        <v>0.0</v>
      </c>
      <c r="BC506" s="65">
        <v>0.0</v>
      </c>
      <c r="BD506" s="65">
        <v>0.0</v>
      </c>
      <c r="BE506" s="65">
        <v>0.0</v>
      </c>
      <c r="BF506" s="65">
        <v>0.0</v>
      </c>
      <c r="BG506" s="65">
        <v>0.0</v>
      </c>
      <c r="BH506" s="65">
        <v>0.0</v>
      </c>
      <c r="BI506" s="65">
        <v>0.0</v>
      </c>
      <c r="BJ506" s="65">
        <v>0.0</v>
      </c>
      <c r="BK506" s="65">
        <v>0.0</v>
      </c>
      <c r="BL506" s="65">
        <v>0.0</v>
      </c>
      <c r="BM506" s="65">
        <v>0.0</v>
      </c>
      <c r="BN506" s="65">
        <v>0.0</v>
      </c>
      <c r="BO506" s="65">
        <v>0.0</v>
      </c>
      <c r="BP506" s="65">
        <v>0.0</v>
      </c>
      <c r="BQ506" s="65">
        <v>0.0</v>
      </c>
      <c r="BR506" s="65">
        <v>0.0</v>
      </c>
      <c r="BS506" s="65">
        <v>0.0</v>
      </c>
      <c r="BT506" s="88">
        <v>0.0</v>
      </c>
      <c r="BU506" s="65">
        <v>0.0</v>
      </c>
      <c r="BV506" s="65">
        <v>0.0</v>
      </c>
      <c r="BW506" s="90">
        <v>0.0</v>
      </c>
      <c r="BX506" s="90">
        <v>0.0</v>
      </c>
      <c r="BY506" s="90" t="str">
        <f t="array" ref="BY506">XLOOKUP(C506,'PL TOTAL D0'!$A$3:$A$1991,'PL TOTAL D0'!$C$3:$C$1991,"")</f>
        <v/>
      </c>
    </row>
    <row r="507" ht="15.75" customHeight="1">
      <c r="A507" s="50" t="s">
        <v>24</v>
      </c>
      <c r="B507" s="188" t="s">
        <v>2167</v>
      </c>
      <c r="C507" s="94" t="s">
        <v>3062</v>
      </c>
      <c r="D507" s="30" t="s">
        <v>120</v>
      </c>
      <c r="E507" s="22" t="s">
        <v>199</v>
      </c>
      <c r="F507" s="30" t="s">
        <v>290</v>
      </c>
      <c r="G507" s="47" t="str">
        <f t="shared" si="25"/>
        <v>Gabriel</v>
      </c>
      <c r="H507" s="49" t="s">
        <v>295</v>
      </c>
      <c r="I507" s="49" t="s">
        <v>756</v>
      </c>
      <c r="J507" s="47" t="str">
        <f t="shared" ref="J507:J514" si="26">IF(Q507=0,"Não","Sim")</f>
        <v>Não</v>
      </c>
      <c r="K507" s="54">
        <v>45439.0</v>
      </c>
      <c r="L507" s="55"/>
      <c r="M507" s="765" t="s">
        <v>61</v>
      </c>
      <c r="N507" s="766">
        <v>0.012</v>
      </c>
      <c r="O507" s="767" t="s">
        <v>66</v>
      </c>
      <c r="P507" s="768">
        <v>0.0</v>
      </c>
      <c r="Q507" s="58"/>
      <c r="R507" s="58"/>
      <c r="S507" s="32" t="s">
        <v>194</v>
      </c>
      <c r="T507" s="32" t="s">
        <v>2176</v>
      </c>
      <c r="U507" s="33">
        <v>5.561981259813E12</v>
      </c>
      <c r="V507" s="33"/>
      <c r="W507" s="34">
        <v>25693.0</v>
      </c>
      <c r="X507" s="23" t="s">
        <v>199</v>
      </c>
      <c r="Y507" s="49" t="str">
        <f t="shared" si="22"/>
        <v>Ativo</v>
      </c>
      <c r="Z507" s="32"/>
      <c r="AA507" s="32" t="s">
        <v>47</v>
      </c>
      <c r="AB507" s="64" t="s">
        <v>269</v>
      </c>
      <c r="AC507" s="79"/>
      <c r="AD507" s="54">
        <v>45439.0</v>
      </c>
      <c r="AE507" s="77">
        <v>4.9075100014558E13</v>
      </c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65"/>
      <c r="AW507" s="65"/>
      <c r="AX507" s="65"/>
      <c r="AY507" s="65">
        <v>200017.5</v>
      </c>
      <c r="AZ507" s="65">
        <v>504224.4</v>
      </c>
      <c r="BA507" s="65">
        <v>508658.2</v>
      </c>
      <c r="BB507" s="65">
        <v>512943.72</v>
      </c>
      <c r="BC507" s="65">
        <v>516240.44</v>
      </c>
      <c r="BD507" s="65">
        <v>1250065.23</v>
      </c>
      <c r="BE507" s="65">
        <v>1260508.7</v>
      </c>
      <c r="BF507" s="65">
        <v>1411741.62</v>
      </c>
      <c r="BG507" s="65">
        <v>1425417.03</v>
      </c>
      <c r="BH507" s="65">
        <v>1487629.18</v>
      </c>
      <c r="BI507" s="65">
        <v>1504307.36</v>
      </c>
      <c r="BJ507" s="65">
        <v>1521101.2</v>
      </c>
      <c r="BK507" s="65">
        <v>1536282.32</v>
      </c>
      <c r="BL507" s="65">
        <v>1541932.37</v>
      </c>
      <c r="BM507" s="65">
        <v>1560073.64</v>
      </c>
      <c r="BN507" s="65">
        <v>1208457.0</v>
      </c>
      <c r="BO507" s="65">
        <v>1220820.28</v>
      </c>
      <c r="BP507" s="65">
        <v>1137481.0</v>
      </c>
      <c r="BQ507" s="65">
        <v>664695.4</v>
      </c>
      <c r="BR507" s="65">
        <v>287993.1</v>
      </c>
      <c r="BS507" s="65">
        <v>291149.51</v>
      </c>
      <c r="BT507" s="88">
        <v>294112.5</v>
      </c>
      <c r="BU507" s="65">
        <v>297971.2</v>
      </c>
      <c r="BV507" s="65">
        <v>302006.3</v>
      </c>
      <c r="BW507" s="90">
        <v>306633.4</v>
      </c>
      <c r="BX507" s="90">
        <v>310535.31</v>
      </c>
      <c r="BY507" s="90">
        <f t="array" ref="BY507">XLOOKUP(C507,'PL TOTAL D0'!$A$3:$A$1991,'PL TOTAL D0'!$C$3:$C$1991,"")</f>
        <v>304529.98</v>
      </c>
    </row>
    <row r="508" ht="15.75" customHeight="1">
      <c r="A508" s="50" t="s">
        <v>24</v>
      </c>
      <c r="B508" s="50" t="s">
        <v>1658</v>
      </c>
      <c r="C508" s="94" t="s">
        <v>6579</v>
      </c>
      <c r="D508" s="81" t="s">
        <v>120</v>
      </c>
      <c r="E508" s="95" t="s">
        <v>475</v>
      </c>
      <c r="F508" s="81" t="s">
        <v>1658</v>
      </c>
      <c r="G508" s="47" t="str">
        <f t="shared" si="25"/>
        <v>David</v>
      </c>
      <c r="H508" s="49" t="s">
        <v>295</v>
      </c>
      <c r="I508" s="49" t="s">
        <v>382</v>
      </c>
      <c r="J508" s="47" t="str">
        <f t="shared" si="26"/>
        <v>Não</v>
      </c>
      <c r="K508" s="97">
        <v>45056.0</v>
      </c>
      <c r="L508" s="189"/>
      <c r="M508" s="62" t="s">
        <v>209</v>
      </c>
      <c r="N508" s="98">
        <v>0.012</v>
      </c>
      <c r="O508" s="47" t="s">
        <v>35</v>
      </c>
      <c r="P508" s="99">
        <v>0.1</v>
      </c>
      <c r="Q508" s="58"/>
      <c r="R508" s="70"/>
      <c r="S508" s="62" t="s">
        <v>194</v>
      </c>
      <c r="T508" s="32" t="s">
        <v>6580</v>
      </c>
      <c r="U508" s="33">
        <v>5.511987921487E12</v>
      </c>
      <c r="V508" s="33" t="s">
        <v>3838</v>
      </c>
      <c r="W508" s="34">
        <v>25577.0</v>
      </c>
      <c r="X508" s="23" t="s">
        <v>475</v>
      </c>
      <c r="Y508" s="49" t="str">
        <f t="shared" si="22"/>
        <v>Ativo</v>
      </c>
      <c r="Z508" s="62"/>
      <c r="AA508" s="62"/>
      <c r="AB508" s="64" t="s">
        <v>269</v>
      </c>
      <c r="AC508" s="79"/>
      <c r="AD508" s="54">
        <v>45056.0</v>
      </c>
      <c r="AE508" s="77">
        <v>4.9075100012466E13</v>
      </c>
      <c r="AF508" s="79"/>
      <c r="AG508" s="79"/>
      <c r="AH508" s="79"/>
      <c r="AI508" s="65">
        <v>0.01</v>
      </c>
      <c r="AJ508" s="65">
        <v>0.01</v>
      </c>
      <c r="AK508" s="65">
        <v>0.01</v>
      </c>
      <c r="AL508" s="65">
        <v>0.01</v>
      </c>
      <c r="AM508" s="65">
        <v>0.01</v>
      </c>
      <c r="AN508" s="65">
        <v>0.01</v>
      </c>
      <c r="AO508" s="65">
        <v>0.01</v>
      </c>
      <c r="AP508" s="65">
        <v>0.01</v>
      </c>
      <c r="AQ508" s="65">
        <v>0.01</v>
      </c>
      <c r="AR508" s="65">
        <v>0.01</v>
      </c>
      <c r="AS508" s="65">
        <v>0.01</v>
      </c>
      <c r="AT508" s="65">
        <v>0.01</v>
      </c>
      <c r="AU508" s="65">
        <v>0.01</v>
      </c>
      <c r="AV508" s="65">
        <v>0.01</v>
      </c>
      <c r="AW508" s="65">
        <v>0.01</v>
      </c>
      <c r="AX508" s="65">
        <v>0.01</v>
      </c>
      <c r="AY508" s="65">
        <v>0.01</v>
      </c>
      <c r="AZ508" s="65">
        <v>0.01</v>
      </c>
      <c r="BA508" s="65">
        <v>0.01</v>
      </c>
      <c r="BB508" s="65">
        <v>0.01</v>
      </c>
      <c r="BC508" s="65">
        <v>0.01</v>
      </c>
      <c r="BD508" s="65">
        <v>0.01</v>
      </c>
      <c r="BE508" s="65">
        <v>0.01</v>
      </c>
      <c r="BF508" s="65">
        <v>0.01</v>
      </c>
      <c r="BG508" s="65">
        <v>0.01</v>
      </c>
      <c r="BH508" s="65">
        <v>0.01</v>
      </c>
      <c r="BI508" s="65">
        <v>0.01</v>
      </c>
      <c r="BJ508" s="65">
        <v>0.0</v>
      </c>
      <c r="BK508" s="65">
        <v>0.0</v>
      </c>
      <c r="BL508" s="65">
        <v>0.0</v>
      </c>
      <c r="BM508" s="65">
        <v>0.0</v>
      </c>
      <c r="BN508" s="65">
        <v>0.0</v>
      </c>
      <c r="BO508" s="65">
        <v>0.0</v>
      </c>
      <c r="BP508" s="65">
        <v>0.0</v>
      </c>
      <c r="BQ508" s="65">
        <v>0.0</v>
      </c>
      <c r="BR508" s="65">
        <v>0.0</v>
      </c>
      <c r="BS508" s="65">
        <v>0.0</v>
      </c>
      <c r="BT508" s="88">
        <v>0.0</v>
      </c>
      <c r="BU508" s="65">
        <v>0.0</v>
      </c>
      <c r="BV508" s="65">
        <v>0.0</v>
      </c>
      <c r="BW508" s="90">
        <v>0.0</v>
      </c>
      <c r="BX508" s="90">
        <v>0.0</v>
      </c>
      <c r="BY508" s="90" t="str">
        <f t="array" ref="BY508">XLOOKUP(C508,'PL TOTAL D0'!$A$3:$A$1991,'PL TOTAL D0'!$C$3:$C$1991,"")</f>
        <v/>
      </c>
    </row>
    <row r="509" ht="15.75" customHeight="1">
      <c r="A509" s="50" t="s">
        <v>24</v>
      </c>
      <c r="B509" s="50" t="s">
        <v>6587</v>
      </c>
      <c r="C509" s="94" t="s">
        <v>6588</v>
      </c>
      <c r="D509" s="81" t="s">
        <v>120</v>
      </c>
      <c r="E509" s="95" t="s">
        <v>475</v>
      </c>
      <c r="F509" s="81" t="s">
        <v>1658</v>
      </c>
      <c r="G509" s="47" t="str">
        <f t="shared" si="25"/>
        <v>David</v>
      </c>
      <c r="H509" s="49" t="s">
        <v>295</v>
      </c>
      <c r="I509" s="74" t="s">
        <v>382</v>
      </c>
      <c r="J509" s="47" t="str">
        <f t="shared" si="26"/>
        <v>Não</v>
      </c>
      <c r="K509" s="97">
        <v>45162.0</v>
      </c>
      <c r="L509" s="189"/>
      <c r="M509" s="62" t="s">
        <v>209</v>
      </c>
      <c r="N509" s="98">
        <v>0.012</v>
      </c>
      <c r="O509" s="47" t="s">
        <v>35</v>
      </c>
      <c r="P509" s="99">
        <v>0.1</v>
      </c>
      <c r="Q509" s="58"/>
      <c r="R509" s="70"/>
      <c r="S509" s="62" t="s">
        <v>194</v>
      </c>
      <c r="T509" s="32" t="s">
        <v>6580</v>
      </c>
      <c r="U509" s="33">
        <v>5.511987921487E12</v>
      </c>
      <c r="V509" s="33" t="s">
        <v>3838</v>
      </c>
      <c r="W509" s="34">
        <v>25577.0</v>
      </c>
      <c r="X509" s="23" t="s">
        <v>475</v>
      </c>
      <c r="Y509" s="49" t="str">
        <f t="shared" si="22"/>
        <v>Inativo</v>
      </c>
      <c r="Z509" s="62"/>
      <c r="AA509" s="62"/>
      <c r="AB509" s="64" t="s">
        <v>269</v>
      </c>
      <c r="AC509" s="79"/>
      <c r="AD509" s="54">
        <v>45162.0</v>
      </c>
      <c r="AE509" s="77">
        <v>4.9075100011451E13</v>
      </c>
      <c r="AF509" s="79"/>
      <c r="AG509" s="79"/>
      <c r="AH509" s="79"/>
      <c r="AI509" s="65">
        <v>0.0</v>
      </c>
      <c r="AJ509" s="65">
        <v>0.0</v>
      </c>
      <c r="AK509" s="65">
        <v>0.0</v>
      </c>
      <c r="AL509" s="65">
        <v>0.0</v>
      </c>
      <c r="AM509" s="65">
        <v>0.0</v>
      </c>
      <c r="AN509" s="65">
        <v>0.0</v>
      </c>
      <c r="AO509" s="65">
        <v>0.0</v>
      </c>
      <c r="AP509" s="65">
        <v>0.0</v>
      </c>
      <c r="AQ509" s="65">
        <v>0.0</v>
      </c>
      <c r="AR509" s="65">
        <v>0.0</v>
      </c>
      <c r="AS509" s="65">
        <v>0.0</v>
      </c>
      <c r="AT509" s="65">
        <v>0.0</v>
      </c>
      <c r="AU509" s="65">
        <v>0.0</v>
      </c>
      <c r="AV509" s="65">
        <v>0.0</v>
      </c>
      <c r="AW509" s="65">
        <v>0.0</v>
      </c>
      <c r="AX509" s="65">
        <v>0.0</v>
      </c>
      <c r="AY509" s="65">
        <v>0.0</v>
      </c>
      <c r="AZ509" s="65">
        <v>0.0</v>
      </c>
      <c r="BA509" s="65">
        <v>0.0</v>
      </c>
      <c r="BB509" s="65">
        <v>0.0</v>
      </c>
      <c r="BC509" s="65">
        <v>0.0</v>
      </c>
      <c r="BD509" s="65">
        <v>0.0</v>
      </c>
      <c r="BE509" s="65">
        <v>0.0</v>
      </c>
      <c r="BF509" s="65">
        <v>0.0</v>
      </c>
      <c r="BG509" s="65">
        <v>0.0</v>
      </c>
      <c r="BH509" s="65">
        <v>0.0</v>
      </c>
      <c r="BI509" s="65">
        <v>0.0</v>
      </c>
      <c r="BJ509" s="65">
        <v>0.0</v>
      </c>
      <c r="BK509" s="65">
        <v>0.0</v>
      </c>
      <c r="BL509" s="65">
        <v>0.0</v>
      </c>
      <c r="BM509" s="65">
        <v>0.0</v>
      </c>
      <c r="BN509" s="65">
        <v>0.0</v>
      </c>
      <c r="BO509" s="65">
        <v>0.0</v>
      </c>
      <c r="BP509" s="65">
        <v>0.0</v>
      </c>
      <c r="BQ509" s="65">
        <v>0.0</v>
      </c>
      <c r="BR509" s="65">
        <v>0.0</v>
      </c>
      <c r="BS509" s="65">
        <v>0.0</v>
      </c>
      <c r="BT509" s="88">
        <v>0.0</v>
      </c>
      <c r="BU509" s="65">
        <v>0.0</v>
      </c>
      <c r="BV509" s="65">
        <v>0.0</v>
      </c>
      <c r="BW509" s="90">
        <v>0.0</v>
      </c>
      <c r="BX509" s="90">
        <v>0.0</v>
      </c>
      <c r="BY509" s="90" t="str">
        <f t="array" ref="BY509">XLOOKUP(C509,'PL TOTAL D0'!$A$3:$A$1991,'PL TOTAL D0'!$C$3:$C$1991,"")</f>
        <v/>
      </c>
    </row>
    <row r="510" ht="15.75" customHeight="1">
      <c r="A510" s="50" t="s">
        <v>24</v>
      </c>
      <c r="B510" s="176" t="s">
        <v>5415</v>
      </c>
      <c r="C510" s="94" t="s">
        <v>3083</v>
      </c>
      <c r="D510" s="30" t="s">
        <v>89</v>
      </c>
      <c r="E510" s="95" t="s">
        <v>91</v>
      </c>
      <c r="F510" s="81" t="s">
        <v>521</v>
      </c>
      <c r="G510" s="47" t="str">
        <f t="shared" si="25"/>
        <v>Gabriel</v>
      </c>
      <c r="H510" s="74" t="s">
        <v>183</v>
      </c>
      <c r="I510" s="74" t="s">
        <v>66</v>
      </c>
      <c r="J510" s="47" t="str">
        <f t="shared" si="26"/>
        <v>Não</v>
      </c>
      <c r="K510" s="97">
        <v>45056.0</v>
      </c>
      <c r="L510" s="189"/>
      <c r="M510" s="62" t="s">
        <v>209</v>
      </c>
      <c r="N510" s="98">
        <v>0.015</v>
      </c>
      <c r="O510" s="47" t="s">
        <v>35</v>
      </c>
      <c r="P510" s="99">
        <v>0.1</v>
      </c>
      <c r="Q510" s="58"/>
      <c r="R510" s="58" t="s">
        <v>6594</v>
      </c>
      <c r="S510" s="62" t="s">
        <v>194</v>
      </c>
      <c r="T510" s="32" t="s">
        <v>5421</v>
      </c>
      <c r="U510" s="33">
        <v>5.544999055557E12</v>
      </c>
      <c r="V510" s="33" t="s">
        <v>6596</v>
      </c>
      <c r="W510" s="34">
        <v>33180.0</v>
      </c>
      <c r="X510" s="23" t="s">
        <v>221</v>
      </c>
      <c r="Y510" s="49" t="str">
        <f t="shared" si="22"/>
        <v>Ativo</v>
      </c>
      <c r="Z510" s="62"/>
      <c r="AA510" s="62"/>
      <c r="AB510" s="64" t="s">
        <v>269</v>
      </c>
      <c r="AC510" s="79"/>
      <c r="AD510" s="54">
        <v>45056.0</v>
      </c>
      <c r="AE510" s="77">
        <v>4.9075100012474E13</v>
      </c>
      <c r="AF510" s="79"/>
      <c r="AG510" s="79"/>
      <c r="AH510" s="79"/>
      <c r="AI510" s="79"/>
      <c r="AJ510" s="79"/>
      <c r="AK510" s="65">
        <v>0.0</v>
      </c>
      <c r="AL510" s="65">
        <v>0.0</v>
      </c>
      <c r="AM510" s="65">
        <v>0.0</v>
      </c>
      <c r="AN510" s="65">
        <v>27481.85</v>
      </c>
      <c r="AO510" s="65">
        <v>28721.07</v>
      </c>
      <c r="AP510" s="65">
        <v>27772.17</v>
      </c>
      <c r="AQ510" s="65">
        <v>27830.25</v>
      </c>
      <c r="AR510" s="65">
        <v>106670.24</v>
      </c>
      <c r="AS510" s="65">
        <v>109135.89</v>
      </c>
      <c r="AT510" s="65">
        <v>111233.69</v>
      </c>
      <c r="AU510" s="65">
        <v>109627.24</v>
      </c>
      <c r="AV510" s="65">
        <v>110509.7</v>
      </c>
      <c r="AW510" s="65">
        <v>140287.07</v>
      </c>
      <c r="AX510" s="65">
        <v>139762.28</v>
      </c>
      <c r="AY510" s="65">
        <v>139250.8</v>
      </c>
      <c r="AZ510" s="65">
        <v>140130.7</v>
      </c>
      <c r="BA510" s="65">
        <v>142118.6</v>
      </c>
      <c r="BB510" s="65">
        <v>143851.84</v>
      </c>
      <c r="BC510" s="65">
        <v>143731.01</v>
      </c>
      <c r="BD510" s="65">
        <v>142378.84</v>
      </c>
      <c r="BE510" s="65">
        <v>141318.31</v>
      </c>
      <c r="BF510" s="65">
        <v>141413.62</v>
      </c>
      <c r="BG510" s="65">
        <v>143358.41</v>
      </c>
      <c r="BH510" s="65">
        <v>144672.38</v>
      </c>
      <c r="BI510" s="65">
        <v>145202.25</v>
      </c>
      <c r="BJ510" s="65">
        <v>145852.35</v>
      </c>
      <c r="BK510" s="65">
        <v>149132.48</v>
      </c>
      <c r="BL510" s="65">
        <v>150572.71</v>
      </c>
      <c r="BM510" s="65">
        <v>151662.33</v>
      </c>
      <c r="BN510" s="65">
        <v>153189.1</v>
      </c>
      <c r="BO510" s="65">
        <v>155157.28</v>
      </c>
      <c r="BP510" s="65">
        <v>156463.6</v>
      </c>
      <c r="BQ510" s="65">
        <v>159047.7</v>
      </c>
      <c r="BR510" s="65">
        <v>251278.5</v>
      </c>
      <c r="BS510" s="65">
        <v>255310.35</v>
      </c>
      <c r="BT510" s="88">
        <v>257477.8</v>
      </c>
      <c r="BU510" s="65">
        <v>260102.2</v>
      </c>
      <c r="BV510" s="65">
        <v>261947.1</v>
      </c>
      <c r="BW510" s="90">
        <v>260998.8</v>
      </c>
      <c r="BX510" s="90">
        <v>270287.54</v>
      </c>
      <c r="BY510" s="90">
        <f t="array" ref="BY510">XLOOKUP(C510,'PL TOTAL D0'!$A$3:$A$1991,'PL TOTAL D0'!$C$3:$C$1991,"")</f>
        <v>266979.04</v>
      </c>
    </row>
    <row r="511" ht="15.75" customHeight="1">
      <c r="A511" s="50" t="s">
        <v>24</v>
      </c>
      <c r="B511" s="43" t="s">
        <v>6600</v>
      </c>
      <c r="C511" s="94" t="s">
        <v>3111</v>
      </c>
      <c r="D511" s="30" t="s">
        <v>89</v>
      </c>
      <c r="E511" s="95" t="s">
        <v>91</v>
      </c>
      <c r="F511" s="81" t="s">
        <v>521</v>
      </c>
      <c r="G511" s="47" t="str">
        <f t="shared" si="25"/>
        <v>Gabriel</v>
      </c>
      <c r="H511" s="49" t="s">
        <v>183</v>
      </c>
      <c r="I511" s="49" t="s">
        <v>66</v>
      </c>
      <c r="J511" s="47" t="str">
        <f t="shared" si="26"/>
        <v>Não</v>
      </c>
      <c r="K511" s="97">
        <v>45000.0</v>
      </c>
      <c r="L511" s="62"/>
      <c r="M511" s="62" t="s">
        <v>61</v>
      </c>
      <c r="N511" s="98">
        <v>0.012</v>
      </c>
      <c r="O511" s="47" t="s">
        <v>66</v>
      </c>
      <c r="P511" s="99">
        <v>0.0</v>
      </c>
      <c r="Q511" s="58"/>
      <c r="R511" s="70"/>
      <c r="S511" s="62" t="s">
        <v>194</v>
      </c>
      <c r="T511" s="21" t="s">
        <v>6580</v>
      </c>
      <c r="U511" s="33">
        <v>5.544999055557E12</v>
      </c>
      <c r="V511" s="33" t="s">
        <v>6596</v>
      </c>
      <c r="W511" s="34">
        <v>33180.0</v>
      </c>
      <c r="X511" s="23" t="s">
        <v>221</v>
      </c>
      <c r="Y511" s="49" t="str">
        <f t="shared" si="22"/>
        <v>Ativo</v>
      </c>
      <c r="Z511" s="62"/>
      <c r="AA511" s="62"/>
      <c r="AB511" s="64" t="s">
        <v>269</v>
      </c>
      <c r="AC511" s="79"/>
      <c r="AD511" s="54">
        <v>45000.0</v>
      </c>
      <c r="AE511" s="77">
        <v>4.9075100008663E13</v>
      </c>
      <c r="AF511" s="79"/>
      <c r="AG511" s="79"/>
      <c r="AH511" s="79"/>
      <c r="AI511" s="79"/>
      <c r="AJ511" s="79"/>
      <c r="AK511" s="65">
        <v>1204769.98</v>
      </c>
      <c r="AL511" s="65">
        <v>1213660.87</v>
      </c>
      <c r="AM511" s="65">
        <v>1226801.03</v>
      </c>
      <c r="AN511" s="65">
        <v>984540.31</v>
      </c>
      <c r="AO511" s="65">
        <v>993536.81</v>
      </c>
      <c r="AP511" s="65">
        <v>1004120.36</v>
      </c>
      <c r="AQ511" s="65">
        <v>1011117.33</v>
      </c>
      <c r="AR511" s="65">
        <v>1020081.73</v>
      </c>
      <c r="AS511" s="65">
        <v>399196.85</v>
      </c>
      <c r="AT511" s="65">
        <v>189.08</v>
      </c>
      <c r="AU511" s="65">
        <v>0.0</v>
      </c>
      <c r="AV511" s="65">
        <v>81.8</v>
      </c>
      <c r="AW511" s="65">
        <v>0.0</v>
      </c>
      <c r="AX511" s="65">
        <v>0.0</v>
      </c>
      <c r="AY511" s="65">
        <v>0.0</v>
      </c>
      <c r="AZ511" s="65">
        <v>0.0</v>
      </c>
      <c r="BA511" s="65">
        <v>0.0</v>
      </c>
      <c r="BB511" s="65">
        <v>0.0</v>
      </c>
      <c r="BC511" s="65">
        <v>0.0</v>
      </c>
      <c r="BD511" s="65">
        <v>0.0</v>
      </c>
      <c r="BE511" s="65">
        <v>0.0</v>
      </c>
      <c r="BF511" s="65">
        <v>0.0</v>
      </c>
      <c r="BG511" s="65">
        <v>0.0</v>
      </c>
      <c r="BH511" s="65">
        <v>99524.25</v>
      </c>
      <c r="BI511" s="65">
        <v>100643.74</v>
      </c>
      <c r="BJ511" s="65">
        <v>101763.12</v>
      </c>
      <c r="BK511" s="65">
        <v>120783.66</v>
      </c>
      <c r="BL511" s="65">
        <v>373696.79</v>
      </c>
      <c r="BM511" s="65">
        <v>378046.3</v>
      </c>
      <c r="BN511" s="65">
        <v>381833.7</v>
      </c>
      <c r="BO511" s="65">
        <v>385330.81</v>
      </c>
      <c r="BP511" s="65">
        <v>389822.7</v>
      </c>
      <c r="BQ511" s="65">
        <v>392846.6</v>
      </c>
      <c r="BR511" s="65">
        <v>396675.6</v>
      </c>
      <c r="BS511" s="65">
        <v>400960.03</v>
      </c>
      <c r="BT511" s="88">
        <v>402561.2</v>
      </c>
      <c r="BU511" s="65">
        <v>407425.1</v>
      </c>
      <c r="BV511" s="65">
        <v>412110.9</v>
      </c>
      <c r="BW511" s="90">
        <v>416570.9</v>
      </c>
      <c r="BX511" s="90">
        <v>324227.39</v>
      </c>
      <c r="BY511" s="90">
        <f t="array" ref="BY511">XLOOKUP(C511,'PL TOTAL D0'!$A$3:$A$1991,'PL TOTAL D0'!$C$3:$C$1991,"")</f>
        <v>231489.03</v>
      </c>
    </row>
    <row r="512" ht="15.75" customHeight="1">
      <c r="A512" s="50" t="s">
        <v>24</v>
      </c>
      <c r="B512" s="43" t="s">
        <v>6611</v>
      </c>
      <c r="C512" s="53" t="s">
        <v>3103</v>
      </c>
      <c r="D512" s="30" t="s">
        <v>120</v>
      </c>
      <c r="E512" s="22" t="s">
        <v>397</v>
      </c>
      <c r="F512" s="30" t="s">
        <v>6612</v>
      </c>
      <c r="G512" s="47" t="str">
        <f t="shared" si="25"/>
        <v>David</v>
      </c>
      <c r="H512" s="49" t="s">
        <v>183</v>
      </c>
      <c r="I512" s="49" t="s">
        <v>66</v>
      </c>
      <c r="J512" s="47" t="str">
        <f t="shared" si="26"/>
        <v>Não</v>
      </c>
      <c r="K512" s="54">
        <v>46182.0</v>
      </c>
      <c r="L512" s="62"/>
      <c r="M512" s="32" t="s">
        <v>1443</v>
      </c>
      <c r="N512" s="56">
        <v>0.012</v>
      </c>
      <c r="O512" s="23" t="s">
        <v>35</v>
      </c>
      <c r="P512" s="57">
        <v>0.1</v>
      </c>
      <c r="Q512" s="58"/>
      <c r="R512" s="70"/>
      <c r="S512" s="62" t="s">
        <v>194</v>
      </c>
      <c r="T512" s="21" t="s">
        <v>6615</v>
      </c>
      <c r="U512" s="33" t="s">
        <v>6616</v>
      </c>
      <c r="V512" s="33" t="s">
        <v>6617</v>
      </c>
      <c r="W512" s="34">
        <v>35206.0</v>
      </c>
      <c r="X512" s="23" t="s">
        <v>221</v>
      </c>
      <c r="Y512" s="49" t="str">
        <f t="shared" si="22"/>
        <v>Ativo</v>
      </c>
      <c r="Z512" s="62"/>
      <c r="AA512" s="32" t="s">
        <v>47</v>
      </c>
      <c r="AB512" s="64"/>
      <c r="AC512" s="79"/>
      <c r="AD512" s="54">
        <v>46203.0</v>
      </c>
      <c r="AE512" s="77"/>
      <c r="AF512" s="79"/>
      <c r="AG512" s="79"/>
      <c r="AH512" s="79"/>
      <c r="AI512" s="79"/>
      <c r="AJ512" s="79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  <c r="BE512" s="65"/>
      <c r="BF512" s="65"/>
      <c r="BG512" s="65"/>
      <c r="BH512" s="65"/>
      <c r="BI512" s="65"/>
      <c r="BJ512" s="65"/>
      <c r="BK512" s="65"/>
      <c r="BL512" s="65"/>
      <c r="BM512" s="65"/>
      <c r="BN512" s="65"/>
      <c r="BO512" s="65"/>
      <c r="BP512" s="65"/>
      <c r="BQ512" s="65"/>
      <c r="BR512" s="65"/>
      <c r="BS512" s="65"/>
      <c r="BT512" s="88"/>
      <c r="BU512" s="65"/>
      <c r="BV512" s="65"/>
      <c r="BW512" s="90"/>
      <c r="BX512" s="90">
        <v>241231.26</v>
      </c>
      <c r="BY512" s="90">
        <f t="array" ref="BY512">XLOOKUP(C512,'PL TOTAL D0'!$A$3:$A$1991,'PL TOTAL D0'!$C$3:$C$1991,"")</f>
        <v>240252.89</v>
      </c>
    </row>
    <row r="513" ht="15.75" customHeight="1">
      <c r="A513" s="50" t="s">
        <v>24</v>
      </c>
      <c r="B513" s="50" t="s">
        <v>5445</v>
      </c>
      <c r="C513" s="94" t="s">
        <v>2917</v>
      </c>
      <c r="D513" s="30" t="s">
        <v>89</v>
      </c>
      <c r="E513" s="95" t="s">
        <v>91</v>
      </c>
      <c r="F513" s="81" t="s">
        <v>521</v>
      </c>
      <c r="G513" s="47" t="str">
        <f t="shared" si="25"/>
        <v>Gabriel</v>
      </c>
      <c r="H513" s="49" t="s">
        <v>183</v>
      </c>
      <c r="I513" s="49" t="s">
        <v>66</v>
      </c>
      <c r="J513" s="47" t="str">
        <f t="shared" si="26"/>
        <v>Não</v>
      </c>
      <c r="K513" s="97">
        <v>45065.0</v>
      </c>
      <c r="L513" s="62"/>
      <c r="M513" s="32" t="s">
        <v>1349</v>
      </c>
      <c r="N513" s="98">
        <v>0.012</v>
      </c>
      <c r="O513" s="47" t="s">
        <v>66</v>
      </c>
      <c r="P513" s="99">
        <v>0.0</v>
      </c>
      <c r="Q513" s="58"/>
      <c r="R513" s="58" t="s">
        <v>6622</v>
      </c>
      <c r="S513" s="62" t="s">
        <v>194</v>
      </c>
      <c r="T513" s="32" t="s">
        <v>5446</v>
      </c>
      <c r="U513" s="33">
        <v>5.543999956683E12</v>
      </c>
      <c r="V513" s="33" t="s">
        <v>6623</v>
      </c>
      <c r="W513" s="48">
        <v>19311.0</v>
      </c>
      <c r="X513" s="23" t="s">
        <v>221</v>
      </c>
      <c r="Y513" s="49" t="str">
        <f t="shared" si="22"/>
        <v>Ativo</v>
      </c>
      <c r="Z513" s="62"/>
      <c r="AA513" s="32" t="s">
        <v>47</v>
      </c>
      <c r="AB513" s="64" t="s">
        <v>269</v>
      </c>
      <c r="AC513" s="79"/>
      <c r="AD513" s="54">
        <v>45065.0</v>
      </c>
      <c r="AE513" s="77">
        <v>4.907510000845E13</v>
      </c>
      <c r="AF513" s="79"/>
      <c r="AG513" s="79"/>
      <c r="AH513" s="79"/>
      <c r="AI513" s="79"/>
      <c r="AJ513" s="79"/>
      <c r="AK513" s="65">
        <v>0.0</v>
      </c>
      <c r="AL513" s="65">
        <v>0.0</v>
      </c>
      <c r="AM513" s="65">
        <v>363226.57</v>
      </c>
      <c r="AN513" s="65">
        <v>366392.92</v>
      </c>
      <c r="AO513" s="65">
        <v>368988.46</v>
      </c>
      <c r="AP513" s="65">
        <v>371859.91</v>
      </c>
      <c r="AQ513" s="65">
        <v>373297.73</v>
      </c>
      <c r="AR513" s="65">
        <v>373865.0</v>
      </c>
      <c r="AS513" s="65">
        <v>380177.08</v>
      </c>
      <c r="AT513" s="65">
        <v>385489.77</v>
      </c>
      <c r="AU513" s="65">
        <v>384570.08</v>
      </c>
      <c r="AV513" s="65">
        <v>386416.47</v>
      </c>
      <c r="AW513" s="65">
        <v>390387.65</v>
      </c>
      <c r="AX513" s="65">
        <v>389403.06</v>
      </c>
      <c r="AY513" s="65">
        <v>387464.3</v>
      </c>
      <c r="AZ513" s="65">
        <v>390000.8</v>
      </c>
      <c r="BA513" s="65">
        <v>394137.0</v>
      </c>
      <c r="BB513" s="65">
        <v>397539.5</v>
      </c>
      <c r="BC513" s="65">
        <v>397651.12</v>
      </c>
      <c r="BD513" s="65">
        <v>397660.83</v>
      </c>
      <c r="BE513" s="65">
        <v>397608.78</v>
      </c>
      <c r="BF513" s="65">
        <v>399372.06</v>
      </c>
      <c r="BG513" s="65">
        <v>402776.69</v>
      </c>
      <c r="BH513" s="65">
        <v>405942.59</v>
      </c>
      <c r="BI513" s="65">
        <v>409542.05</v>
      </c>
      <c r="BJ513" s="65">
        <v>413655.59</v>
      </c>
      <c r="BK513" s="65">
        <v>417200.29</v>
      </c>
      <c r="BL513" s="65">
        <v>420722.07</v>
      </c>
      <c r="BM513" s="65">
        <v>425240.25</v>
      </c>
      <c r="BN513" s="65">
        <v>429300.5</v>
      </c>
      <c r="BO513" s="65">
        <v>433051.86</v>
      </c>
      <c r="BP513" s="65">
        <v>437900.0</v>
      </c>
      <c r="BQ513" s="65">
        <v>441587.2</v>
      </c>
      <c r="BR513" s="65">
        <v>445655.5</v>
      </c>
      <c r="BS513" s="65">
        <v>449864.81</v>
      </c>
      <c r="BT513" s="88">
        <v>453514.0</v>
      </c>
      <c r="BU513" s="65">
        <v>458894.7</v>
      </c>
      <c r="BV513" s="65">
        <v>462342.0</v>
      </c>
      <c r="BW513" s="90">
        <v>467299.5</v>
      </c>
      <c r="BX513" s="90">
        <v>471617.05</v>
      </c>
      <c r="BY513" s="90">
        <f t="array" ref="BY513">XLOOKUP(C513,'PL TOTAL D0'!$A$3:$A$1991,'PL TOTAL D0'!$C$3:$C$1991,"")</f>
        <v>476900.59</v>
      </c>
    </row>
    <row r="514" ht="15.75" customHeight="1">
      <c r="A514" s="50" t="s">
        <v>24</v>
      </c>
      <c r="B514" s="188" t="s">
        <v>5241</v>
      </c>
      <c r="C514" s="94" t="s">
        <v>6628</v>
      </c>
      <c r="D514" s="30" t="s">
        <v>120</v>
      </c>
      <c r="E514" s="22" t="s">
        <v>199</v>
      </c>
      <c r="F514" s="30" t="s">
        <v>212</v>
      </c>
      <c r="G514" s="47" t="str">
        <f t="shared" si="25"/>
        <v>David</v>
      </c>
      <c r="H514" s="49" t="s">
        <v>295</v>
      </c>
      <c r="I514" s="49" t="s">
        <v>382</v>
      </c>
      <c r="J514" s="47" t="str">
        <f t="shared" si="26"/>
        <v>Não</v>
      </c>
      <c r="K514" s="54">
        <v>45385.0</v>
      </c>
      <c r="L514" s="189"/>
      <c r="M514" s="32" t="s">
        <v>61</v>
      </c>
      <c r="N514" s="56">
        <v>0.0</v>
      </c>
      <c r="O514" s="23" t="s">
        <v>66</v>
      </c>
      <c r="P514" s="57">
        <v>0.0</v>
      </c>
      <c r="Q514" s="58"/>
      <c r="R514" s="58" t="s">
        <v>6630</v>
      </c>
      <c r="S514" s="32" t="s">
        <v>194</v>
      </c>
      <c r="T514" s="22" t="s">
        <v>5240</v>
      </c>
      <c r="U514" s="33">
        <v>6.1982207887E10</v>
      </c>
      <c r="V514" s="33" t="s">
        <v>6631</v>
      </c>
      <c r="W514" s="34">
        <v>29810.0</v>
      </c>
      <c r="X514" s="23" t="s">
        <v>199</v>
      </c>
      <c r="Y514" s="49" t="str">
        <f t="shared" si="22"/>
        <v>Ativo</v>
      </c>
      <c r="Z514" s="62"/>
      <c r="AA514" s="62"/>
      <c r="AB514" s="64" t="s">
        <v>269</v>
      </c>
      <c r="AC514" s="79"/>
      <c r="AD514" s="54">
        <v>45385.0</v>
      </c>
      <c r="AE514" s="77">
        <v>4.9075100014061E13</v>
      </c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65"/>
      <c r="AW514" s="65"/>
      <c r="AX514" s="65">
        <v>53000.04</v>
      </c>
      <c r="AY514" s="65">
        <v>50079.66</v>
      </c>
      <c r="AZ514" s="65">
        <v>43484.62</v>
      </c>
      <c r="BA514" s="65">
        <v>38007.71</v>
      </c>
      <c r="BB514" s="65">
        <v>23803.19</v>
      </c>
      <c r="BC514" s="65">
        <v>23828.44</v>
      </c>
      <c r="BD514" s="65">
        <v>4292.0</v>
      </c>
      <c r="BE514" s="65">
        <v>4292.0</v>
      </c>
      <c r="BF514" s="65">
        <v>1.17</v>
      </c>
      <c r="BG514" s="65">
        <v>1.17</v>
      </c>
      <c r="BH514" s="65">
        <v>1.17</v>
      </c>
      <c r="BI514" s="65">
        <v>1.17</v>
      </c>
      <c r="BJ514" s="65">
        <v>0.0</v>
      </c>
      <c r="BK514" s="65">
        <v>0.0</v>
      </c>
      <c r="BL514" s="65">
        <v>0.0</v>
      </c>
      <c r="BM514" s="65">
        <v>0.0</v>
      </c>
      <c r="BN514" s="65">
        <v>0.0</v>
      </c>
      <c r="BO514" s="65">
        <v>0.0</v>
      </c>
      <c r="BP514" s="65">
        <v>0.0</v>
      </c>
      <c r="BQ514" s="65">
        <v>0.0</v>
      </c>
      <c r="BR514" s="65">
        <v>0.0</v>
      </c>
      <c r="BS514" s="65">
        <v>0.0</v>
      </c>
      <c r="BT514" s="88">
        <v>0.0</v>
      </c>
      <c r="BU514" s="65">
        <v>0.0</v>
      </c>
      <c r="BV514" s="65">
        <v>0.0</v>
      </c>
      <c r="BW514" s="90">
        <v>0.0</v>
      </c>
      <c r="BX514" s="90">
        <v>0.0</v>
      </c>
      <c r="BY514" s="90" t="str">
        <f t="array" ref="BY514">XLOOKUP(C514,'PL TOTAL D0'!$A$3:$A$1991,'PL TOTAL D0'!$C$3:$C$1991,"")</f>
        <v/>
      </c>
    </row>
    <row r="515" ht="15.75" customHeight="1">
      <c r="A515" s="43" t="s">
        <v>24</v>
      </c>
      <c r="B515" s="200" t="s">
        <v>863</v>
      </c>
      <c r="C515" s="94" t="s">
        <v>6639</v>
      </c>
      <c r="D515" s="30" t="s">
        <v>120</v>
      </c>
      <c r="E515" s="22" t="s">
        <v>199</v>
      </c>
      <c r="F515" s="30" t="s">
        <v>212</v>
      </c>
      <c r="G515" s="47" t="str">
        <f t="shared" si="25"/>
        <v>David</v>
      </c>
      <c r="H515" s="49" t="s">
        <v>295</v>
      </c>
      <c r="I515" s="49" t="s">
        <v>382</v>
      </c>
      <c r="J515" s="23" t="s">
        <v>563</v>
      </c>
      <c r="K515" s="54">
        <v>45464.0</v>
      </c>
      <c r="L515" s="189"/>
      <c r="M515" s="32" t="s">
        <v>6076</v>
      </c>
      <c r="N515" s="56">
        <v>0.015</v>
      </c>
      <c r="O515" s="23" t="s">
        <v>35</v>
      </c>
      <c r="P515" s="57">
        <v>0.1</v>
      </c>
      <c r="Q515" s="58"/>
      <c r="R515" s="58"/>
      <c r="S515" s="32" t="s">
        <v>194</v>
      </c>
      <c r="T515" s="22" t="s">
        <v>868</v>
      </c>
      <c r="U515" s="33">
        <v>5.561981753061E12</v>
      </c>
      <c r="V515" s="33" t="s">
        <v>871</v>
      </c>
      <c r="W515" s="34">
        <v>28975.0</v>
      </c>
      <c r="X515" s="23" t="s">
        <v>199</v>
      </c>
      <c r="Y515" s="49" t="str">
        <f t="shared" si="22"/>
        <v>Ativo</v>
      </c>
      <c r="Z515" s="62"/>
      <c r="AA515" s="32" t="s">
        <v>165</v>
      </c>
      <c r="AB515" s="64" t="s">
        <v>269</v>
      </c>
      <c r="AC515" s="79"/>
      <c r="AD515" s="54">
        <v>45464.0</v>
      </c>
      <c r="AE515" s="77">
        <v>4.9075100015211E13</v>
      </c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65"/>
      <c r="AW515" s="65"/>
      <c r="AX515" s="65"/>
      <c r="AY515" s="65"/>
      <c r="AZ515" s="65">
        <v>312431.3</v>
      </c>
      <c r="BA515" s="65">
        <v>316886.8</v>
      </c>
      <c r="BB515" s="65">
        <v>453967.58</v>
      </c>
      <c r="BC515" s="65">
        <v>650446.82</v>
      </c>
      <c r="BD515" s="65">
        <v>654649.12</v>
      </c>
      <c r="BE515" s="65">
        <v>1364132.56</v>
      </c>
      <c r="BF515" s="65">
        <v>1378730.32</v>
      </c>
      <c r="BG515" s="65">
        <v>1391748.57</v>
      </c>
      <c r="BH515" s="65">
        <v>153153.35</v>
      </c>
      <c r="BI515" s="65">
        <v>154841.5</v>
      </c>
      <c r="BJ515" s="65">
        <v>155535.56</v>
      </c>
      <c r="BK515" s="65">
        <v>0.0</v>
      </c>
      <c r="BL515" s="65">
        <v>0.01</v>
      </c>
      <c r="BM515" s="65">
        <v>0.0</v>
      </c>
      <c r="BN515" s="65">
        <v>0.01</v>
      </c>
      <c r="BO515" s="65">
        <v>0.01</v>
      </c>
      <c r="BP515" s="65">
        <v>0.01</v>
      </c>
      <c r="BQ515" s="65">
        <v>0.01</v>
      </c>
      <c r="BR515" s="65">
        <v>0.01</v>
      </c>
      <c r="BS515" s="65">
        <v>0.01</v>
      </c>
      <c r="BT515" s="88">
        <v>0.01</v>
      </c>
      <c r="BU515" s="65">
        <v>0.01</v>
      </c>
      <c r="BV515" s="65">
        <v>0.01</v>
      </c>
      <c r="BW515" s="90">
        <v>0.01</v>
      </c>
      <c r="BX515" s="90">
        <v>0.01</v>
      </c>
      <c r="BY515" s="90" t="str">
        <f t="array" ref="BY515">XLOOKUP(C515,'PL TOTAL D0'!$A$3:$A$1991,'PL TOTAL D0'!$C$3:$C$1991,"")</f>
        <v/>
      </c>
    </row>
    <row r="516" ht="15.75" customHeight="1">
      <c r="A516" s="43" t="s">
        <v>24</v>
      </c>
      <c r="B516" s="200" t="s">
        <v>863</v>
      </c>
      <c r="C516" s="94" t="s">
        <v>6649</v>
      </c>
      <c r="D516" s="30" t="s">
        <v>120</v>
      </c>
      <c r="E516" s="22" t="s">
        <v>199</v>
      </c>
      <c r="F516" s="30" t="s">
        <v>212</v>
      </c>
      <c r="G516" s="47" t="str">
        <f t="shared" si="25"/>
        <v>David</v>
      </c>
      <c r="H516" s="49" t="s">
        <v>295</v>
      </c>
      <c r="I516" s="49" t="s">
        <v>382</v>
      </c>
      <c r="J516" s="23" t="s">
        <v>563</v>
      </c>
      <c r="K516" s="54">
        <v>45421.0</v>
      </c>
      <c r="L516" s="189"/>
      <c r="M516" s="32" t="s">
        <v>3669</v>
      </c>
      <c r="N516" s="56">
        <v>0.0</v>
      </c>
      <c r="O516" s="23" t="s">
        <v>66</v>
      </c>
      <c r="P516" s="57">
        <v>0.0</v>
      </c>
      <c r="Q516" s="58"/>
      <c r="R516" s="58"/>
      <c r="S516" s="32" t="s">
        <v>194</v>
      </c>
      <c r="T516" s="22" t="s">
        <v>868</v>
      </c>
      <c r="U516" s="33">
        <v>5.561981753061E12</v>
      </c>
      <c r="V516" s="33" t="s">
        <v>871</v>
      </c>
      <c r="W516" s="34">
        <v>28975.0</v>
      </c>
      <c r="X516" s="23" t="s">
        <v>199</v>
      </c>
      <c r="Y516" s="49" t="str">
        <f t="shared" si="22"/>
        <v>Ativo</v>
      </c>
      <c r="Z516" s="62"/>
      <c r="AA516" s="32" t="s">
        <v>165</v>
      </c>
      <c r="AB516" s="64" t="s">
        <v>269</v>
      </c>
      <c r="AC516" s="79"/>
      <c r="AD516" s="54">
        <v>45421.0</v>
      </c>
      <c r="AE516" s="77">
        <v>4.9075100014663E13</v>
      </c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65"/>
      <c r="AW516" s="65"/>
      <c r="AX516" s="65"/>
      <c r="AY516" s="65">
        <v>428588.3</v>
      </c>
      <c r="AZ516" s="65">
        <v>395294.3</v>
      </c>
      <c r="BA516" s="65">
        <v>593524.7</v>
      </c>
      <c r="BB516" s="65">
        <v>459125.74</v>
      </c>
      <c r="BC516" s="65">
        <v>261940.78</v>
      </c>
      <c r="BD516" s="65">
        <v>557655.4</v>
      </c>
      <c r="BE516" s="65">
        <v>548133.73</v>
      </c>
      <c r="BF516" s="65">
        <v>536393.08</v>
      </c>
      <c r="BG516" s="65">
        <v>542644.37</v>
      </c>
      <c r="BH516" s="65">
        <v>178425.46</v>
      </c>
      <c r="BI516" s="65">
        <v>179982.82</v>
      </c>
      <c r="BJ516" s="65">
        <v>181470.37</v>
      </c>
      <c r="BK516" s="65">
        <v>399.81</v>
      </c>
      <c r="BL516" s="65">
        <v>399.82</v>
      </c>
      <c r="BM516" s="65">
        <v>399.82</v>
      </c>
      <c r="BN516" s="65">
        <v>0.0</v>
      </c>
      <c r="BO516" s="65">
        <v>0.0</v>
      </c>
      <c r="BP516" s="65">
        <v>0.0</v>
      </c>
      <c r="BQ516" s="65">
        <v>0.0</v>
      </c>
      <c r="BR516" s="65">
        <v>0.0</v>
      </c>
      <c r="BS516" s="65">
        <v>0.0</v>
      </c>
      <c r="BT516" s="88">
        <v>0.0</v>
      </c>
      <c r="BU516" s="65">
        <v>0.0</v>
      </c>
      <c r="BV516" s="65">
        <v>0.0</v>
      </c>
      <c r="BW516" s="90">
        <v>0.0</v>
      </c>
      <c r="BX516" s="90">
        <v>0.0</v>
      </c>
      <c r="BY516" s="90" t="str">
        <f t="array" ref="BY516">XLOOKUP(C516,'PL TOTAL D0'!$A$3:$A$1991,'PL TOTAL D0'!$C$3:$C$1991,"")</f>
        <v/>
      </c>
    </row>
    <row r="517" ht="15.75" customHeight="1">
      <c r="A517" s="43" t="s">
        <v>24</v>
      </c>
      <c r="B517" s="200" t="s">
        <v>863</v>
      </c>
      <c r="C517" s="94" t="s">
        <v>6657</v>
      </c>
      <c r="D517" s="30" t="s">
        <v>120</v>
      </c>
      <c r="E517" s="22" t="s">
        <v>199</v>
      </c>
      <c r="F517" s="30" t="s">
        <v>212</v>
      </c>
      <c r="G517" s="47" t="str">
        <f t="shared" si="25"/>
        <v>David</v>
      </c>
      <c r="H517" s="49" t="s">
        <v>224</v>
      </c>
      <c r="I517" s="49" t="s">
        <v>66</v>
      </c>
      <c r="J517" s="23" t="s">
        <v>563</v>
      </c>
      <c r="K517" s="54">
        <v>45419.0</v>
      </c>
      <c r="L517" s="186">
        <v>45464.0</v>
      </c>
      <c r="M517" s="32" t="s">
        <v>6076</v>
      </c>
      <c r="N517" s="56">
        <v>0.015</v>
      </c>
      <c r="O517" s="23" t="s">
        <v>35</v>
      </c>
      <c r="P517" s="57">
        <v>0.1</v>
      </c>
      <c r="Q517" s="58"/>
      <c r="R517" s="58"/>
      <c r="S517" s="32" t="s">
        <v>194</v>
      </c>
      <c r="T517" s="22" t="s">
        <v>868</v>
      </c>
      <c r="U517" s="33">
        <v>5.561981753061E12</v>
      </c>
      <c r="V517" s="33" t="s">
        <v>871</v>
      </c>
      <c r="W517" s="34">
        <v>28975.0</v>
      </c>
      <c r="X517" s="23" t="s">
        <v>199</v>
      </c>
      <c r="Y517" s="49" t="str">
        <f t="shared" si="22"/>
        <v>Encerrado</v>
      </c>
      <c r="Z517" s="62"/>
      <c r="AA517" s="32" t="s">
        <v>165</v>
      </c>
      <c r="AB517" s="64"/>
      <c r="AC517" s="79"/>
      <c r="AD517" s="54">
        <v>45419.0</v>
      </c>
      <c r="AE517" s="77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65"/>
      <c r="AW517" s="65"/>
      <c r="AX517" s="65"/>
      <c r="AY517" s="65">
        <v>0.0</v>
      </c>
      <c r="AZ517" s="65">
        <v>0.0</v>
      </c>
      <c r="BA517" s="65">
        <v>0.0</v>
      </c>
      <c r="BB517" s="65">
        <v>0.0</v>
      </c>
      <c r="BC517" s="65">
        <v>0.0</v>
      </c>
      <c r="BD517" s="65">
        <v>0.0</v>
      </c>
      <c r="BE517" s="65">
        <v>0.0</v>
      </c>
      <c r="BF517" s="65">
        <v>0.0</v>
      </c>
      <c r="BG517" s="65">
        <v>0.0</v>
      </c>
      <c r="BH517" s="65">
        <v>0.0</v>
      </c>
      <c r="BI517" s="65">
        <v>0.0</v>
      </c>
      <c r="BJ517" s="65">
        <v>0.0</v>
      </c>
      <c r="BK517" s="65">
        <v>0.0</v>
      </c>
      <c r="BL517" s="65">
        <v>0.0</v>
      </c>
      <c r="BM517" s="65">
        <v>0.0</v>
      </c>
      <c r="BN517" s="65">
        <v>0.0</v>
      </c>
      <c r="BO517" s="65">
        <v>0.0</v>
      </c>
      <c r="BP517" s="65">
        <v>0.0</v>
      </c>
      <c r="BQ517" s="65">
        <v>0.0</v>
      </c>
      <c r="BR517" s="65">
        <v>0.0</v>
      </c>
      <c r="BS517" s="65">
        <v>0.0</v>
      </c>
      <c r="BT517" s="88">
        <v>0.0</v>
      </c>
      <c r="BU517" s="65">
        <v>0.0</v>
      </c>
      <c r="BV517" s="65">
        <v>0.0</v>
      </c>
      <c r="BW517" s="90">
        <v>0.0</v>
      </c>
      <c r="BX517" s="90">
        <v>0.0</v>
      </c>
      <c r="BY517" s="90" t="str">
        <f t="array" ref="BY517">XLOOKUP(C517,'PL TOTAL D0'!$A$3:$A$1991,'PL TOTAL D0'!$C$3:$C$1991,"")</f>
        <v/>
      </c>
    </row>
    <row r="518" ht="15.75" customHeight="1">
      <c r="A518" s="43" t="s">
        <v>24</v>
      </c>
      <c r="B518" s="200" t="s">
        <v>6661</v>
      </c>
      <c r="C518" s="94" t="s">
        <v>3493</v>
      </c>
      <c r="D518" s="30" t="s">
        <v>120</v>
      </c>
      <c r="E518" s="22" t="s">
        <v>199</v>
      </c>
      <c r="F518" s="30" t="s">
        <v>290</v>
      </c>
      <c r="G518" s="47" t="str">
        <f t="shared" si="25"/>
        <v>David</v>
      </c>
      <c r="H518" s="49" t="s">
        <v>183</v>
      </c>
      <c r="I518" s="49" t="s">
        <v>66</v>
      </c>
      <c r="J518" s="23" t="s">
        <v>563</v>
      </c>
      <c r="K518" s="54">
        <v>45985.0</v>
      </c>
      <c r="L518" s="186"/>
      <c r="M518" s="32" t="s">
        <v>61</v>
      </c>
      <c r="N518" s="56">
        <v>0.012</v>
      </c>
      <c r="O518" s="23" t="s">
        <v>66</v>
      </c>
      <c r="P518" s="57">
        <v>0.0</v>
      </c>
      <c r="Q518" s="58"/>
      <c r="R518" s="58"/>
      <c r="S518" s="32" t="s">
        <v>194</v>
      </c>
      <c r="T518" s="22" t="s">
        <v>6662</v>
      </c>
      <c r="U518" s="33" t="s">
        <v>6663</v>
      </c>
      <c r="V518" s="33" t="s">
        <v>6664</v>
      </c>
      <c r="W518" s="48">
        <v>37043.0</v>
      </c>
      <c r="X518" s="23" t="s">
        <v>199</v>
      </c>
      <c r="Y518" s="49" t="str">
        <f t="shared" si="22"/>
        <v>Ativo</v>
      </c>
      <c r="Z518" s="62"/>
      <c r="AA518" s="32" t="s">
        <v>47</v>
      </c>
      <c r="AB518" s="64"/>
      <c r="AC518" s="79"/>
      <c r="AD518" s="54"/>
      <c r="AE518" s="77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>
        <v>0.0</v>
      </c>
      <c r="BR518" s="65">
        <v>0.0</v>
      </c>
      <c r="BS518" s="65">
        <v>0.0</v>
      </c>
      <c r="BT518" s="88">
        <v>0.0</v>
      </c>
      <c r="BU518" s="65">
        <v>30270.77</v>
      </c>
      <c r="BV518" s="65">
        <v>30593.58</v>
      </c>
      <c r="BW518" s="90">
        <v>30854.82</v>
      </c>
      <c r="BX518" s="90">
        <v>31159.63</v>
      </c>
      <c r="BY518" s="90">
        <f t="array" ref="BY518">XLOOKUP(C518,'PL TOTAL D0'!$A$3:$A$1991,'PL TOTAL D0'!$C$3:$C$1991,"")</f>
        <v>31513.37</v>
      </c>
    </row>
    <row r="519" ht="15.75" customHeight="1">
      <c r="A519" s="50" t="s">
        <v>24</v>
      </c>
      <c r="B519" s="39" t="s">
        <v>6669</v>
      </c>
      <c r="C519" s="94" t="s">
        <v>2892</v>
      </c>
      <c r="D519" s="30" t="s">
        <v>89</v>
      </c>
      <c r="E519" s="95" t="s">
        <v>91</v>
      </c>
      <c r="F519" s="81" t="s">
        <v>521</v>
      </c>
      <c r="G519" s="47" t="str">
        <f t="shared" si="25"/>
        <v>Gabriel</v>
      </c>
      <c r="H519" s="49" t="s">
        <v>183</v>
      </c>
      <c r="I519" s="49" t="s">
        <v>66</v>
      </c>
      <c r="J519" s="47" t="str">
        <f t="shared" ref="J519:J603" si="27">IF(Q519=0,"Não","Sim")</f>
        <v>Não</v>
      </c>
      <c r="K519" s="97">
        <v>45134.0</v>
      </c>
      <c r="L519" s="189"/>
      <c r="M519" s="62" t="s">
        <v>209</v>
      </c>
      <c r="N519" s="98">
        <v>0.016</v>
      </c>
      <c r="O519" s="47" t="s">
        <v>35</v>
      </c>
      <c r="P519" s="99">
        <v>0.2</v>
      </c>
      <c r="Q519" s="58"/>
      <c r="R519" s="70"/>
      <c r="S519" s="62" t="s">
        <v>194</v>
      </c>
      <c r="T519" s="32" t="s">
        <v>910</v>
      </c>
      <c r="U519" s="33">
        <v>5.543999175939E12</v>
      </c>
      <c r="V519" s="33" t="s">
        <v>6670</v>
      </c>
      <c r="W519" s="34">
        <v>28226.0</v>
      </c>
      <c r="X519" s="23" t="s">
        <v>221</v>
      </c>
      <c r="Y519" s="49" t="str">
        <f t="shared" si="22"/>
        <v>Ativo</v>
      </c>
      <c r="Z519" s="62"/>
      <c r="AA519" s="62"/>
      <c r="AB519" s="64" t="s">
        <v>269</v>
      </c>
      <c r="AC519" s="79"/>
      <c r="AD519" s="54">
        <v>45134.0</v>
      </c>
      <c r="AE519" s="77">
        <v>4.907510000716E13</v>
      </c>
      <c r="AF519" s="79"/>
      <c r="AG519" s="79"/>
      <c r="AH519" s="79"/>
      <c r="AI519" s="79"/>
      <c r="AJ519" s="79"/>
      <c r="AK519" s="79"/>
      <c r="AL519" s="65">
        <v>0.0</v>
      </c>
      <c r="AM519" s="65">
        <v>0.0</v>
      </c>
      <c r="AN519" s="65">
        <v>0.0</v>
      </c>
      <c r="AO519" s="65">
        <v>357015.53</v>
      </c>
      <c r="AP519" s="65">
        <v>360860.21</v>
      </c>
      <c r="AQ519" s="65">
        <v>362504.3</v>
      </c>
      <c r="AR519" s="65">
        <v>362332.13</v>
      </c>
      <c r="AS519" s="65">
        <v>371141.9</v>
      </c>
      <c r="AT519" s="65">
        <v>378752.13</v>
      </c>
      <c r="AU519" s="65">
        <v>371962.12</v>
      </c>
      <c r="AV519" s="65">
        <v>372998.45</v>
      </c>
      <c r="AW519" s="65">
        <v>421870.6</v>
      </c>
      <c r="AX519" s="65">
        <v>415883.5</v>
      </c>
      <c r="AY519" s="65">
        <v>423050.6</v>
      </c>
      <c r="AZ519" s="65">
        <v>429647.6</v>
      </c>
      <c r="BA519" s="65">
        <v>437316.6</v>
      </c>
      <c r="BB519" s="65">
        <v>447403.1</v>
      </c>
      <c r="BC519" s="65">
        <v>448124.3</v>
      </c>
      <c r="BD519" s="65">
        <v>445621.03</v>
      </c>
      <c r="BE519" s="65">
        <v>447936.96</v>
      </c>
      <c r="BF519" s="65">
        <v>456601.49</v>
      </c>
      <c r="BG519" s="65">
        <v>465689.93</v>
      </c>
      <c r="BH519" s="65">
        <v>469869.43</v>
      </c>
      <c r="BI519" s="65">
        <v>477195.34</v>
      </c>
      <c r="BJ519" s="65">
        <v>483954.03</v>
      </c>
      <c r="BK519" s="65">
        <v>490420.46</v>
      </c>
      <c r="BL519" s="65">
        <v>503213.11</v>
      </c>
      <c r="BM519" s="65">
        <v>510425.06</v>
      </c>
      <c r="BN519" s="65">
        <v>518435.8</v>
      </c>
      <c r="BO519" s="65">
        <v>528083.35</v>
      </c>
      <c r="BP519" s="65">
        <v>534633.5</v>
      </c>
      <c r="BQ519" s="65">
        <v>540676.0</v>
      </c>
      <c r="BR519" s="65">
        <v>547131.8</v>
      </c>
      <c r="BS519" s="65">
        <v>556307.55</v>
      </c>
      <c r="BT519" s="88">
        <v>540447.6</v>
      </c>
      <c r="BU519" s="65">
        <v>495337.4</v>
      </c>
      <c r="BV519" s="65">
        <v>499712.2</v>
      </c>
      <c r="BW519" s="90">
        <v>501766.1</v>
      </c>
      <c r="BX519" s="90">
        <v>525317.23</v>
      </c>
      <c r="BY519" s="90">
        <f t="array" ref="BY519">XLOOKUP(C519,'PL TOTAL D0'!$A$3:$A$1991,'PL TOTAL D0'!$C$3:$C$1991,"")</f>
        <v>515106.61</v>
      </c>
    </row>
    <row r="520" ht="15.75" customHeight="1">
      <c r="A520" s="50" t="s">
        <v>24</v>
      </c>
      <c r="B520" s="43" t="s">
        <v>6669</v>
      </c>
      <c r="C520" s="94" t="s">
        <v>6686</v>
      </c>
      <c r="D520" s="30" t="s">
        <v>89</v>
      </c>
      <c r="E520" s="95" t="s">
        <v>91</v>
      </c>
      <c r="F520" s="81" t="s">
        <v>521</v>
      </c>
      <c r="G520" s="47" t="str">
        <f t="shared" si="25"/>
        <v>David</v>
      </c>
      <c r="H520" s="49" t="s">
        <v>224</v>
      </c>
      <c r="I520" s="49" t="s">
        <v>66</v>
      </c>
      <c r="J520" s="47" t="str">
        <f t="shared" si="27"/>
        <v>Não</v>
      </c>
      <c r="K520" s="97">
        <v>45162.0</v>
      </c>
      <c r="L520" s="121">
        <v>45940.0</v>
      </c>
      <c r="M520" s="62" t="s">
        <v>1142</v>
      </c>
      <c r="N520" s="733">
        <v>0.008</v>
      </c>
      <c r="O520" s="47" t="s">
        <v>1143</v>
      </c>
      <c r="P520" s="99">
        <v>0.1</v>
      </c>
      <c r="Q520" s="58"/>
      <c r="R520" s="70"/>
      <c r="S520" s="62" t="s">
        <v>194</v>
      </c>
      <c r="T520" s="32" t="s">
        <v>910</v>
      </c>
      <c r="U520" s="33" t="s">
        <v>268</v>
      </c>
      <c r="V520" s="33"/>
      <c r="W520" s="33" t="s">
        <v>268</v>
      </c>
      <c r="X520" s="23" t="s">
        <v>221</v>
      </c>
      <c r="Y520" s="49" t="str">
        <f t="shared" si="22"/>
        <v>Encerrado</v>
      </c>
      <c r="Z520" s="62"/>
      <c r="AA520" s="62"/>
      <c r="AB520" s="64" t="s">
        <v>2158</v>
      </c>
      <c r="AC520" s="79"/>
      <c r="AD520" s="54">
        <v>45162.0</v>
      </c>
      <c r="AE520" s="77">
        <v>4.9075100011461E13</v>
      </c>
      <c r="AF520" s="79"/>
      <c r="AG520" s="79"/>
      <c r="AH520" s="79"/>
      <c r="AI520" s="79"/>
      <c r="AJ520" s="79"/>
      <c r="AK520" s="79"/>
      <c r="AL520" s="79"/>
      <c r="AM520" s="79"/>
      <c r="AN520" s="65">
        <v>0.0</v>
      </c>
      <c r="AO520" s="65">
        <v>0.0</v>
      </c>
      <c r="AP520" s="65">
        <v>0.0</v>
      </c>
      <c r="AQ520" s="65">
        <v>0.0</v>
      </c>
      <c r="AR520" s="65">
        <v>0.0</v>
      </c>
      <c r="AS520" s="65">
        <v>0.0</v>
      </c>
      <c r="AT520" s="65">
        <v>0.0</v>
      </c>
      <c r="AU520" s="65">
        <v>0.0</v>
      </c>
      <c r="AV520" s="65">
        <v>0.0</v>
      </c>
      <c r="AW520" s="65">
        <v>0.0</v>
      </c>
      <c r="AX520" s="65">
        <v>0.0</v>
      </c>
      <c r="AY520" s="65">
        <v>0.0</v>
      </c>
      <c r="AZ520" s="65">
        <v>0.0</v>
      </c>
      <c r="BA520" s="65">
        <v>0.0</v>
      </c>
      <c r="BB520" s="65">
        <v>0.0</v>
      </c>
      <c r="BC520" s="65">
        <v>0.0</v>
      </c>
      <c r="BD520" s="65">
        <v>0.0</v>
      </c>
      <c r="BE520" s="65">
        <v>0.0</v>
      </c>
      <c r="BF520" s="65">
        <v>0.0</v>
      </c>
      <c r="BG520" s="65">
        <v>0.0</v>
      </c>
      <c r="BH520" s="65">
        <v>0.0</v>
      </c>
      <c r="BI520" s="65">
        <v>0.0</v>
      </c>
      <c r="BJ520" s="65">
        <v>0.0</v>
      </c>
      <c r="BK520" s="65">
        <v>0.0</v>
      </c>
      <c r="BL520" s="65">
        <v>0.0</v>
      </c>
      <c r="BM520" s="65">
        <v>0.0</v>
      </c>
      <c r="BN520" s="65">
        <v>0.0</v>
      </c>
      <c r="BO520" s="65">
        <v>0.0</v>
      </c>
      <c r="BP520" s="65">
        <v>0.0</v>
      </c>
      <c r="BQ520" s="65">
        <v>0.0</v>
      </c>
      <c r="BR520" s="65">
        <v>0.0</v>
      </c>
      <c r="BS520" s="65">
        <v>0.0</v>
      </c>
      <c r="BT520" s="88">
        <v>0.0</v>
      </c>
      <c r="BU520" s="65">
        <v>0.0</v>
      </c>
      <c r="BV520" s="65">
        <v>0.0</v>
      </c>
      <c r="BW520" s="90">
        <v>0.0</v>
      </c>
      <c r="BX520" s="90">
        <v>0.0</v>
      </c>
      <c r="BY520" s="90" t="str">
        <f t="array" ref="BY520">XLOOKUP(C520,'PL TOTAL D0'!$A$3:$A$1991,'PL TOTAL D0'!$C$3:$C$1991,"")</f>
        <v/>
      </c>
    </row>
    <row r="521" ht="15.75" customHeight="1">
      <c r="A521" s="50" t="s">
        <v>24</v>
      </c>
      <c r="B521" s="50" t="s">
        <v>6697</v>
      </c>
      <c r="C521" s="94" t="s">
        <v>6698</v>
      </c>
      <c r="D521" s="81" t="s">
        <v>120</v>
      </c>
      <c r="E521" s="95" t="s">
        <v>54</v>
      </c>
      <c r="F521" s="81" t="s">
        <v>1393</v>
      </c>
      <c r="G521" s="47" t="str">
        <f t="shared" si="25"/>
        <v>David</v>
      </c>
      <c r="H521" s="49" t="s">
        <v>295</v>
      </c>
      <c r="I521" s="49" t="s">
        <v>382</v>
      </c>
      <c r="J521" s="47" t="str">
        <f t="shared" si="27"/>
        <v>Não</v>
      </c>
      <c r="K521" s="97">
        <v>44928.0</v>
      </c>
      <c r="L521" s="62"/>
      <c r="M521" s="62" t="s">
        <v>61</v>
      </c>
      <c r="N521" s="98">
        <v>0.01</v>
      </c>
      <c r="O521" s="47" t="s">
        <v>66</v>
      </c>
      <c r="P521" s="99">
        <v>0.0</v>
      </c>
      <c r="Q521" s="58"/>
      <c r="R521" s="70"/>
      <c r="S521" s="62" t="s">
        <v>194</v>
      </c>
      <c r="T521" s="32" t="s">
        <v>6701</v>
      </c>
      <c r="U521" s="33">
        <v>5.562981449532E12</v>
      </c>
      <c r="V521" s="33" t="s">
        <v>6702</v>
      </c>
      <c r="W521" s="34">
        <v>32349.0</v>
      </c>
      <c r="X521" s="23" t="s">
        <v>54</v>
      </c>
      <c r="Y521" s="49" t="str">
        <f t="shared" si="22"/>
        <v>Ativo</v>
      </c>
      <c r="Z521" s="62"/>
      <c r="AA521" s="62"/>
      <c r="AB521" s="64" t="s">
        <v>244</v>
      </c>
      <c r="AC521" s="79"/>
      <c r="AD521" s="54">
        <v>44928.0</v>
      </c>
      <c r="AE521" s="77">
        <v>4.9075100003165E13</v>
      </c>
      <c r="AF521" s="79"/>
      <c r="AG521" s="79"/>
      <c r="AH521" s="65">
        <v>60489.03</v>
      </c>
      <c r="AI521" s="65">
        <v>67871.16</v>
      </c>
      <c r="AJ521" s="65">
        <v>68499.79</v>
      </c>
      <c r="AK521" s="65">
        <v>55128.26</v>
      </c>
      <c r="AL521" s="65">
        <v>137580.65</v>
      </c>
      <c r="AM521" s="65">
        <v>138871.22</v>
      </c>
      <c r="AN521" s="65">
        <v>133995.65</v>
      </c>
      <c r="AO521" s="65">
        <v>84945.2</v>
      </c>
      <c r="AP521" s="65">
        <v>83654.29</v>
      </c>
      <c r="AQ521" s="65">
        <v>75545.65</v>
      </c>
      <c r="AR521" s="65">
        <v>50485.35</v>
      </c>
      <c r="AS521" s="65">
        <v>31521.88</v>
      </c>
      <c r="AT521" s="65">
        <v>20080.36</v>
      </c>
      <c r="AU521" s="65">
        <v>32997.86</v>
      </c>
      <c r="AV521" s="65">
        <v>27116.67</v>
      </c>
      <c r="AW521" s="65">
        <v>10117.07</v>
      </c>
      <c r="AX521" s="65">
        <v>1167.18</v>
      </c>
      <c r="AY521" s="65">
        <v>1504.03</v>
      </c>
      <c r="AZ521" s="65">
        <v>0.86</v>
      </c>
      <c r="BA521" s="65">
        <v>0.86</v>
      </c>
      <c r="BB521" s="65">
        <v>0.88</v>
      </c>
      <c r="BC521" s="65">
        <v>0.88</v>
      </c>
      <c r="BD521" s="65">
        <v>0.88</v>
      </c>
      <c r="BE521" s="65">
        <v>0.88</v>
      </c>
      <c r="BF521" s="65">
        <v>0.88</v>
      </c>
      <c r="BG521" s="65">
        <v>0.88</v>
      </c>
      <c r="BH521" s="65">
        <v>0.88</v>
      </c>
      <c r="BI521" s="65">
        <v>0.88</v>
      </c>
      <c r="BJ521" s="65">
        <v>0.88</v>
      </c>
      <c r="BK521" s="65">
        <v>0.88</v>
      </c>
      <c r="BL521" s="65">
        <v>0.88</v>
      </c>
      <c r="BM521" s="65">
        <v>0.88</v>
      </c>
      <c r="BN521" s="65">
        <v>0.88</v>
      </c>
      <c r="BO521" s="65">
        <v>0.88</v>
      </c>
      <c r="BP521" s="65">
        <v>0.88</v>
      </c>
      <c r="BQ521" s="65">
        <v>0.88</v>
      </c>
      <c r="BR521" s="65">
        <v>0.88</v>
      </c>
      <c r="BS521" s="65">
        <v>0.88</v>
      </c>
      <c r="BT521" s="88">
        <v>0.88</v>
      </c>
      <c r="BU521" s="65">
        <v>0.88</v>
      </c>
      <c r="BV521" s="65">
        <v>0.88</v>
      </c>
      <c r="BW521" s="90">
        <v>0.88</v>
      </c>
      <c r="BX521" s="90">
        <v>0.88</v>
      </c>
      <c r="BY521" s="90" t="str">
        <f t="array" ref="BY521">XLOOKUP(C521,'PL TOTAL D0'!$A$3:$A$1991,'PL TOTAL D0'!$C$3:$C$1991,"")</f>
        <v/>
      </c>
    </row>
    <row r="522" ht="15.75" customHeight="1">
      <c r="A522" s="50" t="s">
        <v>24</v>
      </c>
      <c r="B522" s="43" t="s">
        <v>6710</v>
      </c>
      <c r="C522" s="94" t="s">
        <v>2713</v>
      </c>
      <c r="D522" s="30" t="s">
        <v>89</v>
      </c>
      <c r="E522" s="22" t="s">
        <v>91</v>
      </c>
      <c r="F522" s="30" t="s">
        <v>1869</v>
      </c>
      <c r="G522" s="47" t="str">
        <f t="shared" si="25"/>
        <v>Marcus</v>
      </c>
      <c r="H522" s="49" t="s">
        <v>183</v>
      </c>
      <c r="I522" s="49" t="s">
        <v>66</v>
      </c>
      <c r="J522" s="47" t="str">
        <f t="shared" si="27"/>
        <v>Não</v>
      </c>
      <c r="K522" s="54">
        <v>45615.0</v>
      </c>
      <c r="L522" s="62"/>
      <c r="M522" s="32" t="s">
        <v>231</v>
      </c>
      <c r="N522" s="56">
        <v>0.025</v>
      </c>
      <c r="O522" s="23" t="s">
        <v>233</v>
      </c>
      <c r="P522" s="57">
        <v>0.2</v>
      </c>
      <c r="Q522" s="58"/>
      <c r="R522" s="58" t="s">
        <v>6711</v>
      </c>
      <c r="S522" s="32" t="s">
        <v>194</v>
      </c>
      <c r="T522" s="32" t="s">
        <v>6712</v>
      </c>
      <c r="U522" s="33">
        <v>5.511981017625E12</v>
      </c>
      <c r="V522" s="33" t="s">
        <v>6713</v>
      </c>
      <c r="W522" s="34">
        <v>29387.0</v>
      </c>
      <c r="X522" s="23" t="s">
        <v>475</v>
      </c>
      <c r="Y522" s="49" t="str">
        <f t="shared" si="22"/>
        <v>Ativo</v>
      </c>
      <c r="Z522" s="62"/>
      <c r="AA522" s="32" t="s">
        <v>165</v>
      </c>
      <c r="AB522" s="64"/>
      <c r="AC522" s="79"/>
      <c r="AD522" s="54">
        <v>45615.0</v>
      </c>
      <c r="AE522" s="77">
        <v>4.9075100016208E13</v>
      </c>
      <c r="AF522" s="79"/>
      <c r="AG522" s="79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>
        <v>578944.66</v>
      </c>
      <c r="BF522" s="65">
        <v>567514.88</v>
      </c>
      <c r="BG522" s="65">
        <v>715004.49</v>
      </c>
      <c r="BH522" s="65">
        <v>719980.36</v>
      </c>
      <c r="BI522" s="65">
        <v>727958.43</v>
      </c>
      <c r="BJ522" s="65">
        <v>736978.35</v>
      </c>
      <c r="BK522" s="65">
        <v>748662.91</v>
      </c>
      <c r="BL522" s="65">
        <v>755752.4</v>
      </c>
      <c r="BM522" s="65">
        <v>758556.46</v>
      </c>
      <c r="BN522" s="65">
        <v>766999.6</v>
      </c>
      <c r="BO522" s="65">
        <v>785581.37</v>
      </c>
      <c r="BP522" s="65">
        <v>801584.0</v>
      </c>
      <c r="BQ522" s="65">
        <v>833051.6</v>
      </c>
      <c r="BR522" s="65">
        <v>849282.0</v>
      </c>
      <c r="BS522" s="65">
        <v>925244.82</v>
      </c>
      <c r="BT522" s="88">
        <v>957824.9</v>
      </c>
      <c r="BU522" s="65">
        <v>969211.5</v>
      </c>
      <c r="BV522" s="65">
        <v>980429.8</v>
      </c>
      <c r="BW522" s="90">
        <v>931138.3</v>
      </c>
      <c r="BX522" s="90">
        <v>945250.31</v>
      </c>
      <c r="BY522" s="90">
        <f t="array" ref="BY522">XLOOKUP(C522,'PL TOTAL D0'!$A$3:$A$1991,'PL TOTAL D0'!$C$3:$C$1991,"")</f>
        <v>944829.72</v>
      </c>
    </row>
    <row r="523" ht="15.75" customHeight="1">
      <c r="A523" s="50" t="s">
        <v>24</v>
      </c>
      <c r="B523" s="176" t="s">
        <v>6716</v>
      </c>
      <c r="C523" s="94" t="s">
        <v>6717</v>
      </c>
      <c r="D523" s="81" t="s">
        <v>120</v>
      </c>
      <c r="E523" s="95" t="s">
        <v>199</v>
      </c>
      <c r="F523" s="81" t="s">
        <v>677</v>
      </c>
      <c r="G523" s="47" t="str">
        <f t="shared" si="25"/>
        <v>David</v>
      </c>
      <c r="H523" s="49" t="s">
        <v>224</v>
      </c>
      <c r="I523" s="49" t="s">
        <v>66</v>
      </c>
      <c r="J523" s="47" t="str">
        <f t="shared" si="27"/>
        <v>Não</v>
      </c>
      <c r="K523" s="97">
        <v>45014.0</v>
      </c>
      <c r="L523" s="55">
        <v>45764.0</v>
      </c>
      <c r="M523" s="62" t="s">
        <v>61</v>
      </c>
      <c r="N523" s="98">
        <v>0.01</v>
      </c>
      <c r="O523" s="47" t="s">
        <v>66</v>
      </c>
      <c r="P523" s="99">
        <v>0.0</v>
      </c>
      <c r="Q523" s="58"/>
      <c r="R523" s="58" t="s">
        <v>6719</v>
      </c>
      <c r="S523" s="62" t="s">
        <v>194</v>
      </c>
      <c r="T523" s="32" t="s">
        <v>6720</v>
      </c>
      <c r="U523" s="33" t="s">
        <v>268</v>
      </c>
      <c r="V523" s="33"/>
      <c r="W523" s="33" t="s">
        <v>268</v>
      </c>
      <c r="X523" s="23" t="s">
        <v>397</v>
      </c>
      <c r="Y523" s="49" t="str">
        <f t="shared" si="22"/>
        <v>Encerrado</v>
      </c>
      <c r="Z523" s="62"/>
      <c r="AA523" s="62"/>
      <c r="AB523" s="64" t="s">
        <v>269</v>
      </c>
      <c r="AC523" s="79"/>
      <c r="AD523" s="54">
        <v>45014.0</v>
      </c>
      <c r="AE523" s="77">
        <v>4.9075100009287E13</v>
      </c>
      <c r="AF523" s="79"/>
      <c r="AG523" s="79"/>
      <c r="AH523" s="79"/>
      <c r="AI523" s="79"/>
      <c r="AJ523" s="79"/>
      <c r="AK523" s="65">
        <v>266535.1</v>
      </c>
      <c r="AL523" s="65">
        <v>268529.92</v>
      </c>
      <c r="AM523" s="65">
        <v>280076.21</v>
      </c>
      <c r="AN523" s="65">
        <v>282591.82</v>
      </c>
      <c r="AO523" s="65">
        <v>423787.5</v>
      </c>
      <c r="AP523" s="65">
        <v>320550.36</v>
      </c>
      <c r="AQ523" s="65">
        <v>323015.09</v>
      </c>
      <c r="AR523" s="65">
        <v>325639.68</v>
      </c>
      <c r="AS523" s="65">
        <v>328069.17</v>
      </c>
      <c r="AT523" s="65">
        <v>331670.26</v>
      </c>
      <c r="AU523" s="65">
        <v>336143.26</v>
      </c>
      <c r="AV523" s="65">
        <v>339018.15</v>
      </c>
      <c r="AW523" s="65">
        <v>346764.92</v>
      </c>
      <c r="AX523" s="65">
        <v>352465.83</v>
      </c>
      <c r="AY523" s="65">
        <v>355912.1</v>
      </c>
      <c r="AZ523" s="65">
        <v>479981.2</v>
      </c>
      <c r="BA523" s="65">
        <v>487906.0</v>
      </c>
      <c r="BB523" s="65">
        <v>491591.04</v>
      </c>
      <c r="BC523" s="65">
        <v>495696.1</v>
      </c>
      <c r="BD523" s="65">
        <v>500041.49</v>
      </c>
      <c r="BE523" s="65">
        <v>512878.34</v>
      </c>
      <c r="BF523" s="65">
        <v>518136.23</v>
      </c>
      <c r="BG523" s="65">
        <v>0.0</v>
      </c>
      <c r="BH523" s="65">
        <v>0.0</v>
      </c>
      <c r="BI523" s="65">
        <v>0.0</v>
      </c>
      <c r="BJ523" s="65">
        <v>0.0</v>
      </c>
      <c r="BK523" s="65">
        <v>0.0</v>
      </c>
      <c r="BL523" s="65">
        <v>0.0</v>
      </c>
      <c r="BM523" s="65">
        <v>0.0</v>
      </c>
      <c r="BN523" s="65">
        <v>0.0</v>
      </c>
      <c r="BO523" s="65">
        <v>0.0</v>
      </c>
      <c r="BP523" s="65">
        <v>0.0</v>
      </c>
      <c r="BQ523" s="65">
        <v>0.0</v>
      </c>
      <c r="BR523" s="65">
        <v>0.0</v>
      </c>
      <c r="BS523" s="65">
        <v>0.0</v>
      </c>
      <c r="BT523" s="88">
        <v>0.0</v>
      </c>
      <c r="BU523" s="65">
        <v>0.0</v>
      </c>
      <c r="BV523" s="65">
        <v>0.0</v>
      </c>
      <c r="BW523" s="90">
        <v>0.0</v>
      </c>
      <c r="BX523" s="90">
        <v>0.0</v>
      </c>
      <c r="BY523" s="90" t="str">
        <f t="array" ref="BY523">XLOOKUP(C523,'PL TOTAL D0'!$A$3:$A$1991,'PL TOTAL D0'!$C$3:$C$1991,"")</f>
        <v/>
      </c>
    </row>
    <row r="524" ht="15.75" customHeight="1">
      <c r="A524" s="50" t="s">
        <v>24</v>
      </c>
      <c r="B524" s="176" t="s">
        <v>6716</v>
      </c>
      <c r="C524" s="94" t="s">
        <v>6725</v>
      </c>
      <c r="D524" s="81" t="s">
        <v>120</v>
      </c>
      <c r="E524" s="95" t="s">
        <v>199</v>
      </c>
      <c r="F524" s="81" t="s">
        <v>677</v>
      </c>
      <c r="G524" s="47" t="str">
        <f t="shared" si="25"/>
        <v>David</v>
      </c>
      <c r="H524" s="49" t="s">
        <v>224</v>
      </c>
      <c r="I524" s="49" t="s">
        <v>66</v>
      </c>
      <c r="J524" s="47" t="str">
        <f t="shared" si="27"/>
        <v>Não</v>
      </c>
      <c r="K524" s="97">
        <v>45155.0</v>
      </c>
      <c r="L524" s="55">
        <v>45764.0</v>
      </c>
      <c r="M524" s="62" t="s">
        <v>209</v>
      </c>
      <c r="N524" s="98">
        <v>0.015</v>
      </c>
      <c r="O524" s="47" t="s">
        <v>35</v>
      </c>
      <c r="P524" s="99">
        <v>0.1</v>
      </c>
      <c r="Q524" s="58"/>
      <c r="R524" s="58" t="s">
        <v>6719</v>
      </c>
      <c r="S524" s="62" t="s">
        <v>194</v>
      </c>
      <c r="T524" s="32" t="s">
        <v>6720</v>
      </c>
      <c r="U524" s="33">
        <v>5.521981522552E12</v>
      </c>
      <c r="V524" s="33" t="s">
        <v>6728</v>
      </c>
      <c r="W524" s="48">
        <v>32863.0</v>
      </c>
      <c r="X524" s="23" t="s">
        <v>397</v>
      </c>
      <c r="Y524" s="49" t="str">
        <f t="shared" si="22"/>
        <v>Encerrado</v>
      </c>
      <c r="Z524" s="62"/>
      <c r="AA524" s="62"/>
      <c r="AB524" s="64" t="s">
        <v>269</v>
      </c>
      <c r="AC524" s="79"/>
      <c r="AD524" s="54">
        <v>45155.0</v>
      </c>
      <c r="AE524" s="77">
        <v>4.9075100005451E13</v>
      </c>
      <c r="AF524" s="79"/>
      <c r="AG524" s="79"/>
      <c r="AH524" s="79"/>
      <c r="AI524" s="79"/>
      <c r="AJ524" s="79"/>
      <c r="AK524" s="79"/>
      <c r="AL524" s="79"/>
      <c r="AM524" s="79"/>
      <c r="AN524" s="79"/>
      <c r="AO524" s="65">
        <v>0.0</v>
      </c>
      <c r="AP524" s="65">
        <v>105836.32</v>
      </c>
      <c r="AQ524" s="65">
        <v>106490.87</v>
      </c>
      <c r="AR524" s="65">
        <v>106310.81</v>
      </c>
      <c r="AS524" s="65">
        <v>108368.87</v>
      </c>
      <c r="AT524" s="65">
        <v>111434.97</v>
      </c>
      <c r="AU524" s="65">
        <v>109846.93</v>
      </c>
      <c r="AV524" s="65">
        <v>110817.33</v>
      </c>
      <c r="AW524" s="65">
        <v>111940.5</v>
      </c>
      <c r="AX524" s="65">
        <v>111118.47</v>
      </c>
      <c r="AY524" s="65">
        <v>110725.5</v>
      </c>
      <c r="AZ524" s="65">
        <v>2532.29</v>
      </c>
      <c r="BA524" s="65">
        <v>248.6</v>
      </c>
      <c r="BB524" s="65">
        <v>249.58</v>
      </c>
      <c r="BC524" s="65">
        <v>249.57</v>
      </c>
      <c r="BD524" s="65">
        <v>250.23</v>
      </c>
      <c r="BE524" s="65">
        <v>250.86</v>
      </c>
      <c r="BF524" s="65">
        <v>251.84</v>
      </c>
      <c r="BG524" s="65">
        <v>252.97</v>
      </c>
      <c r="BH524" s="65">
        <v>254.05</v>
      </c>
      <c r="BI524" s="65">
        <v>255.12</v>
      </c>
      <c r="BJ524" s="65">
        <v>256.85</v>
      </c>
      <c r="BK524" s="65">
        <v>258.09</v>
      </c>
      <c r="BL524" s="65">
        <v>260.5</v>
      </c>
      <c r="BM524" s="65">
        <v>263.35</v>
      </c>
      <c r="BN524" s="65">
        <v>265.97</v>
      </c>
      <c r="BO524" s="65">
        <v>0.0</v>
      </c>
      <c r="BP524" s="65">
        <v>0.0</v>
      </c>
      <c r="BQ524" s="65">
        <v>0.0</v>
      </c>
      <c r="BR524" s="65">
        <v>0.0</v>
      </c>
      <c r="BS524" s="65">
        <v>0.0</v>
      </c>
      <c r="BT524" s="88">
        <v>0.0</v>
      </c>
      <c r="BU524" s="65">
        <v>0.0</v>
      </c>
      <c r="BV524" s="65">
        <v>0.0</v>
      </c>
      <c r="BW524" s="90">
        <v>0.0</v>
      </c>
      <c r="BX524" s="90">
        <v>0.0</v>
      </c>
      <c r="BY524" s="90" t="str">
        <f t="array" ref="BY524">XLOOKUP(C524,'PL TOTAL D0'!$A$3:$A$1991,'PL TOTAL D0'!$C$3:$C$1991,"")</f>
        <v/>
      </c>
    </row>
    <row r="525" ht="15.75" customHeight="1">
      <c r="A525" s="43" t="s">
        <v>24</v>
      </c>
      <c r="B525" s="43" t="s">
        <v>6732</v>
      </c>
      <c r="C525" s="94" t="s">
        <v>6733</v>
      </c>
      <c r="D525" s="30" t="s">
        <v>120</v>
      </c>
      <c r="E525" s="22" t="s">
        <v>199</v>
      </c>
      <c r="F525" s="30" t="s">
        <v>707</v>
      </c>
      <c r="G525" s="47" t="str">
        <f t="shared" si="25"/>
        <v>David</v>
      </c>
      <c r="H525" s="49" t="s">
        <v>295</v>
      </c>
      <c r="I525" s="49" t="s">
        <v>382</v>
      </c>
      <c r="J525" s="47" t="str">
        <f t="shared" si="27"/>
        <v>Não</v>
      </c>
      <c r="K525" s="54">
        <v>45974.0</v>
      </c>
      <c r="L525" s="62"/>
      <c r="M525" s="32" t="s">
        <v>390</v>
      </c>
      <c r="N525" s="56">
        <v>0.005</v>
      </c>
      <c r="O525" s="23" t="s">
        <v>66</v>
      </c>
      <c r="P525" s="57">
        <v>0.0</v>
      </c>
      <c r="Q525" s="58"/>
      <c r="R525" s="70"/>
      <c r="S525" s="32" t="s">
        <v>194</v>
      </c>
      <c r="T525" s="32" t="s">
        <v>6736</v>
      </c>
      <c r="U525" s="33" t="s">
        <v>6738</v>
      </c>
      <c r="V525" s="33" t="s">
        <v>6740</v>
      </c>
      <c r="W525" s="48">
        <v>35555.0</v>
      </c>
      <c r="X525" s="23" t="s">
        <v>199</v>
      </c>
      <c r="Y525" s="49" t="str">
        <f t="shared" si="22"/>
        <v>Ativo</v>
      </c>
      <c r="Z525" s="62"/>
      <c r="AA525" s="32" t="s">
        <v>47</v>
      </c>
      <c r="AB525" s="64"/>
      <c r="AC525" s="79"/>
      <c r="AD525" s="54">
        <v>45975.0</v>
      </c>
      <c r="AE525" s="148">
        <v>4.9075100019691E13</v>
      </c>
      <c r="AF525" s="79"/>
      <c r="AG525" s="79"/>
      <c r="AH525" s="79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  <c r="BE525" s="65"/>
      <c r="BF525" s="65"/>
      <c r="BG525" s="65"/>
      <c r="BH525" s="65"/>
      <c r="BI525" s="65"/>
      <c r="BJ525" s="65"/>
      <c r="BK525" s="65"/>
      <c r="BL525" s="65"/>
      <c r="BM525" s="65"/>
      <c r="BN525" s="65"/>
      <c r="BO525" s="65"/>
      <c r="BP525" s="65"/>
      <c r="BQ525" s="65">
        <v>4010.52</v>
      </c>
      <c r="BR525" s="65">
        <v>4562.18</v>
      </c>
      <c r="BS525" s="65">
        <v>4615.07</v>
      </c>
      <c r="BT525" s="88">
        <v>4660.88</v>
      </c>
      <c r="BU525" s="65">
        <v>0.21</v>
      </c>
      <c r="BV525" s="65">
        <v>0.21</v>
      </c>
      <c r="BW525" s="90">
        <v>0.21</v>
      </c>
      <c r="BX525" s="90">
        <v>0.21</v>
      </c>
      <c r="BY525" s="90" t="str">
        <f t="array" ref="BY525">XLOOKUP(C525,'PL TOTAL D0'!$A$3:$A$1991,'PL TOTAL D0'!$C$3:$C$1991,"")</f>
        <v/>
      </c>
    </row>
    <row r="526" ht="15.75" customHeight="1">
      <c r="A526" s="43" t="s">
        <v>24</v>
      </c>
      <c r="B526" s="43" t="s">
        <v>907</v>
      </c>
      <c r="C526" s="53" t="s">
        <v>6748</v>
      </c>
      <c r="D526" s="30" t="s">
        <v>27</v>
      </c>
      <c r="E526" s="22" t="s">
        <v>28</v>
      </c>
      <c r="F526" s="30" t="s">
        <v>908</v>
      </c>
      <c r="G526" s="47" t="str">
        <f t="shared" si="25"/>
        <v>David</v>
      </c>
      <c r="H526" s="49" t="s">
        <v>335</v>
      </c>
      <c r="I526" s="49" t="s">
        <v>66</v>
      </c>
      <c r="J526" s="47" t="str">
        <f t="shared" si="27"/>
        <v>Sim</v>
      </c>
      <c r="K526" s="54">
        <v>46233.0</v>
      </c>
      <c r="L526" s="62"/>
      <c r="M526" s="32" t="s">
        <v>61</v>
      </c>
      <c r="N526" s="56">
        <v>0.009</v>
      </c>
      <c r="O526" s="23" t="s">
        <v>66</v>
      </c>
      <c r="P526" s="57">
        <v>0.0</v>
      </c>
      <c r="Q526" s="58" t="s">
        <v>916</v>
      </c>
      <c r="R526" s="70"/>
      <c r="S526" s="32" t="s">
        <v>194</v>
      </c>
      <c r="T526" s="32" t="s">
        <v>919</v>
      </c>
      <c r="U526" s="33" t="s">
        <v>920</v>
      </c>
      <c r="V526" s="33" t="s">
        <v>921</v>
      </c>
      <c r="W526" s="48">
        <v>26731.0</v>
      </c>
      <c r="X526" s="23" t="s">
        <v>28</v>
      </c>
      <c r="Y526" s="49" t="str">
        <f t="shared" si="22"/>
        <v>Ativo</v>
      </c>
      <c r="Z526" s="62"/>
      <c r="AA526" s="32" t="s">
        <v>165</v>
      </c>
      <c r="AB526" s="64"/>
      <c r="AC526" s="79"/>
      <c r="AD526" s="54"/>
      <c r="AE526" s="148"/>
      <c r="AF526" s="79"/>
      <c r="AG526" s="79"/>
      <c r="AH526" s="79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  <c r="BE526" s="65"/>
      <c r="BF526" s="65"/>
      <c r="BG526" s="65"/>
      <c r="BH526" s="65"/>
      <c r="BI526" s="65"/>
      <c r="BJ526" s="65"/>
      <c r="BK526" s="65"/>
      <c r="BL526" s="65"/>
      <c r="BM526" s="65"/>
      <c r="BN526" s="65"/>
      <c r="BO526" s="65"/>
      <c r="BP526" s="65"/>
      <c r="BQ526" s="65"/>
      <c r="BR526" s="65"/>
      <c r="BS526" s="65"/>
      <c r="BT526" s="88"/>
      <c r="BU526" s="65"/>
      <c r="BV526" s="65"/>
      <c r="BW526" s="90"/>
      <c r="BX526" s="90"/>
      <c r="BY526" s="90"/>
    </row>
    <row r="527" ht="15.75" customHeight="1">
      <c r="A527" s="50" t="s">
        <v>24</v>
      </c>
      <c r="B527" s="50" t="s">
        <v>6758</v>
      </c>
      <c r="C527" s="94" t="s">
        <v>6759</v>
      </c>
      <c r="D527" s="81" t="s">
        <v>120</v>
      </c>
      <c r="E527" s="95" t="s">
        <v>54</v>
      </c>
      <c r="F527" s="81" t="s">
        <v>348</v>
      </c>
      <c r="G527" s="47" t="str">
        <f t="shared" si="25"/>
        <v>David</v>
      </c>
      <c r="H527" s="49" t="s">
        <v>224</v>
      </c>
      <c r="I527" s="49" t="s">
        <v>66</v>
      </c>
      <c r="J527" s="47" t="str">
        <f t="shared" si="27"/>
        <v>Não</v>
      </c>
      <c r="K527" s="97">
        <v>44945.0</v>
      </c>
      <c r="L527" s="121">
        <v>45980.0</v>
      </c>
      <c r="M527" s="62" t="s">
        <v>61</v>
      </c>
      <c r="N527" s="98">
        <v>0.012</v>
      </c>
      <c r="O527" s="47" t="s">
        <v>66</v>
      </c>
      <c r="P527" s="99">
        <v>0.0</v>
      </c>
      <c r="Q527" s="58"/>
      <c r="R527" s="70"/>
      <c r="S527" s="62" t="s">
        <v>194</v>
      </c>
      <c r="T527" s="32" t="s">
        <v>6762</v>
      </c>
      <c r="U527" s="33" t="s">
        <v>268</v>
      </c>
      <c r="V527" s="33"/>
      <c r="W527" s="33" t="s">
        <v>268</v>
      </c>
      <c r="X527" s="23" t="s">
        <v>54</v>
      </c>
      <c r="Y527" s="49" t="str">
        <f t="shared" si="22"/>
        <v>Encerrado</v>
      </c>
      <c r="Z527" s="62"/>
      <c r="AA527" s="62"/>
      <c r="AB527" s="64" t="s">
        <v>269</v>
      </c>
      <c r="AC527" s="79"/>
      <c r="AD527" s="54">
        <v>44945.0</v>
      </c>
      <c r="AE527" s="77">
        <v>4.9075100005818E13</v>
      </c>
      <c r="AF527" s="79"/>
      <c r="AG527" s="79"/>
      <c r="AH527" s="79"/>
      <c r="AI527" s="65">
        <v>1922920.39</v>
      </c>
      <c r="AJ527" s="65">
        <v>2493271.63</v>
      </c>
      <c r="AK527" s="65">
        <v>2520762.31</v>
      </c>
      <c r="AL527" s="65">
        <v>2538779.45</v>
      </c>
      <c r="AM527" s="65">
        <v>2566640.21</v>
      </c>
      <c r="AN527" s="65">
        <v>2590353.9</v>
      </c>
      <c r="AO527" s="65">
        <v>2613104.75</v>
      </c>
      <c r="AP527" s="65">
        <v>2636690.92</v>
      </c>
      <c r="AQ527" s="65">
        <v>2658373.0</v>
      </c>
      <c r="AR527" s="65">
        <v>2682028.77</v>
      </c>
      <c r="AS527" s="65">
        <v>2701699.72</v>
      </c>
      <c r="AT527" s="65">
        <v>2722116.52</v>
      </c>
      <c r="AU527" s="65">
        <v>2714748.31</v>
      </c>
      <c r="AV527" s="65">
        <v>643021.64</v>
      </c>
      <c r="AW527" s="65">
        <v>648589.35</v>
      </c>
      <c r="AX527" s="65">
        <v>585320.19</v>
      </c>
      <c r="AY527" s="65">
        <v>590091.3</v>
      </c>
      <c r="AZ527" s="65">
        <v>594830.0</v>
      </c>
      <c r="BA527" s="65">
        <v>599797.1</v>
      </c>
      <c r="BB527" s="65">
        <v>602394.51</v>
      </c>
      <c r="BC527" s="65">
        <v>606345.25</v>
      </c>
      <c r="BD527" s="65">
        <v>610827.78</v>
      </c>
      <c r="BE527" s="65">
        <v>612767.75</v>
      </c>
      <c r="BF527" s="65">
        <v>618149.37</v>
      </c>
      <c r="BG527" s="65">
        <v>0.0</v>
      </c>
      <c r="BH527" s="65">
        <v>0.0</v>
      </c>
      <c r="BI527" s="65">
        <v>0.0</v>
      </c>
      <c r="BJ527" s="65">
        <v>211104.17</v>
      </c>
      <c r="BK527" s="65">
        <v>212928.01</v>
      </c>
      <c r="BL527" s="65">
        <v>0.0</v>
      </c>
      <c r="BM527" s="65">
        <v>0.0</v>
      </c>
      <c r="BN527" s="65">
        <v>0.0</v>
      </c>
      <c r="BO527" s="65">
        <v>0.0</v>
      </c>
      <c r="BP527" s="65">
        <v>0.0</v>
      </c>
      <c r="BQ527" s="65">
        <v>0.0</v>
      </c>
      <c r="BR527" s="65">
        <v>0.0</v>
      </c>
      <c r="BS527" s="65">
        <v>0.0</v>
      </c>
      <c r="BT527" s="88">
        <v>0.0</v>
      </c>
      <c r="BU527" s="65">
        <v>0.0</v>
      </c>
      <c r="BV527" s="65">
        <v>0.0</v>
      </c>
      <c r="BW527" s="90">
        <v>0.0</v>
      </c>
      <c r="BX527" s="90">
        <v>0.0</v>
      </c>
      <c r="BY527" s="90" t="str">
        <f t="array" ref="BY527">XLOOKUP(C527,'PL TOTAL D0'!$A$3:$A$1991,'PL TOTAL D0'!$C$3:$C$1991,"")</f>
        <v/>
      </c>
    </row>
    <row r="528" ht="15.75" customHeight="1">
      <c r="A528" s="50" t="s">
        <v>24</v>
      </c>
      <c r="B528" s="50" t="s">
        <v>6770</v>
      </c>
      <c r="C528" s="94" t="s">
        <v>6771</v>
      </c>
      <c r="D528" s="30" t="s">
        <v>89</v>
      </c>
      <c r="E528" s="95" t="s">
        <v>91</v>
      </c>
      <c r="F528" s="81" t="s">
        <v>193</v>
      </c>
      <c r="G528" s="47" t="str">
        <f t="shared" si="25"/>
        <v>David</v>
      </c>
      <c r="H528" s="49" t="s">
        <v>224</v>
      </c>
      <c r="I528" s="49" t="s">
        <v>66</v>
      </c>
      <c r="J528" s="47" t="str">
        <f t="shared" si="27"/>
        <v>Não</v>
      </c>
      <c r="K528" s="54">
        <v>45028.0</v>
      </c>
      <c r="L528" s="55">
        <v>45769.0</v>
      </c>
      <c r="M528" s="32" t="s">
        <v>1360</v>
      </c>
      <c r="N528" s="98">
        <v>0.015</v>
      </c>
      <c r="O528" s="23" t="s">
        <v>66</v>
      </c>
      <c r="P528" s="57">
        <v>0.0</v>
      </c>
      <c r="Q528" s="58"/>
      <c r="R528" s="58" t="s">
        <v>6773</v>
      </c>
      <c r="S528" s="62" t="s">
        <v>194</v>
      </c>
      <c r="T528" s="32" t="s">
        <v>5476</v>
      </c>
      <c r="U528" s="33" t="s">
        <v>268</v>
      </c>
      <c r="V528" s="33"/>
      <c r="W528" s="33" t="s">
        <v>268</v>
      </c>
      <c r="X528" s="23" t="s">
        <v>199</v>
      </c>
      <c r="Y528" s="49" t="str">
        <f t="shared" si="22"/>
        <v>Encerrado</v>
      </c>
      <c r="Z528" s="62"/>
      <c r="AA528" s="32" t="s">
        <v>47</v>
      </c>
      <c r="AB528" s="64" t="s">
        <v>269</v>
      </c>
      <c r="AC528" s="79"/>
      <c r="AD528" s="54">
        <v>45028.0</v>
      </c>
      <c r="AE528" s="77">
        <v>4.907510000991E13</v>
      </c>
      <c r="AF528" s="79"/>
      <c r="AG528" s="79"/>
      <c r="AH528" s="79"/>
      <c r="AI528" s="65">
        <v>0.0</v>
      </c>
      <c r="AJ528" s="65">
        <v>0.0</v>
      </c>
      <c r="AK528" s="65">
        <v>0.0</v>
      </c>
      <c r="AL528" s="65">
        <v>1257106.81</v>
      </c>
      <c r="AM528" s="65">
        <v>1279464.7</v>
      </c>
      <c r="AN528" s="65">
        <v>1303880.5</v>
      </c>
      <c r="AO528" s="65">
        <v>1319712.68</v>
      </c>
      <c r="AP528" s="65">
        <v>1301655.48</v>
      </c>
      <c r="AQ528" s="65">
        <v>1306517.9</v>
      </c>
      <c r="AR528" s="65">
        <v>1294721.43</v>
      </c>
      <c r="AS528" s="65">
        <v>1309541.25</v>
      </c>
      <c r="AT528" s="65">
        <v>1332806.55</v>
      </c>
      <c r="AU528" s="65">
        <v>935959.23</v>
      </c>
      <c r="AV528" s="65">
        <v>939767.14</v>
      </c>
      <c r="AW528" s="65">
        <v>929335.64</v>
      </c>
      <c r="AX528" s="65">
        <v>915961.54</v>
      </c>
      <c r="AY528" s="65">
        <v>900357.0</v>
      </c>
      <c r="AZ528" s="65">
        <v>878661.4</v>
      </c>
      <c r="BA528" s="65">
        <v>883206.4</v>
      </c>
      <c r="BB528" s="65">
        <v>883857.18</v>
      </c>
      <c r="BC528" s="65">
        <v>0.0</v>
      </c>
      <c r="BD528" s="65">
        <v>854080.34</v>
      </c>
      <c r="BE528" s="65">
        <v>841477.71</v>
      </c>
      <c r="BF528" s="65">
        <v>834285.66</v>
      </c>
      <c r="BG528" s="65">
        <v>668754.41</v>
      </c>
      <c r="BH528" s="65">
        <v>662144.55</v>
      </c>
      <c r="BI528" s="65">
        <v>0.0</v>
      </c>
      <c r="BJ528" s="65">
        <v>0.0</v>
      </c>
      <c r="BK528" s="65">
        <v>0.0</v>
      </c>
      <c r="BL528" s="65">
        <v>0.0</v>
      </c>
      <c r="BM528" s="65">
        <v>0.0</v>
      </c>
      <c r="BN528" s="65">
        <v>0.0</v>
      </c>
      <c r="BO528" s="65">
        <v>0.0</v>
      </c>
      <c r="BP528" s="65">
        <v>0.0</v>
      </c>
      <c r="BQ528" s="65">
        <v>0.0</v>
      </c>
      <c r="BR528" s="65">
        <v>0.0</v>
      </c>
      <c r="BS528" s="65">
        <v>0.0</v>
      </c>
      <c r="BT528" s="88">
        <v>0.0</v>
      </c>
      <c r="BU528" s="65">
        <v>0.0</v>
      </c>
      <c r="BV528" s="65">
        <v>0.0</v>
      </c>
      <c r="BW528" s="90">
        <v>0.0</v>
      </c>
      <c r="BX528" s="90">
        <v>0.0</v>
      </c>
      <c r="BY528" s="90" t="str">
        <f t="array" ref="BY528">XLOOKUP(C528,'PL TOTAL D0'!$A$3:$A$1991,'PL TOTAL D0'!$C$3:$C$1991,"")</f>
        <v/>
      </c>
    </row>
    <row r="529" ht="15.75" customHeight="1">
      <c r="A529" s="50" t="s">
        <v>24</v>
      </c>
      <c r="B529" s="43" t="s">
        <v>6783</v>
      </c>
      <c r="C529" s="94" t="s">
        <v>3035</v>
      </c>
      <c r="D529" s="30" t="s">
        <v>120</v>
      </c>
      <c r="E529" s="22" t="s">
        <v>199</v>
      </c>
      <c r="F529" s="30" t="s">
        <v>388</v>
      </c>
      <c r="G529" s="47" t="str">
        <f t="shared" si="25"/>
        <v>Gabriel</v>
      </c>
      <c r="H529" s="49" t="s">
        <v>183</v>
      </c>
      <c r="I529" s="49" t="s">
        <v>66</v>
      </c>
      <c r="J529" s="47" t="str">
        <f t="shared" si="27"/>
        <v>Não</v>
      </c>
      <c r="K529" s="54">
        <v>45470.0</v>
      </c>
      <c r="L529" s="62"/>
      <c r="M529" s="32" t="s">
        <v>61</v>
      </c>
      <c r="N529" s="56">
        <v>0.011</v>
      </c>
      <c r="O529" s="23" t="s">
        <v>66</v>
      </c>
      <c r="P529" s="57">
        <v>0.0</v>
      </c>
      <c r="Q529" s="58"/>
      <c r="R529" s="635"/>
      <c r="S529" s="32" t="s">
        <v>194</v>
      </c>
      <c r="T529" s="32" t="s">
        <v>6784</v>
      </c>
      <c r="U529" s="33">
        <v>5.5999324483E10</v>
      </c>
      <c r="V529" s="33" t="s">
        <v>6785</v>
      </c>
      <c r="W529" s="48">
        <v>21111.0</v>
      </c>
      <c r="X529" s="23" t="s">
        <v>199</v>
      </c>
      <c r="Y529" s="49" t="str">
        <f t="shared" si="22"/>
        <v>Ativo</v>
      </c>
      <c r="Z529" s="32"/>
      <c r="AA529" s="32" t="s">
        <v>47</v>
      </c>
      <c r="AB529" s="64" t="s">
        <v>269</v>
      </c>
      <c r="AC529" s="79"/>
      <c r="AD529" s="54">
        <v>45470.0</v>
      </c>
      <c r="AE529" s="77">
        <v>4.9075100015236E13</v>
      </c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65"/>
      <c r="AW529" s="65"/>
      <c r="AX529" s="65"/>
      <c r="AY529" s="65"/>
      <c r="AZ529" s="65">
        <v>300000.0</v>
      </c>
      <c r="BA529" s="65">
        <v>302866.7</v>
      </c>
      <c r="BB529" s="65">
        <v>305588.93</v>
      </c>
      <c r="BC529" s="65">
        <v>307567.0</v>
      </c>
      <c r="BD529" s="65">
        <v>310419.04</v>
      </c>
      <c r="BE529" s="65">
        <v>262014.58</v>
      </c>
      <c r="BF529" s="65">
        <v>258702.58</v>
      </c>
      <c r="BG529" s="65">
        <v>316466.76</v>
      </c>
      <c r="BH529" s="65">
        <v>319317.25</v>
      </c>
      <c r="BI529" s="65">
        <v>322814.74</v>
      </c>
      <c r="BJ529" s="65">
        <v>326103.43</v>
      </c>
      <c r="BK529" s="65">
        <v>329396.11</v>
      </c>
      <c r="BL529" s="65">
        <v>331843.55</v>
      </c>
      <c r="BM529" s="65">
        <v>335315.76</v>
      </c>
      <c r="BN529" s="65">
        <v>338464.3</v>
      </c>
      <c r="BO529" s="65">
        <v>341339.69</v>
      </c>
      <c r="BP529" s="65">
        <v>345215.0</v>
      </c>
      <c r="BQ529" s="65">
        <v>347974.5</v>
      </c>
      <c r="BR529" s="65">
        <v>348661.4</v>
      </c>
      <c r="BS529" s="65">
        <v>352458.4</v>
      </c>
      <c r="BT529" s="88">
        <v>355230.6</v>
      </c>
      <c r="BU529" s="65">
        <v>339300.3</v>
      </c>
      <c r="BV529" s="65">
        <v>343166.6</v>
      </c>
      <c r="BW529" s="90">
        <v>326666.9</v>
      </c>
      <c r="BX529" s="90">
        <v>319442.49</v>
      </c>
      <c r="BY529" s="90">
        <f t="array" ref="BY529">XLOOKUP(C529,'PL TOTAL D0'!$A$3:$A$1991,'PL TOTAL D0'!$C$3:$C$1991,"")</f>
        <v>322436.32</v>
      </c>
    </row>
    <row r="530" ht="15.75" customHeight="1">
      <c r="A530" s="50" t="s">
        <v>24</v>
      </c>
      <c r="B530" s="43" t="s">
        <v>6783</v>
      </c>
      <c r="C530" s="94" t="s">
        <v>6789</v>
      </c>
      <c r="D530" s="30" t="s">
        <v>120</v>
      </c>
      <c r="E530" s="22" t="s">
        <v>199</v>
      </c>
      <c r="F530" s="30" t="s">
        <v>388</v>
      </c>
      <c r="G530" s="47" t="str">
        <f t="shared" si="25"/>
        <v>David</v>
      </c>
      <c r="H530" s="49" t="s">
        <v>295</v>
      </c>
      <c r="I530" s="49" t="s">
        <v>382</v>
      </c>
      <c r="J530" s="47" t="str">
        <f t="shared" si="27"/>
        <v>Não</v>
      </c>
      <c r="K530" s="54">
        <v>45470.0</v>
      </c>
      <c r="L530" s="62"/>
      <c r="M530" s="32" t="s">
        <v>231</v>
      </c>
      <c r="N530" s="56">
        <v>0.018</v>
      </c>
      <c r="O530" s="23" t="s">
        <v>233</v>
      </c>
      <c r="P530" s="57">
        <v>0.2</v>
      </c>
      <c r="Q530" s="58"/>
      <c r="R530" s="635"/>
      <c r="S530" s="32" t="s">
        <v>194</v>
      </c>
      <c r="T530" s="32" t="s">
        <v>6784</v>
      </c>
      <c r="U530" s="33">
        <v>5.5999324483E10</v>
      </c>
      <c r="V530" s="33" t="s">
        <v>6785</v>
      </c>
      <c r="W530" s="48">
        <v>21111.0</v>
      </c>
      <c r="X530" s="23" t="s">
        <v>199</v>
      </c>
      <c r="Y530" s="49" t="str">
        <f t="shared" si="22"/>
        <v>Inativo</v>
      </c>
      <c r="Z530" s="32"/>
      <c r="AA530" s="32" t="s">
        <v>47</v>
      </c>
      <c r="AB530" s="64" t="s">
        <v>269</v>
      </c>
      <c r="AC530" s="79"/>
      <c r="AD530" s="54">
        <v>45470.0</v>
      </c>
      <c r="AE530" s="77">
        <v>4.9075100014957E13</v>
      </c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65"/>
      <c r="AW530" s="65"/>
      <c r="AX530" s="65"/>
      <c r="AY530" s="65"/>
      <c r="AZ530" s="65">
        <v>0.0</v>
      </c>
      <c r="BA530" s="65">
        <v>0.0</v>
      </c>
      <c r="BB530" s="65">
        <v>0.0</v>
      </c>
      <c r="BC530" s="65">
        <v>0.0</v>
      </c>
      <c r="BD530" s="65">
        <v>0.0</v>
      </c>
      <c r="BE530" s="65">
        <v>0.0</v>
      </c>
      <c r="BF530" s="65">
        <v>0.0</v>
      </c>
      <c r="BG530" s="65">
        <v>0.0</v>
      </c>
      <c r="BH530" s="65">
        <v>0.0</v>
      </c>
      <c r="BI530" s="65">
        <v>0.0</v>
      </c>
      <c r="BJ530" s="65">
        <v>0.0</v>
      </c>
      <c r="BK530" s="65">
        <v>0.0</v>
      </c>
      <c r="BL530" s="65">
        <v>0.0</v>
      </c>
      <c r="BM530" s="65">
        <v>0.0</v>
      </c>
      <c r="BN530" s="65">
        <v>0.0</v>
      </c>
      <c r="BO530" s="65">
        <v>0.0</v>
      </c>
      <c r="BP530" s="65">
        <v>0.0</v>
      </c>
      <c r="BQ530" s="65">
        <v>0.0</v>
      </c>
      <c r="BR530" s="65">
        <v>0.0</v>
      </c>
      <c r="BS530" s="65">
        <v>0.0</v>
      </c>
      <c r="BT530" s="88">
        <v>0.0</v>
      </c>
      <c r="BU530" s="65">
        <v>0.0</v>
      </c>
      <c r="BV530" s="65">
        <v>0.0</v>
      </c>
      <c r="BW530" s="90">
        <v>0.0</v>
      </c>
      <c r="BX530" s="90">
        <v>0.0</v>
      </c>
      <c r="BY530" s="90" t="str">
        <f t="array" ref="BY530">XLOOKUP(C530,'PL TOTAL D0'!$A$3:$A$1991,'PL TOTAL D0'!$C$3:$C$1991,"")</f>
        <v/>
      </c>
    </row>
    <row r="531" ht="15.75" customHeight="1">
      <c r="A531" s="50" t="s">
        <v>24</v>
      </c>
      <c r="B531" s="43" t="s">
        <v>6798</v>
      </c>
      <c r="C531" s="94" t="s">
        <v>6799</v>
      </c>
      <c r="D531" s="30" t="s">
        <v>249</v>
      </c>
      <c r="E531" s="22" t="s">
        <v>199</v>
      </c>
      <c r="F531" s="30" t="s">
        <v>251</v>
      </c>
      <c r="G531" s="47" t="str">
        <f t="shared" si="25"/>
        <v>David</v>
      </c>
      <c r="H531" s="49" t="s">
        <v>224</v>
      </c>
      <c r="I531" s="49" t="s">
        <v>66</v>
      </c>
      <c r="J531" s="47" t="str">
        <f t="shared" si="27"/>
        <v>Não</v>
      </c>
      <c r="K531" s="54">
        <v>46014.0</v>
      </c>
      <c r="L531" s="55">
        <v>46213.0</v>
      </c>
      <c r="M531" s="32" t="s">
        <v>390</v>
      </c>
      <c r="N531" s="56">
        <v>0.005</v>
      </c>
      <c r="O531" s="23" t="s">
        <v>66</v>
      </c>
      <c r="P531" s="57">
        <v>0.0</v>
      </c>
      <c r="Q531" s="58"/>
      <c r="R531" s="635"/>
      <c r="S531" s="32" t="s">
        <v>194</v>
      </c>
      <c r="T531" s="32" t="s">
        <v>6805</v>
      </c>
      <c r="U531" s="33" t="s">
        <v>6806</v>
      </c>
      <c r="V531" s="33" t="s">
        <v>6807</v>
      </c>
      <c r="W531" s="33" t="s">
        <v>6808</v>
      </c>
      <c r="X531" s="23" t="s">
        <v>199</v>
      </c>
      <c r="Y531" s="49" t="str">
        <f t="shared" si="22"/>
        <v>Encerrado</v>
      </c>
      <c r="Z531" s="32"/>
      <c r="AA531" s="32" t="s">
        <v>107</v>
      </c>
      <c r="AB531" s="64"/>
      <c r="AC531" s="79"/>
      <c r="AD531" s="23" t="s">
        <v>1239</v>
      </c>
      <c r="AE531" s="77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65"/>
      <c r="AW531" s="65"/>
      <c r="AX531" s="65"/>
      <c r="AY531" s="65"/>
      <c r="AZ531" s="65"/>
      <c r="BA531" s="65"/>
      <c r="BB531" s="65"/>
      <c r="BC531" s="65"/>
      <c r="BD531" s="65"/>
      <c r="BE531" s="65"/>
      <c r="BF531" s="65"/>
      <c r="BG531" s="65"/>
      <c r="BH531" s="65"/>
      <c r="BI531" s="65"/>
      <c r="BJ531" s="65"/>
      <c r="BK531" s="65"/>
      <c r="BL531" s="65"/>
      <c r="BM531" s="65"/>
      <c r="BN531" s="65"/>
      <c r="BO531" s="65"/>
      <c r="BP531" s="65"/>
      <c r="BQ531" s="65"/>
      <c r="BR531" s="65">
        <v>50124.97</v>
      </c>
      <c r="BS531" s="65">
        <v>50799.39</v>
      </c>
      <c r="BT531" s="88">
        <v>52776.98</v>
      </c>
      <c r="BU531" s="65">
        <v>53369.38</v>
      </c>
      <c r="BV531" s="65">
        <v>53926.84</v>
      </c>
      <c r="BW531" s="90">
        <v>40622.49</v>
      </c>
      <c r="BX531" s="90">
        <v>36103.54</v>
      </c>
      <c r="BY531" s="90" t="str">
        <f t="array" ref="BY531">XLOOKUP(C531,'PL TOTAL D0'!$A$3:$A$1991,'PL TOTAL D0'!$C$3:$C$1991,"")</f>
        <v/>
      </c>
    </row>
    <row r="532" ht="15.75" customHeight="1">
      <c r="A532" s="50" t="s">
        <v>24</v>
      </c>
      <c r="B532" s="176" t="s">
        <v>922</v>
      </c>
      <c r="C532" s="94" t="s">
        <v>2926</v>
      </c>
      <c r="D532" s="30" t="s">
        <v>89</v>
      </c>
      <c r="E532" s="95" t="s">
        <v>91</v>
      </c>
      <c r="F532" s="81" t="s">
        <v>521</v>
      </c>
      <c r="G532" s="47" t="str">
        <f t="shared" si="25"/>
        <v>Gabriel</v>
      </c>
      <c r="H532" s="49" t="s">
        <v>183</v>
      </c>
      <c r="I532" s="49" t="s">
        <v>66</v>
      </c>
      <c r="J532" s="47" t="str">
        <f t="shared" si="27"/>
        <v>Não</v>
      </c>
      <c r="K532" s="97">
        <v>45028.0</v>
      </c>
      <c r="L532" s="62"/>
      <c r="M532" s="32" t="s">
        <v>1360</v>
      </c>
      <c r="N532" s="98">
        <v>0.015</v>
      </c>
      <c r="O532" s="23" t="s">
        <v>66</v>
      </c>
      <c r="P532" s="57">
        <v>0.0</v>
      </c>
      <c r="Q532" s="58"/>
      <c r="R532" s="58" t="s">
        <v>5534</v>
      </c>
      <c r="S532" s="62" t="s">
        <v>194</v>
      </c>
      <c r="T532" s="32" t="s">
        <v>927</v>
      </c>
      <c r="U532" s="33">
        <v>4.3999555128E10</v>
      </c>
      <c r="V532" s="33" t="s">
        <v>929</v>
      </c>
      <c r="W532" s="34">
        <v>29438.0</v>
      </c>
      <c r="X532" s="23" t="s">
        <v>221</v>
      </c>
      <c r="Y532" s="49" t="str">
        <f t="shared" si="22"/>
        <v>Ativo</v>
      </c>
      <c r="Z532" s="62"/>
      <c r="AA532" s="32" t="s">
        <v>165</v>
      </c>
      <c r="AB532" s="64" t="s">
        <v>269</v>
      </c>
      <c r="AC532" s="79"/>
      <c r="AD532" s="54">
        <v>45028.0</v>
      </c>
      <c r="AE532" s="77">
        <v>4.9075100003599E13</v>
      </c>
      <c r="AF532" s="79"/>
      <c r="AG532" s="79"/>
      <c r="AH532" s="79"/>
      <c r="AI532" s="79"/>
      <c r="AJ532" s="79"/>
      <c r="AK532" s="65">
        <v>0.0</v>
      </c>
      <c r="AL532" s="65">
        <v>355326.46</v>
      </c>
      <c r="AM532" s="65">
        <v>360391.21</v>
      </c>
      <c r="AN532" s="65">
        <v>366511.0</v>
      </c>
      <c r="AO532" s="65">
        <v>370316.11</v>
      </c>
      <c r="AP532" s="65">
        <v>367855.05</v>
      </c>
      <c r="AQ532" s="65">
        <v>369466.61</v>
      </c>
      <c r="AR532" s="65">
        <v>368762.06</v>
      </c>
      <c r="AS532" s="65">
        <v>376416.68</v>
      </c>
      <c r="AT532" s="65">
        <v>381656.46</v>
      </c>
      <c r="AU532" s="65">
        <v>375998.35</v>
      </c>
      <c r="AV532" s="65">
        <v>378904.15</v>
      </c>
      <c r="AW532" s="65">
        <v>581827.86</v>
      </c>
      <c r="AX532" s="65">
        <v>577271.54</v>
      </c>
      <c r="AY532" s="65">
        <v>574841.0</v>
      </c>
      <c r="AZ532" s="65">
        <v>578389.1</v>
      </c>
      <c r="BA532" s="65">
        <v>586389.0</v>
      </c>
      <c r="BB532" s="65">
        <v>593204.41</v>
      </c>
      <c r="BC532" s="65">
        <v>592285.65</v>
      </c>
      <c r="BD532" s="65">
        <v>588689.73</v>
      </c>
      <c r="BE532" s="65">
        <v>586300.12</v>
      </c>
      <c r="BF532" s="65">
        <v>586165.19</v>
      </c>
      <c r="BG532" s="65">
        <v>594382.37</v>
      </c>
      <c r="BH532" s="65">
        <v>599893.42</v>
      </c>
      <c r="BI532" s="65">
        <v>603755.16</v>
      </c>
      <c r="BJ532" s="65">
        <v>614735.07</v>
      </c>
      <c r="BK532" s="65">
        <v>624940.91</v>
      </c>
      <c r="BL532" s="65">
        <v>629470.56</v>
      </c>
      <c r="BM532" s="65">
        <v>641409.6</v>
      </c>
      <c r="BN532" s="65">
        <v>495844.1</v>
      </c>
      <c r="BO532" s="65">
        <v>501683.88</v>
      </c>
      <c r="BP532" s="65">
        <v>511042.8</v>
      </c>
      <c r="BQ532" s="65">
        <v>510694.4</v>
      </c>
      <c r="BR532" s="65">
        <v>514883.7</v>
      </c>
      <c r="BS532" s="65">
        <v>517859.36</v>
      </c>
      <c r="BT532" s="88">
        <v>520082.0</v>
      </c>
      <c r="BU532" s="65">
        <v>474311.9</v>
      </c>
      <c r="BV532" s="65">
        <v>480019.3</v>
      </c>
      <c r="BW532" s="90">
        <v>485244.1</v>
      </c>
      <c r="BX532" s="90">
        <v>508616.9</v>
      </c>
      <c r="BY532" s="90">
        <f t="array" ref="BY532">XLOOKUP(C532,'PL TOTAL D0'!$A$3:$A$1991,'PL TOTAL D0'!$C$3:$C$1991,"")</f>
        <v>467278.77</v>
      </c>
    </row>
    <row r="533" ht="15.75" customHeight="1">
      <c r="A533" s="50" t="s">
        <v>24</v>
      </c>
      <c r="B533" s="176" t="s">
        <v>6830</v>
      </c>
      <c r="C533" s="94" t="s">
        <v>6831</v>
      </c>
      <c r="D533" s="81" t="s">
        <v>120</v>
      </c>
      <c r="E533" s="95" t="s">
        <v>199</v>
      </c>
      <c r="F533" s="81" t="s">
        <v>1914</v>
      </c>
      <c r="G533" s="47" t="str">
        <f t="shared" si="25"/>
        <v>David</v>
      </c>
      <c r="H533" s="49" t="s">
        <v>224</v>
      </c>
      <c r="I533" s="49" t="s">
        <v>66</v>
      </c>
      <c r="J533" s="47" t="str">
        <f t="shared" si="27"/>
        <v>Não</v>
      </c>
      <c r="K533" s="97">
        <v>45008.0</v>
      </c>
      <c r="L533" s="55">
        <v>45769.0</v>
      </c>
      <c r="M533" s="62" t="s">
        <v>61</v>
      </c>
      <c r="N533" s="98">
        <v>0.012</v>
      </c>
      <c r="O533" s="47" t="s">
        <v>66</v>
      </c>
      <c r="P533" s="99">
        <v>0.0</v>
      </c>
      <c r="Q533" s="58"/>
      <c r="R533" s="635"/>
      <c r="S533" s="62" t="s">
        <v>194</v>
      </c>
      <c r="T533" s="32" t="s">
        <v>6834</v>
      </c>
      <c r="U533" s="33" t="s">
        <v>268</v>
      </c>
      <c r="V533" s="33"/>
      <c r="W533" s="33" t="s">
        <v>268</v>
      </c>
      <c r="X533" s="23" t="s">
        <v>397</v>
      </c>
      <c r="Y533" s="49" t="str">
        <f t="shared" si="22"/>
        <v>Encerrado</v>
      </c>
      <c r="Z533" s="62"/>
      <c r="AA533" s="62"/>
      <c r="AB533" s="64" t="s">
        <v>269</v>
      </c>
      <c r="AC533" s="79"/>
      <c r="AD533" s="54">
        <v>45008.0</v>
      </c>
      <c r="AE533" s="77">
        <v>4.9075100008167E13</v>
      </c>
      <c r="AF533" s="79"/>
      <c r="AG533" s="79"/>
      <c r="AH533" s="79"/>
      <c r="AI533" s="79"/>
      <c r="AJ533" s="79"/>
      <c r="AK533" s="65">
        <v>501068.64</v>
      </c>
      <c r="AL533" s="65">
        <v>504869.41</v>
      </c>
      <c r="AM533" s="65">
        <v>510334.32</v>
      </c>
      <c r="AN533" s="65">
        <v>514928.52</v>
      </c>
      <c r="AO533" s="65">
        <v>519371.42</v>
      </c>
      <c r="AP533" s="65">
        <v>524719.4</v>
      </c>
      <c r="AQ533" s="65">
        <v>529041.09</v>
      </c>
      <c r="AR533" s="65">
        <v>533677.29</v>
      </c>
      <c r="AS533" s="65">
        <v>534608.02</v>
      </c>
      <c r="AT533" s="65">
        <v>538744.15</v>
      </c>
      <c r="AU533" s="65">
        <v>543769.68</v>
      </c>
      <c r="AV533" s="65">
        <v>548219.32</v>
      </c>
      <c r="AW533" s="65">
        <v>550429.91</v>
      </c>
      <c r="AX533" s="65">
        <v>552172.42</v>
      </c>
      <c r="AY533" s="65">
        <v>556571.5</v>
      </c>
      <c r="AZ533" s="65">
        <v>560574.7</v>
      </c>
      <c r="BA533" s="65">
        <v>535078.9</v>
      </c>
      <c r="BB533" s="65">
        <v>539239.78</v>
      </c>
      <c r="BC533" s="65">
        <v>491506.42</v>
      </c>
      <c r="BD533" s="65">
        <v>495811.48</v>
      </c>
      <c r="BE533" s="65">
        <v>498812.2</v>
      </c>
      <c r="BF533" s="65">
        <v>480750.12</v>
      </c>
      <c r="BG533" s="65">
        <v>450074.21</v>
      </c>
      <c r="BH533" s="65">
        <v>453832.14</v>
      </c>
      <c r="BI533" s="65">
        <v>457956.78</v>
      </c>
      <c r="BJ533" s="65">
        <v>0.0</v>
      </c>
      <c r="BK533" s="65">
        <v>0.0</v>
      </c>
      <c r="BL533" s="65">
        <v>0.0</v>
      </c>
      <c r="BM533" s="65">
        <v>0.0</v>
      </c>
      <c r="BN533" s="65">
        <v>0.0</v>
      </c>
      <c r="BO533" s="65">
        <v>0.0</v>
      </c>
      <c r="BP533" s="65">
        <v>0.0</v>
      </c>
      <c r="BQ533" s="65">
        <v>0.0</v>
      </c>
      <c r="BR533" s="65">
        <v>0.0</v>
      </c>
      <c r="BS533" s="65">
        <v>0.0</v>
      </c>
      <c r="BT533" s="88">
        <v>0.0</v>
      </c>
      <c r="BU533" s="65">
        <v>0.0</v>
      </c>
      <c r="BV533" s="65">
        <v>0.0</v>
      </c>
      <c r="BW533" s="90">
        <v>0.0</v>
      </c>
      <c r="BX533" s="90">
        <v>0.0</v>
      </c>
      <c r="BY533" s="90" t="str">
        <f t="array" ref="BY533">XLOOKUP(C533,'PL TOTAL D0'!$A$3:$A$1991,'PL TOTAL D0'!$C$3:$C$1991,"")</f>
        <v/>
      </c>
    </row>
    <row r="534" ht="15.75" customHeight="1">
      <c r="A534" s="50" t="s">
        <v>24</v>
      </c>
      <c r="B534" s="50" t="s">
        <v>6839</v>
      </c>
      <c r="C534" s="94" t="s">
        <v>6840</v>
      </c>
      <c r="D534" s="81" t="s">
        <v>120</v>
      </c>
      <c r="E534" s="95" t="s">
        <v>54</v>
      </c>
      <c r="F534" s="81" t="s">
        <v>1393</v>
      </c>
      <c r="G534" s="47" t="str">
        <f t="shared" si="25"/>
        <v>David</v>
      </c>
      <c r="H534" s="49" t="s">
        <v>295</v>
      </c>
      <c r="I534" s="49" t="s">
        <v>382</v>
      </c>
      <c r="J534" s="47" t="str">
        <f t="shared" si="27"/>
        <v>Não</v>
      </c>
      <c r="K534" s="97">
        <v>44909.0</v>
      </c>
      <c r="L534" s="62"/>
      <c r="M534" s="62" t="s">
        <v>61</v>
      </c>
      <c r="N534" s="98">
        <v>0.01</v>
      </c>
      <c r="O534" s="47" t="s">
        <v>66</v>
      </c>
      <c r="P534" s="99">
        <v>0.0</v>
      </c>
      <c r="Q534" s="58"/>
      <c r="R534" s="635"/>
      <c r="S534" s="62" t="s">
        <v>234</v>
      </c>
      <c r="T534" s="32">
        <v>4.7341517000108E13</v>
      </c>
      <c r="U534" s="33">
        <v>5.562999009068E12</v>
      </c>
      <c r="V534" s="33" t="s">
        <v>6841</v>
      </c>
      <c r="W534" s="34">
        <v>44770.0</v>
      </c>
      <c r="X534" s="23" t="s">
        <v>54</v>
      </c>
      <c r="Y534" s="49" t="str">
        <f t="shared" si="22"/>
        <v>Ativo</v>
      </c>
      <c r="Z534" s="62"/>
      <c r="AA534" s="62"/>
      <c r="AB534" s="64" t="s">
        <v>244</v>
      </c>
      <c r="AC534" s="79"/>
      <c r="AD534" s="54">
        <v>44909.0</v>
      </c>
      <c r="AE534" s="77">
        <v>4.9075100004145E13</v>
      </c>
      <c r="AF534" s="79"/>
      <c r="AG534" s="79"/>
      <c r="AH534" s="65">
        <v>1200247.58</v>
      </c>
      <c r="AI534" s="65">
        <v>1178447.93</v>
      </c>
      <c r="AJ534" s="65">
        <v>1152279.75</v>
      </c>
      <c r="AK534" s="65">
        <v>1129848.76</v>
      </c>
      <c r="AL534" s="65">
        <v>1110519.6</v>
      </c>
      <c r="AM534" s="65">
        <v>1098123.19</v>
      </c>
      <c r="AN534" s="65">
        <v>1093084.04</v>
      </c>
      <c r="AO534" s="65">
        <v>1090968.79</v>
      </c>
      <c r="AP534" s="65">
        <v>1064172.67</v>
      </c>
      <c r="AQ534" s="65">
        <v>1072675.14</v>
      </c>
      <c r="AR534" s="65">
        <v>1067565.04</v>
      </c>
      <c r="AS534" s="65">
        <v>1053672.81</v>
      </c>
      <c r="AT534" s="65">
        <v>1045311.94</v>
      </c>
      <c r="AU534" s="65">
        <v>1037210.17</v>
      </c>
      <c r="AV534" s="65">
        <v>896369.06</v>
      </c>
      <c r="AW534" s="65">
        <v>874087.61</v>
      </c>
      <c r="AX534" s="65">
        <v>797210.69</v>
      </c>
      <c r="AY534" s="65">
        <v>716020.1</v>
      </c>
      <c r="AZ534" s="65">
        <v>669078.6</v>
      </c>
      <c r="BA534" s="65">
        <v>652658.7</v>
      </c>
      <c r="BB534" s="65">
        <v>625913.31</v>
      </c>
      <c r="BC534" s="65">
        <v>515910.76</v>
      </c>
      <c r="BD534" s="65">
        <v>477405.78</v>
      </c>
      <c r="BE534" s="65">
        <v>456830.31</v>
      </c>
      <c r="BF534" s="65">
        <v>454773.57</v>
      </c>
      <c r="BG534" s="65">
        <v>0.0</v>
      </c>
      <c r="BH534" s="65">
        <v>35.24</v>
      </c>
      <c r="BI534" s="65">
        <v>35.24</v>
      </c>
      <c r="BJ534" s="65">
        <v>0.0</v>
      </c>
      <c r="BK534" s="65">
        <v>0.0</v>
      </c>
      <c r="BL534" s="65">
        <v>0.0</v>
      </c>
      <c r="BM534" s="65">
        <v>0.0</v>
      </c>
      <c r="BN534" s="65">
        <v>0.0</v>
      </c>
      <c r="BO534" s="65">
        <v>0.0</v>
      </c>
      <c r="BP534" s="65">
        <v>0.0</v>
      </c>
      <c r="BQ534" s="65">
        <v>0.0</v>
      </c>
      <c r="BR534" s="65">
        <v>0.0</v>
      </c>
      <c r="BS534" s="65">
        <v>0.0</v>
      </c>
      <c r="BT534" s="88">
        <v>0.0</v>
      </c>
      <c r="BU534" s="65">
        <v>0.0</v>
      </c>
      <c r="BV534" s="65">
        <v>0.0</v>
      </c>
      <c r="BW534" s="90">
        <v>0.0</v>
      </c>
      <c r="BX534" s="90">
        <v>0.0</v>
      </c>
      <c r="BY534" s="90" t="str">
        <f t="array" ref="BY534">XLOOKUP(C534,'PL TOTAL D0'!$A$3:$A$1991,'PL TOTAL D0'!$C$3:$C$1991,"")</f>
        <v/>
      </c>
    </row>
    <row r="535" ht="15.75" customHeight="1">
      <c r="A535" s="50" t="s">
        <v>24</v>
      </c>
      <c r="B535" s="176" t="s">
        <v>935</v>
      </c>
      <c r="C535" s="94" t="s">
        <v>2519</v>
      </c>
      <c r="D535" s="30" t="s">
        <v>89</v>
      </c>
      <c r="E535" s="95" t="s">
        <v>91</v>
      </c>
      <c r="F535" s="81" t="s">
        <v>521</v>
      </c>
      <c r="G535" s="47" t="str">
        <f t="shared" si="25"/>
        <v>Marcus</v>
      </c>
      <c r="H535" s="49" t="s">
        <v>183</v>
      </c>
      <c r="I535" s="49" t="s">
        <v>66</v>
      </c>
      <c r="J535" s="47" t="str">
        <f t="shared" si="27"/>
        <v>Sim</v>
      </c>
      <c r="K535" s="97">
        <v>45033.0</v>
      </c>
      <c r="L535" s="62"/>
      <c r="M535" s="32" t="s">
        <v>1360</v>
      </c>
      <c r="N535" s="56">
        <v>0.015</v>
      </c>
      <c r="O535" s="47" t="s">
        <v>66</v>
      </c>
      <c r="P535" s="99">
        <v>0.0</v>
      </c>
      <c r="Q535" s="58" t="s">
        <v>6843</v>
      </c>
      <c r="R535" s="635"/>
      <c r="S535" s="62" t="s">
        <v>194</v>
      </c>
      <c r="T535" s="32" t="s">
        <v>938</v>
      </c>
      <c r="U535" s="33">
        <v>4.3999553388E10</v>
      </c>
      <c r="V535" s="33" t="s">
        <v>940</v>
      </c>
      <c r="W535" s="34">
        <v>28378.0</v>
      </c>
      <c r="X535" s="23" t="s">
        <v>221</v>
      </c>
      <c r="Y535" s="49" t="str">
        <f t="shared" si="22"/>
        <v>Ativo</v>
      </c>
      <c r="Z535" s="62"/>
      <c r="AA535" s="32" t="s">
        <v>165</v>
      </c>
      <c r="AB535" s="64" t="s">
        <v>269</v>
      </c>
      <c r="AC535" s="79"/>
      <c r="AD535" s="54">
        <v>45033.0</v>
      </c>
      <c r="AE535" s="77">
        <v>4.9075100008515E13</v>
      </c>
      <c r="AF535" s="79"/>
      <c r="AG535" s="79"/>
      <c r="AH535" s="79"/>
      <c r="AI535" s="79"/>
      <c r="AJ535" s="79"/>
      <c r="AK535" s="65">
        <v>0.0</v>
      </c>
      <c r="AL535" s="65">
        <v>15035.36</v>
      </c>
      <c r="AM535" s="65">
        <v>494989.38</v>
      </c>
      <c r="AN535" s="65">
        <v>493279.87</v>
      </c>
      <c r="AO535" s="65">
        <v>532488.02</v>
      </c>
      <c r="AP535" s="65">
        <v>562884.98</v>
      </c>
      <c r="AQ535" s="65">
        <v>592435.26</v>
      </c>
      <c r="AR535" s="65">
        <v>637936.48</v>
      </c>
      <c r="AS535" s="65">
        <v>672615.94</v>
      </c>
      <c r="AT535" s="65">
        <v>717838.38</v>
      </c>
      <c r="AU535" s="65">
        <v>724329.76</v>
      </c>
      <c r="AV535" s="65">
        <v>729024.97</v>
      </c>
      <c r="AW535" s="65">
        <v>765575.63</v>
      </c>
      <c r="AX535" s="65">
        <v>771439.14</v>
      </c>
      <c r="AY535" s="65">
        <v>794094.8</v>
      </c>
      <c r="AZ535" s="65">
        <v>799726.2</v>
      </c>
      <c r="BA535" s="65">
        <v>806135.5</v>
      </c>
      <c r="BB535" s="65">
        <v>810970.14</v>
      </c>
      <c r="BC535" s="65">
        <v>850960.45</v>
      </c>
      <c r="BD535" s="65">
        <v>857994.58</v>
      </c>
      <c r="BE535" s="65">
        <v>1429733.25</v>
      </c>
      <c r="BF535" s="65">
        <v>1474643.03</v>
      </c>
      <c r="BG535" s="65">
        <v>1498067.54</v>
      </c>
      <c r="BH535" s="65">
        <v>1506740.58</v>
      </c>
      <c r="BI535" s="65">
        <v>1509526.02</v>
      </c>
      <c r="BJ535" s="65">
        <v>2290140.68</v>
      </c>
      <c r="BK535" s="65">
        <v>2378012.64</v>
      </c>
      <c r="BL535" s="65">
        <v>2646853.18</v>
      </c>
      <c r="BM535" s="65">
        <v>3110738.43</v>
      </c>
      <c r="BN535" s="65">
        <v>3128921.0</v>
      </c>
      <c r="BO535" s="65">
        <v>3260463.74</v>
      </c>
      <c r="BP535" s="65">
        <v>3103557.0</v>
      </c>
      <c r="BQ535" s="65">
        <v>3116130.0</v>
      </c>
      <c r="BR535" s="65">
        <v>3396164.0</v>
      </c>
      <c r="BS535" s="65">
        <v>3415501.4</v>
      </c>
      <c r="BT535" s="88">
        <v>3379404.0</v>
      </c>
      <c r="BU535" s="65">
        <v>3319785.0</v>
      </c>
      <c r="BV535" s="65">
        <v>3283963.0</v>
      </c>
      <c r="BW535" s="90">
        <v>3263546.0</v>
      </c>
      <c r="BX535" s="90">
        <v>3415164.6</v>
      </c>
      <c r="BY535" s="90">
        <f t="array" ref="BY535">XLOOKUP(C535,'PL TOTAL D0'!$A$3:$A$1991,'PL TOTAL D0'!$C$3:$C$1991,"")</f>
        <v>3297663.6</v>
      </c>
    </row>
    <row r="536" ht="15.75" customHeight="1">
      <c r="A536" s="50" t="s">
        <v>24</v>
      </c>
      <c r="B536" s="176" t="s">
        <v>935</v>
      </c>
      <c r="C536" s="94" t="s">
        <v>6845</v>
      </c>
      <c r="D536" s="30" t="s">
        <v>89</v>
      </c>
      <c r="E536" s="95" t="s">
        <v>91</v>
      </c>
      <c r="F536" s="81" t="s">
        <v>521</v>
      </c>
      <c r="G536" s="47" t="str">
        <f t="shared" si="25"/>
        <v>David</v>
      </c>
      <c r="H536" s="74" t="s">
        <v>224</v>
      </c>
      <c r="I536" s="74" t="s">
        <v>66</v>
      </c>
      <c r="J536" s="47" t="str">
        <f t="shared" si="27"/>
        <v>Não</v>
      </c>
      <c r="K536" s="97">
        <v>45077.0</v>
      </c>
      <c r="L536" s="194">
        <v>45036.0</v>
      </c>
      <c r="M536" s="62" t="s">
        <v>231</v>
      </c>
      <c r="N536" s="98">
        <v>0.015</v>
      </c>
      <c r="O536" s="23" t="s">
        <v>233</v>
      </c>
      <c r="P536" s="99">
        <v>0.2</v>
      </c>
      <c r="Q536" s="58"/>
      <c r="R536" s="556"/>
      <c r="S536" s="62" t="s">
        <v>194</v>
      </c>
      <c r="T536" s="32" t="s">
        <v>938</v>
      </c>
      <c r="U536" s="33" t="s">
        <v>268</v>
      </c>
      <c r="V536" s="33"/>
      <c r="W536" s="33" t="s">
        <v>268</v>
      </c>
      <c r="X536" s="23" t="s">
        <v>221</v>
      </c>
      <c r="Y536" s="49" t="str">
        <f t="shared" si="22"/>
        <v>Encerrado</v>
      </c>
      <c r="Z536" s="62"/>
      <c r="AA536" s="62"/>
      <c r="AB536" s="64"/>
      <c r="AC536" s="79"/>
      <c r="AD536" s="54">
        <v>45077.0</v>
      </c>
      <c r="AE536" s="77"/>
      <c r="AF536" s="79"/>
      <c r="AG536" s="79"/>
      <c r="AH536" s="79"/>
      <c r="AI536" s="79"/>
      <c r="AJ536" s="79"/>
      <c r="AK536" s="65">
        <v>0.0</v>
      </c>
      <c r="AL536" s="65">
        <v>0.0</v>
      </c>
      <c r="AM536" s="65">
        <v>0.0</v>
      </c>
      <c r="AN536" s="65">
        <v>0.0</v>
      </c>
      <c r="AO536" s="65">
        <v>0.0</v>
      </c>
      <c r="AP536" s="65">
        <v>0.0</v>
      </c>
      <c r="AQ536" s="65">
        <v>0.0</v>
      </c>
      <c r="AR536" s="65">
        <v>0.0</v>
      </c>
      <c r="AS536" s="65">
        <v>0.0</v>
      </c>
      <c r="AT536" s="65">
        <v>0.0</v>
      </c>
      <c r="AU536" s="65">
        <v>0.0</v>
      </c>
      <c r="AV536" s="65">
        <v>0.0</v>
      </c>
      <c r="AW536" s="65">
        <v>0.0</v>
      </c>
      <c r="AX536" s="65">
        <v>0.0</v>
      </c>
      <c r="AY536" s="65">
        <v>0.0</v>
      </c>
      <c r="AZ536" s="65">
        <v>0.0</v>
      </c>
      <c r="BA536" s="65">
        <v>0.0</v>
      </c>
      <c r="BB536" s="65">
        <v>0.0</v>
      </c>
      <c r="BC536" s="65">
        <v>0.0</v>
      </c>
      <c r="BD536" s="65">
        <v>0.0</v>
      </c>
      <c r="BE536" s="65">
        <v>0.0</v>
      </c>
      <c r="BF536" s="65">
        <v>0.0</v>
      </c>
      <c r="BG536" s="65">
        <v>0.0</v>
      </c>
      <c r="BH536" s="65">
        <v>0.0</v>
      </c>
      <c r="BI536" s="65">
        <v>0.0</v>
      </c>
      <c r="BJ536" s="65">
        <v>0.0</v>
      </c>
      <c r="BK536" s="65">
        <v>0.0</v>
      </c>
      <c r="BL536" s="65">
        <v>0.0</v>
      </c>
      <c r="BM536" s="65">
        <v>0.0</v>
      </c>
      <c r="BN536" s="65">
        <v>0.0</v>
      </c>
      <c r="BO536" s="65">
        <v>0.0</v>
      </c>
      <c r="BP536" s="65">
        <v>0.0</v>
      </c>
      <c r="BQ536" s="65">
        <v>0.0</v>
      </c>
      <c r="BR536" s="65">
        <v>0.0</v>
      </c>
      <c r="BS536" s="65">
        <v>0.0</v>
      </c>
      <c r="BT536" s="88">
        <v>0.0</v>
      </c>
      <c r="BU536" s="65">
        <v>0.0</v>
      </c>
      <c r="BV536" s="65">
        <v>0.0</v>
      </c>
      <c r="BW536" s="90">
        <v>0.0</v>
      </c>
      <c r="BX536" s="90">
        <v>0.0</v>
      </c>
      <c r="BY536" s="90" t="str">
        <f t="array" ref="BY536">XLOOKUP(C536,'PL TOTAL D0'!$A$3:$A$1991,'PL TOTAL D0'!$C$3:$C$1991,"")</f>
        <v/>
      </c>
    </row>
    <row r="537" ht="15.75" customHeight="1">
      <c r="A537" s="50" t="s">
        <v>24</v>
      </c>
      <c r="B537" s="50" t="s">
        <v>935</v>
      </c>
      <c r="C537" s="94" t="s">
        <v>6848</v>
      </c>
      <c r="D537" s="30" t="s">
        <v>89</v>
      </c>
      <c r="E537" s="95" t="s">
        <v>91</v>
      </c>
      <c r="F537" s="81" t="s">
        <v>521</v>
      </c>
      <c r="G537" s="47" t="str">
        <f t="shared" si="25"/>
        <v>David</v>
      </c>
      <c r="H537" s="49" t="s">
        <v>224</v>
      </c>
      <c r="I537" s="49" t="s">
        <v>66</v>
      </c>
      <c r="J537" s="47" t="str">
        <f t="shared" si="27"/>
        <v>Não</v>
      </c>
      <c r="K537" s="97">
        <v>45034.0</v>
      </c>
      <c r="L537" s="55">
        <v>45890.0</v>
      </c>
      <c r="M537" s="62" t="s">
        <v>231</v>
      </c>
      <c r="N537" s="98">
        <v>0.015</v>
      </c>
      <c r="O537" s="23" t="s">
        <v>233</v>
      </c>
      <c r="P537" s="99">
        <v>0.2</v>
      </c>
      <c r="Q537" s="58"/>
      <c r="R537" s="70"/>
      <c r="S537" s="62" t="s">
        <v>194</v>
      </c>
      <c r="T537" s="32" t="s">
        <v>938</v>
      </c>
      <c r="U537" s="33">
        <v>4.3999553388E10</v>
      </c>
      <c r="V537" s="33" t="s">
        <v>940</v>
      </c>
      <c r="W537" s="34">
        <v>28378.0</v>
      </c>
      <c r="X537" s="23" t="s">
        <v>221</v>
      </c>
      <c r="Y537" s="49" t="str">
        <f t="shared" si="22"/>
        <v>Encerrado</v>
      </c>
      <c r="Z537" s="62"/>
      <c r="AA537" s="62"/>
      <c r="AB537" s="64" t="s">
        <v>269</v>
      </c>
      <c r="AC537" s="79"/>
      <c r="AD537" s="54">
        <v>45034.0</v>
      </c>
      <c r="AE537" s="77">
        <v>4.9075100008361E13</v>
      </c>
      <c r="AF537" s="79"/>
      <c r="AG537" s="79"/>
      <c r="AH537" s="79"/>
      <c r="AI537" s="79"/>
      <c r="AJ537" s="79"/>
      <c r="AK537" s="65">
        <v>0.0</v>
      </c>
      <c r="AL537" s="65">
        <v>14649.95</v>
      </c>
      <c r="AM537" s="65">
        <v>347561.87</v>
      </c>
      <c r="AN537" s="65">
        <v>375835.95</v>
      </c>
      <c r="AO537" s="65">
        <v>460484.47</v>
      </c>
      <c r="AP537" s="65">
        <v>471049.81</v>
      </c>
      <c r="AQ537" s="65">
        <v>499682.77</v>
      </c>
      <c r="AR537" s="65">
        <v>522608.53</v>
      </c>
      <c r="AS537" s="65">
        <v>572538.7</v>
      </c>
      <c r="AT537" s="65">
        <v>634632.13</v>
      </c>
      <c r="AU537" s="65">
        <v>593675.26</v>
      </c>
      <c r="AV537" s="65">
        <v>602012.14</v>
      </c>
      <c r="AW537" s="65">
        <v>640051.07</v>
      </c>
      <c r="AX537" s="65">
        <v>614196.9</v>
      </c>
      <c r="AY537" s="65">
        <v>613215.2</v>
      </c>
      <c r="AZ537" s="65">
        <v>628701.6</v>
      </c>
      <c r="BA537" s="65">
        <v>646194.5</v>
      </c>
      <c r="BB537" s="65">
        <v>661166.6</v>
      </c>
      <c r="BC537" s="65">
        <v>650121.3</v>
      </c>
      <c r="BD537" s="65">
        <v>621039.57</v>
      </c>
      <c r="BE537" s="65">
        <v>52164.9</v>
      </c>
      <c r="BF537" s="65">
        <v>2587.58</v>
      </c>
      <c r="BG537" s="65">
        <v>2588.41</v>
      </c>
      <c r="BH537" s="65">
        <v>2588.41</v>
      </c>
      <c r="BI537" s="65">
        <v>2345.33</v>
      </c>
      <c r="BJ537" s="65">
        <v>1665.02</v>
      </c>
      <c r="BK537" s="65">
        <v>1185.67</v>
      </c>
      <c r="BL537" s="65">
        <v>1185.67</v>
      </c>
      <c r="BM537" s="65">
        <v>0.0</v>
      </c>
      <c r="BN537" s="65">
        <v>0.0</v>
      </c>
      <c r="BO537" s="65">
        <v>0.0</v>
      </c>
      <c r="BP537" s="65">
        <v>0.0</v>
      </c>
      <c r="BQ537" s="65">
        <v>0.0</v>
      </c>
      <c r="BR537" s="65">
        <v>0.0</v>
      </c>
      <c r="BS537" s="65">
        <v>0.0</v>
      </c>
      <c r="BT537" s="88">
        <v>0.0</v>
      </c>
      <c r="BU537" s="65">
        <v>0.0</v>
      </c>
      <c r="BV537" s="65">
        <v>0.0</v>
      </c>
      <c r="BW537" s="90">
        <v>0.0</v>
      </c>
      <c r="BX537" s="90">
        <v>0.0</v>
      </c>
      <c r="BY537" s="90" t="str">
        <f t="array" ref="BY537">XLOOKUP(C537,'PL TOTAL D0'!$A$3:$A$1991,'PL TOTAL D0'!$C$3:$C$1991,"")</f>
        <v/>
      </c>
    </row>
    <row r="538" ht="15.75" customHeight="1">
      <c r="A538" s="50" t="s">
        <v>24</v>
      </c>
      <c r="B538" s="176" t="s">
        <v>6853</v>
      </c>
      <c r="C538" s="94" t="s">
        <v>2615</v>
      </c>
      <c r="D538" s="30" t="s">
        <v>365</v>
      </c>
      <c r="E538" s="95" t="s">
        <v>199</v>
      </c>
      <c r="F538" s="30" t="s">
        <v>368</v>
      </c>
      <c r="G538" s="47" t="str">
        <f t="shared" si="25"/>
        <v>Marcus</v>
      </c>
      <c r="H538" s="49" t="s">
        <v>183</v>
      </c>
      <c r="I538" s="49" t="s">
        <v>66</v>
      </c>
      <c r="J538" s="47" t="str">
        <f t="shared" si="27"/>
        <v>Não</v>
      </c>
      <c r="K538" s="97">
        <v>45063.0</v>
      </c>
      <c r="L538" s="189"/>
      <c r="M538" s="62" t="s">
        <v>61</v>
      </c>
      <c r="N538" s="98">
        <v>0.01</v>
      </c>
      <c r="O538" s="47" t="s">
        <v>66</v>
      </c>
      <c r="P538" s="99">
        <v>0.0</v>
      </c>
      <c r="Q538" s="58"/>
      <c r="R538" s="556"/>
      <c r="S538" s="62" t="s">
        <v>234</v>
      </c>
      <c r="T538" s="32">
        <v>3.7057387000122E13</v>
      </c>
      <c r="U538" s="33">
        <v>5.5619843209E12</v>
      </c>
      <c r="V538" s="33" t="s">
        <v>6858</v>
      </c>
      <c r="W538" s="34">
        <v>33694.0</v>
      </c>
      <c r="X538" s="23" t="s">
        <v>199</v>
      </c>
      <c r="Y538" s="49" t="str">
        <f t="shared" si="22"/>
        <v>Ativo</v>
      </c>
      <c r="Z538" s="62"/>
      <c r="AA538" s="62"/>
      <c r="AB538" s="64" t="s">
        <v>269</v>
      </c>
      <c r="AC538" s="79"/>
      <c r="AD538" s="54">
        <v>45063.0</v>
      </c>
      <c r="AE538" s="77">
        <v>4.9075100008787E13</v>
      </c>
      <c r="AF538" s="79"/>
      <c r="AG538" s="79"/>
      <c r="AH538" s="79"/>
      <c r="AI538" s="79"/>
      <c r="AJ538" s="79"/>
      <c r="AK538" s="79"/>
      <c r="AL538" s="65">
        <v>0.0</v>
      </c>
      <c r="AM538" s="65">
        <v>0.0</v>
      </c>
      <c r="AN538" s="65">
        <v>1273091.45</v>
      </c>
      <c r="AO538" s="65">
        <v>1283492.26</v>
      </c>
      <c r="AP538" s="65">
        <v>1291270.0</v>
      </c>
      <c r="AQ538" s="65">
        <v>1297464.97</v>
      </c>
      <c r="AR538" s="65">
        <v>1337778.23</v>
      </c>
      <c r="AS538" s="65">
        <v>1347751.78</v>
      </c>
      <c r="AT538" s="65">
        <v>1357641.77</v>
      </c>
      <c r="AU538" s="65">
        <v>1366302.01</v>
      </c>
      <c r="AV538" s="65">
        <v>1376805.84</v>
      </c>
      <c r="AW538" s="65">
        <v>1384069.46</v>
      </c>
      <c r="AX538" s="65">
        <v>1384590.58</v>
      </c>
      <c r="AY538" s="65">
        <v>1387450.0</v>
      </c>
      <c r="AZ538" s="65">
        <v>1394987.0</v>
      </c>
      <c r="BA538" s="65">
        <v>1406681.0</v>
      </c>
      <c r="BB538" s="65">
        <v>1401763.31</v>
      </c>
      <c r="BC538" s="65">
        <v>1411844.99</v>
      </c>
      <c r="BD538" s="65">
        <v>1424641.12</v>
      </c>
      <c r="BE538" s="65">
        <v>1434531.61</v>
      </c>
      <c r="BF538" s="65">
        <v>1443821.31</v>
      </c>
      <c r="BG538" s="65">
        <v>1455535.02</v>
      </c>
      <c r="BH538" s="65">
        <v>1466448.28</v>
      </c>
      <c r="BI538" s="65">
        <v>1479522.55</v>
      </c>
      <c r="BJ538" s="65">
        <v>1486773.74</v>
      </c>
      <c r="BK538" s="65">
        <v>1502935.73</v>
      </c>
      <c r="BL538" s="65">
        <v>1513968.16</v>
      </c>
      <c r="BM538" s="65">
        <v>1529490.31</v>
      </c>
      <c r="BN538" s="65">
        <v>1542287.0</v>
      </c>
      <c r="BO538" s="65">
        <v>1556091.04</v>
      </c>
      <c r="BP538" s="65">
        <v>1572683.0</v>
      </c>
      <c r="BQ538" s="65">
        <v>1585289.0</v>
      </c>
      <c r="BR538" s="65">
        <v>1596927.0</v>
      </c>
      <c r="BS538" s="65">
        <v>1611908.47</v>
      </c>
      <c r="BT538" s="88">
        <v>1623114.0</v>
      </c>
      <c r="BU538" s="65">
        <v>1640601.0</v>
      </c>
      <c r="BV538" s="65">
        <v>1647753.0</v>
      </c>
      <c r="BW538" s="90">
        <v>1664805.0</v>
      </c>
      <c r="BX538" s="90">
        <v>1673763.1</v>
      </c>
      <c r="BY538" s="90">
        <f t="array" ref="BY538">XLOOKUP(C538,'PL TOTAL D0'!$A$3:$A$1991,'PL TOTAL D0'!$C$3:$C$1991,"")</f>
        <v>1692561.37</v>
      </c>
    </row>
    <row r="539" ht="15.75" customHeight="1">
      <c r="A539" s="50" t="s">
        <v>24</v>
      </c>
      <c r="B539" s="43" t="s">
        <v>6869</v>
      </c>
      <c r="C539" s="94" t="s">
        <v>6870</v>
      </c>
      <c r="D539" s="81" t="s">
        <v>120</v>
      </c>
      <c r="E539" s="95" t="s">
        <v>54</v>
      </c>
      <c r="F539" s="81" t="s">
        <v>379</v>
      </c>
      <c r="G539" s="47" t="str">
        <f t="shared" si="25"/>
        <v>David</v>
      </c>
      <c r="H539" s="49" t="s">
        <v>224</v>
      </c>
      <c r="I539" s="49" t="s">
        <v>66</v>
      </c>
      <c r="J539" s="47" t="str">
        <f t="shared" si="27"/>
        <v>Não</v>
      </c>
      <c r="K539" s="97">
        <v>44964.0</v>
      </c>
      <c r="L539" s="55">
        <v>45966.0</v>
      </c>
      <c r="M539" s="62" t="s">
        <v>34</v>
      </c>
      <c r="N539" s="98">
        <v>0.012</v>
      </c>
      <c r="O539" s="47" t="s">
        <v>66</v>
      </c>
      <c r="P539" s="99">
        <v>0.0</v>
      </c>
      <c r="Q539" s="58"/>
      <c r="R539" s="58" t="s">
        <v>2352</v>
      </c>
      <c r="S539" s="62" t="s">
        <v>234</v>
      </c>
      <c r="T539" s="32" t="s">
        <v>6872</v>
      </c>
      <c r="U539" s="33" t="s">
        <v>268</v>
      </c>
      <c r="V539" s="33"/>
      <c r="W539" s="33" t="s">
        <v>268</v>
      </c>
      <c r="X539" s="23" t="s">
        <v>54</v>
      </c>
      <c r="Y539" s="49" t="str">
        <f t="shared" si="22"/>
        <v>Encerrado</v>
      </c>
      <c r="Z539" s="62"/>
      <c r="AA539" s="62"/>
      <c r="AB539" s="64" t="s">
        <v>269</v>
      </c>
      <c r="AC539" s="79"/>
      <c r="AD539" s="54">
        <v>44964.0</v>
      </c>
      <c r="AE539" s="77">
        <v>4.9075100003017E13</v>
      </c>
      <c r="AF539" s="79"/>
      <c r="AG539" s="79"/>
      <c r="AH539" s="79"/>
      <c r="AI539" s="65">
        <v>0.0</v>
      </c>
      <c r="AJ539" s="65">
        <v>1.590662459E7</v>
      </c>
      <c r="AK539" s="65">
        <v>1.591476817E7</v>
      </c>
      <c r="AL539" s="65">
        <v>1.604461861E7</v>
      </c>
      <c r="AM539" s="65">
        <v>1.589627726E7</v>
      </c>
      <c r="AN539" s="65">
        <v>1.605861637E7</v>
      </c>
      <c r="AO539" s="65">
        <v>1.609982012E7</v>
      </c>
      <c r="AP539" s="65">
        <v>1.614164387E7</v>
      </c>
      <c r="AQ539" s="65">
        <v>1.602877065E7</v>
      </c>
      <c r="AR539" s="65">
        <v>1.605470201E7</v>
      </c>
      <c r="AS539" s="65">
        <v>1.62120854E7</v>
      </c>
      <c r="AT539" s="65">
        <v>1.637399143E7</v>
      </c>
      <c r="AU539" s="65">
        <v>1.638818682E7</v>
      </c>
      <c r="AV539" s="65">
        <v>1.652078305E7</v>
      </c>
      <c r="AW539" s="65">
        <v>1.652389002E7</v>
      </c>
      <c r="AX539" s="65">
        <v>1.632882182E7</v>
      </c>
      <c r="AY539" s="65">
        <v>1.6292999E7</v>
      </c>
      <c r="AZ539" s="65">
        <v>1.5518198E7</v>
      </c>
      <c r="BA539" s="65">
        <v>1.5476393E7</v>
      </c>
      <c r="BB539" s="65">
        <v>1.551856564E7</v>
      </c>
      <c r="BC539" s="65">
        <v>1.549123961E7</v>
      </c>
      <c r="BD539" s="65">
        <v>1.559255248E7</v>
      </c>
      <c r="BE539" s="65">
        <v>1.58909192E7</v>
      </c>
      <c r="BF539" s="65">
        <v>1.587401429E7</v>
      </c>
      <c r="BG539" s="65">
        <v>1.599591965E7</v>
      </c>
      <c r="BH539" s="65">
        <v>1.420725293E7</v>
      </c>
      <c r="BI539" s="65">
        <v>1.136522468E7</v>
      </c>
      <c r="BJ539" s="65">
        <v>1.107349557E7</v>
      </c>
      <c r="BK539" s="65">
        <v>1.074297204E7</v>
      </c>
      <c r="BL539" s="65">
        <v>1.066245639E7</v>
      </c>
      <c r="BM539" s="65">
        <v>0.0</v>
      </c>
      <c r="BN539" s="65">
        <v>0.0</v>
      </c>
      <c r="BO539" s="65">
        <v>0.0</v>
      </c>
      <c r="BP539" s="65">
        <v>0.0</v>
      </c>
      <c r="BQ539" s="65">
        <v>0.0</v>
      </c>
      <c r="BR539" s="65">
        <v>0.0</v>
      </c>
      <c r="BS539" s="65">
        <v>0.0</v>
      </c>
      <c r="BT539" s="88">
        <v>0.0</v>
      </c>
      <c r="BU539" s="65">
        <v>0.0</v>
      </c>
      <c r="BV539" s="65">
        <v>0.0</v>
      </c>
      <c r="BW539" s="90">
        <v>0.0</v>
      </c>
      <c r="BX539" s="90">
        <v>0.0</v>
      </c>
      <c r="BY539" s="90" t="str">
        <f t="array" ref="BY539">XLOOKUP(C539,'PL TOTAL D0'!$A$3:$A$1991,'PL TOTAL D0'!$C$3:$C$1991,"")</f>
        <v/>
      </c>
    </row>
    <row r="540" ht="15.75" customHeight="1">
      <c r="A540" s="50" t="s">
        <v>24</v>
      </c>
      <c r="B540" s="43" t="s">
        <v>6869</v>
      </c>
      <c r="C540" s="94" t="s">
        <v>6877</v>
      </c>
      <c r="D540" s="81" t="s">
        <v>120</v>
      </c>
      <c r="E540" s="95" t="s">
        <v>54</v>
      </c>
      <c r="F540" s="95" t="s">
        <v>379</v>
      </c>
      <c r="G540" s="47" t="str">
        <f t="shared" si="25"/>
        <v>David</v>
      </c>
      <c r="H540" s="49" t="s">
        <v>224</v>
      </c>
      <c r="I540" s="49" t="s">
        <v>66</v>
      </c>
      <c r="J540" s="47" t="str">
        <f t="shared" si="27"/>
        <v>Não</v>
      </c>
      <c r="K540" s="189">
        <v>44965.0</v>
      </c>
      <c r="L540" s="55">
        <v>45966.0</v>
      </c>
      <c r="M540" s="62" t="s">
        <v>34</v>
      </c>
      <c r="N540" s="144">
        <v>0.012</v>
      </c>
      <c r="O540" s="47" t="s">
        <v>66</v>
      </c>
      <c r="P540" s="99">
        <v>0.0</v>
      </c>
      <c r="Q540" s="58"/>
      <c r="R540" s="58" t="s">
        <v>2352</v>
      </c>
      <c r="S540" s="62" t="s">
        <v>234</v>
      </c>
      <c r="T540" s="32" t="s">
        <v>6879</v>
      </c>
      <c r="U540" s="33">
        <v>5.561981212666E12</v>
      </c>
      <c r="V540" s="33" t="s">
        <v>4882</v>
      </c>
      <c r="W540" s="48">
        <v>40889.0</v>
      </c>
      <c r="X540" s="32" t="s">
        <v>54</v>
      </c>
      <c r="Y540" s="49" t="str">
        <f t="shared" si="22"/>
        <v>Encerrado</v>
      </c>
      <c r="Z540" s="62"/>
      <c r="AA540" s="62"/>
      <c r="AB540" s="64" t="s">
        <v>269</v>
      </c>
      <c r="AC540" s="476"/>
      <c r="AD540" s="54">
        <v>44965.0</v>
      </c>
      <c r="AE540" s="77">
        <v>4.9075100005842E13</v>
      </c>
      <c r="AF540" s="476"/>
      <c r="AG540" s="476"/>
      <c r="AH540" s="476"/>
      <c r="AI540" s="65">
        <v>0.0</v>
      </c>
      <c r="AJ540" s="65">
        <v>1138799.16</v>
      </c>
      <c r="AK540" s="65">
        <v>1152760.38</v>
      </c>
      <c r="AL540" s="65">
        <v>1159316.29</v>
      </c>
      <c r="AM540" s="65">
        <v>1160229.71</v>
      </c>
      <c r="AN540" s="65">
        <v>1171602.83</v>
      </c>
      <c r="AO540" s="65">
        <v>1139042.65</v>
      </c>
      <c r="AP540" s="65">
        <v>1117404.69</v>
      </c>
      <c r="AQ540" s="65">
        <v>1092085.04</v>
      </c>
      <c r="AR540" s="65">
        <v>1066207.24</v>
      </c>
      <c r="AS540" s="65">
        <v>1039388.49</v>
      </c>
      <c r="AT540" s="65">
        <v>1013924.21</v>
      </c>
      <c r="AU540" s="65">
        <v>994627.3</v>
      </c>
      <c r="AV540" s="65">
        <v>967761.19</v>
      </c>
      <c r="AW540" s="65">
        <v>955552.47</v>
      </c>
      <c r="AX540" s="65">
        <v>962906.76</v>
      </c>
      <c r="AY540" s="65">
        <v>878129.5</v>
      </c>
      <c r="AZ540" s="65">
        <v>884266.5</v>
      </c>
      <c r="BA540" s="65">
        <v>890870.4</v>
      </c>
      <c r="BB540" s="65">
        <v>861594.28</v>
      </c>
      <c r="BC540" s="65">
        <v>862314.6</v>
      </c>
      <c r="BD540" s="65">
        <v>856028.35</v>
      </c>
      <c r="BE540" s="65">
        <v>877267.18</v>
      </c>
      <c r="BF540" s="65">
        <v>872517.12</v>
      </c>
      <c r="BG540" s="65">
        <v>859473.14</v>
      </c>
      <c r="BH540" s="65">
        <v>802036.7</v>
      </c>
      <c r="BI540" s="65">
        <v>799439.55</v>
      </c>
      <c r="BJ540" s="65">
        <v>798082.73</v>
      </c>
      <c r="BK540" s="65">
        <v>794767.95</v>
      </c>
      <c r="BL540" s="65">
        <v>794942.1</v>
      </c>
      <c r="BM540" s="65">
        <v>803092.39</v>
      </c>
      <c r="BN540" s="65">
        <v>805138.3</v>
      </c>
      <c r="BO540" s="65">
        <v>803151.43</v>
      </c>
      <c r="BP540" s="65">
        <v>0.0</v>
      </c>
      <c r="BQ540" s="65">
        <v>0.0</v>
      </c>
      <c r="BR540" s="65">
        <v>0.0</v>
      </c>
      <c r="BS540" s="65">
        <v>0.0</v>
      </c>
      <c r="BT540" s="88">
        <v>0.0</v>
      </c>
      <c r="BU540" s="65">
        <v>0.0</v>
      </c>
      <c r="BV540" s="65">
        <v>0.0</v>
      </c>
      <c r="BW540" s="90">
        <v>0.0</v>
      </c>
      <c r="BX540" s="90">
        <v>0.0</v>
      </c>
      <c r="BY540" s="90" t="str">
        <f t="array" ref="BY540">XLOOKUP(C540,'PL TOTAL D0'!$A$3:$A$1991,'PL TOTAL D0'!$C$3:$C$1991,"")</f>
        <v/>
      </c>
    </row>
    <row r="541" ht="15.75" customHeight="1">
      <c r="A541" s="50" t="s">
        <v>24</v>
      </c>
      <c r="B541" s="43" t="s">
        <v>6869</v>
      </c>
      <c r="C541" s="94" t="s">
        <v>6882</v>
      </c>
      <c r="D541" s="81" t="s">
        <v>120</v>
      </c>
      <c r="E541" s="95" t="s">
        <v>54</v>
      </c>
      <c r="F541" s="95" t="s">
        <v>379</v>
      </c>
      <c r="G541" s="47" t="str">
        <f t="shared" si="25"/>
        <v>David</v>
      </c>
      <c r="H541" s="49" t="s">
        <v>224</v>
      </c>
      <c r="I541" s="49" t="s">
        <v>66</v>
      </c>
      <c r="J541" s="47" t="str">
        <f t="shared" si="27"/>
        <v>Não</v>
      </c>
      <c r="K541" s="189">
        <v>45163.0</v>
      </c>
      <c r="L541" s="55">
        <v>45966.0</v>
      </c>
      <c r="M541" s="62" t="s">
        <v>61</v>
      </c>
      <c r="N541" s="144">
        <v>0.012</v>
      </c>
      <c r="O541" s="47" t="s">
        <v>66</v>
      </c>
      <c r="P541" s="99">
        <v>0.0</v>
      </c>
      <c r="Q541" s="58"/>
      <c r="R541" s="58" t="s">
        <v>2352</v>
      </c>
      <c r="S541" s="62" t="s">
        <v>234</v>
      </c>
      <c r="T541" s="32" t="s">
        <v>6883</v>
      </c>
      <c r="U541" s="33">
        <v>5.561981212666E12</v>
      </c>
      <c r="V541" s="33" t="s">
        <v>4882</v>
      </c>
      <c r="W541" s="48">
        <v>40889.0</v>
      </c>
      <c r="X541" s="32" t="s">
        <v>54</v>
      </c>
      <c r="Y541" s="49" t="str">
        <f t="shared" si="22"/>
        <v>Encerrado</v>
      </c>
      <c r="Z541" s="62"/>
      <c r="AA541" s="62"/>
      <c r="AB541" s="64" t="s">
        <v>269</v>
      </c>
      <c r="AC541" s="476"/>
      <c r="AD541" s="54">
        <v>45163.0</v>
      </c>
      <c r="AE541" s="77">
        <v>4.9075100011478E13</v>
      </c>
      <c r="AF541" s="476"/>
      <c r="AG541" s="476"/>
      <c r="AH541" s="476"/>
      <c r="AI541" s="79"/>
      <c r="AJ541" s="79"/>
      <c r="AK541" s="79"/>
      <c r="AL541" s="79"/>
      <c r="AM541" s="79"/>
      <c r="AN541" s="79"/>
      <c r="AO541" s="65">
        <v>0.0</v>
      </c>
      <c r="AP541" s="65">
        <v>0.0</v>
      </c>
      <c r="AQ541" s="65">
        <v>0.0</v>
      </c>
      <c r="AR541" s="65">
        <v>0.0</v>
      </c>
      <c r="AS541" s="65">
        <v>0.0</v>
      </c>
      <c r="AT541" s="65">
        <v>100000.0</v>
      </c>
      <c r="AU541" s="65">
        <v>302510.1</v>
      </c>
      <c r="AV541" s="65">
        <v>284642.17</v>
      </c>
      <c r="AW541" s="65">
        <v>53523.46</v>
      </c>
      <c r="AX541" s="65">
        <v>9670.62</v>
      </c>
      <c r="AY541" s="65">
        <v>9733.72</v>
      </c>
      <c r="AZ541" s="65">
        <v>9792.17</v>
      </c>
      <c r="BA541" s="65">
        <v>0.0</v>
      </c>
      <c r="BB541" s="65">
        <v>0.02</v>
      </c>
      <c r="BC541" s="65">
        <v>0.02</v>
      </c>
      <c r="BD541" s="65">
        <v>0.02</v>
      </c>
      <c r="BE541" s="65">
        <v>0.02</v>
      </c>
      <c r="BF541" s="65">
        <v>0.02</v>
      </c>
      <c r="BG541" s="65">
        <v>0.02</v>
      </c>
      <c r="BH541" s="65">
        <v>1713531.53</v>
      </c>
      <c r="BI541" s="65">
        <v>4371998.36</v>
      </c>
      <c r="BJ541" s="65">
        <v>4753789.3</v>
      </c>
      <c r="BK541" s="65">
        <v>4942596.65</v>
      </c>
      <c r="BL541" s="65">
        <v>4942074.65</v>
      </c>
      <c r="BM541" s="65">
        <v>4724630.33</v>
      </c>
      <c r="BN541" s="65">
        <v>4613401.0</v>
      </c>
      <c r="BO541" s="65">
        <v>4428242.28</v>
      </c>
      <c r="BP541" s="65">
        <v>0.0</v>
      </c>
      <c r="BQ541" s="65">
        <v>0.0</v>
      </c>
      <c r="BR541" s="65">
        <v>0.0</v>
      </c>
      <c r="BS541" s="65">
        <v>0.0</v>
      </c>
      <c r="BT541" s="88">
        <v>0.0</v>
      </c>
      <c r="BU541" s="65">
        <v>0.0</v>
      </c>
      <c r="BV541" s="65">
        <v>0.0</v>
      </c>
      <c r="BW541" s="90">
        <v>0.0</v>
      </c>
      <c r="BX541" s="90">
        <v>0.0</v>
      </c>
      <c r="BY541" s="90" t="str">
        <f t="array" ref="BY541">XLOOKUP(C541,'PL TOTAL D0'!$A$3:$A$1991,'PL TOTAL D0'!$C$3:$C$1991,"")</f>
        <v/>
      </c>
    </row>
    <row r="542" ht="15.75" customHeight="1">
      <c r="A542" s="50" t="s">
        <v>24</v>
      </c>
      <c r="B542" s="191" t="s">
        <v>6884</v>
      </c>
      <c r="C542" s="94" t="s">
        <v>6885</v>
      </c>
      <c r="D542" s="81" t="s">
        <v>255</v>
      </c>
      <c r="E542" s="95" t="s">
        <v>199</v>
      </c>
      <c r="F542" s="95" t="s">
        <v>257</v>
      </c>
      <c r="G542" s="47" t="str">
        <f t="shared" si="25"/>
        <v>David</v>
      </c>
      <c r="H542" s="49" t="s">
        <v>224</v>
      </c>
      <c r="I542" s="49" t="s">
        <v>66</v>
      </c>
      <c r="J542" s="47" t="str">
        <f t="shared" si="27"/>
        <v>Não</v>
      </c>
      <c r="K542" s="189">
        <v>45229.0</v>
      </c>
      <c r="L542" s="55">
        <v>45520.0</v>
      </c>
      <c r="M542" s="62" t="s">
        <v>34</v>
      </c>
      <c r="N542" s="144">
        <v>0.012</v>
      </c>
      <c r="O542" s="47" t="s">
        <v>35</v>
      </c>
      <c r="P542" s="99">
        <v>0.1</v>
      </c>
      <c r="Q542" s="58"/>
      <c r="R542" s="195" t="s">
        <v>3969</v>
      </c>
      <c r="S542" s="62" t="s">
        <v>194</v>
      </c>
      <c r="T542" s="32" t="s">
        <v>6888</v>
      </c>
      <c r="U542" s="33" t="s">
        <v>268</v>
      </c>
      <c r="V542" s="33"/>
      <c r="W542" s="33" t="s">
        <v>268</v>
      </c>
      <c r="X542" s="32" t="s">
        <v>475</v>
      </c>
      <c r="Y542" s="49" t="str">
        <f t="shared" si="22"/>
        <v>Encerrado</v>
      </c>
      <c r="Z542" s="62"/>
      <c r="AA542" s="62"/>
      <c r="AB542" s="64" t="s">
        <v>244</v>
      </c>
      <c r="AC542" s="476"/>
      <c r="AD542" s="54">
        <v>45229.0</v>
      </c>
      <c r="AE542" s="77">
        <v>4.907510001249E13</v>
      </c>
      <c r="AF542" s="476"/>
      <c r="AG542" s="476"/>
      <c r="AH542" s="476"/>
      <c r="AI542" s="79"/>
      <c r="AJ542" s="79"/>
      <c r="AK542" s="79"/>
      <c r="AL542" s="79"/>
      <c r="AM542" s="79"/>
      <c r="AN542" s="79"/>
      <c r="AO542" s="79"/>
      <c r="AP542" s="79"/>
      <c r="AQ542" s="79"/>
      <c r="AR542" s="65">
        <v>904514.02</v>
      </c>
      <c r="AS542" s="65">
        <v>915017.5</v>
      </c>
      <c r="AT542" s="65">
        <v>966258.68</v>
      </c>
      <c r="AU542" s="65">
        <v>963443.81</v>
      </c>
      <c r="AV542" s="65">
        <v>939249.23</v>
      </c>
      <c r="AW542" s="65">
        <v>948513.33</v>
      </c>
      <c r="AX542" s="65">
        <v>946014.79</v>
      </c>
      <c r="AY542" s="65">
        <v>949805.9</v>
      </c>
      <c r="AZ542" s="65">
        <v>954600.2</v>
      </c>
      <c r="BA542" s="65">
        <v>0.0</v>
      </c>
      <c r="BB542" s="65">
        <v>0.0</v>
      </c>
      <c r="BC542" s="65">
        <v>0.0</v>
      </c>
      <c r="BD542" s="65">
        <v>0.0</v>
      </c>
      <c r="BE542" s="65">
        <v>0.0</v>
      </c>
      <c r="BF542" s="65">
        <v>0.0</v>
      </c>
      <c r="BG542" s="65">
        <v>0.0</v>
      </c>
      <c r="BH542" s="65">
        <v>0.0</v>
      </c>
      <c r="BI542" s="65">
        <v>0.0</v>
      </c>
      <c r="BJ542" s="65">
        <v>0.0</v>
      </c>
      <c r="BK542" s="65">
        <v>0.0</v>
      </c>
      <c r="BL542" s="65">
        <v>0.0</v>
      </c>
      <c r="BM542" s="65">
        <v>0.0</v>
      </c>
      <c r="BN542" s="65">
        <v>0.0</v>
      </c>
      <c r="BO542" s="65">
        <v>0.0</v>
      </c>
      <c r="BP542" s="65">
        <v>0.0</v>
      </c>
      <c r="BQ542" s="65">
        <v>0.0</v>
      </c>
      <c r="BR542" s="65">
        <v>0.0</v>
      </c>
      <c r="BS542" s="65">
        <v>0.0</v>
      </c>
      <c r="BT542" s="88">
        <v>0.0</v>
      </c>
      <c r="BU542" s="65">
        <v>0.0</v>
      </c>
      <c r="BV542" s="65">
        <v>0.0</v>
      </c>
      <c r="BW542" s="90">
        <v>0.0</v>
      </c>
      <c r="BX542" s="90">
        <v>0.0</v>
      </c>
      <c r="BY542" s="90" t="str">
        <f t="array" ref="BY542">XLOOKUP(C542,'PL TOTAL D0'!$A$3:$A$1991,'PL TOTAL D0'!$C$3:$C$1991,"")</f>
        <v/>
      </c>
    </row>
    <row r="543" ht="15.75" customHeight="1">
      <c r="A543" s="50" t="s">
        <v>24</v>
      </c>
      <c r="B543" s="322" t="s">
        <v>6890</v>
      </c>
      <c r="C543" s="53" t="s">
        <v>6891</v>
      </c>
      <c r="D543" s="30" t="s">
        <v>89</v>
      </c>
      <c r="E543" s="22" t="s">
        <v>91</v>
      </c>
      <c r="F543" s="22" t="s">
        <v>521</v>
      </c>
      <c r="G543" s="47" t="str">
        <f t="shared" si="25"/>
        <v>David</v>
      </c>
      <c r="H543" s="49" t="s">
        <v>183</v>
      </c>
      <c r="I543" s="49" t="s">
        <v>66</v>
      </c>
      <c r="J543" s="47" t="str">
        <f t="shared" si="27"/>
        <v>Sim</v>
      </c>
      <c r="K543" s="186">
        <v>46167.0</v>
      </c>
      <c r="L543" s="55"/>
      <c r="M543" s="32" t="s">
        <v>61</v>
      </c>
      <c r="N543" s="199">
        <v>0.012</v>
      </c>
      <c r="O543" s="23" t="s">
        <v>66</v>
      </c>
      <c r="P543" s="57">
        <v>0.0</v>
      </c>
      <c r="Q543" s="58" t="s">
        <v>6892</v>
      </c>
      <c r="R543" s="195"/>
      <c r="S543" s="32" t="s">
        <v>194</v>
      </c>
      <c r="T543" s="32" t="s">
        <v>6893</v>
      </c>
      <c r="U543" s="33" t="s">
        <v>6894</v>
      </c>
      <c r="V543" s="33" t="s">
        <v>6895</v>
      </c>
      <c r="W543" s="48">
        <v>34382.0</v>
      </c>
      <c r="X543" s="32" t="s">
        <v>199</v>
      </c>
      <c r="Y543" s="49" t="str">
        <f t="shared" si="22"/>
        <v>Ativo</v>
      </c>
      <c r="Z543" s="62"/>
      <c r="AA543" s="32" t="s">
        <v>165</v>
      </c>
      <c r="AB543" s="64"/>
      <c r="AC543" s="476"/>
      <c r="AD543" s="54"/>
      <c r="AE543" s="77"/>
      <c r="AF543" s="476"/>
      <c r="AG543" s="476"/>
      <c r="AH543" s="476"/>
      <c r="AI543" s="79"/>
      <c r="AJ543" s="79"/>
      <c r="AK543" s="79"/>
      <c r="AL543" s="79"/>
      <c r="AM543" s="79"/>
      <c r="AN543" s="79"/>
      <c r="AO543" s="79"/>
      <c r="AP543" s="79"/>
      <c r="AQ543" s="79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  <c r="BE543" s="65"/>
      <c r="BF543" s="65"/>
      <c r="BG543" s="65"/>
      <c r="BH543" s="65"/>
      <c r="BI543" s="65"/>
      <c r="BJ543" s="65"/>
      <c r="BK543" s="65"/>
      <c r="BL543" s="65"/>
      <c r="BM543" s="65"/>
      <c r="BN543" s="65"/>
      <c r="BO543" s="65"/>
      <c r="BP543" s="65"/>
      <c r="BQ543" s="65"/>
      <c r="BR543" s="65"/>
      <c r="BS543" s="65"/>
      <c r="BT543" s="88"/>
      <c r="BU543" s="65"/>
      <c r="BV543" s="65"/>
      <c r="BW543" s="90">
        <v>0.0</v>
      </c>
      <c r="BX543" s="90">
        <v>0.0</v>
      </c>
      <c r="BY543" s="90" t="str">
        <f t="array" ref="BY543">XLOOKUP(C543,'PL TOTAL D0'!$A$3:$A$1991,'PL TOTAL D0'!$C$3:$C$1991,"")</f>
        <v/>
      </c>
    </row>
    <row r="544" ht="15.75" customHeight="1">
      <c r="A544" s="50" t="s">
        <v>24</v>
      </c>
      <c r="B544" s="191" t="s">
        <v>6898</v>
      </c>
      <c r="C544" s="94" t="s">
        <v>3054</v>
      </c>
      <c r="D544" s="81" t="s">
        <v>142</v>
      </c>
      <c r="E544" s="95" t="s">
        <v>54</v>
      </c>
      <c r="F544" s="95" t="s">
        <v>158</v>
      </c>
      <c r="G544" s="47" t="str">
        <f t="shared" si="25"/>
        <v>David</v>
      </c>
      <c r="H544" s="49" t="s">
        <v>183</v>
      </c>
      <c r="I544" s="49" t="s">
        <v>66</v>
      </c>
      <c r="J544" s="47" t="str">
        <f t="shared" si="27"/>
        <v>Não</v>
      </c>
      <c r="K544" s="189">
        <v>46125.0</v>
      </c>
      <c r="L544" s="55"/>
      <c r="M544" s="32" t="s">
        <v>716</v>
      </c>
      <c r="N544" s="144">
        <v>0.012</v>
      </c>
      <c r="O544" s="23" t="s">
        <v>66</v>
      </c>
      <c r="P544" s="57">
        <v>0.0</v>
      </c>
      <c r="Q544" s="58"/>
      <c r="R544" s="195"/>
      <c r="S544" s="62" t="s">
        <v>194</v>
      </c>
      <c r="T544" s="32" t="s">
        <v>6900</v>
      </c>
      <c r="U544" s="33" t="s">
        <v>6901</v>
      </c>
      <c r="V544" s="33" t="s">
        <v>6902</v>
      </c>
      <c r="W544" s="33">
        <v>28151.0</v>
      </c>
      <c r="X544" s="32" t="s">
        <v>54</v>
      </c>
      <c r="Y544" s="49" t="str">
        <f t="shared" si="22"/>
        <v>Ativo</v>
      </c>
      <c r="Z544" s="62"/>
      <c r="AA544" s="62" t="s">
        <v>107</v>
      </c>
      <c r="AB544" s="64"/>
      <c r="AC544" s="476"/>
      <c r="AD544" s="54">
        <v>46203.0</v>
      </c>
      <c r="AE544" s="77"/>
      <c r="AF544" s="476"/>
      <c r="AG544" s="476"/>
      <c r="AH544" s="476"/>
      <c r="AI544" s="79"/>
      <c r="AJ544" s="79"/>
      <c r="AK544" s="79"/>
      <c r="AL544" s="79"/>
      <c r="AM544" s="79"/>
      <c r="AN544" s="79"/>
      <c r="AO544" s="79"/>
      <c r="AP544" s="79"/>
      <c r="AQ544" s="79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  <c r="BE544" s="65"/>
      <c r="BF544" s="65"/>
      <c r="BG544" s="65"/>
      <c r="BH544" s="65"/>
      <c r="BI544" s="65"/>
      <c r="BJ544" s="65"/>
      <c r="BK544" s="65"/>
      <c r="BL544" s="65"/>
      <c r="BM544" s="65"/>
      <c r="BN544" s="65"/>
      <c r="BO544" s="65"/>
      <c r="BP544" s="65"/>
      <c r="BQ544" s="65"/>
      <c r="BR544" s="65"/>
      <c r="BS544" s="65"/>
      <c r="BT544" s="88"/>
      <c r="BU544" s="65"/>
      <c r="BV544" s="65">
        <v>298990.8</v>
      </c>
      <c r="BW544" s="90">
        <v>302030.2</v>
      </c>
      <c r="BX544" s="90">
        <v>304936.66</v>
      </c>
      <c r="BY544" s="90">
        <f t="array" ref="BY544">XLOOKUP(C544,'PL TOTAL D0'!$A$3:$A$1991,'PL TOTAL D0'!$C$3:$C$1991,"")</f>
        <v>308204.76</v>
      </c>
    </row>
    <row r="545" ht="15.75" customHeight="1">
      <c r="A545" s="50" t="s">
        <v>24</v>
      </c>
      <c r="B545" s="322" t="s">
        <v>6906</v>
      </c>
      <c r="C545" s="94" t="s">
        <v>2530</v>
      </c>
      <c r="D545" s="30" t="s">
        <v>120</v>
      </c>
      <c r="E545" s="22" t="s">
        <v>199</v>
      </c>
      <c r="F545" s="22" t="s">
        <v>290</v>
      </c>
      <c r="G545" s="47" t="str">
        <f t="shared" si="25"/>
        <v>Gabriel</v>
      </c>
      <c r="H545" s="49" t="s">
        <v>183</v>
      </c>
      <c r="I545" s="49" t="s">
        <v>66</v>
      </c>
      <c r="J545" s="47" t="str">
        <f t="shared" si="27"/>
        <v>Não</v>
      </c>
      <c r="K545" s="186">
        <v>45566.0</v>
      </c>
      <c r="L545" s="55"/>
      <c r="M545" s="32" t="s">
        <v>61</v>
      </c>
      <c r="N545" s="199">
        <v>0.01</v>
      </c>
      <c r="O545" s="23" t="s">
        <v>66</v>
      </c>
      <c r="P545" s="57">
        <v>0.0</v>
      </c>
      <c r="Q545" s="58"/>
      <c r="R545" s="195"/>
      <c r="S545" s="32" t="s">
        <v>194</v>
      </c>
      <c r="T545" s="32" t="s">
        <v>6907</v>
      </c>
      <c r="U545" s="33">
        <v>5.561981991113E12</v>
      </c>
      <c r="V545" s="33" t="s">
        <v>6908</v>
      </c>
      <c r="W545" s="34">
        <v>33665.0</v>
      </c>
      <c r="X545" s="32" t="s">
        <v>199</v>
      </c>
      <c r="Y545" s="49" t="str">
        <f t="shared" si="22"/>
        <v>Ativo</v>
      </c>
      <c r="Z545" s="62"/>
      <c r="AA545" s="32" t="s">
        <v>47</v>
      </c>
      <c r="AB545" s="64"/>
      <c r="AC545" s="476"/>
      <c r="AD545" s="54">
        <v>45566.0</v>
      </c>
      <c r="AE545" s="77">
        <v>4.9075100016089E13</v>
      </c>
      <c r="AF545" s="476"/>
      <c r="AG545" s="476"/>
      <c r="AH545" s="476"/>
      <c r="AI545" s="79"/>
      <c r="AJ545" s="79"/>
      <c r="AK545" s="79"/>
      <c r="AL545" s="79"/>
      <c r="AM545" s="79"/>
      <c r="AN545" s="79"/>
      <c r="AO545" s="79"/>
      <c r="AP545" s="79"/>
      <c r="AQ545" s="79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>
        <v>311710.16</v>
      </c>
      <c r="BE545" s="65">
        <v>313783.55</v>
      </c>
      <c r="BF545" s="65">
        <v>334440.7</v>
      </c>
      <c r="BG545" s="65">
        <v>353673.31</v>
      </c>
      <c r="BH545" s="65">
        <v>366356.85</v>
      </c>
      <c r="BI545" s="65">
        <v>385828.22</v>
      </c>
      <c r="BJ545" s="65">
        <v>400505.17</v>
      </c>
      <c r="BK545" s="65">
        <v>464288.12</v>
      </c>
      <c r="BL545" s="65">
        <v>483764.47</v>
      </c>
      <c r="BM545" s="65">
        <v>503479.55</v>
      </c>
      <c r="BN545" s="65">
        <v>624103.3</v>
      </c>
      <c r="BO545" s="65">
        <v>644937.33</v>
      </c>
      <c r="BP545" s="65">
        <v>669177.7</v>
      </c>
      <c r="BQ545" s="65">
        <v>684433.1</v>
      </c>
      <c r="BR545" s="65">
        <v>705829.9</v>
      </c>
      <c r="BS545" s="65">
        <v>728681.62</v>
      </c>
      <c r="BT545" s="88">
        <v>749420.4</v>
      </c>
      <c r="BU545" s="65">
        <v>756882.9</v>
      </c>
      <c r="BV545" s="65">
        <v>765545.6</v>
      </c>
      <c r="BW545" s="90">
        <v>2538905.0</v>
      </c>
      <c r="BX545" s="90">
        <v>2973113.89</v>
      </c>
      <c r="BY545" s="90">
        <f t="array" ref="BY545">XLOOKUP(C545,'PL TOTAL D0'!$A$3:$A$1991,'PL TOTAL D0'!$C$3:$C$1991,"")</f>
        <v>3000606.07</v>
      </c>
    </row>
    <row r="546" ht="15.75" customHeight="1">
      <c r="A546" s="50" t="s">
        <v>24</v>
      </c>
      <c r="B546" s="43" t="s">
        <v>6913</v>
      </c>
      <c r="C546" s="94" t="s">
        <v>6914</v>
      </c>
      <c r="D546" s="81" t="s">
        <v>120</v>
      </c>
      <c r="E546" s="95" t="s">
        <v>54</v>
      </c>
      <c r="F546" s="81" t="s">
        <v>348</v>
      </c>
      <c r="G546" s="47" t="str">
        <f t="shared" si="25"/>
        <v>David</v>
      </c>
      <c r="H546" s="49" t="s">
        <v>224</v>
      </c>
      <c r="I546" s="49" t="s">
        <v>66</v>
      </c>
      <c r="J546" s="47" t="str">
        <f t="shared" si="27"/>
        <v>Não</v>
      </c>
      <c r="K546" s="97">
        <v>44607.0</v>
      </c>
      <c r="L546" s="55">
        <v>45966.0</v>
      </c>
      <c r="M546" s="32" t="s">
        <v>568</v>
      </c>
      <c r="N546" s="98">
        <v>0.012</v>
      </c>
      <c r="O546" s="47" t="s">
        <v>35</v>
      </c>
      <c r="P546" s="99">
        <v>0.1</v>
      </c>
      <c r="Q546" s="58"/>
      <c r="R546" s="58" t="s">
        <v>6915</v>
      </c>
      <c r="S546" s="62" t="s">
        <v>194</v>
      </c>
      <c r="T546" s="32" t="s">
        <v>945</v>
      </c>
      <c r="U546" s="33" t="s">
        <v>268</v>
      </c>
      <c r="V546" s="33"/>
      <c r="W546" s="33" t="s">
        <v>268</v>
      </c>
      <c r="X546" s="23" t="s">
        <v>54</v>
      </c>
      <c r="Y546" s="49" t="str">
        <f t="shared" si="22"/>
        <v>Encerrado</v>
      </c>
      <c r="Z546" s="62"/>
      <c r="AA546" s="62"/>
      <c r="AB546" s="64" t="s">
        <v>269</v>
      </c>
      <c r="AC546" s="79"/>
      <c r="AD546" s="54">
        <v>44607.0</v>
      </c>
      <c r="AE546" s="77">
        <v>4.907510000358E13</v>
      </c>
      <c r="AF546" s="79"/>
      <c r="AG546" s="79"/>
      <c r="AH546" s="79"/>
      <c r="AI546" s="65">
        <v>0.0</v>
      </c>
      <c r="AJ546" s="65">
        <v>1174012.95</v>
      </c>
      <c r="AK546" s="65">
        <v>1278337.14</v>
      </c>
      <c r="AL546" s="65">
        <v>1277504.53</v>
      </c>
      <c r="AM546" s="65">
        <v>1309970.99</v>
      </c>
      <c r="AN546" s="65">
        <v>1337693.54</v>
      </c>
      <c r="AO546" s="65">
        <v>1349842.02</v>
      </c>
      <c r="AP546" s="65">
        <v>1345337.41</v>
      </c>
      <c r="AQ546" s="65">
        <v>1346431.58</v>
      </c>
      <c r="AR546" s="65">
        <v>1330950.57</v>
      </c>
      <c r="AS546" s="65">
        <v>1492941.21</v>
      </c>
      <c r="AT546" s="65">
        <v>1513517.47</v>
      </c>
      <c r="AU546" s="65">
        <v>1523641.36</v>
      </c>
      <c r="AV546" s="65">
        <v>1563944.12</v>
      </c>
      <c r="AW546" s="65">
        <v>1596659.71</v>
      </c>
      <c r="AX546" s="65">
        <v>1600539.36</v>
      </c>
      <c r="AY546" s="65">
        <v>1630504.0</v>
      </c>
      <c r="AZ546" s="65">
        <v>1679940.0</v>
      </c>
      <c r="BA546" s="65">
        <v>2079535.0</v>
      </c>
      <c r="BB546" s="65">
        <v>2099056.06</v>
      </c>
      <c r="BC546" s="65">
        <v>2141123.46</v>
      </c>
      <c r="BD546" s="65">
        <v>2156866.61</v>
      </c>
      <c r="BE546" s="65">
        <v>1838540.3</v>
      </c>
      <c r="BF546" s="65">
        <v>1850305.76</v>
      </c>
      <c r="BG546" s="65">
        <v>1882684.16</v>
      </c>
      <c r="BH546" s="65">
        <v>1871808.4</v>
      </c>
      <c r="BI546" s="65">
        <v>1881484.65</v>
      </c>
      <c r="BJ546" s="65">
        <v>2010400.17</v>
      </c>
      <c r="BK546" s="65">
        <v>2063153.43</v>
      </c>
      <c r="BL546" s="65">
        <v>2102709.66</v>
      </c>
      <c r="BM546" s="65">
        <v>0.0</v>
      </c>
      <c r="BN546" s="65">
        <v>0.0</v>
      </c>
      <c r="BO546" s="65">
        <v>0.0</v>
      </c>
      <c r="BP546" s="65">
        <v>0.0</v>
      </c>
      <c r="BQ546" s="65">
        <v>0.0</v>
      </c>
      <c r="BR546" s="65">
        <v>0.0</v>
      </c>
      <c r="BS546" s="65">
        <v>0.0</v>
      </c>
      <c r="BT546" s="88">
        <v>0.0</v>
      </c>
      <c r="BU546" s="65">
        <v>0.0</v>
      </c>
      <c r="BV546" s="65">
        <v>0.0</v>
      </c>
      <c r="BW546" s="90">
        <v>0.0</v>
      </c>
      <c r="BX546" s="90">
        <v>0.0</v>
      </c>
      <c r="BY546" s="90" t="str">
        <f t="array" ref="BY546">XLOOKUP(C546,'PL TOTAL D0'!$A$3:$A$1991,'PL TOTAL D0'!$C$3:$C$1991,"")</f>
        <v/>
      </c>
    </row>
    <row r="547" ht="15.75" customHeight="1">
      <c r="A547" s="50" t="s">
        <v>24</v>
      </c>
      <c r="B547" s="176" t="s">
        <v>5375</v>
      </c>
      <c r="C547" s="94" t="s">
        <v>2890</v>
      </c>
      <c r="D547" s="81" t="s">
        <v>120</v>
      </c>
      <c r="E547" s="95" t="s">
        <v>199</v>
      </c>
      <c r="F547" s="81" t="s">
        <v>212</v>
      </c>
      <c r="G547" s="47" t="str">
        <f t="shared" si="25"/>
        <v>Gabriel</v>
      </c>
      <c r="H547" s="74" t="s">
        <v>183</v>
      </c>
      <c r="I547" s="74" t="s">
        <v>66</v>
      </c>
      <c r="J547" s="47" t="str">
        <f t="shared" si="27"/>
        <v>Não</v>
      </c>
      <c r="K547" s="97">
        <v>45036.0</v>
      </c>
      <c r="L547" s="62"/>
      <c r="M547" s="62" t="s">
        <v>213</v>
      </c>
      <c r="N547" s="98">
        <v>0.003</v>
      </c>
      <c r="O547" s="47" t="s">
        <v>66</v>
      </c>
      <c r="P547" s="99">
        <v>0.0</v>
      </c>
      <c r="Q547" s="58"/>
      <c r="R547" s="70"/>
      <c r="S547" s="62" t="s">
        <v>234</v>
      </c>
      <c r="T547" s="32" t="s">
        <v>5374</v>
      </c>
      <c r="U547" s="33">
        <v>5.561981212666E12</v>
      </c>
      <c r="V547" s="33" t="s">
        <v>4882</v>
      </c>
      <c r="W547" s="34">
        <v>36684.0</v>
      </c>
      <c r="X547" s="23" t="s">
        <v>199</v>
      </c>
      <c r="Y547" s="49" t="str">
        <f t="shared" si="22"/>
        <v>Ativo</v>
      </c>
      <c r="Z547" s="62"/>
      <c r="AA547" s="62"/>
      <c r="AB547" s="64" t="s">
        <v>269</v>
      </c>
      <c r="AC547" s="79"/>
      <c r="AD547" s="54">
        <v>45036.0</v>
      </c>
      <c r="AE547" s="77">
        <v>4.9075100008523E13</v>
      </c>
      <c r="AF547" s="79"/>
      <c r="AG547" s="79"/>
      <c r="AH547" s="79"/>
      <c r="AI547" s="79"/>
      <c r="AJ547" s="79"/>
      <c r="AK547" s="65">
        <v>0.0</v>
      </c>
      <c r="AL547" s="65">
        <v>332686.07</v>
      </c>
      <c r="AM547" s="65">
        <v>276198.08</v>
      </c>
      <c r="AN547" s="65">
        <v>277203.64</v>
      </c>
      <c r="AO547" s="65">
        <v>280072.57</v>
      </c>
      <c r="AP547" s="65">
        <v>383540.6</v>
      </c>
      <c r="AQ547" s="65">
        <v>386603.64</v>
      </c>
      <c r="AR547" s="65">
        <v>389507.22</v>
      </c>
      <c r="AS547" s="65">
        <v>393323.7</v>
      </c>
      <c r="AT547" s="65">
        <v>697637.75</v>
      </c>
      <c r="AU547" s="65">
        <v>35204.2</v>
      </c>
      <c r="AV547" s="65">
        <v>35324.09</v>
      </c>
      <c r="AW547" s="65">
        <v>85768.99</v>
      </c>
      <c r="AX547" s="65">
        <v>85896.69</v>
      </c>
      <c r="AY547" s="65">
        <v>86552.94</v>
      </c>
      <c r="AZ547" s="65">
        <v>338468.3</v>
      </c>
      <c r="BA547" s="65">
        <v>341410.1</v>
      </c>
      <c r="BB547" s="65">
        <v>345437.37</v>
      </c>
      <c r="BC547" s="65">
        <v>348144.63</v>
      </c>
      <c r="BD547" s="65">
        <v>351334.9</v>
      </c>
      <c r="BE547" s="65">
        <v>582437.71</v>
      </c>
      <c r="BF547" s="65">
        <v>668004.95</v>
      </c>
      <c r="BG547" s="65">
        <v>544108.66</v>
      </c>
      <c r="BH547" s="65">
        <v>549715.74</v>
      </c>
      <c r="BI547" s="65">
        <v>554991.87</v>
      </c>
      <c r="BJ547" s="65">
        <v>560598.33</v>
      </c>
      <c r="BK547" s="65">
        <v>424724.71</v>
      </c>
      <c r="BL547" s="65">
        <v>839456.75</v>
      </c>
      <c r="BM547" s="65">
        <v>341368.73</v>
      </c>
      <c r="BN547" s="65">
        <v>344909.3</v>
      </c>
      <c r="BO547" s="65">
        <v>358269.9</v>
      </c>
      <c r="BP547" s="65">
        <v>794128.2</v>
      </c>
      <c r="BQ547" s="65">
        <v>750843.7</v>
      </c>
      <c r="BR547" s="65">
        <v>657305.1</v>
      </c>
      <c r="BS547" s="65">
        <v>602305.86</v>
      </c>
      <c r="BT547" s="88">
        <v>1445617.0</v>
      </c>
      <c r="BU547" s="65">
        <v>523659.4</v>
      </c>
      <c r="BV547" s="65">
        <v>529820.7</v>
      </c>
      <c r="BW547" s="90">
        <v>505302.6</v>
      </c>
      <c r="BX547" s="90">
        <v>510910.27</v>
      </c>
      <c r="BY547" s="90">
        <f t="array" ref="BY547">XLOOKUP(C547,'PL TOTAL D0'!$A$3:$A$1991,'PL TOTAL D0'!$C$3:$C$1991,"")</f>
        <v>517415.99</v>
      </c>
    </row>
    <row r="548" ht="15.75" customHeight="1">
      <c r="A548" s="50" t="s">
        <v>24</v>
      </c>
      <c r="B548" s="176" t="s">
        <v>6921</v>
      </c>
      <c r="C548" s="94" t="s">
        <v>2439</v>
      </c>
      <c r="D548" s="81" t="s">
        <v>89</v>
      </c>
      <c r="E548" s="95" t="s">
        <v>91</v>
      </c>
      <c r="F548" s="81" t="s">
        <v>5142</v>
      </c>
      <c r="G548" s="47" t="str">
        <f t="shared" si="25"/>
        <v>David</v>
      </c>
      <c r="H548" s="49" t="s">
        <v>183</v>
      </c>
      <c r="I548" s="74" t="s">
        <v>66</v>
      </c>
      <c r="J548" s="47" t="str">
        <f t="shared" si="27"/>
        <v>Sim</v>
      </c>
      <c r="K548" s="97">
        <v>46085.0</v>
      </c>
      <c r="L548" s="62"/>
      <c r="M548" s="32" t="s">
        <v>4576</v>
      </c>
      <c r="N548" s="98">
        <v>0.012</v>
      </c>
      <c r="O548" s="47" t="s">
        <v>66</v>
      </c>
      <c r="P548" s="99">
        <v>0.0</v>
      </c>
      <c r="Q548" s="58" t="s">
        <v>6924</v>
      </c>
      <c r="R548" s="70"/>
      <c r="S548" s="62" t="s">
        <v>234</v>
      </c>
      <c r="T548" s="32" t="s">
        <v>6925</v>
      </c>
      <c r="U548" s="33" t="s">
        <v>6926</v>
      </c>
      <c r="V548" s="33" t="s">
        <v>6927</v>
      </c>
      <c r="W548" s="34">
        <v>26777.0</v>
      </c>
      <c r="X548" s="23" t="s">
        <v>221</v>
      </c>
      <c r="Y548" s="49" t="str">
        <f t="shared" si="22"/>
        <v>Ativo</v>
      </c>
      <c r="Z548" s="62"/>
      <c r="AA548" s="62" t="s">
        <v>47</v>
      </c>
      <c r="AB548" s="64"/>
      <c r="AC548" s="79"/>
      <c r="AD548" s="54">
        <v>46203.0</v>
      </c>
      <c r="AE548" s="77"/>
      <c r="AF548" s="79"/>
      <c r="AG548" s="79"/>
      <c r="AH548" s="79"/>
      <c r="AI548" s="79"/>
      <c r="AJ548" s="79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  <c r="BE548" s="65"/>
      <c r="BF548" s="65"/>
      <c r="BG548" s="65"/>
      <c r="BH548" s="65"/>
      <c r="BI548" s="65"/>
      <c r="BJ548" s="65"/>
      <c r="BK548" s="65"/>
      <c r="BL548" s="65"/>
      <c r="BM548" s="65"/>
      <c r="BN548" s="65"/>
      <c r="BO548" s="65"/>
      <c r="BP548" s="65"/>
      <c r="BQ548" s="65"/>
      <c r="BR548" s="65"/>
      <c r="BS548" s="65"/>
      <c r="BT548" s="88" t="s">
        <v>1739</v>
      </c>
      <c r="BU548" s="65">
        <v>1.6435672E7</v>
      </c>
      <c r="BV548" s="65">
        <v>1.6686386E7</v>
      </c>
      <c r="BW548" s="90">
        <v>1.6812721E7</v>
      </c>
      <c r="BX548" s="90">
        <v>1.688051001E7</v>
      </c>
      <c r="BY548" s="90">
        <f t="array" ref="BY548">XLOOKUP(C548,'PL TOTAL D0'!$A$3:$A$1991,'PL TOTAL D0'!$C$3:$C$1991,"")</f>
        <v>18388837.19</v>
      </c>
    </row>
    <row r="549" ht="15.75" customHeight="1">
      <c r="A549" s="50" t="s">
        <v>24</v>
      </c>
      <c r="B549" s="39" t="s">
        <v>6928</v>
      </c>
      <c r="C549" s="53" t="s">
        <v>2552</v>
      </c>
      <c r="D549" s="30" t="s">
        <v>1257</v>
      </c>
      <c r="E549" s="22" t="s">
        <v>199</v>
      </c>
      <c r="F549" s="30" t="s">
        <v>1257</v>
      </c>
      <c r="G549" s="47" t="str">
        <f t="shared" si="25"/>
        <v>David</v>
      </c>
      <c r="H549" s="49" t="s">
        <v>183</v>
      </c>
      <c r="I549" s="49" t="s">
        <v>66</v>
      </c>
      <c r="J549" s="47" t="str">
        <f t="shared" si="27"/>
        <v>Não</v>
      </c>
      <c r="K549" s="54">
        <v>46148.0</v>
      </c>
      <c r="L549" s="62"/>
      <c r="M549" s="32" t="s">
        <v>1262</v>
      </c>
      <c r="N549" s="56">
        <v>0.0</v>
      </c>
      <c r="O549" s="23" t="s">
        <v>66</v>
      </c>
      <c r="P549" s="57">
        <v>0.0</v>
      </c>
      <c r="Q549" s="58"/>
      <c r="R549" s="70"/>
      <c r="S549" s="32" t="s">
        <v>194</v>
      </c>
      <c r="T549" s="32" t="s">
        <v>6930</v>
      </c>
      <c r="U549" s="33" t="s">
        <v>6931</v>
      </c>
      <c r="V549" s="33" t="s">
        <v>6932</v>
      </c>
      <c r="W549" s="34">
        <v>29092.0</v>
      </c>
      <c r="X549" s="23" t="s">
        <v>475</v>
      </c>
      <c r="Y549" s="49" t="str">
        <f t="shared" si="22"/>
        <v>Ativo</v>
      </c>
      <c r="Z549" s="62"/>
      <c r="AA549" s="32" t="s">
        <v>47</v>
      </c>
      <c r="AB549" s="64"/>
      <c r="AC549" s="79"/>
      <c r="AD549" s="54">
        <v>46203.0</v>
      </c>
      <c r="AE549" s="77"/>
      <c r="AF549" s="79"/>
      <c r="AG549" s="79"/>
      <c r="AH549" s="79"/>
      <c r="AI549" s="79"/>
      <c r="AJ549" s="79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  <c r="BE549" s="65"/>
      <c r="BF549" s="65"/>
      <c r="BG549" s="65"/>
      <c r="BH549" s="65"/>
      <c r="BI549" s="65"/>
      <c r="BJ549" s="65"/>
      <c r="BK549" s="65"/>
      <c r="BL549" s="65"/>
      <c r="BM549" s="65"/>
      <c r="BN549" s="65"/>
      <c r="BO549" s="65"/>
      <c r="BP549" s="65"/>
      <c r="BQ549" s="65"/>
      <c r="BR549" s="65"/>
      <c r="BS549" s="65"/>
      <c r="BT549" s="88"/>
      <c r="BU549" s="65"/>
      <c r="BV549" s="65">
        <v>0.0</v>
      </c>
      <c r="BW549" s="90">
        <v>2539120.0</v>
      </c>
      <c r="BX549" s="90">
        <v>2532478.27</v>
      </c>
      <c r="BY549" s="90">
        <f t="array" ref="BY549">XLOOKUP(C549,'PL TOTAL D0'!$A$3:$A$1991,'PL TOTAL D0'!$C$3:$C$1991,"")</f>
        <v>2536565.52</v>
      </c>
    </row>
    <row r="550" ht="15.75" customHeight="1">
      <c r="A550" s="50" t="s">
        <v>24</v>
      </c>
      <c r="B550" s="50" t="s">
        <v>6936</v>
      </c>
      <c r="C550" s="94" t="s">
        <v>2914</v>
      </c>
      <c r="D550" s="81" t="s">
        <v>120</v>
      </c>
      <c r="E550" s="95" t="s">
        <v>199</v>
      </c>
      <c r="F550" s="81" t="s">
        <v>212</v>
      </c>
      <c r="G550" s="47" t="str">
        <f t="shared" si="25"/>
        <v>Gabriel</v>
      </c>
      <c r="H550" s="74" t="s">
        <v>183</v>
      </c>
      <c r="I550" s="74" t="s">
        <v>66</v>
      </c>
      <c r="J550" s="47" t="str">
        <f t="shared" si="27"/>
        <v>Sim</v>
      </c>
      <c r="K550" s="97">
        <v>44981.0</v>
      </c>
      <c r="L550" s="62"/>
      <c r="M550" s="62" t="s">
        <v>61</v>
      </c>
      <c r="N550" s="98">
        <v>0.007</v>
      </c>
      <c r="O550" s="47" t="s">
        <v>66</v>
      </c>
      <c r="P550" s="99">
        <v>0.0</v>
      </c>
      <c r="Q550" s="58" t="s">
        <v>6937</v>
      </c>
      <c r="R550" s="635"/>
      <c r="S550" s="62" t="s">
        <v>194</v>
      </c>
      <c r="T550" s="32" t="s">
        <v>5391</v>
      </c>
      <c r="U550" s="33">
        <v>5.561993333033E12</v>
      </c>
      <c r="V550" s="33" t="s">
        <v>6938</v>
      </c>
      <c r="W550" s="34">
        <v>16822.0</v>
      </c>
      <c r="X550" s="23" t="s">
        <v>199</v>
      </c>
      <c r="Y550" s="49" t="str">
        <f t="shared" si="22"/>
        <v>Ativo</v>
      </c>
      <c r="Z550" s="62"/>
      <c r="AA550" s="62"/>
      <c r="AB550" s="64" t="s">
        <v>269</v>
      </c>
      <c r="AC550" s="79"/>
      <c r="AD550" s="54">
        <v>44981.0</v>
      </c>
      <c r="AE550" s="77">
        <v>4.9075100003602E13</v>
      </c>
      <c r="AF550" s="79"/>
      <c r="AG550" s="79"/>
      <c r="AH550" s="79"/>
      <c r="AI550" s="65">
        <v>0.0</v>
      </c>
      <c r="AJ550" s="65">
        <v>682529.36</v>
      </c>
      <c r="AK550" s="65">
        <v>695807.82</v>
      </c>
      <c r="AL550" s="65">
        <v>700054.09</v>
      </c>
      <c r="AM550" s="65">
        <v>707734.86</v>
      </c>
      <c r="AN550" s="65">
        <v>714716.36</v>
      </c>
      <c r="AO550" s="65">
        <v>721538.05</v>
      </c>
      <c r="AP550" s="65">
        <v>729037.97</v>
      </c>
      <c r="AQ550" s="65">
        <v>734751.36</v>
      </c>
      <c r="AR550" s="65">
        <v>740955.26</v>
      </c>
      <c r="AS550" s="65">
        <v>747605.34</v>
      </c>
      <c r="AT550" s="65">
        <v>754218.37</v>
      </c>
      <c r="AU550" s="65">
        <v>26930.08</v>
      </c>
      <c r="AV550" s="65">
        <v>26721.29</v>
      </c>
      <c r="AW550" s="65">
        <v>26929.96</v>
      </c>
      <c r="AX550" s="65">
        <v>27030.13</v>
      </c>
      <c r="AY550" s="65">
        <v>27180.49</v>
      </c>
      <c r="AZ550" s="65">
        <v>27379.61</v>
      </c>
      <c r="BA550" s="65">
        <v>27610.54</v>
      </c>
      <c r="BB550" s="65">
        <v>27831.75</v>
      </c>
      <c r="BC550" s="65">
        <v>28045.04</v>
      </c>
      <c r="BD550" s="65">
        <v>28288.57</v>
      </c>
      <c r="BE550" s="65">
        <v>28283.48</v>
      </c>
      <c r="BF550" s="65">
        <v>28526.07</v>
      </c>
      <c r="BG550" s="65">
        <v>28802.57</v>
      </c>
      <c r="BH550" s="65">
        <v>29065.07</v>
      </c>
      <c r="BI550" s="65">
        <v>29323.86</v>
      </c>
      <c r="BJ550" s="65">
        <v>19383.11</v>
      </c>
      <c r="BK550" s="65">
        <v>10392.8</v>
      </c>
      <c r="BL550" s="65">
        <v>10494.07</v>
      </c>
      <c r="BM550" s="65">
        <v>10620.47</v>
      </c>
      <c r="BN550" s="65">
        <v>10735.49</v>
      </c>
      <c r="BO550" s="65">
        <v>10852.46</v>
      </c>
      <c r="BP550" s="65">
        <v>662798.2</v>
      </c>
      <c r="BQ550" s="65">
        <v>552014.6</v>
      </c>
      <c r="BR550" s="65">
        <v>446776.1</v>
      </c>
      <c r="BS550" s="65">
        <v>452048.44</v>
      </c>
      <c r="BT550" s="88">
        <v>455958.7</v>
      </c>
      <c r="BU550" s="65">
        <v>461258.7</v>
      </c>
      <c r="BV550" s="65">
        <v>466052.3</v>
      </c>
      <c r="BW550" s="90">
        <v>467767.9</v>
      </c>
      <c r="BX550" s="90">
        <v>471863.78</v>
      </c>
      <c r="BY550" s="90">
        <f t="array" ref="BY550">XLOOKUP(C550,'PL TOTAL D0'!$A$3:$A$1991,'PL TOTAL D0'!$C$3:$C$1991,"")</f>
        <v>477537.74</v>
      </c>
    </row>
    <row r="551" ht="15.75" customHeight="1">
      <c r="A551" s="50" t="s">
        <v>24</v>
      </c>
      <c r="B551" s="43" t="s">
        <v>5406</v>
      </c>
      <c r="C551" s="94" t="s">
        <v>2833</v>
      </c>
      <c r="D551" s="81" t="s">
        <v>120</v>
      </c>
      <c r="E551" s="95" t="s">
        <v>54</v>
      </c>
      <c r="F551" s="81" t="s">
        <v>125</v>
      </c>
      <c r="G551" s="47" t="str">
        <f t="shared" si="25"/>
        <v>Gabriel</v>
      </c>
      <c r="H551" s="74" t="s">
        <v>183</v>
      </c>
      <c r="I551" s="74" t="s">
        <v>66</v>
      </c>
      <c r="J551" s="47" t="str">
        <f t="shared" si="27"/>
        <v>Sim</v>
      </c>
      <c r="K551" s="97">
        <v>44974.0</v>
      </c>
      <c r="L551" s="62"/>
      <c r="M551" s="62" t="s">
        <v>34</v>
      </c>
      <c r="N551" s="98">
        <v>0.012</v>
      </c>
      <c r="O551" s="47" t="s">
        <v>66</v>
      </c>
      <c r="P551" s="99">
        <v>0.0</v>
      </c>
      <c r="Q551" s="58" t="s">
        <v>6941</v>
      </c>
      <c r="R551" s="635"/>
      <c r="S551" s="62" t="s">
        <v>194</v>
      </c>
      <c r="T551" s="32" t="s">
        <v>5405</v>
      </c>
      <c r="U551" s="33">
        <v>5.562984140131E12</v>
      </c>
      <c r="V551" s="33" t="s">
        <v>6942</v>
      </c>
      <c r="W551" s="34">
        <v>26190.0</v>
      </c>
      <c r="X551" s="23" t="s">
        <v>54</v>
      </c>
      <c r="Y551" s="49" t="str">
        <f t="shared" si="22"/>
        <v>Ativo</v>
      </c>
      <c r="Z551" s="62"/>
      <c r="AA551" s="62"/>
      <c r="AB551" s="64" t="s">
        <v>269</v>
      </c>
      <c r="AC551" s="79"/>
      <c r="AD551" s="54">
        <v>44974.0</v>
      </c>
      <c r="AE551" s="77">
        <v>4.9075100009414E13</v>
      </c>
      <c r="AF551" s="79"/>
      <c r="AG551" s="79"/>
      <c r="AH551" s="79"/>
      <c r="AI551" s="65">
        <v>0.0</v>
      </c>
      <c r="AJ551" s="65">
        <v>198564.62</v>
      </c>
      <c r="AK551" s="65">
        <v>218727.87</v>
      </c>
      <c r="AL551" s="65">
        <v>220678.08</v>
      </c>
      <c r="AM551" s="65">
        <v>223209.27</v>
      </c>
      <c r="AN551" s="65">
        <v>223725.03</v>
      </c>
      <c r="AO551" s="65">
        <v>225654.51</v>
      </c>
      <c r="AP551" s="65">
        <v>227507.52</v>
      </c>
      <c r="AQ551" s="65">
        <v>228719.24</v>
      </c>
      <c r="AR551" s="65">
        <v>229311.73</v>
      </c>
      <c r="AS551" s="65">
        <v>232522.65</v>
      </c>
      <c r="AT551" s="65">
        <v>234023.54</v>
      </c>
      <c r="AU551" s="65">
        <v>233431.32</v>
      </c>
      <c r="AV551" s="65">
        <v>235521.53</v>
      </c>
      <c r="AW551" s="65">
        <v>237902.88</v>
      </c>
      <c r="AX551" s="65">
        <v>237983.6</v>
      </c>
      <c r="AY551" s="65">
        <v>293242.3</v>
      </c>
      <c r="AZ551" s="65">
        <v>294801.9</v>
      </c>
      <c r="BA551" s="65">
        <v>298212.5</v>
      </c>
      <c r="BB551" s="65">
        <v>301300.08</v>
      </c>
      <c r="BC551" s="65">
        <v>301942.03</v>
      </c>
      <c r="BD551" s="65">
        <v>302384.9</v>
      </c>
      <c r="BE551" s="65">
        <v>303022.2</v>
      </c>
      <c r="BF551" s="65">
        <v>334709.26</v>
      </c>
      <c r="BG551" s="65">
        <v>338108.42</v>
      </c>
      <c r="BH551" s="65">
        <v>341303.51</v>
      </c>
      <c r="BI551" s="65">
        <v>344959.04</v>
      </c>
      <c r="BJ551" s="65">
        <v>348630.8</v>
      </c>
      <c r="BK551" s="65">
        <v>351723.58</v>
      </c>
      <c r="BL551" s="65">
        <v>425158.56</v>
      </c>
      <c r="BM551" s="65">
        <v>429915.1</v>
      </c>
      <c r="BN551" s="65">
        <v>434062.8</v>
      </c>
      <c r="BO551" s="65">
        <v>468213.44</v>
      </c>
      <c r="BP551" s="65">
        <v>512256.8</v>
      </c>
      <c r="BQ551" s="65">
        <v>516005.0</v>
      </c>
      <c r="BR551" s="65">
        <v>520727.1</v>
      </c>
      <c r="BS551" s="65">
        <v>525326.33</v>
      </c>
      <c r="BT551" s="88">
        <v>529807.6</v>
      </c>
      <c r="BU551" s="65">
        <v>536294.3</v>
      </c>
      <c r="BV551" s="65">
        <v>542533.3</v>
      </c>
      <c r="BW551" s="90">
        <v>567754.6</v>
      </c>
      <c r="BX551" s="90">
        <v>572834.93</v>
      </c>
      <c r="BY551" s="90">
        <f t="array" ref="BY551">XLOOKUP(C551,'PL TOTAL D0'!$A$3:$A$1991,'PL TOTAL D0'!$C$3:$C$1991,"")</f>
        <v>579885.81</v>
      </c>
    </row>
    <row r="552" ht="15.75" customHeight="1">
      <c r="A552" s="50" t="s">
        <v>24</v>
      </c>
      <c r="B552" s="43" t="s">
        <v>6945</v>
      </c>
      <c r="C552" s="94" t="s">
        <v>6946</v>
      </c>
      <c r="D552" s="30" t="s">
        <v>120</v>
      </c>
      <c r="E552" s="22" t="s">
        <v>54</v>
      </c>
      <c r="F552" s="30" t="s">
        <v>348</v>
      </c>
      <c r="G552" s="47" t="str">
        <f t="shared" si="25"/>
        <v>David</v>
      </c>
      <c r="H552" s="49" t="s">
        <v>224</v>
      </c>
      <c r="I552" s="49" t="s">
        <v>66</v>
      </c>
      <c r="J552" s="47" t="str">
        <f t="shared" si="27"/>
        <v>Não</v>
      </c>
      <c r="K552" s="54">
        <v>45448.0</v>
      </c>
      <c r="L552" s="55">
        <v>45891.0</v>
      </c>
      <c r="M552" s="32" t="s">
        <v>61</v>
      </c>
      <c r="N552" s="56">
        <v>0.012</v>
      </c>
      <c r="O552" s="23" t="s">
        <v>66</v>
      </c>
      <c r="P552" s="57">
        <v>0.0</v>
      </c>
      <c r="Q552" s="58"/>
      <c r="R552" s="635"/>
      <c r="S552" s="32" t="s">
        <v>194</v>
      </c>
      <c r="T552" s="32" t="s">
        <v>6947</v>
      </c>
      <c r="U552" s="33" t="s">
        <v>268</v>
      </c>
      <c r="V552" s="33"/>
      <c r="W552" s="33" t="s">
        <v>268</v>
      </c>
      <c r="X552" s="23" t="s">
        <v>54</v>
      </c>
      <c r="Y552" s="49" t="str">
        <f t="shared" si="22"/>
        <v>Encerrado</v>
      </c>
      <c r="Z552" s="32"/>
      <c r="AA552" s="32" t="s">
        <v>107</v>
      </c>
      <c r="AB552" s="64" t="s">
        <v>269</v>
      </c>
      <c r="AC552" s="79"/>
      <c r="AD552" s="54">
        <v>45448.0</v>
      </c>
      <c r="AE552" s="77">
        <v>4.9075100015058E13</v>
      </c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65"/>
      <c r="AW552" s="65"/>
      <c r="AX552" s="65"/>
      <c r="AY552" s="65"/>
      <c r="AZ552" s="65">
        <v>101367.4</v>
      </c>
      <c r="BA552" s="65">
        <v>201394.1</v>
      </c>
      <c r="BB552" s="65">
        <v>108777.03</v>
      </c>
      <c r="BC552" s="65">
        <v>99346.2</v>
      </c>
      <c r="BD552" s="65">
        <v>130304.14</v>
      </c>
      <c r="BE552" s="65">
        <v>161430.89</v>
      </c>
      <c r="BF552" s="65">
        <v>162625.94</v>
      </c>
      <c r="BG552" s="65">
        <v>148424.01</v>
      </c>
      <c r="BH552" s="65">
        <v>142571.15</v>
      </c>
      <c r="BI552" s="65">
        <v>133690.66</v>
      </c>
      <c r="BJ552" s="65">
        <v>129971.82</v>
      </c>
      <c r="BK552" s="65">
        <v>122940.86</v>
      </c>
      <c r="BL552" s="65">
        <v>112604.68</v>
      </c>
      <c r="BM552" s="65">
        <v>0.0</v>
      </c>
      <c r="BN552" s="65">
        <v>0.0</v>
      </c>
      <c r="BO552" s="65">
        <v>0.0</v>
      </c>
      <c r="BP552" s="65">
        <v>0.0</v>
      </c>
      <c r="BQ552" s="65">
        <v>0.0</v>
      </c>
      <c r="BR552" s="65">
        <v>0.0</v>
      </c>
      <c r="BS552" s="65">
        <v>0.0</v>
      </c>
      <c r="BT552" s="88">
        <v>0.0</v>
      </c>
      <c r="BU552" s="65">
        <v>0.0</v>
      </c>
      <c r="BV552" s="65">
        <v>0.0</v>
      </c>
      <c r="BW552" s="90">
        <v>0.0</v>
      </c>
      <c r="BX552" s="90">
        <v>0.0</v>
      </c>
      <c r="BY552" s="90" t="str">
        <f t="array" ref="BY552">XLOOKUP(C552,'PL TOTAL D0'!$A$3:$A$1991,'PL TOTAL D0'!$C$3:$C$1991,"")</f>
        <v/>
      </c>
    </row>
    <row r="553" ht="15.75" customHeight="1">
      <c r="A553" s="50" t="s">
        <v>24</v>
      </c>
      <c r="B553" s="50" t="s">
        <v>5432</v>
      </c>
      <c r="C553" s="94" t="s">
        <v>3027</v>
      </c>
      <c r="D553" s="81" t="s">
        <v>120</v>
      </c>
      <c r="E553" s="95" t="s">
        <v>199</v>
      </c>
      <c r="F553" s="81" t="s">
        <v>290</v>
      </c>
      <c r="G553" s="47" t="str">
        <f t="shared" si="25"/>
        <v>Gabriel</v>
      </c>
      <c r="H553" s="49" t="s">
        <v>183</v>
      </c>
      <c r="I553" s="49" t="s">
        <v>66</v>
      </c>
      <c r="J553" s="47" t="str">
        <f t="shared" si="27"/>
        <v>Sim</v>
      </c>
      <c r="K553" s="97">
        <v>45049.0</v>
      </c>
      <c r="L553" s="62"/>
      <c r="M553" s="62" t="s">
        <v>61</v>
      </c>
      <c r="N553" s="98">
        <v>0.012</v>
      </c>
      <c r="O553" s="47" t="s">
        <v>66</v>
      </c>
      <c r="P553" s="99">
        <v>0.0</v>
      </c>
      <c r="Q553" s="283" t="s">
        <v>1705</v>
      </c>
      <c r="R553" s="635"/>
      <c r="S553" s="62" t="s">
        <v>194</v>
      </c>
      <c r="T553" s="32" t="s">
        <v>5430</v>
      </c>
      <c r="U553" s="33">
        <v>6.1981191208E10</v>
      </c>
      <c r="V553" s="33" t="s">
        <v>2287</v>
      </c>
      <c r="W553" s="34">
        <v>30556.0</v>
      </c>
      <c r="X553" s="23" t="s">
        <v>199</v>
      </c>
      <c r="Y553" s="49" t="str">
        <f t="shared" si="22"/>
        <v>Ativo</v>
      </c>
      <c r="Z553" s="62"/>
      <c r="AA553" s="62"/>
      <c r="AB553" s="64" t="s">
        <v>269</v>
      </c>
      <c r="AC553" s="79"/>
      <c r="AD553" s="54">
        <v>45049.0</v>
      </c>
      <c r="AE553" s="77">
        <v>4.9075100007233E13</v>
      </c>
      <c r="AF553" s="79"/>
      <c r="AG553" s="79"/>
      <c r="AH553" s="79"/>
      <c r="AI553" s="79"/>
      <c r="AJ553" s="79"/>
      <c r="AK553" s="65">
        <v>0.0</v>
      </c>
      <c r="AL553" s="65">
        <v>0.0</v>
      </c>
      <c r="AM553" s="65">
        <v>121930.35</v>
      </c>
      <c r="AN553" s="65">
        <v>123227.77</v>
      </c>
      <c r="AO553" s="65">
        <v>124208.62</v>
      </c>
      <c r="AP553" s="65">
        <v>125034.68</v>
      </c>
      <c r="AQ553" s="65">
        <v>125505.87</v>
      </c>
      <c r="AR553" s="65">
        <v>126058.34</v>
      </c>
      <c r="AS553" s="65">
        <v>127439.03</v>
      </c>
      <c r="AT553" s="65">
        <v>128225.21</v>
      </c>
      <c r="AU553" s="65">
        <v>129283.53</v>
      </c>
      <c r="AV553" s="65">
        <v>129992.96</v>
      </c>
      <c r="AW553" s="65">
        <v>129147.12</v>
      </c>
      <c r="AX553" s="65">
        <v>259932.89</v>
      </c>
      <c r="AY553" s="65">
        <v>262153.9</v>
      </c>
      <c r="AZ553" s="65">
        <v>264292.1</v>
      </c>
      <c r="BA553" s="65">
        <v>266614.1</v>
      </c>
      <c r="BB553" s="65">
        <v>268210.09</v>
      </c>
      <c r="BC553" s="65">
        <v>269832.02</v>
      </c>
      <c r="BD553" s="65">
        <v>272363.62</v>
      </c>
      <c r="BE553" s="65">
        <v>274499.3</v>
      </c>
      <c r="BF553" s="65">
        <v>276960.56</v>
      </c>
      <c r="BG553" s="65">
        <v>279584.54</v>
      </c>
      <c r="BH553" s="65">
        <v>282238.47</v>
      </c>
      <c r="BI553" s="65">
        <v>283603.25</v>
      </c>
      <c r="BJ553" s="65">
        <v>284555.53</v>
      </c>
      <c r="BK553" s="65">
        <v>287472.62</v>
      </c>
      <c r="BL553" s="65">
        <v>290129.28</v>
      </c>
      <c r="BM553" s="65">
        <v>293409.04</v>
      </c>
      <c r="BN553" s="65">
        <v>296399.3</v>
      </c>
      <c r="BO553" s="65">
        <v>299264.54</v>
      </c>
      <c r="BP553" s="65">
        <v>302885.6</v>
      </c>
      <c r="BQ553" s="65">
        <v>305183.2</v>
      </c>
      <c r="BR553" s="65">
        <v>307499.7</v>
      </c>
      <c r="BS553" s="65">
        <v>310906.57</v>
      </c>
      <c r="BT553" s="88">
        <v>312783.4</v>
      </c>
      <c r="BU553" s="65">
        <v>315590.1</v>
      </c>
      <c r="BV553" s="65">
        <v>316966.1</v>
      </c>
      <c r="BW553" s="90">
        <v>320261.4</v>
      </c>
      <c r="BX553" s="90">
        <v>323415.59</v>
      </c>
      <c r="BY553" s="90">
        <f t="array" ref="BY553">XLOOKUP(C553,'PL TOTAL D0'!$A$3:$A$1991,'PL TOTAL D0'!$C$3:$C$1991,"")</f>
        <v>327219.87</v>
      </c>
    </row>
    <row r="554" ht="15.75" customHeight="1">
      <c r="A554" s="50" t="s">
        <v>24</v>
      </c>
      <c r="B554" s="50" t="s">
        <v>6955</v>
      </c>
      <c r="C554" s="94" t="s">
        <v>2988</v>
      </c>
      <c r="D554" s="30" t="s">
        <v>89</v>
      </c>
      <c r="E554" s="95" t="s">
        <v>91</v>
      </c>
      <c r="F554" s="81" t="s">
        <v>521</v>
      </c>
      <c r="G554" s="47" t="str">
        <f t="shared" si="25"/>
        <v>Gabriel</v>
      </c>
      <c r="H554" s="49" t="s">
        <v>183</v>
      </c>
      <c r="I554" s="49" t="s">
        <v>66</v>
      </c>
      <c r="J554" s="47" t="str">
        <f t="shared" si="27"/>
        <v>Não</v>
      </c>
      <c r="K554" s="97">
        <v>44907.0</v>
      </c>
      <c r="L554" s="62"/>
      <c r="M554" s="62" t="s">
        <v>61</v>
      </c>
      <c r="N554" s="98">
        <v>0.01</v>
      </c>
      <c r="O554" s="47" t="s">
        <v>66</v>
      </c>
      <c r="P554" s="99">
        <v>0.0</v>
      </c>
      <c r="Q554" s="58"/>
      <c r="R554" s="635"/>
      <c r="S554" s="62" t="s">
        <v>194</v>
      </c>
      <c r="T554" s="32" t="s">
        <v>6956</v>
      </c>
      <c r="U554" s="33">
        <v>5.543991910518E12</v>
      </c>
      <c r="V554" s="33" t="s">
        <v>6957</v>
      </c>
      <c r="W554" s="34">
        <v>28985.0</v>
      </c>
      <c r="X554" s="23" t="s">
        <v>221</v>
      </c>
      <c r="Y554" s="49" t="str">
        <f t="shared" si="22"/>
        <v>Ativo</v>
      </c>
      <c r="Z554" s="62"/>
      <c r="AA554" s="62"/>
      <c r="AB554" s="64" t="s">
        <v>269</v>
      </c>
      <c r="AC554" s="79"/>
      <c r="AD554" s="54">
        <v>44907.0</v>
      </c>
      <c r="AE554" s="77">
        <v>4.9075100004102E13</v>
      </c>
      <c r="AF554" s="79"/>
      <c r="AG554" s="79"/>
      <c r="AH554" s="65">
        <v>100701.58</v>
      </c>
      <c r="AI554" s="65">
        <v>137089.41</v>
      </c>
      <c r="AJ554" s="65">
        <v>198714.47</v>
      </c>
      <c r="AK554" s="65">
        <v>200875.49</v>
      </c>
      <c r="AL554" s="65">
        <v>202443.78</v>
      </c>
      <c r="AM554" s="65">
        <v>204655.88</v>
      </c>
      <c r="AN554" s="65">
        <v>206621.5</v>
      </c>
      <c r="AO554" s="65">
        <v>208460.87</v>
      </c>
      <c r="AP554" s="65">
        <v>210444.58</v>
      </c>
      <c r="AQ554" s="65">
        <v>212200.92</v>
      </c>
      <c r="AR554" s="65">
        <v>214129.11</v>
      </c>
      <c r="AS554" s="65">
        <v>215668.41</v>
      </c>
      <c r="AT554" s="65">
        <v>240628.91</v>
      </c>
      <c r="AU554" s="65">
        <v>242446.82</v>
      </c>
      <c r="AV554" s="65">
        <v>244187.75</v>
      </c>
      <c r="AW554" s="65">
        <v>245889.8</v>
      </c>
      <c r="AX554" s="65">
        <v>247888.35</v>
      </c>
      <c r="AY554" s="65">
        <v>249735.1</v>
      </c>
      <c r="AZ554" s="65">
        <v>251771.9</v>
      </c>
      <c r="BA554" s="65">
        <v>264014.6</v>
      </c>
      <c r="BB554" s="65">
        <v>266223.86</v>
      </c>
      <c r="BC554" s="65">
        <v>232934.95</v>
      </c>
      <c r="BD554" s="65">
        <v>234984.87</v>
      </c>
      <c r="BE554" s="65">
        <v>289962.0</v>
      </c>
      <c r="BF554" s="65">
        <v>315849.7</v>
      </c>
      <c r="BG554" s="65">
        <v>319862.97</v>
      </c>
      <c r="BH554" s="65">
        <v>322738.19</v>
      </c>
      <c r="BI554" s="65">
        <v>327271.34</v>
      </c>
      <c r="BJ554" s="65">
        <v>331375.77</v>
      </c>
      <c r="BK554" s="65">
        <v>334793.68</v>
      </c>
      <c r="BL554" s="65">
        <v>337967.28</v>
      </c>
      <c r="BM554" s="65">
        <v>341960.73</v>
      </c>
      <c r="BN554" s="65">
        <v>345468.4</v>
      </c>
      <c r="BO554" s="65">
        <v>348823.05</v>
      </c>
      <c r="BP554" s="65">
        <v>352968.4</v>
      </c>
      <c r="BQ554" s="65">
        <v>353545.8</v>
      </c>
      <c r="BR554" s="65">
        <v>355772.4</v>
      </c>
      <c r="BS554" s="65">
        <v>359798.84</v>
      </c>
      <c r="BT554" s="88">
        <v>362838.1</v>
      </c>
      <c r="BU554" s="65">
        <v>366794.6</v>
      </c>
      <c r="BV554" s="65">
        <v>369397.8</v>
      </c>
      <c r="BW554" s="90">
        <v>372800.1</v>
      </c>
      <c r="BX554" s="90">
        <v>376500.45</v>
      </c>
      <c r="BY554" s="90">
        <f t="array" ref="BY554">XLOOKUP(C554,'PL TOTAL D0'!$A$3:$A$1991,'PL TOTAL D0'!$C$3:$C$1991,"")</f>
        <v>380815.12</v>
      </c>
    </row>
    <row r="555" ht="15.75" customHeight="1">
      <c r="A555" s="50" t="s">
        <v>24</v>
      </c>
      <c r="B555" s="50" t="s">
        <v>6961</v>
      </c>
      <c r="C555" s="94" t="s">
        <v>6962</v>
      </c>
      <c r="D555" s="30" t="s">
        <v>89</v>
      </c>
      <c r="E555" s="95" t="s">
        <v>91</v>
      </c>
      <c r="F555" s="81" t="s">
        <v>521</v>
      </c>
      <c r="G555" s="47" t="str">
        <f t="shared" si="25"/>
        <v>David</v>
      </c>
      <c r="H555" s="49" t="s">
        <v>224</v>
      </c>
      <c r="I555" s="49" t="s">
        <v>66</v>
      </c>
      <c r="J555" s="47" t="str">
        <f t="shared" si="27"/>
        <v>Não</v>
      </c>
      <c r="K555" s="97">
        <v>45096.0</v>
      </c>
      <c r="L555" s="186">
        <v>45966.0</v>
      </c>
      <c r="M555" s="62" t="s">
        <v>231</v>
      </c>
      <c r="N555" s="98">
        <v>0.015</v>
      </c>
      <c r="O555" s="23" t="s">
        <v>233</v>
      </c>
      <c r="P555" s="99">
        <v>0.2</v>
      </c>
      <c r="Q555" s="58"/>
      <c r="R555" s="58" t="s">
        <v>6915</v>
      </c>
      <c r="S555" s="62" t="s">
        <v>194</v>
      </c>
      <c r="T555" s="32" t="s">
        <v>6956</v>
      </c>
      <c r="U555" s="33">
        <v>5.543991910518E12</v>
      </c>
      <c r="V555" s="33" t="s">
        <v>6957</v>
      </c>
      <c r="W555" s="34">
        <v>28985.0</v>
      </c>
      <c r="X555" s="23" t="s">
        <v>221</v>
      </c>
      <c r="Y555" s="49" t="str">
        <f t="shared" si="22"/>
        <v>Encerrado</v>
      </c>
      <c r="Z555" s="62"/>
      <c r="AA555" s="62"/>
      <c r="AB555" s="64" t="s">
        <v>269</v>
      </c>
      <c r="AC555" s="79"/>
      <c r="AD555" s="54">
        <v>45096.0</v>
      </c>
      <c r="AE555" s="77">
        <v>4.9075100007977E13</v>
      </c>
      <c r="AF555" s="79"/>
      <c r="AG555" s="79"/>
      <c r="AH555" s="79"/>
      <c r="AI555" s="79"/>
      <c r="AJ555" s="79"/>
      <c r="AK555" s="79"/>
      <c r="AL555" s="79"/>
      <c r="AM555" s="79"/>
      <c r="AN555" s="65">
        <v>50012.0</v>
      </c>
      <c r="AO555" s="65">
        <v>52613.31</v>
      </c>
      <c r="AP555" s="65">
        <v>52357.9</v>
      </c>
      <c r="AQ555" s="65">
        <v>51291.39</v>
      </c>
      <c r="AR555" s="65">
        <v>49034.53</v>
      </c>
      <c r="AS555" s="65">
        <v>52727.17</v>
      </c>
      <c r="AT555" s="65">
        <v>81625.76</v>
      </c>
      <c r="AU555" s="65">
        <v>75028.81</v>
      </c>
      <c r="AV555" s="65">
        <v>76155.46</v>
      </c>
      <c r="AW555" s="65">
        <v>77351.94</v>
      </c>
      <c r="AX555" s="65">
        <v>74113.97</v>
      </c>
      <c r="AY555" s="65">
        <v>72659.43</v>
      </c>
      <c r="AZ555" s="65">
        <v>72750.49</v>
      </c>
      <c r="BA555" s="65">
        <v>84186.51</v>
      </c>
      <c r="BB555" s="65">
        <v>85206.16</v>
      </c>
      <c r="BC555" s="65">
        <v>84053.46</v>
      </c>
      <c r="BD555" s="65">
        <v>81316.94</v>
      </c>
      <c r="BE555" s="65">
        <v>25892.02</v>
      </c>
      <c r="BF555" s="65">
        <v>438.33</v>
      </c>
      <c r="BG555" s="65">
        <v>250.18</v>
      </c>
      <c r="BH555" s="65">
        <v>250.18</v>
      </c>
      <c r="BI555" s="65">
        <v>250.18</v>
      </c>
      <c r="BJ555" s="65">
        <v>250.18</v>
      </c>
      <c r="BK555" s="65">
        <v>134.22</v>
      </c>
      <c r="BL555" s="65">
        <v>134.22</v>
      </c>
      <c r="BM555" s="65">
        <v>0.0</v>
      </c>
      <c r="BN555" s="65">
        <v>0.0</v>
      </c>
      <c r="BO555" s="65">
        <v>0.0</v>
      </c>
      <c r="BP555" s="65">
        <v>0.0</v>
      </c>
      <c r="BQ555" s="65">
        <v>0.0</v>
      </c>
      <c r="BR555" s="65">
        <v>0.0</v>
      </c>
      <c r="BS555" s="65">
        <v>0.0</v>
      </c>
      <c r="BT555" s="88">
        <v>0.0</v>
      </c>
      <c r="BU555" s="65">
        <v>0.0</v>
      </c>
      <c r="BV555" s="65">
        <v>0.0</v>
      </c>
      <c r="BW555" s="90">
        <v>0.0</v>
      </c>
      <c r="BX555" s="90">
        <v>0.0</v>
      </c>
      <c r="BY555" s="90" t="str">
        <f t="array" ref="BY555">XLOOKUP(C555,'PL TOTAL D0'!$A$3:$A$1991,'PL TOTAL D0'!$C$3:$C$1991,"")</f>
        <v/>
      </c>
    </row>
    <row r="556" ht="15.75" customHeight="1">
      <c r="A556" s="50" t="s">
        <v>24</v>
      </c>
      <c r="B556" s="176" t="s">
        <v>6967</v>
      </c>
      <c r="C556" s="94" t="s">
        <v>6968</v>
      </c>
      <c r="D556" s="81" t="s">
        <v>120</v>
      </c>
      <c r="E556" s="95" t="s">
        <v>199</v>
      </c>
      <c r="F556" s="30" t="s">
        <v>332</v>
      </c>
      <c r="G556" s="47" t="str">
        <f t="shared" si="25"/>
        <v>David</v>
      </c>
      <c r="H556" s="74" t="s">
        <v>295</v>
      </c>
      <c r="I556" s="49" t="s">
        <v>382</v>
      </c>
      <c r="J556" s="47" t="str">
        <f t="shared" si="27"/>
        <v>Não</v>
      </c>
      <c r="K556" s="97">
        <v>45020.0</v>
      </c>
      <c r="L556" s="62"/>
      <c r="M556" s="62" t="s">
        <v>209</v>
      </c>
      <c r="N556" s="98">
        <v>0.015</v>
      </c>
      <c r="O556" s="47" t="s">
        <v>35</v>
      </c>
      <c r="P556" s="99">
        <v>0.1</v>
      </c>
      <c r="Q556" s="58"/>
      <c r="R556" s="635"/>
      <c r="S556" s="62" t="s">
        <v>194</v>
      </c>
      <c r="T556" s="32" t="s">
        <v>5443</v>
      </c>
      <c r="U556" s="33">
        <v>6.1999084177E10</v>
      </c>
      <c r="V556" s="33" t="s">
        <v>6969</v>
      </c>
      <c r="W556" s="34">
        <v>34919.0</v>
      </c>
      <c r="X556" s="23" t="s">
        <v>199</v>
      </c>
      <c r="Y556" s="49" t="str">
        <f t="shared" si="22"/>
        <v>Ativo</v>
      </c>
      <c r="Z556" s="62"/>
      <c r="AA556" s="62"/>
      <c r="AB556" s="64" t="s">
        <v>269</v>
      </c>
      <c r="AC556" s="79"/>
      <c r="AD556" s="54">
        <v>45020.0</v>
      </c>
      <c r="AE556" s="77">
        <v>4.9075100003807E13</v>
      </c>
      <c r="AF556" s="79"/>
      <c r="AG556" s="79"/>
      <c r="AH556" s="79"/>
      <c r="AI556" s="79"/>
      <c r="AJ556" s="79"/>
      <c r="AK556" s="65">
        <v>0.0</v>
      </c>
      <c r="AL556" s="65">
        <v>30115.64</v>
      </c>
      <c r="AM556" s="65">
        <v>31014.04</v>
      </c>
      <c r="AN556" s="65">
        <v>31904.55</v>
      </c>
      <c r="AO556" s="65">
        <v>32117.36</v>
      </c>
      <c r="AP556" s="65">
        <v>34059.66</v>
      </c>
      <c r="AQ556" s="65">
        <v>34005.36</v>
      </c>
      <c r="AR556" s="65">
        <v>15733.96</v>
      </c>
      <c r="AS556" s="65">
        <v>0.0</v>
      </c>
      <c r="AT556" s="65">
        <v>0.0</v>
      </c>
      <c r="AU556" s="65">
        <v>0.0</v>
      </c>
      <c r="AV556" s="65">
        <v>0.39</v>
      </c>
      <c r="AW556" s="65">
        <v>0.39</v>
      </c>
      <c r="AX556" s="65">
        <v>0.39</v>
      </c>
      <c r="AY556" s="65">
        <v>0.39</v>
      </c>
      <c r="AZ556" s="65">
        <v>0.39</v>
      </c>
      <c r="BA556" s="65">
        <v>0.39</v>
      </c>
      <c r="BB556" s="65">
        <v>0.39</v>
      </c>
      <c r="BC556" s="65">
        <v>0.39</v>
      </c>
      <c r="BD556" s="65">
        <v>0.39</v>
      </c>
      <c r="BE556" s="65">
        <v>0.39</v>
      </c>
      <c r="BF556" s="65">
        <v>0.39</v>
      </c>
      <c r="BG556" s="65">
        <v>0.39</v>
      </c>
      <c r="BH556" s="65">
        <v>0.39</v>
      </c>
      <c r="BI556" s="65">
        <v>0.39</v>
      </c>
      <c r="BJ556" s="65">
        <v>0.0</v>
      </c>
      <c r="BK556" s="65">
        <v>0.0</v>
      </c>
      <c r="BL556" s="65">
        <v>0.0</v>
      </c>
      <c r="BM556" s="65">
        <v>0.0</v>
      </c>
      <c r="BN556" s="65">
        <v>0.0</v>
      </c>
      <c r="BO556" s="65">
        <v>0.0</v>
      </c>
      <c r="BP556" s="65">
        <v>0.0</v>
      </c>
      <c r="BQ556" s="65">
        <v>0.0</v>
      </c>
      <c r="BR556" s="65">
        <v>0.0</v>
      </c>
      <c r="BS556" s="65">
        <v>0.0</v>
      </c>
      <c r="BT556" s="88">
        <v>0.0</v>
      </c>
      <c r="BU556" s="65">
        <v>0.0</v>
      </c>
      <c r="BV556" s="65">
        <v>0.0</v>
      </c>
      <c r="BW556" s="90">
        <v>0.0</v>
      </c>
      <c r="BX556" s="90">
        <v>0.0</v>
      </c>
      <c r="BY556" s="90" t="str">
        <f t="array" ref="BY556">XLOOKUP(C556,'PL TOTAL D0'!$A$3:$A$1991,'PL TOTAL D0'!$C$3:$C$1991,"")</f>
        <v/>
      </c>
    </row>
    <row r="557" ht="15.75" customHeight="1">
      <c r="A557" s="50" t="s">
        <v>24</v>
      </c>
      <c r="B557" s="50" t="s">
        <v>6974</v>
      </c>
      <c r="C557" s="94" t="s">
        <v>6975</v>
      </c>
      <c r="D557" s="81" t="s">
        <v>255</v>
      </c>
      <c r="E557" s="95" t="s">
        <v>199</v>
      </c>
      <c r="F557" s="81" t="s">
        <v>257</v>
      </c>
      <c r="G557" s="47" t="str">
        <f t="shared" si="25"/>
        <v>David</v>
      </c>
      <c r="H557" s="49" t="s">
        <v>224</v>
      </c>
      <c r="I557" s="49" t="s">
        <v>66</v>
      </c>
      <c r="J557" s="47" t="str">
        <f t="shared" si="27"/>
        <v>Não</v>
      </c>
      <c r="K557" s="97">
        <v>45271.0</v>
      </c>
      <c r="L557" s="55">
        <v>45498.0</v>
      </c>
      <c r="M557" s="66" t="s">
        <v>34</v>
      </c>
      <c r="N557" s="366">
        <v>0.012</v>
      </c>
      <c r="O557" s="81" t="s">
        <v>35</v>
      </c>
      <c r="P557" s="367">
        <v>0.1</v>
      </c>
      <c r="Q557" s="58"/>
      <c r="R557" s="58" t="s">
        <v>610</v>
      </c>
      <c r="S557" s="62" t="s">
        <v>194</v>
      </c>
      <c r="T557" s="32" t="s">
        <v>6976</v>
      </c>
      <c r="U557" s="33" t="s">
        <v>268</v>
      </c>
      <c r="V557" s="33"/>
      <c r="W557" s="33" t="s">
        <v>268</v>
      </c>
      <c r="X557" s="23" t="s">
        <v>199</v>
      </c>
      <c r="Y557" s="49" t="str">
        <f t="shared" si="22"/>
        <v>Encerrado</v>
      </c>
      <c r="Z557" s="62"/>
      <c r="AA557" s="62"/>
      <c r="AB557" s="64" t="s">
        <v>244</v>
      </c>
      <c r="AC557" s="79"/>
      <c r="AD557" s="54">
        <v>45271.0</v>
      </c>
      <c r="AE557" s="77">
        <v>4.9075100012989E13</v>
      </c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65">
        <v>62254.58</v>
      </c>
      <c r="AU557" s="65">
        <v>62568.4</v>
      </c>
      <c r="AV557" s="65">
        <v>63356.81</v>
      </c>
      <c r="AW557" s="65">
        <v>63760.24</v>
      </c>
      <c r="AX557" s="65">
        <v>63121.26</v>
      </c>
      <c r="AY557" s="65">
        <v>63561.23</v>
      </c>
      <c r="AZ557" s="65">
        <v>63675.8</v>
      </c>
      <c r="BA557" s="65">
        <v>64613.22</v>
      </c>
      <c r="BB557" s="65">
        <v>0.0</v>
      </c>
      <c r="BC557" s="65">
        <v>0.0</v>
      </c>
      <c r="BD557" s="65">
        <v>0.0</v>
      </c>
      <c r="BE557" s="65">
        <v>0.0</v>
      </c>
      <c r="BF557" s="65">
        <v>0.0</v>
      </c>
      <c r="BG557" s="65">
        <v>0.0</v>
      </c>
      <c r="BH557" s="65">
        <v>0.0</v>
      </c>
      <c r="BI557" s="65">
        <v>0.0</v>
      </c>
      <c r="BJ557" s="65">
        <v>0.0</v>
      </c>
      <c r="BK557" s="65">
        <v>0.0</v>
      </c>
      <c r="BL557" s="65">
        <v>0.0</v>
      </c>
      <c r="BM557" s="65">
        <v>0.0</v>
      </c>
      <c r="BN557" s="65">
        <v>0.0</v>
      </c>
      <c r="BO557" s="65">
        <v>0.0</v>
      </c>
      <c r="BP557" s="65">
        <v>0.0</v>
      </c>
      <c r="BQ557" s="65">
        <v>0.0</v>
      </c>
      <c r="BR557" s="65">
        <v>0.0</v>
      </c>
      <c r="BS557" s="65">
        <v>0.0</v>
      </c>
      <c r="BT557" s="88">
        <v>0.0</v>
      </c>
      <c r="BU557" s="65">
        <v>0.0</v>
      </c>
      <c r="BV557" s="65">
        <v>0.0</v>
      </c>
      <c r="BW557" s="90">
        <v>0.0</v>
      </c>
      <c r="BX557" s="90">
        <v>0.0</v>
      </c>
      <c r="BY557" s="90" t="str">
        <f t="array" ref="BY557">XLOOKUP(C557,'PL TOTAL D0'!$A$3:$A$1991,'PL TOTAL D0'!$C$3:$C$1991,"")</f>
        <v/>
      </c>
    </row>
    <row r="558" ht="15.75" customHeight="1">
      <c r="A558" s="50" t="s">
        <v>24</v>
      </c>
      <c r="B558" s="50" t="s">
        <v>6980</v>
      </c>
      <c r="C558" s="94" t="s">
        <v>6981</v>
      </c>
      <c r="D558" s="81" t="s">
        <v>120</v>
      </c>
      <c r="E558" s="95" t="s">
        <v>54</v>
      </c>
      <c r="F558" s="30" t="s">
        <v>125</v>
      </c>
      <c r="G558" s="47" t="str">
        <f t="shared" si="25"/>
        <v>David</v>
      </c>
      <c r="H558" s="49" t="s">
        <v>183</v>
      </c>
      <c r="I558" s="49" t="s">
        <v>66</v>
      </c>
      <c r="J558" s="47" t="str">
        <f t="shared" si="27"/>
        <v>Não</v>
      </c>
      <c r="K558" s="97">
        <v>45166.0</v>
      </c>
      <c r="L558" s="189"/>
      <c r="M558" s="32" t="s">
        <v>568</v>
      </c>
      <c r="N558" s="98">
        <v>0.012</v>
      </c>
      <c r="O558" s="23" t="s">
        <v>35</v>
      </c>
      <c r="P558" s="57">
        <v>0.1</v>
      </c>
      <c r="Q558" s="58"/>
      <c r="R558" s="58" t="s">
        <v>6982</v>
      </c>
      <c r="S558" s="62" t="s">
        <v>194</v>
      </c>
      <c r="T558" s="32" t="s">
        <v>6983</v>
      </c>
      <c r="U558" s="33">
        <v>7.7998521002E10</v>
      </c>
      <c r="V558" s="33" t="s">
        <v>6984</v>
      </c>
      <c r="W558" s="48">
        <v>36830.0</v>
      </c>
      <c r="X558" s="23" t="s">
        <v>54</v>
      </c>
      <c r="Y558" s="49" t="str">
        <f t="shared" si="22"/>
        <v>Ativo</v>
      </c>
      <c r="Z558" s="62"/>
      <c r="AA558" s="62"/>
      <c r="AB558" s="64" t="s">
        <v>269</v>
      </c>
      <c r="AC558" s="79"/>
      <c r="AD558" s="54">
        <v>45166.0</v>
      </c>
      <c r="AE558" s="77">
        <v>4.9075100005869E13</v>
      </c>
      <c r="AF558" s="79"/>
      <c r="AG558" s="79"/>
      <c r="AH558" s="79"/>
      <c r="AI558" s="79"/>
      <c r="AJ558" s="79"/>
      <c r="AK558" s="79"/>
      <c r="AL558" s="65">
        <v>0.0</v>
      </c>
      <c r="AM558" s="65">
        <v>0.0</v>
      </c>
      <c r="AN558" s="65">
        <v>0.0</v>
      </c>
      <c r="AO558" s="65">
        <v>0.0</v>
      </c>
      <c r="AP558" s="65">
        <v>0.0</v>
      </c>
      <c r="AQ558" s="65">
        <v>22511.16</v>
      </c>
      <c r="AR558" s="65">
        <v>22687.8</v>
      </c>
      <c r="AS558" s="65">
        <v>32876.65</v>
      </c>
      <c r="AT558" s="65">
        <v>33120.57</v>
      </c>
      <c r="AU558" s="65">
        <v>33420.7</v>
      </c>
      <c r="AV558" s="65">
        <v>33692.45</v>
      </c>
      <c r="AW558" s="65">
        <v>33992.91</v>
      </c>
      <c r="AX558" s="65">
        <v>34191.93</v>
      </c>
      <c r="AY558" s="65">
        <v>34422.91</v>
      </c>
      <c r="AZ558" s="65">
        <v>34646.38</v>
      </c>
      <c r="BA558" s="65">
        <v>34934.76</v>
      </c>
      <c r="BB558" s="65">
        <v>35225.31</v>
      </c>
      <c r="BC558" s="65">
        <v>35302.83</v>
      </c>
      <c r="BD558" s="65">
        <v>35460.54</v>
      </c>
      <c r="BE558" s="65">
        <v>25623.24</v>
      </c>
      <c r="BF558" s="65">
        <v>25840.89</v>
      </c>
      <c r="BG558" s="65">
        <v>26076.71</v>
      </c>
      <c r="BH558" s="65">
        <v>15471.92</v>
      </c>
      <c r="BI558" s="65">
        <v>15666.93</v>
      </c>
      <c r="BJ558" s="65">
        <v>15820.44</v>
      </c>
      <c r="BK558" s="65">
        <v>15921.02</v>
      </c>
      <c r="BL558" s="65">
        <v>16053.24</v>
      </c>
      <c r="BM558" s="65">
        <v>16213.63</v>
      </c>
      <c r="BN558" s="65">
        <v>16352.76</v>
      </c>
      <c r="BO558" s="65">
        <v>16470.56</v>
      </c>
      <c r="BP558" s="65">
        <v>16588.7</v>
      </c>
      <c r="BQ558" s="65">
        <v>16690.61</v>
      </c>
      <c r="BR558" s="65">
        <v>16574.15</v>
      </c>
      <c r="BS558" s="65">
        <v>16749.29</v>
      </c>
      <c r="BT558" s="88">
        <v>16899.57</v>
      </c>
      <c r="BU558" s="65">
        <v>12994.24</v>
      </c>
      <c r="BV558" s="65">
        <v>3799.73</v>
      </c>
      <c r="BW558" s="90">
        <v>2795.07</v>
      </c>
      <c r="BX558" s="90">
        <v>2820.65</v>
      </c>
      <c r="BY558" s="90" t="str">
        <f t="array" ref="BY558">XLOOKUP(C558,'PL TOTAL D0'!$A$3:$A$1991,'PL TOTAL D0'!$C$3:$C$1991,"")</f>
        <v/>
      </c>
    </row>
    <row r="559" ht="15.75" customHeight="1">
      <c r="A559" s="50" t="s">
        <v>24</v>
      </c>
      <c r="B559" s="43" t="s">
        <v>6987</v>
      </c>
      <c r="C559" s="94" t="s">
        <v>2943</v>
      </c>
      <c r="D559" s="30" t="s">
        <v>120</v>
      </c>
      <c r="E559" s="22" t="s">
        <v>54</v>
      </c>
      <c r="F559" s="30" t="s">
        <v>125</v>
      </c>
      <c r="G559" s="47" t="str">
        <f t="shared" si="25"/>
        <v>Gabriel</v>
      </c>
      <c r="H559" s="49" t="s">
        <v>183</v>
      </c>
      <c r="I559" s="49" t="s">
        <v>66</v>
      </c>
      <c r="J559" s="47" t="str">
        <f t="shared" si="27"/>
        <v>Sim</v>
      </c>
      <c r="K559" s="54">
        <v>45730.0</v>
      </c>
      <c r="L559" s="189"/>
      <c r="M559" s="32" t="s">
        <v>61</v>
      </c>
      <c r="N559" s="56">
        <v>0.012</v>
      </c>
      <c r="O559" s="23" t="s">
        <v>66</v>
      </c>
      <c r="P559" s="57">
        <v>0.0</v>
      </c>
      <c r="Q559" s="58" t="s">
        <v>6988</v>
      </c>
      <c r="R559" s="58"/>
      <c r="S559" s="32" t="s">
        <v>194</v>
      </c>
      <c r="T559" s="32" t="s">
        <v>6989</v>
      </c>
      <c r="U559" s="33">
        <v>5.562999944081E12</v>
      </c>
      <c r="V559" s="33" t="s">
        <v>6990</v>
      </c>
      <c r="W559" s="34">
        <v>31474.0</v>
      </c>
      <c r="X559" s="23" t="s">
        <v>54</v>
      </c>
      <c r="Y559" s="49" t="str">
        <f t="shared" si="22"/>
        <v>Ativo</v>
      </c>
      <c r="Z559" s="62"/>
      <c r="AA559" s="32" t="s">
        <v>107</v>
      </c>
      <c r="AB559" s="64"/>
      <c r="AC559" s="79"/>
      <c r="AD559" s="54">
        <v>45764.0</v>
      </c>
      <c r="AE559" s="77">
        <v>4.9075100018601E13</v>
      </c>
      <c r="AF559" s="79"/>
      <c r="AG559" s="79"/>
      <c r="AH559" s="79"/>
      <c r="AI559" s="79"/>
      <c r="AJ559" s="79"/>
      <c r="AK559" s="79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65"/>
      <c r="BH559" s="65"/>
      <c r="BI559" s="65">
        <v>0.0</v>
      </c>
      <c r="BJ559" s="65">
        <v>140454.36</v>
      </c>
      <c r="BK559" s="65">
        <v>457702.16</v>
      </c>
      <c r="BL559" s="65">
        <v>490202.53</v>
      </c>
      <c r="BM559" s="65">
        <v>496060.76</v>
      </c>
      <c r="BN559" s="65">
        <v>501574.6</v>
      </c>
      <c r="BO559" s="65">
        <v>507629.31</v>
      </c>
      <c r="BP559" s="65">
        <v>516602.7</v>
      </c>
      <c r="BQ559" s="65">
        <v>510217.1</v>
      </c>
      <c r="BR559" s="65">
        <v>516256.8</v>
      </c>
      <c r="BS559" s="65">
        <v>506534.44</v>
      </c>
      <c r="BT559" s="88">
        <v>512142.3</v>
      </c>
      <c r="BU559" s="65">
        <v>477867.2</v>
      </c>
      <c r="BV559" s="65">
        <v>484321.5</v>
      </c>
      <c r="BW559" s="90">
        <v>461094.7</v>
      </c>
      <c r="BX559" s="90">
        <v>461018.2</v>
      </c>
      <c r="BY559" s="90">
        <f t="array" ref="BY559">XLOOKUP(C559,'PL TOTAL D0'!$A$3:$A$1991,'PL TOTAL D0'!$C$3:$C$1991,"")</f>
        <v>439797.65</v>
      </c>
    </row>
    <row r="560" ht="15.75" customHeight="1">
      <c r="A560" s="50" t="s">
        <v>24</v>
      </c>
      <c r="B560" s="43" t="s">
        <v>7005</v>
      </c>
      <c r="C560" s="94" t="s">
        <v>7006</v>
      </c>
      <c r="D560" s="30" t="s">
        <v>120</v>
      </c>
      <c r="E560" s="22" t="s">
        <v>54</v>
      </c>
      <c r="F560" s="81" t="s">
        <v>348</v>
      </c>
      <c r="G560" s="47" t="str">
        <f t="shared" si="25"/>
        <v>David</v>
      </c>
      <c r="H560" s="49" t="s">
        <v>224</v>
      </c>
      <c r="I560" s="49" t="s">
        <v>66</v>
      </c>
      <c r="J560" s="47" t="str">
        <f t="shared" si="27"/>
        <v>Não</v>
      </c>
      <c r="K560" s="54">
        <v>45576.0</v>
      </c>
      <c r="L560" s="186">
        <v>45966.0</v>
      </c>
      <c r="M560" s="32" t="s">
        <v>61</v>
      </c>
      <c r="N560" s="56">
        <v>0.012</v>
      </c>
      <c r="O560" s="23" t="s">
        <v>66</v>
      </c>
      <c r="P560" s="57">
        <v>0.0</v>
      </c>
      <c r="Q560" s="58"/>
      <c r="R560" s="58" t="s">
        <v>610</v>
      </c>
      <c r="S560" s="32" t="s">
        <v>194</v>
      </c>
      <c r="T560" s="32" t="s">
        <v>7011</v>
      </c>
      <c r="U560" s="33" t="s">
        <v>268</v>
      </c>
      <c r="V560" s="33"/>
      <c r="W560" s="33" t="s">
        <v>268</v>
      </c>
      <c r="X560" s="23" t="s">
        <v>54</v>
      </c>
      <c r="Y560" s="49" t="str">
        <f t="shared" si="22"/>
        <v>Encerrado</v>
      </c>
      <c r="Z560" s="62"/>
      <c r="AA560" s="32" t="s">
        <v>107</v>
      </c>
      <c r="AB560" s="64"/>
      <c r="AC560" s="79"/>
      <c r="AD560" s="54">
        <v>45576.0</v>
      </c>
      <c r="AE560" s="77">
        <v>4.907510001591E13</v>
      </c>
      <c r="AF560" s="79"/>
      <c r="AG560" s="79"/>
      <c r="AH560" s="79"/>
      <c r="AI560" s="79"/>
      <c r="AJ560" s="79"/>
      <c r="AK560" s="79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>
        <v>4821.43</v>
      </c>
      <c r="BE560" s="65">
        <v>4947.19</v>
      </c>
      <c r="BF560" s="65">
        <v>5088.59</v>
      </c>
      <c r="BG560" s="65">
        <v>5238.47</v>
      </c>
      <c r="BH560" s="65">
        <v>5199.11</v>
      </c>
      <c r="BI560" s="65">
        <v>3218.64</v>
      </c>
      <c r="BJ560" s="65">
        <v>4257.27</v>
      </c>
      <c r="BK560" s="65">
        <v>4291.77</v>
      </c>
      <c r="BL560" s="65">
        <v>4338.5</v>
      </c>
      <c r="BM560" s="65">
        <v>0.0</v>
      </c>
      <c r="BN560" s="65">
        <v>0.0</v>
      </c>
      <c r="BO560" s="65">
        <v>0.0</v>
      </c>
      <c r="BP560" s="65">
        <v>0.0</v>
      </c>
      <c r="BQ560" s="65">
        <v>0.0</v>
      </c>
      <c r="BR560" s="65">
        <v>0.0</v>
      </c>
      <c r="BS560" s="65">
        <v>0.0</v>
      </c>
      <c r="BT560" s="88">
        <v>0.0</v>
      </c>
      <c r="BU560" s="65">
        <v>0.0</v>
      </c>
      <c r="BV560" s="65">
        <v>0.0</v>
      </c>
      <c r="BW560" s="90">
        <v>0.0</v>
      </c>
      <c r="BX560" s="90">
        <v>0.0</v>
      </c>
      <c r="BY560" s="90" t="str">
        <f t="array" ref="BY560">XLOOKUP(C560,'PL TOTAL D0'!$A$3:$A$1991,'PL TOTAL D0'!$C$3:$C$1991,"")</f>
        <v/>
      </c>
    </row>
    <row r="561" ht="15.75" customHeight="1">
      <c r="A561" s="50" t="s">
        <v>24</v>
      </c>
      <c r="B561" s="43" t="s">
        <v>7017</v>
      </c>
      <c r="C561" s="53" t="s">
        <v>3313</v>
      </c>
      <c r="D561" s="30" t="s">
        <v>3843</v>
      </c>
      <c r="E561" s="22" t="s">
        <v>54</v>
      </c>
      <c r="F561" s="30" t="s">
        <v>3844</v>
      </c>
      <c r="G561" s="47" t="str">
        <f t="shared" si="25"/>
        <v>David</v>
      </c>
      <c r="H561" s="49" t="s">
        <v>183</v>
      </c>
      <c r="I561" s="49" t="s">
        <v>66</v>
      </c>
      <c r="J561" s="47" t="str">
        <f t="shared" si="27"/>
        <v>Não</v>
      </c>
      <c r="K561" s="54">
        <v>46197.0</v>
      </c>
      <c r="L561" s="186"/>
      <c r="M561" s="32" t="s">
        <v>34</v>
      </c>
      <c r="N561" s="56">
        <v>0.012</v>
      </c>
      <c r="O561" s="23" t="s">
        <v>35</v>
      </c>
      <c r="P561" s="57">
        <v>0.1</v>
      </c>
      <c r="Q561" s="58"/>
      <c r="R561" s="58"/>
      <c r="S561" s="32" t="s">
        <v>194</v>
      </c>
      <c r="T561" s="32" t="s">
        <v>7018</v>
      </c>
      <c r="U561" s="33" t="s">
        <v>7019</v>
      </c>
      <c r="V561" s="33" t="s">
        <v>7020</v>
      </c>
      <c r="W561" s="34">
        <v>30066.0</v>
      </c>
      <c r="X561" s="23" t="s">
        <v>54</v>
      </c>
      <c r="Y561" s="49" t="str">
        <f t="shared" si="22"/>
        <v>Ativo</v>
      </c>
      <c r="Z561" s="62"/>
      <c r="AA561" s="32" t="s">
        <v>47</v>
      </c>
      <c r="AB561" s="64"/>
      <c r="AC561" s="79"/>
      <c r="AD561" s="54">
        <v>46203.0</v>
      </c>
      <c r="AE561" s="77"/>
      <c r="AF561" s="79"/>
      <c r="AG561" s="79"/>
      <c r="AH561" s="79"/>
      <c r="AI561" s="79"/>
      <c r="AJ561" s="79"/>
      <c r="AK561" s="79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65"/>
      <c r="BH561" s="65"/>
      <c r="BI561" s="65"/>
      <c r="BJ561" s="65"/>
      <c r="BK561" s="65"/>
      <c r="BL561" s="65"/>
      <c r="BM561" s="65"/>
      <c r="BN561" s="65"/>
      <c r="BO561" s="65"/>
      <c r="BP561" s="65"/>
      <c r="BQ561" s="65"/>
      <c r="BR561" s="65"/>
      <c r="BS561" s="65"/>
      <c r="BT561" s="88"/>
      <c r="BU561" s="65"/>
      <c r="BV561" s="65"/>
      <c r="BW561" s="90"/>
      <c r="BX561" s="90">
        <v>102107.82</v>
      </c>
      <c r="BY561" s="90">
        <f t="array" ref="BY561">XLOOKUP(C561,'PL TOTAL D0'!$A$3:$A$1991,'PL TOTAL D0'!$C$3:$C$1991,"")</f>
        <v>103400.65</v>
      </c>
    </row>
    <row r="562" ht="15.75" customHeight="1">
      <c r="A562" s="50" t="s">
        <v>24</v>
      </c>
      <c r="B562" s="43" t="s">
        <v>7022</v>
      </c>
      <c r="C562" s="53" t="s">
        <v>2803</v>
      </c>
      <c r="D562" s="30" t="s">
        <v>53</v>
      </c>
      <c r="E562" s="22" t="s">
        <v>54</v>
      </c>
      <c r="F562" s="30" t="s">
        <v>55</v>
      </c>
      <c r="G562" s="47" t="str">
        <f t="shared" si="25"/>
        <v>David</v>
      </c>
      <c r="H562" s="49" t="s">
        <v>183</v>
      </c>
      <c r="I562" s="49" t="s">
        <v>66</v>
      </c>
      <c r="J562" s="47" t="str">
        <f t="shared" si="27"/>
        <v>Não</v>
      </c>
      <c r="K562" s="54">
        <v>46188.0</v>
      </c>
      <c r="L562" s="186"/>
      <c r="M562" s="32" t="s">
        <v>61</v>
      </c>
      <c r="N562" s="56">
        <v>0.012</v>
      </c>
      <c r="O562" s="23" t="s">
        <v>66</v>
      </c>
      <c r="P562" s="57">
        <v>0.0</v>
      </c>
      <c r="Q562" s="58"/>
      <c r="R562" s="58"/>
      <c r="S562" s="32" t="s">
        <v>194</v>
      </c>
      <c r="T562" s="32" t="s">
        <v>7024</v>
      </c>
      <c r="U562" s="33" t="s">
        <v>7025</v>
      </c>
      <c r="V562" s="33" t="s">
        <v>7026</v>
      </c>
      <c r="W562" s="48">
        <v>21550.0</v>
      </c>
      <c r="X562" s="23" t="s">
        <v>77</v>
      </c>
      <c r="Y562" s="49" t="str">
        <f t="shared" si="22"/>
        <v>Ativo</v>
      </c>
      <c r="Z562" s="62"/>
      <c r="AA562" s="32" t="s">
        <v>47</v>
      </c>
      <c r="AB562" s="64"/>
      <c r="AC562" s="79"/>
      <c r="AD562" s="54">
        <v>46203.0</v>
      </c>
      <c r="AE562" s="77"/>
      <c r="AF562" s="79"/>
      <c r="AG562" s="79"/>
      <c r="AH562" s="79"/>
      <c r="AI562" s="79"/>
      <c r="AJ562" s="79"/>
      <c r="AK562" s="79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65"/>
      <c r="BH562" s="65"/>
      <c r="BI562" s="65"/>
      <c r="BJ562" s="65"/>
      <c r="BK562" s="65"/>
      <c r="BL562" s="65"/>
      <c r="BM562" s="65"/>
      <c r="BN562" s="65"/>
      <c r="BO562" s="65"/>
      <c r="BP562" s="65"/>
      <c r="BQ562" s="65"/>
      <c r="BR562" s="65"/>
      <c r="BS562" s="65"/>
      <c r="BT562" s="88"/>
      <c r="BU562" s="65"/>
      <c r="BV562" s="65"/>
      <c r="BW562" s="90"/>
      <c r="BX562" s="90">
        <v>420919.53</v>
      </c>
      <c r="BY562" s="90">
        <f t="array" ref="BY562">XLOOKUP(C562,'PL TOTAL D0'!$A$3:$A$1991,'PL TOTAL D0'!$C$3:$C$1991,"")</f>
        <v>651688.64</v>
      </c>
    </row>
    <row r="563" ht="15.75" customHeight="1">
      <c r="A563" s="50" t="s">
        <v>24</v>
      </c>
      <c r="B563" s="50" t="s">
        <v>5624</v>
      </c>
      <c r="C563" s="94" t="s">
        <v>2973</v>
      </c>
      <c r="D563" s="30" t="s">
        <v>89</v>
      </c>
      <c r="E563" s="95" t="s">
        <v>91</v>
      </c>
      <c r="F563" s="81" t="s">
        <v>521</v>
      </c>
      <c r="G563" s="47" t="str">
        <f t="shared" si="25"/>
        <v>Gabriel</v>
      </c>
      <c r="H563" s="49" t="s">
        <v>183</v>
      </c>
      <c r="I563" s="49" t="s">
        <v>66</v>
      </c>
      <c r="J563" s="47" t="str">
        <f t="shared" si="27"/>
        <v>Não</v>
      </c>
      <c r="K563" s="97">
        <v>45029.0</v>
      </c>
      <c r="L563" s="62"/>
      <c r="M563" s="62" t="s">
        <v>61</v>
      </c>
      <c r="N563" s="98">
        <v>0.007</v>
      </c>
      <c r="O563" s="47" t="s">
        <v>66</v>
      </c>
      <c r="P563" s="99">
        <v>0.0</v>
      </c>
      <c r="Q563" s="58"/>
      <c r="R563" s="635"/>
      <c r="S563" s="62" t="s">
        <v>194</v>
      </c>
      <c r="T563" s="32" t="s">
        <v>5628</v>
      </c>
      <c r="U563" s="33">
        <v>5.543991461038E12</v>
      </c>
      <c r="V563" s="33" t="s">
        <v>7031</v>
      </c>
      <c r="W563" s="34">
        <v>15897.0</v>
      </c>
      <c r="X563" s="23" t="s">
        <v>221</v>
      </c>
      <c r="Y563" s="49" t="str">
        <f t="shared" si="22"/>
        <v>Ativo</v>
      </c>
      <c r="Z563" s="62"/>
      <c r="AA563" s="62"/>
      <c r="AB563" s="64" t="s">
        <v>269</v>
      </c>
      <c r="AC563" s="79"/>
      <c r="AD563" s="54">
        <v>45029.0</v>
      </c>
      <c r="AE563" s="77">
        <v>4.9075100009104E13</v>
      </c>
      <c r="AF563" s="79"/>
      <c r="AG563" s="79"/>
      <c r="AH563" s="79"/>
      <c r="AI563" s="79"/>
      <c r="AJ563" s="79"/>
      <c r="AK563" s="65">
        <v>0.0</v>
      </c>
      <c r="AL563" s="65">
        <v>451821.82</v>
      </c>
      <c r="AM563" s="65">
        <v>525755.99</v>
      </c>
      <c r="AN563" s="65">
        <v>577636.93</v>
      </c>
      <c r="AO563" s="65">
        <v>572321.15</v>
      </c>
      <c r="AP563" s="65">
        <v>577848.45</v>
      </c>
      <c r="AQ563" s="65">
        <v>581436.87</v>
      </c>
      <c r="AR563" s="65">
        <v>585277.97</v>
      </c>
      <c r="AS563" s="65">
        <v>569347.56</v>
      </c>
      <c r="AT563" s="65">
        <v>574345.37</v>
      </c>
      <c r="AU563" s="65">
        <v>566283.76</v>
      </c>
      <c r="AV563" s="65">
        <v>570317.22</v>
      </c>
      <c r="AW563" s="65">
        <v>574327.63</v>
      </c>
      <c r="AX563" s="65">
        <v>574185.27</v>
      </c>
      <c r="AY563" s="65">
        <v>578028.9</v>
      </c>
      <c r="AZ563" s="65">
        <v>511965.7</v>
      </c>
      <c r="BA563" s="65">
        <v>494481.5</v>
      </c>
      <c r="BB563" s="65">
        <v>495935.35</v>
      </c>
      <c r="BC563" s="65">
        <v>492977.55</v>
      </c>
      <c r="BD563" s="65">
        <v>497495.67</v>
      </c>
      <c r="BE563" s="65">
        <v>501345.28</v>
      </c>
      <c r="BF563" s="65">
        <v>504934.51</v>
      </c>
      <c r="BG563" s="65">
        <v>504349.96</v>
      </c>
      <c r="BH563" s="65">
        <v>508685.07</v>
      </c>
      <c r="BI563" s="65">
        <v>503754.56</v>
      </c>
      <c r="BJ563" s="65">
        <v>507128.9</v>
      </c>
      <c r="BK563" s="65">
        <v>512008.02</v>
      </c>
      <c r="BL563" s="65">
        <v>504448.39</v>
      </c>
      <c r="BM563" s="65">
        <v>494879.45</v>
      </c>
      <c r="BN563" s="65">
        <v>493558.2</v>
      </c>
      <c r="BO563" s="65">
        <v>482951.72</v>
      </c>
      <c r="BP563" s="65">
        <v>478343.7</v>
      </c>
      <c r="BQ563" s="65">
        <v>466235.7</v>
      </c>
      <c r="BR563" s="65">
        <v>470781.3</v>
      </c>
      <c r="BS563" s="65">
        <v>458172.38</v>
      </c>
      <c r="BT563" s="88">
        <v>456227.2</v>
      </c>
      <c r="BU563" s="65">
        <v>404164.1</v>
      </c>
      <c r="BV563" s="65">
        <v>408203.6</v>
      </c>
      <c r="BW563" s="90">
        <v>412207.3</v>
      </c>
      <c r="BX563" s="90">
        <v>403966.79</v>
      </c>
      <c r="BY563" s="90">
        <f t="array" ref="BY563">XLOOKUP(C563,'PL TOTAL D0'!$A$3:$A$1991,'PL TOTAL D0'!$C$3:$C$1991,"")</f>
        <v>397875.35</v>
      </c>
    </row>
    <row r="564" ht="15.75" customHeight="1">
      <c r="A564" s="50" t="s">
        <v>24</v>
      </c>
      <c r="B564" s="43" t="s">
        <v>7034</v>
      </c>
      <c r="C564" s="94" t="s">
        <v>7035</v>
      </c>
      <c r="D564" s="30" t="s">
        <v>249</v>
      </c>
      <c r="E564" s="22" t="s">
        <v>199</v>
      </c>
      <c r="F564" s="30" t="s">
        <v>251</v>
      </c>
      <c r="G564" s="47" t="str">
        <f t="shared" si="25"/>
        <v>David</v>
      </c>
      <c r="H564" s="49" t="s">
        <v>224</v>
      </c>
      <c r="I564" s="49" t="s">
        <v>66</v>
      </c>
      <c r="J564" s="47" t="str">
        <f t="shared" si="27"/>
        <v>Não</v>
      </c>
      <c r="K564" s="54">
        <v>45691.0</v>
      </c>
      <c r="L564" s="55">
        <v>46218.0</v>
      </c>
      <c r="M564" s="32" t="s">
        <v>390</v>
      </c>
      <c r="N564" s="56">
        <v>0.0</v>
      </c>
      <c r="O564" s="23" t="s">
        <v>66</v>
      </c>
      <c r="P564" s="57">
        <v>0.0</v>
      </c>
      <c r="Q564" s="58"/>
      <c r="R564" s="58" t="s">
        <v>610</v>
      </c>
      <c r="S564" s="32" t="s">
        <v>194</v>
      </c>
      <c r="T564" s="32" t="s">
        <v>7036</v>
      </c>
      <c r="U564" s="33">
        <v>5.561992445283E12</v>
      </c>
      <c r="V564" s="33" t="s">
        <v>7037</v>
      </c>
      <c r="W564" s="34">
        <v>33061.0</v>
      </c>
      <c r="X564" s="23" t="s">
        <v>199</v>
      </c>
      <c r="Y564" s="49" t="str">
        <f t="shared" si="22"/>
        <v>Encerrado</v>
      </c>
      <c r="Z564" s="62"/>
      <c r="AA564" s="32" t="s">
        <v>47</v>
      </c>
      <c r="AB564" s="64"/>
      <c r="AC564" s="79"/>
      <c r="AD564" s="54">
        <v>45691.0</v>
      </c>
      <c r="AE564" s="77">
        <v>4.9075100018324E13</v>
      </c>
      <c r="AF564" s="79"/>
      <c r="AG564" s="79"/>
      <c r="AH564" s="79"/>
      <c r="AI564" s="79"/>
      <c r="AJ564" s="79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65"/>
      <c r="BH564" s="65">
        <v>7072.78</v>
      </c>
      <c r="BI564" s="65">
        <v>7167.93</v>
      </c>
      <c r="BJ564" s="65">
        <v>7259.35</v>
      </c>
      <c r="BK564" s="65">
        <v>7334.88</v>
      </c>
      <c r="BL564" s="65">
        <v>7419.53</v>
      </c>
      <c r="BM564" s="65">
        <v>7486.95</v>
      </c>
      <c r="BN564" s="65">
        <v>7563.66</v>
      </c>
      <c r="BO564" s="65">
        <v>7651.99</v>
      </c>
      <c r="BP564" s="65">
        <v>10952.55</v>
      </c>
      <c r="BQ564" s="65">
        <v>11026.33</v>
      </c>
      <c r="BR564" s="65">
        <v>11143.25</v>
      </c>
      <c r="BS564" s="65">
        <v>11263.06</v>
      </c>
      <c r="BT564" s="88">
        <v>11396.6</v>
      </c>
      <c r="BU564" s="65">
        <v>11461.2</v>
      </c>
      <c r="BV564" s="65">
        <v>11603.42</v>
      </c>
      <c r="BW564" s="90">
        <v>11608.55</v>
      </c>
      <c r="BX564" s="90">
        <v>0.0</v>
      </c>
      <c r="BY564" s="90" t="str">
        <f t="array" ref="BY564">XLOOKUP(C564,'PL TOTAL D0'!$A$3:$A$1991,'PL TOTAL D0'!$C$3:$C$1991,"")</f>
        <v/>
      </c>
    </row>
    <row r="565" ht="15.75" customHeight="1">
      <c r="A565" s="50" t="s">
        <v>24</v>
      </c>
      <c r="B565" s="50" t="s">
        <v>7042</v>
      </c>
      <c r="C565" s="94" t="s">
        <v>7043</v>
      </c>
      <c r="D565" s="81" t="s">
        <v>255</v>
      </c>
      <c r="E565" s="95" t="s">
        <v>199</v>
      </c>
      <c r="F565" s="81" t="s">
        <v>2328</v>
      </c>
      <c r="G565" s="47" t="str">
        <f t="shared" si="25"/>
        <v>David</v>
      </c>
      <c r="H565" s="49" t="s">
        <v>224</v>
      </c>
      <c r="I565" s="49" t="s">
        <v>66</v>
      </c>
      <c r="J565" s="47" t="str">
        <f t="shared" si="27"/>
        <v>Não</v>
      </c>
      <c r="K565" s="97">
        <v>45125.0</v>
      </c>
      <c r="L565" s="186">
        <v>45513.0</v>
      </c>
      <c r="M565" s="62" t="s">
        <v>5290</v>
      </c>
      <c r="N565" s="98">
        <v>0.01</v>
      </c>
      <c r="O565" s="47" t="s">
        <v>35</v>
      </c>
      <c r="P565" s="99">
        <v>0.1</v>
      </c>
      <c r="Q565" s="58"/>
      <c r="R565" s="195" t="s">
        <v>3969</v>
      </c>
      <c r="S565" s="62" t="s">
        <v>194</v>
      </c>
      <c r="T565" s="32" t="s">
        <v>7045</v>
      </c>
      <c r="U565" s="33" t="s">
        <v>268</v>
      </c>
      <c r="V565" s="33"/>
      <c r="W565" s="33" t="s">
        <v>268</v>
      </c>
      <c r="X565" s="23" t="s">
        <v>199</v>
      </c>
      <c r="Y565" s="49" t="str">
        <f t="shared" si="22"/>
        <v>Encerrado</v>
      </c>
      <c r="Z565" s="62"/>
      <c r="AA565" s="62"/>
      <c r="AB565" s="64" t="s">
        <v>269</v>
      </c>
      <c r="AC565" s="79"/>
      <c r="AD565" s="54">
        <v>45125.0</v>
      </c>
      <c r="AE565" s="77">
        <v>4.9075100009252E13</v>
      </c>
      <c r="AF565" s="79"/>
      <c r="AG565" s="79"/>
      <c r="AH565" s="79"/>
      <c r="AI565" s="79"/>
      <c r="AJ565" s="79"/>
      <c r="AK565" s="79"/>
      <c r="AL565" s="79"/>
      <c r="AM565" s="79"/>
      <c r="AN565" s="79"/>
      <c r="AO565" s="65">
        <v>598857.52</v>
      </c>
      <c r="AP565" s="65">
        <v>582943.23</v>
      </c>
      <c r="AQ565" s="65">
        <v>595331.78</v>
      </c>
      <c r="AR565" s="65">
        <v>554795.52</v>
      </c>
      <c r="AS565" s="65">
        <v>468559.04</v>
      </c>
      <c r="AT565" s="65">
        <v>421965.61</v>
      </c>
      <c r="AU565" s="65">
        <v>405700.58</v>
      </c>
      <c r="AV565" s="65">
        <v>357600.93</v>
      </c>
      <c r="AW565" s="65">
        <v>364082.52</v>
      </c>
      <c r="AX565" s="65">
        <v>366752.35</v>
      </c>
      <c r="AY565" s="65">
        <v>320559.1</v>
      </c>
      <c r="AZ565" s="65">
        <v>302851.7</v>
      </c>
      <c r="BA565" s="65">
        <v>0.0</v>
      </c>
      <c r="BB565" s="65">
        <v>0.0</v>
      </c>
      <c r="BC565" s="65">
        <v>0.0</v>
      </c>
      <c r="BD565" s="65">
        <v>0.0</v>
      </c>
      <c r="BE565" s="65">
        <v>0.0</v>
      </c>
      <c r="BF565" s="65">
        <v>0.0</v>
      </c>
      <c r="BG565" s="65">
        <v>0.0</v>
      </c>
      <c r="BH565" s="65">
        <v>0.0</v>
      </c>
      <c r="BI565" s="65">
        <v>0.0</v>
      </c>
      <c r="BJ565" s="65">
        <v>0.0</v>
      </c>
      <c r="BK565" s="65">
        <v>0.0</v>
      </c>
      <c r="BL565" s="65">
        <v>0.0</v>
      </c>
      <c r="BM565" s="65">
        <v>0.0</v>
      </c>
      <c r="BN565" s="65">
        <v>0.0</v>
      </c>
      <c r="BO565" s="65">
        <v>0.0</v>
      </c>
      <c r="BP565" s="65">
        <v>0.0</v>
      </c>
      <c r="BQ565" s="65">
        <v>0.0</v>
      </c>
      <c r="BR565" s="65">
        <v>0.0</v>
      </c>
      <c r="BS565" s="65">
        <v>0.0</v>
      </c>
      <c r="BT565" s="88">
        <v>0.0</v>
      </c>
      <c r="BU565" s="65">
        <v>0.0</v>
      </c>
      <c r="BV565" s="65">
        <v>0.0</v>
      </c>
      <c r="BW565" s="90">
        <v>0.0</v>
      </c>
      <c r="BX565" s="90">
        <v>0.0</v>
      </c>
      <c r="BY565" s="90" t="str">
        <f t="array" ref="BY565">XLOOKUP(C565,'PL TOTAL D0'!$A$3:$A$1991,'PL TOTAL D0'!$C$3:$C$1991,"")</f>
        <v/>
      </c>
    </row>
    <row r="566" ht="15.75" customHeight="1">
      <c r="A566" s="50" t="s">
        <v>24</v>
      </c>
      <c r="B566" s="43" t="s">
        <v>7048</v>
      </c>
      <c r="C566" s="94" t="s">
        <v>3196</v>
      </c>
      <c r="D566" s="81" t="s">
        <v>120</v>
      </c>
      <c r="E566" s="95" t="s">
        <v>54</v>
      </c>
      <c r="F566" s="81" t="s">
        <v>125</v>
      </c>
      <c r="G566" s="47" t="str">
        <f t="shared" si="25"/>
        <v>David</v>
      </c>
      <c r="H566" s="49" t="s">
        <v>183</v>
      </c>
      <c r="I566" s="49" t="s">
        <v>66</v>
      </c>
      <c r="J566" s="47" t="str">
        <f t="shared" si="27"/>
        <v>Não</v>
      </c>
      <c r="K566" s="97">
        <v>44949.0</v>
      </c>
      <c r="L566" s="62"/>
      <c r="M566" s="32" t="s">
        <v>61</v>
      </c>
      <c r="N566" s="98">
        <v>0.012</v>
      </c>
      <c r="O566" s="47" t="s">
        <v>66</v>
      </c>
      <c r="P566" s="99">
        <v>0.0</v>
      </c>
      <c r="Q566" s="58"/>
      <c r="R566" s="635"/>
      <c r="S566" s="62" t="s">
        <v>194</v>
      </c>
      <c r="T566" s="32" t="s">
        <v>5480</v>
      </c>
      <c r="U566" s="33">
        <v>5.56298159435E12</v>
      </c>
      <c r="V566" s="33" t="s">
        <v>7051</v>
      </c>
      <c r="W566" s="34">
        <v>30407.0</v>
      </c>
      <c r="X566" s="23" t="s">
        <v>54</v>
      </c>
      <c r="Y566" s="49" t="str">
        <f t="shared" si="22"/>
        <v>Ativo</v>
      </c>
      <c r="Z566" s="62"/>
      <c r="AA566" s="32" t="s">
        <v>165</v>
      </c>
      <c r="AB566" s="64" t="s">
        <v>244</v>
      </c>
      <c r="AC566" s="79"/>
      <c r="AD566" s="54">
        <v>44949.0</v>
      </c>
      <c r="AE566" s="77">
        <v>4.9075100005893E13</v>
      </c>
      <c r="AF566" s="79"/>
      <c r="AG566" s="79"/>
      <c r="AH566" s="79"/>
      <c r="AI566" s="65">
        <v>162070.18</v>
      </c>
      <c r="AJ566" s="65">
        <v>190654.57</v>
      </c>
      <c r="AK566" s="65">
        <v>192722.37</v>
      </c>
      <c r="AL566" s="65">
        <v>194185.27</v>
      </c>
      <c r="AM566" s="65">
        <v>196237.19</v>
      </c>
      <c r="AN566" s="65">
        <v>197994.45</v>
      </c>
      <c r="AO566" s="65">
        <v>199122.82</v>
      </c>
      <c r="AP566" s="65">
        <v>200583.37</v>
      </c>
      <c r="AQ566" s="65">
        <v>201330.28</v>
      </c>
      <c r="AR566" s="65">
        <v>196972.77</v>
      </c>
      <c r="AS566" s="65">
        <v>199889.21</v>
      </c>
      <c r="AT566" s="65">
        <v>200441.61</v>
      </c>
      <c r="AU566" s="65">
        <v>199574.03</v>
      </c>
      <c r="AV566" s="65">
        <v>201296.68</v>
      </c>
      <c r="AW566" s="65">
        <v>203143.75</v>
      </c>
      <c r="AX566" s="65">
        <v>203171.29</v>
      </c>
      <c r="AY566" s="65">
        <v>203642.3</v>
      </c>
      <c r="AZ566" s="65">
        <v>205144.2</v>
      </c>
      <c r="BA566" s="65">
        <v>207489.4</v>
      </c>
      <c r="BB566" s="65">
        <v>209627.53</v>
      </c>
      <c r="BC566" s="65">
        <v>209426.61</v>
      </c>
      <c r="BD566" s="65">
        <v>210296.59</v>
      </c>
      <c r="BE566" s="65">
        <v>211307.67</v>
      </c>
      <c r="BF566" s="65">
        <v>200623.9</v>
      </c>
      <c r="BG566" s="65">
        <v>202561.32</v>
      </c>
      <c r="BH566" s="65">
        <v>203869.39</v>
      </c>
      <c r="BI566" s="65">
        <v>205395.99</v>
      </c>
      <c r="BJ566" s="65">
        <v>217720.02</v>
      </c>
      <c r="BK566" s="65">
        <v>219971.79</v>
      </c>
      <c r="BL566" s="65">
        <v>216816.63</v>
      </c>
      <c r="BM566" s="65">
        <v>214093.84</v>
      </c>
      <c r="BN566" s="65">
        <v>216223.9</v>
      </c>
      <c r="BO566" s="65">
        <v>218023.01</v>
      </c>
      <c r="BP566" s="65">
        <v>220161.7</v>
      </c>
      <c r="BQ566" s="65">
        <v>222012.5</v>
      </c>
      <c r="BR566" s="65">
        <v>220925.1</v>
      </c>
      <c r="BS566" s="65">
        <v>223357.08</v>
      </c>
      <c r="BT566" s="88">
        <v>224730.4</v>
      </c>
      <c r="BU566" s="65">
        <v>200722.5</v>
      </c>
      <c r="BV566" s="65">
        <v>201083.5</v>
      </c>
      <c r="BW566" s="90">
        <v>203271.4</v>
      </c>
      <c r="BX566" s="90">
        <v>171573.52</v>
      </c>
      <c r="BY566" s="90">
        <f t="array" ref="BY566">XLOOKUP(C566,'PL TOTAL D0'!$A$3:$A$1991,'PL TOTAL D0'!$C$3:$C$1991,"")</f>
        <v>168425.04</v>
      </c>
    </row>
    <row r="567" ht="15.75" customHeight="1">
      <c r="A567" s="50" t="s">
        <v>24</v>
      </c>
      <c r="B567" s="43" t="s">
        <v>7048</v>
      </c>
      <c r="C567" s="94" t="s">
        <v>3548</v>
      </c>
      <c r="D567" s="81" t="s">
        <v>120</v>
      </c>
      <c r="E567" s="95" t="s">
        <v>54</v>
      </c>
      <c r="F567" s="81" t="s">
        <v>125</v>
      </c>
      <c r="G567" s="47" t="str">
        <f t="shared" si="25"/>
        <v>David</v>
      </c>
      <c r="H567" s="49" t="s">
        <v>183</v>
      </c>
      <c r="I567" s="49" t="s">
        <v>66</v>
      </c>
      <c r="J567" s="47" t="str">
        <f t="shared" si="27"/>
        <v>Não</v>
      </c>
      <c r="K567" s="97">
        <v>44949.0</v>
      </c>
      <c r="L567" s="62"/>
      <c r="M567" s="32" t="s">
        <v>61</v>
      </c>
      <c r="N567" s="98">
        <v>0.012</v>
      </c>
      <c r="O567" s="47" t="s">
        <v>66</v>
      </c>
      <c r="P567" s="99">
        <v>0.0</v>
      </c>
      <c r="Q567" s="58"/>
      <c r="R567" s="635"/>
      <c r="S567" s="62" t="s">
        <v>194</v>
      </c>
      <c r="T567" s="32" t="s">
        <v>5480</v>
      </c>
      <c r="U567" s="33">
        <v>5.56298159435E12</v>
      </c>
      <c r="V567" s="33" t="s">
        <v>7051</v>
      </c>
      <c r="W567" s="34">
        <v>30407.0</v>
      </c>
      <c r="X567" s="23" t="s">
        <v>54</v>
      </c>
      <c r="Y567" s="49" t="str">
        <f t="shared" si="22"/>
        <v>Ativo</v>
      </c>
      <c r="Z567" s="62"/>
      <c r="AA567" s="32" t="s">
        <v>165</v>
      </c>
      <c r="AB567" s="64" t="s">
        <v>244</v>
      </c>
      <c r="AC567" s="79"/>
      <c r="AD567" s="54">
        <v>44949.0</v>
      </c>
      <c r="AE567" s="77">
        <v>4.9075100005893E13</v>
      </c>
      <c r="AF567" s="79"/>
      <c r="AG567" s="79"/>
      <c r="AH567" s="79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  <c r="BE567" s="65"/>
      <c r="BF567" s="65"/>
      <c r="BG567" s="65"/>
      <c r="BH567" s="65"/>
      <c r="BI567" s="65"/>
      <c r="BJ567" s="65"/>
      <c r="BK567" s="65"/>
      <c r="BL567" s="65"/>
      <c r="BM567" s="65"/>
      <c r="BN567" s="65"/>
      <c r="BO567" s="65"/>
      <c r="BP567" s="65"/>
      <c r="BQ567" s="65"/>
      <c r="BR567" s="65"/>
      <c r="BS567" s="65"/>
      <c r="BT567" s="88"/>
      <c r="BU567" s="65">
        <v>13253.04</v>
      </c>
      <c r="BV567" s="65">
        <v>13414.99</v>
      </c>
      <c r="BW567" s="90">
        <v>13543.78</v>
      </c>
      <c r="BX567" s="90">
        <v>13528.36</v>
      </c>
      <c r="BY567" s="90">
        <f t="array" ref="BY567">XLOOKUP(C567,'PL TOTAL D0'!$A$3:$A$1991,'PL TOTAL D0'!$C$3:$C$1991,"")</f>
        <v>13802.21</v>
      </c>
    </row>
    <row r="568" ht="15.75" customHeight="1">
      <c r="A568" s="43" t="s">
        <v>24</v>
      </c>
      <c r="B568" s="43" t="s">
        <v>976</v>
      </c>
      <c r="C568" s="94" t="s">
        <v>3186</v>
      </c>
      <c r="D568" s="30" t="s">
        <v>89</v>
      </c>
      <c r="E568" s="22" t="s">
        <v>91</v>
      </c>
      <c r="F568" s="30" t="s">
        <v>521</v>
      </c>
      <c r="G568" s="47" t="str">
        <f t="shared" si="25"/>
        <v>David</v>
      </c>
      <c r="H568" s="49" t="s">
        <v>183</v>
      </c>
      <c r="I568" s="49" t="s">
        <v>66</v>
      </c>
      <c r="J568" s="47" t="str">
        <f t="shared" si="27"/>
        <v>Não</v>
      </c>
      <c r="K568" s="54">
        <v>45313.0</v>
      </c>
      <c r="L568" s="62"/>
      <c r="M568" s="27" t="s">
        <v>34</v>
      </c>
      <c r="N568" s="29">
        <v>0.012</v>
      </c>
      <c r="O568" s="30" t="s">
        <v>35</v>
      </c>
      <c r="P568" s="31">
        <v>0.1</v>
      </c>
      <c r="Q568" s="58"/>
      <c r="R568" s="58" t="s">
        <v>7059</v>
      </c>
      <c r="S568" s="32" t="s">
        <v>194</v>
      </c>
      <c r="T568" s="32" t="s">
        <v>979</v>
      </c>
      <c r="U568" s="33">
        <v>5.543991480403E12</v>
      </c>
      <c r="V568" s="33" t="s">
        <v>7060</v>
      </c>
      <c r="W568" s="34">
        <v>23824.0</v>
      </c>
      <c r="X568" s="23" t="s">
        <v>221</v>
      </c>
      <c r="Y568" s="49" t="str">
        <f t="shared" si="22"/>
        <v>Ativo</v>
      </c>
      <c r="Z568" s="62"/>
      <c r="AA568" s="62"/>
      <c r="AB568" s="64" t="s">
        <v>2158</v>
      </c>
      <c r="AC568" s="79"/>
      <c r="AD568" s="54">
        <v>45313.0</v>
      </c>
      <c r="AE568" s="77">
        <v>4.9075100013179E13</v>
      </c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65">
        <v>0.0</v>
      </c>
      <c r="AV568" s="65">
        <v>0.0</v>
      </c>
      <c r="AW568" s="65">
        <v>0.0</v>
      </c>
      <c r="AX568" s="65">
        <v>0.0</v>
      </c>
      <c r="AY568" s="65">
        <v>0.0</v>
      </c>
      <c r="AZ568" s="65">
        <v>0.0</v>
      </c>
      <c r="BA568" s="65">
        <v>0.0</v>
      </c>
      <c r="BB568" s="65">
        <v>0.0</v>
      </c>
      <c r="BC568" s="65">
        <v>0.0</v>
      </c>
      <c r="BD568" s="65">
        <v>148922.18</v>
      </c>
      <c r="BE568" s="65">
        <v>149152.71</v>
      </c>
      <c r="BF568" s="65">
        <v>149919.68</v>
      </c>
      <c r="BG568" s="65">
        <v>151377.06</v>
      </c>
      <c r="BH568" s="65">
        <v>152663.75</v>
      </c>
      <c r="BI568" s="65">
        <v>152826.59</v>
      </c>
      <c r="BJ568" s="65">
        <v>154219.14</v>
      </c>
      <c r="BK568" s="65">
        <v>155792.47</v>
      </c>
      <c r="BL568" s="65">
        <v>157227.27</v>
      </c>
      <c r="BM568" s="65">
        <v>159018.61</v>
      </c>
      <c r="BN568" s="65">
        <v>160474.3</v>
      </c>
      <c r="BO568" s="65">
        <v>162333.39</v>
      </c>
      <c r="BP568" s="65">
        <v>164080.7</v>
      </c>
      <c r="BQ568" s="65">
        <v>165514.6</v>
      </c>
      <c r="BR568" s="65">
        <v>167140.1</v>
      </c>
      <c r="BS568" s="65">
        <v>169105.87</v>
      </c>
      <c r="BT568" s="88">
        <v>170497.5</v>
      </c>
      <c r="BU568" s="65">
        <v>172646.4</v>
      </c>
      <c r="BV568" s="65">
        <v>174531.7</v>
      </c>
      <c r="BW568" s="90">
        <v>175242.3</v>
      </c>
      <c r="BX568" s="90">
        <v>182782.79</v>
      </c>
      <c r="BY568" s="90">
        <f t="array" ref="BY568">XLOOKUP(C568,'PL TOTAL D0'!$A$3:$A$1991,'PL TOTAL D0'!$C$3:$C$1991,"")</f>
        <v>178514.16</v>
      </c>
    </row>
    <row r="569" ht="15.75" customHeight="1">
      <c r="A569" s="43" t="s">
        <v>24</v>
      </c>
      <c r="B569" s="43" t="s">
        <v>7062</v>
      </c>
      <c r="C569" s="94" t="s">
        <v>3550</v>
      </c>
      <c r="D569" s="30" t="s">
        <v>89</v>
      </c>
      <c r="E569" s="22" t="s">
        <v>91</v>
      </c>
      <c r="F569" s="30" t="s">
        <v>193</v>
      </c>
      <c r="G569" s="47" t="str">
        <f t="shared" si="25"/>
        <v>David</v>
      </c>
      <c r="H569" s="49" t="s">
        <v>183</v>
      </c>
      <c r="I569" s="49" t="s">
        <v>66</v>
      </c>
      <c r="J569" s="47" t="str">
        <f t="shared" si="27"/>
        <v>Não</v>
      </c>
      <c r="K569" s="54">
        <v>46050.0</v>
      </c>
      <c r="L569" s="62"/>
      <c r="M569" s="27" t="s">
        <v>557</v>
      </c>
      <c r="N569" s="29">
        <v>0.007</v>
      </c>
      <c r="O569" s="30" t="s">
        <v>66</v>
      </c>
      <c r="P569" s="31">
        <v>0.0</v>
      </c>
      <c r="Q569" s="58"/>
      <c r="R569" s="58" t="s">
        <v>7066</v>
      </c>
      <c r="S569" s="32" t="s">
        <v>194</v>
      </c>
      <c r="T569" s="32" t="s">
        <v>7067</v>
      </c>
      <c r="U569" s="33" t="s">
        <v>7068</v>
      </c>
      <c r="V569" s="33" t="s">
        <v>7069</v>
      </c>
      <c r="W569" s="34">
        <v>32259.0</v>
      </c>
      <c r="X569" s="23" t="s">
        <v>221</v>
      </c>
      <c r="Y569" s="49" t="str">
        <f t="shared" si="22"/>
        <v>Ativo</v>
      </c>
      <c r="Z569" s="62"/>
      <c r="AA569" s="62" t="s">
        <v>107</v>
      </c>
      <c r="AB569" s="64"/>
      <c r="AC569" s="79"/>
      <c r="AD569" s="54">
        <v>46203.0</v>
      </c>
      <c r="AE569" s="77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65"/>
      <c r="BH569" s="65"/>
      <c r="BI569" s="65"/>
      <c r="BJ569" s="65"/>
      <c r="BK569" s="65"/>
      <c r="BL569" s="65"/>
      <c r="BM569" s="65"/>
      <c r="BN569" s="65"/>
      <c r="BO569" s="65"/>
      <c r="BP569" s="65"/>
      <c r="BQ569" s="65"/>
      <c r="BR569" s="65"/>
      <c r="BS569" s="65">
        <v>50991.12</v>
      </c>
      <c r="BT569" s="88">
        <v>51446.23</v>
      </c>
      <c r="BU569" s="65">
        <v>61990.15</v>
      </c>
      <c r="BV569" s="65">
        <v>65612.45</v>
      </c>
      <c r="BW569" s="90">
        <v>67702.22</v>
      </c>
      <c r="BX569" s="90">
        <v>9937.69</v>
      </c>
      <c r="BY569" s="90">
        <f t="array" ref="BY569">XLOOKUP(C569,'PL TOTAL D0'!$A$3:$A$1991,'PL TOTAL D0'!$C$3:$C$1991,"")</f>
        <v>12526.24</v>
      </c>
    </row>
    <row r="570" ht="15.75" customHeight="1">
      <c r="A570" s="50" t="s">
        <v>24</v>
      </c>
      <c r="B570" s="50" t="s">
        <v>7075</v>
      </c>
      <c r="C570" s="94" t="s">
        <v>7076</v>
      </c>
      <c r="D570" s="81" t="s">
        <v>120</v>
      </c>
      <c r="E570" s="95" t="s">
        <v>54</v>
      </c>
      <c r="F570" s="81" t="s">
        <v>348</v>
      </c>
      <c r="G570" s="47" t="str">
        <f t="shared" si="25"/>
        <v>David</v>
      </c>
      <c r="H570" s="74" t="s">
        <v>295</v>
      </c>
      <c r="I570" s="49" t="s">
        <v>382</v>
      </c>
      <c r="J570" s="47" t="str">
        <f t="shared" si="27"/>
        <v>Não</v>
      </c>
      <c r="K570" s="97">
        <v>45082.0</v>
      </c>
      <c r="L570" s="62"/>
      <c r="M570" s="62" t="s">
        <v>361</v>
      </c>
      <c r="N570" s="98">
        <v>0.02</v>
      </c>
      <c r="O570" s="47" t="s">
        <v>35</v>
      </c>
      <c r="P570" s="99">
        <v>0.2</v>
      </c>
      <c r="Q570" s="58"/>
      <c r="R570" s="195" t="s">
        <v>7077</v>
      </c>
      <c r="S570" s="62" t="s">
        <v>194</v>
      </c>
      <c r="T570" s="32" t="s">
        <v>5489</v>
      </c>
      <c r="U570" s="33">
        <v>5.566999945999E12</v>
      </c>
      <c r="V570" s="33" t="s">
        <v>7078</v>
      </c>
      <c r="W570" s="48">
        <v>31402.0</v>
      </c>
      <c r="X570" s="23" t="s">
        <v>1586</v>
      </c>
      <c r="Y570" s="49" t="str">
        <f t="shared" si="22"/>
        <v>Ativo</v>
      </c>
      <c r="Z570" s="62"/>
      <c r="AA570" s="62"/>
      <c r="AB570" s="64" t="s">
        <v>269</v>
      </c>
      <c r="AC570" s="79"/>
      <c r="AD570" s="54">
        <v>45082.0</v>
      </c>
      <c r="AE570" s="77">
        <v>4.9075100011494E13</v>
      </c>
      <c r="AF570" s="79"/>
      <c r="AG570" s="79"/>
      <c r="AH570" s="79"/>
      <c r="AI570" s="65">
        <v>0.0</v>
      </c>
      <c r="AJ570" s="65">
        <v>0.0</v>
      </c>
      <c r="AK570" s="65">
        <v>0.0</v>
      </c>
      <c r="AL570" s="65">
        <v>0.0</v>
      </c>
      <c r="AM570" s="65">
        <v>0.0</v>
      </c>
      <c r="AN570" s="65">
        <v>69759.11</v>
      </c>
      <c r="AO570" s="65">
        <v>69957.42</v>
      </c>
      <c r="AP570" s="65">
        <v>31355.16</v>
      </c>
      <c r="AQ570" s="65">
        <v>953.24</v>
      </c>
      <c r="AR570" s="65">
        <v>433.82</v>
      </c>
      <c r="AS570" s="65">
        <v>433.82</v>
      </c>
      <c r="AT570" s="65">
        <v>435.68</v>
      </c>
      <c r="AU570" s="65">
        <v>435.68</v>
      </c>
      <c r="AV570" s="65">
        <v>435.94</v>
      </c>
      <c r="AW570" s="65">
        <v>435.94</v>
      </c>
      <c r="AX570" s="65">
        <v>435.94</v>
      </c>
      <c r="AY570" s="65">
        <v>435.94</v>
      </c>
      <c r="AZ570" s="65">
        <v>435.94</v>
      </c>
      <c r="BA570" s="65">
        <v>439.01</v>
      </c>
      <c r="BB570" s="65">
        <v>442.8</v>
      </c>
      <c r="BC570" s="65">
        <v>446.49</v>
      </c>
      <c r="BD570" s="65">
        <v>450.63</v>
      </c>
      <c r="BE570" s="65">
        <v>451.48</v>
      </c>
      <c r="BF570" s="65">
        <v>455.6</v>
      </c>
      <c r="BG570" s="65">
        <v>460.28</v>
      </c>
      <c r="BH570" s="65">
        <v>464.76</v>
      </c>
      <c r="BI570" s="65">
        <v>469.18</v>
      </c>
      <c r="BJ570" s="65">
        <v>474.06</v>
      </c>
      <c r="BK570" s="65">
        <v>475.27</v>
      </c>
      <c r="BL570" s="65">
        <v>480.44</v>
      </c>
      <c r="BM570" s="65">
        <v>486.54</v>
      </c>
      <c r="BN570" s="65">
        <v>492.16</v>
      </c>
      <c r="BO570" s="65">
        <v>497.85</v>
      </c>
      <c r="BP570" s="65">
        <v>504.38</v>
      </c>
      <c r="BQ570" s="65">
        <v>504.48</v>
      </c>
      <c r="BR570" s="65">
        <v>510.6</v>
      </c>
      <c r="BS570" s="65">
        <v>516.52</v>
      </c>
      <c r="BT570" s="88">
        <v>521.65</v>
      </c>
      <c r="BU570" s="65">
        <v>528.0</v>
      </c>
      <c r="BV570" s="65">
        <v>533.7</v>
      </c>
      <c r="BW570" s="90">
        <v>534.17</v>
      </c>
      <c r="BX570" s="90">
        <v>539.8</v>
      </c>
      <c r="BY570" s="90" t="str">
        <f t="array" ref="BY570">XLOOKUP(C570,'PL TOTAL D0'!$A$3:$A$1991,'PL TOTAL D0'!$C$3:$C$1991,"")</f>
        <v/>
      </c>
    </row>
    <row r="571" ht="15.75" customHeight="1">
      <c r="A571" s="50" t="s">
        <v>24</v>
      </c>
      <c r="B571" s="50" t="s">
        <v>5684</v>
      </c>
      <c r="C571" s="94" t="s">
        <v>3043</v>
      </c>
      <c r="D571" s="30" t="s">
        <v>89</v>
      </c>
      <c r="E571" s="95" t="s">
        <v>91</v>
      </c>
      <c r="F571" s="81" t="s">
        <v>521</v>
      </c>
      <c r="G571" s="47" t="str">
        <f t="shared" si="25"/>
        <v>Gabriel</v>
      </c>
      <c r="H571" s="49" t="s">
        <v>183</v>
      </c>
      <c r="I571" s="49" t="s">
        <v>66</v>
      </c>
      <c r="J571" s="47" t="str">
        <f t="shared" si="27"/>
        <v>Não</v>
      </c>
      <c r="K571" s="97">
        <v>45128.0</v>
      </c>
      <c r="L571" s="189"/>
      <c r="M571" s="62" t="s">
        <v>209</v>
      </c>
      <c r="N571" s="98">
        <v>0.015</v>
      </c>
      <c r="O571" s="47" t="s">
        <v>35</v>
      </c>
      <c r="P571" s="99">
        <v>0.1</v>
      </c>
      <c r="Q571" s="58"/>
      <c r="R571" s="70"/>
      <c r="S571" s="62" t="s">
        <v>194</v>
      </c>
      <c r="T571" s="32" t="s">
        <v>5688</v>
      </c>
      <c r="U571" s="33">
        <v>4.3996133332E10</v>
      </c>
      <c r="V571" s="33" t="s">
        <v>7080</v>
      </c>
      <c r="W571" s="34">
        <v>26168.0</v>
      </c>
      <c r="X571" s="23" t="s">
        <v>221</v>
      </c>
      <c r="Y571" s="49" t="str">
        <f t="shared" si="22"/>
        <v>Ativo</v>
      </c>
      <c r="Z571" s="62"/>
      <c r="AA571" s="62"/>
      <c r="AB571" s="64" t="s">
        <v>269</v>
      </c>
      <c r="AC571" s="79"/>
      <c r="AD571" s="54">
        <v>45128.0</v>
      </c>
      <c r="AE571" s="77">
        <v>4.9075100008108E13</v>
      </c>
      <c r="AF571" s="79"/>
      <c r="AG571" s="79"/>
      <c r="AH571" s="79"/>
      <c r="AI571" s="79"/>
      <c r="AJ571" s="79"/>
      <c r="AK571" s="65">
        <v>0.0</v>
      </c>
      <c r="AL571" s="65">
        <v>0.0</v>
      </c>
      <c r="AM571" s="65">
        <v>0.0</v>
      </c>
      <c r="AN571" s="65">
        <v>0.0</v>
      </c>
      <c r="AO571" s="65">
        <v>302770.32</v>
      </c>
      <c r="AP571" s="65">
        <v>319984.74</v>
      </c>
      <c r="AQ571" s="65">
        <v>321276.02</v>
      </c>
      <c r="AR571" s="65">
        <v>320370.19</v>
      </c>
      <c r="AS571" s="65">
        <v>327308.85</v>
      </c>
      <c r="AT571" s="65">
        <v>333739.21</v>
      </c>
      <c r="AU571" s="65">
        <v>329468.33</v>
      </c>
      <c r="AV571" s="65">
        <v>331760.87</v>
      </c>
      <c r="AW571" s="65">
        <v>334298.87</v>
      </c>
      <c r="AX571" s="65">
        <v>331338.23</v>
      </c>
      <c r="AY571" s="65">
        <v>329330.3</v>
      </c>
      <c r="AZ571" s="65">
        <v>331104.0</v>
      </c>
      <c r="BA571" s="65">
        <v>334450.1</v>
      </c>
      <c r="BB571" s="65">
        <v>337968.66</v>
      </c>
      <c r="BC571" s="65">
        <v>336715.96</v>
      </c>
      <c r="BD571" s="65">
        <v>334078.29</v>
      </c>
      <c r="BE571" s="65">
        <v>331187.03</v>
      </c>
      <c r="BF571" s="65">
        <v>330486.02</v>
      </c>
      <c r="BG571" s="65">
        <v>334785.89</v>
      </c>
      <c r="BH571" s="65">
        <v>309455.02</v>
      </c>
      <c r="BI571" s="65">
        <v>312720.55</v>
      </c>
      <c r="BJ571" s="65">
        <v>316081.82</v>
      </c>
      <c r="BK571" s="65">
        <v>321006.66</v>
      </c>
      <c r="BL571" s="65">
        <v>323834.25</v>
      </c>
      <c r="BM571" s="65">
        <v>325857.27</v>
      </c>
      <c r="BN571" s="65">
        <v>329171.6</v>
      </c>
      <c r="BO571" s="65">
        <v>333225.42</v>
      </c>
      <c r="BP571" s="65">
        <v>337144.2</v>
      </c>
      <c r="BQ571" s="65">
        <v>343228.0</v>
      </c>
      <c r="BR571" s="65">
        <v>346112.2</v>
      </c>
      <c r="BS571" s="65">
        <v>352374.03</v>
      </c>
      <c r="BT571" s="88">
        <v>356427.9</v>
      </c>
      <c r="BU571" s="65">
        <v>360846.4</v>
      </c>
      <c r="BV571" s="65">
        <v>363960.1</v>
      </c>
      <c r="BW571" s="90">
        <v>305719.1</v>
      </c>
      <c r="BX571" s="90">
        <v>319687.86</v>
      </c>
      <c r="BY571" s="90">
        <f t="array" ref="BY571">XLOOKUP(C571,'PL TOTAL D0'!$A$3:$A$1991,'PL TOTAL D0'!$C$3:$C$1991,"")</f>
        <v>312057.84</v>
      </c>
    </row>
    <row r="572" ht="15.75" customHeight="1">
      <c r="A572" s="50" t="s">
        <v>24</v>
      </c>
      <c r="B572" s="43" t="s">
        <v>7083</v>
      </c>
      <c r="C572" s="94" t="s">
        <v>7084</v>
      </c>
      <c r="D572" s="30" t="s">
        <v>1664</v>
      </c>
      <c r="E572" s="22" t="s">
        <v>54</v>
      </c>
      <c r="F572" s="30" t="s">
        <v>1667</v>
      </c>
      <c r="G572" s="47" t="str">
        <f t="shared" si="25"/>
        <v>David</v>
      </c>
      <c r="H572" s="49" t="s">
        <v>224</v>
      </c>
      <c r="I572" s="49" t="s">
        <v>66</v>
      </c>
      <c r="J572" s="47" t="str">
        <f t="shared" si="27"/>
        <v>Não</v>
      </c>
      <c r="K572" s="54">
        <v>45692.0</v>
      </c>
      <c r="L572" s="186">
        <v>45966.0</v>
      </c>
      <c r="M572" s="32" t="s">
        <v>61</v>
      </c>
      <c r="N572" s="56">
        <v>0.012</v>
      </c>
      <c r="O572" s="23" t="s">
        <v>66</v>
      </c>
      <c r="P572" s="57">
        <v>0.0</v>
      </c>
      <c r="Q572" s="58"/>
      <c r="R572" s="58" t="s">
        <v>610</v>
      </c>
      <c r="S572" s="32" t="s">
        <v>194</v>
      </c>
      <c r="T572" s="32" t="s">
        <v>7085</v>
      </c>
      <c r="U572" s="33" t="s">
        <v>268</v>
      </c>
      <c r="V572" s="33"/>
      <c r="W572" s="33" t="s">
        <v>268</v>
      </c>
      <c r="X572" s="23" t="s">
        <v>475</v>
      </c>
      <c r="Y572" s="49" t="str">
        <f t="shared" si="22"/>
        <v>Encerrado</v>
      </c>
      <c r="Z572" s="62"/>
      <c r="AA572" s="32" t="s">
        <v>165</v>
      </c>
      <c r="AB572" s="64"/>
      <c r="AC572" s="79"/>
      <c r="AD572" s="54">
        <v>45707.0</v>
      </c>
      <c r="AE572" s="77">
        <v>4.9075100018111E13</v>
      </c>
      <c r="AF572" s="79"/>
      <c r="AG572" s="79"/>
      <c r="AH572" s="79"/>
      <c r="AI572" s="79"/>
      <c r="AJ572" s="79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>
        <v>160878.04</v>
      </c>
      <c r="BI572" s="65">
        <v>162281.89</v>
      </c>
      <c r="BJ572" s="65">
        <v>164075.55</v>
      </c>
      <c r="BK572" s="65">
        <v>165955.57</v>
      </c>
      <c r="BL572" s="65">
        <v>167692.56</v>
      </c>
      <c r="BM572" s="65">
        <v>0.0</v>
      </c>
      <c r="BN572" s="65">
        <v>0.0</v>
      </c>
      <c r="BO572" s="65">
        <v>0.0</v>
      </c>
      <c r="BP572" s="65">
        <v>0.0</v>
      </c>
      <c r="BQ572" s="65">
        <v>0.0</v>
      </c>
      <c r="BR572" s="65">
        <v>0.0</v>
      </c>
      <c r="BS572" s="65">
        <v>0.0</v>
      </c>
      <c r="BT572" s="88">
        <v>0.0</v>
      </c>
      <c r="BU572" s="65">
        <v>0.0</v>
      </c>
      <c r="BV572" s="65">
        <v>0.0</v>
      </c>
      <c r="BW572" s="90">
        <v>0.0</v>
      </c>
      <c r="BX572" s="90">
        <v>0.0</v>
      </c>
      <c r="BY572" s="90" t="str">
        <f t="array" ref="BY572">XLOOKUP(C572,'PL TOTAL D0'!$A$3:$A$1991,'PL TOTAL D0'!$C$3:$C$1991,"")</f>
        <v/>
      </c>
    </row>
    <row r="573" ht="15.75" customHeight="1">
      <c r="A573" s="50" t="s">
        <v>24</v>
      </c>
      <c r="B573" s="43" t="s">
        <v>7087</v>
      </c>
      <c r="C573" s="94" t="s">
        <v>3275</v>
      </c>
      <c r="D573" s="30" t="s">
        <v>89</v>
      </c>
      <c r="E573" s="22" t="s">
        <v>91</v>
      </c>
      <c r="F573" s="30" t="s">
        <v>193</v>
      </c>
      <c r="G573" s="47" t="str">
        <f t="shared" si="25"/>
        <v>David</v>
      </c>
      <c r="H573" s="49" t="s">
        <v>183</v>
      </c>
      <c r="I573" s="49" t="s">
        <v>66</v>
      </c>
      <c r="J573" s="47" t="str">
        <f t="shared" si="27"/>
        <v>Não</v>
      </c>
      <c r="K573" s="54">
        <v>46105.0</v>
      </c>
      <c r="L573" s="186"/>
      <c r="M573" s="32" t="s">
        <v>61</v>
      </c>
      <c r="N573" s="56">
        <v>0.012</v>
      </c>
      <c r="O573" s="23" t="s">
        <v>66</v>
      </c>
      <c r="P573" s="57">
        <v>0.0</v>
      </c>
      <c r="Q573" s="58"/>
      <c r="R573" s="58"/>
      <c r="S573" s="32" t="s">
        <v>194</v>
      </c>
      <c r="T573" s="32" t="s">
        <v>7088</v>
      </c>
      <c r="U573" s="33" t="s">
        <v>7090</v>
      </c>
      <c r="V573" s="33" t="s">
        <v>7091</v>
      </c>
      <c r="W573" s="33">
        <v>37888.0</v>
      </c>
      <c r="X573" s="23" t="s">
        <v>221</v>
      </c>
      <c r="Y573" s="49" t="str">
        <f t="shared" si="22"/>
        <v>Ativo</v>
      </c>
      <c r="Z573" s="62"/>
      <c r="AA573" s="32" t="s">
        <v>107</v>
      </c>
      <c r="AB573" s="64"/>
      <c r="AC573" s="79"/>
      <c r="AD573" s="54">
        <v>46203.0</v>
      </c>
      <c r="AE573" s="77"/>
      <c r="AF573" s="79"/>
      <c r="AG573" s="79"/>
      <c r="AH573" s="79"/>
      <c r="AI573" s="79"/>
      <c r="AJ573" s="79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65"/>
      <c r="BH573" s="65"/>
      <c r="BI573" s="65"/>
      <c r="BJ573" s="65"/>
      <c r="BK573" s="65"/>
      <c r="BL573" s="65"/>
      <c r="BM573" s="65"/>
      <c r="BN573" s="65"/>
      <c r="BO573" s="65"/>
      <c r="BP573" s="65"/>
      <c r="BQ573" s="65"/>
      <c r="BR573" s="65"/>
      <c r="BS573" s="65"/>
      <c r="BT573" s="88"/>
      <c r="BU573" s="65">
        <v>93549.16</v>
      </c>
      <c r="BV573" s="65">
        <v>94709.08</v>
      </c>
      <c r="BW573" s="90">
        <v>104949.7</v>
      </c>
      <c r="BX573" s="90">
        <v>106056.69</v>
      </c>
      <c r="BY573" s="90">
        <f t="array" ref="BY573">XLOOKUP(C573,'PL TOTAL D0'!$A$3:$A$1991,'PL TOTAL D0'!$C$3:$C$1991,"")</f>
        <v>117329.53</v>
      </c>
    </row>
    <row r="574" ht="15.75" customHeight="1">
      <c r="A574" s="50" t="s">
        <v>24</v>
      </c>
      <c r="B574" s="50" t="s">
        <v>7095</v>
      </c>
      <c r="C574" s="94" t="s">
        <v>7096</v>
      </c>
      <c r="D574" s="81" t="s">
        <v>120</v>
      </c>
      <c r="E574" s="95" t="s">
        <v>199</v>
      </c>
      <c r="F574" s="81" t="s">
        <v>388</v>
      </c>
      <c r="G574" s="47" t="str">
        <f t="shared" si="25"/>
        <v>David</v>
      </c>
      <c r="H574" s="74" t="s">
        <v>295</v>
      </c>
      <c r="I574" s="74" t="s">
        <v>382</v>
      </c>
      <c r="J574" s="47" t="str">
        <f t="shared" si="27"/>
        <v>Não</v>
      </c>
      <c r="K574" s="97">
        <v>45163.0</v>
      </c>
      <c r="L574" s="189"/>
      <c r="M574" s="62" t="s">
        <v>61</v>
      </c>
      <c r="N574" s="98">
        <v>0.012</v>
      </c>
      <c r="O574" s="47" t="s">
        <v>66</v>
      </c>
      <c r="P574" s="99">
        <v>0.0</v>
      </c>
      <c r="Q574" s="58"/>
      <c r="R574" s="70" t="s">
        <v>7101</v>
      </c>
      <c r="S574" s="62" t="s">
        <v>234</v>
      </c>
      <c r="T574" s="32" t="s">
        <v>1633</v>
      </c>
      <c r="U574" s="33">
        <v>5.531973086388E12</v>
      </c>
      <c r="V574" s="33" t="s">
        <v>1635</v>
      </c>
      <c r="W574" s="34">
        <v>44802.0</v>
      </c>
      <c r="X574" s="23" t="s">
        <v>618</v>
      </c>
      <c r="Y574" s="49" t="str">
        <f t="shared" si="22"/>
        <v>Inativo</v>
      </c>
      <c r="Z574" s="62"/>
      <c r="AA574" s="62"/>
      <c r="AB574" s="64" t="s">
        <v>269</v>
      </c>
      <c r="AC574" s="79"/>
      <c r="AD574" s="54">
        <v>45163.0</v>
      </c>
      <c r="AE574" s="77">
        <v>4.9075100011486E13</v>
      </c>
      <c r="AF574" s="79"/>
      <c r="AG574" s="79"/>
      <c r="AH574" s="79"/>
      <c r="AI574" s="65">
        <v>0.0</v>
      </c>
      <c r="AJ574" s="65">
        <v>0.0</v>
      </c>
      <c r="AK574" s="65">
        <v>0.0</v>
      </c>
      <c r="AL574" s="65">
        <v>0.0</v>
      </c>
      <c r="AM574" s="65">
        <v>0.0</v>
      </c>
      <c r="AN574" s="65">
        <v>0.0</v>
      </c>
      <c r="AO574" s="65">
        <v>0.0</v>
      </c>
      <c r="AP574" s="65">
        <v>0.0</v>
      </c>
      <c r="AQ574" s="65">
        <v>0.0</v>
      </c>
      <c r="AR574" s="65">
        <v>0.0</v>
      </c>
      <c r="AS574" s="65">
        <v>0.0</v>
      </c>
      <c r="AT574" s="65">
        <v>0.0</v>
      </c>
      <c r="AU574" s="65">
        <v>0.0</v>
      </c>
      <c r="AV574" s="65">
        <v>0.0</v>
      </c>
      <c r="AW574" s="65">
        <v>0.0</v>
      </c>
      <c r="AX574" s="65">
        <v>0.0</v>
      </c>
      <c r="AY574" s="65">
        <v>0.0</v>
      </c>
      <c r="AZ574" s="65">
        <v>0.0</v>
      </c>
      <c r="BA574" s="65">
        <v>0.0</v>
      </c>
      <c r="BB574" s="65">
        <v>0.0</v>
      </c>
      <c r="BC574" s="65">
        <v>0.0</v>
      </c>
      <c r="BD574" s="65">
        <v>0.0</v>
      </c>
      <c r="BE574" s="65">
        <v>0.0</v>
      </c>
      <c r="BF574" s="65">
        <v>0.0</v>
      </c>
      <c r="BG574" s="65">
        <v>0.0</v>
      </c>
      <c r="BH574" s="65">
        <v>0.0</v>
      </c>
      <c r="BI574" s="65">
        <v>0.0</v>
      </c>
      <c r="BJ574" s="65">
        <v>0.0</v>
      </c>
      <c r="BK574" s="65">
        <v>0.0</v>
      </c>
      <c r="BL574" s="65">
        <v>0.0</v>
      </c>
      <c r="BM574" s="65">
        <v>0.0</v>
      </c>
      <c r="BN574" s="65">
        <v>0.0</v>
      </c>
      <c r="BO574" s="65">
        <v>0.0</v>
      </c>
      <c r="BP574" s="65">
        <v>0.0</v>
      </c>
      <c r="BQ574" s="65">
        <v>0.0</v>
      </c>
      <c r="BR574" s="65">
        <v>0.0</v>
      </c>
      <c r="BS574" s="65">
        <v>0.0</v>
      </c>
      <c r="BT574" s="88">
        <v>0.0</v>
      </c>
      <c r="BU574" s="65">
        <v>0.0</v>
      </c>
      <c r="BV574" s="65">
        <v>0.0</v>
      </c>
      <c r="BW574" s="90">
        <v>0.0</v>
      </c>
      <c r="BX574" s="90">
        <v>0.0</v>
      </c>
      <c r="BY574" s="90" t="str">
        <f t="array" ref="BY574">XLOOKUP(C574,'PL TOTAL D0'!$A$3:$A$1991,'PL TOTAL D0'!$C$3:$C$1991,"")</f>
        <v/>
      </c>
    </row>
    <row r="575" ht="15.75" customHeight="1">
      <c r="A575" s="43" t="s">
        <v>24</v>
      </c>
      <c r="B575" s="513" t="s">
        <v>7103</v>
      </c>
      <c r="C575" s="94" t="s">
        <v>7104</v>
      </c>
      <c r="D575" s="30" t="s">
        <v>120</v>
      </c>
      <c r="E575" s="22" t="s">
        <v>199</v>
      </c>
      <c r="F575" s="30" t="s">
        <v>290</v>
      </c>
      <c r="G575" s="47" t="str">
        <f t="shared" si="25"/>
        <v>David</v>
      </c>
      <c r="H575" s="49" t="s">
        <v>224</v>
      </c>
      <c r="I575" s="49" t="s">
        <v>66</v>
      </c>
      <c r="J575" s="47" t="str">
        <f t="shared" si="27"/>
        <v>Não</v>
      </c>
      <c r="K575" s="54">
        <v>45362.0</v>
      </c>
      <c r="L575" s="55">
        <v>45772.0</v>
      </c>
      <c r="M575" s="32" t="s">
        <v>361</v>
      </c>
      <c r="N575" s="56">
        <v>0.02</v>
      </c>
      <c r="O575" s="23" t="s">
        <v>35</v>
      </c>
      <c r="P575" s="57">
        <v>0.2</v>
      </c>
      <c r="Q575" s="58"/>
      <c r="R575" s="635"/>
      <c r="S575" s="32" t="s">
        <v>194</v>
      </c>
      <c r="T575" s="177" t="s">
        <v>7107</v>
      </c>
      <c r="U575" s="33" t="s">
        <v>268</v>
      </c>
      <c r="V575" s="33"/>
      <c r="W575" s="33" t="s">
        <v>268</v>
      </c>
      <c r="X575" s="23" t="s">
        <v>475</v>
      </c>
      <c r="Y575" s="49" t="str">
        <f t="shared" si="22"/>
        <v>Encerrado</v>
      </c>
      <c r="Z575" s="62"/>
      <c r="AA575" s="62"/>
      <c r="AB575" s="64" t="s">
        <v>2099</v>
      </c>
      <c r="AC575" s="79"/>
      <c r="AD575" s="54">
        <v>45362.0</v>
      </c>
      <c r="AE575" s="77">
        <v>4.907510001381E13</v>
      </c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65"/>
      <c r="AW575" s="65">
        <v>302703.59</v>
      </c>
      <c r="AX575" s="65">
        <v>298173.01</v>
      </c>
      <c r="AY575" s="65">
        <v>392202.0</v>
      </c>
      <c r="AZ575" s="65">
        <v>394170.3</v>
      </c>
      <c r="BA575" s="65">
        <v>401310.4</v>
      </c>
      <c r="BB575" s="65">
        <v>407535.01</v>
      </c>
      <c r="BC575" s="65">
        <v>141255.24</v>
      </c>
      <c r="BD575" s="65">
        <v>932.63</v>
      </c>
      <c r="BE575" s="65">
        <v>932.63</v>
      </c>
      <c r="BF575" s="65">
        <v>933.72</v>
      </c>
      <c r="BG575" s="65">
        <v>73875.55</v>
      </c>
      <c r="BH575" s="65">
        <v>0.0</v>
      </c>
      <c r="BI575" s="65">
        <v>0.0</v>
      </c>
      <c r="BJ575" s="65">
        <v>0.0</v>
      </c>
      <c r="BK575" s="65">
        <v>0.0</v>
      </c>
      <c r="BL575" s="65">
        <v>0.0</v>
      </c>
      <c r="BM575" s="65">
        <v>0.0</v>
      </c>
      <c r="BN575" s="65">
        <v>0.0</v>
      </c>
      <c r="BO575" s="65">
        <v>0.0</v>
      </c>
      <c r="BP575" s="65">
        <v>0.0</v>
      </c>
      <c r="BQ575" s="65">
        <v>0.0</v>
      </c>
      <c r="BR575" s="65">
        <v>0.0</v>
      </c>
      <c r="BS575" s="65">
        <v>0.0</v>
      </c>
      <c r="BT575" s="88">
        <v>0.0</v>
      </c>
      <c r="BU575" s="65">
        <v>0.0</v>
      </c>
      <c r="BV575" s="65">
        <v>0.0</v>
      </c>
      <c r="BW575" s="90">
        <v>0.0</v>
      </c>
      <c r="BX575" s="90">
        <v>0.0</v>
      </c>
      <c r="BY575" s="90" t="str">
        <f t="array" ref="BY575">XLOOKUP(C575,'PL TOTAL D0'!$A$3:$A$1991,'PL TOTAL D0'!$C$3:$C$1991,"")</f>
        <v/>
      </c>
    </row>
    <row r="576" ht="15.75" customHeight="1">
      <c r="A576" s="43" t="s">
        <v>24</v>
      </c>
      <c r="B576" s="513" t="s">
        <v>7110</v>
      </c>
      <c r="C576" s="53" t="s">
        <v>3526</v>
      </c>
      <c r="D576" s="30" t="s">
        <v>120</v>
      </c>
      <c r="E576" s="22" t="s">
        <v>54</v>
      </c>
      <c r="F576" s="30" t="s">
        <v>125</v>
      </c>
      <c r="G576" s="47" t="str">
        <f t="shared" si="25"/>
        <v>David</v>
      </c>
      <c r="H576" s="49" t="s">
        <v>183</v>
      </c>
      <c r="I576" s="49" t="s">
        <v>66</v>
      </c>
      <c r="J576" s="47" t="str">
        <f t="shared" si="27"/>
        <v>Sim</v>
      </c>
      <c r="K576" s="54">
        <v>46190.0</v>
      </c>
      <c r="L576" s="55"/>
      <c r="M576" s="32" t="s">
        <v>61</v>
      </c>
      <c r="N576" s="56">
        <v>0.012</v>
      </c>
      <c r="O576" s="23" t="s">
        <v>66</v>
      </c>
      <c r="P576" s="57">
        <v>0.0</v>
      </c>
      <c r="Q576" s="58" t="s">
        <v>7112</v>
      </c>
      <c r="R576" s="635"/>
      <c r="S576" s="32" t="s">
        <v>194</v>
      </c>
      <c r="T576" s="177" t="s">
        <v>7113</v>
      </c>
      <c r="U576" s="33" t="s">
        <v>7114</v>
      </c>
      <c r="V576" s="33" t="s">
        <v>7115</v>
      </c>
      <c r="W576" s="34">
        <v>22468.0</v>
      </c>
      <c r="X576" s="23" t="s">
        <v>54</v>
      </c>
      <c r="Y576" s="49" t="str">
        <f t="shared" si="22"/>
        <v>Ativo</v>
      </c>
      <c r="Z576" s="62"/>
      <c r="AA576" s="32" t="s">
        <v>107</v>
      </c>
      <c r="AB576" s="64"/>
      <c r="AC576" s="79"/>
      <c r="AD576" s="54">
        <v>46203.0</v>
      </c>
      <c r="AE576" s="77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65"/>
      <c r="BH576" s="65"/>
      <c r="BI576" s="65"/>
      <c r="BJ576" s="65"/>
      <c r="BK576" s="65"/>
      <c r="BL576" s="65"/>
      <c r="BM576" s="65"/>
      <c r="BN576" s="65"/>
      <c r="BO576" s="65"/>
      <c r="BP576" s="65"/>
      <c r="BQ576" s="65"/>
      <c r="BR576" s="65"/>
      <c r="BS576" s="65"/>
      <c r="BT576" s="88"/>
      <c r="BU576" s="65"/>
      <c r="BV576" s="65"/>
      <c r="BW576" s="90"/>
      <c r="BX576" s="90">
        <v>70053.16</v>
      </c>
      <c r="BY576" s="90">
        <f t="array" ref="BY576">XLOOKUP(C576,'PL TOTAL D0'!$A$3:$A$1991,'PL TOTAL D0'!$C$3:$C$1991,"")</f>
        <v>20399.47</v>
      </c>
    </row>
    <row r="577" ht="15.75" customHeight="1">
      <c r="A577" s="43" t="s">
        <v>24</v>
      </c>
      <c r="B577" s="513" t="s">
        <v>1017</v>
      </c>
      <c r="C577" s="94" t="s">
        <v>3193</v>
      </c>
      <c r="D577" s="30" t="s">
        <v>89</v>
      </c>
      <c r="E577" s="22" t="s">
        <v>91</v>
      </c>
      <c r="F577" s="30" t="s">
        <v>193</v>
      </c>
      <c r="G577" s="47" t="str">
        <f t="shared" si="25"/>
        <v>David</v>
      </c>
      <c r="H577" s="49" t="s">
        <v>183</v>
      </c>
      <c r="I577" s="49" t="s">
        <v>66</v>
      </c>
      <c r="J577" s="47" t="str">
        <f t="shared" si="27"/>
        <v>Não</v>
      </c>
      <c r="K577" s="54">
        <v>45677.0</v>
      </c>
      <c r="L577" s="62"/>
      <c r="M577" s="32" t="s">
        <v>1349</v>
      </c>
      <c r="N577" s="56">
        <v>0.012</v>
      </c>
      <c r="O577" s="23" t="s">
        <v>66</v>
      </c>
      <c r="P577" s="57">
        <v>0.0</v>
      </c>
      <c r="Q577" s="58"/>
      <c r="R577" s="635"/>
      <c r="S577" s="32" t="s">
        <v>194</v>
      </c>
      <c r="T577" s="177" t="s">
        <v>1032</v>
      </c>
      <c r="U577" s="33">
        <v>5.51197262091E12</v>
      </c>
      <c r="V577" s="33" t="s">
        <v>1039</v>
      </c>
      <c r="W577" s="34">
        <v>32023.0</v>
      </c>
      <c r="X577" s="23" t="s">
        <v>221</v>
      </c>
      <c r="Y577" s="49" t="str">
        <f t="shared" si="22"/>
        <v>Ativo</v>
      </c>
      <c r="Z577" s="62"/>
      <c r="AA577" s="32" t="s">
        <v>47</v>
      </c>
      <c r="AB577" s="64"/>
      <c r="AC577" s="79"/>
      <c r="AD577" s="54">
        <v>45684.0</v>
      </c>
      <c r="AE577" s="77">
        <v>4.907510001767E13</v>
      </c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65">
        <v>209203.52</v>
      </c>
      <c r="BH577" s="65">
        <v>190117.22</v>
      </c>
      <c r="BI577" s="65">
        <v>170835.86</v>
      </c>
      <c r="BJ577" s="65">
        <v>172541.12</v>
      </c>
      <c r="BK577" s="65">
        <v>174322.19</v>
      </c>
      <c r="BL577" s="65">
        <v>175973.22</v>
      </c>
      <c r="BM577" s="65">
        <v>177884.5</v>
      </c>
      <c r="BN577" s="65">
        <v>179635.9</v>
      </c>
      <c r="BO577" s="65">
        <v>181290.11</v>
      </c>
      <c r="BP577" s="65">
        <v>183379.6</v>
      </c>
      <c r="BQ577" s="65">
        <v>184847.9</v>
      </c>
      <c r="BR577" s="65">
        <v>158006.4</v>
      </c>
      <c r="BS577" s="65">
        <v>159528.3</v>
      </c>
      <c r="BT577" s="88">
        <v>160864.2</v>
      </c>
      <c r="BU577" s="65">
        <v>162719.0</v>
      </c>
      <c r="BV577" s="65">
        <v>164457.1</v>
      </c>
      <c r="BW577" s="90">
        <v>166174.0</v>
      </c>
      <c r="BX577" s="90">
        <v>167911.66</v>
      </c>
      <c r="BY577" s="90">
        <f t="array" ref="BY577">XLOOKUP(C577,'PL TOTAL D0'!$A$3:$A$1991,'PL TOTAL D0'!$C$3:$C$1991,"")</f>
        <v>169689.78</v>
      </c>
    </row>
    <row r="578" ht="15.75" customHeight="1">
      <c r="A578" s="50" t="s">
        <v>24</v>
      </c>
      <c r="B578" s="43" t="s">
        <v>7122</v>
      </c>
      <c r="C578" s="94" t="s">
        <v>7123</v>
      </c>
      <c r="D578" s="81" t="s">
        <v>120</v>
      </c>
      <c r="E578" s="95" t="s">
        <v>54</v>
      </c>
      <c r="F578" s="81" t="s">
        <v>379</v>
      </c>
      <c r="G578" s="47" t="str">
        <f t="shared" si="25"/>
        <v>David</v>
      </c>
      <c r="H578" s="49" t="s">
        <v>224</v>
      </c>
      <c r="I578" s="49" t="s">
        <v>66</v>
      </c>
      <c r="J578" s="47" t="str">
        <f t="shared" si="27"/>
        <v>Sim</v>
      </c>
      <c r="K578" s="97">
        <v>44950.0</v>
      </c>
      <c r="L578" s="121">
        <v>45985.0</v>
      </c>
      <c r="M578" s="62" t="s">
        <v>61</v>
      </c>
      <c r="N578" s="98">
        <v>0.01</v>
      </c>
      <c r="O578" s="47" t="s">
        <v>66</v>
      </c>
      <c r="P578" s="99">
        <v>0.0</v>
      </c>
      <c r="Q578" s="58" t="s">
        <v>7124</v>
      </c>
      <c r="R578" s="58"/>
      <c r="S578" s="62" t="s">
        <v>194</v>
      </c>
      <c r="T578" s="32" t="s">
        <v>5531</v>
      </c>
      <c r="U578" s="33">
        <v>5.534997772018E12</v>
      </c>
      <c r="V578" s="33" t="s">
        <v>7125</v>
      </c>
      <c r="W578" s="48">
        <v>32822.0</v>
      </c>
      <c r="X578" s="23" t="s">
        <v>54</v>
      </c>
      <c r="Y578" s="49" t="str">
        <f t="shared" si="22"/>
        <v>Encerrado</v>
      </c>
      <c r="Z578" s="62"/>
      <c r="AA578" s="62"/>
      <c r="AB578" s="64" t="s">
        <v>269</v>
      </c>
      <c r="AC578" s="79"/>
      <c r="AD578" s="54">
        <v>44950.0</v>
      </c>
      <c r="AE578" s="77">
        <v>4.9075100005907E13</v>
      </c>
      <c r="AF578" s="79"/>
      <c r="AG578" s="79"/>
      <c r="AH578" s="79"/>
      <c r="AI578" s="65">
        <v>212431.18</v>
      </c>
      <c r="AJ578" s="65">
        <v>218921.92</v>
      </c>
      <c r="AK578" s="65">
        <v>221085.4</v>
      </c>
      <c r="AL578" s="65">
        <v>222967.51</v>
      </c>
      <c r="AM578" s="65">
        <v>225285.35</v>
      </c>
      <c r="AN578" s="65">
        <v>226496.4</v>
      </c>
      <c r="AO578" s="65">
        <v>228050.04</v>
      </c>
      <c r="AP578" s="65">
        <v>75990.57</v>
      </c>
      <c r="AQ578" s="65">
        <v>76616.57</v>
      </c>
      <c r="AR578" s="65">
        <v>100.0</v>
      </c>
      <c r="AS578" s="65">
        <v>86.38</v>
      </c>
      <c r="AT578" s="65">
        <v>86.38</v>
      </c>
      <c r="AU578" s="65">
        <v>86.38</v>
      </c>
      <c r="AV578" s="65">
        <v>86.38</v>
      </c>
      <c r="AW578" s="65">
        <v>86.38</v>
      </c>
      <c r="AX578" s="65">
        <v>86.38</v>
      </c>
      <c r="AY578" s="65">
        <v>86.38</v>
      </c>
      <c r="AZ578" s="65">
        <v>86.38</v>
      </c>
      <c r="BA578" s="65">
        <v>86.38</v>
      </c>
      <c r="BB578" s="65">
        <v>86.38</v>
      </c>
      <c r="BC578" s="65">
        <v>86.38</v>
      </c>
      <c r="BD578" s="65">
        <v>86.38</v>
      </c>
      <c r="BE578" s="65">
        <v>86.38</v>
      </c>
      <c r="BF578" s="65">
        <v>86.38</v>
      </c>
      <c r="BG578" s="65">
        <v>86.38</v>
      </c>
      <c r="BH578" s="65">
        <v>86.38</v>
      </c>
      <c r="BI578" s="65">
        <v>86.38</v>
      </c>
      <c r="BJ578" s="65">
        <v>454042.78</v>
      </c>
      <c r="BK578" s="65">
        <v>458427.14</v>
      </c>
      <c r="BL578" s="65">
        <v>462799.88</v>
      </c>
      <c r="BM578" s="65">
        <v>367426.7</v>
      </c>
      <c r="BN578" s="65">
        <v>371211.2</v>
      </c>
      <c r="BO578" s="65">
        <v>349192.07</v>
      </c>
      <c r="BP578" s="65">
        <v>0.0</v>
      </c>
      <c r="BQ578" s="65">
        <v>0.0</v>
      </c>
      <c r="BR578" s="65">
        <v>0.0</v>
      </c>
      <c r="BS578" s="65">
        <v>0.0</v>
      </c>
      <c r="BT578" s="88">
        <v>0.0</v>
      </c>
      <c r="BU578" s="65">
        <v>0.0</v>
      </c>
      <c r="BV578" s="65">
        <v>0.0</v>
      </c>
      <c r="BW578" s="90">
        <v>0.0</v>
      </c>
      <c r="BX578" s="90">
        <v>0.0</v>
      </c>
      <c r="BY578" s="90" t="str">
        <f t="array" ref="BY578">XLOOKUP(C578,'PL TOTAL D0'!$A$3:$A$1991,'PL TOTAL D0'!$C$3:$C$1991,"")</f>
        <v/>
      </c>
    </row>
    <row r="579" ht="15.75" customHeight="1">
      <c r="A579" s="50" t="s">
        <v>24</v>
      </c>
      <c r="B579" s="43" t="s">
        <v>7130</v>
      </c>
      <c r="C579" s="94" t="s">
        <v>7131</v>
      </c>
      <c r="D579" s="30" t="s">
        <v>120</v>
      </c>
      <c r="E579" s="22" t="s">
        <v>199</v>
      </c>
      <c r="F579" s="30" t="s">
        <v>1641</v>
      </c>
      <c r="G579" s="47" t="str">
        <f t="shared" si="25"/>
        <v>David</v>
      </c>
      <c r="H579" s="49" t="s">
        <v>183</v>
      </c>
      <c r="I579" s="49" t="s">
        <v>66</v>
      </c>
      <c r="J579" s="47" t="str">
        <f t="shared" si="27"/>
        <v>Não</v>
      </c>
      <c r="K579" s="54">
        <v>45565.0</v>
      </c>
      <c r="L579" s="62"/>
      <c r="M579" s="32" t="s">
        <v>557</v>
      </c>
      <c r="N579" s="56">
        <v>0.007</v>
      </c>
      <c r="O579" s="23" t="s">
        <v>66</v>
      </c>
      <c r="P579" s="57">
        <v>0.0</v>
      </c>
      <c r="Q579" s="58"/>
      <c r="R579" s="58"/>
      <c r="S579" s="32" t="s">
        <v>194</v>
      </c>
      <c r="T579" s="32" t="s">
        <v>7132</v>
      </c>
      <c r="U579" s="33">
        <v>6.1982752578E10</v>
      </c>
      <c r="V579" s="33" t="s">
        <v>7133</v>
      </c>
      <c r="W579" s="34">
        <v>36300.0</v>
      </c>
      <c r="X579" s="23" t="s">
        <v>199</v>
      </c>
      <c r="Y579" s="49" t="str">
        <f t="shared" si="22"/>
        <v>Ativo</v>
      </c>
      <c r="Z579" s="62"/>
      <c r="AA579" s="32" t="s">
        <v>47</v>
      </c>
      <c r="AB579" s="64"/>
      <c r="AC579" s="79"/>
      <c r="AD579" s="54">
        <v>45565.0</v>
      </c>
      <c r="AE579" s="77">
        <v>4.907510001588E13</v>
      </c>
      <c r="AF579" s="79"/>
      <c r="AG579" s="79"/>
      <c r="AH579" s="79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>
        <v>0.0</v>
      </c>
      <c r="BD579" s="65">
        <v>327.15</v>
      </c>
      <c r="BE579" s="65">
        <v>329.04</v>
      </c>
      <c r="BF579" s="65">
        <v>1034.35</v>
      </c>
      <c r="BG579" s="65">
        <v>1044.97</v>
      </c>
      <c r="BH579" s="65">
        <v>1405.88</v>
      </c>
      <c r="BI579" s="65">
        <v>1421.9</v>
      </c>
      <c r="BJ579" s="65">
        <v>1435.85</v>
      </c>
      <c r="BK579" s="65">
        <v>1453.42</v>
      </c>
      <c r="BL579" s="65">
        <v>1971.07</v>
      </c>
      <c r="BM579" s="65">
        <v>2347.52</v>
      </c>
      <c r="BN579" s="65">
        <v>2377.5</v>
      </c>
      <c r="BO579" s="65">
        <v>2757.94</v>
      </c>
      <c r="BP579" s="65">
        <v>2793.22</v>
      </c>
      <c r="BQ579" s="65">
        <v>3809.67</v>
      </c>
      <c r="BR579" s="65">
        <v>4354.23</v>
      </c>
      <c r="BS579" s="65">
        <v>4406.96</v>
      </c>
      <c r="BT579" s="88">
        <v>4944.29</v>
      </c>
      <c r="BU579" s="65">
        <v>4984.43</v>
      </c>
      <c r="BV579" s="65">
        <v>5534.74</v>
      </c>
      <c r="BW579" s="90">
        <v>5598.16</v>
      </c>
      <c r="BX579" s="90">
        <v>5911.76</v>
      </c>
      <c r="BY579" s="90" t="str">
        <f t="array" ref="BY579">XLOOKUP(C579,'PL TOTAL D0'!$A$3:$A$1991,'PL TOTAL D0'!$C$3:$C$1991,"")</f>
        <v/>
      </c>
    </row>
    <row r="580" ht="15.75" customHeight="1">
      <c r="A580" s="50" t="s">
        <v>24</v>
      </c>
      <c r="B580" s="43" t="s">
        <v>7135</v>
      </c>
      <c r="C580" s="53" t="s">
        <v>3412</v>
      </c>
      <c r="D580" s="30" t="s">
        <v>3843</v>
      </c>
      <c r="E580" s="22" t="s">
        <v>54</v>
      </c>
      <c r="F580" s="30" t="s">
        <v>3844</v>
      </c>
      <c r="G580" s="47" t="str">
        <f t="shared" si="25"/>
        <v>David</v>
      </c>
      <c r="H580" s="49" t="s">
        <v>183</v>
      </c>
      <c r="I580" s="49" t="s">
        <v>66</v>
      </c>
      <c r="J580" s="47" t="str">
        <f t="shared" si="27"/>
        <v>Não</v>
      </c>
      <c r="K580" s="54">
        <v>46153.0</v>
      </c>
      <c r="L580" s="62"/>
      <c r="M580" s="32" t="s">
        <v>61</v>
      </c>
      <c r="N580" s="56">
        <v>0.012</v>
      </c>
      <c r="O580" s="23" t="s">
        <v>66</v>
      </c>
      <c r="P580" s="57">
        <v>0.0</v>
      </c>
      <c r="Q580" s="58"/>
      <c r="R580" s="58"/>
      <c r="S580" s="32" t="s">
        <v>194</v>
      </c>
      <c r="T580" s="32" t="s">
        <v>7138</v>
      </c>
      <c r="U580" s="33" t="s">
        <v>7139</v>
      </c>
      <c r="V580" s="33" t="s">
        <v>7140</v>
      </c>
      <c r="W580" s="34">
        <v>26108.0</v>
      </c>
      <c r="X580" s="23" t="s">
        <v>54</v>
      </c>
      <c r="Y580" s="49" t="str">
        <f t="shared" si="22"/>
        <v>Ativo</v>
      </c>
      <c r="Z580" s="62"/>
      <c r="AA580" s="32" t="s">
        <v>47</v>
      </c>
      <c r="AB580" s="64"/>
      <c r="AC580" s="79"/>
      <c r="AD580" s="54">
        <v>46203.0</v>
      </c>
      <c r="AE580" s="77"/>
      <c r="AF580" s="79"/>
      <c r="AG580" s="79"/>
      <c r="AH580" s="79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  <c r="BE580" s="65"/>
      <c r="BF580" s="65"/>
      <c r="BG580" s="65"/>
      <c r="BH580" s="65"/>
      <c r="BI580" s="65"/>
      <c r="BJ580" s="65"/>
      <c r="BK580" s="65"/>
      <c r="BL580" s="65"/>
      <c r="BM580" s="65"/>
      <c r="BN580" s="65"/>
      <c r="BO580" s="65"/>
      <c r="BP580" s="65"/>
      <c r="BQ580" s="65"/>
      <c r="BR580" s="65"/>
      <c r="BS580" s="65"/>
      <c r="BT580" s="88"/>
      <c r="BU580" s="65"/>
      <c r="BV580" s="65"/>
      <c r="BW580" s="90">
        <v>50336.96</v>
      </c>
      <c r="BX580" s="90">
        <v>51916.57</v>
      </c>
      <c r="BY580" s="90">
        <f t="array" ref="BY580">XLOOKUP(C580,'PL TOTAL D0'!$A$3:$A$1991,'PL TOTAL D0'!$C$3:$C$1991,"")</f>
        <v>64610.66</v>
      </c>
    </row>
    <row r="581" ht="15.75" customHeight="1">
      <c r="A581" s="50" t="s">
        <v>24</v>
      </c>
      <c r="B581" s="43" t="s">
        <v>7143</v>
      </c>
      <c r="C581" s="94" t="s">
        <v>7144</v>
      </c>
      <c r="D581" s="30" t="s">
        <v>210</v>
      </c>
      <c r="E581" s="22" t="s">
        <v>199</v>
      </c>
      <c r="F581" s="30" t="s">
        <v>275</v>
      </c>
      <c r="G581" s="47" t="str">
        <f t="shared" si="25"/>
        <v>David</v>
      </c>
      <c r="H581" s="49" t="s">
        <v>295</v>
      </c>
      <c r="I581" s="49" t="s">
        <v>756</v>
      </c>
      <c r="J581" s="47" t="str">
        <f t="shared" si="27"/>
        <v>Sim</v>
      </c>
      <c r="K581" s="54">
        <v>45896.0</v>
      </c>
      <c r="L581" s="62"/>
      <c r="M581" s="32" t="s">
        <v>61</v>
      </c>
      <c r="N581" s="56">
        <v>0.012</v>
      </c>
      <c r="O581" s="23" t="s">
        <v>66</v>
      </c>
      <c r="P581" s="57">
        <v>0.0</v>
      </c>
      <c r="Q581" s="58" t="s">
        <v>3901</v>
      </c>
      <c r="R581" s="58"/>
      <c r="S581" s="32" t="s">
        <v>194</v>
      </c>
      <c r="T581" s="32" t="s">
        <v>7149</v>
      </c>
      <c r="U581" s="33" t="s">
        <v>7150</v>
      </c>
      <c r="V581" s="33" t="s">
        <v>7151</v>
      </c>
      <c r="W581" s="34">
        <v>33626.0</v>
      </c>
      <c r="X581" s="23" t="s">
        <v>199</v>
      </c>
      <c r="Y581" s="49" t="str">
        <f t="shared" si="22"/>
        <v>Ativo</v>
      </c>
      <c r="Z581" s="62"/>
      <c r="AA581" s="32" t="s">
        <v>107</v>
      </c>
      <c r="AB581" s="64"/>
      <c r="AC581" s="79"/>
      <c r="AD581" s="54"/>
      <c r="AE581" s="77"/>
      <c r="AF581" s="79"/>
      <c r="AG581" s="79"/>
      <c r="AH581" s="79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  <c r="BM581" s="65">
        <v>0.0</v>
      </c>
      <c r="BN581" s="65">
        <v>0.0</v>
      </c>
      <c r="BO581" s="65">
        <v>0.0</v>
      </c>
      <c r="BP581" s="65">
        <v>0.0</v>
      </c>
      <c r="BQ581" s="65">
        <v>0.0</v>
      </c>
      <c r="BR581" s="65">
        <v>0.0</v>
      </c>
      <c r="BS581" s="65">
        <v>0.0</v>
      </c>
      <c r="BT581" s="88">
        <v>0.0</v>
      </c>
      <c r="BU581" s="65">
        <v>0.0</v>
      </c>
      <c r="BV581" s="65">
        <v>0.0</v>
      </c>
      <c r="BW581" s="90">
        <v>0.0</v>
      </c>
      <c r="BX581" s="90">
        <v>0.0</v>
      </c>
      <c r="BY581" s="90" t="str">
        <f t="array" ref="BY581">XLOOKUP(C581,'PL TOTAL D0'!$A$3:$A$1991,'PL TOTAL D0'!$C$3:$C$1991,"")</f>
        <v/>
      </c>
    </row>
    <row r="582" ht="15.75" customHeight="1">
      <c r="A582" s="50" t="s">
        <v>24</v>
      </c>
      <c r="B582" s="50" t="s">
        <v>7153</v>
      </c>
      <c r="C582" s="94" t="s">
        <v>7154</v>
      </c>
      <c r="D582" s="30" t="s">
        <v>89</v>
      </c>
      <c r="E582" s="95" t="s">
        <v>91</v>
      </c>
      <c r="F582" s="81" t="s">
        <v>193</v>
      </c>
      <c r="G582" s="47" t="str">
        <f t="shared" si="25"/>
        <v>David</v>
      </c>
      <c r="H582" s="74" t="s">
        <v>183</v>
      </c>
      <c r="I582" s="74" t="s">
        <v>66</v>
      </c>
      <c r="J582" s="47" t="str">
        <f t="shared" si="27"/>
        <v>Não</v>
      </c>
      <c r="K582" s="97">
        <v>45043.0</v>
      </c>
      <c r="L582" s="62"/>
      <c r="M582" s="62" t="s">
        <v>4465</v>
      </c>
      <c r="N582" s="98">
        <v>0.02</v>
      </c>
      <c r="O582" s="23" t="s">
        <v>233</v>
      </c>
      <c r="P582" s="99">
        <v>0.2</v>
      </c>
      <c r="Q582" s="58"/>
      <c r="R582" s="635"/>
      <c r="S582" s="62" t="s">
        <v>194</v>
      </c>
      <c r="T582" s="32" t="s">
        <v>5754</v>
      </c>
      <c r="U582" s="33">
        <v>5.543996561111E12</v>
      </c>
      <c r="V582" s="33" t="s">
        <v>7159</v>
      </c>
      <c r="W582" s="34">
        <v>23096.0</v>
      </c>
      <c r="X582" s="23" t="s">
        <v>221</v>
      </c>
      <c r="Y582" s="49" t="str">
        <f t="shared" si="22"/>
        <v>Ativo</v>
      </c>
      <c r="Z582" s="62"/>
      <c r="AA582" s="62"/>
      <c r="AB582" s="64" t="s">
        <v>269</v>
      </c>
      <c r="AC582" s="79"/>
      <c r="AD582" s="54">
        <v>45043.0</v>
      </c>
      <c r="AE582" s="77">
        <v>4.9075100007802E13</v>
      </c>
      <c r="AF582" s="79"/>
      <c r="AG582" s="79"/>
      <c r="AH582" s="79"/>
      <c r="AI582" s="65">
        <v>0.0</v>
      </c>
      <c r="AJ582" s="65">
        <v>0.0</v>
      </c>
      <c r="AK582" s="65">
        <v>0.0</v>
      </c>
      <c r="AL582" s="65">
        <v>16010.84</v>
      </c>
      <c r="AM582" s="65">
        <v>107737.05</v>
      </c>
      <c r="AN582" s="65">
        <v>84997.63</v>
      </c>
      <c r="AO582" s="65">
        <v>83477.75</v>
      </c>
      <c r="AP582" s="65">
        <v>84810.25</v>
      </c>
      <c r="AQ582" s="65">
        <v>87027.22</v>
      </c>
      <c r="AR582" s="65">
        <v>89078.46</v>
      </c>
      <c r="AS582" s="65">
        <v>94239.27</v>
      </c>
      <c r="AT582" s="65">
        <v>97783.65</v>
      </c>
      <c r="AU582" s="65">
        <v>96678.81</v>
      </c>
      <c r="AV582" s="65">
        <v>97510.39</v>
      </c>
      <c r="AW582" s="65">
        <v>58668.22</v>
      </c>
      <c r="AX582" s="65">
        <v>56642.04</v>
      </c>
      <c r="AY582" s="65">
        <v>55531.87</v>
      </c>
      <c r="AZ582" s="65">
        <v>56727.02</v>
      </c>
      <c r="BA582" s="65">
        <v>59655.85</v>
      </c>
      <c r="BB582" s="65">
        <v>63107.65</v>
      </c>
      <c r="BC582" s="65">
        <v>55923.85</v>
      </c>
      <c r="BD582" s="65">
        <v>54446.55</v>
      </c>
      <c r="BE582" s="65">
        <v>53151.61</v>
      </c>
      <c r="BF582" s="65">
        <v>52910.6</v>
      </c>
      <c r="BG582" s="65">
        <v>55530.32</v>
      </c>
      <c r="BH582" s="65">
        <v>55610.99</v>
      </c>
      <c r="BI582" s="65">
        <v>57662.36</v>
      </c>
      <c r="BJ582" s="65">
        <v>35705.47</v>
      </c>
      <c r="BK582" s="65">
        <v>25784.46</v>
      </c>
      <c r="BL582" s="65">
        <v>26022.21</v>
      </c>
      <c r="BM582" s="65">
        <v>25007.12</v>
      </c>
      <c r="BN582" s="65">
        <v>26184.46</v>
      </c>
      <c r="BO582" s="65">
        <v>26936.65</v>
      </c>
      <c r="BP582" s="65">
        <v>27594.91</v>
      </c>
      <c r="BQ582" s="65">
        <v>28709.73</v>
      </c>
      <c r="BR582" s="65">
        <v>28440.94</v>
      </c>
      <c r="BS582" s="65">
        <v>30346.27</v>
      </c>
      <c r="BT582" s="88">
        <v>31938.36</v>
      </c>
      <c r="BU582" s="65">
        <v>523.85</v>
      </c>
      <c r="BV582" s="65">
        <v>523.94</v>
      </c>
      <c r="BW582" s="90">
        <v>373.94</v>
      </c>
      <c r="BX582" s="90">
        <v>373.94</v>
      </c>
      <c r="BY582" s="90" t="str">
        <f t="array" ref="BY582">XLOOKUP(C582,'PL TOTAL D0'!$A$3:$A$1991,'PL TOTAL D0'!$C$3:$C$1991,"")</f>
        <v/>
      </c>
    </row>
    <row r="583" ht="15.75" customHeight="1">
      <c r="A583" s="50" t="s">
        <v>24</v>
      </c>
      <c r="B583" s="43" t="s">
        <v>7161</v>
      </c>
      <c r="C583" s="94" t="s">
        <v>7162</v>
      </c>
      <c r="D583" s="30" t="s">
        <v>89</v>
      </c>
      <c r="E583" s="22" t="s">
        <v>91</v>
      </c>
      <c r="F583" s="30" t="s">
        <v>7163</v>
      </c>
      <c r="G583" s="47" t="str">
        <f t="shared" si="25"/>
        <v>David</v>
      </c>
      <c r="H583" s="49" t="s">
        <v>224</v>
      </c>
      <c r="I583" s="49" t="s">
        <v>66</v>
      </c>
      <c r="J583" s="47" t="str">
        <f t="shared" si="27"/>
        <v>Não</v>
      </c>
      <c r="K583" s="54">
        <v>45456.0</v>
      </c>
      <c r="L583" s="55">
        <v>45793.0</v>
      </c>
      <c r="M583" s="32" t="s">
        <v>34</v>
      </c>
      <c r="N583" s="56">
        <v>0.012</v>
      </c>
      <c r="O583" s="23" t="s">
        <v>35</v>
      </c>
      <c r="P583" s="57">
        <v>0.1</v>
      </c>
      <c r="Q583" s="58"/>
      <c r="R583" s="736" t="s">
        <v>610</v>
      </c>
      <c r="S583" s="32" t="s">
        <v>194</v>
      </c>
      <c r="T583" s="32" t="s">
        <v>7165</v>
      </c>
      <c r="U583" s="33" t="s">
        <v>268</v>
      </c>
      <c r="V583" s="33"/>
      <c r="W583" s="33" t="s">
        <v>268</v>
      </c>
      <c r="X583" s="23" t="s">
        <v>475</v>
      </c>
      <c r="Y583" s="49" t="str">
        <f t="shared" si="22"/>
        <v>Encerrado</v>
      </c>
      <c r="Z583" s="32"/>
      <c r="AA583" s="32" t="s">
        <v>47</v>
      </c>
      <c r="AB583" s="64" t="s">
        <v>269</v>
      </c>
      <c r="AC583" s="79"/>
      <c r="AD583" s="54">
        <v>45456.0</v>
      </c>
      <c r="AE583" s="77">
        <v>4.9075100015139E13</v>
      </c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65"/>
      <c r="AW583" s="65"/>
      <c r="AX583" s="65"/>
      <c r="AY583" s="65"/>
      <c r="AZ583" s="65">
        <v>402221.5</v>
      </c>
      <c r="BA583" s="65">
        <v>407035.3</v>
      </c>
      <c r="BB583" s="65">
        <v>411318.97</v>
      </c>
      <c r="BC583" s="65">
        <v>0.0</v>
      </c>
      <c r="BD583" s="65">
        <v>0.0</v>
      </c>
      <c r="BE583" s="65">
        <v>0.0</v>
      </c>
      <c r="BF583" s="65">
        <v>0.0</v>
      </c>
      <c r="BG583" s="65">
        <v>0.0</v>
      </c>
      <c r="BH583" s="65">
        <v>0.0</v>
      </c>
      <c r="BI583" s="65">
        <v>0.0</v>
      </c>
      <c r="BJ583" s="65">
        <v>0.0</v>
      </c>
      <c r="BK583" s="65">
        <v>0.0</v>
      </c>
      <c r="BL583" s="65">
        <v>0.0</v>
      </c>
      <c r="BM583" s="65">
        <v>0.0</v>
      </c>
      <c r="BN583" s="65">
        <v>0.0</v>
      </c>
      <c r="BO583" s="65">
        <v>0.0</v>
      </c>
      <c r="BP583" s="65">
        <v>0.0</v>
      </c>
      <c r="BQ583" s="65">
        <v>0.0</v>
      </c>
      <c r="BR583" s="65">
        <v>0.0</v>
      </c>
      <c r="BS583" s="65">
        <v>0.0</v>
      </c>
      <c r="BT583" s="88">
        <v>0.0</v>
      </c>
      <c r="BU583" s="65">
        <v>0.0</v>
      </c>
      <c r="BV583" s="65">
        <v>0.0</v>
      </c>
      <c r="BW583" s="90">
        <v>0.0</v>
      </c>
      <c r="BX583" s="90">
        <v>0.0</v>
      </c>
      <c r="BY583" s="90" t="str">
        <f t="array" ref="BY583">XLOOKUP(C583,'PL TOTAL D0'!$A$3:$A$1991,'PL TOTAL D0'!$C$3:$C$1991,"")</f>
        <v/>
      </c>
    </row>
    <row r="584" ht="15.75" customHeight="1">
      <c r="A584" s="50" t="s">
        <v>24</v>
      </c>
      <c r="B584" s="43" t="s">
        <v>7170</v>
      </c>
      <c r="C584" s="94" t="s">
        <v>2767</v>
      </c>
      <c r="D584" s="30" t="s">
        <v>89</v>
      </c>
      <c r="E584" s="95" t="s">
        <v>91</v>
      </c>
      <c r="F584" s="81" t="s">
        <v>193</v>
      </c>
      <c r="G584" s="47" t="str">
        <f t="shared" si="25"/>
        <v>Gabriel</v>
      </c>
      <c r="H584" s="49" t="s">
        <v>183</v>
      </c>
      <c r="I584" s="49" t="s">
        <v>66</v>
      </c>
      <c r="J584" s="47" t="str">
        <f t="shared" si="27"/>
        <v>Não</v>
      </c>
      <c r="K584" s="54">
        <v>45576.0</v>
      </c>
      <c r="L584" s="62"/>
      <c r="M584" s="32" t="s">
        <v>209</v>
      </c>
      <c r="N584" s="56">
        <v>0.015</v>
      </c>
      <c r="O584" s="23" t="s">
        <v>35</v>
      </c>
      <c r="P584" s="57">
        <v>0.1</v>
      </c>
      <c r="Q584" s="58"/>
      <c r="R584" s="635"/>
      <c r="S584" s="32" t="s">
        <v>194</v>
      </c>
      <c r="T584" s="32" t="s">
        <v>1070</v>
      </c>
      <c r="U584" s="33">
        <v>5.543999700063E12</v>
      </c>
      <c r="V584" s="33" t="s">
        <v>7173</v>
      </c>
      <c r="W584" s="34">
        <v>30187.0</v>
      </c>
      <c r="X584" s="23" t="s">
        <v>221</v>
      </c>
      <c r="Y584" s="49" t="str">
        <f t="shared" si="22"/>
        <v>Ativo</v>
      </c>
      <c r="Z584" s="62"/>
      <c r="AA584" s="32" t="s">
        <v>165</v>
      </c>
      <c r="AB584" s="64"/>
      <c r="AC584" s="79"/>
      <c r="AD584" s="54">
        <v>45576.0</v>
      </c>
      <c r="AE584" s="77">
        <v>4.90751000161E13</v>
      </c>
      <c r="AF584" s="79"/>
      <c r="AG584" s="79"/>
      <c r="AH584" s="79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>
        <v>510885.14</v>
      </c>
      <c r="BE584" s="65">
        <v>509065.4</v>
      </c>
      <c r="BF584" s="65">
        <v>509352.67</v>
      </c>
      <c r="BG584" s="65">
        <v>516663.07</v>
      </c>
      <c r="BH584" s="65">
        <v>521192.4</v>
      </c>
      <c r="BI584" s="65">
        <v>526033.61</v>
      </c>
      <c r="BJ584" s="65">
        <v>600364.09</v>
      </c>
      <c r="BK584" s="65">
        <v>654068.13</v>
      </c>
      <c r="BL584" s="65">
        <v>660357.85</v>
      </c>
      <c r="BM584" s="65">
        <v>664809.84</v>
      </c>
      <c r="BN584" s="65">
        <v>672405.4</v>
      </c>
      <c r="BO584" s="65">
        <v>680522.31</v>
      </c>
      <c r="BP584" s="65">
        <v>689075.0</v>
      </c>
      <c r="BQ584" s="65">
        <v>698375.3</v>
      </c>
      <c r="BR584" s="65">
        <v>704601.4</v>
      </c>
      <c r="BS584" s="65">
        <v>600147.6</v>
      </c>
      <c r="BT584" s="88">
        <v>602213.6</v>
      </c>
      <c r="BU584" s="65">
        <v>609567.7</v>
      </c>
      <c r="BV584" s="65">
        <v>763514.6</v>
      </c>
      <c r="BW584" s="90">
        <v>759441.6</v>
      </c>
      <c r="BX584" s="90">
        <v>790532.0</v>
      </c>
      <c r="BY584" s="90">
        <f t="array" ref="BY584">XLOOKUP(C584,'PL TOTAL D0'!$A$3:$A$1991,'PL TOTAL D0'!$C$3:$C$1991,"")</f>
        <v>775613.04</v>
      </c>
    </row>
    <row r="585" ht="15.75" customHeight="1">
      <c r="A585" s="50" t="s">
        <v>24</v>
      </c>
      <c r="B585" s="50" t="s">
        <v>7170</v>
      </c>
      <c r="C585" s="94" t="s">
        <v>7175</v>
      </c>
      <c r="D585" s="30" t="s">
        <v>89</v>
      </c>
      <c r="E585" s="95" t="s">
        <v>91</v>
      </c>
      <c r="F585" s="81" t="s">
        <v>193</v>
      </c>
      <c r="G585" s="47" t="str">
        <f t="shared" si="25"/>
        <v>David</v>
      </c>
      <c r="H585" s="49" t="s">
        <v>224</v>
      </c>
      <c r="I585" s="49" t="s">
        <v>66</v>
      </c>
      <c r="J585" s="47" t="str">
        <f t="shared" si="27"/>
        <v>Não</v>
      </c>
      <c r="K585" s="97">
        <v>45042.0</v>
      </c>
      <c r="L585" s="55">
        <v>45793.0</v>
      </c>
      <c r="M585" s="62" t="s">
        <v>209</v>
      </c>
      <c r="N585" s="98">
        <v>0.015</v>
      </c>
      <c r="O585" s="47" t="s">
        <v>35</v>
      </c>
      <c r="P585" s="99">
        <v>0.1</v>
      </c>
      <c r="Q585" s="58"/>
      <c r="R585" s="736" t="s">
        <v>610</v>
      </c>
      <c r="S585" s="62" t="s">
        <v>194</v>
      </c>
      <c r="T585" s="32" t="s">
        <v>1070</v>
      </c>
      <c r="U585" s="33" t="s">
        <v>268</v>
      </c>
      <c r="V585" s="33"/>
      <c r="W585" s="33" t="s">
        <v>268</v>
      </c>
      <c r="X585" s="23" t="s">
        <v>221</v>
      </c>
      <c r="Y585" s="49" t="str">
        <f t="shared" si="22"/>
        <v>Encerrado</v>
      </c>
      <c r="Z585" s="62"/>
      <c r="AA585" s="32" t="s">
        <v>165</v>
      </c>
      <c r="AB585" s="64" t="s">
        <v>269</v>
      </c>
      <c r="AC585" s="79"/>
      <c r="AD585" s="54">
        <v>45042.0</v>
      </c>
      <c r="AE585" s="77">
        <v>4.9075100008991E13</v>
      </c>
      <c r="AF585" s="79"/>
      <c r="AG585" s="79"/>
      <c r="AH585" s="79"/>
      <c r="AI585" s="65">
        <v>0.0</v>
      </c>
      <c r="AJ585" s="65">
        <v>0.0</v>
      </c>
      <c r="AK585" s="65">
        <v>0.0</v>
      </c>
      <c r="AL585" s="65">
        <v>423185.18</v>
      </c>
      <c r="AM585" s="65">
        <v>433492.38</v>
      </c>
      <c r="AN585" s="65">
        <v>450372.33</v>
      </c>
      <c r="AO585" s="65">
        <v>453576.53</v>
      </c>
      <c r="AP585" s="65">
        <v>488861.8</v>
      </c>
      <c r="AQ585" s="65">
        <v>491793.38</v>
      </c>
      <c r="AR585" s="65">
        <v>492271.0</v>
      </c>
      <c r="AS585" s="65">
        <v>502707.52</v>
      </c>
      <c r="AT585" s="65">
        <v>512479.56</v>
      </c>
      <c r="AU585" s="65">
        <v>504882.8</v>
      </c>
      <c r="AV585" s="65">
        <v>504794.79</v>
      </c>
      <c r="AW585" s="65">
        <v>510606.55</v>
      </c>
      <c r="AX585" s="65">
        <v>505960.57</v>
      </c>
      <c r="AY585" s="65">
        <v>503778.5</v>
      </c>
      <c r="AZ585" s="65">
        <v>506702.6</v>
      </c>
      <c r="BA585" s="65">
        <v>57810.97</v>
      </c>
      <c r="BB585" s="65">
        <v>0.0</v>
      </c>
      <c r="BC585" s="65">
        <v>0.0</v>
      </c>
      <c r="BD585" s="65">
        <v>0.0</v>
      </c>
      <c r="BE585" s="65">
        <v>0.0</v>
      </c>
      <c r="BF585" s="65">
        <v>0.0</v>
      </c>
      <c r="BG585" s="65">
        <v>0.0</v>
      </c>
      <c r="BH585" s="65">
        <v>0.0</v>
      </c>
      <c r="BI585" s="65">
        <v>0.0</v>
      </c>
      <c r="BJ585" s="65">
        <v>0.0</v>
      </c>
      <c r="BK585" s="65">
        <v>0.0</v>
      </c>
      <c r="BL585" s="65">
        <v>0.0</v>
      </c>
      <c r="BM585" s="65">
        <v>0.0</v>
      </c>
      <c r="BN585" s="65">
        <v>0.0</v>
      </c>
      <c r="BO585" s="65">
        <v>0.0</v>
      </c>
      <c r="BP585" s="65">
        <v>0.0</v>
      </c>
      <c r="BQ585" s="65">
        <v>0.0</v>
      </c>
      <c r="BR585" s="65">
        <v>0.0</v>
      </c>
      <c r="BS585" s="65">
        <v>0.0</v>
      </c>
      <c r="BT585" s="88">
        <v>0.0</v>
      </c>
      <c r="BU585" s="65">
        <v>0.0</v>
      </c>
      <c r="BV585" s="65">
        <v>0.0</v>
      </c>
      <c r="BW585" s="90">
        <v>0.0</v>
      </c>
      <c r="BX585" s="90">
        <v>0.0</v>
      </c>
      <c r="BY585" s="90" t="str">
        <f t="array" ref="BY585">XLOOKUP(C585,'PL TOTAL D0'!$A$3:$A$1991,'PL TOTAL D0'!$C$3:$C$1991,"")</f>
        <v/>
      </c>
    </row>
    <row r="586" ht="15.75" customHeight="1">
      <c r="A586" s="50" t="s">
        <v>24</v>
      </c>
      <c r="B586" s="50" t="s">
        <v>7185</v>
      </c>
      <c r="C586" s="94" t="s">
        <v>7186</v>
      </c>
      <c r="D586" s="81" t="s">
        <v>120</v>
      </c>
      <c r="E586" s="95" t="s">
        <v>199</v>
      </c>
      <c r="F586" s="30" t="s">
        <v>332</v>
      </c>
      <c r="G586" s="47" t="str">
        <f t="shared" si="25"/>
        <v>David</v>
      </c>
      <c r="H586" s="49" t="s">
        <v>295</v>
      </c>
      <c r="I586" s="49" t="s">
        <v>382</v>
      </c>
      <c r="J586" s="47" t="str">
        <f t="shared" si="27"/>
        <v>Não</v>
      </c>
      <c r="K586" s="97">
        <v>44959.0</v>
      </c>
      <c r="L586" s="62"/>
      <c r="M586" s="62" t="s">
        <v>390</v>
      </c>
      <c r="N586" s="98">
        <v>0.0</v>
      </c>
      <c r="O586" s="47" t="s">
        <v>66</v>
      </c>
      <c r="P586" s="99">
        <v>0.0</v>
      </c>
      <c r="Q586" s="58"/>
      <c r="R586" s="58" t="s">
        <v>7187</v>
      </c>
      <c r="S586" s="62" t="s">
        <v>194</v>
      </c>
      <c r="T586" s="32" t="s">
        <v>7189</v>
      </c>
      <c r="U586" s="33">
        <v>5.561981513833E12</v>
      </c>
      <c r="V586" s="33" t="s">
        <v>7190</v>
      </c>
      <c r="W586" s="34">
        <v>35293.0</v>
      </c>
      <c r="X586" s="23" t="s">
        <v>199</v>
      </c>
      <c r="Y586" s="49" t="str">
        <f t="shared" si="22"/>
        <v>Ativo</v>
      </c>
      <c r="Z586" s="62"/>
      <c r="AA586" s="62"/>
      <c r="AB586" s="64" t="s">
        <v>269</v>
      </c>
      <c r="AC586" s="79"/>
      <c r="AD586" s="54">
        <v>44959.0</v>
      </c>
      <c r="AE586" s="77">
        <v>4.907510001025E13</v>
      </c>
      <c r="AF586" s="79"/>
      <c r="AG586" s="79"/>
      <c r="AH586" s="79"/>
      <c r="AI586" s="65">
        <v>0.0</v>
      </c>
      <c r="AJ586" s="65">
        <v>1060.5</v>
      </c>
      <c r="AK586" s="65">
        <v>1594.06</v>
      </c>
      <c r="AL586" s="65">
        <v>2130.62</v>
      </c>
      <c r="AM586" s="65">
        <v>2151.04</v>
      </c>
      <c r="AN586" s="65">
        <v>3226.35</v>
      </c>
      <c r="AO586" s="65">
        <v>3764.58</v>
      </c>
      <c r="AP586" s="65">
        <v>4321.99</v>
      </c>
      <c r="AQ586" s="65">
        <v>4880.82</v>
      </c>
      <c r="AR586" s="65">
        <v>5969.88</v>
      </c>
      <c r="AS586" s="65">
        <v>0.0</v>
      </c>
      <c r="AT586" s="65">
        <v>0.0</v>
      </c>
      <c r="AU586" s="65">
        <v>0.0</v>
      </c>
      <c r="AV586" s="65">
        <v>0.15</v>
      </c>
      <c r="AW586" s="65">
        <v>0.15</v>
      </c>
      <c r="AX586" s="65">
        <v>0.15</v>
      </c>
      <c r="AY586" s="65">
        <v>0.15</v>
      </c>
      <c r="AZ586" s="65">
        <v>0.15</v>
      </c>
      <c r="BA586" s="65">
        <v>0.15</v>
      </c>
      <c r="BB586" s="65">
        <v>0.15</v>
      </c>
      <c r="BC586" s="65">
        <v>0.15</v>
      </c>
      <c r="BD586" s="65">
        <v>0.15</v>
      </c>
      <c r="BE586" s="65">
        <v>0.15</v>
      </c>
      <c r="BF586" s="65">
        <v>0.15</v>
      </c>
      <c r="BG586" s="65">
        <v>0.15</v>
      </c>
      <c r="BH586" s="65">
        <v>0.15</v>
      </c>
      <c r="BI586" s="65">
        <v>0.15</v>
      </c>
      <c r="BJ586" s="65">
        <v>0.0</v>
      </c>
      <c r="BK586" s="65">
        <v>0.0</v>
      </c>
      <c r="BL586" s="65">
        <v>0.0</v>
      </c>
      <c r="BM586" s="65">
        <v>0.0</v>
      </c>
      <c r="BN586" s="65">
        <v>0.0</v>
      </c>
      <c r="BO586" s="65">
        <v>0.0</v>
      </c>
      <c r="BP586" s="65">
        <v>0.0</v>
      </c>
      <c r="BQ586" s="65">
        <v>0.0</v>
      </c>
      <c r="BR586" s="65">
        <v>0.0</v>
      </c>
      <c r="BS586" s="65">
        <v>0.0</v>
      </c>
      <c r="BT586" s="88">
        <v>0.0</v>
      </c>
      <c r="BU586" s="65">
        <v>0.0</v>
      </c>
      <c r="BV586" s="65">
        <v>0.0</v>
      </c>
      <c r="BW586" s="90">
        <v>0.0</v>
      </c>
      <c r="BX586" s="90">
        <v>0.0</v>
      </c>
      <c r="BY586" s="90" t="str">
        <f t="array" ref="BY586">XLOOKUP(C586,'PL TOTAL D0'!$A$3:$A$1991,'PL TOTAL D0'!$C$3:$C$1991,"")</f>
        <v/>
      </c>
    </row>
    <row r="587" ht="15.75" customHeight="1">
      <c r="A587" s="50" t="s">
        <v>24</v>
      </c>
      <c r="B587" s="50" t="s">
        <v>7207</v>
      </c>
      <c r="C587" s="94" t="s">
        <v>3009</v>
      </c>
      <c r="D587" s="81" t="s">
        <v>120</v>
      </c>
      <c r="E587" s="95" t="s">
        <v>54</v>
      </c>
      <c r="F587" s="81" t="s">
        <v>125</v>
      </c>
      <c r="G587" s="47" t="str">
        <f t="shared" si="25"/>
        <v>Gabriel</v>
      </c>
      <c r="H587" s="74" t="s">
        <v>183</v>
      </c>
      <c r="I587" s="74" t="s">
        <v>66</v>
      </c>
      <c r="J587" s="47" t="str">
        <f t="shared" si="27"/>
        <v>Não</v>
      </c>
      <c r="K587" s="97">
        <v>44946.0</v>
      </c>
      <c r="L587" s="62"/>
      <c r="M587" s="62" t="s">
        <v>209</v>
      </c>
      <c r="N587" s="98">
        <v>0.015</v>
      </c>
      <c r="O587" s="47" t="s">
        <v>35</v>
      </c>
      <c r="P587" s="99">
        <v>0.1</v>
      </c>
      <c r="Q587" s="58"/>
      <c r="R587" s="810"/>
      <c r="S587" s="62" t="s">
        <v>194</v>
      </c>
      <c r="T587" s="32" t="s">
        <v>5547</v>
      </c>
      <c r="U587" s="33">
        <v>5.562981272709E12</v>
      </c>
      <c r="V587" s="33" t="s">
        <v>7211</v>
      </c>
      <c r="W587" s="34">
        <v>34069.0</v>
      </c>
      <c r="X587" s="23" t="s">
        <v>54</v>
      </c>
      <c r="Y587" s="49" t="str">
        <f t="shared" si="22"/>
        <v>Ativo</v>
      </c>
      <c r="Z587" s="62"/>
      <c r="AA587" s="62"/>
      <c r="AB587" s="64" t="s">
        <v>244</v>
      </c>
      <c r="AC587" s="79"/>
      <c r="AD587" s="54">
        <v>44946.0</v>
      </c>
      <c r="AE587" s="77">
        <v>4.9075100005923E13</v>
      </c>
      <c r="AF587" s="79"/>
      <c r="AG587" s="79"/>
      <c r="AH587" s="79"/>
      <c r="AI587" s="65">
        <v>108265.42</v>
      </c>
      <c r="AJ587" s="65">
        <v>124741.99</v>
      </c>
      <c r="AK587" s="65">
        <v>140217.14</v>
      </c>
      <c r="AL587" s="65">
        <v>144114.28</v>
      </c>
      <c r="AM587" s="65">
        <v>148461.24</v>
      </c>
      <c r="AN587" s="65">
        <v>153522.02</v>
      </c>
      <c r="AO587" s="65">
        <v>157547.3</v>
      </c>
      <c r="AP587" s="65">
        <v>166402.01</v>
      </c>
      <c r="AQ587" s="65">
        <v>168811.3</v>
      </c>
      <c r="AR587" s="65">
        <v>164502.06</v>
      </c>
      <c r="AS587" s="65">
        <v>203285.42</v>
      </c>
      <c r="AT587" s="65">
        <v>206882.78</v>
      </c>
      <c r="AU587" s="65">
        <v>204753.59</v>
      </c>
      <c r="AV587" s="65">
        <v>201508.77</v>
      </c>
      <c r="AW587" s="65">
        <v>204538.43</v>
      </c>
      <c r="AX587" s="65">
        <v>204516.88</v>
      </c>
      <c r="AY587" s="65">
        <v>205847.2</v>
      </c>
      <c r="AZ587" s="65">
        <v>208329.5</v>
      </c>
      <c r="BA587" s="65">
        <v>219619.0</v>
      </c>
      <c r="BB587" s="65">
        <v>224067.58</v>
      </c>
      <c r="BC587" s="65">
        <v>227827.74</v>
      </c>
      <c r="BD587" s="65">
        <v>228065.14</v>
      </c>
      <c r="BE587" s="65">
        <v>230005.1</v>
      </c>
      <c r="BF587" s="65">
        <v>232315.97</v>
      </c>
      <c r="BG587" s="65">
        <v>252168.61</v>
      </c>
      <c r="BH587" s="65">
        <v>254680.02</v>
      </c>
      <c r="BI587" s="65">
        <v>260731.88</v>
      </c>
      <c r="BJ587" s="65">
        <v>263648.51</v>
      </c>
      <c r="BK587" s="65">
        <v>237218.48</v>
      </c>
      <c r="BL587" s="65">
        <v>243466.41</v>
      </c>
      <c r="BM587" s="65">
        <v>248113.72</v>
      </c>
      <c r="BN587" s="65">
        <v>230974.4</v>
      </c>
      <c r="BO587" s="65">
        <v>233498.03</v>
      </c>
      <c r="BP587" s="65">
        <v>262819.4</v>
      </c>
      <c r="BQ587" s="65">
        <v>271580.5</v>
      </c>
      <c r="BR587" s="65">
        <v>294562.7</v>
      </c>
      <c r="BS587" s="65">
        <v>311872.0</v>
      </c>
      <c r="BT587" s="88">
        <v>315192.6</v>
      </c>
      <c r="BU587" s="65">
        <v>329398.0</v>
      </c>
      <c r="BV587" s="65">
        <v>335911.9</v>
      </c>
      <c r="BW587" s="90">
        <v>334138.9</v>
      </c>
      <c r="BX587" s="90">
        <v>346552.41</v>
      </c>
      <c r="BY587" s="90">
        <f t="array" ref="BY587">XLOOKUP(C587,'PL TOTAL D0'!$A$3:$A$1991,'PL TOTAL D0'!$C$3:$C$1991,"")</f>
        <v>348745.91</v>
      </c>
    </row>
    <row r="588" ht="15.75" customHeight="1">
      <c r="A588" s="50" t="s">
        <v>24</v>
      </c>
      <c r="B588" s="176" t="s">
        <v>5565</v>
      </c>
      <c r="C588" s="94" t="s">
        <v>7216</v>
      </c>
      <c r="D588" s="81" t="s">
        <v>120</v>
      </c>
      <c r="E588" s="95" t="s">
        <v>199</v>
      </c>
      <c r="F588" s="81" t="s">
        <v>1914</v>
      </c>
      <c r="G588" s="47" t="str">
        <f t="shared" si="25"/>
        <v>David</v>
      </c>
      <c r="H588" s="49" t="s">
        <v>224</v>
      </c>
      <c r="I588" s="49" t="s">
        <v>66</v>
      </c>
      <c r="J588" s="47" t="str">
        <f t="shared" si="27"/>
        <v>Não</v>
      </c>
      <c r="K588" s="97">
        <v>45020.0</v>
      </c>
      <c r="L588" s="121">
        <v>45940.0</v>
      </c>
      <c r="M588" s="62" t="s">
        <v>61</v>
      </c>
      <c r="N588" s="98">
        <v>0.012</v>
      </c>
      <c r="O588" s="47" t="s">
        <v>66</v>
      </c>
      <c r="P588" s="99">
        <v>0.0</v>
      </c>
      <c r="Q588" s="58"/>
      <c r="R588" s="812" t="s">
        <v>7220</v>
      </c>
      <c r="S588" s="62" t="s">
        <v>194</v>
      </c>
      <c r="T588" s="32" t="s">
        <v>5564</v>
      </c>
      <c r="U588" s="33" t="s">
        <v>268</v>
      </c>
      <c r="V588" s="33"/>
      <c r="W588" s="33" t="s">
        <v>268</v>
      </c>
      <c r="X588" s="23" t="s">
        <v>199</v>
      </c>
      <c r="Y588" s="49" t="str">
        <f t="shared" si="22"/>
        <v>Encerrado</v>
      </c>
      <c r="Z588" s="62"/>
      <c r="AA588" s="62"/>
      <c r="AB588" s="64" t="s">
        <v>269</v>
      </c>
      <c r="AC588" s="79"/>
      <c r="AD588" s="54">
        <v>45020.0</v>
      </c>
      <c r="AE588" s="77">
        <v>4.9075100008175E13</v>
      </c>
      <c r="AF588" s="79"/>
      <c r="AG588" s="79"/>
      <c r="AH588" s="79"/>
      <c r="AI588" s="79"/>
      <c r="AJ588" s="79"/>
      <c r="AK588" s="65">
        <v>4290.59</v>
      </c>
      <c r="AL588" s="65">
        <v>4346.31</v>
      </c>
      <c r="AM588" s="65">
        <v>4384.53</v>
      </c>
      <c r="AN588" s="65">
        <v>4422.04</v>
      </c>
      <c r="AO588" s="65">
        <v>4473.34</v>
      </c>
      <c r="AP588" s="65">
        <v>5.55</v>
      </c>
      <c r="AQ588" s="65">
        <v>5.55</v>
      </c>
      <c r="AR588" s="65">
        <v>5.55</v>
      </c>
      <c r="AS588" s="65">
        <v>5.55</v>
      </c>
      <c r="AT588" s="65">
        <v>5.55</v>
      </c>
      <c r="AU588" s="65">
        <v>5.55</v>
      </c>
      <c r="AV588" s="65">
        <v>5.55</v>
      </c>
      <c r="AW588" s="65">
        <v>5.55</v>
      </c>
      <c r="AX588" s="65">
        <v>5.55</v>
      </c>
      <c r="AY588" s="65">
        <v>5.55</v>
      </c>
      <c r="AZ588" s="65">
        <v>5.55</v>
      </c>
      <c r="BA588" s="65">
        <v>5.55</v>
      </c>
      <c r="BB588" s="65">
        <v>5.55</v>
      </c>
      <c r="BC588" s="65">
        <v>5.55</v>
      </c>
      <c r="BD588" s="65">
        <v>5.55</v>
      </c>
      <c r="BE588" s="65">
        <v>5.55</v>
      </c>
      <c r="BF588" s="65">
        <v>5.55</v>
      </c>
      <c r="BG588" s="65">
        <v>5.55</v>
      </c>
      <c r="BH588" s="65">
        <v>5.55</v>
      </c>
      <c r="BI588" s="65">
        <v>5.55</v>
      </c>
      <c r="BJ588" s="65">
        <v>0.0</v>
      </c>
      <c r="BK588" s="65">
        <v>0.0</v>
      </c>
      <c r="BL588" s="65">
        <v>0.0</v>
      </c>
      <c r="BM588" s="65">
        <v>0.0</v>
      </c>
      <c r="BN588" s="65">
        <v>0.0</v>
      </c>
      <c r="BO588" s="65">
        <v>0.0</v>
      </c>
      <c r="BP588" s="65">
        <v>0.0</v>
      </c>
      <c r="BQ588" s="65">
        <v>0.0</v>
      </c>
      <c r="BR588" s="65">
        <v>0.0</v>
      </c>
      <c r="BS588" s="65">
        <v>0.0</v>
      </c>
      <c r="BT588" s="88">
        <v>0.0</v>
      </c>
      <c r="BU588" s="65">
        <v>0.0</v>
      </c>
      <c r="BV588" s="65">
        <v>0.0</v>
      </c>
      <c r="BW588" s="90">
        <v>0.0</v>
      </c>
      <c r="BX588" s="90">
        <v>0.0</v>
      </c>
      <c r="BY588" s="90" t="str">
        <f t="array" ref="BY588">XLOOKUP(C588,'PL TOTAL D0'!$A$3:$A$1991,'PL TOTAL D0'!$C$3:$C$1991,"")</f>
        <v/>
      </c>
    </row>
    <row r="589" ht="15.75" customHeight="1">
      <c r="A589" s="50" t="s">
        <v>24</v>
      </c>
      <c r="B589" s="188" t="s">
        <v>7228</v>
      </c>
      <c r="C589" s="94" t="s">
        <v>7229</v>
      </c>
      <c r="D589" s="30" t="s">
        <v>120</v>
      </c>
      <c r="E589" s="22" t="s">
        <v>54</v>
      </c>
      <c r="F589" s="30" t="s">
        <v>125</v>
      </c>
      <c r="G589" s="47" t="str">
        <f t="shared" si="25"/>
        <v>David</v>
      </c>
      <c r="H589" s="49" t="s">
        <v>224</v>
      </c>
      <c r="I589" s="49" t="s">
        <v>66</v>
      </c>
      <c r="J589" s="47" t="str">
        <f t="shared" si="27"/>
        <v>Não</v>
      </c>
      <c r="K589" s="54">
        <v>45426.0</v>
      </c>
      <c r="L589" s="55">
        <v>45845.0</v>
      </c>
      <c r="M589" s="32" t="s">
        <v>61</v>
      </c>
      <c r="N589" s="56">
        <v>0.012</v>
      </c>
      <c r="O589" s="23" t="s">
        <v>66</v>
      </c>
      <c r="P589" s="57">
        <v>0.0</v>
      </c>
      <c r="Q589" s="58"/>
      <c r="R589" s="812" t="s">
        <v>610</v>
      </c>
      <c r="S589" s="32" t="s">
        <v>194</v>
      </c>
      <c r="T589" s="22" t="s">
        <v>7233</v>
      </c>
      <c r="U589" s="33">
        <v>6.4999610046E10</v>
      </c>
      <c r="V589" s="33" t="s">
        <v>7235</v>
      </c>
      <c r="W589" s="34">
        <v>34451.0</v>
      </c>
      <c r="X589" s="23" t="s">
        <v>54</v>
      </c>
      <c r="Y589" s="49" t="str">
        <f t="shared" si="22"/>
        <v>Encerrado</v>
      </c>
      <c r="Z589" s="32"/>
      <c r="AA589" s="32" t="s">
        <v>47</v>
      </c>
      <c r="AB589" s="64" t="s">
        <v>269</v>
      </c>
      <c r="AC589" s="79"/>
      <c r="AD589" s="54">
        <v>45426.0</v>
      </c>
      <c r="AE589" s="77">
        <v>4.9075100014566E13</v>
      </c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65"/>
      <c r="AW589" s="65"/>
      <c r="AX589" s="65"/>
      <c r="AY589" s="65">
        <v>0.0</v>
      </c>
      <c r="AZ589" s="65">
        <v>0.0</v>
      </c>
      <c r="BA589" s="65">
        <v>0.0</v>
      </c>
      <c r="BB589" s="65">
        <v>0.0</v>
      </c>
      <c r="BC589" s="65">
        <v>0.0</v>
      </c>
      <c r="BD589" s="65">
        <v>0.0</v>
      </c>
      <c r="BE589" s="65">
        <v>0.0</v>
      </c>
      <c r="BF589" s="65">
        <v>0.0</v>
      </c>
      <c r="BG589" s="65">
        <v>0.0</v>
      </c>
      <c r="BH589" s="65">
        <v>0.0</v>
      </c>
      <c r="BI589" s="65">
        <v>0.0</v>
      </c>
      <c r="BJ589" s="65">
        <v>0.0</v>
      </c>
      <c r="BK589" s="65">
        <v>0.0</v>
      </c>
      <c r="BL589" s="65">
        <v>0.0</v>
      </c>
      <c r="BM589" s="65">
        <v>0.0</v>
      </c>
      <c r="BN589" s="65">
        <v>0.0</v>
      </c>
      <c r="BO589" s="65">
        <v>0.0</v>
      </c>
      <c r="BP589" s="65">
        <v>0.0</v>
      </c>
      <c r="BQ589" s="65">
        <v>0.0</v>
      </c>
      <c r="BR589" s="65">
        <v>0.0</v>
      </c>
      <c r="BS589" s="65">
        <v>0.0</v>
      </c>
      <c r="BT589" s="88">
        <v>0.0</v>
      </c>
      <c r="BU589" s="65">
        <v>0.0</v>
      </c>
      <c r="BV589" s="65">
        <v>0.0</v>
      </c>
      <c r="BW589" s="90">
        <v>0.0</v>
      </c>
      <c r="BX589" s="90">
        <v>0.0</v>
      </c>
      <c r="BY589" s="90" t="str">
        <f t="array" ref="BY589">XLOOKUP(C589,'PL TOTAL D0'!$A$3:$A$1991,'PL TOTAL D0'!$C$3:$C$1991,"")</f>
        <v/>
      </c>
    </row>
    <row r="590" ht="15.75" customHeight="1">
      <c r="A590" s="50" t="s">
        <v>24</v>
      </c>
      <c r="B590" s="39" t="s">
        <v>1063</v>
      </c>
      <c r="C590" s="94" t="s">
        <v>2995</v>
      </c>
      <c r="D590" s="30" t="s">
        <v>53</v>
      </c>
      <c r="E590" s="22" t="s">
        <v>54</v>
      </c>
      <c r="F590" s="30" t="s">
        <v>507</v>
      </c>
      <c r="G590" s="47" t="str">
        <f t="shared" si="25"/>
        <v>Gabriel</v>
      </c>
      <c r="H590" s="49" t="s">
        <v>183</v>
      </c>
      <c r="I590" s="49" t="s">
        <v>66</v>
      </c>
      <c r="J590" s="47" t="str">
        <f t="shared" si="27"/>
        <v>Não</v>
      </c>
      <c r="K590" s="54">
        <v>45814.0</v>
      </c>
      <c r="L590" s="62"/>
      <c r="M590" s="32" t="s">
        <v>209</v>
      </c>
      <c r="N590" s="56">
        <v>0.015</v>
      </c>
      <c r="O590" s="23" t="s">
        <v>35</v>
      </c>
      <c r="P590" s="57">
        <v>0.1</v>
      </c>
      <c r="Q590" s="58"/>
      <c r="R590" s="812"/>
      <c r="S590" s="32" t="s">
        <v>194</v>
      </c>
      <c r="T590" s="32" t="s">
        <v>1077</v>
      </c>
      <c r="U590" s="33">
        <v>5.562993412365E12</v>
      </c>
      <c r="V590" s="33" t="s">
        <v>1078</v>
      </c>
      <c r="W590" s="34">
        <v>34523.0</v>
      </c>
      <c r="X590" s="23" t="s">
        <v>54</v>
      </c>
      <c r="Y590" s="49" t="str">
        <f t="shared" si="22"/>
        <v>Ativo</v>
      </c>
      <c r="Z590" s="62"/>
      <c r="AA590" s="32" t="s">
        <v>47</v>
      </c>
      <c r="AB590" s="64"/>
      <c r="AC590" s="79"/>
      <c r="AD590" s="54">
        <v>45838.0</v>
      </c>
      <c r="AE590" s="77">
        <v>4.9075100019053E13</v>
      </c>
      <c r="AF590" s="79"/>
      <c r="AG590" s="79"/>
      <c r="AH590" s="79"/>
      <c r="AI590" s="79"/>
      <c r="AJ590" s="79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65"/>
      <c r="BH590" s="65"/>
      <c r="BI590" s="65"/>
      <c r="BJ590" s="65"/>
      <c r="BK590" s="65"/>
      <c r="BL590" s="65">
        <v>0.0</v>
      </c>
      <c r="BM590" s="65">
        <v>297757.35</v>
      </c>
      <c r="BN590" s="65">
        <v>308469.6</v>
      </c>
      <c r="BO590" s="65">
        <v>332091.86</v>
      </c>
      <c r="BP590" s="65">
        <v>336529.5</v>
      </c>
      <c r="BQ590" s="65">
        <v>342378.7</v>
      </c>
      <c r="BR590" s="65">
        <v>346047.5</v>
      </c>
      <c r="BS590" s="65">
        <v>351833.76</v>
      </c>
      <c r="BT590" s="88">
        <v>355456.6</v>
      </c>
      <c r="BU590" s="65">
        <v>359830.4</v>
      </c>
      <c r="BV590" s="65">
        <v>361266.2</v>
      </c>
      <c r="BW590" s="90">
        <v>358629.8</v>
      </c>
      <c r="BX590" s="90">
        <v>375550.87</v>
      </c>
      <c r="BY590" s="90">
        <f t="array" ref="BY590">XLOOKUP(C590,'PL TOTAL D0'!$A$3:$A$1991,'PL TOTAL D0'!$C$3:$C$1991,"")</f>
        <v>366809.38</v>
      </c>
    </row>
    <row r="591" ht="15.75" customHeight="1">
      <c r="A591" s="50" t="s">
        <v>24</v>
      </c>
      <c r="B591" s="39" t="s">
        <v>7244</v>
      </c>
      <c r="C591" s="94" t="s">
        <v>7245</v>
      </c>
      <c r="D591" s="30" t="s">
        <v>120</v>
      </c>
      <c r="E591" s="22" t="s">
        <v>54</v>
      </c>
      <c r="F591" s="30" t="s">
        <v>125</v>
      </c>
      <c r="G591" s="47" t="str">
        <f t="shared" si="25"/>
        <v>David</v>
      </c>
      <c r="H591" s="49" t="s">
        <v>295</v>
      </c>
      <c r="I591" s="49" t="s">
        <v>382</v>
      </c>
      <c r="J591" s="47" t="str">
        <f t="shared" si="27"/>
        <v>Sim</v>
      </c>
      <c r="K591" s="54">
        <v>45904.0</v>
      </c>
      <c r="L591" s="62"/>
      <c r="M591" s="32" t="s">
        <v>61</v>
      </c>
      <c r="N591" s="56">
        <v>0.012</v>
      </c>
      <c r="O591" s="23" t="s">
        <v>66</v>
      </c>
      <c r="P591" s="57">
        <v>0.0</v>
      </c>
      <c r="Q591" s="58" t="s">
        <v>7246</v>
      </c>
      <c r="R591" s="812"/>
      <c r="S591" s="32" t="s">
        <v>194</v>
      </c>
      <c r="T591" s="32" t="s">
        <v>7247</v>
      </c>
      <c r="U591" s="33" t="s">
        <v>7248</v>
      </c>
      <c r="V591" s="33" t="s">
        <v>7249</v>
      </c>
      <c r="W591" s="34">
        <v>34754.0</v>
      </c>
      <c r="X591" s="23" t="s">
        <v>54</v>
      </c>
      <c r="Y591" s="49" t="str">
        <f t="shared" si="22"/>
        <v>Ativo</v>
      </c>
      <c r="Z591" s="62"/>
      <c r="AA591" s="32" t="s">
        <v>47</v>
      </c>
      <c r="AB591" s="64"/>
      <c r="AC591" s="79"/>
      <c r="AD591" s="54"/>
      <c r="AE591" s="77"/>
      <c r="AF591" s="79"/>
      <c r="AG591" s="79"/>
      <c r="AH591" s="79"/>
      <c r="AI591" s="79"/>
      <c r="AJ591" s="79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65"/>
      <c r="BH591" s="65"/>
      <c r="BI591" s="65"/>
      <c r="BJ591" s="65"/>
      <c r="BK591" s="65"/>
      <c r="BL591" s="65"/>
      <c r="BM591" s="65"/>
      <c r="BN591" s="65">
        <v>0.0</v>
      </c>
      <c r="BO591" s="65">
        <v>0.0</v>
      </c>
      <c r="BP591" s="65">
        <v>0.0</v>
      </c>
      <c r="BQ591" s="65">
        <v>0.0</v>
      </c>
      <c r="BR591" s="65">
        <v>0.0</v>
      </c>
      <c r="BS591" s="65">
        <v>0.0</v>
      </c>
      <c r="BT591" s="88">
        <v>0.0</v>
      </c>
      <c r="BU591" s="65">
        <v>0.0</v>
      </c>
      <c r="BV591" s="65">
        <v>0.0</v>
      </c>
      <c r="BW591" s="90">
        <v>0.0</v>
      </c>
      <c r="BX591" s="90">
        <v>0.0</v>
      </c>
      <c r="BY591" s="90" t="str">
        <f t="array" ref="BY591">XLOOKUP(C591,'PL TOTAL D0'!$A$3:$A$1991,'PL TOTAL D0'!$C$3:$C$1991,"")</f>
        <v/>
      </c>
    </row>
    <row r="592" ht="15.75" customHeight="1">
      <c r="A592" s="50" t="s">
        <v>24</v>
      </c>
      <c r="B592" s="50" t="s">
        <v>7251</v>
      </c>
      <c r="C592" s="94" t="s">
        <v>7252</v>
      </c>
      <c r="D592" s="30" t="s">
        <v>255</v>
      </c>
      <c r="E592" s="95" t="s">
        <v>199</v>
      </c>
      <c r="F592" s="30" t="s">
        <v>257</v>
      </c>
      <c r="G592" s="47" t="str">
        <f t="shared" si="25"/>
        <v>David</v>
      </c>
      <c r="H592" s="49" t="s">
        <v>224</v>
      </c>
      <c r="I592" s="49" t="s">
        <v>66</v>
      </c>
      <c r="J592" s="47" t="str">
        <f t="shared" si="27"/>
        <v>Não</v>
      </c>
      <c r="K592" s="97">
        <v>44998.0</v>
      </c>
      <c r="L592" s="55">
        <v>45559.0</v>
      </c>
      <c r="M592" s="62" t="s">
        <v>361</v>
      </c>
      <c r="N592" s="98">
        <v>0.02</v>
      </c>
      <c r="O592" s="47" t="s">
        <v>35</v>
      </c>
      <c r="P592" s="99">
        <v>0.2</v>
      </c>
      <c r="Q592" s="58"/>
      <c r="R592" s="635"/>
      <c r="S592" s="62" t="s">
        <v>194</v>
      </c>
      <c r="T592" s="32" t="s">
        <v>5585</v>
      </c>
      <c r="U592" s="33" t="s">
        <v>268</v>
      </c>
      <c r="V592" s="33"/>
      <c r="W592" s="33" t="s">
        <v>268</v>
      </c>
      <c r="X592" s="23" t="s">
        <v>199</v>
      </c>
      <c r="Y592" s="49" t="str">
        <f t="shared" si="22"/>
        <v>Encerrado</v>
      </c>
      <c r="Z592" s="62"/>
      <c r="AA592" s="62"/>
      <c r="AB592" s="64" t="s">
        <v>2099</v>
      </c>
      <c r="AC592" s="79"/>
      <c r="AD592" s="54">
        <v>44998.0</v>
      </c>
      <c r="AE592" s="77">
        <v>4.9075100009521E13</v>
      </c>
      <c r="AF592" s="79"/>
      <c r="AG592" s="79"/>
      <c r="AH592" s="79"/>
      <c r="AI592" s="65">
        <v>0.0</v>
      </c>
      <c r="AJ592" s="65">
        <v>0.0</v>
      </c>
      <c r="AK592" s="65">
        <v>155653.14</v>
      </c>
      <c r="AL592" s="65">
        <v>793813.54</v>
      </c>
      <c r="AM592" s="65">
        <v>804596.25</v>
      </c>
      <c r="AN592" s="65">
        <v>870034.71</v>
      </c>
      <c r="AO592" s="65">
        <v>888211.88</v>
      </c>
      <c r="AP592" s="65">
        <v>866431.26</v>
      </c>
      <c r="AQ592" s="65">
        <v>866906.14</v>
      </c>
      <c r="AR592" s="65">
        <v>856971.53</v>
      </c>
      <c r="AS592" s="65">
        <v>884834.02</v>
      </c>
      <c r="AT592" s="65">
        <v>907780.95</v>
      </c>
      <c r="AU592" s="65">
        <v>885576.29</v>
      </c>
      <c r="AV592" s="65">
        <v>894205.06</v>
      </c>
      <c r="AW592" s="65">
        <v>904444.35</v>
      </c>
      <c r="AX592" s="65">
        <v>887189.53</v>
      </c>
      <c r="AY592" s="65">
        <v>877497.5</v>
      </c>
      <c r="AZ592" s="65">
        <v>880240.9</v>
      </c>
      <c r="BA592" s="65">
        <v>899696.5</v>
      </c>
      <c r="BB592" s="65">
        <v>912475.37</v>
      </c>
      <c r="BC592" s="65">
        <v>0.0</v>
      </c>
      <c r="BD592" s="65">
        <v>0.0</v>
      </c>
      <c r="BE592" s="65">
        <v>0.0</v>
      </c>
      <c r="BF592" s="65">
        <v>0.0</v>
      </c>
      <c r="BG592" s="65">
        <v>0.0</v>
      </c>
      <c r="BH592" s="65">
        <v>0.0</v>
      </c>
      <c r="BI592" s="65">
        <v>0.0</v>
      </c>
      <c r="BJ592" s="65">
        <v>0.0</v>
      </c>
      <c r="BK592" s="65">
        <v>0.0</v>
      </c>
      <c r="BL592" s="65">
        <v>0.0</v>
      </c>
      <c r="BM592" s="65">
        <v>0.0</v>
      </c>
      <c r="BN592" s="65">
        <v>0.0</v>
      </c>
      <c r="BO592" s="65">
        <v>0.0</v>
      </c>
      <c r="BP592" s="65">
        <v>0.0</v>
      </c>
      <c r="BQ592" s="65">
        <v>0.0</v>
      </c>
      <c r="BR592" s="65">
        <v>0.0</v>
      </c>
      <c r="BS592" s="65">
        <v>0.0</v>
      </c>
      <c r="BT592" s="88">
        <v>0.0</v>
      </c>
      <c r="BU592" s="65">
        <v>0.0</v>
      </c>
      <c r="BV592" s="65">
        <v>0.0</v>
      </c>
      <c r="BW592" s="90">
        <v>0.0</v>
      </c>
      <c r="BX592" s="90">
        <v>0.0</v>
      </c>
      <c r="BY592" s="90" t="str">
        <f t="array" ref="BY592">XLOOKUP(C592,'PL TOTAL D0'!$A$3:$A$1991,'PL TOTAL D0'!$C$3:$C$1991,"")</f>
        <v/>
      </c>
    </row>
    <row r="593" ht="15.75" customHeight="1">
      <c r="A593" s="50" t="s">
        <v>24</v>
      </c>
      <c r="B593" s="43" t="s">
        <v>7254</v>
      </c>
      <c r="C593" s="53" t="s">
        <v>3487</v>
      </c>
      <c r="D593" s="30" t="s">
        <v>3843</v>
      </c>
      <c r="E593" s="22" t="s">
        <v>54</v>
      </c>
      <c r="F593" s="30" t="s">
        <v>3844</v>
      </c>
      <c r="G593" s="47" t="str">
        <f t="shared" si="25"/>
        <v>David</v>
      </c>
      <c r="H593" s="49" t="s">
        <v>183</v>
      </c>
      <c r="I593" s="49" t="s">
        <v>66</v>
      </c>
      <c r="J593" s="47" t="str">
        <f t="shared" si="27"/>
        <v>Não</v>
      </c>
      <c r="K593" s="54">
        <v>46135.0</v>
      </c>
      <c r="L593" s="55"/>
      <c r="M593" s="32" t="s">
        <v>61</v>
      </c>
      <c r="N593" s="56">
        <v>0.012</v>
      </c>
      <c r="O593" s="23" t="s">
        <v>66</v>
      </c>
      <c r="P593" s="57">
        <v>0.0</v>
      </c>
      <c r="Q593" s="58"/>
      <c r="R593" s="635"/>
      <c r="S593" s="32" t="s">
        <v>194</v>
      </c>
      <c r="T593" s="32" t="s">
        <v>7255</v>
      </c>
      <c r="U593" s="33" t="s">
        <v>7256</v>
      </c>
      <c r="V593" s="33" t="s">
        <v>7257</v>
      </c>
      <c r="W593" s="48">
        <v>25001.0</v>
      </c>
      <c r="X593" s="23" t="s">
        <v>54</v>
      </c>
      <c r="Y593" s="49" t="str">
        <f t="shared" si="22"/>
        <v>Ativo</v>
      </c>
      <c r="Z593" s="62"/>
      <c r="AA593" s="32" t="s">
        <v>107</v>
      </c>
      <c r="AB593" s="64"/>
      <c r="AC593" s="79"/>
      <c r="AD593" s="54">
        <v>46203.0</v>
      </c>
      <c r="AE593" s="77"/>
      <c r="AF593" s="79"/>
      <c r="AG593" s="79"/>
      <c r="AH593" s="79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  <c r="BE593" s="65"/>
      <c r="BF593" s="65"/>
      <c r="BG593" s="65"/>
      <c r="BH593" s="65"/>
      <c r="BI593" s="65"/>
      <c r="BJ593" s="65"/>
      <c r="BK593" s="65"/>
      <c r="BL593" s="65"/>
      <c r="BM593" s="65"/>
      <c r="BN593" s="65"/>
      <c r="BO593" s="65"/>
      <c r="BP593" s="65"/>
      <c r="BQ593" s="65"/>
      <c r="BR593" s="65"/>
      <c r="BS593" s="65"/>
      <c r="BT593" s="88"/>
      <c r="BU593" s="65"/>
      <c r="BV593" s="65">
        <v>34001.0</v>
      </c>
      <c r="BW593" s="90">
        <v>34366.47</v>
      </c>
      <c r="BX593" s="90">
        <v>34739.21</v>
      </c>
      <c r="BY593" s="90">
        <f t="array" ref="BY593">XLOOKUP(C593,'PL TOTAL D0'!$A$3:$A$1991,'PL TOTAL D0'!$C$3:$C$1991,"")</f>
        <v>35153.89</v>
      </c>
    </row>
    <row r="594" ht="15.75" customHeight="1">
      <c r="A594" s="50" t="s">
        <v>24</v>
      </c>
      <c r="B594" s="368" t="s">
        <v>7262</v>
      </c>
      <c r="C594" s="94" t="s">
        <v>3507</v>
      </c>
      <c r="D594" s="30" t="s">
        <v>89</v>
      </c>
      <c r="E594" s="95" t="s">
        <v>91</v>
      </c>
      <c r="F594" s="81" t="s">
        <v>193</v>
      </c>
      <c r="G594" s="47" t="str">
        <f t="shared" si="25"/>
        <v>David</v>
      </c>
      <c r="H594" s="49" t="s">
        <v>183</v>
      </c>
      <c r="I594" s="49" t="s">
        <v>66</v>
      </c>
      <c r="J594" s="47" t="str">
        <f t="shared" si="27"/>
        <v>Não</v>
      </c>
      <c r="K594" s="97">
        <v>45230.0</v>
      </c>
      <c r="L594" s="62"/>
      <c r="M594" s="62" t="s">
        <v>34</v>
      </c>
      <c r="N594" s="98">
        <v>0.012</v>
      </c>
      <c r="O594" s="47" t="s">
        <v>35</v>
      </c>
      <c r="P594" s="99">
        <v>0.1</v>
      </c>
      <c r="Q594" s="58"/>
      <c r="R594" s="635"/>
      <c r="S594" s="62" t="s">
        <v>194</v>
      </c>
      <c r="T594" s="32" t="s">
        <v>7265</v>
      </c>
      <c r="U594" s="33">
        <v>5.543996721666E12</v>
      </c>
      <c r="V594" s="33" t="s">
        <v>7266</v>
      </c>
      <c r="W594" s="48">
        <v>31740.0</v>
      </c>
      <c r="X594" s="23" t="s">
        <v>221</v>
      </c>
      <c r="Y594" s="49" t="str">
        <f t="shared" si="22"/>
        <v>Ativo</v>
      </c>
      <c r="Z594" s="62"/>
      <c r="AA594" s="62"/>
      <c r="AB594" s="64" t="s">
        <v>269</v>
      </c>
      <c r="AC594" s="79"/>
      <c r="AD594" s="54">
        <v>45230.0</v>
      </c>
      <c r="AE594" s="77">
        <v>4.9075100012504E13</v>
      </c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65">
        <v>0.0</v>
      </c>
      <c r="AS594" s="65">
        <v>0.0</v>
      </c>
      <c r="AT594" s="65">
        <v>0.0</v>
      </c>
      <c r="AU594" s="65">
        <v>100558.71</v>
      </c>
      <c r="AV594" s="65">
        <v>101436.11</v>
      </c>
      <c r="AW594" s="65">
        <v>102329.32</v>
      </c>
      <c r="AX594" s="65">
        <v>102208.11</v>
      </c>
      <c r="AY594" s="65">
        <v>102489.2</v>
      </c>
      <c r="AZ594" s="65">
        <v>102914.9</v>
      </c>
      <c r="BA594" s="65">
        <v>104071.6</v>
      </c>
      <c r="BB594" s="65">
        <v>24496.09</v>
      </c>
      <c r="BC594" s="65">
        <v>24584.26</v>
      </c>
      <c r="BD594" s="65">
        <v>24779.37</v>
      </c>
      <c r="BE594" s="65">
        <v>24915.98</v>
      </c>
      <c r="BF594" s="65">
        <v>25066.45</v>
      </c>
      <c r="BG594" s="65">
        <v>25100.49</v>
      </c>
      <c r="BH594" s="65">
        <v>25346.01</v>
      </c>
      <c r="BI594" s="65">
        <v>25555.52</v>
      </c>
      <c r="BJ594" s="65">
        <v>25799.67</v>
      </c>
      <c r="BK594" s="65">
        <v>25941.25</v>
      </c>
      <c r="BL594" s="65">
        <v>26108.69</v>
      </c>
      <c r="BM594" s="65">
        <v>26415.19</v>
      </c>
      <c r="BN594" s="65">
        <v>26660.53</v>
      </c>
      <c r="BO594" s="65">
        <v>26973.0</v>
      </c>
      <c r="BP594" s="65">
        <v>27273.98</v>
      </c>
      <c r="BQ594" s="65">
        <v>27360.44</v>
      </c>
      <c r="BR594" s="65">
        <v>27569.37</v>
      </c>
      <c r="BS594" s="65">
        <v>27867.33</v>
      </c>
      <c r="BT594" s="88">
        <v>28136.82</v>
      </c>
      <c r="BU594" s="65">
        <v>28211.09</v>
      </c>
      <c r="BV594" s="65">
        <v>28386.86</v>
      </c>
      <c r="BW594" s="90">
        <v>28333.16</v>
      </c>
      <c r="BX594" s="90">
        <v>28497.76</v>
      </c>
      <c r="BY594" s="90">
        <f t="array" ref="BY594">XLOOKUP(C594,'PL TOTAL D0'!$A$3:$A$1991,'PL TOTAL D0'!$C$3:$C$1991,"")</f>
        <v>28801.4</v>
      </c>
    </row>
    <row r="595" ht="15.75" customHeight="1">
      <c r="A595" s="50" t="s">
        <v>24</v>
      </c>
      <c r="B595" s="50" t="s">
        <v>7268</v>
      </c>
      <c r="C595" s="94" t="s">
        <v>7269</v>
      </c>
      <c r="D595" s="81" t="s">
        <v>120</v>
      </c>
      <c r="E595" s="95" t="s">
        <v>54</v>
      </c>
      <c r="F595" s="81" t="s">
        <v>348</v>
      </c>
      <c r="G595" s="47" t="str">
        <f t="shared" si="25"/>
        <v>David</v>
      </c>
      <c r="H595" s="74" t="s">
        <v>295</v>
      </c>
      <c r="I595" s="49" t="s">
        <v>756</v>
      </c>
      <c r="J595" s="47" t="str">
        <f t="shared" si="27"/>
        <v>Não</v>
      </c>
      <c r="K595" s="97">
        <v>45166.0</v>
      </c>
      <c r="L595" s="189"/>
      <c r="M595" s="62" t="s">
        <v>61</v>
      </c>
      <c r="N595" s="98">
        <v>0.012</v>
      </c>
      <c r="O595" s="47" t="s">
        <v>66</v>
      </c>
      <c r="P595" s="99">
        <v>0.0</v>
      </c>
      <c r="Q595" s="58"/>
      <c r="R595" s="635"/>
      <c r="S595" s="62" t="s">
        <v>194</v>
      </c>
      <c r="T595" s="32" t="s">
        <v>7270</v>
      </c>
      <c r="U595" s="33">
        <v>5.562982083322E12</v>
      </c>
      <c r="V595" s="33" t="s">
        <v>7271</v>
      </c>
      <c r="W595" s="34">
        <v>32974.0</v>
      </c>
      <c r="X595" s="23" t="s">
        <v>54</v>
      </c>
      <c r="Y595" s="49" t="str">
        <f t="shared" si="22"/>
        <v>Inativo</v>
      </c>
      <c r="Z595" s="62"/>
      <c r="AA595" s="62"/>
      <c r="AB595" s="64" t="s">
        <v>269</v>
      </c>
      <c r="AC595" s="79"/>
      <c r="AD595" s="54">
        <v>45166.0</v>
      </c>
      <c r="AE595" s="77">
        <v>4.9075100011508E13</v>
      </c>
      <c r="AF595" s="79"/>
      <c r="AG595" s="79"/>
      <c r="AH595" s="79"/>
      <c r="AI595" s="79"/>
      <c r="AJ595" s="79"/>
      <c r="AK595" s="79"/>
      <c r="AL595" s="65">
        <v>0.0</v>
      </c>
      <c r="AM595" s="65">
        <v>0.0</v>
      </c>
      <c r="AN595" s="65">
        <v>0.0</v>
      </c>
      <c r="AO595" s="65">
        <v>0.0</v>
      </c>
      <c r="AP595" s="65">
        <v>0.0</v>
      </c>
      <c r="AQ595" s="65">
        <v>0.0</v>
      </c>
      <c r="AR595" s="65">
        <v>0.0</v>
      </c>
      <c r="AS595" s="65">
        <v>0.0</v>
      </c>
      <c r="AT595" s="65">
        <v>0.0</v>
      </c>
      <c r="AU595" s="65">
        <v>0.0</v>
      </c>
      <c r="AV595" s="65">
        <v>0.0</v>
      </c>
      <c r="AW595" s="65">
        <v>0.0</v>
      </c>
      <c r="AX595" s="65">
        <v>0.0</v>
      </c>
      <c r="AY595" s="65">
        <v>0.0</v>
      </c>
      <c r="AZ595" s="65">
        <v>0.0</v>
      </c>
      <c r="BA595" s="65">
        <v>0.0</v>
      </c>
      <c r="BB595" s="65">
        <v>0.0</v>
      </c>
      <c r="BC595" s="65">
        <v>0.0</v>
      </c>
      <c r="BD595" s="65">
        <v>0.0</v>
      </c>
      <c r="BE595" s="65">
        <v>0.0</v>
      </c>
      <c r="BF595" s="65">
        <v>0.0</v>
      </c>
      <c r="BG595" s="65">
        <v>0.0</v>
      </c>
      <c r="BH595" s="65">
        <v>0.0</v>
      </c>
      <c r="BI595" s="65">
        <v>0.0</v>
      </c>
      <c r="BJ595" s="65">
        <v>0.0</v>
      </c>
      <c r="BK595" s="65">
        <v>0.0</v>
      </c>
      <c r="BL595" s="65">
        <v>0.0</v>
      </c>
      <c r="BM595" s="65">
        <v>0.0</v>
      </c>
      <c r="BN595" s="65">
        <v>0.0</v>
      </c>
      <c r="BO595" s="65">
        <v>0.0</v>
      </c>
      <c r="BP595" s="65">
        <v>0.0</v>
      </c>
      <c r="BQ595" s="65">
        <v>0.0</v>
      </c>
      <c r="BR595" s="65">
        <v>0.0</v>
      </c>
      <c r="BS595" s="65">
        <v>0.0</v>
      </c>
      <c r="BT595" s="88">
        <v>0.0</v>
      </c>
      <c r="BU595" s="65">
        <v>0.0</v>
      </c>
      <c r="BV595" s="65">
        <v>0.0</v>
      </c>
      <c r="BW595" s="90">
        <v>0.0</v>
      </c>
      <c r="BX595" s="90">
        <v>0.0</v>
      </c>
      <c r="BY595" s="90" t="str">
        <f t="array" ref="BY595">XLOOKUP(C595,'PL TOTAL D0'!$A$3:$A$1991,'PL TOTAL D0'!$C$3:$C$1991,"")</f>
        <v/>
      </c>
    </row>
    <row r="596" ht="15.75" customHeight="1">
      <c r="A596" s="50" t="s">
        <v>24</v>
      </c>
      <c r="B596" s="43" t="s">
        <v>7274</v>
      </c>
      <c r="C596" s="94" t="s">
        <v>2796</v>
      </c>
      <c r="D596" s="30" t="s">
        <v>142</v>
      </c>
      <c r="E596" s="22" t="s">
        <v>54</v>
      </c>
      <c r="F596" s="30" t="s">
        <v>158</v>
      </c>
      <c r="G596" s="47" t="str">
        <f t="shared" si="25"/>
        <v>Gabriel</v>
      </c>
      <c r="H596" s="49" t="s">
        <v>183</v>
      </c>
      <c r="I596" s="49" t="s">
        <v>66</v>
      </c>
      <c r="J596" s="47" t="str">
        <f t="shared" si="27"/>
        <v>Não</v>
      </c>
      <c r="K596" s="54">
        <v>45475.0</v>
      </c>
      <c r="L596" s="189"/>
      <c r="M596" s="32" t="s">
        <v>61</v>
      </c>
      <c r="N596" s="56">
        <v>0.012</v>
      </c>
      <c r="O596" s="23" t="s">
        <v>66</v>
      </c>
      <c r="P596" s="57">
        <v>0.0</v>
      </c>
      <c r="Q596" s="58"/>
      <c r="R596" s="635"/>
      <c r="S596" s="32" t="s">
        <v>194</v>
      </c>
      <c r="T596" s="32" t="s">
        <v>7276</v>
      </c>
      <c r="U596" s="33">
        <v>5.5619812638E12</v>
      </c>
      <c r="V596" s="33" t="s">
        <v>7277</v>
      </c>
      <c r="W596" s="34">
        <v>30512.0</v>
      </c>
      <c r="X596" s="23" t="s">
        <v>54</v>
      </c>
      <c r="Y596" s="49" t="str">
        <f t="shared" si="22"/>
        <v>Ativo</v>
      </c>
      <c r="Z596" s="32"/>
      <c r="AA596" s="32" t="s">
        <v>47</v>
      </c>
      <c r="AB596" s="64" t="s">
        <v>269</v>
      </c>
      <c r="AC596" s="79"/>
      <c r="AD596" s="54">
        <v>45475.0</v>
      </c>
      <c r="AE596" s="77">
        <v>4.9075100015384E13</v>
      </c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65"/>
      <c r="AW596" s="65"/>
      <c r="AX596" s="65"/>
      <c r="AY596" s="65"/>
      <c r="AZ596" s="65"/>
      <c r="BA596" s="65">
        <v>485789.6</v>
      </c>
      <c r="BB596" s="65">
        <v>400460.43</v>
      </c>
      <c r="BC596" s="65">
        <v>526563.0</v>
      </c>
      <c r="BD596" s="65">
        <v>530202.47</v>
      </c>
      <c r="BE596" s="65">
        <v>537845.86</v>
      </c>
      <c r="BF596" s="65">
        <v>539728.71</v>
      </c>
      <c r="BG596" s="65">
        <v>546457.57</v>
      </c>
      <c r="BH596" s="65">
        <v>546033.18</v>
      </c>
      <c r="BI596" s="65">
        <v>542720.66</v>
      </c>
      <c r="BJ596" s="65">
        <v>541535.3</v>
      </c>
      <c r="BK596" s="65">
        <v>554422.23</v>
      </c>
      <c r="BL596" s="65">
        <v>568415.99</v>
      </c>
      <c r="BM596" s="65">
        <v>585944.46</v>
      </c>
      <c r="BN596" s="65">
        <v>596094.6</v>
      </c>
      <c r="BO596" s="65">
        <v>606771.77</v>
      </c>
      <c r="BP596" s="65">
        <v>628430.6</v>
      </c>
      <c r="BQ596" s="65">
        <v>626021.8</v>
      </c>
      <c r="BR596" s="65">
        <v>634955.9</v>
      </c>
      <c r="BS596" s="65">
        <v>643539.04</v>
      </c>
      <c r="BT596" s="88">
        <v>645010.4</v>
      </c>
      <c r="BU596" s="65">
        <v>610583.5</v>
      </c>
      <c r="BV596" s="65">
        <v>664737.1</v>
      </c>
      <c r="BW596" s="90">
        <v>693466.5</v>
      </c>
      <c r="BX596" s="90">
        <v>686270.88</v>
      </c>
      <c r="BY596" s="90">
        <f t="array" ref="BY596">XLOOKUP(C596,'PL TOTAL D0'!$A$3:$A$1991,'PL TOTAL D0'!$C$3:$C$1991,"")</f>
        <v>695583.65</v>
      </c>
    </row>
    <row r="597" ht="15.75" customHeight="1">
      <c r="A597" s="50" t="s">
        <v>24</v>
      </c>
      <c r="B597" s="43" t="s">
        <v>7281</v>
      </c>
      <c r="C597" s="53" t="s">
        <v>2643</v>
      </c>
      <c r="D597" s="30" t="s">
        <v>53</v>
      </c>
      <c r="E597" s="22" t="s">
        <v>54</v>
      </c>
      <c r="F597" s="30" t="s">
        <v>55</v>
      </c>
      <c r="G597" s="47" t="str">
        <f t="shared" si="25"/>
        <v>David</v>
      </c>
      <c r="H597" s="49" t="s">
        <v>183</v>
      </c>
      <c r="I597" s="49" t="s">
        <v>66</v>
      </c>
      <c r="J597" s="47" t="str">
        <f t="shared" si="27"/>
        <v>Sim</v>
      </c>
      <c r="K597" s="54">
        <v>46225.0</v>
      </c>
      <c r="L597" s="189"/>
      <c r="M597" s="32" t="s">
        <v>213</v>
      </c>
      <c r="N597" s="56">
        <v>0.007</v>
      </c>
      <c r="O597" s="23" t="s">
        <v>66</v>
      </c>
      <c r="P597" s="57">
        <v>0.0</v>
      </c>
      <c r="Q597" s="58" t="s">
        <v>7282</v>
      </c>
      <c r="R597" s="635"/>
      <c r="S597" s="32" t="s">
        <v>234</v>
      </c>
      <c r="T597" s="32" t="s">
        <v>7283</v>
      </c>
      <c r="U597" s="33" t="s">
        <v>5282</v>
      </c>
      <c r="V597" s="33" t="s">
        <v>7284</v>
      </c>
      <c r="W597" s="34">
        <v>35342.0</v>
      </c>
      <c r="X597" s="23" t="s">
        <v>1586</v>
      </c>
      <c r="Y597" s="49" t="str">
        <f t="shared" si="22"/>
        <v>Ativo</v>
      </c>
      <c r="Z597" s="32"/>
      <c r="AA597" s="32" t="s">
        <v>47</v>
      </c>
      <c r="AB597" s="64"/>
      <c r="AC597" s="79"/>
      <c r="AD597" s="54"/>
      <c r="AE597" s="77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65"/>
      <c r="AW597" s="65"/>
      <c r="AX597" s="65"/>
      <c r="AY597" s="65"/>
      <c r="AZ597" s="65"/>
      <c r="BA597" s="65"/>
      <c r="BB597" s="65"/>
      <c r="BC597" s="65"/>
      <c r="BD597" s="65"/>
      <c r="BE597" s="65"/>
      <c r="BF597" s="65"/>
      <c r="BG597" s="65"/>
      <c r="BH597" s="65"/>
      <c r="BI597" s="65"/>
      <c r="BJ597" s="65"/>
      <c r="BK597" s="65"/>
      <c r="BL597" s="65"/>
      <c r="BM597" s="65"/>
      <c r="BN597" s="65"/>
      <c r="BO597" s="65"/>
      <c r="BP597" s="65"/>
      <c r="BQ597" s="65"/>
      <c r="BR597" s="65"/>
      <c r="BS597" s="65"/>
      <c r="BT597" s="88"/>
      <c r="BU597" s="65"/>
      <c r="BV597" s="65"/>
      <c r="BW597" s="90"/>
      <c r="BX597" s="90"/>
      <c r="BY597" s="90"/>
    </row>
    <row r="598" ht="15.75" customHeight="1">
      <c r="A598" s="50" t="s">
        <v>24</v>
      </c>
      <c r="B598" s="50" t="s">
        <v>7288</v>
      </c>
      <c r="C598" s="94" t="s">
        <v>3063</v>
      </c>
      <c r="D598" s="81" t="s">
        <v>120</v>
      </c>
      <c r="E598" s="95" t="s">
        <v>199</v>
      </c>
      <c r="F598" s="81" t="s">
        <v>290</v>
      </c>
      <c r="G598" s="47" t="str">
        <f t="shared" si="25"/>
        <v>Gabriel</v>
      </c>
      <c r="H598" s="49" t="s">
        <v>183</v>
      </c>
      <c r="I598" s="49" t="s">
        <v>66</v>
      </c>
      <c r="J598" s="47" t="str">
        <f t="shared" si="27"/>
        <v>Não</v>
      </c>
      <c r="K598" s="97">
        <v>45254.0</v>
      </c>
      <c r="L598" s="189"/>
      <c r="M598" s="62" t="s">
        <v>34</v>
      </c>
      <c r="N598" s="98">
        <v>0.012</v>
      </c>
      <c r="O598" s="23" t="s">
        <v>35</v>
      </c>
      <c r="P598" s="99">
        <v>0.1</v>
      </c>
      <c r="Q598" s="58"/>
      <c r="R598" s="58" t="s">
        <v>7289</v>
      </c>
      <c r="S598" s="62" t="s">
        <v>194</v>
      </c>
      <c r="T598" s="32" t="s">
        <v>5610</v>
      </c>
      <c r="U598" s="33">
        <v>6.1981170247E10</v>
      </c>
      <c r="V598" s="33" t="s">
        <v>7290</v>
      </c>
      <c r="W598" s="34">
        <v>18376.0</v>
      </c>
      <c r="X598" s="23" t="s">
        <v>199</v>
      </c>
      <c r="Y598" s="49" t="str">
        <f t="shared" si="22"/>
        <v>Ativo</v>
      </c>
      <c r="Z598" s="62"/>
      <c r="AA598" s="62"/>
      <c r="AB598" s="64" t="s">
        <v>269</v>
      </c>
      <c r="AC598" s="79"/>
      <c r="AD598" s="54">
        <v>45254.0</v>
      </c>
      <c r="AE598" s="77">
        <v>4.9075100012512E13</v>
      </c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65">
        <v>630538.56</v>
      </c>
      <c r="AT598" s="65">
        <v>639097.07</v>
      </c>
      <c r="AU598" s="65">
        <v>1001615.77</v>
      </c>
      <c r="AV598" s="65">
        <v>1010202.22</v>
      </c>
      <c r="AW598" s="65">
        <v>1426979.35</v>
      </c>
      <c r="AX598" s="65">
        <v>1127841.4</v>
      </c>
      <c r="AY598" s="65">
        <v>512885.9</v>
      </c>
      <c r="AZ598" s="65">
        <v>484980.4</v>
      </c>
      <c r="BA598" s="65">
        <v>414734.6</v>
      </c>
      <c r="BB598" s="65">
        <v>416933.1</v>
      </c>
      <c r="BC598" s="65">
        <v>421756.66</v>
      </c>
      <c r="BD598" s="65">
        <v>423984.36</v>
      </c>
      <c r="BE598" s="65">
        <v>429540.25</v>
      </c>
      <c r="BF598" s="65">
        <v>430219.82</v>
      </c>
      <c r="BG598" s="65">
        <v>435700.41</v>
      </c>
      <c r="BH598" s="65">
        <v>260781.91</v>
      </c>
      <c r="BI598" s="65">
        <v>259569.12</v>
      </c>
      <c r="BJ598" s="65">
        <v>263518.21</v>
      </c>
      <c r="BK598" s="65">
        <v>265939.96</v>
      </c>
      <c r="BL598" s="65">
        <v>265263.27</v>
      </c>
      <c r="BM598" s="65">
        <v>267841.19</v>
      </c>
      <c r="BN598" s="65">
        <v>270861.7</v>
      </c>
      <c r="BO598" s="65">
        <v>273243.72</v>
      </c>
      <c r="BP598" s="65">
        <v>275478.6</v>
      </c>
      <c r="BQ598" s="65">
        <v>278342.9</v>
      </c>
      <c r="BR598" s="65">
        <v>279614.7</v>
      </c>
      <c r="BS598" s="65">
        <v>284597.64</v>
      </c>
      <c r="BT598" s="88">
        <v>286821.1</v>
      </c>
      <c r="BU598" s="65">
        <v>289057.6</v>
      </c>
      <c r="BV598" s="65">
        <v>294398.6</v>
      </c>
      <c r="BW598" s="90">
        <v>298685.3</v>
      </c>
      <c r="BX598" s="90">
        <v>299415.08</v>
      </c>
      <c r="BY598" s="90">
        <f t="array" ref="BY598">XLOOKUP(C598,'PL TOTAL D0'!$A$3:$A$1991,'PL TOTAL D0'!$C$3:$C$1991,"")</f>
        <v>302952.86</v>
      </c>
    </row>
    <row r="599" ht="15.75" customHeight="1">
      <c r="A599" s="50" t="s">
        <v>24</v>
      </c>
      <c r="B599" s="50" t="s">
        <v>7288</v>
      </c>
      <c r="C599" s="94" t="s">
        <v>7293</v>
      </c>
      <c r="D599" s="81" t="s">
        <v>120</v>
      </c>
      <c r="E599" s="95" t="s">
        <v>199</v>
      </c>
      <c r="F599" s="81" t="s">
        <v>290</v>
      </c>
      <c r="G599" s="47" t="str">
        <f t="shared" si="25"/>
        <v>David</v>
      </c>
      <c r="H599" s="49" t="s">
        <v>295</v>
      </c>
      <c r="I599" s="49" t="s">
        <v>382</v>
      </c>
      <c r="J599" s="47" t="str">
        <f t="shared" si="27"/>
        <v>Não</v>
      </c>
      <c r="K599" s="97">
        <v>45255.0</v>
      </c>
      <c r="L599" s="189"/>
      <c r="M599" s="62" t="s">
        <v>34</v>
      </c>
      <c r="N599" s="98">
        <v>0.012</v>
      </c>
      <c r="O599" s="23" t="s">
        <v>35</v>
      </c>
      <c r="P599" s="99">
        <v>0.1</v>
      </c>
      <c r="Q599" s="58"/>
      <c r="R599" s="58" t="s">
        <v>7294</v>
      </c>
      <c r="S599" s="62" t="s">
        <v>194</v>
      </c>
      <c r="T599" s="32" t="s">
        <v>5610</v>
      </c>
      <c r="U599" s="33">
        <v>6.1981170247E10</v>
      </c>
      <c r="V599" s="33" t="s">
        <v>7290</v>
      </c>
      <c r="W599" s="34">
        <v>18376.0</v>
      </c>
      <c r="X599" s="23" t="s">
        <v>199</v>
      </c>
      <c r="Y599" s="49" t="str">
        <f t="shared" si="22"/>
        <v>Ativo</v>
      </c>
      <c r="Z599" s="62"/>
      <c r="AA599" s="62"/>
      <c r="AB599" s="64" t="s">
        <v>269</v>
      </c>
      <c r="AC599" s="79"/>
      <c r="AD599" s="54">
        <v>45255.0</v>
      </c>
      <c r="AE599" s="77">
        <v>4.9075100013187E13</v>
      </c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65">
        <v>765438.48</v>
      </c>
      <c r="AW599" s="65">
        <v>773226.21</v>
      </c>
      <c r="AX599" s="65">
        <v>204111.84</v>
      </c>
      <c r="AY599" s="65">
        <v>142761.6</v>
      </c>
      <c r="AZ599" s="65">
        <v>143713.6</v>
      </c>
      <c r="BA599" s="65">
        <v>102150.2</v>
      </c>
      <c r="BB599" s="65">
        <v>102906.02</v>
      </c>
      <c r="BC599" s="65">
        <v>103659.28</v>
      </c>
      <c r="BD599" s="65">
        <v>218.88</v>
      </c>
      <c r="BE599" s="65">
        <v>279.97</v>
      </c>
      <c r="BF599" s="65">
        <v>289.14</v>
      </c>
      <c r="BG599" s="65">
        <v>291.19</v>
      </c>
      <c r="BH599" s="65">
        <v>293.5</v>
      </c>
      <c r="BI599" s="65">
        <v>295.77</v>
      </c>
      <c r="BJ599" s="65">
        <v>29.93</v>
      </c>
      <c r="BK599" s="65">
        <v>29.94</v>
      </c>
      <c r="BL599" s="65">
        <v>29.94</v>
      </c>
      <c r="BM599" s="65">
        <v>29.94</v>
      </c>
      <c r="BN599" s="65">
        <v>29.94</v>
      </c>
      <c r="BO599" s="65">
        <v>29.94</v>
      </c>
      <c r="BP599" s="65">
        <v>29.94</v>
      </c>
      <c r="BQ599" s="65">
        <v>29.94</v>
      </c>
      <c r="BR599" s="65">
        <v>29.94</v>
      </c>
      <c r="BS599" s="65">
        <v>29.94</v>
      </c>
      <c r="BT599" s="88">
        <v>29.94</v>
      </c>
      <c r="BU599" s="65">
        <v>29.94</v>
      </c>
      <c r="BV599" s="65">
        <v>29.94</v>
      </c>
      <c r="BW599" s="90">
        <v>29.94</v>
      </c>
      <c r="BX599" s="90">
        <v>29.94</v>
      </c>
      <c r="BY599" s="90" t="str">
        <f t="array" ref="BY599">XLOOKUP(C599,'PL TOTAL D0'!$A$3:$A$1991,'PL TOTAL D0'!$C$3:$C$1991,"")</f>
        <v/>
      </c>
    </row>
    <row r="600" ht="15.75" customHeight="1">
      <c r="A600" s="50" t="s">
        <v>24</v>
      </c>
      <c r="B600" s="188" t="s">
        <v>7299</v>
      </c>
      <c r="C600" s="94" t="s">
        <v>2637</v>
      </c>
      <c r="D600" s="81" t="s">
        <v>120</v>
      </c>
      <c r="E600" s="95" t="s">
        <v>199</v>
      </c>
      <c r="F600" s="81" t="s">
        <v>290</v>
      </c>
      <c r="G600" s="47" t="str">
        <f t="shared" si="25"/>
        <v>Marcus</v>
      </c>
      <c r="H600" s="49" t="s">
        <v>183</v>
      </c>
      <c r="I600" s="49" t="s">
        <v>66</v>
      </c>
      <c r="J600" s="47" t="str">
        <f t="shared" si="27"/>
        <v>Não</v>
      </c>
      <c r="K600" s="54">
        <v>45422.0</v>
      </c>
      <c r="L600" s="189"/>
      <c r="M600" s="32" t="s">
        <v>34</v>
      </c>
      <c r="N600" s="56">
        <v>0.012</v>
      </c>
      <c r="O600" s="23" t="s">
        <v>35</v>
      </c>
      <c r="P600" s="57">
        <v>0.1</v>
      </c>
      <c r="Q600" s="58"/>
      <c r="R600" s="635"/>
      <c r="S600" s="32" t="s">
        <v>194</v>
      </c>
      <c r="T600" s="32" t="s">
        <v>5610</v>
      </c>
      <c r="U600" s="33">
        <v>6.1981170247E10</v>
      </c>
      <c r="V600" s="33" t="s">
        <v>7290</v>
      </c>
      <c r="W600" s="34">
        <v>18376.0</v>
      </c>
      <c r="X600" s="23" t="s">
        <v>199</v>
      </c>
      <c r="Y600" s="49" t="str">
        <f t="shared" si="22"/>
        <v>Ativo</v>
      </c>
      <c r="Z600" s="32"/>
      <c r="AA600" s="32" t="s">
        <v>165</v>
      </c>
      <c r="AB600" s="64" t="s">
        <v>269</v>
      </c>
      <c r="AC600" s="79"/>
      <c r="AD600" s="54">
        <v>45422.0</v>
      </c>
      <c r="AE600" s="77">
        <v>4.9075100014574E13</v>
      </c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65"/>
      <c r="AW600" s="65"/>
      <c r="AX600" s="65"/>
      <c r="AY600" s="65">
        <v>956719.2</v>
      </c>
      <c r="AZ600" s="65">
        <v>993068.2</v>
      </c>
      <c r="BA600" s="65">
        <v>1120892.0</v>
      </c>
      <c r="BB600" s="65">
        <v>1132654.3</v>
      </c>
      <c r="BC600" s="65">
        <v>1135476.07</v>
      </c>
      <c r="BD600" s="65">
        <v>1235610.46</v>
      </c>
      <c r="BE600" s="65">
        <v>1234517.86</v>
      </c>
      <c r="BF600" s="65">
        <v>1241270.01</v>
      </c>
      <c r="BG600" s="65">
        <v>1253930.48</v>
      </c>
      <c r="BH600" s="65">
        <v>1423983.45</v>
      </c>
      <c r="BI600" s="65">
        <v>1437398.62</v>
      </c>
      <c r="BJ600" s="65">
        <v>1453905.85</v>
      </c>
      <c r="BK600" s="65">
        <v>1469129.59</v>
      </c>
      <c r="BL600" s="65">
        <v>1481597.85</v>
      </c>
      <c r="BM600" s="65">
        <v>1494935.62</v>
      </c>
      <c r="BN600" s="65">
        <v>1508977.0</v>
      </c>
      <c r="BO600" s="65">
        <v>1418577.02</v>
      </c>
      <c r="BP600" s="65">
        <v>1433405.0</v>
      </c>
      <c r="BQ600" s="65">
        <v>1446159.0</v>
      </c>
      <c r="BR600" s="65">
        <v>1458216.0</v>
      </c>
      <c r="BS600" s="65">
        <v>1467443.89</v>
      </c>
      <c r="BT600" s="88">
        <v>1480156.0</v>
      </c>
      <c r="BU600" s="65">
        <v>1492679.0</v>
      </c>
      <c r="BV600" s="65">
        <v>1508225.0</v>
      </c>
      <c r="BW600" s="90">
        <v>1513408.0</v>
      </c>
      <c r="BX600" s="90">
        <v>1582471.18</v>
      </c>
      <c r="BY600" s="90">
        <f t="array" ref="BY600">XLOOKUP(C600,'PL TOTAL D0'!$A$3:$A$1991,'PL TOTAL D0'!$C$3:$C$1991,"")</f>
        <v>1544652.01</v>
      </c>
    </row>
    <row r="601" ht="15.75" customHeight="1">
      <c r="A601" s="50" t="s">
        <v>24</v>
      </c>
      <c r="B601" s="43" t="s">
        <v>7302</v>
      </c>
      <c r="C601" s="94" t="s">
        <v>3297</v>
      </c>
      <c r="D601" s="30" t="s">
        <v>249</v>
      </c>
      <c r="E601" s="22" t="s">
        <v>199</v>
      </c>
      <c r="F601" s="30" t="s">
        <v>251</v>
      </c>
      <c r="G601" s="47" t="str">
        <f t="shared" si="25"/>
        <v>David</v>
      </c>
      <c r="H601" s="49" t="s">
        <v>183</v>
      </c>
      <c r="I601" s="49" t="s">
        <v>66</v>
      </c>
      <c r="J601" s="47" t="str">
        <f t="shared" si="27"/>
        <v>Não</v>
      </c>
      <c r="K601" s="54">
        <v>45568.0</v>
      </c>
      <c r="L601" s="189"/>
      <c r="M601" s="32" t="s">
        <v>61</v>
      </c>
      <c r="N601" s="56">
        <v>0.012</v>
      </c>
      <c r="O601" s="23" t="s">
        <v>66</v>
      </c>
      <c r="P601" s="57">
        <v>0.0</v>
      </c>
      <c r="Q601" s="58"/>
      <c r="R601" s="58" t="s">
        <v>7303</v>
      </c>
      <c r="S601" s="32" t="s">
        <v>194</v>
      </c>
      <c r="T601" s="32" t="s">
        <v>7305</v>
      </c>
      <c r="U601" s="33">
        <v>6.1985063948E10</v>
      </c>
      <c r="V601" s="33" t="s">
        <v>7306</v>
      </c>
      <c r="W601" s="34">
        <v>27143.0</v>
      </c>
      <c r="X601" s="23" t="s">
        <v>199</v>
      </c>
      <c r="Y601" s="49" t="str">
        <f t="shared" si="22"/>
        <v>Ativo</v>
      </c>
      <c r="Z601" s="32"/>
      <c r="AA601" s="32" t="s">
        <v>47</v>
      </c>
      <c r="AB601" s="64"/>
      <c r="AC601" s="79"/>
      <c r="AD601" s="54">
        <v>45568.0</v>
      </c>
      <c r="AE601" s="77">
        <v>4.9075100015988E13</v>
      </c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65"/>
      <c r="AW601" s="65"/>
      <c r="AX601" s="65"/>
      <c r="AY601" s="65"/>
      <c r="AZ601" s="65"/>
      <c r="BA601" s="65"/>
      <c r="BB601" s="65"/>
      <c r="BC601" s="65"/>
      <c r="BD601" s="65">
        <v>60198.6</v>
      </c>
      <c r="BE601" s="65">
        <v>62581.25</v>
      </c>
      <c r="BF601" s="65">
        <v>83652.82</v>
      </c>
      <c r="BG601" s="65">
        <v>85102.71</v>
      </c>
      <c r="BH601" s="65">
        <v>86764.08</v>
      </c>
      <c r="BI601" s="65">
        <v>92811.64</v>
      </c>
      <c r="BJ601" s="65">
        <v>91796.86</v>
      </c>
      <c r="BK601" s="65">
        <v>88207.22</v>
      </c>
      <c r="BL601" s="65">
        <v>89534.83</v>
      </c>
      <c r="BM601" s="65">
        <v>91099.93</v>
      </c>
      <c r="BN601" s="65">
        <v>90771.95</v>
      </c>
      <c r="BO601" s="65">
        <v>94483.43</v>
      </c>
      <c r="BP601" s="65">
        <v>94584.66</v>
      </c>
      <c r="BQ601" s="65">
        <v>94886.62</v>
      </c>
      <c r="BR601" s="65">
        <v>96390.93</v>
      </c>
      <c r="BS601" s="65">
        <v>107354.1</v>
      </c>
      <c r="BT601" s="88">
        <v>102223.8</v>
      </c>
      <c r="BU601" s="65">
        <v>104885.5</v>
      </c>
      <c r="BV601" s="65">
        <v>105185.9</v>
      </c>
      <c r="BW601" s="90">
        <v>105199.7</v>
      </c>
      <c r="BX601" s="90">
        <v>105643.34</v>
      </c>
      <c r="BY601" s="90">
        <f t="array" ref="BY601">XLOOKUP(C601,'PL TOTAL D0'!$A$3:$A$1991,'PL TOTAL D0'!$C$3:$C$1991,"")</f>
        <v>107385.42</v>
      </c>
    </row>
    <row r="602" ht="15.75" customHeight="1">
      <c r="A602" s="50" t="s">
        <v>24</v>
      </c>
      <c r="B602" s="176" t="s">
        <v>7309</v>
      </c>
      <c r="C602" s="94" t="s">
        <v>2996</v>
      </c>
      <c r="D602" s="81" t="s">
        <v>120</v>
      </c>
      <c r="E602" s="95" t="s">
        <v>199</v>
      </c>
      <c r="F602" s="95" t="s">
        <v>212</v>
      </c>
      <c r="G602" s="47" t="str">
        <f t="shared" si="25"/>
        <v>Gabriel</v>
      </c>
      <c r="H602" s="74" t="s">
        <v>183</v>
      </c>
      <c r="I602" s="74" t="s">
        <v>66</v>
      </c>
      <c r="J602" s="47" t="str">
        <f t="shared" si="27"/>
        <v>Sim</v>
      </c>
      <c r="K602" s="189">
        <v>44994.0</v>
      </c>
      <c r="L602" s="62"/>
      <c r="M602" s="62" t="s">
        <v>61</v>
      </c>
      <c r="N602" s="98">
        <v>0.012</v>
      </c>
      <c r="O602" s="47" t="s">
        <v>66</v>
      </c>
      <c r="P602" s="99">
        <v>0.0</v>
      </c>
      <c r="Q602" s="58" t="s">
        <v>7310</v>
      </c>
      <c r="R602" s="556"/>
      <c r="S602" s="62" t="s">
        <v>194</v>
      </c>
      <c r="T602" s="32" t="s">
        <v>7311</v>
      </c>
      <c r="U602" s="33">
        <v>6.39851511E10</v>
      </c>
      <c r="V602" s="33" t="s">
        <v>7312</v>
      </c>
      <c r="W602" s="34">
        <v>29694.0</v>
      </c>
      <c r="X602" s="32" t="s">
        <v>312</v>
      </c>
      <c r="Y602" s="49" t="str">
        <f t="shared" si="22"/>
        <v>Ativo</v>
      </c>
      <c r="Z602" s="62"/>
      <c r="AA602" s="62"/>
      <c r="AB602" s="32" t="s">
        <v>269</v>
      </c>
      <c r="AC602" s="62"/>
      <c r="AD602" s="54">
        <v>44994.0</v>
      </c>
      <c r="AE602" s="77">
        <v>4.9075100009351E13</v>
      </c>
      <c r="AF602" s="62"/>
      <c r="AG602" s="62"/>
      <c r="AH602" s="62"/>
      <c r="AI602" s="62"/>
      <c r="AJ602" s="62"/>
      <c r="AK602" s="65">
        <v>215098.7</v>
      </c>
      <c r="AL602" s="65">
        <v>216876.15</v>
      </c>
      <c r="AM602" s="65">
        <v>299873.01</v>
      </c>
      <c r="AN602" s="65">
        <v>302577.74</v>
      </c>
      <c r="AO602" s="65">
        <v>304671.28</v>
      </c>
      <c r="AP602" s="65">
        <v>307519.42</v>
      </c>
      <c r="AQ602" s="65">
        <v>309326.29</v>
      </c>
      <c r="AR602" s="65">
        <v>312072.35</v>
      </c>
      <c r="AS602" s="65">
        <v>314391.69</v>
      </c>
      <c r="AT602" s="65">
        <v>316725.61</v>
      </c>
      <c r="AU602" s="65">
        <v>309359.8</v>
      </c>
      <c r="AV602" s="65">
        <v>310418.82</v>
      </c>
      <c r="AW602" s="65">
        <v>313290.9</v>
      </c>
      <c r="AX602" s="65">
        <v>315659.78</v>
      </c>
      <c r="AY602" s="65">
        <v>317758.7</v>
      </c>
      <c r="AZ602" s="65">
        <v>395621.7</v>
      </c>
      <c r="BA602" s="65">
        <v>398384.3</v>
      </c>
      <c r="BB602" s="65">
        <v>400152.5</v>
      </c>
      <c r="BC602" s="65">
        <v>301368.67</v>
      </c>
      <c r="BD602" s="65">
        <v>303777.0</v>
      </c>
      <c r="BE602" s="65">
        <v>295991.95</v>
      </c>
      <c r="BF602" s="65">
        <v>298559.59</v>
      </c>
      <c r="BG602" s="65">
        <v>296266.55</v>
      </c>
      <c r="BH602" s="65">
        <v>296481.53</v>
      </c>
      <c r="BI602" s="65">
        <v>299507.88</v>
      </c>
      <c r="BJ602" s="65">
        <v>301980.31</v>
      </c>
      <c r="BK602" s="65">
        <v>305041.68</v>
      </c>
      <c r="BL602" s="65">
        <v>302157.71</v>
      </c>
      <c r="BM602" s="65">
        <v>303467.49</v>
      </c>
      <c r="BN602" s="65">
        <v>306236.8</v>
      </c>
      <c r="BO602" s="65">
        <v>304231.96</v>
      </c>
      <c r="BP602" s="65">
        <v>307779.3</v>
      </c>
      <c r="BQ602" s="65">
        <v>310430.5</v>
      </c>
      <c r="BR602" s="65">
        <v>312627.8</v>
      </c>
      <c r="BS602" s="65">
        <v>313739.05</v>
      </c>
      <c r="BT602" s="88">
        <v>316093.4</v>
      </c>
      <c r="BU602" s="65">
        <v>318971.6</v>
      </c>
      <c r="BV602" s="65">
        <v>322234.8</v>
      </c>
      <c r="BW602" s="90">
        <v>355994.2</v>
      </c>
      <c r="BX602" s="90">
        <v>358542.22</v>
      </c>
      <c r="BY602" s="90">
        <f t="array" ref="BY602">XLOOKUP(C602,'PL TOTAL D0'!$A$3:$A$1991,'PL TOTAL D0'!$C$3:$C$1991,"")</f>
        <v>362683.72</v>
      </c>
    </row>
    <row r="603" ht="15.75" customHeight="1">
      <c r="A603" s="50" t="s">
        <v>24</v>
      </c>
      <c r="B603" s="39" t="s">
        <v>7316</v>
      </c>
      <c r="C603" s="94" t="s">
        <v>2885</v>
      </c>
      <c r="D603" s="30" t="s">
        <v>53</v>
      </c>
      <c r="E603" s="22" t="s">
        <v>54</v>
      </c>
      <c r="F603" s="22" t="s">
        <v>507</v>
      </c>
      <c r="G603" s="47" t="str">
        <f t="shared" si="25"/>
        <v>Gabriel</v>
      </c>
      <c r="H603" s="49" t="s">
        <v>183</v>
      </c>
      <c r="I603" s="49" t="s">
        <v>66</v>
      </c>
      <c r="J603" s="47" t="str">
        <f t="shared" si="27"/>
        <v>Não</v>
      </c>
      <c r="K603" s="186">
        <v>45798.0</v>
      </c>
      <c r="L603" s="62"/>
      <c r="M603" s="32" t="s">
        <v>61</v>
      </c>
      <c r="N603" s="56">
        <v>0.012</v>
      </c>
      <c r="O603" s="23" t="s">
        <v>66</v>
      </c>
      <c r="P603" s="57">
        <v>0.0</v>
      </c>
      <c r="Q603" s="58"/>
      <c r="R603" s="556"/>
      <c r="S603" s="32" t="s">
        <v>194</v>
      </c>
      <c r="T603" s="32" t="s">
        <v>7317</v>
      </c>
      <c r="U603" s="33">
        <v>5.519983057138E12</v>
      </c>
      <c r="V603" s="33" t="s">
        <v>7318</v>
      </c>
      <c r="W603" s="34">
        <v>32737.0</v>
      </c>
      <c r="X603" s="32" t="s">
        <v>475</v>
      </c>
      <c r="Y603" s="49" t="str">
        <f t="shared" si="22"/>
        <v>Ativo</v>
      </c>
      <c r="Z603" s="62"/>
      <c r="AA603" s="32" t="s">
        <v>47</v>
      </c>
      <c r="AB603" s="32"/>
      <c r="AC603" s="62"/>
      <c r="AD603" s="54">
        <v>45804.0</v>
      </c>
      <c r="AE603" s="77">
        <v>4.9075100018758E13</v>
      </c>
      <c r="AF603" s="62"/>
      <c r="AG603" s="62"/>
      <c r="AH603" s="62"/>
      <c r="AI603" s="62"/>
      <c r="AJ603" s="62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  <c r="BE603" s="65"/>
      <c r="BF603" s="65"/>
      <c r="BG603" s="65"/>
      <c r="BH603" s="65"/>
      <c r="BI603" s="65"/>
      <c r="BJ603" s="65"/>
      <c r="BK603" s="65">
        <v>421633.74</v>
      </c>
      <c r="BL603" s="65">
        <v>504852.58</v>
      </c>
      <c r="BM603" s="65">
        <v>510165.33</v>
      </c>
      <c r="BN603" s="65">
        <v>515540.0</v>
      </c>
      <c r="BO603" s="65">
        <v>520672.22</v>
      </c>
      <c r="BP603" s="65">
        <v>526855.1</v>
      </c>
      <c r="BQ603" s="65">
        <v>530800.6</v>
      </c>
      <c r="BR603" s="65">
        <v>535257.0</v>
      </c>
      <c r="BS603" s="65">
        <v>490612.24</v>
      </c>
      <c r="BT603" s="88">
        <v>494788.9</v>
      </c>
      <c r="BU603" s="65">
        <v>500745.8</v>
      </c>
      <c r="BV603" s="65">
        <v>506673.2</v>
      </c>
      <c r="BW603" s="90">
        <v>511333.3</v>
      </c>
      <c r="BX603" s="90">
        <v>514883.66</v>
      </c>
      <c r="BY603" s="90">
        <f t="array" ref="BY603">XLOOKUP(C603,'PL TOTAL D0'!$A$3:$A$1991,'PL TOTAL D0'!$C$3:$C$1991,"")</f>
        <v>520866.32</v>
      </c>
    </row>
    <row r="604" ht="15.75" customHeight="1">
      <c r="A604" s="50" t="s">
        <v>24</v>
      </c>
      <c r="B604" s="43" t="s">
        <v>5632</v>
      </c>
      <c r="C604" s="94" t="s">
        <v>7323</v>
      </c>
      <c r="D604" s="81" t="s">
        <v>255</v>
      </c>
      <c r="E604" s="95" t="s">
        <v>199</v>
      </c>
      <c r="F604" s="81" t="s">
        <v>4288</v>
      </c>
      <c r="G604" s="47" t="str">
        <f t="shared" si="25"/>
        <v>David</v>
      </c>
      <c r="H604" s="49" t="s">
        <v>224</v>
      </c>
      <c r="I604" s="49" t="s">
        <v>66</v>
      </c>
      <c r="J604" s="47" t="str">
        <f t="shared" ref="J604:J605" si="28">IF(Q601=0,"Não","Sim")</f>
        <v>Não</v>
      </c>
      <c r="K604" s="97">
        <v>44928.0</v>
      </c>
      <c r="L604" s="55">
        <v>45449.0</v>
      </c>
      <c r="M604" s="62" t="s">
        <v>34</v>
      </c>
      <c r="N604" s="98">
        <v>0.012</v>
      </c>
      <c r="O604" s="47" t="s">
        <v>66</v>
      </c>
      <c r="P604" s="99">
        <v>0.0</v>
      </c>
      <c r="Q604" s="58"/>
      <c r="R604" s="195" t="s">
        <v>1767</v>
      </c>
      <c r="S604" s="62" t="s">
        <v>194</v>
      </c>
      <c r="T604" s="32" t="s">
        <v>5631</v>
      </c>
      <c r="U604" s="33" t="s">
        <v>268</v>
      </c>
      <c r="V604" s="33"/>
      <c r="W604" s="33" t="s">
        <v>268</v>
      </c>
      <c r="X604" s="23" t="s">
        <v>199</v>
      </c>
      <c r="Y604" s="49" t="str">
        <f t="shared" si="22"/>
        <v>Encerrado</v>
      </c>
      <c r="Z604" s="62"/>
      <c r="AA604" s="62"/>
      <c r="AB604" s="64" t="s">
        <v>244</v>
      </c>
      <c r="AC604" s="79"/>
      <c r="AD604" s="54">
        <v>44928.0</v>
      </c>
      <c r="AE604" s="77">
        <v>4.9075100005931E13</v>
      </c>
      <c r="AF604" s="79"/>
      <c r="AG604" s="79"/>
      <c r="AH604" s="65">
        <v>358813.41</v>
      </c>
      <c r="AI604" s="65">
        <v>377876.36</v>
      </c>
      <c r="AJ604" s="65">
        <v>392773.39</v>
      </c>
      <c r="AK604" s="65">
        <v>397012.49</v>
      </c>
      <c r="AL604" s="65">
        <v>651770.08</v>
      </c>
      <c r="AM604" s="65">
        <v>631261.12</v>
      </c>
      <c r="AN604" s="65">
        <v>670333.7</v>
      </c>
      <c r="AO604" s="65">
        <v>655818.74</v>
      </c>
      <c r="AP604" s="65">
        <v>662208.82</v>
      </c>
      <c r="AQ604" s="65">
        <v>667585.98</v>
      </c>
      <c r="AR604" s="65">
        <v>670425.23</v>
      </c>
      <c r="AS604" s="65">
        <v>679113.46</v>
      </c>
      <c r="AT604" s="65">
        <v>666577.12</v>
      </c>
      <c r="AU604" s="65">
        <v>668120.67</v>
      </c>
      <c r="AV604" s="65">
        <v>0.0</v>
      </c>
      <c r="AW604" s="65">
        <v>0.0</v>
      </c>
      <c r="AX604" s="65">
        <v>0.0</v>
      </c>
      <c r="AY604" s="65">
        <v>0.0</v>
      </c>
      <c r="AZ604" s="65">
        <v>0.0</v>
      </c>
      <c r="BA604" s="65">
        <v>0.0</v>
      </c>
      <c r="BB604" s="65">
        <v>0.0</v>
      </c>
      <c r="BC604" s="65">
        <v>0.0</v>
      </c>
      <c r="BD604" s="65">
        <v>0.0</v>
      </c>
      <c r="BE604" s="65">
        <v>0.0</v>
      </c>
      <c r="BF604" s="65">
        <v>0.0</v>
      </c>
      <c r="BG604" s="65">
        <v>0.0</v>
      </c>
      <c r="BH604" s="65">
        <v>0.0</v>
      </c>
      <c r="BI604" s="65">
        <v>0.0</v>
      </c>
      <c r="BJ604" s="65">
        <v>0.0</v>
      </c>
      <c r="BK604" s="65">
        <v>0.0</v>
      </c>
      <c r="BL604" s="65">
        <v>0.0</v>
      </c>
      <c r="BM604" s="65">
        <v>0.0</v>
      </c>
      <c r="BN604" s="65">
        <v>0.0</v>
      </c>
      <c r="BO604" s="65">
        <v>0.0</v>
      </c>
      <c r="BP604" s="65">
        <v>0.0</v>
      </c>
      <c r="BQ604" s="65">
        <v>0.0</v>
      </c>
      <c r="BR604" s="65">
        <v>0.0</v>
      </c>
      <c r="BS604" s="65">
        <v>0.0</v>
      </c>
      <c r="BT604" s="88">
        <v>0.0</v>
      </c>
      <c r="BU604" s="65">
        <v>0.0</v>
      </c>
      <c r="BV604" s="65">
        <v>0.0</v>
      </c>
      <c r="BW604" s="90">
        <v>0.0</v>
      </c>
      <c r="BX604" s="90">
        <v>0.0</v>
      </c>
      <c r="BY604" s="90" t="str">
        <f t="array" ref="BY604">XLOOKUP(C604,'PL TOTAL D0'!$A$3:$A$1991,'PL TOTAL D0'!$C$3:$C$1991,"")</f>
        <v/>
      </c>
    </row>
    <row r="605" ht="15.75" customHeight="1">
      <c r="A605" s="50" t="s">
        <v>24</v>
      </c>
      <c r="B605" s="50" t="s">
        <v>5636</v>
      </c>
      <c r="C605" s="94" t="s">
        <v>2541</v>
      </c>
      <c r="D605" s="81" t="s">
        <v>120</v>
      </c>
      <c r="E605" s="95" t="s">
        <v>199</v>
      </c>
      <c r="F605" s="30" t="s">
        <v>290</v>
      </c>
      <c r="G605" s="47" t="str">
        <f t="shared" si="25"/>
        <v>Marcus</v>
      </c>
      <c r="H605" s="74" t="s">
        <v>183</v>
      </c>
      <c r="I605" s="74" t="s">
        <v>66</v>
      </c>
      <c r="J605" s="47" t="str">
        <f t="shared" si="28"/>
        <v>Sim</v>
      </c>
      <c r="K605" s="97">
        <v>45040.0</v>
      </c>
      <c r="L605" s="62"/>
      <c r="M605" s="62" t="s">
        <v>61</v>
      </c>
      <c r="N605" s="98">
        <v>0.01</v>
      </c>
      <c r="O605" s="47" t="s">
        <v>66</v>
      </c>
      <c r="P605" s="99">
        <v>0.0</v>
      </c>
      <c r="Q605" s="58" t="s">
        <v>7327</v>
      </c>
      <c r="R605" s="635"/>
      <c r="S605" s="62" t="s">
        <v>194</v>
      </c>
      <c r="T605" s="32" t="s">
        <v>5635</v>
      </c>
      <c r="U605" s="33">
        <v>5.56198162606E12</v>
      </c>
      <c r="V605" s="33" t="s">
        <v>7329</v>
      </c>
      <c r="W605" s="34">
        <v>21379.0</v>
      </c>
      <c r="X605" s="23" t="s">
        <v>199</v>
      </c>
      <c r="Y605" s="49" t="str">
        <f t="shared" si="22"/>
        <v>Ativo</v>
      </c>
      <c r="Z605" s="62"/>
      <c r="AA605" s="62"/>
      <c r="AB605" s="64" t="s">
        <v>269</v>
      </c>
      <c r="AC605" s="79"/>
      <c r="AD605" s="54">
        <v>45040.0</v>
      </c>
      <c r="AE605" s="77">
        <v>4.9075100007918E13</v>
      </c>
      <c r="AF605" s="79"/>
      <c r="AG605" s="79"/>
      <c r="AH605" s="79"/>
      <c r="AI605" s="79"/>
      <c r="AJ605" s="79"/>
      <c r="AK605" s="79"/>
      <c r="AL605" s="65">
        <v>397508.34</v>
      </c>
      <c r="AM605" s="65">
        <v>714697.76</v>
      </c>
      <c r="AN605" s="65">
        <v>732005.28</v>
      </c>
      <c r="AO605" s="65">
        <v>770449.99</v>
      </c>
      <c r="AP605" s="65">
        <v>1085256.77</v>
      </c>
      <c r="AQ605" s="65">
        <v>1152688.1</v>
      </c>
      <c r="AR605" s="65">
        <v>1163013.64</v>
      </c>
      <c r="AS605" s="65">
        <v>1170919.64</v>
      </c>
      <c r="AT605" s="65">
        <v>1200138.58</v>
      </c>
      <c r="AU605" s="65">
        <v>1221032.6</v>
      </c>
      <c r="AV605" s="65">
        <v>1230255.33</v>
      </c>
      <c r="AW605" s="65">
        <v>1346659.3</v>
      </c>
      <c r="AX605" s="65">
        <v>1382587.72</v>
      </c>
      <c r="AY605" s="65">
        <v>1414209.0</v>
      </c>
      <c r="AZ605" s="65">
        <v>1535647.0</v>
      </c>
      <c r="BA605" s="65">
        <v>1563820.0</v>
      </c>
      <c r="BB605" s="65">
        <v>1508663.8</v>
      </c>
      <c r="BC605" s="65">
        <v>1584696.82</v>
      </c>
      <c r="BD605" s="65">
        <v>1887635.05</v>
      </c>
      <c r="BE605" s="65">
        <v>1997137.56</v>
      </c>
      <c r="BF605" s="65">
        <v>2239943.6</v>
      </c>
      <c r="BG605" s="65">
        <v>2260942.62</v>
      </c>
      <c r="BH605" s="65">
        <v>2279302.98</v>
      </c>
      <c r="BI605" s="65">
        <v>2296948.7</v>
      </c>
      <c r="BJ605" s="65">
        <v>2320548.87</v>
      </c>
      <c r="BK605" s="65">
        <v>2344290.85</v>
      </c>
      <c r="BL605" s="65">
        <v>2366140.42</v>
      </c>
      <c r="BM605" s="65">
        <v>2392617.35</v>
      </c>
      <c r="BN605" s="65">
        <v>2415505.0</v>
      </c>
      <c r="BO605" s="65">
        <v>2438386.97</v>
      </c>
      <c r="BP605" s="65">
        <v>2464306.0</v>
      </c>
      <c r="BQ605" s="65">
        <v>2482676.0</v>
      </c>
      <c r="BR605" s="65">
        <v>2505308.0</v>
      </c>
      <c r="BS605" s="65">
        <v>2529751.4</v>
      </c>
      <c r="BT605" s="88">
        <v>2549115.0</v>
      </c>
      <c r="BU605" s="65">
        <v>2577630.0</v>
      </c>
      <c r="BV605" s="65">
        <v>2604962.0</v>
      </c>
      <c r="BW605" s="90">
        <v>2633100.0</v>
      </c>
      <c r="BX605" s="90">
        <v>2661120.67</v>
      </c>
      <c r="BY605" s="90">
        <f t="array" ref="BY605">XLOOKUP(C605,'PL TOTAL D0'!$A$3:$A$1991,'PL TOTAL D0'!$C$3:$C$1991,"")</f>
        <v>2691615.47</v>
      </c>
    </row>
    <row r="606" ht="15.75" customHeight="1">
      <c r="A606" s="50" t="s">
        <v>24</v>
      </c>
      <c r="B606" s="43" t="s">
        <v>7331</v>
      </c>
      <c r="C606" s="94" t="s">
        <v>7332</v>
      </c>
      <c r="D606" s="30" t="s">
        <v>120</v>
      </c>
      <c r="E606" s="22" t="s">
        <v>199</v>
      </c>
      <c r="F606" s="30" t="s">
        <v>431</v>
      </c>
      <c r="G606" s="47" t="str">
        <f t="shared" si="25"/>
        <v>David</v>
      </c>
      <c r="H606" s="49" t="s">
        <v>295</v>
      </c>
      <c r="I606" s="49" t="s">
        <v>447</v>
      </c>
      <c r="J606" s="47" t="str">
        <f>IF(Q604=0,"Não","Sim")</f>
        <v>Não</v>
      </c>
      <c r="K606" s="54">
        <v>45579.0</v>
      </c>
      <c r="L606" s="62"/>
      <c r="M606" s="32" t="s">
        <v>201</v>
      </c>
      <c r="N606" s="56">
        <v>0.003</v>
      </c>
      <c r="O606" s="23" t="s">
        <v>66</v>
      </c>
      <c r="P606" s="57">
        <v>0.0</v>
      </c>
      <c r="Q606" s="58" t="s">
        <v>7333</v>
      </c>
      <c r="R606" s="635"/>
      <c r="S606" s="32" t="s">
        <v>194</v>
      </c>
      <c r="T606" s="32" t="s">
        <v>7334</v>
      </c>
      <c r="U606" s="33">
        <v>3.1999376565E10</v>
      </c>
      <c r="V606" s="33" t="s">
        <v>7335</v>
      </c>
      <c r="W606" s="34">
        <v>18004.0</v>
      </c>
      <c r="X606" s="23" t="s">
        <v>618</v>
      </c>
      <c r="Y606" s="49" t="str">
        <f t="shared" si="22"/>
        <v>Ativo</v>
      </c>
      <c r="Z606" s="62"/>
      <c r="AA606" s="32" t="s">
        <v>47</v>
      </c>
      <c r="AB606" s="64"/>
      <c r="AC606" s="79"/>
      <c r="AD606" s="54">
        <v>45579.0</v>
      </c>
      <c r="AE606" s="77">
        <v>4.9075100016135E13</v>
      </c>
      <c r="AF606" s="79"/>
      <c r="AG606" s="79"/>
      <c r="AH606" s="79"/>
      <c r="AI606" s="79"/>
      <c r="AJ606" s="79"/>
      <c r="AK606" s="79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>
        <v>3.74</v>
      </c>
      <c r="BE606" s="65">
        <v>63754.05</v>
      </c>
      <c r="BF606" s="65">
        <v>7.67</v>
      </c>
      <c r="BG606" s="65">
        <v>8.2</v>
      </c>
      <c r="BH606" s="65">
        <v>8.22</v>
      </c>
      <c r="BI606" s="65">
        <v>8.22</v>
      </c>
      <c r="BJ606" s="65">
        <v>8.22</v>
      </c>
      <c r="BK606" s="65">
        <v>8.86</v>
      </c>
      <c r="BL606" s="65">
        <v>8.86</v>
      </c>
      <c r="BM606" s="65">
        <v>8.97</v>
      </c>
      <c r="BN606" s="65">
        <v>8.97</v>
      </c>
      <c r="BO606" s="65">
        <v>8.97</v>
      </c>
      <c r="BP606" s="65">
        <v>8.97</v>
      </c>
      <c r="BQ606" s="65">
        <v>8.98</v>
      </c>
      <c r="BR606" s="65">
        <v>8.98</v>
      </c>
      <c r="BS606" s="65">
        <v>8.98</v>
      </c>
      <c r="BT606" s="88">
        <v>8.98</v>
      </c>
      <c r="BU606" s="65">
        <v>8.99</v>
      </c>
      <c r="BV606" s="65">
        <v>8.99</v>
      </c>
      <c r="BW606" s="90">
        <v>8.99</v>
      </c>
      <c r="BX606" s="90">
        <v>8.99</v>
      </c>
      <c r="BY606" s="90" t="str">
        <f t="array" ref="BY606">XLOOKUP(C606,'PL TOTAL D0'!$A$3:$A$1991,'PL TOTAL D0'!$C$3:$C$1991,"")</f>
        <v/>
      </c>
    </row>
    <row r="607" ht="15.75" customHeight="1">
      <c r="A607" s="50" t="s">
        <v>24</v>
      </c>
      <c r="B607" s="188" t="s">
        <v>7340</v>
      </c>
      <c r="C607" s="94" t="s">
        <v>2851</v>
      </c>
      <c r="D607" s="30" t="s">
        <v>142</v>
      </c>
      <c r="E607" s="22" t="s">
        <v>54</v>
      </c>
      <c r="F607" s="30" t="s">
        <v>158</v>
      </c>
      <c r="G607" s="47" t="str">
        <f t="shared" si="25"/>
        <v>Gabriel</v>
      </c>
      <c r="H607" s="49" t="s">
        <v>183</v>
      </c>
      <c r="I607" s="49" t="s">
        <v>66</v>
      </c>
      <c r="J607" s="47" t="str">
        <f t="shared" ref="J607:J668" si="29">IF(Q607=0,"Não","Sim")</f>
        <v>Não</v>
      </c>
      <c r="K607" s="54">
        <v>45391.0</v>
      </c>
      <c r="L607" s="62"/>
      <c r="M607" s="32" t="s">
        <v>34</v>
      </c>
      <c r="N607" s="56">
        <v>0.012</v>
      </c>
      <c r="O607" s="23" t="s">
        <v>35</v>
      </c>
      <c r="P607" s="57">
        <v>0.1</v>
      </c>
      <c r="Q607" s="58"/>
      <c r="R607" s="635"/>
      <c r="S607" s="32" t="s">
        <v>194</v>
      </c>
      <c r="T607" s="22" t="s">
        <v>7341</v>
      </c>
      <c r="U607" s="33">
        <v>6.2999720763E10</v>
      </c>
      <c r="V607" s="33" t="s">
        <v>7342</v>
      </c>
      <c r="W607" s="34">
        <v>21272.0</v>
      </c>
      <c r="X607" s="23" t="s">
        <v>54</v>
      </c>
      <c r="Y607" s="49" t="str">
        <f t="shared" si="22"/>
        <v>Ativo</v>
      </c>
      <c r="Z607" s="32"/>
      <c r="AA607" s="32" t="s">
        <v>47</v>
      </c>
      <c r="AB607" s="64" t="s">
        <v>269</v>
      </c>
      <c r="AC607" s="79"/>
      <c r="AD607" s="54">
        <v>45391.0</v>
      </c>
      <c r="AE607" s="77">
        <v>4.9075100014078E13</v>
      </c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65"/>
      <c r="AW607" s="65"/>
      <c r="AX607" s="65">
        <v>395578.13</v>
      </c>
      <c r="AY607" s="65">
        <v>413847.6</v>
      </c>
      <c r="AZ607" s="65">
        <v>416418.7</v>
      </c>
      <c r="BA607" s="65">
        <v>417343.3</v>
      </c>
      <c r="BB607" s="65">
        <v>444716.01</v>
      </c>
      <c r="BC607" s="65">
        <v>463219.48</v>
      </c>
      <c r="BD607" s="65">
        <v>468162.38</v>
      </c>
      <c r="BE607" s="65">
        <v>467778.47</v>
      </c>
      <c r="BF607" s="65">
        <v>458739.66</v>
      </c>
      <c r="BG607" s="65">
        <v>482568.59</v>
      </c>
      <c r="BH607" s="65">
        <v>476128.1</v>
      </c>
      <c r="BI607" s="65">
        <v>467624.33</v>
      </c>
      <c r="BJ607" s="65">
        <v>470233.33</v>
      </c>
      <c r="BK607" s="65">
        <v>485766.22</v>
      </c>
      <c r="BL607" s="65">
        <v>502035.2</v>
      </c>
      <c r="BM607" s="65">
        <v>511028.22</v>
      </c>
      <c r="BN607" s="65">
        <v>506666.0</v>
      </c>
      <c r="BO607" s="65">
        <v>509033.94</v>
      </c>
      <c r="BP607" s="65">
        <v>524563.8</v>
      </c>
      <c r="BQ607" s="65">
        <v>532181.3</v>
      </c>
      <c r="BR607" s="65">
        <v>536436.8</v>
      </c>
      <c r="BS607" s="65">
        <v>539521.98</v>
      </c>
      <c r="BT607" s="88">
        <v>535837.5</v>
      </c>
      <c r="BU607" s="65">
        <v>516003.5</v>
      </c>
      <c r="BV607" s="65">
        <v>538454.8</v>
      </c>
      <c r="BW607" s="90">
        <v>556891.4</v>
      </c>
      <c r="BX607" s="90">
        <v>549619.91</v>
      </c>
      <c r="BY607" s="90">
        <f t="array" ref="BY607">XLOOKUP(C607,'PL TOTAL D0'!$A$3:$A$1991,'PL TOTAL D0'!$C$3:$C$1991,"")</f>
        <v>554812.52</v>
      </c>
    </row>
    <row r="608" ht="15.75" customHeight="1">
      <c r="A608" s="50" t="s">
        <v>24</v>
      </c>
      <c r="B608" s="200" t="s">
        <v>7348</v>
      </c>
      <c r="C608" s="94" t="s">
        <v>3119</v>
      </c>
      <c r="D608" s="30" t="s">
        <v>1358</v>
      </c>
      <c r="E608" s="22" t="s">
        <v>199</v>
      </c>
      <c r="F608" s="30" t="s">
        <v>6146</v>
      </c>
      <c r="G608" s="47" t="str">
        <f t="shared" si="25"/>
        <v>David</v>
      </c>
      <c r="H608" s="49" t="s">
        <v>183</v>
      </c>
      <c r="I608" s="49" t="s">
        <v>66</v>
      </c>
      <c r="J608" s="47" t="str">
        <f t="shared" si="29"/>
        <v>Não</v>
      </c>
      <c r="K608" s="54">
        <v>45952.0</v>
      </c>
      <c r="L608" s="62"/>
      <c r="M608" s="32" t="s">
        <v>34</v>
      </c>
      <c r="N608" s="56">
        <v>0.012</v>
      </c>
      <c r="O608" s="23" t="s">
        <v>35</v>
      </c>
      <c r="P608" s="57">
        <v>0.1</v>
      </c>
      <c r="Q608" s="58"/>
      <c r="R608" s="635"/>
      <c r="S608" s="32" t="s">
        <v>194</v>
      </c>
      <c r="T608" s="22" t="s">
        <v>6148</v>
      </c>
      <c r="U608" s="33" t="s">
        <v>6149</v>
      </c>
      <c r="V608" s="33" t="s">
        <v>6150</v>
      </c>
      <c r="W608" s="34">
        <v>23702.0</v>
      </c>
      <c r="X608" s="23" t="s">
        <v>54</v>
      </c>
      <c r="Y608" s="49" t="str">
        <f t="shared" si="22"/>
        <v>Ativo</v>
      </c>
      <c r="Z608" s="32"/>
      <c r="AA608" s="32" t="s">
        <v>47</v>
      </c>
      <c r="AB608" s="64"/>
      <c r="AC608" s="79"/>
      <c r="AD608" s="54">
        <v>45964.0</v>
      </c>
      <c r="AE608" s="148">
        <v>4.9075100019673E13</v>
      </c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65"/>
      <c r="BH608" s="65"/>
      <c r="BI608" s="65"/>
      <c r="BJ608" s="65"/>
      <c r="BK608" s="65"/>
      <c r="BL608" s="65"/>
      <c r="BM608" s="65"/>
      <c r="BN608" s="65"/>
      <c r="BO608" s="65"/>
      <c r="BP608" s="65">
        <v>103222.9</v>
      </c>
      <c r="BQ608" s="65">
        <v>104150.4</v>
      </c>
      <c r="BR608" s="65">
        <v>205004.6</v>
      </c>
      <c r="BS608" s="65">
        <v>207160.02</v>
      </c>
      <c r="BT608" s="88">
        <v>208984.0</v>
      </c>
      <c r="BU608" s="65">
        <v>211252.3</v>
      </c>
      <c r="BV608" s="65">
        <v>213418.2</v>
      </c>
      <c r="BW608" s="90">
        <v>214156.4</v>
      </c>
      <c r="BX608" s="90">
        <v>216047.66</v>
      </c>
      <c r="BY608" s="90">
        <f t="array" ref="BY608">XLOOKUP(C608,'PL TOTAL D0'!$A$3:$A$1991,'PL TOTAL D0'!$C$3:$C$1991,"")</f>
        <v>218365.39</v>
      </c>
    </row>
    <row r="609" ht="15.75" customHeight="1">
      <c r="A609" s="50" t="s">
        <v>24</v>
      </c>
      <c r="B609" s="50" t="s">
        <v>7351</v>
      </c>
      <c r="C609" s="94" t="s">
        <v>7352</v>
      </c>
      <c r="D609" s="81" t="s">
        <v>255</v>
      </c>
      <c r="E609" s="95" t="s">
        <v>199</v>
      </c>
      <c r="F609" s="81" t="s">
        <v>257</v>
      </c>
      <c r="G609" s="47" t="str">
        <f t="shared" si="25"/>
        <v>David</v>
      </c>
      <c r="H609" s="49" t="s">
        <v>224</v>
      </c>
      <c r="I609" s="49" t="s">
        <v>66</v>
      </c>
      <c r="J609" s="47" t="str">
        <f t="shared" si="29"/>
        <v>Não</v>
      </c>
      <c r="K609" s="97">
        <v>45166.0</v>
      </c>
      <c r="L609" s="55">
        <v>45525.0</v>
      </c>
      <c r="M609" s="62" t="s">
        <v>209</v>
      </c>
      <c r="N609" s="98">
        <v>0.016</v>
      </c>
      <c r="O609" s="47" t="s">
        <v>35</v>
      </c>
      <c r="P609" s="99">
        <v>0.2</v>
      </c>
      <c r="Q609" s="58"/>
      <c r="R609" s="635"/>
      <c r="S609" s="62" t="s">
        <v>194</v>
      </c>
      <c r="T609" s="32" t="s">
        <v>7354</v>
      </c>
      <c r="U609" s="33" t="s">
        <v>268</v>
      </c>
      <c r="V609" s="33"/>
      <c r="W609" s="33" t="s">
        <v>268</v>
      </c>
      <c r="X609" s="23" t="s">
        <v>199</v>
      </c>
      <c r="Y609" s="49" t="str">
        <f t="shared" si="22"/>
        <v>Encerrado</v>
      </c>
      <c r="Z609" s="62"/>
      <c r="AA609" s="62"/>
      <c r="AB609" s="64" t="s">
        <v>269</v>
      </c>
      <c r="AC609" s="79"/>
      <c r="AD609" s="54">
        <v>45166.0</v>
      </c>
      <c r="AE609" s="77">
        <v>4.907510000537E13</v>
      </c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65">
        <v>71148.86</v>
      </c>
      <c r="AQ609" s="65">
        <v>71552.49</v>
      </c>
      <c r="AR609" s="65">
        <v>71993.83</v>
      </c>
      <c r="AS609" s="65">
        <v>72378.33</v>
      </c>
      <c r="AT609" s="65">
        <v>72798.95</v>
      </c>
      <c r="AU609" s="65">
        <v>73289.24</v>
      </c>
      <c r="AV609" s="65">
        <v>73727.41</v>
      </c>
      <c r="AW609" s="65">
        <v>74163.19</v>
      </c>
      <c r="AX609" s="65">
        <v>74603.1</v>
      </c>
      <c r="AY609" s="65">
        <v>75047.55</v>
      </c>
      <c r="AZ609" s="65">
        <v>75470.2</v>
      </c>
      <c r="BA609" s="65">
        <v>75933.8</v>
      </c>
      <c r="BB609" s="65">
        <v>0.0</v>
      </c>
      <c r="BC609" s="65">
        <v>0.0</v>
      </c>
      <c r="BD609" s="65">
        <v>0.0</v>
      </c>
      <c r="BE609" s="65">
        <v>0.0</v>
      </c>
      <c r="BF609" s="65">
        <v>0.0</v>
      </c>
      <c r="BG609" s="65">
        <v>0.0</v>
      </c>
      <c r="BH609" s="65">
        <v>0.0</v>
      </c>
      <c r="BI609" s="65">
        <v>0.0</v>
      </c>
      <c r="BJ609" s="65">
        <v>0.0</v>
      </c>
      <c r="BK609" s="65">
        <v>0.0</v>
      </c>
      <c r="BL609" s="65">
        <v>0.0</v>
      </c>
      <c r="BM609" s="65">
        <v>0.0</v>
      </c>
      <c r="BN609" s="65">
        <v>0.0</v>
      </c>
      <c r="BO609" s="65">
        <v>0.0</v>
      </c>
      <c r="BP609" s="65">
        <v>0.0</v>
      </c>
      <c r="BQ609" s="65">
        <v>0.0</v>
      </c>
      <c r="BR609" s="65">
        <v>0.0</v>
      </c>
      <c r="BS609" s="65">
        <v>0.0</v>
      </c>
      <c r="BT609" s="88">
        <v>0.0</v>
      </c>
      <c r="BU609" s="65">
        <v>0.0</v>
      </c>
      <c r="BV609" s="65">
        <v>0.0</v>
      </c>
      <c r="BW609" s="90">
        <v>0.0</v>
      </c>
      <c r="BX609" s="90">
        <v>0.0</v>
      </c>
      <c r="BY609" s="90" t="str">
        <f t="array" ref="BY609">XLOOKUP(C609,'PL TOTAL D0'!$A$3:$A$1991,'PL TOTAL D0'!$C$3:$C$1991,"")</f>
        <v/>
      </c>
    </row>
    <row r="610" ht="15.75" customHeight="1">
      <c r="A610" s="50" t="s">
        <v>24</v>
      </c>
      <c r="B610" s="50" t="s">
        <v>7357</v>
      </c>
      <c r="C610" s="94" t="s">
        <v>7358</v>
      </c>
      <c r="D610" s="81" t="s">
        <v>120</v>
      </c>
      <c r="E610" s="95" t="s">
        <v>199</v>
      </c>
      <c r="F610" s="81" t="s">
        <v>1914</v>
      </c>
      <c r="G610" s="47" t="str">
        <f t="shared" si="25"/>
        <v>David</v>
      </c>
      <c r="H610" s="49" t="s">
        <v>224</v>
      </c>
      <c r="I610" s="49" t="s">
        <v>66</v>
      </c>
      <c r="J610" s="47" t="str">
        <f t="shared" si="29"/>
        <v>Não</v>
      </c>
      <c r="K610" s="97">
        <v>45267.0</v>
      </c>
      <c r="L610" s="55">
        <v>45769.0</v>
      </c>
      <c r="M610" s="66" t="s">
        <v>390</v>
      </c>
      <c r="N610" s="366">
        <v>0.0</v>
      </c>
      <c r="O610" s="81" t="s">
        <v>66</v>
      </c>
      <c r="P610" s="367">
        <v>0.0</v>
      </c>
      <c r="Q610" s="58"/>
      <c r="R610" s="635"/>
      <c r="S610" s="62" t="s">
        <v>234</v>
      </c>
      <c r="T610" s="32" t="s">
        <v>7361</v>
      </c>
      <c r="U610" s="33">
        <v>6.1999665203E10</v>
      </c>
      <c r="V610" s="33" t="s">
        <v>7362</v>
      </c>
      <c r="W610" s="34">
        <v>41064.0</v>
      </c>
      <c r="X610" s="23" t="s">
        <v>199</v>
      </c>
      <c r="Y610" s="49" t="str">
        <f t="shared" si="22"/>
        <v>Encerrado</v>
      </c>
      <c r="Z610" s="62"/>
      <c r="AA610" s="62"/>
      <c r="AB610" s="64" t="s">
        <v>269</v>
      </c>
      <c r="AC610" s="79"/>
      <c r="AD610" s="54">
        <v>45267.0</v>
      </c>
      <c r="AE610" s="77">
        <v>4.9075100012997E13</v>
      </c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65">
        <v>0.0</v>
      </c>
      <c r="AU610" s="65">
        <v>80064.81</v>
      </c>
      <c r="AV610" s="65">
        <v>80563.06</v>
      </c>
      <c r="AW610" s="65">
        <v>81039.79</v>
      </c>
      <c r="AX610" s="65">
        <v>81408.34</v>
      </c>
      <c r="AY610" s="65">
        <v>82050.0</v>
      </c>
      <c r="AZ610" s="65">
        <v>112397.2</v>
      </c>
      <c r="BA610" s="65">
        <v>133518.8</v>
      </c>
      <c r="BB610" s="65">
        <v>0.0</v>
      </c>
      <c r="BC610" s="65">
        <v>0.0</v>
      </c>
      <c r="BD610" s="65">
        <v>0.0</v>
      </c>
      <c r="BE610" s="65">
        <v>0.0</v>
      </c>
      <c r="BF610" s="65">
        <v>0.95</v>
      </c>
      <c r="BG610" s="65">
        <v>0.95</v>
      </c>
      <c r="BH610" s="65">
        <v>0.95</v>
      </c>
      <c r="BI610" s="65">
        <v>0.95</v>
      </c>
      <c r="BJ610" s="65">
        <v>0.0</v>
      </c>
      <c r="BK610" s="65">
        <v>0.0</v>
      </c>
      <c r="BL610" s="65">
        <v>0.0</v>
      </c>
      <c r="BM610" s="65">
        <v>0.0</v>
      </c>
      <c r="BN610" s="65">
        <v>0.0</v>
      </c>
      <c r="BO610" s="65">
        <v>0.0</v>
      </c>
      <c r="BP610" s="65">
        <v>0.0</v>
      </c>
      <c r="BQ610" s="65">
        <v>0.0</v>
      </c>
      <c r="BR610" s="65">
        <v>0.0</v>
      </c>
      <c r="BS610" s="65">
        <v>0.0</v>
      </c>
      <c r="BT610" s="88">
        <v>0.0</v>
      </c>
      <c r="BU610" s="65">
        <v>0.0</v>
      </c>
      <c r="BV610" s="65">
        <v>0.0</v>
      </c>
      <c r="BW610" s="90">
        <v>0.0</v>
      </c>
      <c r="BX610" s="90">
        <v>0.0</v>
      </c>
      <c r="BY610" s="90" t="str">
        <f t="array" ref="BY610">XLOOKUP(C610,'PL TOTAL D0'!$A$3:$A$1991,'PL TOTAL D0'!$C$3:$C$1991,"")</f>
        <v/>
      </c>
    </row>
    <row r="611" ht="15.75" customHeight="1">
      <c r="A611" s="50" t="s">
        <v>24</v>
      </c>
      <c r="B611" s="50" t="s">
        <v>7364</v>
      </c>
      <c r="C611" s="94" t="s">
        <v>7365</v>
      </c>
      <c r="D611" s="81" t="s">
        <v>255</v>
      </c>
      <c r="E611" s="95" t="s">
        <v>199</v>
      </c>
      <c r="F611" s="81" t="s">
        <v>257</v>
      </c>
      <c r="G611" s="47" t="str">
        <f t="shared" si="25"/>
        <v>David</v>
      </c>
      <c r="H611" s="49" t="s">
        <v>224</v>
      </c>
      <c r="I611" s="49" t="s">
        <v>66</v>
      </c>
      <c r="J611" s="47" t="str">
        <f t="shared" si="29"/>
        <v>Não</v>
      </c>
      <c r="K611" s="97">
        <v>45163.0</v>
      </c>
      <c r="L611" s="186">
        <v>45498.0</v>
      </c>
      <c r="M611" s="62" t="s">
        <v>61</v>
      </c>
      <c r="N611" s="98">
        <v>0.01</v>
      </c>
      <c r="O611" s="47" t="s">
        <v>66</v>
      </c>
      <c r="P611" s="99">
        <v>0.0</v>
      </c>
      <c r="Q611" s="58"/>
      <c r="R611" s="58" t="s">
        <v>610</v>
      </c>
      <c r="S611" s="62" t="s">
        <v>194</v>
      </c>
      <c r="T611" s="32" t="s">
        <v>7361</v>
      </c>
      <c r="U611" s="33" t="s">
        <v>268</v>
      </c>
      <c r="V611" s="33"/>
      <c r="W611" s="33" t="s">
        <v>268</v>
      </c>
      <c r="X611" s="23" t="s">
        <v>199</v>
      </c>
      <c r="Y611" s="49" t="str">
        <f t="shared" si="22"/>
        <v>Encerrado</v>
      </c>
      <c r="Z611" s="62"/>
      <c r="AA611" s="62"/>
      <c r="AB611" s="64" t="s">
        <v>269</v>
      </c>
      <c r="AC611" s="79"/>
      <c r="AD611" s="54">
        <v>45163.0</v>
      </c>
      <c r="AE611" s="77">
        <v>4.9075100011516E13</v>
      </c>
      <c r="AF611" s="79"/>
      <c r="AG611" s="79"/>
      <c r="AH611" s="79"/>
      <c r="AI611" s="79"/>
      <c r="AJ611" s="79"/>
      <c r="AK611" s="79"/>
      <c r="AL611" s="65">
        <v>0.0</v>
      </c>
      <c r="AM611" s="65">
        <v>0.0</v>
      </c>
      <c r="AN611" s="65">
        <v>0.0</v>
      </c>
      <c r="AO611" s="65">
        <v>0.0</v>
      </c>
      <c r="AP611" s="65">
        <v>0.0</v>
      </c>
      <c r="AQ611" s="65">
        <v>770341.47</v>
      </c>
      <c r="AR611" s="65">
        <v>774767.0</v>
      </c>
      <c r="AS611" s="65">
        <v>780858.65</v>
      </c>
      <c r="AT611" s="65">
        <v>786142.8</v>
      </c>
      <c r="AU611" s="65">
        <v>791149.87</v>
      </c>
      <c r="AV611" s="65">
        <v>796697.82</v>
      </c>
      <c r="AW611" s="65">
        <v>992536.72</v>
      </c>
      <c r="AX611" s="65">
        <v>1038174.97</v>
      </c>
      <c r="AY611" s="65">
        <v>1060081.0</v>
      </c>
      <c r="AZ611" s="65">
        <v>1088467.0</v>
      </c>
      <c r="BA611" s="65">
        <v>0.0</v>
      </c>
      <c r="BB611" s="65">
        <v>0.0</v>
      </c>
      <c r="BC611" s="65">
        <v>0.0</v>
      </c>
      <c r="BD611" s="65">
        <v>0.0</v>
      </c>
      <c r="BE611" s="65">
        <v>0.0</v>
      </c>
      <c r="BF611" s="65">
        <v>0.0</v>
      </c>
      <c r="BG611" s="65">
        <v>0.0</v>
      </c>
      <c r="BH611" s="65">
        <v>0.0</v>
      </c>
      <c r="BI611" s="65">
        <v>0.0</v>
      </c>
      <c r="BJ611" s="65">
        <v>0.0</v>
      </c>
      <c r="BK611" s="65">
        <v>0.0</v>
      </c>
      <c r="BL611" s="65">
        <v>0.0</v>
      </c>
      <c r="BM611" s="65">
        <v>0.0</v>
      </c>
      <c r="BN611" s="65">
        <v>0.0</v>
      </c>
      <c r="BO611" s="65">
        <v>0.0</v>
      </c>
      <c r="BP611" s="65">
        <v>0.0</v>
      </c>
      <c r="BQ611" s="65">
        <v>0.0</v>
      </c>
      <c r="BR611" s="65">
        <v>0.0</v>
      </c>
      <c r="BS611" s="65">
        <v>0.0</v>
      </c>
      <c r="BT611" s="88">
        <v>0.0</v>
      </c>
      <c r="BU611" s="65">
        <v>0.0</v>
      </c>
      <c r="BV611" s="65">
        <v>0.0</v>
      </c>
      <c r="BW611" s="90">
        <v>0.0</v>
      </c>
      <c r="BX611" s="90">
        <v>0.0</v>
      </c>
      <c r="BY611" s="90" t="str">
        <f t="array" ref="BY611">XLOOKUP(C611,'PL TOTAL D0'!$A$3:$A$1991,'PL TOTAL D0'!$C$3:$C$1991,"")</f>
        <v/>
      </c>
    </row>
    <row r="612" ht="15.75" customHeight="1">
      <c r="A612" s="50" t="s">
        <v>24</v>
      </c>
      <c r="B612" s="50" t="s">
        <v>7372</v>
      </c>
      <c r="C612" s="94" t="s">
        <v>2953</v>
      </c>
      <c r="D612" s="81" t="s">
        <v>120</v>
      </c>
      <c r="E612" s="95" t="s">
        <v>475</v>
      </c>
      <c r="F612" s="95" t="s">
        <v>1658</v>
      </c>
      <c r="G612" s="47" t="str">
        <f t="shared" si="25"/>
        <v>Gabriel</v>
      </c>
      <c r="H612" s="49" t="s">
        <v>295</v>
      </c>
      <c r="I612" s="49" t="s">
        <v>66</v>
      </c>
      <c r="J612" s="47" t="str">
        <f t="shared" si="29"/>
        <v>Não</v>
      </c>
      <c r="K612" s="189">
        <v>44973.0</v>
      </c>
      <c r="L612" s="379"/>
      <c r="M612" s="62" t="s">
        <v>209</v>
      </c>
      <c r="N612" s="98">
        <v>0.015</v>
      </c>
      <c r="O612" s="62" t="s">
        <v>35</v>
      </c>
      <c r="P612" s="99">
        <v>0.1</v>
      </c>
      <c r="Q612" s="58"/>
      <c r="R612" s="190"/>
      <c r="S612" s="62" t="s">
        <v>194</v>
      </c>
      <c r="T612" s="21" t="s">
        <v>2149</v>
      </c>
      <c r="U612" s="33">
        <v>5.528999101937E12</v>
      </c>
      <c r="V612" s="33" t="s">
        <v>7373</v>
      </c>
      <c r="W612" s="48">
        <v>13806.0</v>
      </c>
      <c r="X612" s="32" t="s">
        <v>1507</v>
      </c>
      <c r="Y612" s="49" t="str">
        <f t="shared" si="22"/>
        <v>Ativo</v>
      </c>
      <c r="Z612" s="62"/>
      <c r="AA612" s="62"/>
      <c r="AB612" s="32" t="s">
        <v>269</v>
      </c>
      <c r="AC612" s="379"/>
      <c r="AD612" s="54">
        <v>44973.0</v>
      </c>
      <c r="AE612" s="77">
        <v>4.9075100005941E13</v>
      </c>
      <c r="AF612" s="379"/>
      <c r="AG612" s="379"/>
      <c r="AH612" s="379"/>
      <c r="AI612" s="820"/>
      <c r="AJ612" s="821">
        <v>689994.38</v>
      </c>
      <c r="AK612" s="821">
        <v>685952.92</v>
      </c>
      <c r="AL612" s="187">
        <v>687270.9</v>
      </c>
      <c r="AM612" s="821">
        <v>697627.07</v>
      </c>
      <c r="AN612" s="821">
        <v>911550.56</v>
      </c>
      <c r="AO612" s="65">
        <v>923030.07</v>
      </c>
      <c r="AP612" s="65">
        <v>927788.28</v>
      </c>
      <c r="AQ612" s="65">
        <v>932100.04</v>
      </c>
      <c r="AR612" s="65">
        <v>804260.81</v>
      </c>
      <c r="AS612" s="65">
        <v>812554.67</v>
      </c>
      <c r="AT612" s="65">
        <v>820967.38</v>
      </c>
      <c r="AU612" s="65">
        <v>817404.64</v>
      </c>
      <c r="AV612" s="65">
        <v>821869.41</v>
      </c>
      <c r="AW612" s="65">
        <v>828451.96</v>
      </c>
      <c r="AX612" s="65">
        <v>825193.77</v>
      </c>
      <c r="AY612" s="65">
        <v>823592.2</v>
      </c>
      <c r="AZ612" s="65">
        <v>827435.9</v>
      </c>
      <c r="BA612" s="65">
        <v>836514.8</v>
      </c>
      <c r="BB612" s="65">
        <v>843242.58</v>
      </c>
      <c r="BC612" s="65">
        <v>842113.44</v>
      </c>
      <c r="BD612" s="65">
        <v>839189.59</v>
      </c>
      <c r="BE612" s="65">
        <v>392753.75</v>
      </c>
      <c r="BF612" s="65">
        <v>372995.69</v>
      </c>
      <c r="BG612" s="65">
        <v>378411.54</v>
      </c>
      <c r="BH612" s="65">
        <v>390836.9</v>
      </c>
      <c r="BI612" s="65">
        <v>386089.13</v>
      </c>
      <c r="BJ612" s="65">
        <v>381777.62</v>
      </c>
      <c r="BK612" s="65">
        <v>395585.97</v>
      </c>
      <c r="BL612" s="65">
        <v>395139.36</v>
      </c>
      <c r="BM612" s="65">
        <v>397678.05</v>
      </c>
      <c r="BN612" s="65">
        <v>399134.6</v>
      </c>
      <c r="BO612" s="65">
        <v>407243.15</v>
      </c>
      <c r="BP612" s="65">
        <v>418515.6</v>
      </c>
      <c r="BQ612" s="65">
        <v>416667.4</v>
      </c>
      <c r="BR612" s="65">
        <v>394961.8</v>
      </c>
      <c r="BS612" s="65">
        <v>403605.86</v>
      </c>
      <c r="BT612" s="88">
        <v>417572.6</v>
      </c>
      <c r="BU612" s="65">
        <v>386244.5</v>
      </c>
      <c r="BV612" s="65">
        <v>401178.8</v>
      </c>
      <c r="BW612" s="90">
        <v>414098.8</v>
      </c>
      <c r="BX612" s="90">
        <v>422433.04</v>
      </c>
      <c r="BY612" s="90">
        <f t="array" ref="BY612">XLOOKUP(C612,'PL TOTAL D0'!$A$3:$A$1991,'PL TOTAL D0'!$C$3:$C$1991,"")</f>
        <v>430061</v>
      </c>
    </row>
    <row r="613" ht="15.75" customHeight="1">
      <c r="A613" s="50" t="s">
        <v>24</v>
      </c>
      <c r="B613" s="43" t="s">
        <v>7381</v>
      </c>
      <c r="C613" s="53" t="s">
        <v>3302</v>
      </c>
      <c r="D613" s="30" t="s">
        <v>53</v>
      </c>
      <c r="E613" s="22" t="s">
        <v>54</v>
      </c>
      <c r="F613" s="22" t="s">
        <v>55</v>
      </c>
      <c r="G613" s="47" t="str">
        <f t="shared" si="25"/>
        <v>David</v>
      </c>
      <c r="H613" s="49" t="s">
        <v>183</v>
      </c>
      <c r="I613" s="49" t="s">
        <v>66</v>
      </c>
      <c r="J613" s="47" t="str">
        <f t="shared" si="29"/>
        <v>Sim</v>
      </c>
      <c r="K613" s="186">
        <v>46192.0</v>
      </c>
      <c r="L613" s="379"/>
      <c r="M613" s="32" t="s">
        <v>7382</v>
      </c>
      <c r="N613" s="98">
        <v>0.013</v>
      </c>
      <c r="O613" s="32" t="s">
        <v>66</v>
      </c>
      <c r="P613" s="57">
        <v>0.0</v>
      </c>
      <c r="Q613" s="58" t="s">
        <v>7383</v>
      </c>
      <c r="R613" s="190"/>
      <c r="S613" s="32" t="s">
        <v>194</v>
      </c>
      <c r="T613" s="21" t="s">
        <v>7384</v>
      </c>
      <c r="U613" s="33" t="s">
        <v>7385</v>
      </c>
      <c r="V613" s="33" t="s">
        <v>7386</v>
      </c>
      <c r="W613" s="48">
        <v>21522.0</v>
      </c>
      <c r="X613" s="32" t="s">
        <v>77</v>
      </c>
      <c r="Y613" s="49" t="str">
        <f t="shared" si="22"/>
        <v>Ativo</v>
      </c>
      <c r="Z613" s="62"/>
      <c r="AA613" s="32" t="s">
        <v>47</v>
      </c>
      <c r="AB613" s="32"/>
      <c r="AC613" s="379"/>
      <c r="AD613" s="54">
        <v>46203.0</v>
      </c>
      <c r="AE613" s="77"/>
      <c r="AF613" s="379"/>
      <c r="AG613" s="379"/>
      <c r="AH613" s="379"/>
      <c r="AI613" s="820"/>
      <c r="AJ613" s="821"/>
      <c r="AK613" s="821"/>
      <c r="AL613" s="187"/>
      <c r="AM613" s="821"/>
      <c r="AN613" s="821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  <c r="BE613" s="65"/>
      <c r="BF613" s="65"/>
      <c r="BG613" s="65"/>
      <c r="BH613" s="65"/>
      <c r="BI613" s="65"/>
      <c r="BJ613" s="65"/>
      <c r="BK613" s="65"/>
      <c r="BL613" s="65"/>
      <c r="BM613" s="65"/>
      <c r="BN613" s="65"/>
      <c r="BO613" s="65"/>
      <c r="BP613" s="65"/>
      <c r="BQ613" s="65"/>
      <c r="BR613" s="65"/>
      <c r="BS613" s="65"/>
      <c r="BT613" s="88"/>
      <c r="BU613" s="65"/>
      <c r="BV613" s="65"/>
      <c r="BW613" s="90"/>
      <c r="BX613" s="90">
        <v>104713.0</v>
      </c>
      <c r="BY613" s="90">
        <f t="array" ref="BY613">XLOOKUP(C613,'PL TOTAL D0'!$A$3:$A$1991,'PL TOTAL D0'!$C$3:$C$1991,"")</f>
        <v>105653.25</v>
      </c>
    </row>
    <row r="614" ht="15.75" customHeight="1">
      <c r="A614" s="50" t="s">
        <v>24</v>
      </c>
      <c r="B614" s="50" t="s">
        <v>7389</v>
      </c>
      <c r="C614" s="94" t="s">
        <v>7390</v>
      </c>
      <c r="D614" s="81" t="s">
        <v>120</v>
      </c>
      <c r="E614" s="95" t="s">
        <v>54</v>
      </c>
      <c r="F614" s="81" t="s">
        <v>379</v>
      </c>
      <c r="G614" s="47" t="str">
        <f t="shared" si="25"/>
        <v>David</v>
      </c>
      <c r="H614" s="49" t="s">
        <v>295</v>
      </c>
      <c r="I614" s="49" t="s">
        <v>382</v>
      </c>
      <c r="J614" s="47" t="str">
        <f t="shared" si="29"/>
        <v>Não</v>
      </c>
      <c r="K614" s="97">
        <v>45163.0</v>
      </c>
      <c r="L614" s="189"/>
      <c r="M614" s="62" t="s">
        <v>61</v>
      </c>
      <c r="N614" s="98">
        <v>0.01</v>
      </c>
      <c r="O614" s="47" t="s">
        <v>66</v>
      </c>
      <c r="P614" s="99">
        <v>0.0</v>
      </c>
      <c r="Q614" s="58"/>
      <c r="R614" s="58" t="s">
        <v>7391</v>
      </c>
      <c r="S614" s="62" t="s">
        <v>194</v>
      </c>
      <c r="T614" s="32" t="s">
        <v>7392</v>
      </c>
      <c r="U614" s="33">
        <v>6.1984130864E10</v>
      </c>
      <c r="V614" s="33" t="s">
        <v>5488</v>
      </c>
      <c r="W614" s="34">
        <v>17307.0</v>
      </c>
      <c r="X614" s="23" t="s">
        <v>199</v>
      </c>
      <c r="Y614" s="49" t="str">
        <f t="shared" si="22"/>
        <v>Ativo</v>
      </c>
      <c r="Z614" s="62"/>
      <c r="AA614" s="62"/>
      <c r="AB614" s="64" t="s">
        <v>244</v>
      </c>
      <c r="AC614" s="79"/>
      <c r="AD614" s="54">
        <v>45163.0</v>
      </c>
      <c r="AE614" s="77">
        <v>4.9075100011524E13</v>
      </c>
      <c r="AF614" s="79"/>
      <c r="AG614" s="79"/>
      <c r="AH614" s="79"/>
      <c r="AI614" s="65">
        <v>0.0</v>
      </c>
      <c r="AJ614" s="65">
        <v>0.0</v>
      </c>
      <c r="AK614" s="65">
        <v>0.0</v>
      </c>
      <c r="AL614" s="65">
        <v>0.0</v>
      </c>
      <c r="AM614" s="65">
        <v>0.0</v>
      </c>
      <c r="AN614" s="65">
        <v>0.0</v>
      </c>
      <c r="AO614" s="65">
        <v>0.0</v>
      </c>
      <c r="AP614" s="65">
        <v>0.0</v>
      </c>
      <c r="AQ614" s="65">
        <v>0.0</v>
      </c>
      <c r="AR614" s="65">
        <v>0.0</v>
      </c>
      <c r="AS614" s="65">
        <v>0.0</v>
      </c>
      <c r="AT614" s="65">
        <v>0.0</v>
      </c>
      <c r="AU614" s="65">
        <v>0.0</v>
      </c>
      <c r="AV614" s="65">
        <v>0.0</v>
      </c>
      <c r="AW614" s="65">
        <v>0.0</v>
      </c>
      <c r="AX614" s="65">
        <v>0.0</v>
      </c>
      <c r="AY614" s="65">
        <v>80000.0</v>
      </c>
      <c r="AZ614" s="65">
        <v>80646.04</v>
      </c>
      <c r="BA614" s="65">
        <v>81389.09</v>
      </c>
      <c r="BB614" s="65">
        <v>82052.3</v>
      </c>
      <c r="BC614" s="65">
        <v>82751.04</v>
      </c>
      <c r="BD614" s="65">
        <v>83295.18</v>
      </c>
      <c r="BE614" s="65">
        <v>83969.91</v>
      </c>
      <c r="BF614" s="65">
        <v>84640.0</v>
      </c>
      <c r="BG614" s="65">
        <v>0.0</v>
      </c>
      <c r="BH614" s="65">
        <v>1.45</v>
      </c>
      <c r="BI614" s="65">
        <v>1.45</v>
      </c>
      <c r="BJ614" s="65">
        <v>0.0</v>
      </c>
      <c r="BK614" s="65">
        <v>0.0</v>
      </c>
      <c r="BL614" s="65">
        <v>0.0</v>
      </c>
      <c r="BM614" s="65">
        <v>0.0</v>
      </c>
      <c r="BN614" s="65">
        <v>0.0</v>
      </c>
      <c r="BO614" s="65">
        <v>0.0</v>
      </c>
      <c r="BP614" s="65">
        <v>0.0</v>
      </c>
      <c r="BQ614" s="65">
        <v>0.0</v>
      </c>
      <c r="BR614" s="65">
        <v>0.0</v>
      </c>
      <c r="BS614" s="65">
        <v>0.0</v>
      </c>
      <c r="BT614" s="88">
        <v>0.0</v>
      </c>
      <c r="BU614" s="65">
        <v>0.0</v>
      </c>
      <c r="BV614" s="65">
        <v>0.0</v>
      </c>
      <c r="BW614" s="90">
        <v>0.0</v>
      </c>
      <c r="BX614" s="90">
        <v>0.0</v>
      </c>
      <c r="BY614" s="90" t="str">
        <f t="array" ref="BY614">XLOOKUP(C614,'PL TOTAL D0'!$A$3:$A$1991,'PL TOTAL D0'!$C$3:$C$1991,"")</f>
        <v/>
      </c>
    </row>
    <row r="615" ht="15.75" customHeight="1">
      <c r="A615" s="50" t="s">
        <v>24</v>
      </c>
      <c r="B615" s="176" t="s">
        <v>7395</v>
      </c>
      <c r="C615" s="94" t="s">
        <v>2799</v>
      </c>
      <c r="D615" s="30" t="s">
        <v>89</v>
      </c>
      <c r="E615" s="95" t="s">
        <v>91</v>
      </c>
      <c r="F615" s="81" t="s">
        <v>193</v>
      </c>
      <c r="G615" s="47" t="str">
        <f t="shared" si="25"/>
        <v>Gabriel</v>
      </c>
      <c r="H615" s="74" t="s">
        <v>183</v>
      </c>
      <c r="I615" s="74" t="s">
        <v>66</v>
      </c>
      <c r="J615" s="47" t="str">
        <f t="shared" si="29"/>
        <v>Não</v>
      </c>
      <c r="K615" s="97">
        <v>45028.0</v>
      </c>
      <c r="L615" s="62"/>
      <c r="M615" s="62" t="s">
        <v>209</v>
      </c>
      <c r="N615" s="98">
        <v>0.015</v>
      </c>
      <c r="O615" s="47" t="s">
        <v>35</v>
      </c>
      <c r="P615" s="99">
        <v>0.1</v>
      </c>
      <c r="Q615" s="58"/>
      <c r="R615" s="70"/>
      <c r="S615" s="62" t="s">
        <v>194</v>
      </c>
      <c r="T615" s="32" t="s">
        <v>5958</v>
      </c>
      <c r="U615" s="33">
        <v>5.543999384419E12</v>
      </c>
      <c r="V615" s="33" t="s">
        <v>7396</v>
      </c>
      <c r="W615" s="34">
        <v>26519.0</v>
      </c>
      <c r="X615" s="23" t="s">
        <v>221</v>
      </c>
      <c r="Y615" s="49" t="str">
        <f t="shared" si="22"/>
        <v>Ativo</v>
      </c>
      <c r="Z615" s="62"/>
      <c r="AA615" s="62"/>
      <c r="AB615" s="64" t="s">
        <v>269</v>
      </c>
      <c r="AC615" s="79"/>
      <c r="AD615" s="54">
        <v>45028.0</v>
      </c>
      <c r="AE615" s="77">
        <v>4.9075100009112E13</v>
      </c>
      <c r="AF615" s="79"/>
      <c r="AG615" s="79"/>
      <c r="AH615" s="79"/>
      <c r="AI615" s="79"/>
      <c r="AJ615" s="79"/>
      <c r="AK615" s="65">
        <v>0.0</v>
      </c>
      <c r="AL615" s="65">
        <v>546983.7</v>
      </c>
      <c r="AM615" s="65">
        <v>569712.92</v>
      </c>
      <c r="AN615" s="65">
        <v>599690.17</v>
      </c>
      <c r="AO615" s="65">
        <v>641342.23</v>
      </c>
      <c r="AP615" s="65">
        <v>637489.29</v>
      </c>
      <c r="AQ615" s="65">
        <v>661262.77</v>
      </c>
      <c r="AR615" s="65">
        <v>665519.79</v>
      </c>
      <c r="AS615" s="65">
        <v>680406.48</v>
      </c>
      <c r="AT615" s="65">
        <v>728909.45</v>
      </c>
      <c r="AU615" s="65">
        <v>718767.34</v>
      </c>
      <c r="AV615" s="65">
        <v>723223.94</v>
      </c>
      <c r="AW615" s="65">
        <v>731594.67</v>
      </c>
      <c r="AX615" s="65">
        <v>723448.31</v>
      </c>
      <c r="AY615" s="65">
        <v>730414.8</v>
      </c>
      <c r="AZ615" s="65">
        <v>734737.3</v>
      </c>
      <c r="BA615" s="65">
        <v>744908.5</v>
      </c>
      <c r="BB615" s="65">
        <v>752580.22</v>
      </c>
      <c r="BC615" s="65">
        <v>750229.52</v>
      </c>
      <c r="BD615" s="65">
        <v>742514.09</v>
      </c>
      <c r="BE615" s="65">
        <v>889017.75</v>
      </c>
      <c r="BF615" s="65">
        <v>889297.64</v>
      </c>
      <c r="BG615" s="65">
        <v>838981.24</v>
      </c>
      <c r="BH615" s="65">
        <v>1020628.24</v>
      </c>
      <c r="BI615" s="65">
        <v>788263.0</v>
      </c>
      <c r="BJ615" s="65">
        <v>797443.17</v>
      </c>
      <c r="BK615" s="65">
        <v>808986.91</v>
      </c>
      <c r="BL615" s="65">
        <v>909127.03</v>
      </c>
      <c r="BM615" s="65">
        <v>915747.33</v>
      </c>
      <c r="BN615" s="65">
        <v>1028432.0</v>
      </c>
      <c r="BO615" s="65">
        <v>896509.87</v>
      </c>
      <c r="BP615" s="65">
        <v>856484.3</v>
      </c>
      <c r="BQ615" s="65">
        <v>861016.5</v>
      </c>
      <c r="BR615" s="65">
        <v>868402.6</v>
      </c>
      <c r="BS615" s="65">
        <v>785919.27</v>
      </c>
      <c r="BT615" s="88">
        <v>794954.9</v>
      </c>
      <c r="BU615" s="65">
        <v>596314.1</v>
      </c>
      <c r="BV615" s="65">
        <v>663398.6</v>
      </c>
      <c r="BW615" s="90">
        <v>662882.4</v>
      </c>
      <c r="BX615" s="90">
        <v>697774.49</v>
      </c>
      <c r="BY615" s="90">
        <f t="array" ref="BY615">XLOOKUP(C615,'PL TOTAL D0'!$A$3:$A$1991,'PL TOTAL D0'!$C$3:$C$1991,"")</f>
        <v>676564.82</v>
      </c>
    </row>
    <row r="616" ht="15.75" customHeight="1">
      <c r="A616" s="50" t="s">
        <v>24</v>
      </c>
      <c r="B616" s="176" t="s">
        <v>7399</v>
      </c>
      <c r="C616" s="94" t="s">
        <v>2808</v>
      </c>
      <c r="D616" s="30" t="s">
        <v>53</v>
      </c>
      <c r="E616" s="95" t="s">
        <v>54</v>
      </c>
      <c r="F616" s="81" t="s">
        <v>7402</v>
      </c>
      <c r="G616" s="47" t="str">
        <f t="shared" si="25"/>
        <v>Gabriel</v>
      </c>
      <c r="H616" s="49" t="s">
        <v>183</v>
      </c>
      <c r="I616" s="74" t="s">
        <v>66</v>
      </c>
      <c r="J616" s="47" t="str">
        <f t="shared" si="29"/>
        <v>Não</v>
      </c>
      <c r="K616" s="97">
        <v>46030.0</v>
      </c>
      <c r="L616" s="62"/>
      <c r="M616" s="62" t="s">
        <v>61</v>
      </c>
      <c r="N616" s="98">
        <v>0.012</v>
      </c>
      <c r="O616" s="47" t="s">
        <v>66</v>
      </c>
      <c r="P616" s="99">
        <v>0.0</v>
      </c>
      <c r="Q616" s="58"/>
      <c r="R616" s="70"/>
      <c r="S616" s="62" t="s">
        <v>194</v>
      </c>
      <c r="T616" s="32" t="s">
        <v>7404</v>
      </c>
      <c r="U616" s="33" t="s">
        <v>7405</v>
      </c>
      <c r="V616" s="33" t="s">
        <v>7406</v>
      </c>
      <c r="W616" s="34">
        <v>19463.0</v>
      </c>
      <c r="X616" s="23" t="s">
        <v>54</v>
      </c>
      <c r="Y616" s="49" t="str">
        <f t="shared" si="22"/>
        <v>Ativo</v>
      </c>
      <c r="Z616" s="62"/>
      <c r="AA616" s="62" t="s">
        <v>47</v>
      </c>
      <c r="AB616" s="64"/>
      <c r="AC616" s="79"/>
      <c r="AD616" s="54">
        <v>46203.0</v>
      </c>
      <c r="AE616" s="77"/>
      <c r="AF616" s="79"/>
      <c r="AG616" s="79"/>
      <c r="AH616" s="79"/>
      <c r="AI616" s="79"/>
      <c r="AJ616" s="79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  <c r="BE616" s="65"/>
      <c r="BF616" s="65"/>
      <c r="BG616" s="65"/>
      <c r="BH616" s="65"/>
      <c r="BI616" s="65"/>
      <c r="BJ616" s="65"/>
      <c r="BK616" s="65"/>
      <c r="BL616" s="65"/>
      <c r="BM616" s="65"/>
      <c r="BN616" s="65"/>
      <c r="BO616" s="65"/>
      <c r="BP616" s="65"/>
      <c r="BQ616" s="65"/>
      <c r="BR616" s="65"/>
      <c r="BS616" s="65">
        <v>600616.11</v>
      </c>
      <c r="BT616" s="88">
        <v>606814.1</v>
      </c>
      <c r="BU616" s="65">
        <v>614528.5</v>
      </c>
      <c r="BV616" s="65">
        <v>621154.3</v>
      </c>
      <c r="BW616" s="90">
        <v>627857.6</v>
      </c>
      <c r="BX616" s="90">
        <v>634579.22</v>
      </c>
      <c r="BY616" s="90">
        <f t="array" ref="BY616">XLOOKUP(C616,'PL TOTAL D0'!$A$3:$A$1991,'PL TOTAL D0'!$C$3:$C$1991,"")</f>
        <v>642043.53</v>
      </c>
    </row>
    <row r="617" ht="15.75" customHeight="1">
      <c r="A617" s="50" t="s">
        <v>24</v>
      </c>
      <c r="B617" s="368" t="s">
        <v>7409</v>
      </c>
      <c r="C617" s="94" t="s">
        <v>7410</v>
      </c>
      <c r="D617" s="30" t="s">
        <v>1664</v>
      </c>
      <c r="E617" s="95" t="s">
        <v>54</v>
      </c>
      <c r="F617" s="30" t="s">
        <v>1667</v>
      </c>
      <c r="G617" s="47" t="str">
        <f t="shared" si="25"/>
        <v>David</v>
      </c>
      <c r="H617" s="49" t="s">
        <v>224</v>
      </c>
      <c r="I617" s="49" t="s">
        <v>66</v>
      </c>
      <c r="J617" s="47" t="str">
        <f t="shared" si="29"/>
        <v>Não</v>
      </c>
      <c r="K617" s="97">
        <v>45209.0</v>
      </c>
      <c r="L617" s="121">
        <v>45943.0</v>
      </c>
      <c r="M617" s="62" t="s">
        <v>61</v>
      </c>
      <c r="N617" s="98">
        <v>0.012</v>
      </c>
      <c r="O617" s="47" t="s">
        <v>66</v>
      </c>
      <c r="P617" s="99">
        <v>0.0</v>
      </c>
      <c r="Q617" s="58"/>
      <c r="R617" s="70"/>
      <c r="S617" s="62" t="s">
        <v>194</v>
      </c>
      <c r="T617" s="32" t="s">
        <v>7412</v>
      </c>
      <c r="U617" s="33" t="s">
        <v>268</v>
      </c>
      <c r="V617" s="33"/>
      <c r="W617" s="33" t="s">
        <v>268</v>
      </c>
      <c r="X617" s="23" t="s">
        <v>54</v>
      </c>
      <c r="Y617" s="49" t="str">
        <f t="shared" si="22"/>
        <v>Encerrado</v>
      </c>
      <c r="Z617" s="62"/>
      <c r="AA617" s="62"/>
      <c r="AB617" s="64" t="s">
        <v>269</v>
      </c>
      <c r="AC617" s="79"/>
      <c r="AD617" s="54">
        <v>45209.0</v>
      </c>
      <c r="AE617" s="77">
        <v>4.907510001252E13</v>
      </c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65">
        <v>0.0</v>
      </c>
      <c r="AR617" s="65">
        <v>398364.46</v>
      </c>
      <c r="AS617" s="65">
        <v>401238.27</v>
      </c>
      <c r="AT617" s="65">
        <v>404093.6</v>
      </c>
      <c r="AU617" s="65">
        <v>407558.7</v>
      </c>
      <c r="AV617" s="65">
        <v>66022.77</v>
      </c>
      <c r="AW617" s="65">
        <v>66386.28</v>
      </c>
      <c r="AX617" s="65">
        <v>66844.74</v>
      </c>
      <c r="AY617" s="65">
        <v>67277.07</v>
      </c>
      <c r="AZ617" s="65">
        <v>67716.53</v>
      </c>
      <c r="BA617" s="65">
        <v>68261.7</v>
      </c>
      <c r="BB617" s="65">
        <v>68778.42</v>
      </c>
      <c r="BC617" s="65">
        <v>229232.87</v>
      </c>
      <c r="BD617" s="65">
        <v>231582.84</v>
      </c>
      <c r="BE617" s="65">
        <v>176524.86</v>
      </c>
      <c r="BF617" s="65">
        <v>127576.6</v>
      </c>
      <c r="BG617" s="65">
        <v>128862.55</v>
      </c>
      <c r="BH617" s="65">
        <v>129776.06</v>
      </c>
      <c r="BI617" s="65">
        <v>131229.65</v>
      </c>
      <c r="BJ617" s="65">
        <v>132194.66</v>
      </c>
      <c r="BK617" s="65">
        <v>133401.82</v>
      </c>
      <c r="BL617" s="65">
        <v>134612.8</v>
      </c>
      <c r="BM617" s="65">
        <v>0.0</v>
      </c>
      <c r="BN617" s="65">
        <v>0.0</v>
      </c>
      <c r="BO617" s="65">
        <v>0.0</v>
      </c>
      <c r="BP617" s="65">
        <v>0.0</v>
      </c>
      <c r="BQ617" s="65">
        <v>0.0</v>
      </c>
      <c r="BR617" s="65">
        <v>0.0</v>
      </c>
      <c r="BS617" s="65">
        <v>0.0</v>
      </c>
      <c r="BT617" s="88">
        <v>0.0</v>
      </c>
      <c r="BU617" s="65">
        <v>0.0</v>
      </c>
      <c r="BV617" s="65">
        <v>0.0</v>
      </c>
      <c r="BW617" s="90">
        <v>0.0</v>
      </c>
      <c r="BX617" s="90">
        <v>0.0</v>
      </c>
      <c r="BY617" s="90" t="str">
        <f t="array" ref="BY617">XLOOKUP(C617,'PL TOTAL D0'!$A$3:$A$1991,'PL TOTAL D0'!$C$3:$C$1991,"")</f>
        <v/>
      </c>
    </row>
    <row r="618" ht="15.75" customHeight="1">
      <c r="A618" s="50" t="s">
        <v>24</v>
      </c>
      <c r="B618" s="43" t="s">
        <v>7419</v>
      </c>
      <c r="C618" s="94" t="s">
        <v>2751</v>
      </c>
      <c r="D618" s="81" t="s">
        <v>120</v>
      </c>
      <c r="E618" s="95" t="s">
        <v>199</v>
      </c>
      <c r="F618" s="81" t="s">
        <v>212</v>
      </c>
      <c r="G618" s="47" t="str">
        <f t="shared" si="25"/>
        <v>David</v>
      </c>
      <c r="H618" s="74" t="s">
        <v>183</v>
      </c>
      <c r="I618" s="74" t="s">
        <v>66</v>
      </c>
      <c r="J618" s="47" t="str">
        <f t="shared" si="29"/>
        <v>Não</v>
      </c>
      <c r="K618" s="97">
        <v>44971.0</v>
      </c>
      <c r="L618" s="62"/>
      <c r="M618" s="62" t="s">
        <v>61</v>
      </c>
      <c r="N618" s="98">
        <v>0.007</v>
      </c>
      <c r="O618" s="47" t="s">
        <v>66</v>
      </c>
      <c r="P618" s="99">
        <v>0.0</v>
      </c>
      <c r="Q618" s="58"/>
      <c r="R618" s="190"/>
      <c r="S618" s="62" t="s">
        <v>194</v>
      </c>
      <c r="T618" s="32" t="s">
        <v>5722</v>
      </c>
      <c r="U618" s="33">
        <v>5.561993330404E12</v>
      </c>
      <c r="V618" s="33" t="s">
        <v>7420</v>
      </c>
      <c r="W618" s="48">
        <v>17123.0</v>
      </c>
      <c r="X618" s="23" t="s">
        <v>199</v>
      </c>
      <c r="Y618" s="49" t="str">
        <f t="shared" si="22"/>
        <v>Ativo</v>
      </c>
      <c r="Z618" s="62"/>
      <c r="AA618" s="62"/>
      <c r="AB618" s="64" t="s">
        <v>269</v>
      </c>
      <c r="AC618" s="79"/>
      <c r="AD618" s="54">
        <v>44971.0</v>
      </c>
      <c r="AE618" s="77">
        <v>4.9075100012539E13</v>
      </c>
      <c r="AF618" s="79"/>
      <c r="AG618" s="79"/>
      <c r="AH618" s="79"/>
      <c r="AI618" s="65">
        <v>0.0</v>
      </c>
      <c r="AJ618" s="65">
        <v>1110727.78</v>
      </c>
      <c r="AK618" s="65">
        <v>2743133.96</v>
      </c>
      <c r="AL618" s="65">
        <v>2763862.97</v>
      </c>
      <c r="AM618" s="65">
        <v>2795420.34</v>
      </c>
      <c r="AN618" s="65">
        <v>3088831.62</v>
      </c>
      <c r="AO618" s="65">
        <v>3118395.57</v>
      </c>
      <c r="AP618" s="65">
        <v>3151164.23</v>
      </c>
      <c r="AQ618" s="65">
        <v>3126195.15</v>
      </c>
      <c r="AR618" s="65">
        <v>3155608.43</v>
      </c>
      <c r="AS618" s="65">
        <v>3211508.29</v>
      </c>
      <c r="AT618" s="65">
        <v>3238270.45</v>
      </c>
      <c r="AU618" s="65">
        <v>3390746.18</v>
      </c>
      <c r="AV618" s="65">
        <v>23394.6</v>
      </c>
      <c r="AW618" s="65">
        <v>23577.54</v>
      </c>
      <c r="AX618" s="65">
        <v>23611.7</v>
      </c>
      <c r="AY618" s="65">
        <v>23779.99</v>
      </c>
      <c r="AZ618" s="65">
        <v>23921.04</v>
      </c>
      <c r="BA618" s="65">
        <v>24130.15</v>
      </c>
      <c r="BB618" s="65">
        <v>114319.62</v>
      </c>
      <c r="BC618" s="65">
        <v>115242.23</v>
      </c>
      <c r="BD618" s="65">
        <v>116253.16</v>
      </c>
      <c r="BE618" s="65">
        <v>116677.13</v>
      </c>
      <c r="BF618" s="65">
        <v>117505.37</v>
      </c>
      <c r="BG618" s="65">
        <v>118663.85</v>
      </c>
      <c r="BH618" s="65">
        <v>119829.55</v>
      </c>
      <c r="BI618" s="65">
        <v>120885.35</v>
      </c>
      <c r="BJ618" s="65">
        <v>122029.33</v>
      </c>
      <c r="BK618" s="65">
        <v>62203.11</v>
      </c>
      <c r="BL618" s="65">
        <v>62569.71</v>
      </c>
      <c r="BM618" s="65">
        <v>263320.3</v>
      </c>
      <c r="BN618" s="65">
        <v>258615.1</v>
      </c>
      <c r="BO618" s="65">
        <v>157045.4</v>
      </c>
      <c r="BP618" s="65">
        <v>158915.5</v>
      </c>
      <c r="BQ618" s="65">
        <v>159695.2</v>
      </c>
      <c r="BR618" s="65">
        <v>131406.9</v>
      </c>
      <c r="BS618" s="65">
        <v>133516.15</v>
      </c>
      <c r="BT618" s="88">
        <v>134008.8</v>
      </c>
      <c r="BU618" s="65">
        <v>843307.7</v>
      </c>
      <c r="BV618" s="65">
        <v>853787.9</v>
      </c>
      <c r="BW618" s="90">
        <v>863281.7</v>
      </c>
      <c r="BX618" s="90">
        <v>872116.39</v>
      </c>
      <c r="BY618" s="90">
        <f t="array" ref="BY618">XLOOKUP(C618,'PL TOTAL D0'!$A$3:$A$1991,'PL TOTAL D0'!$C$3:$C$1991,"")</f>
        <v>883254.17</v>
      </c>
    </row>
    <row r="619" ht="15.75" customHeight="1">
      <c r="A619" s="50" t="s">
        <v>24</v>
      </c>
      <c r="B619" s="43" t="s">
        <v>7419</v>
      </c>
      <c r="C619" s="94" t="s">
        <v>7426</v>
      </c>
      <c r="D619" s="81" t="s">
        <v>120</v>
      </c>
      <c r="E619" s="95" t="s">
        <v>199</v>
      </c>
      <c r="F619" s="81" t="s">
        <v>212</v>
      </c>
      <c r="G619" s="47" t="str">
        <f t="shared" si="25"/>
        <v>David</v>
      </c>
      <c r="H619" s="49" t="s">
        <v>224</v>
      </c>
      <c r="I619" s="49" t="s">
        <v>66</v>
      </c>
      <c r="J619" s="47" t="str">
        <f t="shared" si="29"/>
        <v>Não</v>
      </c>
      <c r="K619" s="97">
        <v>45163.0</v>
      </c>
      <c r="L619" s="186">
        <v>45964.0</v>
      </c>
      <c r="M619" s="62" t="s">
        <v>231</v>
      </c>
      <c r="N619" s="98">
        <v>0.025</v>
      </c>
      <c r="O619" s="23" t="s">
        <v>233</v>
      </c>
      <c r="P619" s="99">
        <v>0.2</v>
      </c>
      <c r="Q619" s="58"/>
      <c r="R619" s="58" t="s">
        <v>610</v>
      </c>
      <c r="S619" s="62" t="s">
        <v>194</v>
      </c>
      <c r="T619" s="32" t="s">
        <v>5722</v>
      </c>
      <c r="U619" s="33">
        <v>5.561993330404E12</v>
      </c>
      <c r="V619" s="33" t="s">
        <v>7420</v>
      </c>
      <c r="W619" s="48">
        <v>17123.0</v>
      </c>
      <c r="X619" s="23" t="s">
        <v>199</v>
      </c>
      <c r="Y619" s="49" t="str">
        <f t="shared" si="22"/>
        <v>Encerrado</v>
      </c>
      <c r="Z619" s="62"/>
      <c r="AA619" s="62"/>
      <c r="AB619" s="64" t="s">
        <v>269</v>
      </c>
      <c r="AC619" s="79"/>
      <c r="AD619" s="54">
        <v>45163.0</v>
      </c>
      <c r="AE619" s="77">
        <v>4.9075100011532E13</v>
      </c>
      <c r="AF619" s="79"/>
      <c r="AG619" s="79"/>
      <c r="AH619" s="79"/>
      <c r="AI619" s="65">
        <v>0.0</v>
      </c>
      <c r="AJ619" s="65">
        <v>0.0</v>
      </c>
      <c r="AK619" s="65">
        <v>0.0</v>
      </c>
      <c r="AL619" s="65">
        <v>0.0</v>
      </c>
      <c r="AM619" s="65">
        <v>0.0</v>
      </c>
      <c r="AN619" s="65">
        <v>0.0</v>
      </c>
      <c r="AO619" s="65">
        <v>0.0</v>
      </c>
      <c r="AP619" s="65">
        <v>0.0</v>
      </c>
      <c r="AQ619" s="65">
        <v>0.0</v>
      </c>
      <c r="AR619" s="65">
        <v>0.0</v>
      </c>
      <c r="AS619" s="65">
        <v>0.0</v>
      </c>
      <c r="AT619" s="65">
        <v>0.0</v>
      </c>
      <c r="AU619" s="65">
        <v>0.0</v>
      </c>
      <c r="AV619" s="65">
        <v>0.0</v>
      </c>
      <c r="AW619" s="65">
        <v>0.0</v>
      </c>
      <c r="AX619" s="65">
        <v>0.0</v>
      </c>
      <c r="AY619" s="65">
        <v>0.0</v>
      </c>
      <c r="AZ619" s="65">
        <v>0.0</v>
      </c>
      <c r="BA619" s="65">
        <v>0.0</v>
      </c>
      <c r="BB619" s="65">
        <v>0.0</v>
      </c>
      <c r="BC619" s="65">
        <v>0.0</v>
      </c>
      <c r="BD619" s="65">
        <v>0.0</v>
      </c>
      <c r="BE619" s="65">
        <v>0.0</v>
      </c>
      <c r="BF619" s="65">
        <v>0.0</v>
      </c>
      <c r="BG619" s="65">
        <v>0.0</v>
      </c>
      <c r="BH619" s="65">
        <v>0.0</v>
      </c>
      <c r="BI619" s="65">
        <v>0.0</v>
      </c>
      <c r="BJ619" s="65">
        <v>0.0</v>
      </c>
      <c r="BK619" s="65">
        <v>0.0</v>
      </c>
      <c r="BL619" s="65">
        <v>0.0</v>
      </c>
      <c r="BM619" s="65">
        <v>0.0</v>
      </c>
      <c r="BN619" s="65">
        <v>0.0</v>
      </c>
      <c r="BO619" s="65">
        <v>0.0</v>
      </c>
      <c r="BP619" s="65">
        <v>0.0</v>
      </c>
      <c r="BQ619" s="65">
        <v>0.0</v>
      </c>
      <c r="BR619" s="65">
        <v>0.0</v>
      </c>
      <c r="BS619" s="65">
        <v>0.0</v>
      </c>
      <c r="BT619" s="88">
        <v>0.0</v>
      </c>
      <c r="BU619" s="65">
        <v>0.0</v>
      </c>
      <c r="BV619" s="65">
        <v>0.0</v>
      </c>
      <c r="BW619" s="90">
        <v>0.0</v>
      </c>
      <c r="BX619" s="90">
        <v>0.0</v>
      </c>
      <c r="BY619" s="90" t="str">
        <f t="array" ref="BY619">XLOOKUP(C619,'PL TOTAL D0'!$A$3:$A$1991,'PL TOTAL D0'!$C$3:$C$1991,"")</f>
        <v/>
      </c>
    </row>
    <row r="620" ht="15.75" customHeight="1">
      <c r="A620" s="50" t="s">
        <v>24</v>
      </c>
      <c r="B620" s="191" t="s">
        <v>1109</v>
      </c>
      <c r="C620" s="94" t="s">
        <v>2881</v>
      </c>
      <c r="D620" s="30" t="s">
        <v>89</v>
      </c>
      <c r="E620" s="95" t="s">
        <v>91</v>
      </c>
      <c r="F620" s="81" t="s">
        <v>521</v>
      </c>
      <c r="G620" s="47" t="str">
        <f t="shared" si="25"/>
        <v>Gabriel</v>
      </c>
      <c r="H620" s="49" t="s">
        <v>183</v>
      </c>
      <c r="I620" s="49" t="s">
        <v>66</v>
      </c>
      <c r="J620" s="47" t="str">
        <f t="shared" si="29"/>
        <v>Não</v>
      </c>
      <c r="K620" s="97">
        <v>45230.0</v>
      </c>
      <c r="L620" s="62"/>
      <c r="M620" s="32" t="s">
        <v>1360</v>
      </c>
      <c r="N620" s="56">
        <v>0.015</v>
      </c>
      <c r="O620" s="47" t="s">
        <v>66</v>
      </c>
      <c r="P620" s="99">
        <v>0.0</v>
      </c>
      <c r="Q620" s="58"/>
      <c r="R620" s="812" t="s">
        <v>7430</v>
      </c>
      <c r="S620" s="62" t="s">
        <v>194</v>
      </c>
      <c r="T620" s="32" t="s">
        <v>1113</v>
      </c>
      <c r="U620" s="33">
        <v>5.543991393583E12</v>
      </c>
      <c r="V620" s="33" t="s">
        <v>1115</v>
      </c>
      <c r="W620" s="34">
        <v>22013.0</v>
      </c>
      <c r="X620" s="23" t="s">
        <v>221</v>
      </c>
      <c r="Y620" s="49" t="str">
        <f t="shared" si="22"/>
        <v>Ativo</v>
      </c>
      <c r="Z620" s="62"/>
      <c r="AA620" s="32" t="s">
        <v>165</v>
      </c>
      <c r="AB620" s="64" t="s">
        <v>269</v>
      </c>
      <c r="AC620" s="79"/>
      <c r="AD620" s="54">
        <v>45230.0</v>
      </c>
      <c r="AE620" s="77">
        <v>4.9075100012547E13</v>
      </c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65">
        <v>0.0</v>
      </c>
      <c r="AS620" s="65">
        <v>752677.66</v>
      </c>
      <c r="AT620" s="65">
        <v>758454.81</v>
      </c>
      <c r="AU620" s="65">
        <v>765519.19</v>
      </c>
      <c r="AV620" s="65">
        <v>771665.74</v>
      </c>
      <c r="AW620" s="65">
        <v>778613.49</v>
      </c>
      <c r="AX620" s="65">
        <v>785016.41</v>
      </c>
      <c r="AY620" s="65">
        <v>790603.5</v>
      </c>
      <c r="AZ620" s="65">
        <v>796840.5</v>
      </c>
      <c r="BA620" s="65">
        <v>803570.4</v>
      </c>
      <c r="BB620" s="65">
        <v>808811.81</v>
      </c>
      <c r="BC620" s="65">
        <v>813482.26</v>
      </c>
      <c r="BD620" s="65">
        <v>814609.88</v>
      </c>
      <c r="BE620" s="65">
        <v>820273.37</v>
      </c>
      <c r="BF620" s="65">
        <v>825342.21</v>
      </c>
      <c r="BG620" s="65">
        <v>833597.99</v>
      </c>
      <c r="BH620" s="65">
        <v>841353.07</v>
      </c>
      <c r="BI620" s="65">
        <v>849085.98</v>
      </c>
      <c r="BJ620" s="65">
        <v>857490.0</v>
      </c>
      <c r="BK620" s="65">
        <v>866715.7</v>
      </c>
      <c r="BL620" s="65">
        <v>988634.51</v>
      </c>
      <c r="BM620" s="65">
        <v>885867.69</v>
      </c>
      <c r="BN620" s="65">
        <v>894641.3</v>
      </c>
      <c r="BO620" s="65">
        <v>903434.18</v>
      </c>
      <c r="BP620" s="65">
        <v>912259.1</v>
      </c>
      <c r="BQ620" s="65">
        <v>919169.9</v>
      </c>
      <c r="BR620" s="65">
        <v>925158.8</v>
      </c>
      <c r="BS620" s="65">
        <v>497509.57</v>
      </c>
      <c r="BT620" s="88">
        <v>499229.2</v>
      </c>
      <c r="BU620" s="65">
        <v>503290.9</v>
      </c>
      <c r="BV620" s="65">
        <v>508732.1</v>
      </c>
      <c r="BW620" s="90">
        <v>513983.5</v>
      </c>
      <c r="BX620" s="90">
        <v>552470.97</v>
      </c>
      <c r="BY620" s="90">
        <f t="array" ref="BY620">XLOOKUP(C620,'PL TOTAL D0'!$A$3:$A$1991,'PL TOTAL D0'!$C$3:$C$1991,"")</f>
        <v>524648.82</v>
      </c>
    </row>
    <row r="621" ht="15.75" customHeight="1">
      <c r="A621" s="50" t="s">
        <v>24</v>
      </c>
      <c r="B621" s="322" t="s">
        <v>1644</v>
      </c>
      <c r="C621" s="94" t="s">
        <v>7432</v>
      </c>
      <c r="D621" s="30" t="s">
        <v>120</v>
      </c>
      <c r="E621" s="22" t="s">
        <v>199</v>
      </c>
      <c r="F621" s="30" t="s">
        <v>388</v>
      </c>
      <c r="G621" s="47" t="str">
        <f t="shared" si="25"/>
        <v>David</v>
      </c>
      <c r="H621" s="49" t="s">
        <v>295</v>
      </c>
      <c r="I621" s="49" t="s">
        <v>756</v>
      </c>
      <c r="J621" s="47" t="str">
        <f t="shared" si="29"/>
        <v>Não</v>
      </c>
      <c r="K621" s="54">
        <v>45495.0</v>
      </c>
      <c r="L621" s="62"/>
      <c r="M621" s="32" t="s">
        <v>61</v>
      </c>
      <c r="N621" s="56">
        <v>0.012</v>
      </c>
      <c r="O621" s="23" t="s">
        <v>66</v>
      </c>
      <c r="P621" s="57">
        <v>0.0</v>
      </c>
      <c r="Q621" s="58"/>
      <c r="R621" s="812"/>
      <c r="S621" s="32" t="s">
        <v>194</v>
      </c>
      <c r="T621" s="32" t="s">
        <v>1651</v>
      </c>
      <c r="U621" s="33">
        <v>5.531973086388E12</v>
      </c>
      <c r="V621" s="33" t="s">
        <v>1635</v>
      </c>
      <c r="W621" s="34">
        <v>13396.0</v>
      </c>
      <c r="X621" s="23" t="s">
        <v>618</v>
      </c>
      <c r="Y621" s="49" t="str">
        <f t="shared" si="22"/>
        <v>Ativo</v>
      </c>
      <c r="Z621" s="32"/>
      <c r="AA621" s="32" t="s">
        <v>107</v>
      </c>
      <c r="AB621" s="64" t="s">
        <v>269</v>
      </c>
      <c r="AC621" s="79"/>
      <c r="AD621" s="54">
        <v>45495.0</v>
      </c>
      <c r="AE621" s="77">
        <v>4.9075100015521E13</v>
      </c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65"/>
      <c r="AW621" s="65"/>
      <c r="AX621" s="65"/>
      <c r="AY621" s="65"/>
      <c r="AZ621" s="65"/>
      <c r="BA621" s="65">
        <v>0.0</v>
      </c>
      <c r="BB621" s="65">
        <v>0.0</v>
      </c>
      <c r="BC621" s="65">
        <v>0.0</v>
      </c>
      <c r="BD621" s="65">
        <v>0.0</v>
      </c>
      <c r="BE621" s="65">
        <v>0.0</v>
      </c>
      <c r="BF621" s="65">
        <v>0.0</v>
      </c>
      <c r="BG621" s="65">
        <v>0.0</v>
      </c>
      <c r="BH621" s="65">
        <v>0.0</v>
      </c>
      <c r="BI621" s="65">
        <v>0.0</v>
      </c>
      <c r="BJ621" s="65">
        <v>0.0</v>
      </c>
      <c r="BK621" s="65">
        <v>0.0</v>
      </c>
      <c r="BL621" s="65">
        <v>0.0</v>
      </c>
      <c r="BM621" s="65">
        <v>0.0</v>
      </c>
      <c r="BN621" s="65">
        <v>0.0</v>
      </c>
      <c r="BO621" s="65">
        <v>0.0</v>
      </c>
      <c r="BP621" s="65">
        <v>0.0</v>
      </c>
      <c r="BQ621" s="65">
        <v>0.0</v>
      </c>
      <c r="BR621" s="65">
        <v>0.0</v>
      </c>
      <c r="BS621" s="65">
        <v>0.0</v>
      </c>
      <c r="BT621" s="88">
        <v>0.0</v>
      </c>
      <c r="BU621" s="65">
        <v>0.0</v>
      </c>
      <c r="BV621" s="65">
        <v>0.0</v>
      </c>
      <c r="BW621" s="90">
        <v>0.0</v>
      </c>
      <c r="BX621" s="90">
        <v>0.0</v>
      </c>
      <c r="BY621" s="90" t="str">
        <f t="array" ref="BY621">XLOOKUP(C621,'PL TOTAL D0'!$A$3:$A$1991,'PL TOTAL D0'!$C$3:$C$1991,"")</f>
        <v/>
      </c>
    </row>
    <row r="622" ht="15.75" customHeight="1">
      <c r="A622" s="43" t="s">
        <v>24</v>
      </c>
      <c r="B622" s="43" t="s">
        <v>7437</v>
      </c>
      <c r="C622" s="94" t="s">
        <v>7438</v>
      </c>
      <c r="D622" s="30" t="s">
        <v>120</v>
      </c>
      <c r="E622" s="22" t="s">
        <v>54</v>
      </c>
      <c r="F622" s="30" t="s">
        <v>125</v>
      </c>
      <c r="G622" s="47" t="str">
        <f t="shared" si="25"/>
        <v>David</v>
      </c>
      <c r="H622" s="49" t="s">
        <v>295</v>
      </c>
      <c r="I622" s="49" t="s">
        <v>382</v>
      </c>
      <c r="J622" s="47" t="str">
        <f t="shared" si="29"/>
        <v>Não</v>
      </c>
      <c r="K622" s="54">
        <v>45371.0</v>
      </c>
      <c r="L622" s="62"/>
      <c r="M622" s="32" t="s">
        <v>390</v>
      </c>
      <c r="N622" s="56">
        <v>0.0</v>
      </c>
      <c r="O622" s="23" t="s">
        <v>66</v>
      </c>
      <c r="P622" s="57">
        <v>0.0</v>
      </c>
      <c r="Q622" s="58"/>
      <c r="R622" s="812"/>
      <c r="S622" s="32" t="s">
        <v>194</v>
      </c>
      <c r="T622" s="177" t="s">
        <v>7439</v>
      </c>
      <c r="U622" s="33">
        <v>5.562983003826E12</v>
      </c>
      <c r="V622" s="33" t="s">
        <v>7440</v>
      </c>
      <c r="W622" s="34">
        <v>36344.0</v>
      </c>
      <c r="X622" s="23" t="s">
        <v>54</v>
      </c>
      <c r="Y622" s="49" t="str">
        <f t="shared" si="22"/>
        <v>Ativo</v>
      </c>
      <c r="Z622" s="62"/>
      <c r="AA622" s="62"/>
      <c r="AB622" s="64" t="s">
        <v>269</v>
      </c>
      <c r="AC622" s="79"/>
      <c r="AD622" s="54">
        <v>45371.0</v>
      </c>
      <c r="AE622" s="77">
        <v>4.9075100013829E13</v>
      </c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65"/>
      <c r="AW622" s="65">
        <v>6155.03</v>
      </c>
      <c r="AX622" s="65">
        <v>9246.64</v>
      </c>
      <c r="AY622" s="65">
        <v>2407.7</v>
      </c>
      <c r="AZ622" s="65">
        <v>3039.78</v>
      </c>
      <c r="BA622" s="65">
        <v>0.0</v>
      </c>
      <c r="BB622" s="65">
        <v>0.0</v>
      </c>
      <c r="BC622" s="65">
        <v>0.0</v>
      </c>
      <c r="BD622" s="65">
        <v>0.0</v>
      </c>
      <c r="BE622" s="65">
        <v>0.0</v>
      </c>
      <c r="BF622" s="65">
        <v>0.0</v>
      </c>
      <c r="BG622" s="65">
        <v>0.0</v>
      </c>
      <c r="BH622" s="65">
        <v>0.0</v>
      </c>
      <c r="BI622" s="65">
        <v>0.0</v>
      </c>
      <c r="BJ622" s="65">
        <v>0.0</v>
      </c>
      <c r="BK622" s="65">
        <v>0.0</v>
      </c>
      <c r="BL622" s="65">
        <v>0.0</v>
      </c>
      <c r="BM622" s="65">
        <v>0.0</v>
      </c>
      <c r="BN622" s="65">
        <v>0.0</v>
      </c>
      <c r="BO622" s="65">
        <v>0.0</v>
      </c>
      <c r="BP622" s="65">
        <v>0.0</v>
      </c>
      <c r="BQ622" s="65">
        <v>0.0</v>
      </c>
      <c r="BR622" s="65">
        <v>0.0</v>
      </c>
      <c r="BS622" s="65">
        <v>0.0</v>
      </c>
      <c r="BT622" s="88">
        <v>0.0</v>
      </c>
      <c r="BU622" s="65">
        <v>0.0</v>
      </c>
      <c r="BV622" s="65">
        <v>0.0</v>
      </c>
      <c r="BW622" s="90">
        <v>0.0</v>
      </c>
      <c r="BX622" s="90">
        <v>0.0</v>
      </c>
      <c r="BY622" s="90" t="str">
        <f t="array" ref="BY622">XLOOKUP(C622,'PL TOTAL D0'!$A$3:$A$1991,'PL TOTAL D0'!$C$3:$C$1991,"")</f>
        <v/>
      </c>
    </row>
    <row r="623" ht="15.75" customHeight="1">
      <c r="A623" s="43" t="s">
        <v>24</v>
      </c>
      <c r="B623" s="43" t="s">
        <v>7455</v>
      </c>
      <c r="C623" s="94" t="s">
        <v>3512</v>
      </c>
      <c r="D623" s="30" t="s">
        <v>89</v>
      </c>
      <c r="E623" s="22" t="s">
        <v>91</v>
      </c>
      <c r="F623" s="30" t="s">
        <v>521</v>
      </c>
      <c r="G623" s="47" t="str">
        <f t="shared" si="25"/>
        <v>David</v>
      </c>
      <c r="H623" s="49" t="s">
        <v>183</v>
      </c>
      <c r="I623" s="49" t="s">
        <v>66</v>
      </c>
      <c r="J623" s="47" t="str">
        <f t="shared" si="29"/>
        <v>Não</v>
      </c>
      <c r="K623" s="54">
        <v>45992.0</v>
      </c>
      <c r="L623" s="62"/>
      <c r="M623" s="32" t="s">
        <v>557</v>
      </c>
      <c r="N623" s="56">
        <v>0.007</v>
      </c>
      <c r="O623" s="23" t="s">
        <v>66</v>
      </c>
      <c r="P623" s="57">
        <v>0.0</v>
      </c>
      <c r="Q623" s="58"/>
      <c r="R623" s="812"/>
      <c r="S623" s="32" t="s">
        <v>194</v>
      </c>
      <c r="T623" s="177" t="s">
        <v>7460</v>
      </c>
      <c r="U623" s="33" t="s">
        <v>7461</v>
      </c>
      <c r="V623" s="33" t="s">
        <v>7462</v>
      </c>
      <c r="W623" s="34">
        <v>30034.0</v>
      </c>
      <c r="X623" s="23" t="s">
        <v>221</v>
      </c>
      <c r="Y623" s="49" t="str">
        <f t="shared" si="22"/>
        <v>Ativo</v>
      </c>
      <c r="Z623" s="62"/>
      <c r="AA623" s="32" t="s">
        <v>47</v>
      </c>
      <c r="AB623" s="64"/>
      <c r="AC623" s="79"/>
      <c r="AD623" s="54">
        <v>46203.0</v>
      </c>
      <c r="AE623" s="77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65"/>
      <c r="AW623" s="65"/>
      <c r="AX623" s="65"/>
      <c r="AY623" s="65"/>
      <c r="AZ623" s="65"/>
      <c r="BA623" s="65"/>
      <c r="BB623" s="65"/>
      <c r="BC623" s="65"/>
      <c r="BD623" s="65"/>
      <c r="BE623" s="65"/>
      <c r="BF623" s="65"/>
      <c r="BG623" s="65"/>
      <c r="BH623" s="65"/>
      <c r="BI623" s="65"/>
      <c r="BJ623" s="65"/>
      <c r="BK623" s="65"/>
      <c r="BL623" s="65"/>
      <c r="BM623" s="65"/>
      <c r="BN623" s="65"/>
      <c r="BO623" s="65"/>
      <c r="BP623" s="65"/>
      <c r="BQ623" s="65" t="s">
        <v>1739</v>
      </c>
      <c r="BR623" s="65">
        <v>24497.04</v>
      </c>
      <c r="BS623" s="65">
        <v>24763.13</v>
      </c>
      <c r="BT623" s="88">
        <v>25217.84</v>
      </c>
      <c r="BU623" s="65">
        <v>25421.96</v>
      </c>
      <c r="BV623" s="65">
        <v>25624.58</v>
      </c>
      <c r="BW623" s="90">
        <v>25962.33</v>
      </c>
      <c r="BX623" s="90">
        <v>26282.9</v>
      </c>
      <c r="BY623" s="90">
        <f t="array" ref="BY623">XLOOKUP(C623,'PL TOTAL D0'!$A$3:$A$1991,'PL TOTAL D0'!$C$3:$C$1991,"")</f>
        <v>27283.62</v>
      </c>
    </row>
    <row r="624" ht="15.75" customHeight="1">
      <c r="A624" s="50" t="s">
        <v>24</v>
      </c>
      <c r="B624" s="176" t="s">
        <v>7465</v>
      </c>
      <c r="C624" s="94" t="s">
        <v>3232</v>
      </c>
      <c r="D624" s="81" t="s">
        <v>120</v>
      </c>
      <c r="E624" s="95" t="s">
        <v>54</v>
      </c>
      <c r="F624" s="30" t="s">
        <v>125</v>
      </c>
      <c r="G624" s="47" t="str">
        <f t="shared" si="25"/>
        <v>Gabriel</v>
      </c>
      <c r="H624" s="74" t="s">
        <v>183</v>
      </c>
      <c r="I624" s="74" t="s">
        <v>66</v>
      </c>
      <c r="J624" s="47" t="str">
        <f t="shared" si="29"/>
        <v>Não</v>
      </c>
      <c r="K624" s="97">
        <v>44917.0</v>
      </c>
      <c r="L624" s="62"/>
      <c r="M624" s="62" t="s">
        <v>61</v>
      </c>
      <c r="N624" s="98">
        <v>0.012</v>
      </c>
      <c r="O624" s="47" t="s">
        <v>66</v>
      </c>
      <c r="P624" s="99">
        <v>0.0</v>
      </c>
      <c r="Q624" s="58"/>
      <c r="R624" s="70" t="s">
        <v>7467</v>
      </c>
      <c r="S624" s="62" t="s">
        <v>194</v>
      </c>
      <c r="T624" s="32" t="s">
        <v>7468</v>
      </c>
      <c r="U624" s="33">
        <v>6.2981844224E10</v>
      </c>
      <c r="V624" s="33" t="s">
        <v>7469</v>
      </c>
      <c r="W624" s="34">
        <v>36539.0</v>
      </c>
      <c r="X624" s="23" t="s">
        <v>54</v>
      </c>
      <c r="Y624" s="49" t="str">
        <f t="shared" si="22"/>
        <v>Ativo</v>
      </c>
      <c r="Z624" s="62"/>
      <c r="AA624" s="62"/>
      <c r="AB624" s="64" t="s">
        <v>244</v>
      </c>
      <c r="AC624" s="79"/>
      <c r="AD624" s="54">
        <v>44917.0</v>
      </c>
      <c r="AE624" s="77">
        <v>4.9075100005966E13</v>
      </c>
      <c r="AF624" s="79"/>
      <c r="AG624" s="79"/>
      <c r="AH624" s="65">
        <v>100282.58</v>
      </c>
      <c r="AI624" s="65">
        <v>101372.7</v>
      </c>
      <c r="AJ624" s="65">
        <v>102150.96</v>
      </c>
      <c r="AK624" s="65">
        <v>103256.95</v>
      </c>
      <c r="AL624" s="65">
        <v>104029.31</v>
      </c>
      <c r="AM624" s="65">
        <v>105096.22</v>
      </c>
      <c r="AN624" s="65">
        <v>64890.58</v>
      </c>
      <c r="AO624" s="65">
        <v>65383.65</v>
      </c>
      <c r="AP624" s="65">
        <v>65991.55</v>
      </c>
      <c r="AQ624" s="65">
        <v>66496.23</v>
      </c>
      <c r="AR624" s="65">
        <v>67044.49</v>
      </c>
      <c r="AS624" s="65">
        <v>77457.41</v>
      </c>
      <c r="AT624" s="65">
        <v>77641.71</v>
      </c>
      <c r="AU624" s="65">
        <v>78321.16</v>
      </c>
      <c r="AV624" s="65">
        <v>78926.08</v>
      </c>
      <c r="AW624" s="65">
        <v>79591.77</v>
      </c>
      <c r="AX624" s="65">
        <v>80133.65</v>
      </c>
      <c r="AY624" s="65">
        <v>80716.02</v>
      </c>
      <c r="AZ624" s="65">
        <v>141198.3</v>
      </c>
      <c r="BA624" s="65">
        <v>142386.6</v>
      </c>
      <c r="BB624" s="65">
        <v>173759.48</v>
      </c>
      <c r="BC624" s="65">
        <v>174999.31</v>
      </c>
      <c r="BD624" s="65">
        <v>176683.39</v>
      </c>
      <c r="BE624" s="65">
        <v>259023.9</v>
      </c>
      <c r="BF624" s="65">
        <v>260910.01</v>
      </c>
      <c r="BG624" s="65">
        <v>303637.18</v>
      </c>
      <c r="BH624" s="65">
        <v>326210.53</v>
      </c>
      <c r="BI624" s="65">
        <v>329777.48</v>
      </c>
      <c r="BJ624" s="65">
        <v>333062.24</v>
      </c>
      <c r="BK624" s="65">
        <v>336483.94</v>
      </c>
      <c r="BL624" s="65">
        <v>364281.4</v>
      </c>
      <c r="BM624" s="65">
        <v>367759.57</v>
      </c>
      <c r="BN624" s="65">
        <v>371214.3</v>
      </c>
      <c r="BO624" s="65">
        <v>322742.51</v>
      </c>
      <c r="BP624" s="65">
        <v>248590.0</v>
      </c>
      <c r="BQ624" s="65">
        <v>250161.2</v>
      </c>
      <c r="BR624" s="65">
        <v>252284.1</v>
      </c>
      <c r="BS624" s="65">
        <v>254598.93</v>
      </c>
      <c r="BT624" s="88">
        <v>256634.5</v>
      </c>
      <c r="BU624" s="65">
        <v>218483.1</v>
      </c>
      <c r="BV624" s="65">
        <v>138389.0</v>
      </c>
      <c r="BW624" s="90">
        <v>139835.7</v>
      </c>
      <c r="BX624" s="90">
        <v>141200.31</v>
      </c>
      <c r="BY624" s="90">
        <f t="array" ref="BY624">XLOOKUP(C624,'PL TOTAL D0'!$A$3:$A$1991,'PL TOTAL D0'!$C$3:$C$1991,"")</f>
        <v>142719.55</v>
      </c>
    </row>
    <row r="625" ht="15.75" customHeight="1">
      <c r="A625" s="50" t="s">
        <v>24</v>
      </c>
      <c r="B625" s="176" t="s">
        <v>6043</v>
      </c>
      <c r="C625" s="94" t="s">
        <v>7474</v>
      </c>
      <c r="D625" s="30" t="s">
        <v>89</v>
      </c>
      <c r="E625" s="95" t="s">
        <v>91</v>
      </c>
      <c r="F625" s="81" t="s">
        <v>521</v>
      </c>
      <c r="G625" s="47" t="str">
        <f t="shared" si="25"/>
        <v>David</v>
      </c>
      <c r="H625" s="49" t="s">
        <v>224</v>
      </c>
      <c r="I625" s="49" t="s">
        <v>66</v>
      </c>
      <c r="J625" s="47" t="str">
        <f t="shared" si="29"/>
        <v>Não</v>
      </c>
      <c r="K625" s="97">
        <v>45027.0</v>
      </c>
      <c r="L625" s="55">
        <v>45793.0</v>
      </c>
      <c r="M625" s="62" t="s">
        <v>231</v>
      </c>
      <c r="N625" s="98">
        <v>0.025</v>
      </c>
      <c r="O625" s="23" t="s">
        <v>233</v>
      </c>
      <c r="P625" s="99">
        <v>0.2</v>
      </c>
      <c r="Q625" s="58"/>
      <c r="R625" s="58" t="s">
        <v>610</v>
      </c>
      <c r="S625" s="62" t="s">
        <v>194</v>
      </c>
      <c r="T625" s="32" t="s">
        <v>6045</v>
      </c>
      <c r="U625" s="33" t="s">
        <v>268</v>
      </c>
      <c r="V625" s="33"/>
      <c r="W625" s="33" t="s">
        <v>268</v>
      </c>
      <c r="X625" s="23" t="s">
        <v>221</v>
      </c>
      <c r="Y625" s="49" t="str">
        <f t="shared" si="22"/>
        <v>Encerrado</v>
      </c>
      <c r="Z625" s="62"/>
      <c r="AA625" s="62"/>
      <c r="AB625" s="64" t="s">
        <v>269</v>
      </c>
      <c r="AC625" s="79"/>
      <c r="AD625" s="54">
        <v>45027.0</v>
      </c>
      <c r="AE625" s="77">
        <v>4.9075100012555E13</v>
      </c>
      <c r="AF625" s="79"/>
      <c r="AG625" s="79"/>
      <c r="AH625" s="79"/>
      <c r="AI625" s="79"/>
      <c r="AJ625" s="79"/>
      <c r="AK625" s="65">
        <v>1783320.01</v>
      </c>
      <c r="AL625" s="65">
        <v>1765182.14</v>
      </c>
      <c r="AM625" s="65">
        <v>1534943.49</v>
      </c>
      <c r="AN625" s="65">
        <v>1453747.79</v>
      </c>
      <c r="AO625" s="65">
        <v>2025074.38</v>
      </c>
      <c r="AP625" s="65">
        <v>1770431.54</v>
      </c>
      <c r="AQ625" s="65">
        <v>1560491.37</v>
      </c>
      <c r="AR625" s="65">
        <v>1240433.53</v>
      </c>
      <c r="AS625" s="65">
        <v>917600.49</v>
      </c>
      <c r="AT625" s="65">
        <v>546664.05</v>
      </c>
      <c r="AU625" s="65">
        <v>166370.9</v>
      </c>
      <c r="AV625" s="65">
        <v>5879.33</v>
      </c>
      <c r="AW625" s="65">
        <v>5744.77</v>
      </c>
      <c r="AX625" s="65">
        <v>5742.3</v>
      </c>
      <c r="AY625" s="65">
        <v>5738.9</v>
      </c>
      <c r="AZ625" s="65">
        <v>5739.59</v>
      </c>
      <c r="BA625" s="65">
        <v>5744.33</v>
      </c>
      <c r="BB625" s="65">
        <v>0.0</v>
      </c>
      <c r="BC625" s="65">
        <v>0.0</v>
      </c>
      <c r="BD625" s="65">
        <v>0.0</v>
      </c>
      <c r="BE625" s="65">
        <v>0.0</v>
      </c>
      <c r="BF625" s="65">
        <v>0.0</v>
      </c>
      <c r="BG625" s="65">
        <v>0.0</v>
      </c>
      <c r="BH625" s="65">
        <v>0.0</v>
      </c>
      <c r="BI625" s="65">
        <v>0.0</v>
      </c>
      <c r="BJ625" s="65">
        <v>0.0</v>
      </c>
      <c r="BK625" s="65">
        <v>0.0</v>
      </c>
      <c r="BL625" s="65">
        <v>0.0</v>
      </c>
      <c r="BM625" s="65">
        <v>0.0</v>
      </c>
      <c r="BN625" s="65">
        <v>0.0</v>
      </c>
      <c r="BO625" s="65">
        <v>0.0</v>
      </c>
      <c r="BP625" s="65">
        <v>0.0</v>
      </c>
      <c r="BQ625" s="65">
        <v>0.0</v>
      </c>
      <c r="BR625" s="65">
        <v>0.0</v>
      </c>
      <c r="BS625" s="65">
        <v>0.0</v>
      </c>
      <c r="BT625" s="88">
        <v>0.0</v>
      </c>
      <c r="BU625" s="65">
        <v>0.0</v>
      </c>
      <c r="BV625" s="65">
        <v>0.0</v>
      </c>
      <c r="BW625" s="90">
        <v>28.19</v>
      </c>
      <c r="BX625" s="90">
        <v>28.19</v>
      </c>
      <c r="BY625" s="90" t="str">
        <f t="array" ref="BY625">XLOOKUP(C625,'PL TOTAL D0'!$A$3:$A$1991,'PL TOTAL D0'!$C$3:$C$1991,"")</f>
        <v/>
      </c>
    </row>
    <row r="626" ht="15.75" customHeight="1">
      <c r="A626" s="50" t="s">
        <v>24</v>
      </c>
      <c r="B626" s="50" t="s">
        <v>1110</v>
      </c>
      <c r="C626" s="94" t="s">
        <v>2526</v>
      </c>
      <c r="D626" s="30" t="s">
        <v>365</v>
      </c>
      <c r="E626" s="95" t="s">
        <v>199</v>
      </c>
      <c r="F626" s="22" t="s">
        <v>1111</v>
      </c>
      <c r="G626" s="47" t="str">
        <f t="shared" si="25"/>
        <v>Marcus</v>
      </c>
      <c r="H626" s="49" t="s">
        <v>183</v>
      </c>
      <c r="I626" s="49" t="s">
        <v>66</v>
      </c>
      <c r="J626" s="47" t="str">
        <f t="shared" si="29"/>
        <v>Não</v>
      </c>
      <c r="K626" s="97">
        <v>45121.0</v>
      </c>
      <c r="L626" s="62"/>
      <c r="M626" s="32" t="s">
        <v>61</v>
      </c>
      <c r="N626" s="98">
        <v>0.01</v>
      </c>
      <c r="O626" s="23" t="s">
        <v>66</v>
      </c>
      <c r="P626" s="57">
        <v>0.0</v>
      </c>
      <c r="Q626" s="58"/>
      <c r="R626" s="58" t="s">
        <v>7479</v>
      </c>
      <c r="S626" s="62" t="s">
        <v>194</v>
      </c>
      <c r="T626" s="32" t="s">
        <v>1117</v>
      </c>
      <c r="U626" s="33">
        <v>5.561991772687E12</v>
      </c>
      <c r="V626" s="33" t="s">
        <v>1120</v>
      </c>
      <c r="W626" s="34">
        <v>29004.0</v>
      </c>
      <c r="X626" s="23" t="s">
        <v>199</v>
      </c>
      <c r="Y626" s="49" t="str">
        <f t="shared" si="22"/>
        <v>Ativo</v>
      </c>
      <c r="Z626" s="62"/>
      <c r="AA626" s="32" t="s">
        <v>47</v>
      </c>
      <c r="AB626" s="64" t="s">
        <v>269</v>
      </c>
      <c r="AC626" s="79"/>
      <c r="AD626" s="54">
        <v>45121.0</v>
      </c>
      <c r="AE626" s="77">
        <v>4.9075100006865E13</v>
      </c>
      <c r="AF626" s="79"/>
      <c r="AG626" s="79"/>
      <c r="AH626" s="79"/>
      <c r="AI626" s="79"/>
      <c r="AJ626" s="79"/>
      <c r="AK626" s="79"/>
      <c r="AL626" s="79"/>
      <c r="AM626" s="79"/>
      <c r="AN626" s="79"/>
      <c r="AO626" s="65">
        <v>936984.48</v>
      </c>
      <c r="AP626" s="65">
        <v>1639182.88</v>
      </c>
      <c r="AQ626" s="65">
        <v>1651362.48</v>
      </c>
      <c r="AR626" s="65">
        <v>1659459.85</v>
      </c>
      <c r="AS626" s="65">
        <v>1918493.21</v>
      </c>
      <c r="AT626" s="65">
        <v>1944601.82</v>
      </c>
      <c r="AU626" s="65">
        <v>1954335.64</v>
      </c>
      <c r="AV626" s="65">
        <v>1992127.38</v>
      </c>
      <c r="AW626" s="65">
        <v>2007276.64</v>
      </c>
      <c r="AX626" s="65">
        <v>2016913.58</v>
      </c>
      <c r="AY626" s="65">
        <v>2019914.0</v>
      </c>
      <c r="AZ626" s="65">
        <v>2034480.0</v>
      </c>
      <c r="BA626" s="65">
        <v>2053456.0</v>
      </c>
      <c r="BB626" s="65">
        <v>2076246.44</v>
      </c>
      <c r="BC626" s="65">
        <v>2085093.55</v>
      </c>
      <c r="BD626" s="65">
        <v>2121344.39</v>
      </c>
      <c r="BE626" s="65">
        <v>2125328.91</v>
      </c>
      <c r="BF626" s="65">
        <v>2134917.83</v>
      </c>
      <c r="BG626" s="65">
        <v>2158208.63</v>
      </c>
      <c r="BH626" s="65">
        <v>2175044.28</v>
      </c>
      <c r="BI626" s="65">
        <v>2196625.17</v>
      </c>
      <c r="BJ626" s="65">
        <v>2217778.18</v>
      </c>
      <c r="BK626" s="65">
        <v>2242289.34</v>
      </c>
      <c r="BL626" s="65">
        <v>2259562.97</v>
      </c>
      <c r="BM626" s="65">
        <v>2602944.06</v>
      </c>
      <c r="BN626" s="65">
        <v>2631310.0</v>
      </c>
      <c r="BO626" s="65">
        <v>2655996.62</v>
      </c>
      <c r="BP626" s="65">
        <v>2686951.0</v>
      </c>
      <c r="BQ626" s="65">
        <v>2862617.0</v>
      </c>
      <c r="BR626" s="65">
        <v>2889697.0</v>
      </c>
      <c r="BS626" s="65">
        <v>2849285.07</v>
      </c>
      <c r="BT626" s="88">
        <v>2878052.0</v>
      </c>
      <c r="BU626" s="65">
        <v>2908470.0</v>
      </c>
      <c r="BV626" s="65">
        <v>2936174.0</v>
      </c>
      <c r="BW626" s="90">
        <v>2972398.0</v>
      </c>
      <c r="BX626" s="90">
        <v>3001079.53</v>
      </c>
      <c r="BY626" s="90">
        <f t="array" ref="BY626">XLOOKUP(C626,'PL TOTAL D0'!$A$3:$A$1991,'PL TOTAL D0'!$C$3:$C$1991,"")</f>
        <v>3040102.19</v>
      </c>
    </row>
    <row r="627" ht="15.75" customHeight="1">
      <c r="A627" s="43" t="s">
        <v>24</v>
      </c>
      <c r="B627" s="43" t="s">
        <v>7481</v>
      </c>
      <c r="C627" s="94" t="s">
        <v>3012</v>
      </c>
      <c r="D627" s="30" t="s">
        <v>120</v>
      </c>
      <c r="E627" s="22" t="s">
        <v>199</v>
      </c>
      <c r="F627" s="30" t="s">
        <v>212</v>
      </c>
      <c r="G627" s="47" t="str">
        <f t="shared" si="25"/>
        <v>Gabriel</v>
      </c>
      <c r="H627" s="49" t="s">
        <v>183</v>
      </c>
      <c r="I627" s="49" t="s">
        <v>66</v>
      </c>
      <c r="J627" s="47" t="str">
        <f t="shared" si="29"/>
        <v>Sim</v>
      </c>
      <c r="K627" s="54">
        <v>45961.0</v>
      </c>
      <c r="L627" s="55"/>
      <c r="M627" s="32" t="s">
        <v>61</v>
      </c>
      <c r="N627" s="56">
        <v>0.012</v>
      </c>
      <c r="O627" s="23" t="s">
        <v>66</v>
      </c>
      <c r="P627" s="57">
        <v>0.0</v>
      </c>
      <c r="Q627" s="58" t="s">
        <v>7482</v>
      </c>
      <c r="R627" s="70"/>
      <c r="S627" s="32" t="s">
        <v>194</v>
      </c>
      <c r="T627" s="32" t="s">
        <v>7483</v>
      </c>
      <c r="U627" s="33" t="s">
        <v>7484</v>
      </c>
      <c r="V627" s="33" t="s">
        <v>7485</v>
      </c>
      <c r="W627" s="48">
        <v>27488.0</v>
      </c>
      <c r="X627" s="23" t="s">
        <v>199</v>
      </c>
      <c r="Y627" s="49" t="str">
        <f t="shared" si="22"/>
        <v>Ativo</v>
      </c>
      <c r="Z627" s="62"/>
      <c r="AA627" s="32" t="s">
        <v>107</v>
      </c>
      <c r="AB627" s="64"/>
      <c r="AC627" s="79"/>
      <c r="AD627" s="54">
        <v>45982.0</v>
      </c>
      <c r="AE627" s="148">
        <v>4.9075100019711E13</v>
      </c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65"/>
      <c r="BH627" s="65"/>
      <c r="BI627" s="65"/>
      <c r="BJ627" s="65"/>
      <c r="BK627" s="65"/>
      <c r="BL627" s="65"/>
      <c r="BM627" s="65"/>
      <c r="BN627" s="65"/>
      <c r="BO627" s="65"/>
      <c r="BP627" s="65">
        <v>0.0</v>
      </c>
      <c r="BQ627" s="65">
        <v>160377.0</v>
      </c>
      <c r="BR627" s="65">
        <v>279205.3</v>
      </c>
      <c r="BS627" s="65">
        <v>322279.21</v>
      </c>
      <c r="BT627" s="88">
        <v>325188.9</v>
      </c>
      <c r="BU627" s="65">
        <v>329183.0</v>
      </c>
      <c r="BV627" s="65">
        <v>333046.0</v>
      </c>
      <c r="BW627" s="90">
        <v>334889.7</v>
      </c>
      <c r="BX627" s="90">
        <v>336355.84</v>
      </c>
      <c r="BY627" s="90">
        <f t="array" ref="BY627">XLOOKUP(C627,'PL TOTAL D0'!$A$3:$A$1991,'PL TOTAL D0'!$C$3:$C$1991,"")</f>
        <v>340071.81</v>
      </c>
    </row>
    <row r="628" ht="15.75" customHeight="1">
      <c r="A628" s="50" t="s">
        <v>24</v>
      </c>
      <c r="B628" s="50" t="s">
        <v>7490</v>
      </c>
      <c r="C628" s="94" t="s">
        <v>7491</v>
      </c>
      <c r="D628" s="81" t="s">
        <v>255</v>
      </c>
      <c r="E628" s="95" t="s">
        <v>199</v>
      </c>
      <c r="F628" s="81" t="s">
        <v>257</v>
      </c>
      <c r="G628" s="47" t="str">
        <f t="shared" si="25"/>
        <v>David</v>
      </c>
      <c r="H628" s="49" t="s">
        <v>224</v>
      </c>
      <c r="I628" s="49" t="s">
        <v>66</v>
      </c>
      <c r="J628" s="47" t="str">
        <f t="shared" si="29"/>
        <v>Não</v>
      </c>
      <c r="K628" s="97">
        <v>45168.0</v>
      </c>
      <c r="L628" s="55">
        <v>45525.0</v>
      </c>
      <c r="M628" s="62" t="s">
        <v>34</v>
      </c>
      <c r="N628" s="98">
        <v>0.01</v>
      </c>
      <c r="O628" s="47" t="s">
        <v>66</v>
      </c>
      <c r="P628" s="99">
        <v>0.0</v>
      </c>
      <c r="Q628" s="58"/>
      <c r="R628" s="70"/>
      <c r="S628" s="62" t="s">
        <v>194</v>
      </c>
      <c r="T628" s="32" t="s">
        <v>7493</v>
      </c>
      <c r="U628" s="33" t="s">
        <v>268</v>
      </c>
      <c r="V628" s="33"/>
      <c r="W628" s="33" t="s">
        <v>268</v>
      </c>
      <c r="X628" s="23" t="s">
        <v>199</v>
      </c>
      <c r="Y628" s="49" t="str">
        <f t="shared" si="22"/>
        <v>Encerrado</v>
      </c>
      <c r="Z628" s="62"/>
      <c r="AA628" s="62"/>
      <c r="AB628" s="64" t="s">
        <v>269</v>
      </c>
      <c r="AC628" s="79"/>
      <c r="AD628" s="54">
        <v>45168.0</v>
      </c>
      <c r="AE628" s="77">
        <v>4.907510001154E13</v>
      </c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65">
        <v>0.0</v>
      </c>
      <c r="AQ628" s="65">
        <v>0.04</v>
      </c>
      <c r="AR628" s="65">
        <v>0.04</v>
      </c>
      <c r="AS628" s="65">
        <v>278931.46</v>
      </c>
      <c r="AT628" s="65">
        <v>300464.54</v>
      </c>
      <c r="AU628" s="65">
        <v>297710.46</v>
      </c>
      <c r="AV628" s="65">
        <v>293881.77</v>
      </c>
      <c r="AW628" s="65">
        <v>265516.8</v>
      </c>
      <c r="AX628" s="65">
        <v>276597.73</v>
      </c>
      <c r="AY628" s="65">
        <v>276925.6</v>
      </c>
      <c r="AZ628" s="65">
        <v>273326.2</v>
      </c>
      <c r="BA628" s="65">
        <v>276624.2</v>
      </c>
      <c r="BB628" s="65">
        <v>0.0</v>
      </c>
      <c r="BC628" s="65">
        <v>0.0</v>
      </c>
      <c r="BD628" s="65">
        <v>0.0</v>
      </c>
      <c r="BE628" s="65">
        <v>0.0</v>
      </c>
      <c r="BF628" s="65">
        <v>0.0</v>
      </c>
      <c r="BG628" s="65">
        <v>0.0</v>
      </c>
      <c r="BH628" s="65">
        <v>0.0</v>
      </c>
      <c r="BI628" s="65">
        <v>0.0</v>
      </c>
      <c r="BJ628" s="65">
        <v>0.0</v>
      </c>
      <c r="BK628" s="65">
        <v>0.0</v>
      </c>
      <c r="BL628" s="65">
        <v>0.0</v>
      </c>
      <c r="BM628" s="65">
        <v>0.0</v>
      </c>
      <c r="BN628" s="65">
        <v>0.0</v>
      </c>
      <c r="BO628" s="65">
        <v>0.0</v>
      </c>
      <c r="BP628" s="65">
        <v>0.0</v>
      </c>
      <c r="BQ628" s="65">
        <v>0.0</v>
      </c>
      <c r="BR628" s="65">
        <v>0.0</v>
      </c>
      <c r="BS628" s="65">
        <v>0.0</v>
      </c>
      <c r="BT628" s="88">
        <v>0.0</v>
      </c>
      <c r="BU628" s="65">
        <v>0.0</v>
      </c>
      <c r="BV628" s="65">
        <v>0.0</v>
      </c>
      <c r="BW628" s="90">
        <v>0.0</v>
      </c>
      <c r="BX628" s="90">
        <v>0.0</v>
      </c>
      <c r="BY628" s="90" t="str">
        <f t="array" ref="BY628">XLOOKUP(C628,'PL TOTAL D0'!$A$3:$A$1991,'PL TOTAL D0'!$C$3:$C$1991,"")</f>
        <v/>
      </c>
    </row>
    <row r="629" ht="15.75" customHeight="1">
      <c r="A629" s="50" t="s">
        <v>24</v>
      </c>
      <c r="B629" s="43" t="s">
        <v>7497</v>
      </c>
      <c r="C629" s="94" t="s">
        <v>7498</v>
      </c>
      <c r="D629" s="30" t="s">
        <v>120</v>
      </c>
      <c r="E629" s="22" t="s">
        <v>54</v>
      </c>
      <c r="F629" s="30" t="s">
        <v>332</v>
      </c>
      <c r="G629" s="47" t="str">
        <f t="shared" si="25"/>
        <v>David</v>
      </c>
      <c r="H629" s="49" t="s">
        <v>295</v>
      </c>
      <c r="I629" s="49" t="s">
        <v>296</v>
      </c>
      <c r="J629" s="47" t="str">
        <f t="shared" si="29"/>
        <v>Não</v>
      </c>
      <c r="K629" s="54">
        <v>45610.0</v>
      </c>
      <c r="L629" s="55"/>
      <c r="M629" s="32" t="s">
        <v>34</v>
      </c>
      <c r="N629" s="56">
        <v>0.012</v>
      </c>
      <c r="O629" s="23" t="s">
        <v>35</v>
      </c>
      <c r="P629" s="57">
        <v>0.1</v>
      </c>
      <c r="Q629" s="58"/>
      <c r="R629" s="70"/>
      <c r="S629" s="32" t="s">
        <v>194</v>
      </c>
      <c r="T629" s="32" t="s">
        <v>7499</v>
      </c>
      <c r="U629" s="33">
        <v>5.562999755192E12</v>
      </c>
      <c r="V629" s="33" t="s">
        <v>7500</v>
      </c>
      <c r="W629" s="48">
        <v>29908.0</v>
      </c>
      <c r="X629" s="23" t="s">
        <v>54</v>
      </c>
      <c r="Y629" s="49" t="str">
        <f t="shared" si="22"/>
        <v>Ativo</v>
      </c>
      <c r="Z629" s="62"/>
      <c r="AA629" s="32" t="s">
        <v>47</v>
      </c>
      <c r="AB629" s="64"/>
      <c r="AC629" s="79"/>
      <c r="AD629" s="54">
        <v>45610.0</v>
      </c>
      <c r="AE629" s="77">
        <v>4.9075100016186E13</v>
      </c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>
        <v>954605.24</v>
      </c>
      <c r="BF629" s="65">
        <v>946884.54</v>
      </c>
      <c r="BG629" s="65">
        <v>956827.37</v>
      </c>
      <c r="BH629" s="65">
        <v>97162.26</v>
      </c>
      <c r="BI629" s="65">
        <v>98498.27</v>
      </c>
      <c r="BJ629" s="65">
        <v>99414.94</v>
      </c>
      <c r="BK629" s="65">
        <v>100215.43</v>
      </c>
      <c r="BL629" s="65">
        <v>100860.9</v>
      </c>
      <c r="BM629" s="65">
        <v>101402.88</v>
      </c>
      <c r="BN629" s="65">
        <v>101461.7</v>
      </c>
      <c r="BO629" s="65">
        <v>102067.38</v>
      </c>
      <c r="BP629" s="65">
        <v>102827.4</v>
      </c>
      <c r="BQ629" s="65">
        <v>103313.6</v>
      </c>
      <c r="BR629" s="65">
        <v>104131.5</v>
      </c>
      <c r="BS629" s="65">
        <v>104865.06</v>
      </c>
      <c r="BT629" s="88">
        <v>103276.4</v>
      </c>
      <c r="BU629" s="65">
        <v>94230.32</v>
      </c>
      <c r="BV629" s="65">
        <v>95294.91</v>
      </c>
      <c r="BW629" s="90">
        <v>96146.06</v>
      </c>
      <c r="BX629" s="90">
        <v>0.0</v>
      </c>
      <c r="BY629" s="90" t="str">
        <f t="array" ref="BY629">XLOOKUP(C629,'PL TOTAL D0'!$A$3:$A$1991,'PL TOTAL D0'!$C$3:$C$1991,"")</f>
        <v/>
      </c>
    </row>
    <row r="630" ht="15.75" customHeight="1">
      <c r="A630" s="50" t="s">
        <v>24</v>
      </c>
      <c r="B630" s="43" t="s">
        <v>1125</v>
      </c>
      <c r="C630" s="94" t="s">
        <v>2534</v>
      </c>
      <c r="D630" s="30" t="s">
        <v>365</v>
      </c>
      <c r="E630" s="22" t="s">
        <v>199</v>
      </c>
      <c r="F630" s="30" t="s">
        <v>1111</v>
      </c>
      <c r="G630" s="47" t="str">
        <f t="shared" si="25"/>
        <v>Marcus</v>
      </c>
      <c r="H630" s="49" t="s">
        <v>183</v>
      </c>
      <c r="I630" s="49" t="s">
        <v>66</v>
      </c>
      <c r="J630" s="47" t="str">
        <f t="shared" si="29"/>
        <v>Sim</v>
      </c>
      <c r="K630" s="54">
        <v>45772.0</v>
      </c>
      <c r="L630" s="55"/>
      <c r="M630" s="32" t="s">
        <v>61</v>
      </c>
      <c r="N630" s="56">
        <v>0.01</v>
      </c>
      <c r="O630" s="23" t="s">
        <v>66</v>
      </c>
      <c r="P630" s="57">
        <v>0.0</v>
      </c>
      <c r="Q630" s="58" t="s">
        <v>7507</v>
      </c>
      <c r="R630" s="70"/>
      <c r="S630" s="32" t="s">
        <v>194</v>
      </c>
      <c r="T630" s="32" t="s">
        <v>1132</v>
      </c>
      <c r="U630" s="33">
        <v>5.561999522399E12</v>
      </c>
      <c r="V630" s="33" t="s">
        <v>1134</v>
      </c>
      <c r="W630" s="34">
        <v>28731.0</v>
      </c>
      <c r="X630" s="23" t="s">
        <v>199</v>
      </c>
      <c r="Y630" s="49" t="str">
        <f t="shared" si="22"/>
        <v>Ativo</v>
      </c>
      <c r="Z630" s="62"/>
      <c r="AA630" s="32" t="s">
        <v>47</v>
      </c>
      <c r="AB630" s="64"/>
      <c r="AC630" s="79"/>
      <c r="AD630" s="54">
        <v>45772.0</v>
      </c>
      <c r="AE630" s="77">
        <v>4.9075100018529E13</v>
      </c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65">
        <v>2276938.02</v>
      </c>
      <c r="BK630" s="65">
        <v>2286372.48</v>
      </c>
      <c r="BL630" s="65">
        <v>2367329.81</v>
      </c>
      <c r="BM630" s="65">
        <v>2393237.67</v>
      </c>
      <c r="BN630" s="65">
        <v>2417758.0</v>
      </c>
      <c r="BO630" s="65">
        <v>2442452.16</v>
      </c>
      <c r="BP630" s="65">
        <v>2467768.0</v>
      </c>
      <c r="BQ630" s="65">
        <v>2611994.0</v>
      </c>
      <c r="BR630" s="65">
        <v>2635912.0</v>
      </c>
      <c r="BS630" s="65">
        <v>2743113.52</v>
      </c>
      <c r="BT630" s="88">
        <v>2767169.0</v>
      </c>
      <c r="BU630" s="65">
        <v>2796134.0</v>
      </c>
      <c r="BV630" s="65">
        <v>2835292.0</v>
      </c>
      <c r="BW630" s="90">
        <v>2866428.0</v>
      </c>
      <c r="BX630" s="90">
        <v>2893242.02</v>
      </c>
      <c r="BY630" s="90">
        <f t="array" ref="BY630">XLOOKUP(C630,'PL TOTAL D0'!$A$3:$A$1991,'PL TOTAL D0'!$C$3:$C$1991,"")</f>
        <v>2928131.11</v>
      </c>
    </row>
    <row r="631" ht="15.75" customHeight="1">
      <c r="A631" s="50" t="s">
        <v>24</v>
      </c>
      <c r="B631" s="43" t="s">
        <v>7512</v>
      </c>
      <c r="C631" s="94" t="s">
        <v>7514</v>
      </c>
      <c r="D631" s="30" t="s">
        <v>142</v>
      </c>
      <c r="E631" s="22" t="s">
        <v>54</v>
      </c>
      <c r="F631" s="30" t="s">
        <v>158</v>
      </c>
      <c r="G631" s="47" t="str">
        <f t="shared" si="25"/>
        <v>David</v>
      </c>
      <c r="H631" s="49" t="s">
        <v>183</v>
      </c>
      <c r="I631" s="49" t="s">
        <v>66</v>
      </c>
      <c r="J631" s="47" t="str">
        <f t="shared" si="29"/>
        <v>Não</v>
      </c>
      <c r="K631" s="54">
        <v>46119.0</v>
      </c>
      <c r="L631" s="55"/>
      <c r="M631" s="32" t="s">
        <v>34</v>
      </c>
      <c r="N631" s="56">
        <v>0.012</v>
      </c>
      <c r="O631" s="23" t="s">
        <v>66</v>
      </c>
      <c r="P631" s="57">
        <v>0.0</v>
      </c>
      <c r="Q631" s="58"/>
      <c r="R631" s="70"/>
      <c r="S631" s="32" t="s">
        <v>194</v>
      </c>
      <c r="T631" s="32" t="s">
        <v>7517</v>
      </c>
      <c r="U631" s="33" t="s">
        <v>7518</v>
      </c>
      <c r="V631" s="33" t="s">
        <v>7519</v>
      </c>
      <c r="W631" s="34">
        <v>29146.0</v>
      </c>
      <c r="X631" s="23" t="s">
        <v>54</v>
      </c>
      <c r="Y631" s="49" t="str">
        <f t="shared" si="22"/>
        <v>Ativo</v>
      </c>
      <c r="Z631" s="62"/>
      <c r="AA631" s="32" t="s">
        <v>47</v>
      </c>
      <c r="AB631" s="64"/>
      <c r="AC631" s="79"/>
      <c r="AD631" s="54"/>
      <c r="AE631" s="77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65"/>
      <c r="BK631" s="65"/>
      <c r="BL631" s="65"/>
      <c r="BM631" s="65"/>
      <c r="BN631" s="65"/>
      <c r="BO631" s="65"/>
      <c r="BP631" s="65"/>
      <c r="BQ631" s="65"/>
      <c r="BR631" s="65"/>
      <c r="BS631" s="65"/>
      <c r="BT631" s="88"/>
      <c r="BU631" s="65">
        <v>0.0</v>
      </c>
      <c r="BV631" s="65">
        <v>0.0</v>
      </c>
      <c r="BW631" s="90">
        <v>0.0</v>
      </c>
      <c r="BX631" s="90">
        <v>0.0</v>
      </c>
      <c r="BY631" s="90" t="str">
        <f t="array" ref="BY631">XLOOKUP(C631,'PL TOTAL D0'!$A$3:$A$1991,'PL TOTAL D0'!$C$3:$C$1991,"")</f>
        <v/>
      </c>
    </row>
    <row r="632" ht="15.75" customHeight="1">
      <c r="A632" s="50" t="s">
        <v>24</v>
      </c>
      <c r="B632" s="43" t="s">
        <v>7524</v>
      </c>
      <c r="C632" s="53" t="s">
        <v>3285</v>
      </c>
      <c r="D632" s="30" t="s">
        <v>249</v>
      </c>
      <c r="E632" s="22" t="s">
        <v>199</v>
      </c>
      <c r="F632" s="30" t="s">
        <v>251</v>
      </c>
      <c r="G632" s="47" t="str">
        <f t="shared" si="25"/>
        <v>David</v>
      </c>
      <c r="H632" s="49" t="s">
        <v>183</v>
      </c>
      <c r="I632" s="49" t="s">
        <v>66</v>
      </c>
      <c r="J632" s="47" t="str">
        <f t="shared" si="29"/>
        <v>Não</v>
      </c>
      <c r="K632" s="54">
        <v>46184.0</v>
      </c>
      <c r="L632" s="55"/>
      <c r="M632" s="32" t="s">
        <v>61</v>
      </c>
      <c r="N632" s="56">
        <v>0.012</v>
      </c>
      <c r="O632" s="23" t="s">
        <v>66</v>
      </c>
      <c r="P632" s="57">
        <v>0.0</v>
      </c>
      <c r="Q632" s="58"/>
      <c r="R632" s="70"/>
      <c r="S632" s="32" t="s">
        <v>194</v>
      </c>
      <c r="T632" s="32" t="s">
        <v>7527</v>
      </c>
      <c r="U632" s="33" t="s">
        <v>7528</v>
      </c>
      <c r="V632" s="33" t="s">
        <v>7529</v>
      </c>
      <c r="W632" s="34">
        <v>30664.0</v>
      </c>
      <c r="X632" s="23" t="s">
        <v>199</v>
      </c>
      <c r="Y632" s="49" t="str">
        <f t="shared" si="22"/>
        <v>Ativo</v>
      </c>
      <c r="Z632" s="62"/>
      <c r="AA632" s="32" t="s">
        <v>47</v>
      </c>
      <c r="AB632" s="64"/>
      <c r="AC632" s="79"/>
      <c r="AD632" s="54">
        <v>46203.0</v>
      </c>
      <c r="AE632" s="77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65"/>
      <c r="BK632" s="65"/>
      <c r="BL632" s="65"/>
      <c r="BM632" s="65"/>
      <c r="BN632" s="65"/>
      <c r="BO632" s="65"/>
      <c r="BP632" s="65"/>
      <c r="BQ632" s="65"/>
      <c r="BR632" s="65"/>
      <c r="BS632" s="65"/>
      <c r="BT632" s="88"/>
      <c r="BU632" s="65"/>
      <c r="BV632" s="65"/>
      <c r="BW632" s="90"/>
      <c r="BX632" s="90">
        <v>100892.48</v>
      </c>
      <c r="BY632" s="90">
        <f t="array" ref="BY632">XLOOKUP(C632,'PL TOTAL D0'!$A$3:$A$1991,'PL TOTAL D0'!$C$3:$C$1991,"")</f>
        <v>114325.29</v>
      </c>
    </row>
    <row r="633" ht="15.75" customHeight="1">
      <c r="A633" s="50" t="s">
        <v>24</v>
      </c>
      <c r="B633" s="50" t="s">
        <v>7540</v>
      </c>
      <c r="C633" s="94" t="s">
        <v>7543</v>
      </c>
      <c r="D633" s="30" t="s">
        <v>89</v>
      </c>
      <c r="E633" s="95" t="s">
        <v>91</v>
      </c>
      <c r="F633" s="81" t="s">
        <v>521</v>
      </c>
      <c r="G633" s="47" t="str">
        <f t="shared" si="25"/>
        <v>David</v>
      </c>
      <c r="H633" s="49" t="s">
        <v>224</v>
      </c>
      <c r="I633" s="49" t="s">
        <v>66</v>
      </c>
      <c r="J633" s="47" t="str">
        <f t="shared" si="29"/>
        <v>Não</v>
      </c>
      <c r="K633" s="97">
        <v>44986.0</v>
      </c>
      <c r="L633" s="55">
        <v>45772.0</v>
      </c>
      <c r="M633" s="62" t="s">
        <v>61</v>
      </c>
      <c r="N633" s="98">
        <v>0.012</v>
      </c>
      <c r="O633" s="47" t="s">
        <v>66</v>
      </c>
      <c r="P633" s="99">
        <v>0.0</v>
      </c>
      <c r="Q633" s="58"/>
      <c r="R633" s="70"/>
      <c r="S633" s="62" t="s">
        <v>194</v>
      </c>
      <c r="T633" s="32" t="s">
        <v>7546</v>
      </c>
      <c r="U633" s="33" t="s">
        <v>268</v>
      </c>
      <c r="V633" s="33"/>
      <c r="W633" s="33" t="s">
        <v>268</v>
      </c>
      <c r="X633" s="23" t="s">
        <v>221</v>
      </c>
      <c r="Y633" s="49" t="str">
        <f t="shared" si="22"/>
        <v>Encerrado</v>
      </c>
      <c r="Z633" s="62"/>
      <c r="AA633" s="62"/>
      <c r="AB633" s="64" t="s">
        <v>269</v>
      </c>
      <c r="AC633" s="79"/>
      <c r="AD633" s="54">
        <v>44986.0</v>
      </c>
      <c r="AE633" s="77">
        <v>4.9075100008868E13</v>
      </c>
      <c r="AF633" s="79"/>
      <c r="AG633" s="79"/>
      <c r="AH633" s="79"/>
      <c r="AI633" s="79"/>
      <c r="AJ633" s="65">
        <v>152071.36</v>
      </c>
      <c r="AK633" s="65">
        <v>127283.37</v>
      </c>
      <c r="AL633" s="65">
        <v>128816.6</v>
      </c>
      <c r="AM633" s="65">
        <v>130817.66</v>
      </c>
      <c r="AN633" s="65">
        <v>136023.07</v>
      </c>
      <c r="AO633" s="65">
        <v>137240.08</v>
      </c>
      <c r="AP633" s="65">
        <v>137914.67</v>
      </c>
      <c r="AQ633" s="65">
        <v>138132.74</v>
      </c>
      <c r="AR633" s="65">
        <v>139024.4</v>
      </c>
      <c r="AS633" s="65">
        <v>145608.02</v>
      </c>
      <c r="AT633" s="65">
        <v>146890.58</v>
      </c>
      <c r="AU633" s="65">
        <v>147481.45</v>
      </c>
      <c r="AV633" s="65">
        <v>148492.73</v>
      </c>
      <c r="AW633" s="65">
        <v>158703.75</v>
      </c>
      <c r="AX633" s="65">
        <v>159134.3</v>
      </c>
      <c r="AY633" s="65">
        <v>169930.7</v>
      </c>
      <c r="AZ633" s="65">
        <v>188683.7</v>
      </c>
      <c r="BA633" s="65">
        <v>190204.6</v>
      </c>
      <c r="BB633" s="65">
        <v>191550.93</v>
      </c>
      <c r="BC633" s="65">
        <v>192637.6</v>
      </c>
      <c r="BD633" s="65">
        <v>0.0</v>
      </c>
      <c r="BE633" s="65">
        <v>0.0</v>
      </c>
      <c r="BF633" s="65">
        <v>0.0</v>
      </c>
      <c r="BG633" s="65">
        <v>0.0</v>
      </c>
      <c r="BH633" s="65">
        <v>0.0</v>
      </c>
      <c r="BI633" s="65">
        <v>0.0</v>
      </c>
      <c r="BJ633" s="65">
        <v>0.0</v>
      </c>
      <c r="BK633" s="65">
        <v>0.0</v>
      </c>
      <c r="BL633" s="65">
        <v>0.0</v>
      </c>
      <c r="BM633" s="65">
        <v>0.0</v>
      </c>
      <c r="BN633" s="65">
        <v>0.0</v>
      </c>
      <c r="BO633" s="65">
        <v>0.0</v>
      </c>
      <c r="BP633" s="65">
        <v>0.0</v>
      </c>
      <c r="BQ633" s="65">
        <v>0.0</v>
      </c>
      <c r="BR633" s="65">
        <v>0.0</v>
      </c>
      <c r="BS633" s="65">
        <v>0.0</v>
      </c>
      <c r="BT633" s="88">
        <v>0.0</v>
      </c>
      <c r="BU633" s="65">
        <v>0.0</v>
      </c>
      <c r="BV633" s="65">
        <v>0.0</v>
      </c>
      <c r="BW633" s="90">
        <v>0.0</v>
      </c>
      <c r="BX633" s="90">
        <v>0.0</v>
      </c>
      <c r="BY633" s="90" t="str">
        <f t="array" ref="BY633">XLOOKUP(C633,'PL TOTAL D0'!$A$3:$A$1991,'PL TOTAL D0'!$C$3:$C$1991,"")</f>
        <v/>
      </c>
    </row>
    <row r="634" ht="15.75" customHeight="1">
      <c r="A634" s="50" t="s">
        <v>24</v>
      </c>
      <c r="B634" s="50" t="s">
        <v>7550</v>
      </c>
      <c r="C634" s="94" t="s">
        <v>7551</v>
      </c>
      <c r="D634" s="30" t="s">
        <v>89</v>
      </c>
      <c r="E634" s="95" t="s">
        <v>91</v>
      </c>
      <c r="F634" s="81" t="s">
        <v>521</v>
      </c>
      <c r="G634" s="47" t="str">
        <f t="shared" si="25"/>
        <v>David</v>
      </c>
      <c r="H634" s="49" t="s">
        <v>224</v>
      </c>
      <c r="I634" s="49" t="s">
        <v>66</v>
      </c>
      <c r="J634" s="47" t="str">
        <f t="shared" si="29"/>
        <v>Não</v>
      </c>
      <c r="K634" s="97">
        <v>45000.0</v>
      </c>
      <c r="L634" s="55">
        <v>45772.0</v>
      </c>
      <c r="M634" s="62" t="s">
        <v>231</v>
      </c>
      <c r="N634" s="98">
        <v>0.025</v>
      </c>
      <c r="O634" s="23" t="s">
        <v>233</v>
      </c>
      <c r="P634" s="99">
        <v>0.2</v>
      </c>
      <c r="Q634" s="58"/>
      <c r="R634" s="70"/>
      <c r="S634" s="62" t="s">
        <v>194</v>
      </c>
      <c r="T634" s="32" t="s">
        <v>7546</v>
      </c>
      <c r="U634" s="33" t="s">
        <v>268</v>
      </c>
      <c r="V634" s="33"/>
      <c r="W634" s="33" t="s">
        <v>268</v>
      </c>
      <c r="X634" s="23" t="s">
        <v>221</v>
      </c>
      <c r="Y634" s="49" t="str">
        <f t="shared" si="22"/>
        <v>Encerrado</v>
      </c>
      <c r="Z634" s="62"/>
      <c r="AA634" s="62"/>
      <c r="AB634" s="64" t="s">
        <v>269</v>
      </c>
      <c r="AC634" s="79"/>
      <c r="AD634" s="54">
        <v>45000.0</v>
      </c>
      <c r="AE634" s="77">
        <v>4.9075100008841E13</v>
      </c>
      <c r="AF634" s="79"/>
      <c r="AG634" s="79"/>
      <c r="AH634" s="79"/>
      <c r="AI634" s="79"/>
      <c r="AJ634" s="65">
        <v>0.0</v>
      </c>
      <c r="AK634" s="65">
        <v>29418.53</v>
      </c>
      <c r="AL634" s="65">
        <v>34251.92</v>
      </c>
      <c r="AM634" s="65">
        <v>44968.78</v>
      </c>
      <c r="AN634" s="65">
        <v>78704.46</v>
      </c>
      <c r="AO634" s="65">
        <v>97953.34</v>
      </c>
      <c r="AP634" s="65">
        <v>112828.31</v>
      </c>
      <c r="AQ634" s="65">
        <v>117502.45</v>
      </c>
      <c r="AR634" s="65">
        <v>117141.19</v>
      </c>
      <c r="AS634" s="65">
        <v>125890.79</v>
      </c>
      <c r="AT634" s="65">
        <v>131903.05</v>
      </c>
      <c r="AU634" s="65">
        <v>122782.8</v>
      </c>
      <c r="AV634" s="65">
        <v>124471.72</v>
      </c>
      <c r="AW634" s="65">
        <v>136394.09</v>
      </c>
      <c r="AX634" s="65">
        <v>130721.36</v>
      </c>
      <c r="AY634" s="65">
        <v>126654.4</v>
      </c>
      <c r="AZ634" s="65">
        <v>146667.8</v>
      </c>
      <c r="BA634" s="65">
        <v>150160.9</v>
      </c>
      <c r="BB634" s="65">
        <v>152964.06</v>
      </c>
      <c r="BC634" s="65">
        <v>149863.21</v>
      </c>
      <c r="BD634" s="65">
        <v>0.0</v>
      </c>
      <c r="BE634" s="65">
        <v>0.0</v>
      </c>
      <c r="BF634" s="65">
        <v>0.0</v>
      </c>
      <c r="BG634" s="65">
        <v>0.0</v>
      </c>
      <c r="BH634" s="65">
        <v>0.0</v>
      </c>
      <c r="BI634" s="65">
        <v>0.0</v>
      </c>
      <c r="BJ634" s="65">
        <v>0.0</v>
      </c>
      <c r="BK634" s="65">
        <v>0.0</v>
      </c>
      <c r="BL634" s="65">
        <v>0.0</v>
      </c>
      <c r="BM634" s="65">
        <v>0.0</v>
      </c>
      <c r="BN634" s="65">
        <v>0.0</v>
      </c>
      <c r="BO634" s="65">
        <v>0.0</v>
      </c>
      <c r="BP634" s="65">
        <v>0.0</v>
      </c>
      <c r="BQ634" s="65">
        <v>0.0</v>
      </c>
      <c r="BR634" s="65">
        <v>0.0</v>
      </c>
      <c r="BS634" s="65">
        <v>0.0</v>
      </c>
      <c r="BT634" s="88">
        <v>0.0</v>
      </c>
      <c r="BU634" s="65">
        <v>0.0</v>
      </c>
      <c r="BV634" s="65">
        <v>0.0</v>
      </c>
      <c r="BW634" s="90">
        <v>0.0</v>
      </c>
      <c r="BX634" s="90">
        <v>0.0</v>
      </c>
      <c r="BY634" s="90" t="str">
        <f t="array" ref="BY634">XLOOKUP(C634,'PL TOTAL D0'!$A$3:$A$1991,'PL TOTAL D0'!$C$3:$C$1991,"")</f>
        <v/>
      </c>
    </row>
    <row r="635" ht="15.75" customHeight="1">
      <c r="A635" s="43" t="s">
        <v>24</v>
      </c>
      <c r="B635" s="200" t="s">
        <v>7554</v>
      </c>
      <c r="C635" s="94" t="s">
        <v>7555</v>
      </c>
      <c r="D635" s="30" t="s">
        <v>120</v>
      </c>
      <c r="E635" s="22" t="s">
        <v>54</v>
      </c>
      <c r="F635" s="30" t="s">
        <v>379</v>
      </c>
      <c r="G635" s="47" t="str">
        <f t="shared" si="25"/>
        <v>David</v>
      </c>
      <c r="H635" s="49" t="s">
        <v>295</v>
      </c>
      <c r="I635" s="49" t="s">
        <v>382</v>
      </c>
      <c r="J635" s="47" t="str">
        <f t="shared" si="29"/>
        <v>Não</v>
      </c>
      <c r="K635" s="54">
        <v>45644.0</v>
      </c>
      <c r="L635" s="62"/>
      <c r="M635" s="32" t="s">
        <v>61</v>
      </c>
      <c r="N635" s="56">
        <v>0.012</v>
      </c>
      <c r="O635" s="23" t="s">
        <v>66</v>
      </c>
      <c r="P635" s="57">
        <v>0.0</v>
      </c>
      <c r="Q635" s="58"/>
      <c r="R635" s="70"/>
      <c r="S635" s="32" t="s">
        <v>194</v>
      </c>
      <c r="T635" s="32" t="s">
        <v>7556</v>
      </c>
      <c r="U635" s="33">
        <v>5.562998023768E12</v>
      </c>
      <c r="V635" s="33" t="s">
        <v>7557</v>
      </c>
      <c r="W635" s="34">
        <v>19051.0</v>
      </c>
      <c r="X635" s="23" t="s">
        <v>54</v>
      </c>
      <c r="Y635" s="49" t="str">
        <f t="shared" si="22"/>
        <v>Ativo</v>
      </c>
      <c r="Z635" s="32"/>
      <c r="AA635" s="32" t="s">
        <v>107</v>
      </c>
      <c r="AB635" s="64"/>
      <c r="AC635" s="79"/>
      <c r="AD635" s="54"/>
      <c r="AE635" s="77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>
        <v>0.0</v>
      </c>
      <c r="BG635" s="65">
        <v>0.0</v>
      </c>
      <c r="BH635" s="65">
        <v>0.0</v>
      </c>
      <c r="BI635" s="65">
        <v>0.0</v>
      </c>
      <c r="BJ635" s="65">
        <v>0.0</v>
      </c>
      <c r="BK635" s="65">
        <v>0.0</v>
      </c>
      <c r="BL635" s="65">
        <v>0.0</v>
      </c>
      <c r="BM635" s="65">
        <v>0.0</v>
      </c>
      <c r="BN635" s="65">
        <v>0.0</v>
      </c>
      <c r="BO635" s="65">
        <v>0.0</v>
      </c>
      <c r="BP635" s="65">
        <v>0.0</v>
      </c>
      <c r="BQ635" s="65">
        <v>0.0</v>
      </c>
      <c r="BR635" s="65">
        <v>0.0</v>
      </c>
      <c r="BS635" s="65">
        <v>0.0</v>
      </c>
      <c r="BT635" s="88">
        <v>0.0</v>
      </c>
      <c r="BU635" s="65">
        <v>0.0</v>
      </c>
      <c r="BV635" s="65">
        <v>0.0</v>
      </c>
      <c r="BW635" s="90">
        <v>0.0</v>
      </c>
      <c r="BX635" s="90">
        <v>0.0</v>
      </c>
      <c r="BY635" s="90" t="str">
        <f t="array" ref="BY635">XLOOKUP(C635,'PL TOTAL D0'!$A$3:$A$1991,'PL TOTAL D0'!$C$3:$C$1991,"")</f>
        <v/>
      </c>
    </row>
    <row r="636" ht="15.75" customHeight="1">
      <c r="A636" s="43" t="s">
        <v>24</v>
      </c>
      <c r="B636" s="50" t="s">
        <v>7562</v>
      </c>
      <c r="C636" s="94" t="s">
        <v>7563</v>
      </c>
      <c r="D636" s="30" t="s">
        <v>120</v>
      </c>
      <c r="E636" s="22" t="s">
        <v>54</v>
      </c>
      <c r="F636" s="30" t="s">
        <v>125</v>
      </c>
      <c r="G636" s="47" t="str">
        <f t="shared" si="25"/>
        <v>David</v>
      </c>
      <c r="H636" s="49" t="s">
        <v>295</v>
      </c>
      <c r="I636" s="49" t="s">
        <v>756</v>
      </c>
      <c r="J636" s="47" t="str">
        <f t="shared" si="29"/>
        <v>Não</v>
      </c>
      <c r="K636" s="54">
        <v>45306.0</v>
      </c>
      <c r="L636" s="62"/>
      <c r="M636" s="32" t="s">
        <v>61</v>
      </c>
      <c r="N636" s="56">
        <v>0.012</v>
      </c>
      <c r="O636" s="23" t="s">
        <v>66</v>
      </c>
      <c r="P636" s="57">
        <v>0.0</v>
      </c>
      <c r="Q636" s="58"/>
      <c r="R636" s="70"/>
      <c r="S636" s="32" t="s">
        <v>194</v>
      </c>
      <c r="T636" s="32" t="s">
        <v>7565</v>
      </c>
      <c r="U636" s="33">
        <v>5.562992960909E12</v>
      </c>
      <c r="V636" s="33" t="s">
        <v>6502</v>
      </c>
      <c r="W636" s="34">
        <v>23643.0</v>
      </c>
      <c r="X636" s="23" t="s">
        <v>54</v>
      </c>
      <c r="Y636" s="49" t="str">
        <f t="shared" si="22"/>
        <v>Inativo</v>
      </c>
      <c r="Z636" s="62"/>
      <c r="AA636" s="62"/>
      <c r="AB636" s="64" t="s">
        <v>269</v>
      </c>
      <c r="AC636" s="79"/>
      <c r="AD636" s="54">
        <v>45306.0</v>
      </c>
      <c r="AE636" s="77">
        <v>4.9075100013195E13</v>
      </c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65">
        <v>0.0</v>
      </c>
      <c r="AV636" s="65">
        <v>0.0</v>
      </c>
      <c r="AW636" s="65">
        <v>0.0</v>
      </c>
      <c r="AX636" s="65">
        <v>0.0</v>
      </c>
      <c r="AY636" s="65">
        <v>0.0</v>
      </c>
      <c r="AZ636" s="65">
        <v>0.0</v>
      </c>
      <c r="BA636" s="65">
        <v>0.0</v>
      </c>
      <c r="BB636" s="65">
        <v>0.0</v>
      </c>
      <c r="BC636" s="65">
        <v>0.0</v>
      </c>
      <c r="BD636" s="65">
        <v>0.0</v>
      </c>
      <c r="BE636" s="65">
        <v>0.0</v>
      </c>
      <c r="BF636" s="65">
        <v>0.0</v>
      </c>
      <c r="BG636" s="65">
        <v>0.0</v>
      </c>
      <c r="BH636" s="65">
        <v>0.0</v>
      </c>
      <c r="BI636" s="65">
        <v>0.0</v>
      </c>
      <c r="BJ636" s="65">
        <v>0.0</v>
      </c>
      <c r="BK636" s="65">
        <v>0.0</v>
      </c>
      <c r="BL636" s="65">
        <v>0.0</v>
      </c>
      <c r="BM636" s="65">
        <v>0.0</v>
      </c>
      <c r="BN636" s="65">
        <v>0.0</v>
      </c>
      <c r="BO636" s="65">
        <v>0.0</v>
      </c>
      <c r="BP636" s="65">
        <v>0.0</v>
      </c>
      <c r="BQ636" s="65">
        <v>0.0</v>
      </c>
      <c r="BR636" s="65">
        <v>0.0</v>
      </c>
      <c r="BS636" s="65">
        <v>0.0</v>
      </c>
      <c r="BT636" s="88">
        <v>0.0</v>
      </c>
      <c r="BU636" s="65">
        <v>0.0</v>
      </c>
      <c r="BV636" s="65">
        <v>0.0</v>
      </c>
      <c r="BW636" s="90">
        <v>0.0</v>
      </c>
      <c r="BX636" s="90">
        <v>0.0</v>
      </c>
      <c r="BY636" s="90" t="str">
        <f t="array" ref="BY636">XLOOKUP(C636,'PL TOTAL D0'!$A$3:$A$1991,'PL TOTAL D0'!$C$3:$C$1991,"")</f>
        <v/>
      </c>
    </row>
    <row r="637" ht="15.75" customHeight="1">
      <c r="A637" s="43" t="s">
        <v>24</v>
      </c>
      <c r="B637" s="188" t="s">
        <v>7569</v>
      </c>
      <c r="C637" s="94" t="s">
        <v>7570</v>
      </c>
      <c r="D637" s="30" t="s">
        <v>255</v>
      </c>
      <c r="E637" s="22" t="s">
        <v>199</v>
      </c>
      <c r="F637" s="30" t="s">
        <v>4380</v>
      </c>
      <c r="G637" s="47" t="str">
        <f t="shared" si="25"/>
        <v>David</v>
      </c>
      <c r="H637" s="49" t="s">
        <v>224</v>
      </c>
      <c r="I637" s="49" t="s">
        <v>66</v>
      </c>
      <c r="J637" s="47" t="str">
        <f t="shared" si="29"/>
        <v>Não</v>
      </c>
      <c r="K637" s="54">
        <v>45419.0</v>
      </c>
      <c r="L637" s="55">
        <v>45764.0</v>
      </c>
      <c r="M637" s="32" t="s">
        <v>34</v>
      </c>
      <c r="N637" s="56">
        <v>0.012</v>
      </c>
      <c r="O637" s="23" t="s">
        <v>35</v>
      </c>
      <c r="P637" s="57">
        <v>0.1</v>
      </c>
      <c r="Q637" s="58"/>
      <c r="R637" s="70"/>
      <c r="S637" s="32" t="s">
        <v>194</v>
      </c>
      <c r="T637" s="32" t="s">
        <v>7571</v>
      </c>
      <c r="U637" s="33" t="s">
        <v>268</v>
      </c>
      <c r="V637" s="33"/>
      <c r="W637" s="33" t="s">
        <v>268</v>
      </c>
      <c r="X637" s="23" t="s">
        <v>199</v>
      </c>
      <c r="Y637" s="49" t="str">
        <f t="shared" si="22"/>
        <v>Encerrado</v>
      </c>
      <c r="Z637" s="32"/>
      <c r="AA637" s="32" t="s">
        <v>47</v>
      </c>
      <c r="AB637" s="64" t="s">
        <v>269</v>
      </c>
      <c r="AC637" s="79"/>
      <c r="AD637" s="54">
        <v>45419.0</v>
      </c>
      <c r="AE637" s="77">
        <v>4.9075100014582E13</v>
      </c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65"/>
      <c r="AW637" s="65"/>
      <c r="AX637" s="65"/>
      <c r="AY637" s="65">
        <v>221472.6</v>
      </c>
      <c r="AZ637" s="65">
        <v>223404.9</v>
      </c>
      <c r="BA637" s="65">
        <v>225456.9</v>
      </c>
      <c r="BB637" s="65">
        <v>227458.77</v>
      </c>
      <c r="BC637" s="65">
        <v>228457.21</v>
      </c>
      <c r="BD637" s="65">
        <v>229813.76</v>
      </c>
      <c r="BE637" s="65">
        <v>231118.13</v>
      </c>
      <c r="BF637" s="65">
        <v>231564.18</v>
      </c>
      <c r="BG637" s="65">
        <v>233769.25</v>
      </c>
      <c r="BH637" s="65">
        <v>0.0</v>
      </c>
      <c r="BI637" s="65">
        <v>0.0</v>
      </c>
      <c r="BJ637" s="65">
        <v>0.0</v>
      </c>
      <c r="BK637" s="65">
        <v>0.0</v>
      </c>
      <c r="BL637" s="65">
        <v>0.0</v>
      </c>
      <c r="BM637" s="65">
        <v>0.0</v>
      </c>
      <c r="BN637" s="65">
        <v>0.0</v>
      </c>
      <c r="BO637" s="65">
        <v>0.0</v>
      </c>
      <c r="BP637" s="65">
        <v>0.0</v>
      </c>
      <c r="BQ637" s="65">
        <v>0.0</v>
      </c>
      <c r="BR637" s="65">
        <v>0.0</v>
      </c>
      <c r="BS637" s="65">
        <v>0.0</v>
      </c>
      <c r="BT637" s="88">
        <v>0.0</v>
      </c>
      <c r="BU637" s="65">
        <v>0.0</v>
      </c>
      <c r="BV637" s="65">
        <v>0.0</v>
      </c>
      <c r="BW637" s="90">
        <v>0.0</v>
      </c>
      <c r="BX637" s="90">
        <v>0.0</v>
      </c>
      <c r="BY637" s="90" t="str">
        <f t="array" ref="BY637">XLOOKUP(C637,'PL TOTAL D0'!$A$3:$A$1991,'PL TOTAL D0'!$C$3:$C$1991,"")</f>
        <v/>
      </c>
    </row>
    <row r="638" ht="15.75" customHeight="1">
      <c r="A638" s="43" t="s">
        <v>24</v>
      </c>
      <c r="B638" s="188" t="s">
        <v>7579</v>
      </c>
      <c r="C638" s="94" t="s">
        <v>3392</v>
      </c>
      <c r="D638" s="30" t="s">
        <v>249</v>
      </c>
      <c r="E638" s="22" t="s">
        <v>199</v>
      </c>
      <c r="F638" s="30" t="s">
        <v>251</v>
      </c>
      <c r="G638" s="47" t="str">
        <f t="shared" si="25"/>
        <v>David</v>
      </c>
      <c r="H638" s="49" t="s">
        <v>183</v>
      </c>
      <c r="I638" s="49" t="s">
        <v>66</v>
      </c>
      <c r="J638" s="47" t="str">
        <f t="shared" si="29"/>
        <v>Não</v>
      </c>
      <c r="K638" s="54">
        <v>46001.0</v>
      </c>
      <c r="L638" s="55"/>
      <c r="M638" s="32" t="s">
        <v>390</v>
      </c>
      <c r="N638" s="56">
        <v>0.005</v>
      </c>
      <c r="O638" s="23" t="s">
        <v>66</v>
      </c>
      <c r="P638" s="57">
        <v>0.0</v>
      </c>
      <c r="Q638" s="58"/>
      <c r="R638" s="70"/>
      <c r="S638" s="32" t="s">
        <v>194</v>
      </c>
      <c r="T638" s="32" t="s">
        <v>7583</v>
      </c>
      <c r="U638" s="33" t="s">
        <v>7584</v>
      </c>
      <c r="V638" s="33" t="s">
        <v>7585</v>
      </c>
      <c r="W638" s="33">
        <v>29150.0</v>
      </c>
      <c r="X638" s="23" t="s">
        <v>199</v>
      </c>
      <c r="Y638" s="49" t="str">
        <f t="shared" si="22"/>
        <v>Ativo</v>
      </c>
      <c r="Z638" s="32"/>
      <c r="AA638" s="32" t="s">
        <v>47</v>
      </c>
      <c r="AB638" s="64"/>
      <c r="AC638" s="79"/>
      <c r="AD638" s="54">
        <v>46203.0</v>
      </c>
      <c r="AE638" s="77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65"/>
      <c r="BK638" s="65"/>
      <c r="BL638" s="65"/>
      <c r="BM638" s="65"/>
      <c r="BN638" s="65"/>
      <c r="BO638" s="65"/>
      <c r="BP638" s="65"/>
      <c r="BQ638" s="65"/>
      <c r="BR638" s="65">
        <v>44318.63</v>
      </c>
      <c r="BS638" s="65">
        <v>50454.67</v>
      </c>
      <c r="BT638" s="88">
        <v>50927.52</v>
      </c>
      <c r="BU638" s="65">
        <v>52532.9</v>
      </c>
      <c r="BV638" s="65">
        <v>56588.69</v>
      </c>
      <c r="BW638" s="90">
        <v>60228.0</v>
      </c>
      <c r="BX638" s="90">
        <v>67877.66</v>
      </c>
      <c r="BY638" s="90">
        <f t="array" ref="BY638">XLOOKUP(C638,'PL TOTAL D0'!$A$3:$A$1991,'PL TOTAL D0'!$C$3:$C$1991,"")</f>
        <v>70725.06</v>
      </c>
    </row>
    <row r="639" ht="15.75" customHeight="1">
      <c r="A639" s="43" t="s">
        <v>24</v>
      </c>
      <c r="B639" s="200" t="s">
        <v>7587</v>
      </c>
      <c r="C639" s="94" t="s">
        <v>3411</v>
      </c>
      <c r="D639" s="30" t="s">
        <v>249</v>
      </c>
      <c r="E639" s="22" t="s">
        <v>199</v>
      </c>
      <c r="F639" s="30" t="s">
        <v>251</v>
      </c>
      <c r="G639" s="47" t="str">
        <f t="shared" si="25"/>
        <v>David</v>
      </c>
      <c r="H639" s="49" t="s">
        <v>183</v>
      </c>
      <c r="I639" s="49" t="s">
        <v>66</v>
      </c>
      <c r="J639" s="47" t="str">
        <f t="shared" si="29"/>
        <v>Não</v>
      </c>
      <c r="K639" s="54">
        <v>46010.0</v>
      </c>
      <c r="L639" s="55"/>
      <c r="M639" s="32" t="s">
        <v>390</v>
      </c>
      <c r="N639" s="56">
        <v>0.005</v>
      </c>
      <c r="O639" s="23" t="s">
        <v>66</v>
      </c>
      <c r="P639" s="57">
        <v>0.0</v>
      </c>
      <c r="Q639" s="58"/>
      <c r="R639" s="70"/>
      <c r="S639" s="32" t="s">
        <v>194</v>
      </c>
      <c r="T639" s="32" t="s">
        <v>7583</v>
      </c>
      <c r="U639" s="33" t="s">
        <v>7584</v>
      </c>
      <c r="V639" s="33" t="s">
        <v>7585</v>
      </c>
      <c r="W639" s="48">
        <v>29150.0</v>
      </c>
      <c r="X639" s="23" t="s">
        <v>199</v>
      </c>
      <c r="Y639" s="49" t="str">
        <f t="shared" si="22"/>
        <v>Ativo</v>
      </c>
      <c r="Z639" s="32"/>
      <c r="AA639" s="32" t="s">
        <v>47</v>
      </c>
      <c r="AB639" s="64"/>
      <c r="AC639" s="79"/>
      <c r="AD639" s="54">
        <v>46203.0</v>
      </c>
      <c r="AE639" s="77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65"/>
      <c r="BK639" s="65"/>
      <c r="BL639" s="65"/>
      <c r="BM639" s="65"/>
      <c r="BN639" s="65"/>
      <c r="BO639" s="65"/>
      <c r="BP639" s="65"/>
      <c r="BQ639" s="65"/>
      <c r="BR639" s="65">
        <v>0.0</v>
      </c>
      <c r="BS639" s="65">
        <v>58492.58</v>
      </c>
      <c r="BT639" s="88">
        <v>61841.42</v>
      </c>
      <c r="BU639" s="65">
        <v>63769.5</v>
      </c>
      <c r="BV639" s="65">
        <v>66843.24</v>
      </c>
      <c r="BW639" s="90">
        <v>62378.47</v>
      </c>
      <c r="BX639" s="90">
        <v>60308.33</v>
      </c>
      <c r="BY639" s="90">
        <f t="array" ref="BY639">XLOOKUP(C639,'PL TOTAL D0'!$A$3:$A$1991,'PL TOTAL D0'!$C$3:$C$1991,"")</f>
        <v>64665.55</v>
      </c>
    </row>
    <row r="640" ht="15.75" customHeight="1">
      <c r="A640" s="50" t="s">
        <v>24</v>
      </c>
      <c r="B640" s="50" t="s">
        <v>5760</v>
      </c>
      <c r="C640" s="94" t="s">
        <v>7594</v>
      </c>
      <c r="D640" s="81" t="s">
        <v>120</v>
      </c>
      <c r="E640" s="95" t="s">
        <v>54</v>
      </c>
      <c r="F640" s="81" t="s">
        <v>348</v>
      </c>
      <c r="G640" s="47" t="str">
        <f t="shared" si="25"/>
        <v>David</v>
      </c>
      <c r="H640" s="49" t="s">
        <v>224</v>
      </c>
      <c r="I640" s="74" t="s">
        <v>66</v>
      </c>
      <c r="J640" s="47" t="str">
        <f t="shared" si="29"/>
        <v>Não</v>
      </c>
      <c r="K640" s="97">
        <v>44913.0</v>
      </c>
      <c r="L640" s="55">
        <v>45293.0</v>
      </c>
      <c r="M640" s="62" t="s">
        <v>209</v>
      </c>
      <c r="N640" s="98">
        <v>0.015</v>
      </c>
      <c r="O640" s="47" t="s">
        <v>35</v>
      </c>
      <c r="P640" s="99">
        <v>0.1</v>
      </c>
      <c r="Q640" s="58"/>
      <c r="R640" s="70"/>
      <c r="S640" s="62" t="s">
        <v>194</v>
      </c>
      <c r="T640" s="32" t="s">
        <v>5759</v>
      </c>
      <c r="U640" s="33" t="s">
        <v>268</v>
      </c>
      <c r="V640" s="33"/>
      <c r="W640" s="33" t="s">
        <v>268</v>
      </c>
      <c r="X640" s="23" t="s">
        <v>397</v>
      </c>
      <c r="Y640" s="49" t="str">
        <f t="shared" si="22"/>
        <v>Encerrado</v>
      </c>
      <c r="Z640" s="62"/>
      <c r="AA640" s="62"/>
      <c r="AB640" s="64"/>
      <c r="AC640" s="79"/>
      <c r="AD640" s="54">
        <v>44913.0</v>
      </c>
      <c r="AE640" s="77"/>
      <c r="AF640" s="79"/>
      <c r="AG640" s="79"/>
      <c r="AH640" s="79"/>
      <c r="AI640" s="65">
        <v>322525.9</v>
      </c>
      <c r="AJ640" s="65">
        <v>322404.64</v>
      </c>
      <c r="AK640" s="65">
        <v>322729.09</v>
      </c>
      <c r="AL640" s="65">
        <v>323308.41</v>
      </c>
      <c r="AM640" s="65">
        <v>326697.58</v>
      </c>
      <c r="AN640" s="65">
        <v>328100.56</v>
      </c>
      <c r="AO640" s="65">
        <v>330975.28</v>
      </c>
      <c r="AP640" s="65">
        <v>334242.33</v>
      </c>
      <c r="AQ640" s="65">
        <v>336999.22</v>
      </c>
      <c r="AR640" s="65">
        <v>340099.71</v>
      </c>
      <c r="AS640" s="65">
        <v>342703.83</v>
      </c>
      <c r="AT640" s="65">
        <v>345237.77</v>
      </c>
      <c r="AU640" s="65">
        <v>0.0</v>
      </c>
      <c r="AV640" s="65">
        <v>0.0</v>
      </c>
      <c r="AW640" s="65">
        <v>0.0</v>
      </c>
      <c r="AX640" s="65">
        <v>0.0</v>
      </c>
      <c r="AY640" s="65">
        <v>0.0</v>
      </c>
      <c r="AZ640" s="65">
        <v>0.0</v>
      </c>
      <c r="BA640" s="65">
        <v>0.0</v>
      </c>
      <c r="BB640" s="65">
        <v>0.0</v>
      </c>
      <c r="BC640" s="65">
        <v>0.0</v>
      </c>
      <c r="BD640" s="65">
        <v>0.0</v>
      </c>
      <c r="BE640" s="65">
        <v>0.0</v>
      </c>
      <c r="BF640" s="65">
        <v>0.0</v>
      </c>
      <c r="BG640" s="65">
        <v>0.0</v>
      </c>
      <c r="BH640" s="65">
        <v>0.0</v>
      </c>
      <c r="BI640" s="65">
        <v>0.0</v>
      </c>
      <c r="BJ640" s="65">
        <v>0.0</v>
      </c>
      <c r="BK640" s="65">
        <v>0.0</v>
      </c>
      <c r="BL640" s="65">
        <v>0.0</v>
      </c>
      <c r="BM640" s="65">
        <v>0.0</v>
      </c>
      <c r="BN640" s="65">
        <v>0.0</v>
      </c>
      <c r="BO640" s="65">
        <v>0.0</v>
      </c>
      <c r="BP640" s="65">
        <v>0.0</v>
      </c>
      <c r="BQ640" s="65">
        <v>0.0</v>
      </c>
      <c r="BR640" s="65">
        <v>0.0</v>
      </c>
      <c r="BS640" s="65">
        <v>0.0</v>
      </c>
      <c r="BT640" s="88">
        <v>0.0</v>
      </c>
      <c r="BU640" s="65">
        <v>0.0</v>
      </c>
      <c r="BV640" s="65">
        <v>0.0</v>
      </c>
      <c r="BW640" s="90">
        <v>0.0</v>
      </c>
      <c r="BX640" s="90">
        <v>0.0</v>
      </c>
      <c r="BY640" s="90" t="str">
        <f t="array" ref="BY640">XLOOKUP(C640,'PL TOTAL D0'!$A$3:$A$1991,'PL TOTAL D0'!$C$3:$C$1991,"")</f>
        <v/>
      </c>
    </row>
    <row r="641" ht="15.75" customHeight="1">
      <c r="A641" s="50" t="s">
        <v>24</v>
      </c>
      <c r="B641" s="43" t="s">
        <v>7599</v>
      </c>
      <c r="C641" s="94" t="s">
        <v>3469</v>
      </c>
      <c r="D641" s="30" t="s">
        <v>249</v>
      </c>
      <c r="E641" s="22" t="s">
        <v>199</v>
      </c>
      <c r="F641" s="30" t="s">
        <v>251</v>
      </c>
      <c r="G641" s="47" t="str">
        <f t="shared" si="25"/>
        <v>David</v>
      </c>
      <c r="H641" s="49" t="s">
        <v>183</v>
      </c>
      <c r="I641" s="49" t="s">
        <v>66</v>
      </c>
      <c r="J641" s="47" t="str">
        <f t="shared" si="29"/>
        <v>Não</v>
      </c>
      <c r="K641" s="54">
        <v>46094.0</v>
      </c>
      <c r="L641" s="55"/>
      <c r="M641" s="32" t="s">
        <v>34</v>
      </c>
      <c r="N641" s="56">
        <v>0.012</v>
      </c>
      <c r="O641" s="23" t="s">
        <v>35</v>
      </c>
      <c r="P641" s="57">
        <v>0.1</v>
      </c>
      <c r="Q641" s="58"/>
      <c r="R641" s="70"/>
      <c r="S641" s="32" t="s">
        <v>194</v>
      </c>
      <c r="T641" s="32" t="s">
        <v>7601</v>
      </c>
      <c r="U641" s="33" t="s">
        <v>7602</v>
      </c>
      <c r="V641" s="33" t="s">
        <v>7603</v>
      </c>
      <c r="W641" s="48">
        <v>31962.0</v>
      </c>
      <c r="X641" s="23" t="s">
        <v>199</v>
      </c>
      <c r="Y641" s="49" t="str">
        <f t="shared" si="22"/>
        <v>Ativo</v>
      </c>
      <c r="Z641" s="62"/>
      <c r="AA641" s="32" t="s">
        <v>47</v>
      </c>
      <c r="AB641" s="64"/>
      <c r="AC641" s="79"/>
      <c r="AD641" s="54">
        <v>46203.0</v>
      </c>
      <c r="AE641" s="77"/>
      <c r="AF641" s="79"/>
      <c r="AG641" s="79"/>
      <c r="AH641" s="79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65"/>
      <c r="BK641" s="65"/>
      <c r="BL641" s="65"/>
      <c r="BM641" s="65"/>
      <c r="BN641" s="65"/>
      <c r="BO641" s="65"/>
      <c r="BP641" s="65"/>
      <c r="BQ641" s="65"/>
      <c r="BR641" s="65"/>
      <c r="BS641" s="65"/>
      <c r="BT641" s="88"/>
      <c r="BU641" s="65">
        <v>30395.33</v>
      </c>
      <c r="BV641" s="65">
        <v>30685.91</v>
      </c>
      <c r="BW641" s="90">
        <v>38113.4</v>
      </c>
      <c r="BX641" s="90">
        <v>38473.95</v>
      </c>
      <c r="BY641" s="90">
        <f t="array" ref="BY641">XLOOKUP(C641,'PL TOTAL D0'!$A$3:$A$1991,'PL TOTAL D0'!$C$3:$C$1991,"")</f>
        <v>42021.41</v>
      </c>
    </row>
    <row r="642" ht="15.75" customHeight="1">
      <c r="A642" s="50" t="s">
        <v>24</v>
      </c>
      <c r="B642" s="43" t="s">
        <v>7607</v>
      </c>
      <c r="C642" s="94" t="s">
        <v>3248</v>
      </c>
      <c r="D642" s="30" t="s">
        <v>89</v>
      </c>
      <c r="E642" s="22" t="s">
        <v>91</v>
      </c>
      <c r="F642" s="30" t="s">
        <v>193</v>
      </c>
      <c r="G642" s="47" t="str">
        <f t="shared" si="25"/>
        <v>David</v>
      </c>
      <c r="H642" s="49" t="s">
        <v>183</v>
      </c>
      <c r="I642" s="49" t="s">
        <v>66</v>
      </c>
      <c r="J642" s="47" t="str">
        <f t="shared" si="29"/>
        <v>Não</v>
      </c>
      <c r="K642" s="362">
        <v>45568.0</v>
      </c>
      <c r="L642" s="55"/>
      <c r="M642" s="32" t="s">
        <v>34</v>
      </c>
      <c r="N642" s="56">
        <v>0.012</v>
      </c>
      <c r="O642" s="23" t="s">
        <v>35</v>
      </c>
      <c r="P642" s="57">
        <v>0.1</v>
      </c>
      <c r="Q642" s="58"/>
      <c r="R642" s="70"/>
      <c r="S642" s="32" t="s">
        <v>194</v>
      </c>
      <c r="T642" s="32" t="s">
        <v>7609</v>
      </c>
      <c r="U642" s="33">
        <v>5.543996915304E12</v>
      </c>
      <c r="V642" s="33" t="s">
        <v>7610</v>
      </c>
      <c r="W642" s="34">
        <v>33009.0</v>
      </c>
      <c r="X642" s="23" t="s">
        <v>221</v>
      </c>
      <c r="Y642" s="49" t="str">
        <f t="shared" si="22"/>
        <v>Ativo</v>
      </c>
      <c r="Z642" s="62"/>
      <c r="AA642" s="32" t="s">
        <v>47</v>
      </c>
      <c r="AB642" s="64"/>
      <c r="AC642" s="79"/>
      <c r="AD642" s="54">
        <v>45568.0</v>
      </c>
      <c r="AE642" s="77">
        <v>4.9075100016054E13</v>
      </c>
      <c r="AF642" s="79"/>
      <c r="AG642" s="79"/>
      <c r="AH642" s="79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>
        <v>122671.9</v>
      </c>
      <c r="BE642" s="65">
        <v>123699.18</v>
      </c>
      <c r="BF642" s="65">
        <v>124064.96</v>
      </c>
      <c r="BG642" s="65">
        <v>125241.25</v>
      </c>
      <c r="BH642" s="65">
        <v>126344.19</v>
      </c>
      <c r="BI642" s="65">
        <v>127457.44</v>
      </c>
      <c r="BJ642" s="65">
        <v>128722.87</v>
      </c>
      <c r="BK642" s="65">
        <v>129884.94</v>
      </c>
      <c r="BL642" s="65">
        <v>131094.82</v>
      </c>
      <c r="BM642" s="65">
        <v>132467.81</v>
      </c>
      <c r="BN642" s="65">
        <v>132763.4</v>
      </c>
      <c r="BO642" s="65">
        <v>133573.4</v>
      </c>
      <c r="BP642" s="65">
        <v>133974.5</v>
      </c>
      <c r="BQ642" s="65">
        <v>134244.2</v>
      </c>
      <c r="BR642" s="65">
        <v>134455.2</v>
      </c>
      <c r="BS642" s="65">
        <v>133680.96</v>
      </c>
      <c r="BT642" s="88">
        <v>134115.1</v>
      </c>
      <c r="BU642" s="65">
        <v>133537.1</v>
      </c>
      <c r="BV642" s="65">
        <v>134134.1</v>
      </c>
      <c r="BW642" s="90">
        <v>133917.3</v>
      </c>
      <c r="BX642" s="90">
        <v>135119.62</v>
      </c>
      <c r="BY642" s="90">
        <f t="array" ref="BY642">XLOOKUP(C642,'PL TOTAL D0'!$A$3:$A$1991,'PL TOTAL D0'!$C$3:$C$1991,"")</f>
        <v>135151.28</v>
      </c>
    </row>
    <row r="643" ht="15.75" customHeight="1">
      <c r="A643" s="50" t="s">
        <v>24</v>
      </c>
      <c r="B643" s="176" t="s">
        <v>7612</v>
      </c>
      <c r="C643" s="94" t="s">
        <v>2981</v>
      </c>
      <c r="D643" s="81" t="s">
        <v>255</v>
      </c>
      <c r="E643" s="95" t="s">
        <v>199</v>
      </c>
      <c r="F643" s="81" t="s">
        <v>7613</v>
      </c>
      <c r="G643" s="47" t="str">
        <f t="shared" si="25"/>
        <v>Gabriel</v>
      </c>
      <c r="H643" s="74" t="s">
        <v>183</v>
      </c>
      <c r="I643" s="74" t="s">
        <v>66</v>
      </c>
      <c r="J643" s="47" t="str">
        <f t="shared" si="29"/>
        <v>Não</v>
      </c>
      <c r="K643" s="97">
        <v>45009.0</v>
      </c>
      <c r="L643" s="62"/>
      <c r="M643" s="62" t="s">
        <v>209</v>
      </c>
      <c r="N643" s="98">
        <v>0.015</v>
      </c>
      <c r="O643" s="47" t="s">
        <v>35</v>
      </c>
      <c r="P643" s="99">
        <v>0.1</v>
      </c>
      <c r="Q643" s="58"/>
      <c r="R643" s="70"/>
      <c r="S643" s="62" t="s">
        <v>194</v>
      </c>
      <c r="T643" s="32" t="s">
        <v>7614</v>
      </c>
      <c r="U643" s="33">
        <v>6.199334022E10</v>
      </c>
      <c r="V643" s="33" t="s">
        <v>7615</v>
      </c>
      <c r="W643" s="34">
        <v>21601.0</v>
      </c>
      <c r="X643" s="23" t="s">
        <v>199</v>
      </c>
      <c r="Y643" s="49" t="str">
        <f t="shared" si="22"/>
        <v>Ativo</v>
      </c>
      <c r="Z643" s="62"/>
      <c r="AA643" s="62"/>
      <c r="AB643" s="64" t="s">
        <v>269</v>
      </c>
      <c r="AC643" s="79"/>
      <c r="AD643" s="54">
        <v>45009.0</v>
      </c>
      <c r="AE643" s="77">
        <v>4.9075100010269E13</v>
      </c>
      <c r="AF643" s="79"/>
      <c r="AG643" s="79"/>
      <c r="AH643" s="79"/>
      <c r="AI643" s="79"/>
      <c r="AJ643" s="79"/>
      <c r="AK643" s="65">
        <v>246513.1</v>
      </c>
      <c r="AL643" s="65">
        <v>247654.61</v>
      </c>
      <c r="AM643" s="65">
        <v>302958.03</v>
      </c>
      <c r="AN643" s="65">
        <v>308792.89</v>
      </c>
      <c r="AO643" s="65">
        <v>312544.0</v>
      </c>
      <c r="AP643" s="65">
        <v>312075.07</v>
      </c>
      <c r="AQ643" s="65">
        <v>313703.35</v>
      </c>
      <c r="AR643" s="65">
        <v>313206.47</v>
      </c>
      <c r="AS643" s="65">
        <v>319545.01</v>
      </c>
      <c r="AT643" s="65">
        <v>325700.31</v>
      </c>
      <c r="AU643" s="65">
        <v>320472.12</v>
      </c>
      <c r="AV643" s="65">
        <v>323390.18</v>
      </c>
      <c r="AW643" s="65">
        <v>325439.29</v>
      </c>
      <c r="AX643" s="65">
        <v>322592.07</v>
      </c>
      <c r="AY643" s="65">
        <v>321154.8</v>
      </c>
      <c r="AZ643" s="65">
        <v>323057.2</v>
      </c>
      <c r="BA643" s="65">
        <v>327524.3</v>
      </c>
      <c r="BB643" s="65">
        <v>330522.12</v>
      </c>
      <c r="BC643" s="65">
        <v>330439.49</v>
      </c>
      <c r="BD643" s="65">
        <v>327721.94</v>
      </c>
      <c r="BE643" s="65">
        <v>325484.52</v>
      </c>
      <c r="BF643" s="65">
        <v>324672.14</v>
      </c>
      <c r="BG643" s="65">
        <v>329223.46</v>
      </c>
      <c r="BH643" s="65">
        <v>331899.54</v>
      </c>
      <c r="BI643" s="65">
        <v>335387.09</v>
      </c>
      <c r="BJ643" s="65">
        <v>338565.64</v>
      </c>
      <c r="BK643" s="65">
        <v>343892.02</v>
      </c>
      <c r="BL643" s="65">
        <v>347137.38</v>
      </c>
      <c r="BM643" s="65">
        <v>349297.9</v>
      </c>
      <c r="BN643" s="65">
        <v>352939.1</v>
      </c>
      <c r="BO643" s="65">
        <v>357445.0</v>
      </c>
      <c r="BP643" s="65">
        <v>361808.8</v>
      </c>
      <c r="BQ643" s="65">
        <v>368297.5</v>
      </c>
      <c r="BR643" s="65">
        <v>371603.0</v>
      </c>
      <c r="BS643" s="65">
        <v>378377.37</v>
      </c>
      <c r="BT643" s="88">
        <v>382339.5</v>
      </c>
      <c r="BU643" s="65">
        <v>386356.4</v>
      </c>
      <c r="BV643" s="65">
        <v>389498.0</v>
      </c>
      <c r="BW643" s="90">
        <v>385225.6</v>
      </c>
      <c r="BX643" s="90">
        <v>401141.36</v>
      </c>
      <c r="BY643" s="90">
        <f t="array" ref="BY643">XLOOKUP(C643,'PL TOTAL D0'!$A$3:$A$1991,'PL TOTAL D0'!$C$3:$C$1991,"")</f>
        <v>393574.34</v>
      </c>
    </row>
    <row r="644" ht="15.75" customHeight="1">
      <c r="A644" s="50" t="s">
        <v>24</v>
      </c>
      <c r="B644" s="368" t="s">
        <v>7620</v>
      </c>
      <c r="C644" s="94" t="s">
        <v>7621</v>
      </c>
      <c r="D644" s="81" t="s">
        <v>120</v>
      </c>
      <c r="E644" s="95" t="s">
        <v>54</v>
      </c>
      <c r="F644" s="81" t="s">
        <v>348</v>
      </c>
      <c r="G644" s="47" t="str">
        <f t="shared" si="25"/>
        <v>David</v>
      </c>
      <c r="H644" s="49" t="s">
        <v>224</v>
      </c>
      <c r="I644" s="49" t="s">
        <v>66</v>
      </c>
      <c r="J644" s="47" t="str">
        <f t="shared" si="29"/>
        <v>Não</v>
      </c>
      <c r="K644" s="97">
        <v>45225.0</v>
      </c>
      <c r="L644" s="55">
        <v>45966.0</v>
      </c>
      <c r="M644" s="62" t="s">
        <v>61</v>
      </c>
      <c r="N644" s="98">
        <v>0.012</v>
      </c>
      <c r="O644" s="47" t="s">
        <v>66</v>
      </c>
      <c r="P644" s="99">
        <v>0.0</v>
      </c>
      <c r="Q644" s="58"/>
      <c r="R644" s="58" t="s">
        <v>610</v>
      </c>
      <c r="S644" s="62" t="s">
        <v>194</v>
      </c>
      <c r="T644" s="32" t="s">
        <v>7622</v>
      </c>
      <c r="U644" s="33" t="s">
        <v>268</v>
      </c>
      <c r="V644" s="33"/>
      <c r="W644" s="33" t="s">
        <v>268</v>
      </c>
      <c r="X644" s="23" t="s">
        <v>54</v>
      </c>
      <c r="Y644" s="49" t="str">
        <f t="shared" si="22"/>
        <v>Encerrado</v>
      </c>
      <c r="Z644" s="62"/>
      <c r="AA644" s="62"/>
      <c r="AB644" s="64" t="s">
        <v>269</v>
      </c>
      <c r="AC644" s="79"/>
      <c r="AD644" s="54">
        <v>45225.0</v>
      </c>
      <c r="AE644" s="77">
        <v>4.9075100012563E13</v>
      </c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65">
        <v>0.0</v>
      </c>
      <c r="AS644" s="65">
        <v>0.0</v>
      </c>
      <c r="AT644" s="65">
        <v>0.0</v>
      </c>
      <c r="AU644" s="65">
        <v>5000.0</v>
      </c>
      <c r="AV644" s="65">
        <v>21451.35</v>
      </c>
      <c r="AW644" s="65">
        <v>26596.87</v>
      </c>
      <c r="AX644" s="65">
        <v>111879.65</v>
      </c>
      <c r="AY644" s="65">
        <v>117903.9</v>
      </c>
      <c r="AZ644" s="65">
        <v>143373.8</v>
      </c>
      <c r="BA644" s="65">
        <v>149718.6</v>
      </c>
      <c r="BB644" s="65">
        <v>156069.9</v>
      </c>
      <c r="BC644" s="65">
        <v>162274.26</v>
      </c>
      <c r="BD644" s="65">
        <v>168869.98</v>
      </c>
      <c r="BE644" s="65">
        <v>175034.67</v>
      </c>
      <c r="BF644" s="65">
        <v>231506.11</v>
      </c>
      <c r="BG644" s="65">
        <v>239863.84</v>
      </c>
      <c r="BH644" s="65">
        <v>350142.68</v>
      </c>
      <c r="BI644" s="65">
        <v>358839.27</v>
      </c>
      <c r="BJ644" s="65">
        <v>368413.92</v>
      </c>
      <c r="BK644" s="65">
        <v>382000.48</v>
      </c>
      <c r="BL644" s="65">
        <v>395066.78</v>
      </c>
      <c r="BM644" s="65">
        <v>409028.58</v>
      </c>
      <c r="BN644" s="65">
        <v>0.0</v>
      </c>
      <c r="BO644" s="65">
        <v>0.0</v>
      </c>
      <c r="BP644" s="65">
        <v>0.0</v>
      </c>
      <c r="BQ644" s="65">
        <v>0.0</v>
      </c>
      <c r="BR644" s="65">
        <v>0.0</v>
      </c>
      <c r="BS644" s="65">
        <v>0.0</v>
      </c>
      <c r="BT644" s="88">
        <v>0.0</v>
      </c>
      <c r="BU644" s="65">
        <v>0.0</v>
      </c>
      <c r="BV644" s="65">
        <v>0.0</v>
      </c>
      <c r="BW644" s="90">
        <v>0.0</v>
      </c>
      <c r="BX644" s="90">
        <v>0.0</v>
      </c>
      <c r="BY644" s="90" t="str">
        <f t="array" ref="BY644">XLOOKUP(C644,'PL TOTAL D0'!$A$3:$A$1991,'PL TOTAL D0'!$C$3:$C$1991,"")</f>
        <v/>
      </c>
    </row>
    <row r="645" ht="15.75" customHeight="1">
      <c r="A645" s="50" t="s">
        <v>24</v>
      </c>
      <c r="B645" s="368" t="s">
        <v>7625</v>
      </c>
      <c r="C645" s="94" t="s">
        <v>2707</v>
      </c>
      <c r="D645" s="81" t="s">
        <v>53</v>
      </c>
      <c r="E645" s="95" t="s">
        <v>54</v>
      </c>
      <c r="F645" s="81" t="s">
        <v>55</v>
      </c>
      <c r="G645" s="23" t="s">
        <v>3075</v>
      </c>
      <c r="H645" s="49" t="s">
        <v>183</v>
      </c>
      <c r="I645" s="49" t="s">
        <v>66</v>
      </c>
      <c r="J645" s="47" t="str">
        <f t="shared" si="29"/>
        <v>Não</v>
      </c>
      <c r="K645" s="97">
        <v>46125.0</v>
      </c>
      <c r="L645" s="55"/>
      <c r="M645" s="62" t="s">
        <v>61</v>
      </c>
      <c r="N645" s="98">
        <v>0.012</v>
      </c>
      <c r="O645" s="47" t="s">
        <v>66</v>
      </c>
      <c r="P645" s="99">
        <v>0.0</v>
      </c>
      <c r="Q645" s="58"/>
      <c r="R645" s="58"/>
      <c r="S645" s="62" t="s">
        <v>194</v>
      </c>
      <c r="T645" s="32" t="s">
        <v>7627</v>
      </c>
      <c r="U645" s="33" t="s">
        <v>7628</v>
      </c>
      <c r="V645" s="33" t="s">
        <v>7629</v>
      </c>
      <c r="W645" s="33">
        <v>31514.0</v>
      </c>
      <c r="X645" s="23" t="s">
        <v>77</v>
      </c>
      <c r="Y645" s="49" t="str">
        <f t="shared" si="22"/>
        <v>Ativo</v>
      </c>
      <c r="Z645" s="62"/>
      <c r="AA645" s="62" t="s">
        <v>47</v>
      </c>
      <c r="AB645" s="64"/>
      <c r="AC645" s="79"/>
      <c r="AD645" s="54">
        <v>46203.0</v>
      </c>
      <c r="AE645" s="77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65"/>
      <c r="BK645" s="65"/>
      <c r="BL645" s="65"/>
      <c r="BM645" s="65"/>
      <c r="BN645" s="65"/>
      <c r="BO645" s="65"/>
      <c r="BP645" s="65"/>
      <c r="BQ645" s="65"/>
      <c r="BR645" s="65"/>
      <c r="BS645" s="65"/>
      <c r="BT645" s="88"/>
      <c r="BU645" s="65"/>
      <c r="BV645" s="65">
        <v>1264768.0</v>
      </c>
      <c r="BW645" s="90">
        <v>1167078.0</v>
      </c>
      <c r="BX645" s="90">
        <v>1064804.58</v>
      </c>
      <c r="BY645" s="90">
        <f t="array" ref="BY645">XLOOKUP(C645,'PL TOTAL D0'!$A$3:$A$1991,'PL TOTAL D0'!$C$3:$C$1991,"")</f>
        <v>964232.73</v>
      </c>
    </row>
    <row r="646" ht="15.75" customHeight="1">
      <c r="A646" s="50" t="s">
        <v>24</v>
      </c>
      <c r="B646" s="50" t="s">
        <v>7634</v>
      </c>
      <c r="C646" s="94" t="s">
        <v>3495</v>
      </c>
      <c r="D646" s="81" t="s">
        <v>120</v>
      </c>
      <c r="E646" s="95" t="s">
        <v>54</v>
      </c>
      <c r="F646" s="81" t="s">
        <v>379</v>
      </c>
      <c r="G646" s="47" t="str">
        <f t="shared" ref="G646:G735" si="30">IFS($BS$4:$BS$1280&lt;=250000,"David",$BS$4:$BS$1280&lt;=800000,"Gabriel", $BS$4:$BS$1280&gt;800000,"Marcus")</f>
        <v>David</v>
      </c>
      <c r="H646" s="74" t="s">
        <v>183</v>
      </c>
      <c r="I646" s="49" t="s">
        <v>66</v>
      </c>
      <c r="J646" s="47" t="str">
        <f t="shared" si="29"/>
        <v>Não</v>
      </c>
      <c r="K646" s="97">
        <v>45265.0</v>
      </c>
      <c r="L646" s="62"/>
      <c r="M646" s="62" t="s">
        <v>61</v>
      </c>
      <c r="N646" s="98">
        <v>0.012</v>
      </c>
      <c r="O646" s="47" t="s">
        <v>66</v>
      </c>
      <c r="P646" s="99">
        <v>0.0</v>
      </c>
      <c r="Q646" s="58"/>
      <c r="R646" s="70"/>
      <c r="S646" s="62" t="s">
        <v>194</v>
      </c>
      <c r="T646" s="32" t="s">
        <v>7636</v>
      </c>
      <c r="U646" s="33">
        <v>6.2996072571E10</v>
      </c>
      <c r="V646" s="33" t="s">
        <v>7637</v>
      </c>
      <c r="W646" s="34">
        <v>30592.0</v>
      </c>
      <c r="X646" s="23" t="s">
        <v>54</v>
      </c>
      <c r="Y646" s="49" t="str">
        <f t="shared" si="22"/>
        <v>Ativo</v>
      </c>
      <c r="Z646" s="62"/>
      <c r="AA646" s="62"/>
      <c r="AB646" s="64" t="s">
        <v>269</v>
      </c>
      <c r="AC646" s="79"/>
      <c r="AD646" s="54">
        <v>45265.0</v>
      </c>
      <c r="AE646" s="77">
        <v>4.9075100013004E13</v>
      </c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65">
        <v>0.0</v>
      </c>
      <c r="AT646" s="65">
        <v>233048.01</v>
      </c>
      <c r="AU646" s="65">
        <v>226519.07</v>
      </c>
      <c r="AV646" s="65">
        <v>214037.77</v>
      </c>
      <c r="AW646" s="65">
        <v>154923.63</v>
      </c>
      <c r="AX646" s="65">
        <v>135420.97</v>
      </c>
      <c r="AY646" s="65">
        <v>105657.9</v>
      </c>
      <c r="AZ646" s="65">
        <v>86126.8</v>
      </c>
      <c r="BA646" s="65">
        <v>79809.93</v>
      </c>
      <c r="BB646" s="65">
        <v>46433.89</v>
      </c>
      <c r="BC646" s="65">
        <v>36733.93</v>
      </c>
      <c r="BD646" s="65">
        <v>29468.74</v>
      </c>
      <c r="BE646" s="65">
        <v>4302.25</v>
      </c>
      <c r="BF646" s="65">
        <v>4306.87</v>
      </c>
      <c r="BG646" s="65">
        <v>4351.13</v>
      </c>
      <c r="BH646" s="65">
        <v>4393.56</v>
      </c>
      <c r="BI646" s="65">
        <v>4435.36</v>
      </c>
      <c r="BJ646" s="65">
        <v>4481.57</v>
      </c>
      <c r="BK646" s="65">
        <v>4493.93</v>
      </c>
      <c r="BL646" s="65">
        <v>4542.85</v>
      </c>
      <c r="BM646" s="65">
        <v>2574.96</v>
      </c>
      <c r="BN646" s="65">
        <v>5130.73</v>
      </c>
      <c r="BO646" s="65">
        <v>12182.81</v>
      </c>
      <c r="BP646" s="65">
        <v>7254.16</v>
      </c>
      <c r="BQ646" s="65">
        <v>4271.44</v>
      </c>
      <c r="BR646" s="65">
        <v>12425.53</v>
      </c>
      <c r="BS646" s="65">
        <v>4962.96</v>
      </c>
      <c r="BT646" s="88">
        <v>955.74</v>
      </c>
      <c r="BU646" s="65">
        <v>966.48</v>
      </c>
      <c r="BV646" s="65">
        <v>469.55</v>
      </c>
      <c r="BW646" s="90">
        <v>470.0</v>
      </c>
      <c r="BX646" s="90">
        <v>474.12</v>
      </c>
      <c r="BY646" s="90">
        <f t="array" ref="BY646">XLOOKUP(C646,'PL TOTAL D0'!$A$3:$A$1991,'PL TOTAL D0'!$C$3:$C$1991,"")</f>
        <v>30816.47</v>
      </c>
    </row>
    <row r="647" ht="15.75" customHeight="1">
      <c r="A647" s="50" t="s">
        <v>24</v>
      </c>
      <c r="B647" s="43" t="s">
        <v>7639</v>
      </c>
      <c r="C647" s="94" t="s">
        <v>3563</v>
      </c>
      <c r="D647" s="30" t="s">
        <v>120</v>
      </c>
      <c r="E647" s="22" t="s">
        <v>199</v>
      </c>
      <c r="F647" s="30" t="s">
        <v>707</v>
      </c>
      <c r="G647" s="47" t="str">
        <f t="shared" si="30"/>
        <v>David</v>
      </c>
      <c r="H647" s="49" t="s">
        <v>183</v>
      </c>
      <c r="I647" s="49" t="s">
        <v>66</v>
      </c>
      <c r="J647" s="47" t="str">
        <f t="shared" si="29"/>
        <v>Não</v>
      </c>
      <c r="K647" s="54">
        <v>46009.0</v>
      </c>
      <c r="L647" s="62"/>
      <c r="M647" s="32" t="s">
        <v>390</v>
      </c>
      <c r="N647" s="56">
        <v>0.005</v>
      </c>
      <c r="O647" s="23" t="s">
        <v>66</v>
      </c>
      <c r="P647" s="57">
        <v>0.0</v>
      </c>
      <c r="Q647" s="58"/>
      <c r="R647" s="70"/>
      <c r="S647" s="32" t="s">
        <v>194</v>
      </c>
      <c r="T647" s="32" t="s">
        <v>7640</v>
      </c>
      <c r="U647" s="33" t="s">
        <v>7641</v>
      </c>
      <c r="V647" s="33" t="s">
        <v>7642</v>
      </c>
      <c r="W647" s="34">
        <v>24685.0</v>
      </c>
      <c r="X647" s="23" t="s">
        <v>199</v>
      </c>
      <c r="Y647" s="49" t="str">
        <f t="shared" si="22"/>
        <v>Ativo</v>
      </c>
      <c r="Z647" s="62"/>
      <c r="AA647" s="32" t="s">
        <v>47</v>
      </c>
      <c r="AB647" s="64"/>
      <c r="AC647" s="79"/>
      <c r="AD647" s="54">
        <v>46203.0</v>
      </c>
      <c r="AE647" s="77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65"/>
      <c r="BK647" s="65"/>
      <c r="BL647" s="65"/>
      <c r="BM647" s="65"/>
      <c r="BN647" s="65"/>
      <c r="BO647" s="65"/>
      <c r="BP647" s="65"/>
      <c r="BQ647" s="65"/>
      <c r="BR647" s="65">
        <v>48304.66</v>
      </c>
      <c r="BS647" s="65">
        <v>48848.96</v>
      </c>
      <c r="BT647" s="88">
        <v>39208.23</v>
      </c>
      <c r="BU647" s="65">
        <v>38863.69</v>
      </c>
      <c r="BV647" s="65">
        <v>35202.18</v>
      </c>
      <c r="BW647" s="90">
        <v>25206.77</v>
      </c>
      <c r="BX647" s="90">
        <v>20386.8</v>
      </c>
      <c r="BY647" s="90">
        <f t="array" ref="BY647">XLOOKUP(C647,'PL TOTAL D0'!$A$3:$A$1991,'PL TOTAL D0'!$C$3:$C$1991,"")</f>
        <v>6614.32</v>
      </c>
    </row>
    <row r="648" ht="15.75" customHeight="1">
      <c r="A648" s="50" t="s">
        <v>24</v>
      </c>
      <c r="B648" s="43" t="s">
        <v>7646</v>
      </c>
      <c r="C648" s="94" t="s">
        <v>3419</v>
      </c>
      <c r="D648" s="30" t="s">
        <v>120</v>
      </c>
      <c r="E648" s="22" t="s">
        <v>199</v>
      </c>
      <c r="F648" s="30" t="s">
        <v>707</v>
      </c>
      <c r="G648" s="47" t="str">
        <f t="shared" si="30"/>
        <v>David</v>
      </c>
      <c r="H648" s="49" t="s">
        <v>183</v>
      </c>
      <c r="I648" s="49" t="s">
        <v>66</v>
      </c>
      <c r="J648" s="47" t="str">
        <f t="shared" si="29"/>
        <v>Não</v>
      </c>
      <c r="K648" s="54">
        <v>45614.0</v>
      </c>
      <c r="L648" s="62"/>
      <c r="M648" s="32" t="s">
        <v>390</v>
      </c>
      <c r="N648" s="56">
        <v>0.0</v>
      </c>
      <c r="O648" s="23" t="s">
        <v>66</v>
      </c>
      <c r="P648" s="57">
        <v>0.0</v>
      </c>
      <c r="Q648" s="58"/>
      <c r="R648" s="70"/>
      <c r="S648" s="32" t="s">
        <v>194</v>
      </c>
      <c r="T648" s="32" t="s">
        <v>7648</v>
      </c>
      <c r="U648" s="33">
        <v>6.1985767007E10</v>
      </c>
      <c r="V648" s="33" t="s">
        <v>7650</v>
      </c>
      <c r="W648" s="34">
        <v>33759.0</v>
      </c>
      <c r="X648" s="23" t="s">
        <v>199</v>
      </c>
      <c r="Y648" s="49" t="str">
        <f t="shared" si="22"/>
        <v>Ativo</v>
      </c>
      <c r="Z648" s="62"/>
      <c r="AA648" s="32" t="s">
        <v>47</v>
      </c>
      <c r="AB648" s="64"/>
      <c r="AC648" s="79"/>
      <c r="AD648" s="54">
        <v>45614.0</v>
      </c>
      <c r="AE648" s="77">
        <v>4.9075100016283E13</v>
      </c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>
        <v>30647.86</v>
      </c>
      <c r="BF648" s="65">
        <v>30925.97</v>
      </c>
      <c r="BG648" s="65">
        <v>46270.96</v>
      </c>
      <c r="BH648" s="65">
        <v>46750.16</v>
      </c>
      <c r="BI648" s="65">
        <v>57221.69</v>
      </c>
      <c r="BJ648" s="65">
        <v>62817.53</v>
      </c>
      <c r="BK648" s="65">
        <v>63135.26</v>
      </c>
      <c r="BL648" s="65">
        <v>73860.8</v>
      </c>
      <c r="BM648" s="65">
        <v>81817.87</v>
      </c>
      <c r="BN648" s="65">
        <v>92816.2</v>
      </c>
      <c r="BO648" s="65">
        <v>93868.41</v>
      </c>
      <c r="BP648" s="65">
        <v>95102.69</v>
      </c>
      <c r="BQ648" s="65">
        <v>95305.72</v>
      </c>
      <c r="BR648" s="65">
        <v>100607.9</v>
      </c>
      <c r="BS648" s="65">
        <v>100379.33</v>
      </c>
      <c r="BT648" s="88">
        <v>101243.6</v>
      </c>
      <c r="BU648" s="65">
        <v>102441.0</v>
      </c>
      <c r="BV648" s="65">
        <v>103554.7</v>
      </c>
      <c r="BW648" s="90">
        <v>79652.16</v>
      </c>
      <c r="BX648" s="90">
        <v>60088.67</v>
      </c>
      <c r="BY648" s="90">
        <f t="array" ref="BY648">XLOOKUP(C648,'PL TOTAL D0'!$A$3:$A$1991,'PL TOTAL D0'!$C$3:$C$1991,"")</f>
        <v>60864.1</v>
      </c>
    </row>
    <row r="649" ht="15.75" customHeight="1">
      <c r="A649" s="50" t="s">
        <v>24</v>
      </c>
      <c r="B649" s="43" t="s">
        <v>7652</v>
      </c>
      <c r="C649" s="94" t="s">
        <v>3229</v>
      </c>
      <c r="D649" s="30" t="s">
        <v>89</v>
      </c>
      <c r="E649" s="22" t="s">
        <v>91</v>
      </c>
      <c r="F649" s="30" t="s">
        <v>521</v>
      </c>
      <c r="G649" s="47" t="str">
        <f t="shared" si="30"/>
        <v>David</v>
      </c>
      <c r="H649" s="49" t="s">
        <v>183</v>
      </c>
      <c r="I649" s="49" t="s">
        <v>66</v>
      </c>
      <c r="J649" s="47" t="str">
        <f t="shared" si="29"/>
        <v>Não</v>
      </c>
      <c r="K649" s="54">
        <v>46063.0</v>
      </c>
      <c r="L649" s="62"/>
      <c r="M649" s="32" t="s">
        <v>61</v>
      </c>
      <c r="N649" s="56">
        <v>0.012</v>
      </c>
      <c r="O649" s="23" t="s">
        <v>66</v>
      </c>
      <c r="P649" s="57">
        <v>0.0</v>
      </c>
      <c r="Q649" s="58"/>
      <c r="R649" s="70"/>
      <c r="S649" s="32" t="s">
        <v>194</v>
      </c>
      <c r="T649" s="32" t="s">
        <v>7653</v>
      </c>
      <c r="U649" s="33" t="s">
        <v>7654</v>
      </c>
      <c r="V649" s="33" t="s">
        <v>7655</v>
      </c>
      <c r="W649" s="34">
        <v>30828.0</v>
      </c>
      <c r="X649" s="23" t="s">
        <v>221</v>
      </c>
      <c r="Y649" s="49" t="str">
        <f t="shared" si="22"/>
        <v>Ativo</v>
      </c>
      <c r="Z649" s="62"/>
      <c r="AA649" s="32" t="s">
        <v>47</v>
      </c>
      <c r="AB649" s="64"/>
      <c r="AC649" s="79"/>
      <c r="AD649" s="54">
        <v>46203.0</v>
      </c>
      <c r="AE649" s="77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  <c r="BM649" s="65"/>
      <c r="BN649" s="65"/>
      <c r="BO649" s="65"/>
      <c r="BP649" s="65"/>
      <c r="BQ649" s="65"/>
      <c r="BR649" s="65"/>
      <c r="BS649" s="65"/>
      <c r="BT649" s="88">
        <v>116991.7</v>
      </c>
      <c r="BU649" s="65">
        <v>118466.6</v>
      </c>
      <c r="BV649" s="65">
        <v>119703.3</v>
      </c>
      <c r="BW649" s="90">
        <v>130931.4</v>
      </c>
      <c r="BX649" s="90">
        <v>132036.34</v>
      </c>
      <c r="BY649" s="90">
        <f t="array" ref="BY649">XLOOKUP(C649,'PL TOTAL D0'!$A$3:$A$1991,'PL TOTAL D0'!$C$3:$C$1991,"")</f>
        <v>143690.76</v>
      </c>
    </row>
    <row r="650" ht="15.75" customHeight="1">
      <c r="A650" s="50" t="s">
        <v>24</v>
      </c>
      <c r="B650" s="50" t="s">
        <v>7659</v>
      </c>
      <c r="C650" s="94" t="s">
        <v>7660</v>
      </c>
      <c r="D650" s="81" t="s">
        <v>255</v>
      </c>
      <c r="E650" s="95" t="s">
        <v>199</v>
      </c>
      <c r="F650" s="81" t="s">
        <v>4952</v>
      </c>
      <c r="G650" s="47" t="str">
        <f t="shared" si="30"/>
        <v>David</v>
      </c>
      <c r="H650" s="49" t="s">
        <v>224</v>
      </c>
      <c r="I650" s="49" t="s">
        <v>66</v>
      </c>
      <c r="J650" s="47" t="str">
        <f t="shared" si="29"/>
        <v>Não</v>
      </c>
      <c r="K650" s="97">
        <v>45098.0</v>
      </c>
      <c r="L650" s="55">
        <v>45449.0</v>
      </c>
      <c r="M650" s="62" t="s">
        <v>201</v>
      </c>
      <c r="N650" s="98">
        <v>0.002</v>
      </c>
      <c r="O650" s="23" t="s">
        <v>233</v>
      </c>
      <c r="P650" s="99">
        <v>0.2</v>
      </c>
      <c r="Q650" s="58"/>
      <c r="R650" s="58" t="s">
        <v>1767</v>
      </c>
      <c r="S650" s="62" t="s">
        <v>194</v>
      </c>
      <c r="T650" s="32" t="s">
        <v>7663</v>
      </c>
      <c r="U650" s="33" t="s">
        <v>268</v>
      </c>
      <c r="V650" s="33"/>
      <c r="W650" s="33" t="s">
        <v>268</v>
      </c>
      <c r="X650" s="23" t="s">
        <v>199</v>
      </c>
      <c r="Y650" s="49" t="str">
        <f t="shared" si="22"/>
        <v>Encerrado</v>
      </c>
      <c r="Z650" s="62"/>
      <c r="AA650" s="62"/>
      <c r="AB650" s="64" t="s">
        <v>2099</v>
      </c>
      <c r="AC650" s="79"/>
      <c r="AD650" s="54">
        <v>45098.0</v>
      </c>
      <c r="AE650" s="77">
        <v>4.9075100011559E13</v>
      </c>
      <c r="AF650" s="79"/>
      <c r="AG650" s="79"/>
      <c r="AH650" s="79"/>
      <c r="AI650" s="79"/>
      <c r="AJ650" s="79"/>
      <c r="AK650" s="79"/>
      <c r="AL650" s="65">
        <v>0.0</v>
      </c>
      <c r="AM650" s="65">
        <v>0.0</v>
      </c>
      <c r="AN650" s="65">
        <v>5730277.89</v>
      </c>
      <c r="AO650" s="65">
        <v>9062219.04</v>
      </c>
      <c r="AP650" s="65">
        <v>9332207.65</v>
      </c>
      <c r="AQ650" s="65">
        <v>0.0</v>
      </c>
      <c r="AR650" s="65">
        <v>0.0</v>
      </c>
      <c r="AS650" s="65">
        <v>0.0</v>
      </c>
      <c r="AT650" s="65">
        <v>0.0</v>
      </c>
      <c r="AU650" s="65">
        <v>0.0</v>
      </c>
      <c r="AV650" s="65">
        <v>0.0</v>
      </c>
      <c r="AW650" s="65">
        <v>0.0</v>
      </c>
      <c r="AX650" s="65">
        <v>0.0</v>
      </c>
      <c r="AY650" s="65">
        <v>0.0</v>
      </c>
      <c r="AZ650" s="65">
        <v>0.0</v>
      </c>
      <c r="BA650" s="65">
        <v>0.0</v>
      </c>
      <c r="BB650" s="65">
        <v>0.0</v>
      </c>
      <c r="BC650" s="65">
        <v>0.0</v>
      </c>
      <c r="BD650" s="65">
        <v>0.0</v>
      </c>
      <c r="BE650" s="65">
        <v>0.0</v>
      </c>
      <c r="BF650" s="65">
        <v>0.0</v>
      </c>
      <c r="BG650" s="65">
        <v>0.0</v>
      </c>
      <c r="BH650" s="65">
        <v>0.0</v>
      </c>
      <c r="BI650" s="65">
        <v>0.0</v>
      </c>
      <c r="BJ650" s="65">
        <v>0.0</v>
      </c>
      <c r="BK650" s="65">
        <v>0.0</v>
      </c>
      <c r="BL650" s="65">
        <v>0.0</v>
      </c>
      <c r="BM650" s="65">
        <v>0.0</v>
      </c>
      <c r="BN650" s="65">
        <v>0.0</v>
      </c>
      <c r="BO650" s="65">
        <v>0.0</v>
      </c>
      <c r="BP650" s="65">
        <v>0.0</v>
      </c>
      <c r="BQ650" s="65">
        <v>0.0</v>
      </c>
      <c r="BR650" s="65">
        <v>0.0</v>
      </c>
      <c r="BS650" s="65">
        <v>0.0</v>
      </c>
      <c r="BT650" s="88">
        <v>0.0</v>
      </c>
      <c r="BU650" s="65">
        <v>0.0</v>
      </c>
      <c r="BV650" s="65">
        <v>0.0</v>
      </c>
      <c r="BW650" s="90">
        <v>0.0</v>
      </c>
      <c r="BX650" s="90">
        <v>0.0</v>
      </c>
      <c r="BY650" s="90" t="str">
        <f t="array" ref="BY650">XLOOKUP(C650,'PL TOTAL D0'!$A$3:$A$1991,'PL TOTAL D0'!$C$3:$C$1991,"")</f>
        <v/>
      </c>
    </row>
    <row r="651" ht="15.75" customHeight="1">
      <c r="A651" s="50" t="s">
        <v>24</v>
      </c>
      <c r="B651" s="176" t="s">
        <v>6104</v>
      </c>
      <c r="C651" s="94" t="s">
        <v>2700</v>
      </c>
      <c r="D651" s="30" t="s">
        <v>89</v>
      </c>
      <c r="E651" s="95" t="s">
        <v>91</v>
      </c>
      <c r="F651" s="81" t="s">
        <v>521</v>
      </c>
      <c r="G651" s="47" t="str">
        <f t="shared" si="30"/>
        <v>Marcus</v>
      </c>
      <c r="H651" s="49" t="s">
        <v>183</v>
      </c>
      <c r="I651" s="49" t="s">
        <v>66</v>
      </c>
      <c r="J651" s="47" t="str">
        <f t="shared" si="29"/>
        <v>Não</v>
      </c>
      <c r="K651" s="97">
        <v>45075.0</v>
      </c>
      <c r="L651" s="62"/>
      <c r="M651" s="32" t="s">
        <v>1360</v>
      </c>
      <c r="N651" s="98">
        <v>0.015</v>
      </c>
      <c r="O651" s="23" t="s">
        <v>66</v>
      </c>
      <c r="P651" s="57">
        <v>0.0</v>
      </c>
      <c r="Q651" s="58"/>
      <c r="R651" s="70"/>
      <c r="S651" s="62" t="s">
        <v>194</v>
      </c>
      <c r="T651" s="32" t="s">
        <v>6108</v>
      </c>
      <c r="U651" s="33">
        <v>5.5439916097E12</v>
      </c>
      <c r="V651" s="33" t="s">
        <v>7670</v>
      </c>
      <c r="W651" s="48">
        <v>29914.0</v>
      </c>
      <c r="X651" s="23" t="s">
        <v>221</v>
      </c>
      <c r="Y651" s="49" t="str">
        <f t="shared" si="22"/>
        <v>Ativo</v>
      </c>
      <c r="Z651" s="62"/>
      <c r="AA651" s="32" t="s">
        <v>47</v>
      </c>
      <c r="AB651" s="64" t="s">
        <v>269</v>
      </c>
      <c r="AC651" s="79"/>
      <c r="AD651" s="54">
        <v>45075.0</v>
      </c>
      <c r="AE651" s="77">
        <v>4.9075100007365E13</v>
      </c>
      <c r="AF651" s="79"/>
      <c r="AG651" s="79"/>
      <c r="AH651" s="79"/>
      <c r="AI651" s="79"/>
      <c r="AJ651" s="79"/>
      <c r="AK651" s="65">
        <v>0.0</v>
      </c>
      <c r="AL651" s="65">
        <v>0.0</v>
      </c>
      <c r="AM651" s="65">
        <v>747604.76</v>
      </c>
      <c r="AN651" s="65">
        <v>798854.32</v>
      </c>
      <c r="AO651" s="65">
        <v>806756.24</v>
      </c>
      <c r="AP651" s="65">
        <v>802901.84</v>
      </c>
      <c r="AQ651" s="65">
        <v>806777.51</v>
      </c>
      <c r="AR651" s="65">
        <v>804365.53</v>
      </c>
      <c r="AS651" s="65">
        <v>822674.38</v>
      </c>
      <c r="AT651" s="65">
        <v>836767.0</v>
      </c>
      <c r="AU651" s="65">
        <v>822850.8</v>
      </c>
      <c r="AV651" s="65">
        <v>828215.08</v>
      </c>
      <c r="AW651" s="65">
        <v>837618.2</v>
      </c>
      <c r="AX651" s="65">
        <v>827225.21</v>
      </c>
      <c r="AY651" s="65">
        <v>823717.8</v>
      </c>
      <c r="AZ651" s="65">
        <v>828812.6</v>
      </c>
      <c r="BA651" s="65">
        <v>838439.3</v>
      </c>
      <c r="BB651" s="65">
        <v>848355.3</v>
      </c>
      <c r="BC651" s="65">
        <v>843601.1</v>
      </c>
      <c r="BD651" s="65">
        <v>837148.83</v>
      </c>
      <c r="BE651" s="65">
        <v>832386.15</v>
      </c>
      <c r="BF651" s="65">
        <v>832016.78</v>
      </c>
      <c r="BG651" s="65">
        <v>843803.27</v>
      </c>
      <c r="BH651" s="65">
        <v>850924.94</v>
      </c>
      <c r="BI651" s="65">
        <v>862568.13</v>
      </c>
      <c r="BJ651" s="65">
        <v>876837.11</v>
      </c>
      <c r="BK651" s="65">
        <v>891535.54</v>
      </c>
      <c r="BL651" s="65">
        <v>898429.88</v>
      </c>
      <c r="BM651" s="65">
        <v>913291.54</v>
      </c>
      <c r="BN651" s="65">
        <v>919401.3</v>
      </c>
      <c r="BO651" s="65">
        <v>927630.51</v>
      </c>
      <c r="BP651" s="65">
        <v>940192.0</v>
      </c>
      <c r="BQ651" s="65">
        <v>942683.9</v>
      </c>
      <c r="BR651" s="65">
        <v>947536.4</v>
      </c>
      <c r="BS651" s="65">
        <v>950722.49</v>
      </c>
      <c r="BT651" s="88">
        <v>953833.2</v>
      </c>
      <c r="BU651" s="65">
        <v>961977.8</v>
      </c>
      <c r="BV651" s="65">
        <v>972008.5</v>
      </c>
      <c r="BW651" s="90">
        <v>983298.3</v>
      </c>
      <c r="BX651" s="90">
        <v>1021856.84</v>
      </c>
      <c r="BY651" s="90">
        <f t="array" ref="BY651">XLOOKUP(C651,'PL TOTAL D0'!$A$3:$A$1991,'PL TOTAL D0'!$C$3:$C$1991,"")</f>
        <v>1005743.63</v>
      </c>
    </row>
    <row r="652" ht="15.75" customHeight="1">
      <c r="A652" s="50" t="s">
        <v>24</v>
      </c>
      <c r="B652" s="50" t="s">
        <v>7674</v>
      </c>
      <c r="C652" s="94" t="s">
        <v>3198</v>
      </c>
      <c r="D652" s="81" t="s">
        <v>120</v>
      </c>
      <c r="E652" s="95" t="s">
        <v>199</v>
      </c>
      <c r="F652" s="30" t="s">
        <v>290</v>
      </c>
      <c r="G652" s="47" t="str">
        <f t="shared" si="30"/>
        <v>David</v>
      </c>
      <c r="H652" s="74" t="s">
        <v>183</v>
      </c>
      <c r="I652" s="74" t="s">
        <v>66</v>
      </c>
      <c r="J652" s="47" t="str">
        <f t="shared" si="29"/>
        <v>Não</v>
      </c>
      <c r="K652" s="97">
        <v>45139.0</v>
      </c>
      <c r="L652" s="62"/>
      <c r="M652" s="62" t="s">
        <v>61</v>
      </c>
      <c r="N652" s="98">
        <v>0.007</v>
      </c>
      <c r="O652" s="47" t="s">
        <v>66</v>
      </c>
      <c r="P652" s="99">
        <v>0.0</v>
      </c>
      <c r="Q652" s="58"/>
      <c r="R652" s="580" t="s">
        <v>4090</v>
      </c>
      <c r="S652" s="62" t="s">
        <v>194</v>
      </c>
      <c r="T652" s="32" t="s">
        <v>7676</v>
      </c>
      <c r="U652" s="33">
        <v>6.2981588297E10</v>
      </c>
      <c r="V652" s="33" t="s">
        <v>7677</v>
      </c>
      <c r="W652" s="34">
        <v>34514.0</v>
      </c>
      <c r="X652" s="23" t="s">
        <v>54</v>
      </c>
      <c r="Y652" s="49" t="str">
        <f t="shared" si="22"/>
        <v>Ativo</v>
      </c>
      <c r="Z652" s="62"/>
      <c r="AA652" s="32" t="s">
        <v>47</v>
      </c>
      <c r="AB652" s="64" t="s">
        <v>269</v>
      </c>
      <c r="AC652" s="79"/>
      <c r="AD652" s="54">
        <v>45139.0</v>
      </c>
      <c r="AE652" s="77">
        <v>4.9075100008795E13</v>
      </c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65">
        <v>10339.45</v>
      </c>
      <c r="AQ652" s="65">
        <v>10446.65</v>
      </c>
      <c r="AR652" s="65">
        <v>15053.15</v>
      </c>
      <c r="AS652" s="65">
        <v>18125.33</v>
      </c>
      <c r="AT652" s="65">
        <v>25261.81</v>
      </c>
      <c r="AU652" s="65">
        <v>30392.48</v>
      </c>
      <c r="AV652" s="65">
        <v>35092.04</v>
      </c>
      <c r="AW652" s="65">
        <v>41435.87</v>
      </c>
      <c r="AX652" s="65">
        <v>44756.96</v>
      </c>
      <c r="AY652" s="65">
        <v>50812.18</v>
      </c>
      <c r="AZ652" s="65">
        <v>57267.55</v>
      </c>
      <c r="BA652" s="65">
        <v>62796.28</v>
      </c>
      <c r="BB652" s="65">
        <v>65335.7</v>
      </c>
      <c r="BC652" s="65">
        <v>70413.02</v>
      </c>
      <c r="BD652" s="65">
        <v>75084.2</v>
      </c>
      <c r="BE652" s="65">
        <v>75666.08</v>
      </c>
      <c r="BF652" s="65">
        <v>76315.54</v>
      </c>
      <c r="BG652" s="65">
        <v>77827.31</v>
      </c>
      <c r="BH652" s="65">
        <v>79403.95</v>
      </c>
      <c r="BI652" s="65">
        <v>74123.47</v>
      </c>
      <c r="BJ652" s="65">
        <v>70751.2</v>
      </c>
      <c r="BK652" s="65">
        <v>71182.43</v>
      </c>
      <c r="BL652" s="65">
        <v>154574.21</v>
      </c>
      <c r="BM652" s="65">
        <v>156413.34</v>
      </c>
      <c r="BN652" s="65">
        <v>147938.0</v>
      </c>
      <c r="BO652" s="65">
        <v>149174.16</v>
      </c>
      <c r="BP652" s="65">
        <v>140859.7</v>
      </c>
      <c r="BQ652" s="65">
        <v>142000.7</v>
      </c>
      <c r="BR652" s="65">
        <v>143381.9</v>
      </c>
      <c r="BS652" s="65">
        <v>147043.72</v>
      </c>
      <c r="BT652" s="88">
        <v>146005.7</v>
      </c>
      <c r="BU652" s="65">
        <v>151267.4</v>
      </c>
      <c r="BV652" s="65">
        <v>154738.3</v>
      </c>
      <c r="BW652" s="90">
        <v>156012.7</v>
      </c>
      <c r="BX652" s="90">
        <v>158899.53</v>
      </c>
      <c r="BY652" s="90">
        <f t="array" ref="BY652">XLOOKUP(C652,'PL TOTAL D0'!$A$3:$A$1991,'PL TOTAL D0'!$C$3:$C$1991,"")</f>
        <v>168263.56</v>
      </c>
    </row>
    <row r="653" ht="15.75" customHeight="1">
      <c r="A653" s="50" t="s">
        <v>24</v>
      </c>
      <c r="B653" s="43" t="s">
        <v>7674</v>
      </c>
      <c r="C653" s="94" t="s">
        <v>3505</v>
      </c>
      <c r="D653" s="81" t="s">
        <v>120</v>
      </c>
      <c r="E653" s="95" t="s">
        <v>199</v>
      </c>
      <c r="F653" s="30" t="s">
        <v>290</v>
      </c>
      <c r="G653" s="47" t="str">
        <f t="shared" si="30"/>
        <v>David</v>
      </c>
      <c r="H653" s="49" t="s">
        <v>183</v>
      </c>
      <c r="I653" s="49" t="s">
        <v>66</v>
      </c>
      <c r="J653" s="47" t="str">
        <f t="shared" si="29"/>
        <v>Não</v>
      </c>
      <c r="K653" s="54">
        <v>45693.0</v>
      </c>
      <c r="L653" s="62"/>
      <c r="M653" s="32" t="s">
        <v>4465</v>
      </c>
      <c r="N653" s="56">
        <v>0.02</v>
      </c>
      <c r="O653" s="23" t="s">
        <v>233</v>
      </c>
      <c r="P653" s="57">
        <v>0.2</v>
      </c>
      <c r="Q653" s="58"/>
      <c r="R653" s="192"/>
      <c r="S653" s="32" t="s">
        <v>194</v>
      </c>
      <c r="T653" s="32" t="s">
        <v>7676</v>
      </c>
      <c r="U653" s="33">
        <v>6.2981588297E10</v>
      </c>
      <c r="V653" s="33" t="s">
        <v>7677</v>
      </c>
      <c r="W653" s="34">
        <v>34514.0</v>
      </c>
      <c r="X653" s="23" t="s">
        <v>54</v>
      </c>
      <c r="Y653" s="49" t="str">
        <f t="shared" si="22"/>
        <v>Ativo</v>
      </c>
      <c r="Z653" s="62"/>
      <c r="AA653" s="32" t="s">
        <v>47</v>
      </c>
      <c r="AB653" s="64"/>
      <c r="AC653" s="79"/>
      <c r="AD653" s="54">
        <v>45695.0</v>
      </c>
      <c r="AE653" s="77">
        <v>4.9075100018189E13</v>
      </c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>
        <v>8059.01</v>
      </c>
      <c r="BI653" s="65">
        <v>15463.36</v>
      </c>
      <c r="BJ653" s="65">
        <v>12139.56</v>
      </c>
      <c r="BK653" s="65">
        <v>15517.48</v>
      </c>
      <c r="BL653" s="65">
        <v>15665.34</v>
      </c>
      <c r="BM653" s="65">
        <v>15231.12</v>
      </c>
      <c r="BN653" s="65">
        <v>15961.72</v>
      </c>
      <c r="BO653" s="65">
        <v>16409.54</v>
      </c>
      <c r="BP653" s="65">
        <v>16811.06</v>
      </c>
      <c r="BQ653" s="65">
        <v>17493.29</v>
      </c>
      <c r="BR653" s="65">
        <v>20011.05</v>
      </c>
      <c r="BS653" s="65">
        <v>21428.65</v>
      </c>
      <c r="BT653" s="88">
        <v>29324.99</v>
      </c>
      <c r="BU653" s="65">
        <v>29344.77</v>
      </c>
      <c r="BV653" s="65">
        <v>29381.22</v>
      </c>
      <c r="BW653" s="90">
        <v>27906.31</v>
      </c>
      <c r="BX653" s="90">
        <v>28972.67</v>
      </c>
      <c r="BY653" s="90">
        <f t="array" ref="BY653">XLOOKUP(C653,'PL TOTAL D0'!$A$3:$A$1991,'PL TOTAL D0'!$C$3:$C$1991,"")</f>
        <v>28849.15</v>
      </c>
    </row>
    <row r="654" ht="15.75" customHeight="1">
      <c r="A654" s="50" t="s">
        <v>24</v>
      </c>
      <c r="B654" s="43" t="s">
        <v>7683</v>
      </c>
      <c r="C654" s="94" t="s">
        <v>3545</v>
      </c>
      <c r="D654" s="81" t="s">
        <v>120</v>
      </c>
      <c r="E654" s="95" t="s">
        <v>199</v>
      </c>
      <c r="F654" s="30" t="s">
        <v>290</v>
      </c>
      <c r="G654" s="47" t="str">
        <f t="shared" si="30"/>
        <v>David</v>
      </c>
      <c r="H654" s="49" t="s">
        <v>183</v>
      </c>
      <c r="I654" s="49" t="s">
        <v>66</v>
      </c>
      <c r="J654" s="47" t="str">
        <f t="shared" si="29"/>
        <v>Não</v>
      </c>
      <c r="K654" s="54">
        <v>45757.0</v>
      </c>
      <c r="L654" s="62"/>
      <c r="M654" s="32" t="s">
        <v>4564</v>
      </c>
      <c r="N654" s="56">
        <v>0.02</v>
      </c>
      <c r="O654" s="23" t="s">
        <v>7685</v>
      </c>
      <c r="P654" s="57">
        <v>0.2</v>
      </c>
      <c r="Q654" s="58"/>
      <c r="R654" s="192"/>
      <c r="S654" s="32" t="s">
        <v>194</v>
      </c>
      <c r="T654" s="32" t="s">
        <v>7676</v>
      </c>
      <c r="U654" s="33">
        <v>6.2981588297E10</v>
      </c>
      <c r="V654" s="33" t="s">
        <v>7677</v>
      </c>
      <c r="W654" s="34">
        <v>34514.0</v>
      </c>
      <c r="X654" s="23" t="s">
        <v>54</v>
      </c>
      <c r="Y654" s="49" t="str">
        <f t="shared" si="22"/>
        <v>Ativo</v>
      </c>
      <c r="Z654" s="62"/>
      <c r="AA654" s="32" t="s">
        <v>47</v>
      </c>
      <c r="AB654" s="64"/>
      <c r="AC654" s="79"/>
      <c r="AD654" s="54">
        <v>45762.0</v>
      </c>
      <c r="AE654" s="77">
        <v>4.907510001865E13</v>
      </c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65">
        <v>11965.74</v>
      </c>
      <c r="BK654" s="65">
        <v>12837.15</v>
      </c>
      <c r="BL654" s="65">
        <v>13072.42</v>
      </c>
      <c r="BM654" s="65">
        <v>13908.92</v>
      </c>
      <c r="BN654" s="65">
        <v>13703.23</v>
      </c>
      <c r="BO654" s="65">
        <v>13856.83</v>
      </c>
      <c r="BP654" s="65">
        <v>14568.19</v>
      </c>
      <c r="BQ654" s="65">
        <v>14432.39</v>
      </c>
      <c r="BR654" s="65">
        <v>15031.01</v>
      </c>
      <c r="BS654" s="65">
        <v>14516.09</v>
      </c>
      <c r="BT654" s="88">
        <v>13720.85</v>
      </c>
      <c r="BU654" s="65">
        <v>13487.63</v>
      </c>
      <c r="BV654" s="65">
        <v>13724.91</v>
      </c>
      <c r="BW654" s="90">
        <v>14080.14</v>
      </c>
      <c r="BX654" s="90">
        <v>14093.76</v>
      </c>
      <c r="BY654" s="90">
        <f t="array" ref="BY654">XLOOKUP(C654,'PL TOTAL D0'!$A$3:$A$1991,'PL TOTAL D0'!$C$3:$C$1991,"")</f>
        <v>14750.11</v>
      </c>
    </row>
    <row r="655" ht="15.75" customHeight="1">
      <c r="A655" s="50" t="s">
        <v>24</v>
      </c>
      <c r="B655" s="43" t="s">
        <v>7693</v>
      </c>
      <c r="C655" s="94" t="s">
        <v>7694</v>
      </c>
      <c r="D655" s="30" t="s">
        <v>120</v>
      </c>
      <c r="E655" s="22" t="s">
        <v>199</v>
      </c>
      <c r="F655" s="30" t="s">
        <v>7695</v>
      </c>
      <c r="G655" s="47" t="str">
        <f t="shared" si="30"/>
        <v>David</v>
      </c>
      <c r="H655" s="49" t="s">
        <v>183</v>
      </c>
      <c r="I655" s="49" t="s">
        <v>382</v>
      </c>
      <c r="J655" s="47" t="str">
        <f t="shared" si="29"/>
        <v>Não</v>
      </c>
      <c r="K655" s="54">
        <v>46076.0</v>
      </c>
      <c r="L655" s="62"/>
      <c r="M655" s="32" t="s">
        <v>390</v>
      </c>
      <c r="N655" s="56">
        <v>0.005</v>
      </c>
      <c r="O655" s="23" t="s">
        <v>66</v>
      </c>
      <c r="P655" s="57">
        <v>0.0</v>
      </c>
      <c r="Q655" s="58"/>
      <c r="R655" s="192"/>
      <c r="S655" s="32" t="s">
        <v>194</v>
      </c>
      <c r="T655" s="32" t="s">
        <v>7696</v>
      </c>
      <c r="U655" s="33" t="s">
        <v>7697</v>
      </c>
      <c r="V655" s="33" t="s">
        <v>7698</v>
      </c>
      <c r="W655" s="34">
        <v>35857.0</v>
      </c>
      <c r="X655" s="23" t="s">
        <v>199</v>
      </c>
      <c r="Y655" s="49" t="str">
        <f t="shared" si="22"/>
        <v>Ativo</v>
      </c>
      <c r="Z655" s="62"/>
      <c r="AA655" s="32" t="s">
        <v>47</v>
      </c>
      <c r="AB655" s="64"/>
      <c r="AC655" s="79"/>
      <c r="AD655" s="54"/>
      <c r="AE655" s="77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65"/>
      <c r="BK655" s="65"/>
      <c r="BL655" s="65"/>
      <c r="BM655" s="65"/>
      <c r="BN655" s="65"/>
      <c r="BO655" s="65"/>
      <c r="BP655" s="65"/>
      <c r="BQ655" s="65"/>
      <c r="BR655" s="65"/>
      <c r="BS655" s="65"/>
      <c r="BT655" s="88">
        <v>0.0</v>
      </c>
      <c r="BU655" s="65">
        <v>0.0</v>
      </c>
      <c r="BV655" s="65">
        <v>0.0</v>
      </c>
      <c r="BW655" s="90">
        <v>0.0</v>
      </c>
      <c r="BX655" s="90">
        <v>0.0</v>
      </c>
      <c r="BY655" s="90" t="str">
        <f t="array" ref="BY655">XLOOKUP(C655,'PL TOTAL D0'!$A$3:$A$1991,'PL TOTAL D0'!$C$3:$C$1991,"")</f>
        <v/>
      </c>
    </row>
    <row r="656" ht="15.75" customHeight="1">
      <c r="A656" s="50" t="s">
        <v>24</v>
      </c>
      <c r="B656" s="50" t="s">
        <v>2163</v>
      </c>
      <c r="C656" s="94" t="s">
        <v>2453</v>
      </c>
      <c r="D656" s="81" t="s">
        <v>120</v>
      </c>
      <c r="E656" s="95" t="s">
        <v>54</v>
      </c>
      <c r="F656" s="81" t="s">
        <v>125</v>
      </c>
      <c r="G656" s="47" t="str">
        <f t="shared" si="30"/>
        <v>Marcus</v>
      </c>
      <c r="H656" s="74" t="s">
        <v>183</v>
      </c>
      <c r="I656" s="74" t="s">
        <v>66</v>
      </c>
      <c r="J656" s="47" t="str">
        <f t="shared" si="29"/>
        <v>Sim</v>
      </c>
      <c r="K656" s="97">
        <v>45168.0</v>
      </c>
      <c r="L656" s="194"/>
      <c r="M656" s="62" t="s">
        <v>61</v>
      </c>
      <c r="N656" s="98">
        <v>0.01</v>
      </c>
      <c r="O656" s="47" t="s">
        <v>66</v>
      </c>
      <c r="P656" s="99">
        <v>0.0</v>
      </c>
      <c r="Q656" s="58" t="s">
        <v>7702</v>
      </c>
      <c r="R656" s="70"/>
      <c r="S656" s="62" t="s">
        <v>194</v>
      </c>
      <c r="T656" s="32" t="s">
        <v>2169</v>
      </c>
      <c r="U656" s="33">
        <v>5.5629999869E12</v>
      </c>
      <c r="V656" s="33" t="s">
        <v>7703</v>
      </c>
      <c r="W656" s="48">
        <v>27750.0</v>
      </c>
      <c r="X656" s="23" t="s">
        <v>54</v>
      </c>
      <c r="Y656" s="49" t="str">
        <f t="shared" si="22"/>
        <v>Ativo</v>
      </c>
      <c r="Z656" s="62"/>
      <c r="AA656" s="32" t="s">
        <v>47</v>
      </c>
      <c r="AB656" s="64" t="s">
        <v>269</v>
      </c>
      <c r="AC656" s="79"/>
      <c r="AD656" s="54">
        <v>45168.0</v>
      </c>
      <c r="AE656" s="77">
        <v>4.9075100009449E13</v>
      </c>
      <c r="AF656" s="79"/>
      <c r="AG656" s="79"/>
      <c r="AH656" s="79"/>
      <c r="AI656" s="65">
        <v>0.0</v>
      </c>
      <c r="AJ656" s="65">
        <v>0.0</v>
      </c>
      <c r="AK656" s="65">
        <v>0.0</v>
      </c>
      <c r="AL656" s="65">
        <v>0.0</v>
      </c>
      <c r="AM656" s="65">
        <v>0.0</v>
      </c>
      <c r="AN656" s="65">
        <v>0.0</v>
      </c>
      <c r="AO656" s="65">
        <v>0.0</v>
      </c>
      <c r="AP656" s="65">
        <v>2695076.71</v>
      </c>
      <c r="AQ656" s="65">
        <v>2708443.2</v>
      </c>
      <c r="AR656" s="65">
        <v>2726002.4</v>
      </c>
      <c r="AS656" s="65">
        <v>2757970.69</v>
      </c>
      <c r="AT656" s="65">
        <v>2784573.51</v>
      </c>
      <c r="AU656" s="65">
        <v>2818899.59</v>
      </c>
      <c r="AV656" s="65">
        <v>2842235.94</v>
      </c>
      <c r="AW656" s="65">
        <v>2847042.41</v>
      </c>
      <c r="AX656" s="65">
        <v>2859977.57</v>
      </c>
      <c r="AY656" s="65">
        <v>2874803.0</v>
      </c>
      <c r="AZ656" s="65">
        <v>2889822.0</v>
      </c>
      <c r="BA656" s="65">
        <v>2877962.0</v>
      </c>
      <c r="BB656" s="65">
        <v>2905921.28</v>
      </c>
      <c r="BC656" s="65">
        <v>2927108.97</v>
      </c>
      <c r="BD656" s="65">
        <v>2932501.63</v>
      </c>
      <c r="BE656" s="65">
        <v>2954400.7</v>
      </c>
      <c r="BF656" s="65">
        <v>2980694.81</v>
      </c>
      <c r="BG656" s="65">
        <v>3011380.35</v>
      </c>
      <c r="BH656" s="65">
        <v>4875228.47</v>
      </c>
      <c r="BI656" s="65">
        <v>4920612.53</v>
      </c>
      <c r="BJ656" s="65">
        <v>4972195.33</v>
      </c>
      <c r="BK656" s="65">
        <v>5650180.13</v>
      </c>
      <c r="BL656" s="65">
        <v>5703333.82</v>
      </c>
      <c r="BM656" s="65">
        <v>5918494.74</v>
      </c>
      <c r="BN656" s="65">
        <v>5940710.0</v>
      </c>
      <c r="BO656" s="65">
        <v>5999133.68</v>
      </c>
      <c r="BP656" s="65">
        <v>6070287.0</v>
      </c>
      <c r="BQ656" s="65">
        <v>6122207.0</v>
      </c>
      <c r="BR656" s="65">
        <v>6174340.0</v>
      </c>
      <c r="BS656" s="65">
        <v>6242680.32</v>
      </c>
      <c r="BT656" s="88">
        <v>6288499.0</v>
      </c>
      <c r="BU656" s="65">
        <v>6357516.0</v>
      </c>
      <c r="BV656" s="65">
        <v>6611968.0</v>
      </c>
      <c r="BW656" s="90">
        <v>6676422.0</v>
      </c>
      <c r="BX656" s="90">
        <v>6728155.91</v>
      </c>
      <c r="BY656" s="90">
        <f t="array" ref="BY656">XLOOKUP(C656,'PL TOTAL D0'!$A$3:$A$1991,'PL TOTAL D0'!$C$3:$C$1991,"")</f>
        <v>7788664.89</v>
      </c>
    </row>
    <row r="657" ht="15.75" customHeight="1">
      <c r="A657" s="50" t="s">
        <v>24</v>
      </c>
      <c r="B657" s="43" t="s">
        <v>2163</v>
      </c>
      <c r="C657" s="94" t="s">
        <v>2840</v>
      </c>
      <c r="D657" s="81" t="s">
        <v>120</v>
      </c>
      <c r="E657" s="95" t="s">
        <v>54</v>
      </c>
      <c r="F657" s="81" t="s">
        <v>125</v>
      </c>
      <c r="G657" s="47" t="str">
        <f t="shared" si="30"/>
        <v>Gabriel</v>
      </c>
      <c r="H657" s="49" t="s">
        <v>183</v>
      </c>
      <c r="I657" s="49" t="s">
        <v>66</v>
      </c>
      <c r="J657" s="47" t="str">
        <f t="shared" si="29"/>
        <v>Sim</v>
      </c>
      <c r="K657" s="54">
        <v>45854.0</v>
      </c>
      <c r="L657" s="194"/>
      <c r="M657" s="32" t="s">
        <v>61</v>
      </c>
      <c r="N657" s="56">
        <v>0.01</v>
      </c>
      <c r="O657" s="23" t="s">
        <v>66</v>
      </c>
      <c r="P657" s="57">
        <v>0.0</v>
      </c>
      <c r="Q657" s="58" t="s">
        <v>7707</v>
      </c>
      <c r="R657" s="70"/>
      <c r="S657" s="62" t="s">
        <v>194</v>
      </c>
      <c r="T657" s="32" t="s">
        <v>2169</v>
      </c>
      <c r="U657" s="33">
        <v>5.5629999869E12</v>
      </c>
      <c r="V657" s="33" t="s">
        <v>7703</v>
      </c>
      <c r="W657" s="48">
        <v>27750.0</v>
      </c>
      <c r="X657" s="23" t="s">
        <v>54</v>
      </c>
      <c r="Y657" s="49" t="str">
        <f t="shared" si="22"/>
        <v>Ativo</v>
      </c>
      <c r="Z657" s="62"/>
      <c r="AA657" s="32" t="s">
        <v>47</v>
      </c>
      <c r="AB657" s="64"/>
      <c r="AC657" s="79"/>
      <c r="AD657" s="54">
        <v>45854.0</v>
      </c>
      <c r="AE657" s="77">
        <v>4.9075100019088E13</v>
      </c>
      <c r="AF657" s="79"/>
      <c r="AG657" s="79"/>
      <c r="AH657" s="79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65"/>
      <c r="BK657" s="65"/>
      <c r="BL657" s="65"/>
      <c r="BM657" s="65">
        <v>672484.08</v>
      </c>
      <c r="BN657" s="65">
        <v>680147.8</v>
      </c>
      <c r="BO657" s="65">
        <v>601142.27</v>
      </c>
      <c r="BP657" s="65">
        <v>608275.8</v>
      </c>
      <c r="BQ657" s="65">
        <v>613049.8</v>
      </c>
      <c r="BR657" s="65">
        <v>617448.0</v>
      </c>
      <c r="BS657" s="65">
        <v>623894.41</v>
      </c>
      <c r="BT657" s="88">
        <v>628957.5</v>
      </c>
      <c r="BU657" s="65">
        <v>628320.1</v>
      </c>
      <c r="BV657" s="65">
        <v>624462.3</v>
      </c>
      <c r="BW657" s="90">
        <v>615028.7</v>
      </c>
      <c r="BX657" s="90">
        <v>582922.73</v>
      </c>
      <c r="BY657" s="90">
        <f t="array" ref="BY657">XLOOKUP(C657,'PL TOTAL D0'!$A$3:$A$1991,'PL TOTAL D0'!$C$3:$C$1991,"")</f>
        <v>573414.33</v>
      </c>
    </row>
    <row r="658" ht="15.75" customHeight="1">
      <c r="A658" s="50" t="s">
        <v>24</v>
      </c>
      <c r="B658" s="43" t="s">
        <v>7710</v>
      </c>
      <c r="C658" s="94" t="s">
        <v>2905</v>
      </c>
      <c r="D658" s="30" t="s">
        <v>142</v>
      </c>
      <c r="E658" s="22" t="s">
        <v>54</v>
      </c>
      <c r="F658" s="30" t="s">
        <v>158</v>
      </c>
      <c r="G658" s="47" t="str">
        <f t="shared" si="30"/>
        <v>Gabriel</v>
      </c>
      <c r="H658" s="49" t="s">
        <v>183</v>
      </c>
      <c r="I658" s="49" t="s">
        <v>66</v>
      </c>
      <c r="J658" s="47" t="str">
        <f t="shared" si="29"/>
        <v>Não</v>
      </c>
      <c r="K658" s="54">
        <v>45806.0</v>
      </c>
      <c r="L658" s="194"/>
      <c r="M658" s="32" t="s">
        <v>61</v>
      </c>
      <c r="N658" s="56">
        <v>0.012</v>
      </c>
      <c r="O658" s="23" t="s">
        <v>66</v>
      </c>
      <c r="P658" s="57">
        <v>0.0</v>
      </c>
      <c r="Q658" s="58"/>
      <c r="R658" s="70"/>
      <c r="S658" s="32" t="s">
        <v>194</v>
      </c>
      <c r="T658" s="32" t="s">
        <v>7713</v>
      </c>
      <c r="U658" s="33">
        <v>5.562981333131E12</v>
      </c>
      <c r="V658" s="33" t="s">
        <v>7714</v>
      </c>
      <c r="W658" s="48">
        <v>28061.0</v>
      </c>
      <c r="X658" s="23" t="s">
        <v>54</v>
      </c>
      <c r="Y658" s="49" t="str">
        <f t="shared" si="22"/>
        <v>Ativo</v>
      </c>
      <c r="Z658" s="62"/>
      <c r="AA658" s="32" t="s">
        <v>47</v>
      </c>
      <c r="AB658" s="64"/>
      <c r="AC658" s="79"/>
      <c r="AD658" s="54">
        <v>45807.0</v>
      </c>
      <c r="AE658" s="77">
        <v>4.9075100018731E13</v>
      </c>
      <c r="AF658" s="79"/>
      <c r="AG658" s="79"/>
      <c r="AH658" s="79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65"/>
      <c r="BK658" s="65">
        <v>320000.0</v>
      </c>
      <c r="BL658" s="65">
        <v>323115.42</v>
      </c>
      <c r="BM658" s="65">
        <v>331844.74</v>
      </c>
      <c r="BN658" s="65">
        <v>335160.1</v>
      </c>
      <c r="BO658" s="65">
        <v>338146.43</v>
      </c>
      <c r="BP658" s="65">
        <v>342214.2</v>
      </c>
      <c r="BQ658" s="65">
        <v>345007.7</v>
      </c>
      <c r="BR658" s="65">
        <v>347881.8</v>
      </c>
      <c r="BS658" s="65">
        <v>461483.97</v>
      </c>
      <c r="BT658" s="88">
        <v>465326.7</v>
      </c>
      <c r="BU658" s="65">
        <v>470963.0</v>
      </c>
      <c r="BV658" s="65">
        <v>476536.1</v>
      </c>
      <c r="BW658" s="90">
        <v>481501.2</v>
      </c>
      <c r="BX658" s="90">
        <v>483188.55</v>
      </c>
      <c r="BY658" s="90">
        <f t="array" ref="BY658">XLOOKUP(C658,'PL TOTAL D0'!$A$3:$A$1991,'PL TOTAL D0'!$C$3:$C$1991,"")</f>
        <v>488399.35</v>
      </c>
    </row>
    <row r="659" ht="15.75" customHeight="1">
      <c r="A659" s="50" t="s">
        <v>24</v>
      </c>
      <c r="B659" s="50" t="s">
        <v>7715</v>
      </c>
      <c r="C659" s="94" t="s">
        <v>7716</v>
      </c>
      <c r="D659" s="30" t="s">
        <v>89</v>
      </c>
      <c r="E659" s="95" t="s">
        <v>91</v>
      </c>
      <c r="F659" s="81" t="s">
        <v>521</v>
      </c>
      <c r="G659" s="47" t="str">
        <f t="shared" si="30"/>
        <v>David</v>
      </c>
      <c r="H659" s="74" t="s">
        <v>295</v>
      </c>
      <c r="I659" s="74" t="s">
        <v>382</v>
      </c>
      <c r="J659" s="47" t="str">
        <f t="shared" si="29"/>
        <v>Não</v>
      </c>
      <c r="K659" s="97">
        <v>45163.0</v>
      </c>
      <c r="L659" s="189"/>
      <c r="M659" s="62" t="s">
        <v>61</v>
      </c>
      <c r="N659" s="98">
        <v>0.012</v>
      </c>
      <c r="O659" s="47" t="s">
        <v>66</v>
      </c>
      <c r="P659" s="99">
        <v>0.0</v>
      </c>
      <c r="Q659" s="58"/>
      <c r="R659" s="70" t="s">
        <v>7717</v>
      </c>
      <c r="S659" s="62" t="s">
        <v>194</v>
      </c>
      <c r="T659" s="32" t="s">
        <v>7718</v>
      </c>
      <c r="U659" s="33">
        <v>5.543998210487E12</v>
      </c>
      <c r="V659" s="33" t="s">
        <v>7719</v>
      </c>
      <c r="W659" s="34">
        <v>28620.0</v>
      </c>
      <c r="X659" s="23" t="s">
        <v>221</v>
      </c>
      <c r="Y659" s="49" t="str">
        <f t="shared" si="22"/>
        <v>Inativo</v>
      </c>
      <c r="Z659" s="62"/>
      <c r="AA659" s="62"/>
      <c r="AB659" s="64" t="s">
        <v>269</v>
      </c>
      <c r="AC659" s="79"/>
      <c r="AD659" s="54">
        <v>45163.0</v>
      </c>
      <c r="AE659" s="77">
        <v>4.9075100011567E13</v>
      </c>
      <c r="AF659" s="79"/>
      <c r="AG659" s="79"/>
      <c r="AH659" s="79"/>
      <c r="AI659" s="79"/>
      <c r="AJ659" s="79"/>
      <c r="AK659" s="79"/>
      <c r="AL659" s="65">
        <v>0.0</v>
      </c>
      <c r="AM659" s="65">
        <v>0.0</v>
      </c>
      <c r="AN659" s="65">
        <v>0.0</v>
      </c>
      <c r="AO659" s="65">
        <v>0.0</v>
      </c>
      <c r="AP659" s="65">
        <v>0.0</v>
      </c>
      <c r="AQ659" s="65">
        <v>0.0</v>
      </c>
      <c r="AR659" s="65">
        <v>0.0</v>
      </c>
      <c r="AS659" s="65">
        <v>0.0</v>
      </c>
      <c r="AT659" s="65">
        <v>0.0</v>
      </c>
      <c r="AU659" s="65">
        <v>0.0</v>
      </c>
      <c r="AV659" s="65">
        <v>0.0</v>
      </c>
      <c r="AW659" s="65">
        <v>0.0</v>
      </c>
      <c r="AX659" s="65">
        <v>0.0</v>
      </c>
      <c r="AY659" s="65">
        <v>0.0</v>
      </c>
      <c r="AZ659" s="65">
        <v>0.0</v>
      </c>
      <c r="BA659" s="65">
        <v>0.0</v>
      </c>
      <c r="BB659" s="65">
        <v>0.0</v>
      </c>
      <c r="BC659" s="65">
        <v>0.0</v>
      </c>
      <c r="BD659" s="65">
        <v>0.0</v>
      </c>
      <c r="BE659" s="65">
        <v>0.0</v>
      </c>
      <c r="BF659" s="65">
        <v>0.0</v>
      </c>
      <c r="BG659" s="65">
        <v>0.0</v>
      </c>
      <c r="BH659" s="65">
        <v>0.0</v>
      </c>
      <c r="BI659" s="65">
        <v>0.0</v>
      </c>
      <c r="BJ659" s="65">
        <v>0.0</v>
      </c>
      <c r="BK659" s="65">
        <v>0.0</v>
      </c>
      <c r="BL659" s="65">
        <v>0.0</v>
      </c>
      <c r="BM659" s="65">
        <v>0.0</v>
      </c>
      <c r="BN659" s="65">
        <v>0.0</v>
      </c>
      <c r="BO659" s="65">
        <v>0.0</v>
      </c>
      <c r="BP659" s="65">
        <v>0.0</v>
      </c>
      <c r="BQ659" s="65">
        <v>0.0</v>
      </c>
      <c r="BR659" s="65">
        <v>0.0</v>
      </c>
      <c r="BS659" s="65">
        <v>0.0</v>
      </c>
      <c r="BT659" s="88">
        <v>0.0</v>
      </c>
      <c r="BU659" s="65">
        <v>0.0</v>
      </c>
      <c r="BV659" s="65">
        <v>0.0</v>
      </c>
      <c r="BW659" s="90">
        <v>0.0</v>
      </c>
      <c r="BX659" s="90">
        <v>0.0</v>
      </c>
      <c r="BY659" s="90" t="str">
        <f t="array" ref="BY659">XLOOKUP(C659,'PL TOTAL D0'!$A$3:$A$1991,'PL TOTAL D0'!$C$3:$C$1991,"")</f>
        <v/>
      </c>
    </row>
    <row r="660" ht="15.75" customHeight="1">
      <c r="A660" s="50" t="s">
        <v>24</v>
      </c>
      <c r="B660" s="50" t="s">
        <v>7727</v>
      </c>
      <c r="C660" s="94" t="s">
        <v>3148</v>
      </c>
      <c r="D660" s="30" t="s">
        <v>89</v>
      </c>
      <c r="E660" s="95" t="s">
        <v>91</v>
      </c>
      <c r="F660" s="81" t="s">
        <v>521</v>
      </c>
      <c r="G660" s="47" t="str">
        <f t="shared" si="30"/>
        <v>David</v>
      </c>
      <c r="H660" s="74" t="s">
        <v>183</v>
      </c>
      <c r="I660" s="74" t="s">
        <v>66</v>
      </c>
      <c r="J660" s="47" t="str">
        <f t="shared" si="29"/>
        <v>Não</v>
      </c>
      <c r="K660" s="97">
        <v>45163.0</v>
      </c>
      <c r="L660" s="189"/>
      <c r="M660" s="62" t="s">
        <v>61</v>
      </c>
      <c r="N660" s="98">
        <v>0.012</v>
      </c>
      <c r="O660" s="47" t="s">
        <v>66</v>
      </c>
      <c r="P660" s="99">
        <v>0.0</v>
      </c>
      <c r="Q660" s="58"/>
      <c r="R660" s="58" t="s">
        <v>7728</v>
      </c>
      <c r="S660" s="62" t="s">
        <v>194</v>
      </c>
      <c r="T660" s="32" t="s">
        <v>6121</v>
      </c>
      <c r="U660" s="33">
        <v>5.543991923304E12</v>
      </c>
      <c r="V660" s="33" t="s">
        <v>7729</v>
      </c>
      <c r="W660" s="34">
        <v>30259.0</v>
      </c>
      <c r="X660" s="23" t="s">
        <v>221</v>
      </c>
      <c r="Y660" s="49" t="str">
        <f t="shared" si="22"/>
        <v>Ativo</v>
      </c>
      <c r="Z660" s="62"/>
      <c r="AA660" s="62"/>
      <c r="AB660" s="64" t="s">
        <v>269</v>
      </c>
      <c r="AC660" s="79"/>
      <c r="AD660" s="54">
        <v>45163.0</v>
      </c>
      <c r="AE660" s="77">
        <v>4.9075100011575E13</v>
      </c>
      <c r="AF660" s="79"/>
      <c r="AG660" s="79"/>
      <c r="AH660" s="79"/>
      <c r="AI660" s="79"/>
      <c r="AJ660" s="79"/>
      <c r="AK660" s="79"/>
      <c r="AL660" s="65">
        <v>0.0</v>
      </c>
      <c r="AM660" s="65">
        <v>0.0</v>
      </c>
      <c r="AN660" s="65">
        <v>0.0</v>
      </c>
      <c r="AO660" s="65">
        <v>0.0</v>
      </c>
      <c r="AP660" s="65">
        <v>0.0</v>
      </c>
      <c r="AQ660" s="65">
        <v>128816.72</v>
      </c>
      <c r="AR660" s="65">
        <v>148547.36</v>
      </c>
      <c r="AS660" s="65">
        <v>150165.52</v>
      </c>
      <c r="AT660" s="65">
        <v>151570.25</v>
      </c>
      <c r="AU660" s="65">
        <v>152764.24</v>
      </c>
      <c r="AV660" s="65">
        <v>153721.78</v>
      </c>
      <c r="AW660" s="65">
        <v>153435.44</v>
      </c>
      <c r="AX660" s="65">
        <v>154146.13</v>
      </c>
      <c r="AY660" s="65">
        <v>155356.3</v>
      </c>
      <c r="AZ660" s="65">
        <v>156435.1</v>
      </c>
      <c r="BA660" s="65">
        <v>156845.9</v>
      </c>
      <c r="BB660" s="65">
        <v>157986.1</v>
      </c>
      <c r="BC660" s="65">
        <v>167239.05</v>
      </c>
      <c r="BD660" s="65">
        <v>168477.1</v>
      </c>
      <c r="BE660" s="65">
        <v>169496.7</v>
      </c>
      <c r="BF660" s="65">
        <v>170292.21</v>
      </c>
      <c r="BG660" s="65">
        <v>171923.59</v>
      </c>
      <c r="BH660" s="65">
        <v>173470.77</v>
      </c>
      <c r="BI660" s="65">
        <v>173829.8</v>
      </c>
      <c r="BJ660" s="65">
        <v>175626.73</v>
      </c>
      <c r="BK660" s="65">
        <v>177376.14</v>
      </c>
      <c r="BL660" s="65">
        <v>178595.97</v>
      </c>
      <c r="BM660" s="65">
        <v>180580.36</v>
      </c>
      <c r="BN660" s="65">
        <v>182413.1</v>
      </c>
      <c r="BO660" s="65">
        <v>184307.82</v>
      </c>
      <c r="BP660" s="65">
        <v>186053.0</v>
      </c>
      <c r="BQ660" s="65">
        <v>187648.1</v>
      </c>
      <c r="BR660" s="65">
        <v>189442.7</v>
      </c>
      <c r="BS660" s="65">
        <v>191557.12</v>
      </c>
      <c r="BT660" s="88">
        <v>193245.2</v>
      </c>
      <c r="BU660" s="65">
        <v>194868.6</v>
      </c>
      <c r="BV660" s="65">
        <v>196110.7</v>
      </c>
      <c r="BW660" s="90">
        <v>198017.1</v>
      </c>
      <c r="BX660" s="90">
        <v>199814.99</v>
      </c>
      <c r="BY660" s="90">
        <f t="array" ref="BY660">XLOOKUP(C660,'PL TOTAL D0'!$A$3:$A$1991,'PL TOTAL D0'!$C$3:$C$1991,"")</f>
        <v>201908.51</v>
      </c>
    </row>
    <row r="661" ht="15.75" customHeight="1">
      <c r="A661" s="50" t="s">
        <v>24</v>
      </c>
      <c r="B661" s="176" t="s">
        <v>7733</v>
      </c>
      <c r="C661" s="94" t="s">
        <v>7734</v>
      </c>
      <c r="D661" s="30" t="s">
        <v>120</v>
      </c>
      <c r="E661" s="95" t="s">
        <v>199</v>
      </c>
      <c r="F661" s="30" t="s">
        <v>290</v>
      </c>
      <c r="G661" s="47" t="str">
        <f t="shared" si="30"/>
        <v>David</v>
      </c>
      <c r="H661" s="49" t="s">
        <v>295</v>
      </c>
      <c r="I661" s="49" t="s">
        <v>382</v>
      </c>
      <c r="J661" s="47" t="str">
        <f t="shared" si="29"/>
        <v>Não</v>
      </c>
      <c r="K661" s="97">
        <v>45043.0</v>
      </c>
      <c r="L661" s="62"/>
      <c r="M661" s="62" t="s">
        <v>61</v>
      </c>
      <c r="N661" s="98">
        <v>0.007</v>
      </c>
      <c r="O661" s="47" t="s">
        <v>66</v>
      </c>
      <c r="P661" s="99">
        <v>0.0</v>
      </c>
      <c r="Q661" s="58"/>
      <c r="R661" s="70" t="s">
        <v>7736</v>
      </c>
      <c r="S661" s="62" t="s">
        <v>234</v>
      </c>
      <c r="T661" s="32" t="s">
        <v>7737</v>
      </c>
      <c r="U661" s="33">
        <v>5.561996556188E12</v>
      </c>
      <c r="V661" s="33" t="s">
        <v>5191</v>
      </c>
      <c r="W661" s="34">
        <v>41472.0</v>
      </c>
      <c r="X661" s="23" t="s">
        <v>199</v>
      </c>
      <c r="Y661" s="49" t="str">
        <f t="shared" si="22"/>
        <v>Ativo</v>
      </c>
      <c r="Z661" s="62"/>
      <c r="AA661" s="62"/>
      <c r="AB661" s="64" t="s">
        <v>244</v>
      </c>
      <c r="AC661" s="79"/>
      <c r="AD661" s="54">
        <v>45043.0</v>
      </c>
      <c r="AE661" s="77">
        <v>4.9075100008426E13</v>
      </c>
      <c r="AF661" s="79"/>
      <c r="AG661" s="79"/>
      <c r="AH661" s="79"/>
      <c r="AI661" s="79"/>
      <c r="AJ661" s="79"/>
      <c r="AK661" s="79"/>
      <c r="AL661" s="65">
        <v>1071917.64</v>
      </c>
      <c r="AM661" s="65">
        <v>1082128.18</v>
      </c>
      <c r="AN661" s="65">
        <v>1092925.25</v>
      </c>
      <c r="AO661" s="65">
        <v>1103042.33</v>
      </c>
      <c r="AP661" s="65">
        <v>1114290.66</v>
      </c>
      <c r="AQ661" s="65">
        <v>1123818.71</v>
      </c>
      <c r="AR661" s="65">
        <v>1132366.37</v>
      </c>
      <c r="AS661" s="65">
        <v>1140936.78</v>
      </c>
      <c r="AT661" s="65">
        <v>1151073.29</v>
      </c>
      <c r="AU661" s="65">
        <v>1162335.55</v>
      </c>
      <c r="AV661" s="65">
        <v>1171520.62</v>
      </c>
      <c r="AW661" s="65">
        <v>1181453.01</v>
      </c>
      <c r="AX661" s="65">
        <v>1176029.76</v>
      </c>
      <c r="AY661" s="65">
        <v>1182374.0</v>
      </c>
      <c r="AZ661" s="65">
        <v>1192676.0</v>
      </c>
      <c r="BA661" s="65">
        <v>1203703.0</v>
      </c>
      <c r="BB661" s="65">
        <v>1213768.98</v>
      </c>
      <c r="BC661" s="65">
        <v>1222025.57</v>
      </c>
      <c r="BD661" s="65">
        <v>93085.53</v>
      </c>
      <c r="BE661" s="65">
        <v>0.0</v>
      </c>
      <c r="BF661" s="65">
        <v>1.84</v>
      </c>
      <c r="BG661" s="65">
        <v>1.84</v>
      </c>
      <c r="BH661" s="65">
        <v>1.84</v>
      </c>
      <c r="BI661" s="65">
        <v>1.84</v>
      </c>
      <c r="BJ661" s="65">
        <v>1.84</v>
      </c>
      <c r="BK661" s="65">
        <v>1.84</v>
      </c>
      <c r="BL661" s="65">
        <v>1.84</v>
      </c>
      <c r="BM661" s="65">
        <v>1.84</v>
      </c>
      <c r="BN661" s="65">
        <v>1.84</v>
      </c>
      <c r="BO661" s="65">
        <v>1.84</v>
      </c>
      <c r="BP661" s="65">
        <v>1.84</v>
      </c>
      <c r="BQ661" s="65">
        <v>1.84</v>
      </c>
      <c r="BR661" s="65">
        <v>1.84</v>
      </c>
      <c r="BS661" s="65">
        <v>1.84</v>
      </c>
      <c r="BT661" s="88">
        <v>1.84</v>
      </c>
      <c r="BU661" s="65">
        <v>1.84</v>
      </c>
      <c r="BV661" s="65">
        <v>1.84</v>
      </c>
      <c r="BW661" s="90">
        <v>1.84</v>
      </c>
      <c r="BX661" s="90">
        <v>1.84</v>
      </c>
      <c r="BY661" s="90" t="str">
        <f t="array" ref="BY661">XLOOKUP(C661,'PL TOTAL D0'!$A$3:$A$1991,'PL TOTAL D0'!$C$3:$C$1991,"")</f>
        <v/>
      </c>
    </row>
    <row r="662" ht="15.75" customHeight="1">
      <c r="A662" s="43" t="s">
        <v>24</v>
      </c>
      <c r="B662" s="39" t="s">
        <v>7744</v>
      </c>
      <c r="C662" s="94" t="s">
        <v>3173</v>
      </c>
      <c r="D662" s="30" t="s">
        <v>142</v>
      </c>
      <c r="E662" s="22" t="s">
        <v>54</v>
      </c>
      <c r="F662" s="30" t="s">
        <v>158</v>
      </c>
      <c r="G662" s="47" t="str">
        <f t="shared" si="30"/>
        <v>David</v>
      </c>
      <c r="H662" s="49" t="s">
        <v>183</v>
      </c>
      <c r="I662" s="49" t="s">
        <v>66</v>
      </c>
      <c r="J662" s="47" t="str">
        <f t="shared" si="29"/>
        <v>Não</v>
      </c>
      <c r="K662" s="54">
        <v>45964.0</v>
      </c>
      <c r="L662" s="55"/>
      <c r="M662" s="32" t="s">
        <v>61</v>
      </c>
      <c r="N662" s="56">
        <v>0.012</v>
      </c>
      <c r="O662" s="23" t="s">
        <v>66</v>
      </c>
      <c r="P662" s="57">
        <v>0.0</v>
      </c>
      <c r="Q662" s="58"/>
      <c r="R662" s="58"/>
      <c r="S662" s="32" t="s">
        <v>194</v>
      </c>
      <c r="T662" s="32" t="s">
        <v>7746</v>
      </c>
      <c r="U662" s="33" t="s">
        <v>7747</v>
      </c>
      <c r="V662" s="33" t="s">
        <v>7748</v>
      </c>
      <c r="W662" s="48">
        <v>31716.0</v>
      </c>
      <c r="X662" s="23" t="s">
        <v>54</v>
      </c>
      <c r="Y662" s="49" t="str">
        <f t="shared" si="22"/>
        <v>Ativo</v>
      </c>
      <c r="Z662" s="62"/>
      <c r="AA662" s="32" t="s">
        <v>47</v>
      </c>
      <c r="AB662" s="64"/>
      <c r="AC662" s="79"/>
      <c r="AD662" s="54">
        <v>45964.0</v>
      </c>
      <c r="AE662" s="148">
        <v>4.9075100019649E13</v>
      </c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  <c r="BM662" s="65"/>
      <c r="BN662" s="65"/>
      <c r="BO662" s="65"/>
      <c r="BP662" s="65" t="s">
        <v>1739</v>
      </c>
      <c r="BQ662" s="65">
        <v>171009.6</v>
      </c>
      <c r="BR662" s="65">
        <v>172932.5</v>
      </c>
      <c r="BS662" s="65">
        <v>174839.06</v>
      </c>
      <c r="BT662" s="88">
        <v>176272.0</v>
      </c>
      <c r="BU662" s="65">
        <v>178363.0</v>
      </c>
      <c r="BV662" s="65">
        <v>180433.2</v>
      </c>
      <c r="BW662" s="90">
        <v>182369.0</v>
      </c>
      <c r="BX662" s="90">
        <v>184081.77</v>
      </c>
      <c r="BY662" s="90">
        <f t="array" ref="BY662">XLOOKUP(C662,'PL TOTAL D0'!$A$3:$A$1991,'PL TOTAL D0'!$C$3:$C$1991,"")</f>
        <v>186019.42</v>
      </c>
    </row>
    <row r="663" ht="15.75" customHeight="1">
      <c r="A663" s="43" t="s">
        <v>24</v>
      </c>
      <c r="B663" s="39" t="s">
        <v>7753</v>
      </c>
      <c r="C663" s="94" t="s">
        <v>7754</v>
      </c>
      <c r="D663" s="30" t="s">
        <v>255</v>
      </c>
      <c r="E663" s="22" t="s">
        <v>199</v>
      </c>
      <c r="F663" s="30" t="s">
        <v>2328</v>
      </c>
      <c r="G663" s="47" t="str">
        <f t="shared" si="30"/>
        <v>David</v>
      </c>
      <c r="H663" s="49" t="s">
        <v>224</v>
      </c>
      <c r="I663" s="49" t="s">
        <v>66</v>
      </c>
      <c r="J663" s="47" t="str">
        <f t="shared" si="29"/>
        <v>Não</v>
      </c>
      <c r="K663" s="54">
        <v>45125.0</v>
      </c>
      <c r="L663" s="55">
        <v>45513.0</v>
      </c>
      <c r="M663" s="32" t="s">
        <v>716</v>
      </c>
      <c r="N663" s="56">
        <v>0.0085</v>
      </c>
      <c r="O663" s="23" t="s">
        <v>66</v>
      </c>
      <c r="P663" s="57">
        <v>0.0</v>
      </c>
      <c r="Q663" s="58"/>
      <c r="R663" s="58" t="s">
        <v>3969</v>
      </c>
      <c r="S663" s="32" t="s">
        <v>194</v>
      </c>
      <c r="T663" s="32" t="s">
        <v>7755</v>
      </c>
      <c r="U663" s="33" t="s">
        <v>268</v>
      </c>
      <c r="V663" s="33"/>
      <c r="W663" s="33" t="s">
        <v>268</v>
      </c>
      <c r="X663" s="23"/>
      <c r="Y663" s="49" t="str">
        <f t="shared" si="22"/>
        <v>Encerrado</v>
      </c>
      <c r="Z663" s="62"/>
      <c r="AA663" s="62"/>
      <c r="AB663" s="64"/>
      <c r="AC663" s="79"/>
      <c r="AD663" s="54">
        <v>45125.0</v>
      </c>
      <c r="AE663" s="77">
        <v>4.9075100013578E13</v>
      </c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65">
        <v>7332497.84</v>
      </c>
      <c r="AV663" s="65">
        <v>7282505.98</v>
      </c>
      <c r="AW663" s="65">
        <v>7292274.01</v>
      </c>
      <c r="AX663" s="65">
        <v>7386584.72</v>
      </c>
      <c r="AY663" s="65">
        <v>7315996.0</v>
      </c>
      <c r="AZ663" s="65">
        <v>7002732.0</v>
      </c>
      <c r="BA663" s="65">
        <v>0.0</v>
      </c>
      <c r="BB663" s="65">
        <v>0.0</v>
      </c>
      <c r="BC663" s="65">
        <v>0.0</v>
      </c>
      <c r="BD663" s="65">
        <v>0.0</v>
      </c>
      <c r="BE663" s="65">
        <v>0.0</v>
      </c>
      <c r="BF663" s="65">
        <v>0.0</v>
      </c>
      <c r="BG663" s="65">
        <v>0.0</v>
      </c>
      <c r="BH663" s="65">
        <v>0.0</v>
      </c>
      <c r="BI663" s="65">
        <v>0.0</v>
      </c>
      <c r="BJ663" s="65">
        <v>0.0</v>
      </c>
      <c r="BK663" s="65">
        <v>0.0</v>
      </c>
      <c r="BL663" s="65">
        <v>0.0</v>
      </c>
      <c r="BM663" s="65">
        <v>0.0</v>
      </c>
      <c r="BN663" s="65">
        <v>0.0</v>
      </c>
      <c r="BO663" s="65">
        <v>0.0</v>
      </c>
      <c r="BP663" s="65">
        <v>0.0</v>
      </c>
      <c r="BQ663" s="65">
        <v>0.0</v>
      </c>
      <c r="BR663" s="65">
        <v>0.0</v>
      </c>
      <c r="BS663" s="65">
        <v>0.0</v>
      </c>
      <c r="BT663" s="88">
        <v>0.0</v>
      </c>
      <c r="BU663" s="65">
        <v>0.0</v>
      </c>
      <c r="BV663" s="65">
        <v>0.0</v>
      </c>
      <c r="BW663" s="90">
        <v>0.0</v>
      </c>
      <c r="BX663" s="90">
        <v>0.0</v>
      </c>
      <c r="BY663" s="90" t="str">
        <f t="array" ref="BY663">XLOOKUP(C663,'PL TOTAL D0'!$A$3:$A$1991,'PL TOTAL D0'!$C$3:$C$1991,"")</f>
        <v/>
      </c>
    </row>
    <row r="664" ht="15.75" customHeight="1">
      <c r="A664" s="43" t="s">
        <v>24</v>
      </c>
      <c r="B664" s="39" t="s">
        <v>7760</v>
      </c>
      <c r="C664" s="94" t="s">
        <v>3499</v>
      </c>
      <c r="D664" s="30" t="s">
        <v>89</v>
      </c>
      <c r="E664" s="22" t="s">
        <v>91</v>
      </c>
      <c r="F664" s="30" t="s">
        <v>193</v>
      </c>
      <c r="G664" s="47" t="str">
        <f t="shared" si="30"/>
        <v>David</v>
      </c>
      <c r="H664" s="49" t="s">
        <v>224</v>
      </c>
      <c r="I664" s="49" t="s">
        <v>66</v>
      </c>
      <c r="J664" s="47" t="str">
        <f t="shared" si="29"/>
        <v>Não</v>
      </c>
      <c r="K664" s="54">
        <v>45636.0</v>
      </c>
      <c r="L664" s="55">
        <v>45966.0</v>
      </c>
      <c r="M664" s="32" t="s">
        <v>61</v>
      </c>
      <c r="N664" s="56">
        <v>0.012</v>
      </c>
      <c r="O664" s="23" t="s">
        <v>66</v>
      </c>
      <c r="P664" s="57">
        <v>0.0</v>
      </c>
      <c r="Q664" s="58"/>
      <c r="R664" s="58" t="s">
        <v>610</v>
      </c>
      <c r="S664" s="32" t="s">
        <v>194</v>
      </c>
      <c r="T664" s="32" t="s">
        <v>7765</v>
      </c>
      <c r="U664" s="33">
        <v>5.515988182007E12</v>
      </c>
      <c r="V664" s="33" t="s">
        <v>7766</v>
      </c>
      <c r="W664" s="34">
        <v>39195.0</v>
      </c>
      <c r="X664" s="23" t="s">
        <v>475</v>
      </c>
      <c r="Y664" s="49" t="str">
        <f t="shared" si="22"/>
        <v>Encerrado</v>
      </c>
      <c r="Z664" s="62"/>
      <c r="AA664" s="32" t="s">
        <v>47</v>
      </c>
      <c r="AB664" s="64"/>
      <c r="AC664" s="79"/>
      <c r="AD664" s="54">
        <v>45636.0</v>
      </c>
      <c r="AE664" s="77">
        <v>4.907510001638E13</v>
      </c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>
        <v>216552.71</v>
      </c>
      <c r="BG664" s="65">
        <v>225274.74</v>
      </c>
      <c r="BH664" s="65">
        <v>227459.79</v>
      </c>
      <c r="BI664" s="65">
        <v>230103.74</v>
      </c>
      <c r="BJ664" s="65">
        <v>201387.65</v>
      </c>
      <c r="BK664" s="65">
        <v>203467.94</v>
      </c>
      <c r="BL664" s="65">
        <v>205482.91</v>
      </c>
      <c r="BM664" s="65">
        <v>28991.54</v>
      </c>
      <c r="BN664" s="65">
        <v>29301.59</v>
      </c>
      <c r="BO664" s="65">
        <v>29576.35</v>
      </c>
      <c r="BP664" s="65">
        <v>29879.03</v>
      </c>
      <c r="BQ664" s="65">
        <v>30073.2</v>
      </c>
      <c r="BR664" s="65">
        <v>30011.87</v>
      </c>
      <c r="BS664" s="65">
        <v>30234.8</v>
      </c>
      <c r="BT664" s="88">
        <v>30233.68</v>
      </c>
      <c r="BU664" s="65">
        <v>30527.85</v>
      </c>
      <c r="BV664" s="65">
        <v>30840.02</v>
      </c>
      <c r="BW664" s="90">
        <v>31006.7</v>
      </c>
      <c r="BX664" s="90">
        <v>30447.16</v>
      </c>
      <c r="BY664" s="90">
        <f t="array" ref="BY664">XLOOKUP(C664,'PL TOTAL D0'!$A$3:$A$1991,'PL TOTAL D0'!$C$3:$C$1991,"")</f>
        <v>30624.97</v>
      </c>
    </row>
    <row r="665" ht="15.75" customHeight="1">
      <c r="A665" s="50" t="s">
        <v>24</v>
      </c>
      <c r="B665" s="50" t="s">
        <v>7769</v>
      </c>
      <c r="C665" s="94" t="s">
        <v>7770</v>
      </c>
      <c r="D665" s="81" t="s">
        <v>120</v>
      </c>
      <c r="E665" s="95" t="s">
        <v>54</v>
      </c>
      <c r="F665" s="81" t="s">
        <v>1393</v>
      </c>
      <c r="G665" s="47" t="str">
        <f t="shared" si="30"/>
        <v>David</v>
      </c>
      <c r="H665" s="49" t="s">
        <v>224</v>
      </c>
      <c r="I665" s="49" t="s">
        <v>66</v>
      </c>
      <c r="J665" s="47" t="str">
        <f t="shared" si="29"/>
        <v>Não</v>
      </c>
      <c r="K665" s="97">
        <v>44896.0</v>
      </c>
      <c r="L665" s="55">
        <v>45901.0</v>
      </c>
      <c r="M665" s="32" t="s">
        <v>34</v>
      </c>
      <c r="N665" s="56">
        <v>0.012</v>
      </c>
      <c r="O665" s="23" t="s">
        <v>35</v>
      </c>
      <c r="P665" s="57">
        <v>0.1</v>
      </c>
      <c r="Q665" s="58"/>
      <c r="R665" s="841" t="s">
        <v>7777</v>
      </c>
      <c r="S665" s="62" t="s">
        <v>194</v>
      </c>
      <c r="T665" s="32" t="s">
        <v>7778</v>
      </c>
      <c r="U665" s="33">
        <v>5.56299978212E12</v>
      </c>
      <c r="V665" s="33" t="s">
        <v>7779</v>
      </c>
      <c r="W665" s="34">
        <v>25422.0</v>
      </c>
      <c r="X665" s="23" t="s">
        <v>54</v>
      </c>
      <c r="Y665" s="49" t="str">
        <f t="shared" si="22"/>
        <v>Encerrado</v>
      </c>
      <c r="Z665" s="62"/>
      <c r="AA665" s="62"/>
      <c r="AB665" s="64" t="s">
        <v>244</v>
      </c>
      <c r="AC665" s="79"/>
      <c r="AD665" s="54">
        <v>44896.0</v>
      </c>
      <c r="AE665" s="77">
        <v>4.9075100005982E13</v>
      </c>
      <c r="AF665" s="79"/>
      <c r="AG665" s="79"/>
      <c r="AH665" s="65">
        <v>101027.34</v>
      </c>
      <c r="AI665" s="65">
        <v>102057.18</v>
      </c>
      <c r="AJ665" s="65">
        <v>102893.4</v>
      </c>
      <c r="AK665" s="65">
        <v>103997.85</v>
      </c>
      <c r="AL665" s="65">
        <v>104799.51</v>
      </c>
      <c r="AM665" s="65">
        <v>105881.35</v>
      </c>
      <c r="AN665" s="65">
        <v>106857.75</v>
      </c>
      <c r="AO665" s="65">
        <v>107813.68</v>
      </c>
      <c r="AP665" s="65">
        <v>108868.49</v>
      </c>
      <c r="AQ665" s="65">
        <v>109771.07</v>
      </c>
      <c r="AR665" s="65">
        <v>110709.64</v>
      </c>
      <c r="AS665" s="65">
        <v>111519.87</v>
      </c>
      <c r="AT665" s="65">
        <v>112181.15</v>
      </c>
      <c r="AU665" s="65">
        <v>200282.08</v>
      </c>
      <c r="AV665" s="65">
        <v>201657.73</v>
      </c>
      <c r="AW665" s="65">
        <v>203648.03</v>
      </c>
      <c r="AX665" s="65">
        <v>203645.24</v>
      </c>
      <c r="AY665" s="65">
        <v>219.51</v>
      </c>
      <c r="AZ665" s="65">
        <v>224.34</v>
      </c>
      <c r="BA665" s="65">
        <v>224.87</v>
      </c>
      <c r="BB665" s="65">
        <v>225.93</v>
      </c>
      <c r="BC665" s="65">
        <v>226.98</v>
      </c>
      <c r="BD665" s="65">
        <v>228.17</v>
      </c>
      <c r="BE665" s="65">
        <v>228.47</v>
      </c>
      <c r="BF665" s="65">
        <v>229.66</v>
      </c>
      <c r="BG665" s="65">
        <v>231.0</v>
      </c>
      <c r="BH665" s="65">
        <v>232.28</v>
      </c>
      <c r="BI665" s="65">
        <v>233.55</v>
      </c>
      <c r="BJ665" s="65">
        <v>234.95</v>
      </c>
      <c r="BK665" s="65">
        <v>235.3</v>
      </c>
      <c r="BL665" s="65">
        <v>236.78</v>
      </c>
      <c r="BM665" s="65">
        <v>238.53</v>
      </c>
      <c r="BN665" s="65">
        <v>0.0</v>
      </c>
      <c r="BO665" s="65">
        <v>0.0</v>
      </c>
      <c r="BP665" s="65">
        <v>0.0</v>
      </c>
      <c r="BQ665" s="65">
        <v>0.0</v>
      </c>
      <c r="BR665" s="65">
        <v>0.0</v>
      </c>
      <c r="BS665" s="65">
        <v>0.0</v>
      </c>
      <c r="BT665" s="88">
        <v>0.0</v>
      </c>
      <c r="BU665" s="65">
        <v>0.0</v>
      </c>
      <c r="BV665" s="65">
        <v>0.0</v>
      </c>
      <c r="BW665" s="90">
        <v>0.0</v>
      </c>
      <c r="BX665" s="90">
        <v>0.0</v>
      </c>
      <c r="BY665" s="90" t="str">
        <f t="array" ref="BY665">XLOOKUP(C665,'PL TOTAL D0'!$A$3:$A$1991,'PL TOTAL D0'!$C$3:$C$1991,"")</f>
        <v/>
      </c>
    </row>
    <row r="666" ht="15.75" customHeight="1">
      <c r="A666" s="50" t="s">
        <v>24</v>
      </c>
      <c r="B666" s="50" t="s">
        <v>1151</v>
      </c>
      <c r="C666" s="94" t="s">
        <v>7784</v>
      </c>
      <c r="D666" s="81" t="s">
        <v>120</v>
      </c>
      <c r="E666" s="95" t="s">
        <v>54</v>
      </c>
      <c r="F666" s="81" t="s">
        <v>125</v>
      </c>
      <c r="G666" s="47" t="str">
        <f t="shared" si="30"/>
        <v>David</v>
      </c>
      <c r="H666" s="49" t="s">
        <v>183</v>
      </c>
      <c r="I666" s="49" t="s">
        <v>382</v>
      </c>
      <c r="J666" s="47" t="str">
        <f t="shared" si="29"/>
        <v>Não</v>
      </c>
      <c r="K666" s="97">
        <v>45940.0</v>
      </c>
      <c r="L666" s="55"/>
      <c r="M666" s="32" t="s">
        <v>716</v>
      </c>
      <c r="N666" s="56">
        <v>0.012</v>
      </c>
      <c r="O666" s="23" t="s">
        <v>66</v>
      </c>
      <c r="P666" s="57">
        <v>0.0</v>
      </c>
      <c r="Q666" s="58"/>
      <c r="R666" s="841"/>
      <c r="S666" s="62" t="s">
        <v>194</v>
      </c>
      <c r="T666" s="32" t="s">
        <v>1155</v>
      </c>
      <c r="U666" s="33" t="s">
        <v>1156</v>
      </c>
      <c r="V666" s="33" t="s">
        <v>1157</v>
      </c>
      <c r="W666" s="34">
        <v>32986.0</v>
      </c>
      <c r="X666" s="23" t="s">
        <v>54</v>
      </c>
      <c r="Y666" s="49" t="str">
        <f t="shared" si="22"/>
        <v>Ativo</v>
      </c>
      <c r="Z666" s="62"/>
      <c r="AA666" s="62" t="s">
        <v>47</v>
      </c>
      <c r="AB666" s="64"/>
      <c r="AC666" s="79"/>
      <c r="AD666" s="54"/>
      <c r="AE666" s="77"/>
      <c r="AF666" s="79"/>
      <c r="AG666" s="79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>
        <v>0.0</v>
      </c>
      <c r="BQ666" s="65">
        <v>0.0</v>
      </c>
      <c r="BR666" s="65">
        <v>0.0</v>
      </c>
      <c r="BS666" s="65">
        <v>0.0</v>
      </c>
      <c r="BT666" s="88">
        <v>0.0</v>
      </c>
      <c r="BU666" s="65">
        <v>0.0</v>
      </c>
      <c r="BV666" s="65">
        <v>0.0</v>
      </c>
      <c r="BW666" s="90">
        <v>0.0</v>
      </c>
      <c r="BX666" s="90">
        <v>0.0</v>
      </c>
      <c r="BY666" s="90" t="str">
        <f t="array" ref="BY666">XLOOKUP(C666,'PL TOTAL D0'!$A$3:$A$1991,'PL TOTAL D0'!$C$3:$C$1991,"")</f>
        <v/>
      </c>
    </row>
    <row r="667" ht="15.75" customHeight="1">
      <c r="A667" s="50" t="s">
        <v>24</v>
      </c>
      <c r="B667" s="176" t="s">
        <v>7789</v>
      </c>
      <c r="C667" s="94" t="s">
        <v>2792</v>
      </c>
      <c r="D667" s="30" t="s">
        <v>89</v>
      </c>
      <c r="E667" s="95" t="s">
        <v>91</v>
      </c>
      <c r="F667" s="95" t="s">
        <v>521</v>
      </c>
      <c r="G667" s="47" t="str">
        <f t="shared" si="30"/>
        <v>Gabriel</v>
      </c>
      <c r="H667" s="49" t="s">
        <v>183</v>
      </c>
      <c r="I667" s="49" t="s">
        <v>66</v>
      </c>
      <c r="J667" s="47" t="str">
        <f t="shared" si="29"/>
        <v>Sim</v>
      </c>
      <c r="K667" s="97">
        <v>45163.0</v>
      </c>
      <c r="L667" s="189"/>
      <c r="M667" s="62" t="s">
        <v>209</v>
      </c>
      <c r="N667" s="98">
        <v>0.015</v>
      </c>
      <c r="O667" s="47" t="s">
        <v>35</v>
      </c>
      <c r="P667" s="99">
        <v>0.1</v>
      </c>
      <c r="Q667" s="58" t="s">
        <v>7792</v>
      </c>
      <c r="R667" s="842"/>
      <c r="S667" s="62" t="s">
        <v>194</v>
      </c>
      <c r="T667" s="32" t="s">
        <v>1129</v>
      </c>
      <c r="U667" s="33">
        <v>4.4999847582E10</v>
      </c>
      <c r="V667" s="33" t="s">
        <v>7793</v>
      </c>
      <c r="W667" s="34">
        <v>33605.0</v>
      </c>
      <c r="X667" s="23" t="s">
        <v>221</v>
      </c>
      <c r="Y667" s="49" t="str">
        <f t="shared" si="22"/>
        <v>Ativo</v>
      </c>
      <c r="Z667" s="62"/>
      <c r="AA667" s="62"/>
      <c r="AB667" s="64" t="s">
        <v>269</v>
      </c>
      <c r="AC667" s="79"/>
      <c r="AD667" s="54">
        <v>45163.0</v>
      </c>
      <c r="AE667" s="77">
        <v>4.9075100011591E13</v>
      </c>
      <c r="AF667" s="79"/>
      <c r="AG667" s="79"/>
      <c r="AH667" s="79"/>
      <c r="AI667" s="79"/>
      <c r="AJ667" s="79"/>
      <c r="AK667" s="65">
        <v>0.0</v>
      </c>
      <c r="AL667" s="65">
        <v>0.0</v>
      </c>
      <c r="AM667" s="65">
        <v>0.0</v>
      </c>
      <c r="AN667" s="65">
        <v>0.0</v>
      </c>
      <c r="AO667" s="65">
        <v>0.0</v>
      </c>
      <c r="AP667" s="65">
        <v>0.0</v>
      </c>
      <c r="AQ667" s="65">
        <v>0.0</v>
      </c>
      <c r="AR667" s="65">
        <v>0.0</v>
      </c>
      <c r="AS667" s="65">
        <v>0.0</v>
      </c>
      <c r="AT667" s="65">
        <v>0.0</v>
      </c>
      <c r="AU667" s="65">
        <v>0.0</v>
      </c>
      <c r="AV667" s="65">
        <v>0.0</v>
      </c>
      <c r="AW667" s="65">
        <v>0.89</v>
      </c>
      <c r="AX667" s="65">
        <v>209391.1</v>
      </c>
      <c r="AY667" s="65">
        <v>506098.6</v>
      </c>
      <c r="AZ667" s="65">
        <v>509655.4</v>
      </c>
      <c r="BA667" s="65">
        <v>515141.5</v>
      </c>
      <c r="BB667" s="65">
        <v>518861.19</v>
      </c>
      <c r="BC667" s="65">
        <v>520512.47</v>
      </c>
      <c r="BD667" s="65">
        <v>521270.85</v>
      </c>
      <c r="BE667" s="65">
        <v>362656.35</v>
      </c>
      <c r="BF667" s="65">
        <v>332599.99</v>
      </c>
      <c r="BG667" s="65">
        <v>328841.99</v>
      </c>
      <c r="BH667" s="65">
        <v>333150.71</v>
      </c>
      <c r="BI667" s="65">
        <v>356265.86</v>
      </c>
      <c r="BJ667" s="65">
        <v>359644.5</v>
      </c>
      <c r="BK667" s="65">
        <v>370131.63</v>
      </c>
      <c r="BL667" s="65">
        <v>370347.24</v>
      </c>
      <c r="BM667" s="65">
        <v>374575.61</v>
      </c>
      <c r="BN667" s="65">
        <v>562738.2</v>
      </c>
      <c r="BO667" s="65">
        <v>313768.21</v>
      </c>
      <c r="BP667" s="65">
        <v>318124.0</v>
      </c>
      <c r="BQ667" s="65">
        <v>352131.5</v>
      </c>
      <c r="BR667" s="65">
        <v>446536.1</v>
      </c>
      <c r="BS667" s="65">
        <v>454067.81</v>
      </c>
      <c r="BT667" s="88">
        <v>457357.9</v>
      </c>
      <c r="BU667" s="65">
        <v>462529.0</v>
      </c>
      <c r="BV667" s="65">
        <v>470394.9</v>
      </c>
      <c r="BW667" s="90">
        <v>673827.4</v>
      </c>
      <c r="BX667" s="90">
        <v>711951.26</v>
      </c>
      <c r="BY667" s="90">
        <f t="array" ref="BY667">XLOOKUP(C667,'PL TOTAL D0'!$A$3:$A$1991,'PL TOTAL D0'!$C$3:$C$1991,"")</f>
        <v>706257.7</v>
      </c>
    </row>
    <row r="668" ht="15.75" customHeight="1">
      <c r="A668" s="50" t="s">
        <v>24</v>
      </c>
      <c r="B668" s="39" t="s">
        <v>7798</v>
      </c>
      <c r="C668" s="94" t="s">
        <v>7800</v>
      </c>
      <c r="D668" s="30" t="s">
        <v>89</v>
      </c>
      <c r="E668" s="95" t="s">
        <v>91</v>
      </c>
      <c r="F668" s="95" t="s">
        <v>521</v>
      </c>
      <c r="G668" s="47" t="str">
        <f t="shared" si="30"/>
        <v>David</v>
      </c>
      <c r="H668" s="49" t="s">
        <v>224</v>
      </c>
      <c r="I668" s="49" t="s">
        <v>66</v>
      </c>
      <c r="J668" s="47" t="str">
        <f t="shared" si="29"/>
        <v>Não</v>
      </c>
      <c r="K668" s="97">
        <v>45000.0</v>
      </c>
      <c r="L668" s="55">
        <v>45401.0</v>
      </c>
      <c r="M668" s="62" t="s">
        <v>61</v>
      </c>
      <c r="N668" s="98">
        <v>0.012</v>
      </c>
      <c r="O668" s="47" t="s">
        <v>66</v>
      </c>
      <c r="P668" s="99">
        <v>0.0</v>
      </c>
      <c r="Q668" s="58"/>
      <c r="R668" s="635"/>
      <c r="S668" s="62" t="s">
        <v>194</v>
      </c>
      <c r="T668" s="32" t="s">
        <v>1129</v>
      </c>
      <c r="U668" s="33" t="s">
        <v>268</v>
      </c>
      <c r="V668" s="33"/>
      <c r="W668" s="33" t="s">
        <v>268</v>
      </c>
      <c r="X668" s="23" t="s">
        <v>221</v>
      </c>
      <c r="Y668" s="49" t="str">
        <f t="shared" si="22"/>
        <v>Encerrado</v>
      </c>
      <c r="Z668" s="62"/>
      <c r="AA668" s="62"/>
      <c r="AB668" s="64" t="s">
        <v>269</v>
      </c>
      <c r="AC668" s="79"/>
      <c r="AD668" s="54">
        <v>45000.0</v>
      </c>
      <c r="AE668" s="77"/>
      <c r="AF668" s="79"/>
      <c r="AG668" s="79"/>
      <c r="AH668" s="79"/>
      <c r="AI668" s="79"/>
      <c r="AJ668" s="79"/>
      <c r="AK668" s="65">
        <v>1204685.2</v>
      </c>
      <c r="AL668" s="65">
        <v>1203727.57</v>
      </c>
      <c r="AM668" s="65">
        <v>1207452.88</v>
      </c>
      <c r="AN668" s="65">
        <v>964261.47</v>
      </c>
      <c r="AO668" s="65">
        <v>971845.22</v>
      </c>
      <c r="AP668" s="65">
        <v>798796.03</v>
      </c>
      <c r="AQ668" s="65">
        <v>250333.99</v>
      </c>
      <c r="AR668" s="65">
        <v>10548.21</v>
      </c>
      <c r="AS668" s="65">
        <v>10496.54</v>
      </c>
      <c r="AT668" s="65">
        <v>7.82</v>
      </c>
      <c r="AU668" s="65">
        <v>0.0</v>
      </c>
      <c r="AV668" s="65">
        <v>0.89</v>
      </c>
      <c r="AW668" s="65">
        <v>0.0</v>
      </c>
      <c r="AX668" s="65">
        <v>0.0</v>
      </c>
      <c r="AY668" s="65">
        <v>0.0</v>
      </c>
      <c r="AZ668" s="65">
        <v>0.0</v>
      </c>
      <c r="BA668" s="65">
        <v>0.0</v>
      </c>
      <c r="BB668" s="65">
        <v>0.0</v>
      </c>
      <c r="BC668" s="65">
        <v>0.0</v>
      </c>
      <c r="BD668" s="65">
        <v>0.0</v>
      </c>
      <c r="BE668" s="65">
        <v>0.0</v>
      </c>
      <c r="BF668" s="65">
        <v>0.0</v>
      </c>
      <c r="BG668" s="65">
        <v>0.0</v>
      </c>
      <c r="BH668" s="65">
        <v>0.0</v>
      </c>
      <c r="BI668" s="65">
        <v>0.0</v>
      </c>
      <c r="BJ668" s="65">
        <v>0.0</v>
      </c>
      <c r="BK668" s="65">
        <v>0.0</v>
      </c>
      <c r="BL668" s="65">
        <v>0.0</v>
      </c>
      <c r="BM668" s="65">
        <v>0.0</v>
      </c>
      <c r="BN668" s="65">
        <v>0.0</v>
      </c>
      <c r="BO668" s="65">
        <v>0.0</v>
      </c>
      <c r="BP668" s="65">
        <v>0.0</v>
      </c>
      <c r="BQ668" s="65">
        <v>0.0</v>
      </c>
      <c r="BR668" s="65">
        <v>0.0</v>
      </c>
      <c r="BS668" s="65">
        <v>0.0</v>
      </c>
      <c r="BT668" s="88">
        <v>0.0</v>
      </c>
      <c r="BU668" s="65">
        <v>0.0</v>
      </c>
      <c r="BV668" s="65">
        <v>0.0</v>
      </c>
      <c r="BW668" s="90">
        <v>0.0</v>
      </c>
      <c r="BX668" s="90">
        <v>0.0</v>
      </c>
      <c r="BY668" s="90" t="str">
        <f t="array" ref="BY668">XLOOKUP(C668,'PL TOTAL D0'!$A$3:$A$1991,'PL TOTAL D0'!$C$3:$C$1991,"")</f>
        <v/>
      </c>
    </row>
    <row r="669" ht="15.75" customHeight="1">
      <c r="A669" s="43" t="s">
        <v>24</v>
      </c>
      <c r="B669" s="39" t="s">
        <v>7806</v>
      </c>
      <c r="C669" s="94" t="s">
        <v>7807</v>
      </c>
      <c r="D669" s="30" t="s">
        <v>255</v>
      </c>
      <c r="E669" s="22" t="s">
        <v>199</v>
      </c>
      <c r="F669" s="22" t="s">
        <v>2328</v>
      </c>
      <c r="G669" s="47" t="str">
        <f t="shared" si="30"/>
        <v>David</v>
      </c>
      <c r="H669" s="49" t="s">
        <v>224</v>
      </c>
      <c r="I669" s="49" t="s">
        <v>66</v>
      </c>
      <c r="J669" s="23" t="s">
        <v>6075</v>
      </c>
      <c r="K669" s="54">
        <v>45125.0</v>
      </c>
      <c r="L669" s="55">
        <v>45566.0</v>
      </c>
      <c r="M669" s="32" t="s">
        <v>716</v>
      </c>
      <c r="N669" s="56">
        <v>0.0085</v>
      </c>
      <c r="O669" s="23" t="s">
        <v>66</v>
      </c>
      <c r="P669" s="57">
        <v>0.0</v>
      </c>
      <c r="Q669" s="58"/>
      <c r="R669" s="736" t="s">
        <v>3969</v>
      </c>
      <c r="S669" s="32" t="s">
        <v>194</v>
      </c>
      <c r="T669" s="32" t="s">
        <v>7812</v>
      </c>
      <c r="U669" s="33" t="s">
        <v>268</v>
      </c>
      <c r="V669" s="33"/>
      <c r="W669" s="33" t="s">
        <v>268</v>
      </c>
      <c r="X669" s="23"/>
      <c r="Y669" s="49" t="str">
        <f t="shared" si="22"/>
        <v>Encerrado</v>
      </c>
      <c r="Z669" s="62"/>
      <c r="AA669" s="62"/>
      <c r="AB669" s="64"/>
      <c r="AC669" s="79"/>
      <c r="AD669" s="54">
        <v>45125.0</v>
      </c>
      <c r="AE669" s="77">
        <v>4.9075100013586E13</v>
      </c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65">
        <v>5797318.01</v>
      </c>
      <c r="AV669" s="65">
        <v>5852482.08</v>
      </c>
      <c r="AW669" s="65">
        <v>5818801.75</v>
      </c>
      <c r="AX669" s="65">
        <v>5913916.98</v>
      </c>
      <c r="AY669" s="65">
        <v>5886416.0</v>
      </c>
      <c r="AZ669" s="65">
        <v>5925492.0</v>
      </c>
      <c r="BA669" s="65">
        <v>0.0</v>
      </c>
      <c r="BB669" s="65">
        <v>0.0</v>
      </c>
      <c r="BC669" s="65">
        <v>0.0</v>
      </c>
      <c r="BD669" s="65">
        <v>0.0</v>
      </c>
      <c r="BE669" s="65">
        <v>0.0</v>
      </c>
      <c r="BF669" s="65">
        <v>0.0</v>
      </c>
      <c r="BG669" s="65">
        <v>0.0</v>
      </c>
      <c r="BH669" s="65">
        <v>0.0</v>
      </c>
      <c r="BI669" s="65">
        <v>0.0</v>
      </c>
      <c r="BJ669" s="65">
        <v>0.0</v>
      </c>
      <c r="BK669" s="65">
        <v>0.0</v>
      </c>
      <c r="BL669" s="65">
        <v>0.0</v>
      </c>
      <c r="BM669" s="65">
        <v>0.0</v>
      </c>
      <c r="BN669" s="65">
        <v>0.0</v>
      </c>
      <c r="BO669" s="65">
        <v>0.0</v>
      </c>
      <c r="BP669" s="65">
        <v>0.0</v>
      </c>
      <c r="BQ669" s="65">
        <v>0.0</v>
      </c>
      <c r="BR669" s="65">
        <v>0.0</v>
      </c>
      <c r="BS669" s="65">
        <v>0.0</v>
      </c>
      <c r="BT669" s="88">
        <v>0.0</v>
      </c>
      <c r="BU669" s="65">
        <v>0.0</v>
      </c>
      <c r="BV669" s="65">
        <v>0.0</v>
      </c>
      <c r="BW669" s="90">
        <v>0.0</v>
      </c>
      <c r="BX669" s="90">
        <v>0.0</v>
      </c>
      <c r="BY669" s="90" t="str">
        <f t="array" ref="BY669">XLOOKUP(C669,'PL TOTAL D0'!$A$3:$A$1991,'PL TOTAL D0'!$C$3:$C$1991,"")</f>
        <v/>
      </c>
    </row>
    <row r="670" ht="15.75" customHeight="1">
      <c r="A670" s="50" t="s">
        <v>24</v>
      </c>
      <c r="B670" s="50" t="s">
        <v>7815</v>
      </c>
      <c r="C670" s="94" t="s">
        <v>7816</v>
      </c>
      <c r="D670" s="81" t="s">
        <v>120</v>
      </c>
      <c r="E670" s="95" t="s">
        <v>199</v>
      </c>
      <c r="F670" s="81" t="s">
        <v>1914</v>
      </c>
      <c r="G670" s="47" t="str">
        <f t="shared" si="30"/>
        <v>David</v>
      </c>
      <c r="H670" s="49" t="s">
        <v>224</v>
      </c>
      <c r="I670" s="49" t="s">
        <v>66</v>
      </c>
      <c r="J670" s="47" t="str">
        <f t="shared" ref="J670:J679" si="31">IF(Q670=0,"Não","Sim")</f>
        <v>Não</v>
      </c>
      <c r="K670" s="97">
        <v>44928.0</v>
      </c>
      <c r="L670" s="55">
        <v>45770.0</v>
      </c>
      <c r="M670" s="62" t="s">
        <v>61</v>
      </c>
      <c r="N670" s="98">
        <v>0.012</v>
      </c>
      <c r="O670" s="47" t="s">
        <v>66</v>
      </c>
      <c r="P670" s="99">
        <v>0.0</v>
      </c>
      <c r="Q670" s="58"/>
      <c r="R670" s="635"/>
      <c r="S670" s="62" t="s">
        <v>194</v>
      </c>
      <c r="T670" s="32" t="s">
        <v>7817</v>
      </c>
      <c r="U670" s="33" t="s">
        <v>268</v>
      </c>
      <c r="V670" s="33"/>
      <c r="W670" s="33" t="s">
        <v>268</v>
      </c>
      <c r="X670" s="23" t="s">
        <v>199</v>
      </c>
      <c r="Y670" s="49" t="str">
        <f t="shared" si="22"/>
        <v>Encerrado</v>
      </c>
      <c r="Z670" s="62"/>
      <c r="AA670" s="62"/>
      <c r="AB670" s="64" t="s">
        <v>244</v>
      </c>
      <c r="AC670" s="79"/>
      <c r="AD670" s="54">
        <v>44928.0</v>
      </c>
      <c r="AE670" s="77">
        <v>4.907510000599E13</v>
      </c>
      <c r="AF670" s="79"/>
      <c r="AG670" s="79"/>
      <c r="AH670" s="65">
        <v>25536.14</v>
      </c>
      <c r="AI670" s="65">
        <v>30960.44</v>
      </c>
      <c r="AJ670" s="65">
        <v>31196.96</v>
      </c>
      <c r="AK670" s="65">
        <v>31403.17</v>
      </c>
      <c r="AL670" s="65">
        <v>41622.38</v>
      </c>
      <c r="AM670" s="65">
        <v>42040.96</v>
      </c>
      <c r="AN670" s="65">
        <v>42401.2</v>
      </c>
      <c r="AO670" s="65">
        <v>42756.62</v>
      </c>
      <c r="AP670" s="65">
        <v>53231.46</v>
      </c>
      <c r="AQ670" s="65">
        <v>53641.79</v>
      </c>
      <c r="AR670" s="65">
        <v>54127.45</v>
      </c>
      <c r="AS670" s="65">
        <v>54551.49</v>
      </c>
      <c r="AT670" s="65">
        <v>54998.82</v>
      </c>
      <c r="AU670" s="65">
        <v>44982.02</v>
      </c>
      <c r="AV670" s="65">
        <v>45312.38</v>
      </c>
      <c r="AW670" s="65">
        <v>35463.24</v>
      </c>
      <c r="AX670" s="65">
        <v>35726.53</v>
      </c>
      <c r="AY670" s="65">
        <v>35976.58</v>
      </c>
      <c r="AZ670" s="65">
        <v>36227.41</v>
      </c>
      <c r="BA670" s="65">
        <v>36465.96</v>
      </c>
      <c r="BB670" s="65">
        <v>36737.71</v>
      </c>
      <c r="BC670" s="65">
        <v>36987.56</v>
      </c>
      <c r="BD670" s="65">
        <v>37285.35</v>
      </c>
      <c r="BE670" s="65">
        <v>0.0</v>
      </c>
      <c r="BF670" s="65">
        <v>0.0</v>
      </c>
      <c r="BG670" s="65">
        <v>0.0</v>
      </c>
      <c r="BH670" s="65">
        <v>0.0</v>
      </c>
      <c r="BI670" s="65">
        <v>0.0</v>
      </c>
      <c r="BJ670" s="65">
        <v>0.0</v>
      </c>
      <c r="BK670" s="65">
        <v>0.0</v>
      </c>
      <c r="BL670" s="65">
        <v>0.0</v>
      </c>
      <c r="BM670" s="65">
        <v>0.0</v>
      </c>
      <c r="BN670" s="65">
        <v>0.0</v>
      </c>
      <c r="BO670" s="65">
        <v>0.0</v>
      </c>
      <c r="BP670" s="65">
        <v>0.0</v>
      </c>
      <c r="BQ670" s="65">
        <v>0.0</v>
      </c>
      <c r="BR670" s="65">
        <v>0.0</v>
      </c>
      <c r="BS670" s="65">
        <v>0.0</v>
      </c>
      <c r="BT670" s="88">
        <v>0.0</v>
      </c>
      <c r="BU670" s="65">
        <v>0.0</v>
      </c>
      <c r="BV670" s="65">
        <v>0.0</v>
      </c>
      <c r="BW670" s="90">
        <v>0.0</v>
      </c>
      <c r="BX670" s="90">
        <v>0.0</v>
      </c>
      <c r="BY670" s="90" t="str">
        <f t="array" ref="BY670">XLOOKUP(C670,'PL TOTAL D0'!$A$3:$A$1991,'PL TOTAL D0'!$C$3:$C$1991,"")</f>
        <v/>
      </c>
    </row>
    <row r="671" ht="15.75" customHeight="1">
      <c r="A671" s="50" t="s">
        <v>24</v>
      </c>
      <c r="B671" s="50" t="s">
        <v>7820</v>
      </c>
      <c r="C671" s="94" t="s">
        <v>7821</v>
      </c>
      <c r="D671" s="81" t="s">
        <v>255</v>
      </c>
      <c r="E671" s="95" t="s">
        <v>199</v>
      </c>
      <c r="F671" s="81" t="s">
        <v>2328</v>
      </c>
      <c r="G671" s="47" t="str">
        <f t="shared" si="30"/>
        <v>David</v>
      </c>
      <c r="H671" s="49" t="s">
        <v>224</v>
      </c>
      <c r="I671" s="49" t="s">
        <v>66</v>
      </c>
      <c r="J671" s="47" t="str">
        <f t="shared" si="31"/>
        <v>Não</v>
      </c>
      <c r="K671" s="97">
        <v>45168.0</v>
      </c>
      <c r="L671" s="55">
        <v>45505.0</v>
      </c>
      <c r="M671" s="62" t="s">
        <v>61</v>
      </c>
      <c r="N671" s="98">
        <v>0.005</v>
      </c>
      <c r="O671" s="47" t="s">
        <v>66</v>
      </c>
      <c r="P671" s="99">
        <v>0.0</v>
      </c>
      <c r="Q671" s="58"/>
      <c r="R671" s="58" t="s">
        <v>610</v>
      </c>
      <c r="S671" s="62" t="s">
        <v>194</v>
      </c>
      <c r="T671" s="32" t="s">
        <v>7822</v>
      </c>
      <c r="U671" s="33" t="s">
        <v>268</v>
      </c>
      <c r="V671" s="33"/>
      <c r="W671" s="33" t="s">
        <v>268</v>
      </c>
      <c r="X671" s="23" t="s">
        <v>199</v>
      </c>
      <c r="Y671" s="49" t="str">
        <f t="shared" si="22"/>
        <v>Encerrado</v>
      </c>
      <c r="Z671" s="62"/>
      <c r="AA671" s="62"/>
      <c r="AB671" s="64" t="s">
        <v>269</v>
      </c>
      <c r="AC671" s="79"/>
      <c r="AD671" s="54">
        <v>45168.0</v>
      </c>
      <c r="AE671" s="77">
        <v>4.9075100009767E13</v>
      </c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65">
        <v>996849.67</v>
      </c>
      <c r="AQ671" s="65">
        <v>1003085.23</v>
      </c>
      <c r="AR671" s="65">
        <v>1060111.65</v>
      </c>
      <c r="AS671" s="65">
        <v>1163944.79</v>
      </c>
      <c r="AT671" s="65">
        <v>1174396.05</v>
      </c>
      <c r="AU671" s="65">
        <v>1184469.5</v>
      </c>
      <c r="AV671" s="65">
        <v>1193854.74</v>
      </c>
      <c r="AW671" s="65">
        <v>859210.0</v>
      </c>
      <c r="AX671" s="65">
        <v>860788.64</v>
      </c>
      <c r="AY671" s="65">
        <v>860901.4</v>
      </c>
      <c r="AZ671" s="65">
        <v>866195.0</v>
      </c>
      <c r="BA671" s="65">
        <v>0.0</v>
      </c>
      <c r="BB671" s="65">
        <v>0.0</v>
      </c>
      <c r="BC671" s="65">
        <v>0.0</v>
      </c>
      <c r="BD671" s="65">
        <v>0.0</v>
      </c>
      <c r="BE671" s="65">
        <v>0.0</v>
      </c>
      <c r="BF671" s="65">
        <v>0.0</v>
      </c>
      <c r="BG671" s="65">
        <v>0.0</v>
      </c>
      <c r="BH671" s="65">
        <v>0.0</v>
      </c>
      <c r="BI671" s="65">
        <v>0.0</v>
      </c>
      <c r="BJ671" s="65">
        <v>0.0</v>
      </c>
      <c r="BK671" s="65">
        <v>0.0</v>
      </c>
      <c r="BL671" s="65">
        <v>0.0</v>
      </c>
      <c r="BM671" s="65">
        <v>0.0</v>
      </c>
      <c r="BN671" s="65">
        <v>0.0</v>
      </c>
      <c r="BO671" s="65">
        <v>0.0</v>
      </c>
      <c r="BP671" s="65">
        <v>0.0</v>
      </c>
      <c r="BQ671" s="65">
        <v>0.0</v>
      </c>
      <c r="BR671" s="65">
        <v>0.0</v>
      </c>
      <c r="BS671" s="65">
        <v>0.0</v>
      </c>
      <c r="BT671" s="88">
        <v>0.0</v>
      </c>
      <c r="BU671" s="65">
        <v>0.0</v>
      </c>
      <c r="BV671" s="65">
        <v>0.0</v>
      </c>
      <c r="BW671" s="90">
        <v>0.0</v>
      </c>
      <c r="BX671" s="90">
        <v>0.0</v>
      </c>
      <c r="BY671" s="90" t="str">
        <f t="array" ref="BY671">XLOOKUP(C671,'PL TOTAL D0'!$A$3:$A$1991,'PL TOTAL D0'!$C$3:$C$1991,"")</f>
        <v/>
      </c>
    </row>
    <row r="672" ht="15.75" customHeight="1">
      <c r="A672" s="50" t="s">
        <v>24</v>
      </c>
      <c r="B672" s="43" t="s">
        <v>7827</v>
      </c>
      <c r="C672" s="53" t="s">
        <v>3351</v>
      </c>
      <c r="D672" s="30" t="s">
        <v>120</v>
      </c>
      <c r="E672" s="22" t="s">
        <v>199</v>
      </c>
      <c r="F672" s="30" t="s">
        <v>707</v>
      </c>
      <c r="G672" s="47" t="str">
        <f t="shared" si="30"/>
        <v>David</v>
      </c>
      <c r="H672" s="49" t="s">
        <v>183</v>
      </c>
      <c r="I672" s="49" t="s">
        <v>66</v>
      </c>
      <c r="J672" s="47" t="str">
        <f t="shared" si="31"/>
        <v>Sim</v>
      </c>
      <c r="K672" s="54">
        <v>46142.0</v>
      </c>
      <c r="L672" s="55"/>
      <c r="M672" s="32" t="s">
        <v>34</v>
      </c>
      <c r="N672" s="56">
        <v>0.012</v>
      </c>
      <c r="O672" s="23" t="s">
        <v>35</v>
      </c>
      <c r="P672" s="57">
        <v>0.1</v>
      </c>
      <c r="Q672" s="58" t="s">
        <v>7829</v>
      </c>
      <c r="R672" s="58"/>
      <c r="S672" s="62" t="s">
        <v>194</v>
      </c>
      <c r="T672" s="32" t="s">
        <v>7830</v>
      </c>
      <c r="U672" s="33" t="s">
        <v>7831</v>
      </c>
      <c r="V672" s="33" t="s">
        <v>7832</v>
      </c>
      <c r="W672" s="48">
        <v>30686.0</v>
      </c>
      <c r="X672" s="23" t="s">
        <v>199</v>
      </c>
      <c r="Y672" s="49" t="str">
        <f t="shared" si="22"/>
        <v>Ativo</v>
      </c>
      <c r="Z672" s="62"/>
      <c r="AA672" s="32" t="s">
        <v>47</v>
      </c>
      <c r="AB672" s="64"/>
      <c r="AC672" s="79"/>
      <c r="AD672" s="54">
        <v>46203.0</v>
      </c>
      <c r="AE672" s="77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65"/>
      <c r="BK672" s="65"/>
      <c r="BL672" s="65"/>
      <c r="BM672" s="65"/>
      <c r="BN672" s="65"/>
      <c r="BO672" s="65"/>
      <c r="BP672" s="65"/>
      <c r="BQ672" s="65"/>
      <c r="BR672" s="65"/>
      <c r="BS672" s="65"/>
      <c r="BT672" s="88"/>
      <c r="BU672" s="65"/>
      <c r="BV672" s="65">
        <v>81000.0</v>
      </c>
      <c r="BW672" s="90">
        <v>86870.19</v>
      </c>
      <c r="BX672" s="90">
        <v>87736.13</v>
      </c>
      <c r="BY672" s="90">
        <f t="array" ref="BY672">XLOOKUP(C672,'PL TOTAL D0'!$A$3:$A$1991,'PL TOTAL D0'!$C$3:$C$1991,"")</f>
        <v>88853.18</v>
      </c>
    </row>
    <row r="673" ht="15.75" customHeight="1">
      <c r="A673" s="50" t="s">
        <v>24</v>
      </c>
      <c r="B673" s="50" t="s">
        <v>7839</v>
      </c>
      <c r="C673" s="94" t="s">
        <v>7840</v>
      </c>
      <c r="D673" s="81" t="s">
        <v>120</v>
      </c>
      <c r="E673" s="95" t="s">
        <v>199</v>
      </c>
      <c r="F673" s="81" t="s">
        <v>1914</v>
      </c>
      <c r="G673" s="47" t="str">
        <f t="shared" si="30"/>
        <v>David</v>
      </c>
      <c r="H673" s="49" t="s">
        <v>224</v>
      </c>
      <c r="I673" s="49" t="s">
        <v>66</v>
      </c>
      <c r="J673" s="47" t="str">
        <f t="shared" si="31"/>
        <v>Não</v>
      </c>
      <c r="K673" s="97">
        <v>44931.0</v>
      </c>
      <c r="L673" s="55">
        <v>45799.0</v>
      </c>
      <c r="M673" s="40" t="s">
        <v>231</v>
      </c>
      <c r="N673" s="98">
        <v>0.025</v>
      </c>
      <c r="O673" s="23" t="s">
        <v>233</v>
      </c>
      <c r="P673" s="99">
        <v>0.2</v>
      </c>
      <c r="Q673" s="58"/>
      <c r="R673" s="58" t="s">
        <v>610</v>
      </c>
      <c r="S673" s="62" t="s">
        <v>194</v>
      </c>
      <c r="T673" s="32" t="s">
        <v>7842</v>
      </c>
      <c r="U673" s="33" t="s">
        <v>268</v>
      </c>
      <c r="V673" s="33"/>
      <c r="W673" s="33" t="s">
        <v>268</v>
      </c>
      <c r="X673" s="23" t="s">
        <v>199</v>
      </c>
      <c r="Y673" s="49" t="str">
        <f t="shared" si="22"/>
        <v>Encerrado</v>
      </c>
      <c r="Z673" s="62"/>
      <c r="AA673" s="62"/>
      <c r="AB673" s="64" t="s">
        <v>269</v>
      </c>
      <c r="AC673" s="79"/>
      <c r="AD673" s="54">
        <v>44931.0</v>
      </c>
      <c r="AE673" s="77">
        <v>4.9075100010005E13</v>
      </c>
      <c r="AF673" s="79"/>
      <c r="AG673" s="79"/>
      <c r="AH673" s="79"/>
      <c r="AI673" s="65">
        <v>50668.18</v>
      </c>
      <c r="AJ673" s="65">
        <v>49951.69</v>
      </c>
      <c r="AK673" s="65">
        <v>50254.3</v>
      </c>
      <c r="AL673" s="65">
        <v>49569.35</v>
      </c>
      <c r="AM673" s="65">
        <v>51210.32</v>
      </c>
      <c r="AN673" s="65">
        <v>55533.69</v>
      </c>
      <c r="AO673" s="65">
        <v>58614.75</v>
      </c>
      <c r="AP673" s="65">
        <v>55714.57</v>
      </c>
      <c r="AQ673" s="65">
        <v>55545.7</v>
      </c>
      <c r="AR673" s="65">
        <v>53123.37</v>
      </c>
      <c r="AS673" s="65">
        <v>57005.78</v>
      </c>
      <c r="AT673" s="65">
        <v>59703.08</v>
      </c>
      <c r="AU673" s="65">
        <v>55567.17</v>
      </c>
      <c r="AV673" s="65">
        <v>56324.34</v>
      </c>
      <c r="AW673" s="65">
        <v>58458.23</v>
      </c>
      <c r="AX673" s="65">
        <v>56429.63</v>
      </c>
      <c r="AY673" s="65">
        <v>55224.9</v>
      </c>
      <c r="AZ673" s="65">
        <v>46671.83</v>
      </c>
      <c r="BA673" s="65">
        <v>47891.23</v>
      </c>
      <c r="BB673" s="65">
        <v>41449.1</v>
      </c>
      <c r="BC673" s="65">
        <v>393.2</v>
      </c>
      <c r="BD673" s="65">
        <v>372.27</v>
      </c>
      <c r="BE673" s="65">
        <v>372.27</v>
      </c>
      <c r="BF673" s="65">
        <v>372.67</v>
      </c>
      <c r="BG673" s="65">
        <v>0.0</v>
      </c>
      <c r="BH673" s="65">
        <v>0.0</v>
      </c>
      <c r="BI673" s="65">
        <v>0.0</v>
      </c>
      <c r="BJ673" s="65">
        <v>0.0</v>
      </c>
      <c r="BK673" s="65">
        <v>0.0</v>
      </c>
      <c r="BL673" s="65">
        <v>0.0</v>
      </c>
      <c r="BM673" s="65">
        <v>0.0</v>
      </c>
      <c r="BN673" s="65">
        <v>0.0</v>
      </c>
      <c r="BO673" s="65">
        <v>0.0</v>
      </c>
      <c r="BP673" s="65">
        <v>0.0</v>
      </c>
      <c r="BQ673" s="65">
        <v>0.0</v>
      </c>
      <c r="BR673" s="65">
        <v>0.0</v>
      </c>
      <c r="BS673" s="65">
        <v>0.0</v>
      </c>
      <c r="BT673" s="88">
        <v>0.0</v>
      </c>
      <c r="BU673" s="65">
        <v>0.0</v>
      </c>
      <c r="BV673" s="65">
        <v>0.0</v>
      </c>
      <c r="BW673" s="90">
        <v>0.0</v>
      </c>
      <c r="BX673" s="90">
        <v>0.0</v>
      </c>
      <c r="BY673" s="90" t="str">
        <f t="array" ref="BY673">XLOOKUP(C673,'PL TOTAL D0'!$A$3:$A$1991,'PL TOTAL D0'!$C$3:$C$1991,"")</f>
        <v/>
      </c>
    </row>
    <row r="674" ht="15.75" customHeight="1">
      <c r="A674" s="50" t="s">
        <v>24</v>
      </c>
      <c r="B674" s="50" t="s">
        <v>7849</v>
      </c>
      <c r="C674" s="94" t="s">
        <v>7850</v>
      </c>
      <c r="D674" s="81" t="s">
        <v>120</v>
      </c>
      <c r="E674" s="95" t="s">
        <v>199</v>
      </c>
      <c r="F674" s="81" t="s">
        <v>1914</v>
      </c>
      <c r="G674" s="47" t="str">
        <f t="shared" si="30"/>
        <v>David</v>
      </c>
      <c r="H674" s="49" t="s">
        <v>224</v>
      </c>
      <c r="I674" s="49" t="s">
        <v>66</v>
      </c>
      <c r="J674" s="47" t="str">
        <f t="shared" si="31"/>
        <v>Não</v>
      </c>
      <c r="K674" s="97">
        <v>44931.0</v>
      </c>
      <c r="L674" s="55">
        <v>45799.0</v>
      </c>
      <c r="M674" s="62" t="s">
        <v>61</v>
      </c>
      <c r="N674" s="98">
        <v>0.012</v>
      </c>
      <c r="O674" s="47" t="s">
        <v>66</v>
      </c>
      <c r="P674" s="99">
        <v>0.0</v>
      </c>
      <c r="Q674" s="58"/>
      <c r="R674" s="58" t="s">
        <v>610</v>
      </c>
      <c r="S674" s="62" t="s">
        <v>194</v>
      </c>
      <c r="T674" s="32" t="s">
        <v>7842</v>
      </c>
      <c r="U674" s="33" t="s">
        <v>268</v>
      </c>
      <c r="V674" s="33"/>
      <c r="W674" s="33" t="s">
        <v>268</v>
      </c>
      <c r="X674" s="23" t="s">
        <v>199</v>
      </c>
      <c r="Y674" s="49" t="str">
        <f t="shared" si="22"/>
        <v>Encerrado</v>
      </c>
      <c r="Z674" s="62"/>
      <c r="AA674" s="62"/>
      <c r="AB674" s="64" t="s">
        <v>269</v>
      </c>
      <c r="AC674" s="79"/>
      <c r="AD674" s="54">
        <v>44931.0</v>
      </c>
      <c r="AE674" s="77">
        <v>4.9075100003327E13</v>
      </c>
      <c r="AF674" s="79"/>
      <c r="AG674" s="79"/>
      <c r="AH674" s="79"/>
      <c r="AI674" s="65">
        <v>151367.07</v>
      </c>
      <c r="AJ674" s="65">
        <v>152610.03</v>
      </c>
      <c r="AK674" s="65">
        <v>154284.45</v>
      </c>
      <c r="AL674" s="65">
        <v>155466.58</v>
      </c>
      <c r="AM674" s="65">
        <v>157127.4</v>
      </c>
      <c r="AN674" s="65">
        <v>158575.16</v>
      </c>
      <c r="AO674" s="65">
        <v>159926.25</v>
      </c>
      <c r="AP674" s="65">
        <v>161459.68</v>
      </c>
      <c r="AQ674" s="65">
        <v>162743.17</v>
      </c>
      <c r="AR674" s="65">
        <v>164169.26</v>
      </c>
      <c r="AS674" s="65">
        <v>165328.85</v>
      </c>
      <c r="AT674" s="65">
        <v>166608.4</v>
      </c>
      <c r="AU674" s="65">
        <v>166145.88</v>
      </c>
      <c r="AV674" s="65">
        <v>167373.47</v>
      </c>
      <c r="AW674" s="65">
        <v>167672.4</v>
      </c>
      <c r="AX674" s="65">
        <v>168756.9</v>
      </c>
      <c r="AY674" s="65">
        <v>169944.5</v>
      </c>
      <c r="AZ674" s="65">
        <v>129053.1</v>
      </c>
      <c r="BA674" s="65">
        <v>130058.8</v>
      </c>
      <c r="BB674" s="65">
        <v>104513.42</v>
      </c>
      <c r="BC674" s="65">
        <v>101151.43</v>
      </c>
      <c r="BD674" s="65">
        <v>101804.49</v>
      </c>
      <c r="BE674" s="65">
        <v>102549.84</v>
      </c>
      <c r="BF674" s="65">
        <v>103414.9</v>
      </c>
      <c r="BG674" s="65">
        <v>0.0</v>
      </c>
      <c r="BH674" s="65">
        <v>0.0</v>
      </c>
      <c r="BI674" s="65">
        <v>0.0</v>
      </c>
      <c r="BJ674" s="65">
        <v>0.0</v>
      </c>
      <c r="BK674" s="65">
        <v>0.0</v>
      </c>
      <c r="BL674" s="65">
        <v>0.0</v>
      </c>
      <c r="BM674" s="65">
        <v>0.0</v>
      </c>
      <c r="BN674" s="65">
        <v>0.0</v>
      </c>
      <c r="BO674" s="65">
        <v>0.0</v>
      </c>
      <c r="BP674" s="65">
        <v>0.0</v>
      </c>
      <c r="BQ674" s="65">
        <v>0.0</v>
      </c>
      <c r="BR674" s="65">
        <v>0.0</v>
      </c>
      <c r="BS674" s="65">
        <v>0.0</v>
      </c>
      <c r="BT674" s="88">
        <v>0.0</v>
      </c>
      <c r="BU674" s="65">
        <v>0.0</v>
      </c>
      <c r="BV674" s="65">
        <v>0.0</v>
      </c>
      <c r="BW674" s="90">
        <v>0.0</v>
      </c>
      <c r="BX674" s="90">
        <v>0.0</v>
      </c>
      <c r="BY674" s="90" t="str">
        <f t="array" ref="BY674">XLOOKUP(C674,'PL TOTAL D0'!$A$3:$A$1991,'PL TOTAL D0'!$C$3:$C$1991,"")</f>
        <v/>
      </c>
    </row>
    <row r="675" ht="15.75" customHeight="1">
      <c r="A675" s="50" t="s">
        <v>24</v>
      </c>
      <c r="B675" s="845" t="s">
        <v>7854</v>
      </c>
      <c r="C675" s="94" t="s">
        <v>7856</v>
      </c>
      <c r="D675" s="795" t="s">
        <v>255</v>
      </c>
      <c r="E675" s="846" t="s">
        <v>199</v>
      </c>
      <c r="F675" s="795" t="s">
        <v>2328</v>
      </c>
      <c r="G675" s="47" t="str">
        <f t="shared" si="30"/>
        <v>David</v>
      </c>
      <c r="H675" s="847" t="s">
        <v>224</v>
      </c>
      <c r="I675" s="49" t="s">
        <v>66</v>
      </c>
      <c r="J675" s="47" t="str">
        <f t="shared" si="31"/>
        <v>Não</v>
      </c>
      <c r="K675" s="848">
        <v>45125.0</v>
      </c>
      <c r="L675" s="849">
        <v>45513.0</v>
      </c>
      <c r="M675" s="850" t="s">
        <v>5290</v>
      </c>
      <c r="N675" s="851">
        <v>0.0085</v>
      </c>
      <c r="O675" s="852" t="s">
        <v>66</v>
      </c>
      <c r="P675" s="853">
        <v>0.0</v>
      </c>
      <c r="Q675" s="58"/>
      <c r="R675" s="854" t="s">
        <v>3969</v>
      </c>
      <c r="S675" s="850" t="s">
        <v>194</v>
      </c>
      <c r="T675" s="415" t="s">
        <v>7862</v>
      </c>
      <c r="U675" s="33" t="s">
        <v>268</v>
      </c>
      <c r="V675" s="33"/>
      <c r="W675" s="33" t="s">
        <v>268</v>
      </c>
      <c r="X675" s="855" t="s">
        <v>199</v>
      </c>
      <c r="Y675" s="49" t="str">
        <f t="shared" si="22"/>
        <v>Encerrado</v>
      </c>
      <c r="Z675" s="850"/>
      <c r="AA675" s="850"/>
      <c r="AB675" s="856" t="s">
        <v>269</v>
      </c>
      <c r="AC675" s="857"/>
      <c r="AD675" s="54">
        <v>45125.0</v>
      </c>
      <c r="AE675" s="77">
        <v>4.907510000604E13</v>
      </c>
      <c r="AF675" s="858"/>
      <c r="AG675" s="858"/>
      <c r="AH675" s="858"/>
      <c r="AI675" s="858"/>
      <c r="AJ675" s="858"/>
      <c r="AK675" s="858"/>
      <c r="AL675" s="858"/>
      <c r="AM675" s="858"/>
      <c r="AN675" s="858"/>
      <c r="AO675" s="859">
        <v>1228192.68</v>
      </c>
      <c r="AP675" s="859">
        <v>1243750.43</v>
      </c>
      <c r="AQ675" s="65">
        <v>1088497.03</v>
      </c>
      <c r="AR675" s="65">
        <v>187400.79</v>
      </c>
      <c r="AS675" s="65">
        <v>201253.67</v>
      </c>
      <c r="AT675" s="65">
        <v>223190.6</v>
      </c>
      <c r="AU675" s="65">
        <v>257719.65</v>
      </c>
      <c r="AV675" s="65">
        <v>266094.28</v>
      </c>
      <c r="AW675" s="65">
        <v>283791.34</v>
      </c>
      <c r="AX675" s="65">
        <v>286938.37</v>
      </c>
      <c r="AY675" s="65">
        <v>322392.1</v>
      </c>
      <c r="AZ675" s="65">
        <v>352951.0</v>
      </c>
      <c r="BA675" s="65">
        <v>0.0</v>
      </c>
      <c r="BB675" s="65">
        <v>0.0</v>
      </c>
      <c r="BC675" s="65">
        <v>0.0</v>
      </c>
      <c r="BD675" s="65">
        <v>0.0</v>
      </c>
      <c r="BE675" s="65">
        <v>0.0</v>
      </c>
      <c r="BF675" s="65">
        <v>0.0</v>
      </c>
      <c r="BG675" s="65">
        <v>0.0</v>
      </c>
      <c r="BH675" s="65">
        <v>0.0</v>
      </c>
      <c r="BI675" s="65">
        <v>0.0</v>
      </c>
      <c r="BJ675" s="65">
        <v>0.0</v>
      </c>
      <c r="BK675" s="65">
        <v>0.0</v>
      </c>
      <c r="BL675" s="65">
        <v>0.0</v>
      </c>
      <c r="BM675" s="65">
        <v>0.0</v>
      </c>
      <c r="BN675" s="65">
        <v>0.0</v>
      </c>
      <c r="BO675" s="65">
        <v>0.0</v>
      </c>
      <c r="BP675" s="65">
        <v>0.0</v>
      </c>
      <c r="BQ675" s="65">
        <v>0.0</v>
      </c>
      <c r="BR675" s="65">
        <v>0.0</v>
      </c>
      <c r="BS675" s="65">
        <v>0.0</v>
      </c>
      <c r="BT675" s="88">
        <v>0.0</v>
      </c>
      <c r="BU675" s="65">
        <v>0.0</v>
      </c>
      <c r="BV675" s="65">
        <v>0.0</v>
      </c>
      <c r="BW675" s="90">
        <v>0.0</v>
      </c>
      <c r="BX675" s="90">
        <v>0.0</v>
      </c>
      <c r="BY675" s="90" t="str">
        <f t="array" ref="BY675">XLOOKUP(C675,'PL TOTAL D0'!$A$3:$A$1991,'PL TOTAL D0'!$C$3:$C$1991,"")</f>
        <v/>
      </c>
    </row>
    <row r="676" ht="15.75" customHeight="1">
      <c r="A676" s="50" t="s">
        <v>24</v>
      </c>
      <c r="B676" s="678" t="s">
        <v>7865</v>
      </c>
      <c r="C676" s="94" t="s">
        <v>7866</v>
      </c>
      <c r="D676" s="141" t="s">
        <v>249</v>
      </c>
      <c r="E676" s="27" t="s">
        <v>199</v>
      </c>
      <c r="F676" s="30" t="s">
        <v>251</v>
      </c>
      <c r="G676" s="47" t="str">
        <f t="shared" si="30"/>
        <v>David</v>
      </c>
      <c r="H676" s="648" t="s">
        <v>295</v>
      </c>
      <c r="I676" s="49" t="s">
        <v>756</v>
      </c>
      <c r="J676" s="47" t="str">
        <f t="shared" si="31"/>
        <v>Não</v>
      </c>
      <c r="K676" s="661">
        <v>45742.0</v>
      </c>
      <c r="L676" s="650"/>
      <c r="M676" s="655" t="s">
        <v>390</v>
      </c>
      <c r="N676" s="860">
        <v>0.0</v>
      </c>
      <c r="O676" s="33" t="s">
        <v>66</v>
      </c>
      <c r="P676" s="660">
        <v>0.0</v>
      </c>
      <c r="Q676" s="58"/>
      <c r="R676" s="861"/>
      <c r="S676" s="655" t="s">
        <v>194</v>
      </c>
      <c r="T676" s="655" t="s">
        <v>7867</v>
      </c>
      <c r="U676" s="33">
        <v>5.561985444744E12</v>
      </c>
      <c r="V676" s="33" t="s">
        <v>7868</v>
      </c>
      <c r="W676" s="34">
        <v>35665.0</v>
      </c>
      <c r="X676" s="33" t="s">
        <v>199</v>
      </c>
      <c r="Y676" s="49" t="str">
        <f t="shared" si="22"/>
        <v>Ativo</v>
      </c>
      <c r="Z676" s="515"/>
      <c r="AA676" s="655" t="s">
        <v>165</v>
      </c>
      <c r="AB676" s="656"/>
      <c r="AC676" s="657"/>
      <c r="AD676" s="54"/>
      <c r="AE676" s="77"/>
      <c r="AF676" s="657"/>
      <c r="AG676" s="657"/>
      <c r="AH676" s="657"/>
      <c r="AI676" s="657"/>
      <c r="AJ676" s="657"/>
      <c r="AK676" s="657"/>
      <c r="AL676" s="657"/>
      <c r="AM676" s="657"/>
      <c r="AN676" s="657"/>
      <c r="AO676" s="658"/>
      <c r="AP676" s="658"/>
      <c r="AQ676" s="658"/>
      <c r="AR676" s="658"/>
      <c r="AS676" s="658"/>
      <c r="AT676" s="658"/>
      <c r="AU676" s="658"/>
      <c r="AV676" s="658"/>
      <c r="AW676" s="658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>
        <v>0.0</v>
      </c>
      <c r="BJ676" s="65">
        <v>0.0</v>
      </c>
      <c r="BK676" s="65">
        <v>0.0</v>
      </c>
      <c r="BL676" s="65">
        <v>0.0</v>
      </c>
      <c r="BM676" s="65">
        <v>0.0</v>
      </c>
      <c r="BN676" s="65">
        <v>0.0</v>
      </c>
      <c r="BO676" s="65">
        <v>0.0</v>
      </c>
      <c r="BP676" s="65">
        <v>0.0</v>
      </c>
      <c r="BQ676" s="65">
        <v>0.0</v>
      </c>
      <c r="BR676" s="65">
        <v>0.0</v>
      </c>
      <c r="BS676" s="65">
        <v>0.0</v>
      </c>
      <c r="BT676" s="88">
        <v>0.0</v>
      </c>
      <c r="BU676" s="65">
        <v>0.0</v>
      </c>
      <c r="BV676" s="65">
        <v>0.0</v>
      </c>
      <c r="BW676" s="90">
        <v>0.0</v>
      </c>
      <c r="BX676" s="90">
        <v>0.0</v>
      </c>
      <c r="BY676" s="90" t="str">
        <f t="array" ref="BY676">XLOOKUP(C676,'PL TOTAL D0'!$A$3:$A$1991,'PL TOTAL D0'!$C$3:$C$1991,"")</f>
        <v/>
      </c>
    </row>
    <row r="677" ht="15.75" customHeight="1">
      <c r="A677" s="50" t="s">
        <v>24</v>
      </c>
      <c r="B677" s="678" t="s">
        <v>7872</v>
      </c>
      <c r="C677" s="94" t="s">
        <v>3434</v>
      </c>
      <c r="D677" s="141" t="s">
        <v>120</v>
      </c>
      <c r="E677" s="27" t="s">
        <v>54</v>
      </c>
      <c r="F677" s="30" t="s">
        <v>125</v>
      </c>
      <c r="G677" s="47" t="str">
        <f t="shared" si="30"/>
        <v>David</v>
      </c>
      <c r="H677" s="648" t="s">
        <v>183</v>
      </c>
      <c r="I677" s="49" t="s">
        <v>66</v>
      </c>
      <c r="J677" s="47" t="str">
        <f t="shared" si="31"/>
        <v>Não</v>
      </c>
      <c r="K677" s="661">
        <v>45915.0</v>
      </c>
      <c r="L677" s="650"/>
      <c r="M677" s="655" t="s">
        <v>61</v>
      </c>
      <c r="N677" s="860">
        <v>0.012</v>
      </c>
      <c r="O677" s="33" t="s">
        <v>66</v>
      </c>
      <c r="P677" s="660">
        <v>0.0</v>
      </c>
      <c r="Q677" s="58"/>
      <c r="R677" s="861"/>
      <c r="S677" s="655" t="s">
        <v>194</v>
      </c>
      <c r="T677" s="655" t="s">
        <v>7874</v>
      </c>
      <c r="U677" s="33" t="s">
        <v>7875</v>
      </c>
      <c r="V677" s="33" t="s">
        <v>7876</v>
      </c>
      <c r="W677" s="34">
        <v>37415.0</v>
      </c>
      <c r="X677" s="33" t="s">
        <v>54</v>
      </c>
      <c r="Y677" s="49" t="str">
        <f t="shared" si="22"/>
        <v>Ativo</v>
      </c>
      <c r="Z677" s="515"/>
      <c r="AA677" s="655" t="s">
        <v>107</v>
      </c>
      <c r="AB677" s="656"/>
      <c r="AC677" s="657"/>
      <c r="AD677" s="54">
        <v>45915.0</v>
      </c>
      <c r="AE677" s="148">
        <v>4.9075100019517E13</v>
      </c>
      <c r="AF677" s="657"/>
      <c r="AG677" s="657"/>
      <c r="AH677" s="657"/>
      <c r="AI677" s="657"/>
      <c r="AJ677" s="657"/>
      <c r="AK677" s="657"/>
      <c r="AL677" s="657"/>
      <c r="AM677" s="657"/>
      <c r="AN677" s="657"/>
      <c r="AO677" s="658"/>
      <c r="AP677" s="658"/>
      <c r="AQ677" s="658"/>
      <c r="AR677" s="658"/>
      <c r="AS677" s="658"/>
      <c r="AT677" s="658"/>
      <c r="AU677" s="658"/>
      <c r="AV677" s="658"/>
      <c r="AW677" s="658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  <c r="BM677" s="65"/>
      <c r="BN677" s="65">
        <v>0.0</v>
      </c>
      <c r="BO677" s="65">
        <v>50250.15</v>
      </c>
      <c r="BP677" s="65">
        <v>50877.57</v>
      </c>
      <c r="BQ677" s="65">
        <v>51310.04</v>
      </c>
      <c r="BR677" s="65">
        <v>51849.48</v>
      </c>
      <c r="BS677" s="65">
        <v>52431.37</v>
      </c>
      <c r="BT677" s="88">
        <v>52869.38</v>
      </c>
      <c r="BU677" s="65">
        <v>53311.72</v>
      </c>
      <c r="BV677" s="65">
        <v>53934.65</v>
      </c>
      <c r="BW677" s="90">
        <v>54480.72</v>
      </c>
      <c r="BX677" s="90">
        <v>54975.5</v>
      </c>
      <c r="BY677" s="90">
        <f t="array" ref="BY677">XLOOKUP(C677,'PL TOTAL D0'!$A$3:$A$1991,'PL TOTAL D0'!$C$3:$C$1991,"")</f>
        <v>55523.85</v>
      </c>
    </row>
    <row r="678" ht="15.75" customHeight="1">
      <c r="A678" s="50" t="s">
        <v>24</v>
      </c>
      <c r="B678" s="50" t="s">
        <v>5847</v>
      </c>
      <c r="C678" s="94" t="s">
        <v>2595</v>
      </c>
      <c r="D678" s="81" t="s">
        <v>120</v>
      </c>
      <c r="E678" s="95" t="s">
        <v>54</v>
      </c>
      <c r="F678" s="81" t="s">
        <v>125</v>
      </c>
      <c r="G678" s="47" t="str">
        <f t="shared" si="30"/>
        <v>Marcus</v>
      </c>
      <c r="H678" s="49" t="s">
        <v>183</v>
      </c>
      <c r="I678" s="49" t="s">
        <v>66</v>
      </c>
      <c r="J678" s="47" t="str">
        <f t="shared" si="31"/>
        <v>Não</v>
      </c>
      <c r="K678" s="97">
        <v>44980.0</v>
      </c>
      <c r="L678" s="62"/>
      <c r="M678" s="32" t="s">
        <v>61</v>
      </c>
      <c r="N678" s="56">
        <v>0.012</v>
      </c>
      <c r="O678" s="23" t="s">
        <v>66</v>
      </c>
      <c r="P678" s="57">
        <v>0.0</v>
      </c>
      <c r="Q678" s="58"/>
      <c r="R678" s="58" t="s">
        <v>7880</v>
      </c>
      <c r="S678" s="62" t="s">
        <v>194</v>
      </c>
      <c r="T678" s="32" t="s">
        <v>5846</v>
      </c>
      <c r="U678" s="33">
        <v>5.562991536263E12</v>
      </c>
      <c r="V678" s="33" t="s">
        <v>7881</v>
      </c>
      <c r="W678" s="34">
        <v>35513.0</v>
      </c>
      <c r="X678" s="23" t="s">
        <v>54</v>
      </c>
      <c r="Y678" s="49" t="str">
        <f t="shared" si="22"/>
        <v>Ativo</v>
      </c>
      <c r="Z678" s="62"/>
      <c r="AA678" s="32" t="s">
        <v>165</v>
      </c>
      <c r="AB678" s="64" t="s">
        <v>269</v>
      </c>
      <c r="AC678" s="79"/>
      <c r="AD678" s="54">
        <v>44980.0</v>
      </c>
      <c r="AE678" s="77">
        <v>4.9075100006024E13</v>
      </c>
      <c r="AF678" s="79"/>
      <c r="AG678" s="79"/>
      <c r="AH678" s="79"/>
      <c r="AI678" s="65">
        <v>0.0</v>
      </c>
      <c r="AJ678" s="65">
        <v>485180.91</v>
      </c>
      <c r="AK678" s="65">
        <v>586527.81</v>
      </c>
      <c r="AL678" s="65">
        <v>589105.09</v>
      </c>
      <c r="AM678" s="65">
        <v>599462.24</v>
      </c>
      <c r="AN678" s="65">
        <v>623799.05</v>
      </c>
      <c r="AO678" s="65">
        <v>626680.78</v>
      </c>
      <c r="AP678" s="65">
        <v>646739.9</v>
      </c>
      <c r="AQ678" s="65">
        <v>677433.36</v>
      </c>
      <c r="AR678" s="65">
        <v>687798.21</v>
      </c>
      <c r="AS678" s="65">
        <v>730790.37</v>
      </c>
      <c r="AT678" s="65">
        <v>754062.16</v>
      </c>
      <c r="AU678" s="65">
        <v>751642.51</v>
      </c>
      <c r="AV678" s="65">
        <v>789676.27</v>
      </c>
      <c r="AW678" s="65">
        <v>812486.91</v>
      </c>
      <c r="AX678" s="65">
        <v>893064.95</v>
      </c>
      <c r="AY678" s="65">
        <v>916614.3</v>
      </c>
      <c r="AZ678" s="65">
        <v>856005.3</v>
      </c>
      <c r="BA678" s="65">
        <v>869336.9</v>
      </c>
      <c r="BB678" s="65">
        <v>906417.99</v>
      </c>
      <c r="BC678" s="65">
        <v>932105.97</v>
      </c>
      <c r="BD678" s="65">
        <v>954451.52</v>
      </c>
      <c r="BE678" s="65">
        <v>982431.46</v>
      </c>
      <c r="BF678" s="65">
        <v>1021068.18</v>
      </c>
      <c r="BG678" s="65">
        <v>1049219.43</v>
      </c>
      <c r="BH678" s="65">
        <v>1073167.6</v>
      </c>
      <c r="BI678" s="65">
        <v>1107784.99</v>
      </c>
      <c r="BJ678" s="65">
        <v>1148210.58</v>
      </c>
      <c r="BK678" s="65">
        <v>1204702.79</v>
      </c>
      <c r="BL678" s="65">
        <v>1261777.42</v>
      </c>
      <c r="BM678" s="65">
        <v>1306103.83</v>
      </c>
      <c r="BN678" s="65">
        <v>1339486.0</v>
      </c>
      <c r="BO678" s="65">
        <v>1427577.16</v>
      </c>
      <c r="BP678" s="65">
        <v>1500655.0</v>
      </c>
      <c r="BQ678" s="65">
        <v>1546790.0</v>
      </c>
      <c r="BR678" s="65">
        <v>1607391.0</v>
      </c>
      <c r="BS678" s="65">
        <v>1641769.85</v>
      </c>
      <c r="BT678" s="88">
        <v>1654190.0</v>
      </c>
      <c r="BU678" s="65">
        <v>1717988.0</v>
      </c>
      <c r="BV678" s="65">
        <v>1803261.0</v>
      </c>
      <c r="BW678" s="90">
        <v>1870458.0</v>
      </c>
      <c r="BX678" s="90">
        <v>1888078.16</v>
      </c>
      <c r="BY678" s="90">
        <f t="array" ref="BY678">XLOOKUP(C678,'PL TOTAL D0'!$A$3:$A$1991,'PL TOTAL D0'!$C$3:$C$1991,"")</f>
        <v>1931924.86</v>
      </c>
    </row>
    <row r="679" ht="15.75" customHeight="1">
      <c r="A679" s="50" t="s">
        <v>24</v>
      </c>
      <c r="B679" s="43" t="s">
        <v>7885</v>
      </c>
      <c r="C679" s="94" t="s">
        <v>7886</v>
      </c>
      <c r="D679" s="30" t="s">
        <v>120</v>
      </c>
      <c r="E679" s="22" t="s">
        <v>54</v>
      </c>
      <c r="F679" s="30" t="s">
        <v>348</v>
      </c>
      <c r="G679" s="47" t="str">
        <f t="shared" si="30"/>
        <v>David</v>
      </c>
      <c r="H679" s="49" t="s">
        <v>224</v>
      </c>
      <c r="I679" s="49" t="s">
        <v>66</v>
      </c>
      <c r="J679" s="47" t="str">
        <f t="shared" si="31"/>
        <v>Não</v>
      </c>
      <c r="K679" s="54">
        <v>45681.0</v>
      </c>
      <c r="L679" s="55">
        <v>45896.0</v>
      </c>
      <c r="M679" s="32" t="s">
        <v>61</v>
      </c>
      <c r="N679" s="56">
        <v>0.012</v>
      </c>
      <c r="O679" s="23" t="s">
        <v>66</v>
      </c>
      <c r="P679" s="57">
        <v>0.0</v>
      </c>
      <c r="Q679" s="58"/>
      <c r="R679" s="58"/>
      <c r="S679" s="32" t="s">
        <v>194</v>
      </c>
      <c r="T679" s="32" t="s">
        <v>7888</v>
      </c>
      <c r="U679" s="33" t="s">
        <v>268</v>
      </c>
      <c r="V679" s="33"/>
      <c r="W679" s="33" t="s">
        <v>268</v>
      </c>
      <c r="X679" s="23" t="s">
        <v>54</v>
      </c>
      <c r="Y679" s="49" t="str">
        <f t="shared" si="22"/>
        <v>Encerrado</v>
      </c>
      <c r="Z679" s="62"/>
      <c r="AA679" s="32" t="s">
        <v>165</v>
      </c>
      <c r="AB679" s="64"/>
      <c r="AC679" s="79"/>
      <c r="AD679" s="54">
        <v>45681.0</v>
      </c>
      <c r="AE679" s="77">
        <v>4.9075100017603E13</v>
      </c>
      <c r="AF679" s="79"/>
      <c r="AG679" s="79"/>
      <c r="AH679" s="79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>
        <v>0.0</v>
      </c>
      <c r="BH679" s="65">
        <v>0.0</v>
      </c>
      <c r="BI679" s="65">
        <v>0.0</v>
      </c>
      <c r="BJ679" s="65">
        <v>37790.55</v>
      </c>
      <c r="BK679" s="65">
        <v>62317.32</v>
      </c>
      <c r="BL679" s="65">
        <v>62940.37</v>
      </c>
      <c r="BM679" s="65">
        <v>0.0</v>
      </c>
      <c r="BN679" s="65">
        <v>0.0</v>
      </c>
      <c r="BO679" s="65">
        <v>0.0</v>
      </c>
      <c r="BP679" s="65">
        <v>0.0</v>
      </c>
      <c r="BQ679" s="65">
        <v>0.0</v>
      </c>
      <c r="BR679" s="65">
        <v>0.0</v>
      </c>
      <c r="BS679" s="65">
        <v>0.0</v>
      </c>
      <c r="BT679" s="88">
        <v>0.0</v>
      </c>
      <c r="BU679" s="65">
        <v>0.0</v>
      </c>
      <c r="BV679" s="65">
        <v>0.0</v>
      </c>
      <c r="BW679" s="90">
        <v>0.0</v>
      </c>
      <c r="BX679" s="90">
        <v>0.0</v>
      </c>
      <c r="BY679" s="90" t="str">
        <f t="array" ref="BY679">XLOOKUP(C679,'PL TOTAL D0'!$A$3:$A$1991,'PL TOTAL D0'!$C$3:$C$1991,"")</f>
        <v/>
      </c>
    </row>
    <row r="680" ht="15.75" customHeight="1">
      <c r="A680" s="43" t="s">
        <v>24</v>
      </c>
      <c r="B680" s="43" t="s">
        <v>2213</v>
      </c>
      <c r="C680" s="94" t="s">
        <v>2735</v>
      </c>
      <c r="D680" s="30" t="s">
        <v>120</v>
      </c>
      <c r="E680" s="22" t="s">
        <v>54</v>
      </c>
      <c r="F680" s="30" t="s">
        <v>125</v>
      </c>
      <c r="G680" s="47" t="str">
        <f t="shared" si="30"/>
        <v>Marcus</v>
      </c>
      <c r="H680" s="49" t="s">
        <v>183</v>
      </c>
      <c r="I680" s="49" t="s">
        <v>66</v>
      </c>
      <c r="J680" s="23" t="s">
        <v>563</v>
      </c>
      <c r="K680" s="54">
        <v>45432.0</v>
      </c>
      <c r="L680" s="62"/>
      <c r="M680" s="32" t="s">
        <v>1443</v>
      </c>
      <c r="N680" s="56">
        <v>0.01</v>
      </c>
      <c r="O680" s="23" t="s">
        <v>35</v>
      </c>
      <c r="P680" s="57">
        <v>0.1</v>
      </c>
      <c r="Q680" s="58" t="s">
        <v>7894</v>
      </c>
      <c r="R680" s="635"/>
      <c r="S680" s="32" t="s">
        <v>194</v>
      </c>
      <c r="T680" s="32" t="s">
        <v>2217</v>
      </c>
      <c r="U680" s="33">
        <v>5.562981375131E12</v>
      </c>
      <c r="V680" s="33" t="s">
        <v>7895</v>
      </c>
      <c r="W680" s="34">
        <v>19073.0</v>
      </c>
      <c r="X680" s="23" t="s">
        <v>54</v>
      </c>
      <c r="Y680" s="49" t="str">
        <f t="shared" si="22"/>
        <v>Ativo</v>
      </c>
      <c r="Z680" s="62"/>
      <c r="AA680" s="62"/>
      <c r="AB680" s="64" t="s">
        <v>269</v>
      </c>
      <c r="AC680" s="79"/>
      <c r="AD680" s="54">
        <v>45432.0</v>
      </c>
      <c r="AE680" s="77">
        <v>4.9075100014671E13</v>
      </c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65"/>
      <c r="AW680" s="65"/>
      <c r="AX680" s="65"/>
      <c r="AY680" s="65">
        <v>0.0</v>
      </c>
      <c r="AZ680" s="65">
        <v>85646.61</v>
      </c>
      <c r="BA680" s="65">
        <v>1712514.0</v>
      </c>
      <c r="BB680" s="65">
        <v>1701313.01</v>
      </c>
      <c r="BC680" s="65">
        <v>1671115.07</v>
      </c>
      <c r="BD680" s="65">
        <v>1685475.85</v>
      </c>
      <c r="BE680" s="65">
        <v>1695710.8</v>
      </c>
      <c r="BF680" s="65">
        <v>1818753.97</v>
      </c>
      <c r="BG680" s="65">
        <v>1835199.13</v>
      </c>
      <c r="BH680" s="65">
        <v>1855472.95</v>
      </c>
      <c r="BI680" s="65">
        <v>1874282.71</v>
      </c>
      <c r="BJ680" s="65">
        <v>1900021.89</v>
      </c>
      <c r="BK680" s="65">
        <v>1695880.59</v>
      </c>
      <c r="BL680" s="65">
        <v>1928470.89</v>
      </c>
      <c r="BM680" s="65">
        <v>1930403.0</v>
      </c>
      <c r="BN680" s="65">
        <v>1932620.0</v>
      </c>
      <c r="BO680" s="65">
        <v>1141251.63</v>
      </c>
      <c r="BP680" s="65">
        <v>1109710.0</v>
      </c>
      <c r="BQ680" s="65">
        <v>1103741.0</v>
      </c>
      <c r="BR680" s="65">
        <v>1094895.0</v>
      </c>
      <c r="BS680" s="65">
        <v>1244394.56</v>
      </c>
      <c r="BT680" s="88">
        <v>1095361.0</v>
      </c>
      <c r="BU680" s="65">
        <v>975976.1</v>
      </c>
      <c r="BV680" s="65">
        <v>981831.5</v>
      </c>
      <c r="BW680" s="90">
        <v>962100.2</v>
      </c>
      <c r="BX680" s="90">
        <v>903965.35</v>
      </c>
      <c r="BY680" s="90">
        <f t="array" ref="BY680">XLOOKUP(C680,'PL TOTAL D0'!$A$3:$A$1991,'PL TOTAL D0'!$C$3:$C$1991,"")</f>
        <v>911431.5</v>
      </c>
    </row>
    <row r="681" ht="15.75" customHeight="1">
      <c r="A681" s="43" t="s">
        <v>24</v>
      </c>
      <c r="B681" s="43" t="s">
        <v>2213</v>
      </c>
      <c r="C681" s="94" t="s">
        <v>3070</v>
      </c>
      <c r="D681" s="30" t="s">
        <v>120</v>
      </c>
      <c r="E681" s="22" t="s">
        <v>54</v>
      </c>
      <c r="F681" s="30" t="s">
        <v>379</v>
      </c>
      <c r="G681" s="47" t="str">
        <f t="shared" si="30"/>
        <v>Gabriel</v>
      </c>
      <c r="H681" s="49" t="s">
        <v>295</v>
      </c>
      <c r="I681" s="49" t="s">
        <v>447</v>
      </c>
      <c r="J681" s="23" t="s">
        <v>563</v>
      </c>
      <c r="K681" s="54">
        <v>45398.0</v>
      </c>
      <c r="L681" s="62"/>
      <c r="M681" s="32" t="s">
        <v>3669</v>
      </c>
      <c r="N681" s="56">
        <v>0.0</v>
      </c>
      <c r="O681" s="23" t="s">
        <v>66</v>
      </c>
      <c r="P681" s="57">
        <v>0.0</v>
      </c>
      <c r="Q681" s="58"/>
      <c r="R681" s="635"/>
      <c r="S681" s="32" t="s">
        <v>194</v>
      </c>
      <c r="T681" s="32" t="s">
        <v>2217</v>
      </c>
      <c r="U681" s="33">
        <v>5.562981375131E12</v>
      </c>
      <c r="V681" s="33" t="s">
        <v>7895</v>
      </c>
      <c r="W681" s="34">
        <v>19073.0</v>
      </c>
      <c r="X681" s="23" t="s">
        <v>54</v>
      </c>
      <c r="Y681" s="49" t="str">
        <f t="shared" si="22"/>
        <v>Ativo</v>
      </c>
      <c r="Z681" s="62"/>
      <c r="AA681" s="62"/>
      <c r="AB681" s="64" t="s">
        <v>269</v>
      </c>
      <c r="AC681" s="79"/>
      <c r="AD681" s="54">
        <v>45398.0</v>
      </c>
      <c r="AE681" s="77">
        <v>4.9075100014371E13</v>
      </c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65"/>
      <c r="AW681" s="65"/>
      <c r="AX681" s="65">
        <v>2486551.83</v>
      </c>
      <c r="AY681" s="65">
        <v>2503344.0</v>
      </c>
      <c r="AZ681" s="65">
        <v>776932.2</v>
      </c>
      <c r="BA681" s="65">
        <v>780924.8</v>
      </c>
      <c r="BB681" s="65">
        <v>782305.08</v>
      </c>
      <c r="BC681" s="65">
        <v>780595.45</v>
      </c>
      <c r="BD681" s="65">
        <v>788431.33</v>
      </c>
      <c r="BE681" s="65">
        <v>794712.38</v>
      </c>
      <c r="BF681" s="65">
        <v>673314.28</v>
      </c>
      <c r="BG681" s="65">
        <v>680449.31</v>
      </c>
      <c r="BH681" s="65">
        <v>687365.65</v>
      </c>
      <c r="BI681" s="65">
        <v>693136.72</v>
      </c>
      <c r="BJ681" s="65">
        <v>692488.84</v>
      </c>
      <c r="BK681" s="65">
        <v>698778.75</v>
      </c>
      <c r="BL681" s="65">
        <v>451690.11</v>
      </c>
      <c r="BM681" s="65">
        <v>455776.35</v>
      </c>
      <c r="BN681" s="65">
        <v>458877.4</v>
      </c>
      <c r="BO681" s="65">
        <v>462636.34</v>
      </c>
      <c r="BP681" s="65">
        <v>466480.5</v>
      </c>
      <c r="BQ681" s="65">
        <v>469441.6</v>
      </c>
      <c r="BR681" s="65">
        <v>471782.7</v>
      </c>
      <c r="BS681" s="65">
        <v>282913.72</v>
      </c>
      <c r="BT681" s="88">
        <v>284591.1</v>
      </c>
      <c r="BU681" s="65">
        <v>286749.7</v>
      </c>
      <c r="BV681" s="65">
        <v>288624.7</v>
      </c>
      <c r="BW681" s="90">
        <v>290810.2</v>
      </c>
      <c r="BX681" s="90">
        <v>292967.68</v>
      </c>
      <c r="BY681" s="90">
        <f t="array" ref="BY681">XLOOKUP(C681,'PL TOTAL D0'!$A$3:$A$1991,'PL TOTAL D0'!$C$3:$C$1991,"")</f>
        <v>296318.48</v>
      </c>
    </row>
    <row r="682" ht="15.75" customHeight="1">
      <c r="A682" s="43" t="s">
        <v>24</v>
      </c>
      <c r="B682" s="43" t="s">
        <v>7900</v>
      </c>
      <c r="C682" s="94" t="s">
        <v>3266</v>
      </c>
      <c r="D682" s="30" t="s">
        <v>120</v>
      </c>
      <c r="E682" s="22" t="s">
        <v>199</v>
      </c>
      <c r="F682" s="30" t="s">
        <v>431</v>
      </c>
      <c r="G682" s="47" t="str">
        <f t="shared" si="30"/>
        <v>David</v>
      </c>
      <c r="H682" s="49" t="s">
        <v>295</v>
      </c>
      <c r="I682" s="49" t="s">
        <v>447</v>
      </c>
      <c r="J682" s="23" t="s">
        <v>563</v>
      </c>
      <c r="K682" s="54">
        <v>45733.0</v>
      </c>
      <c r="L682" s="62"/>
      <c r="M682" s="32" t="s">
        <v>201</v>
      </c>
      <c r="N682" s="56">
        <v>0.0</v>
      </c>
      <c r="O682" s="23" t="s">
        <v>66</v>
      </c>
      <c r="P682" s="57">
        <v>0.0</v>
      </c>
      <c r="Q682" s="58"/>
      <c r="R682" s="635"/>
      <c r="S682" s="32" t="s">
        <v>194</v>
      </c>
      <c r="T682" s="32" t="s">
        <v>7901</v>
      </c>
      <c r="U682" s="33">
        <v>5.56199115509E12</v>
      </c>
      <c r="V682" s="33" t="s">
        <v>7902</v>
      </c>
      <c r="W682" s="34">
        <v>37026.0</v>
      </c>
      <c r="X682" s="23" t="s">
        <v>199</v>
      </c>
      <c r="Y682" s="49" t="str">
        <f t="shared" si="22"/>
        <v>Ativo</v>
      </c>
      <c r="Z682" s="62"/>
      <c r="AA682" s="32" t="s">
        <v>47</v>
      </c>
      <c r="AB682" s="64"/>
      <c r="AC682" s="79"/>
      <c r="AD682" s="54">
        <v>45744.0</v>
      </c>
      <c r="AE682" s="77">
        <v>4.9075100018421E13</v>
      </c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>
        <v>0.0</v>
      </c>
      <c r="BJ682" s="65">
        <v>105030.41</v>
      </c>
      <c r="BK682" s="65">
        <v>106378.19</v>
      </c>
      <c r="BL682" s="65">
        <v>107505.82</v>
      </c>
      <c r="BM682" s="65">
        <v>108896.44</v>
      </c>
      <c r="BN682" s="65">
        <v>110310.2</v>
      </c>
      <c r="BO682" s="65">
        <v>111713.68</v>
      </c>
      <c r="BP682" s="65">
        <v>112904.5</v>
      </c>
      <c r="BQ682" s="65">
        <v>114080.7</v>
      </c>
      <c r="BR682" s="65">
        <v>115442.7</v>
      </c>
      <c r="BS682" s="65">
        <v>116849.48</v>
      </c>
      <c r="BT682" s="88">
        <v>117408.9</v>
      </c>
      <c r="BU682" s="65">
        <v>118418.3</v>
      </c>
      <c r="BV682" s="65">
        <v>119441.9</v>
      </c>
      <c r="BW682" s="90">
        <v>121176.8</v>
      </c>
      <c r="BX682" s="90">
        <v>122668.8</v>
      </c>
      <c r="BY682" s="90">
        <f t="array" ref="BY682">XLOOKUP(C682,'PL TOTAL D0'!$A$3:$A$1991,'PL TOTAL D0'!$C$3:$C$1991,"")</f>
        <v>124373.38</v>
      </c>
    </row>
    <row r="683" ht="15.75" customHeight="1">
      <c r="A683" s="50" t="s">
        <v>24</v>
      </c>
      <c r="B683" s="50" t="s">
        <v>6156</v>
      </c>
      <c r="C683" s="94" t="s">
        <v>7906</v>
      </c>
      <c r="D683" s="30" t="s">
        <v>89</v>
      </c>
      <c r="E683" s="95" t="s">
        <v>91</v>
      </c>
      <c r="F683" s="81" t="s">
        <v>193</v>
      </c>
      <c r="G683" s="47" t="str">
        <f t="shared" si="30"/>
        <v>David</v>
      </c>
      <c r="H683" s="49" t="s">
        <v>183</v>
      </c>
      <c r="I683" s="74" t="s">
        <v>66</v>
      </c>
      <c r="J683" s="47" t="str">
        <f t="shared" ref="J683:J769" si="32">IF(Q683=0,"Não","Sim")</f>
        <v>Não</v>
      </c>
      <c r="K683" s="97">
        <v>45083.0</v>
      </c>
      <c r="L683" s="189"/>
      <c r="M683" s="62" t="s">
        <v>209</v>
      </c>
      <c r="N683" s="98">
        <v>0.015</v>
      </c>
      <c r="O683" s="47" t="s">
        <v>35</v>
      </c>
      <c r="P683" s="99">
        <v>0.1</v>
      </c>
      <c r="Q683" s="58"/>
      <c r="R683" s="635"/>
      <c r="S683" s="62" t="s">
        <v>194</v>
      </c>
      <c r="T683" s="32" t="s">
        <v>6159</v>
      </c>
      <c r="U683" s="33">
        <v>5.511998958335E12</v>
      </c>
      <c r="V683" s="33" t="s">
        <v>7910</v>
      </c>
      <c r="W683" s="34">
        <v>30024.0</v>
      </c>
      <c r="X683" s="23" t="s">
        <v>475</v>
      </c>
      <c r="Y683" s="49" t="str">
        <f t="shared" si="22"/>
        <v>Ativo</v>
      </c>
      <c r="Z683" s="62"/>
      <c r="AA683" s="62"/>
      <c r="AB683" s="64" t="s">
        <v>2099</v>
      </c>
      <c r="AC683" s="79"/>
      <c r="AD683" s="54">
        <v>45083.0</v>
      </c>
      <c r="AE683" s="77">
        <v>4.9075100006369E13</v>
      </c>
      <c r="AF683" s="79"/>
      <c r="AG683" s="79"/>
      <c r="AH683" s="79"/>
      <c r="AI683" s="79"/>
      <c r="AJ683" s="79"/>
      <c r="AK683" s="79"/>
      <c r="AL683" s="79"/>
      <c r="AM683" s="65">
        <v>0.0</v>
      </c>
      <c r="AN683" s="65">
        <v>10046.26</v>
      </c>
      <c r="AO683" s="65">
        <v>12149.58</v>
      </c>
      <c r="AP683" s="65">
        <v>12266.12</v>
      </c>
      <c r="AQ683" s="65">
        <v>17332.09</v>
      </c>
      <c r="AR683" s="65">
        <v>19446.68</v>
      </c>
      <c r="AS683" s="65">
        <v>24301.19</v>
      </c>
      <c r="AT683" s="65">
        <v>24714.34</v>
      </c>
      <c r="AU683" s="65">
        <v>28424.87</v>
      </c>
      <c r="AV683" s="65">
        <v>30695.79</v>
      </c>
      <c r="AW683" s="65">
        <v>35274.58</v>
      </c>
      <c r="AX683" s="65">
        <v>34989.0</v>
      </c>
      <c r="AY683" s="65">
        <v>34953.15</v>
      </c>
      <c r="AZ683" s="65">
        <v>35146.13</v>
      </c>
      <c r="BA683" s="65">
        <v>36288.58</v>
      </c>
      <c r="BB683" s="65">
        <v>37344.91</v>
      </c>
      <c r="BC683" s="65">
        <v>38080.26</v>
      </c>
      <c r="BD683" s="65">
        <v>38688.46</v>
      </c>
      <c r="BE683" s="65">
        <v>38626.59</v>
      </c>
      <c r="BF683" s="65">
        <v>39215.38</v>
      </c>
      <c r="BG683" s="65">
        <v>41116.47</v>
      </c>
      <c r="BH683" s="65">
        <v>42179.84</v>
      </c>
      <c r="BI683" s="65">
        <v>43143.97</v>
      </c>
      <c r="BJ683" s="65">
        <v>43143.71</v>
      </c>
      <c r="BK683" s="65">
        <v>43883.78</v>
      </c>
      <c r="BL683" s="65">
        <v>46462.11</v>
      </c>
      <c r="BM683" s="65">
        <v>46847.39</v>
      </c>
      <c r="BN683" s="65">
        <v>48733.83</v>
      </c>
      <c r="BO683" s="65">
        <v>50095.23</v>
      </c>
      <c r="BP683" s="65">
        <v>51041.35</v>
      </c>
      <c r="BQ683" s="65">
        <v>52596.04</v>
      </c>
      <c r="BR683" s="65">
        <v>53905.38</v>
      </c>
      <c r="BS683" s="65">
        <v>7579.61</v>
      </c>
      <c r="BT683" s="88">
        <v>7810.58</v>
      </c>
      <c r="BU683" s="65">
        <v>77.7</v>
      </c>
      <c r="BV683" s="65">
        <v>77.85</v>
      </c>
      <c r="BW683" s="90">
        <v>90.62</v>
      </c>
      <c r="BX683" s="90">
        <v>91.18</v>
      </c>
      <c r="BY683" s="90" t="str">
        <f t="array" ref="BY683">XLOOKUP(C683,'PL TOTAL D0'!$A$3:$A$1991,'PL TOTAL D0'!$C$3:$C$1991,"")</f>
        <v/>
      </c>
    </row>
    <row r="684" ht="15.75" customHeight="1">
      <c r="A684" s="43" t="s">
        <v>24</v>
      </c>
      <c r="B684" s="188" t="s">
        <v>6156</v>
      </c>
      <c r="C684" s="94" t="s">
        <v>3528</v>
      </c>
      <c r="D684" s="30" t="s">
        <v>89</v>
      </c>
      <c r="E684" s="95" t="s">
        <v>91</v>
      </c>
      <c r="F684" s="81" t="s">
        <v>193</v>
      </c>
      <c r="G684" s="47" t="str">
        <f t="shared" si="30"/>
        <v>David</v>
      </c>
      <c r="H684" s="49" t="s">
        <v>183</v>
      </c>
      <c r="I684" s="49" t="s">
        <v>66</v>
      </c>
      <c r="J684" s="47" t="str">
        <f t="shared" si="32"/>
        <v>Não</v>
      </c>
      <c r="K684" s="54">
        <v>45364.0</v>
      </c>
      <c r="L684" s="189"/>
      <c r="M684" s="32" t="s">
        <v>34</v>
      </c>
      <c r="N684" s="56">
        <v>0.012</v>
      </c>
      <c r="O684" s="23" t="s">
        <v>35</v>
      </c>
      <c r="P684" s="57">
        <v>0.1</v>
      </c>
      <c r="Q684" s="58"/>
      <c r="R684" s="635"/>
      <c r="S684" s="32" t="s">
        <v>194</v>
      </c>
      <c r="T684" s="32" t="s">
        <v>6159</v>
      </c>
      <c r="U684" s="33">
        <v>5.511998958335E12</v>
      </c>
      <c r="V684" s="33" t="s">
        <v>7910</v>
      </c>
      <c r="W684" s="34">
        <v>30024.0</v>
      </c>
      <c r="X684" s="23" t="s">
        <v>475</v>
      </c>
      <c r="Y684" s="49" t="str">
        <f t="shared" si="22"/>
        <v>Ativo</v>
      </c>
      <c r="Z684" s="62"/>
      <c r="AA684" s="32" t="s">
        <v>47</v>
      </c>
      <c r="AB684" s="64" t="s">
        <v>2099</v>
      </c>
      <c r="AC684" s="79"/>
      <c r="AD684" s="54">
        <v>45364.0</v>
      </c>
      <c r="AE684" s="77">
        <v>4.9075100013837E13</v>
      </c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65"/>
      <c r="AW684" s="65">
        <v>0.0</v>
      </c>
      <c r="AX684" s="65">
        <v>0.0</v>
      </c>
      <c r="AY684" s="65">
        <v>0.0</v>
      </c>
      <c r="AZ684" s="65">
        <v>0.0</v>
      </c>
      <c r="BA684" s="65">
        <v>0.0</v>
      </c>
      <c r="BB684" s="65">
        <v>0.0</v>
      </c>
      <c r="BC684" s="65">
        <v>0.0</v>
      </c>
      <c r="BD684" s="65">
        <v>0.0</v>
      </c>
      <c r="BE684" s="65">
        <v>324687.79</v>
      </c>
      <c r="BF684" s="65">
        <v>327144.24</v>
      </c>
      <c r="BG684" s="65">
        <v>330187.29</v>
      </c>
      <c r="BH684" s="65">
        <v>333518.95</v>
      </c>
      <c r="BI684" s="65">
        <v>337155.32</v>
      </c>
      <c r="BJ684" s="65">
        <v>340221.27</v>
      </c>
      <c r="BK684" s="65">
        <v>383737.73</v>
      </c>
      <c r="BL684" s="65">
        <v>386948.25</v>
      </c>
      <c r="BM684" s="65">
        <v>390713.37</v>
      </c>
      <c r="BN684" s="65">
        <v>393820.2</v>
      </c>
      <c r="BO684" s="65">
        <v>397220.68</v>
      </c>
      <c r="BP684" s="65">
        <v>401148.8</v>
      </c>
      <c r="BQ684" s="65">
        <v>404001.5</v>
      </c>
      <c r="BR684" s="65">
        <v>407782.8</v>
      </c>
      <c r="BS684" s="65">
        <v>25858.59</v>
      </c>
      <c r="BT684" s="88">
        <v>26175.1</v>
      </c>
      <c r="BU684" s="65">
        <v>26565.15</v>
      </c>
      <c r="BV684" s="65">
        <v>18727.48</v>
      </c>
      <c r="BW684" s="90">
        <v>18727.48</v>
      </c>
      <c r="BX684" s="90">
        <v>18727.48</v>
      </c>
      <c r="BY684" s="90">
        <f t="array" ref="BY684">XLOOKUP(C684,'PL TOTAL D0'!$A$3:$A$1991,'PL TOTAL D0'!$C$3:$C$1991,"")</f>
        <v>18727.48</v>
      </c>
    </row>
    <row r="685" ht="15.75" customHeight="1">
      <c r="A685" s="43" t="s">
        <v>24</v>
      </c>
      <c r="B685" s="200" t="s">
        <v>1209</v>
      </c>
      <c r="C685" s="94" t="s">
        <v>2919</v>
      </c>
      <c r="D685" s="30" t="s">
        <v>249</v>
      </c>
      <c r="E685" s="22" t="s">
        <v>199</v>
      </c>
      <c r="F685" s="30" t="s">
        <v>251</v>
      </c>
      <c r="G685" s="47" t="str">
        <f t="shared" si="30"/>
        <v>Gabriel</v>
      </c>
      <c r="H685" s="49" t="s">
        <v>183</v>
      </c>
      <c r="I685" s="49" t="s">
        <v>66</v>
      </c>
      <c r="J685" s="47" t="str">
        <f t="shared" si="32"/>
        <v>Não</v>
      </c>
      <c r="K685" s="54">
        <v>45772.0</v>
      </c>
      <c r="L685" s="189"/>
      <c r="M685" s="32" t="s">
        <v>61</v>
      </c>
      <c r="N685" s="56">
        <v>0.0085</v>
      </c>
      <c r="O685" s="23" t="s">
        <v>66</v>
      </c>
      <c r="P685" s="57">
        <v>0.0</v>
      </c>
      <c r="Q685" s="58"/>
      <c r="R685" s="58" t="s">
        <v>7916</v>
      </c>
      <c r="S685" s="32" t="s">
        <v>194</v>
      </c>
      <c r="T685" s="32" t="s">
        <v>1212</v>
      </c>
      <c r="U685" s="33">
        <v>6.19813033E10</v>
      </c>
      <c r="V685" s="33" t="s">
        <v>7917</v>
      </c>
      <c r="W685" s="34">
        <v>31873.0</v>
      </c>
      <c r="X685" s="23" t="s">
        <v>199</v>
      </c>
      <c r="Y685" s="49" t="str">
        <f t="shared" si="22"/>
        <v>Ativo</v>
      </c>
      <c r="Z685" s="62"/>
      <c r="AA685" s="32" t="s">
        <v>47</v>
      </c>
      <c r="AB685" s="64"/>
      <c r="AC685" s="79"/>
      <c r="AD685" s="54">
        <v>45772.0</v>
      </c>
      <c r="AE685" s="77">
        <v>4.9075100018561E13</v>
      </c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>
        <v>222580.09</v>
      </c>
      <c r="BK685" s="65">
        <v>353619.21</v>
      </c>
      <c r="BL685" s="65">
        <v>358233.37</v>
      </c>
      <c r="BM685" s="65">
        <v>399048.64</v>
      </c>
      <c r="BN685" s="65">
        <v>404834.2</v>
      </c>
      <c r="BO685" s="65">
        <v>410294.27</v>
      </c>
      <c r="BP685" s="65">
        <v>416505.1</v>
      </c>
      <c r="BQ685" s="65">
        <v>421815.2</v>
      </c>
      <c r="BR685" s="65">
        <v>427498.7</v>
      </c>
      <c r="BS685" s="65">
        <v>434261.91</v>
      </c>
      <c r="BT685" s="88">
        <v>439026.4</v>
      </c>
      <c r="BU685" s="65">
        <v>443199.0</v>
      </c>
      <c r="BV685" s="65">
        <v>449975.5</v>
      </c>
      <c r="BW685" s="90">
        <v>463098.3</v>
      </c>
      <c r="BX685" s="90">
        <v>468022.25</v>
      </c>
      <c r="BY685" s="90">
        <f t="array" ref="BY685">XLOOKUP(C685,'PL TOTAL D0'!$A$3:$A$1991,'PL TOTAL D0'!$C$3:$C$1991,"")</f>
        <v>474982.41</v>
      </c>
    </row>
    <row r="686" ht="15.75" customHeight="1">
      <c r="A686" s="43" t="s">
        <v>24</v>
      </c>
      <c r="B686" s="200" t="s">
        <v>1209</v>
      </c>
      <c r="C686" s="94" t="s">
        <v>3254</v>
      </c>
      <c r="D686" s="30" t="s">
        <v>249</v>
      </c>
      <c r="E686" s="22" t="s">
        <v>199</v>
      </c>
      <c r="F686" s="30" t="s">
        <v>251</v>
      </c>
      <c r="G686" s="47" t="str">
        <f t="shared" si="30"/>
        <v>David</v>
      </c>
      <c r="H686" s="49" t="s">
        <v>183</v>
      </c>
      <c r="I686" s="49" t="s">
        <v>66</v>
      </c>
      <c r="J686" s="47" t="str">
        <f t="shared" si="32"/>
        <v>Não</v>
      </c>
      <c r="K686" s="54">
        <v>45790.0</v>
      </c>
      <c r="L686" s="189"/>
      <c r="M686" s="32" t="s">
        <v>7931</v>
      </c>
      <c r="N686" s="56">
        <v>0.02</v>
      </c>
      <c r="O686" s="23" t="s">
        <v>7932</v>
      </c>
      <c r="P686" s="57">
        <v>0.2</v>
      </c>
      <c r="Q686" s="58"/>
      <c r="R686" s="635"/>
      <c r="S686" s="32" t="s">
        <v>194</v>
      </c>
      <c r="T686" s="32" t="s">
        <v>1212</v>
      </c>
      <c r="U686" s="33">
        <v>6.19813033E10</v>
      </c>
      <c r="V686" s="33" t="s">
        <v>7917</v>
      </c>
      <c r="W686" s="34">
        <v>31873.0</v>
      </c>
      <c r="X686" s="23" t="s">
        <v>199</v>
      </c>
      <c r="Y686" s="49" t="str">
        <f t="shared" si="22"/>
        <v>Ativo</v>
      </c>
      <c r="Z686" s="62"/>
      <c r="AA686" s="32" t="s">
        <v>47</v>
      </c>
      <c r="AB686" s="64"/>
      <c r="AC686" s="79"/>
      <c r="AD686" s="54">
        <v>45797.0</v>
      </c>
      <c r="AE686" s="77">
        <v>4.907510001882E13</v>
      </c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>
        <v>220397.61</v>
      </c>
      <c r="BL686" s="65">
        <v>220391.67</v>
      </c>
      <c r="BM686" s="65">
        <v>230781.98</v>
      </c>
      <c r="BN686" s="65">
        <v>227550.2</v>
      </c>
      <c r="BO686" s="65">
        <v>231591.1</v>
      </c>
      <c r="BP686" s="65">
        <v>240092.3</v>
      </c>
      <c r="BQ686" s="65">
        <v>236370.1</v>
      </c>
      <c r="BR686" s="65">
        <v>240895.0</v>
      </c>
      <c r="BS686" s="65">
        <v>227453.23</v>
      </c>
      <c r="BT686" s="88">
        <v>214492.5</v>
      </c>
      <c r="BU686" s="65">
        <v>212907.9</v>
      </c>
      <c r="BV686" s="65">
        <v>220023.9</v>
      </c>
      <c r="BW686" s="90">
        <v>229789.4</v>
      </c>
      <c r="BX686" s="90">
        <v>126074.73</v>
      </c>
      <c r="BY686" s="90">
        <f t="array" ref="BY686">XLOOKUP(C686,'PL TOTAL D0'!$A$3:$A$1991,'PL TOTAL D0'!$C$3:$C$1991,"")</f>
        <v>133680.66</v>
      </c>
    </row>
    <row r="687" ht="15.75" customHeight="1">
      <c r="A687" s="43" t="s">
        <v>24</v>
      </c>
      <c r="B687" s="200" t="s">
        <v>7937</v>
      </c>
      <c r="C687" s="53" t="s">
        <v>7939</v>
      </c>
      <c r="D687" s="30" t="s">
        <v>249</v>
      </c>
      <c r="E687" s="22" t="s">
        <v>199</v>
      </c>
      <c r="F687" s="30" t="s">
        <v>251</v>
      </c>
      <c r="G687" s="47" t="str">
        <f t="shared" si="30"/>
        <v>David</v>
      </c>
      <c r="H687" s="49" t="s">
        <v>295</v>
      </c>
      <c r="I687" s="49" t="s">
        <v>447</v>
      </c>
      <c r="J687" s="47" t="str">
        <f t="shared" si="32"/>
        <v>Não</v>
      </c>
      <c r="K687" s="54">
        <v>46160.0</v>
      </c>
      <c r="L687" s="189"/>
      <c r="M687" s="32" t="s">
        <v>201</v>
      </c>
      <c r="N687" s="56">
        <v>0.0</v>
      </c>
      <c r="O687" s="23" t="s">
        <v>66</v>
      </c>
      <c r="P687" s="57">
        <v>0.0</v>
      </c>
      <c r="Q687" s="58"/>
      <c r="R687" s="635"/>
      <c r="S687" s="32" t="s">
        <v>194</v>
      </c>
      <c r="T687" s="32" t="s">
        <v>1212</v>
      </c>
      <c r="U687" s="33">
        <v>6.19813033E10</v>
      </c>
      <c r="V687" s="33" t="s">
        <v>7917</v>
      </c>
      <c r="W687" s="34">
        <v>31873.0</v>
      </c>
      <c r="X687" s="23" t="s">
        <v>199</v>
      </c>
      <c r="Y687" s="49" t="str">
        <f t="shared" si="22"/>
        <v>Ativo</v>
      </c>
      <c r="Z687" s="62"/>
      <c r="AA687" s="32" t="s">
        <v>47</v>
      </c>
      <c r="AB687" s="64"/>
      <c r="AC687" s="79"/>
      <c r="AD687" s="54"/>
      <c r="AE687" s="77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  <c r="BQ687" s="65"/>
      <c r="BR687" s="65"/>
      <c r="BS687" s="65"/>
      <c r="BT687" s="88"/>
      <c r="BU687" s="65"/>
      <c r="BV687" s="65"/>
      <c r="BW687" s="90">
        <v>0.0</v>
      </c>
      <c r="BX687" s="90">
        <v>0.0</v>
      </c>
      <c r="BY687" s="90" t="str">
        <f t="array" ref="BY687">XLOOKUP(C687,'PL TOTAL D0'!$A$3:$A$1991,'PL TOTAL D0'!$C$3:$C$1991,"")</f>
        <v/>
      </c>
    </row>
    <row r="688" ht="15.75" customHeight="1">
      <c r="A688" s="43" t="s">
        <v>24</v>
      </c>
      <c r="B688" s="200" t="s">
        <v>2199</v>
      </c>
      <c r="C688" s="94" t="s">
        <v>3056</v>
      </c>
      <c r="D688" s="30" t="s">
        <v>89</v>
      </c>
      <c r="E688" s="22" t="s">
        <v>91</v>
      </c>
      <c r="F688" s="30" t="s">
        <v>521</v>
      </c>
      <c r="G688" s="47" t="str">
        <f t="shared" si="30"/>
        <v>Marcus</v>
      </c>
      <c r="H688" s="49" t="s">
        <v>183</v>
      </c>
      <c r="I688" s="49" t="s">
        <v>66</v>
      </c>
      <c r="J688" s="47" t="str">
        <f t="shared" si="32"/>
        <v>Não</v>
      </c>
      <c r="K688" s="54">
        <v>46057.0</v>
      </c>
      <c r="L688" s="189"/>
      <c r="M688" s="32" t="s">
        <v>209</v>
      </c>
      <c r="N688" s="56">
        <v>0.015</v>
      </c>
      <c r="O688" s="23" t="s">
        <v>35</v>
      </c>
      <c r="P688" s="57">
        <v>0.1</v>
      </c>
      <c r="Q688" s="58"/>
      <c r="R688" s="635"/>
      <c r="S688" s="32" t="s">
        <v>194</v>
      </c>
      <c r="T688" s="32" t="s">
        <v>2203</v>
      </c>
      <c r="U688" s="33" t="s">
        <v>2204</v>
      </c>
      <c r="V688" s="33" t="s">
        <v>2205</v>
      </c>
      <c r="W688" s="34" t="s">
        <v>7945</v>
      </c>
      <c r="X688" s="23" t="s">
        <v>221</v>
      </c>
      <c r="Y688" s="49" t="str">
        <f t="shared" si="22"/>
        <v>Ativo</v>
      </c>
      <c r="Z688" s="62"/>
      <c r="AA688" s="32" t="s">
        <v>165</v>
      </c>
      <c r="AB688" s="64"/>
      <c r="AC688" s="79"/>
      <c r="AD688" s="54">
        <v>46203.0</v>
      </c>
      <c r="AE688" s="77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65"/>
      <c r="BQ688" s="65"/>
      <c r="BR688" s="65"/>
      <c r="BS688" s="65" t="s">
        <v>1739</v>
      </c>
      <c r="BT688" s="88">
        <v>29308.23</v>
      </c>
      <c r="BU688" s="65">
        <v>264485.7</v>
      </c>
      <c r="BV688" s="65">
        <v>276892.4</v>
      </c>
      <c r="BW688" s="90">
        <v>284338.0</v>
      </c>
      <c r="BX688" s="90">
        <v>297880.69</v>
      </c>
      <c r="BY688" s="90">
        <f t="array" ref="BY688">XLOOKUP(C688,'PL TOTAL D0'!$A$3:$A$1991,'PL TOTAL D0'!$C$3:$C$1991,"")</f>
        <v>307999.47</v>
      </c>
    </row>
    <row r="689" ht="15.75" customHeight="1">
      <c r="A689" s="50" t="s">
        <v>24</v>
      </c>
      <c r="B689" s="50" t="s">
        <v>7949</v>
      </c>
      <c r="C689" s="94" t="s">
        <v>7950</v>
      </c>
      <c r="D689" s="81" t="s">
        <v>120</v>
      </c>
      <c r="E689" s="95" t="s">
        <v>54</v>
      </c>
      <c r="F689" s="81" t="s">
        <v>348</v>
      </c>
      <c r="G689" s="47" t="str">
        <f t="shared" si="30"/>
        <v>David</v>
      </c>
      <c r="H689" s="49" t="s">
        <v>295</v>
      </c>
      <c r="I689" s="49" t="s">
        <v>382</v>
      </c>
      <c r="J689" s="47" t="str">
        <f t="shared" si="32"/>
        <v>Não</v>
      </c>
      <c r="K689" s="97">
        <v>45014.0</v>
      </c>
      <c r="L689" s="62"/>
      <c r="M689" s="62" t="s">
        <v>231</v>
      </c>
      <c r="N689" s="98">
        <v>0.025</v>
      </c>
      <c r="O689" s="23" t="s">
        <v>233</v>
      </c>
      <c r="P689" s="99">
        <v>0.2</v>
      </c>
      <c r="Q689" s="58"/>
      <c r="R689" s="635"/>
      <c r="S689" s="62" t="s">
        <v>194</v>
      </c>
      <c r="T689" s="32" t="s">
        <v>5859</v>
      </c>
      <c r="U689" s="33">
        <v>5.562996516774E12</v>
      </c>
      <c r="V689" s="33" t="s">
        <v>7951</v>
      </c>
      <c r="W689" s="34">
        <v>27905.0</v>
      </c>
      <c r="X689" s="23" t="s">
        <v>54</v>
      </c>
      <c r="Y689" s="49" t="str">
        <f t="shared" si="22"/>
        <v>Ativo</v>
      </c>
      <c r="Z689" s="62"/>
      <c r="AA689" s="62"/>
      <c r="AB689" s="64" t="s">
        <v>269</v>
      </c>
      <c r="AC689" s="79"/>
      <c r="AD689" s="54">
        <v>45014.0</v>
      </c>
      <c r="AE689" s="77">
        <v>4.9075100004005E13</v>
      </c>
      <c r="AF689" s="79"/>
      <c r="AG689" s="79"/>
      <c r="AH689" s="79"/>
      <c r="AI689" s="79"/>
      <c r="AJ689" s="65">
        <v>0.0</v>
      </c>
      <c r="AK689" s="65">
        <v>1896.74</v>
      </c>
      <c r="AL689" s="65">
        <v>1906.54</v>
      </c>
      <c r="AM689" s="65">
        <v>1919.93</v>
      </c>
      <c r="AN689" s="65">
        <v>4719.37</v>
      </c>
      <c r="AO689" s="65">
        <v>4760.49</v>
      </c>
      <c r="AP689" s="65">
        <v>4803.86</v>
      </c>
      <c r="AQ689" s="65">
        <v>4633.19</v>
      </c>
      <c r="AR689" s="65">
        <v>4462.58</v>
      </c>
      <c r="AS689" s="65">
        <v>4746.91</v>
      </c>
      <c r="AT689" s="65">
        <v>29.77</v>
      </c>
      <c r="AU689" s="65">
        <v>29.77</v>
      </c>
      <c r="AV689" s="65">
        <v>30.02</v>
      </c>
      <c r="AW689" s="65">
        <v>30.02</v>
      </c>
      <c r="AX689" s="65">
        <v>30.02</v>
      </c>
      <c r="AY689" s="65">
        <v>30.02</v>
      </c>
      <c r="AZ689" s="65">
        <v>30.02</v>
      </c>
      <c r="BA689" s="65">
        <v>30.02</v>
      </c>
      <c r="BB689" s="65">
        <v>30.02</v>
      </c>
      <c r="BC689" s="65">
        <v>30.02</v>
      </c>
      <c r="BD689" s="65">
        <v>30.02</v>
      </c>
      <c r="BE689" s="65">
        <v>30.02</v>
      </c>
      <c r="BF689" s="65">
        <v>30.02</v>
      </c>
      <c r="BG689" s="65">
        <v>30.02</v>
      </c>
      <c r="BH689" s="65">
        <v>30.02</v>
      </c>
      <c r="BI689" s="65">
        <v>30.02</v>
      </c>
      <c r="BJ689" s="65">
        <v>0.0</v>
      </c>
      <c r="BK689" s="65">
        <v>0.0</v>
      </c>
      <c r="BL689" s="65">
        <v>0.0</v>
      </c>
      <c r="BM689" s="65">
        <v>0.0</v>
      </c>
      <c r="BN689" s="65">
        <v>0.0</v>
      </c>
      <c r="BO689" s="65">
        <v>0.0</v>
      </c>
      <c r="BP689" s="65">
        <v>0.0</v>
      </c>
      <c r="BQ689" s="65">
        <v>0.0</v>
      </c>
      <c r="BR689" s="65">
        <v>0.0</v>
      </c>
      <c r="BS689" s="65">
        <v>0.0</v>
      </c>
      <c r="BT689" s="88">
        <v>0.0</v>
      </c>
      <c r="BU689" s="65">
        <v>0.0</v>
      </c>
      <c r="BV689" s="65">
        <v>0.0</v>
      </c>
      <c r="BW689" s="90">
        <v>0.0</v>
      </c>
      <c r="BX689" s="90">
        <v>0.0</v>
      </c>
      <c r="BY689" s="90" t="str">
        <f t="array" ref="BY689">XLOOKUP(C689,'PL TOTAL D0'!$A$3:$A$1991,'PL TOTAL D0'!$C$3:$C$1991,"")</f>
        <v/>
      </c>
    </row>
    <row r="690" ht="15.75" customHeight="1">
      <c r="A690" s="50" t="s">
        <v>24</v>
      </c>
      <c r="B690" s="50" t="s">
        <v>7953</v>
      </c>
      <c r="C690" s="94" t="s">
        <v>7954</v>
      </c>
      <c r="D690" s="81" t="s">
        <v>89</v>
      </c>
      <c r="E690" s="95" t="s">
        <v>91</v>
      </c>
      <c r="F690" s="81" t="s">
        <v>521</v>
      </c>
      <c r="G690" s="47" t="str">
        <f t="shared" si="30"/>
        <v>David</v>
      </c>
      <c r="H690" s="49" t="s">
        <v>183</v>
      </c>
      <c r="I690" s="49" t="s">
        <v>66</v>
      </c>
      <c r="J690" s="47" t="str">
        <f t="shared" si="32"/>
        <v>Não</v>
      </c>
      <c r="K690" s="97">
        <v>46041.0</v>
      </c>
      <c r="L690" s="62"/>
      <c r="M690" s="62" t="s">
        <v>61</v>
      </c>
      <c r="N690" s="98">
        <v>0.012</v>
      </c>
      <c r="O690" s="23" t="s">
        <v>66</v>
      </c>
      <c r="P690" s="99">
        <v>0.0</v>
      </c>
      <c r="Q690" s="58"/>
      <c r="R690" s="635"/>
      <c r="S690" s="62" t="s">
        <v>194</v>
      </c>
      <c r="T690" s="32" t="s">
        <v>7956</v>
      </c>
      <c r="U690" s="33" t="s">
        <v>6310</v>
      </c>
      <c r="V690" s="33" t="s">
        <v>6312</v>
      </c>
      <c r="W690" s="34">
        <v>28241.0</v>
      </c>
      <c r="X690" s="23" t="s">
        <v>221</v>
      </c>
      <c r="Y690" s="49" t="str">
        <f t="shared" si="22"/>
        <v>Ativo</v>
      </c>
      <c r="Z690" s="62"/>
      <c r="AA690" s="62" t="s">
        <v>165</v>
      </c>
      <c r="AB690" s="64"/>
      <c r="AC690" s="79"/>
      <c r="AD690" s="54">
        <v>46203.0</v>
      </c>
      <c r="AE690" s="77"/>
      <c r="AF690" s="79"/>
      <c r="AG690" s="79"/>
      <c r="AH690" s="79"/>
      <c r="AI690" s="79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  <c r="BS690" s="65">
        <v>215614.65</v>
      </c>
      <c r="BT690" s="88">
        <v>216983.5</v>
      </c>
      <c r="BU690" s="65">
        <v>193886.9</v>
      </c>
      <c r="BV690" s="65">
        <v>94657.19</v>
      </c>
      <c r="BW690" s="90">
        <v>95572.76</v>
      </c>
      <c r="BX690" s="90">
        <v>511.56</v>
      </c>
      <c r="BY690" s="90" t="str">
        <f t="array" ref="BY690">XLOOKUP(C690,'PL TOTAL D0'!$A$3:$A$1991,'PL TOTAL D0'!$C$3:$C$1991,"")</f>
        <v/>
      </c>
    </row>
    <row r="691" ht="15.75" customHeight="1">
      <c r="A691" s="50" t="s">
        <v>24</v>
      </c>
      <c r="B691" s="43" t="s">
        <v>7960</v>
      </c>
      <c r="C691" s="94" t="s">
        <v>7961</v>
      </c>
      <c r="D691" s="30" t="s">
        <v>7962</v>
      </c>
      <c r="E691" s="22" t="s">
        <v>475</v>
      </c>
      <c r="F691" s="30" t="s">
        <v>7963</v>
      </c>
      <c r="G691" s="47" t="str">
        <f t="shared" si="30"/>
        <v>David</v>
      </c>
      <c r="H691" s="49" t="s">
        <v>224</v>
      </c>
      <c r="I691" s="49" t="s">
        <v>66</v>
      </c>
      <c r="J691" s="47" t="str">
        <f t="shared" si="32"/>
        <v>Não</v>
      </c>
      <c r="K691" s="54">
        <v>45910.0</v>
      </c>
      <c r="L691" s="55">
        <v>46105.0</v>
      </c>
      <c r="M691" s="32" t="s">
        <v>4551</v>
      </c>
      <c r="N691" s="56">
        <v>0.035</v>
      </c>
      <c r="O691" s="23" t="s">
        <v>66</v>
      </c>
      <c r="P691" s="57">
        <v>0.0</v>
      </c>
      <c r="Q691" s="58"/>
      <c r="R691" s="635"/>
      <c r="S691" s="32" t="s">
        <v>194</v>
      </c>
      <c r="T691" s="32" t="s">
        <v>7966</v>
      </c>
      <c r="U691" s="33" t="s">
        <v>7967</v>
      </c>
      <c r="V691" s="33" t="s">
        <v>7969</v>
      </c>
      <c r="W691" s="34">
        <v>27355.0</v>
      </c>
      <c r="X691" s="23" t="s">
        <v>475</v>
      </c>
      <c r="Y691" s="49" t="str">
        <f t="shared" si="22"/>
        <v>Encerrado</v>
      </c>
      <c r="Z691" s="62"/>
      <c r="AA691" s="32" t="s">
        <v>47</v>
      </c>
      <c r="AB691" s="64"/>
      <c r="AC691" s="79"/>
      <c r="AD691" s="54">
        <v>45910.0</v>
      </c>
      <c r="AE691" s="77"/>
      <c r="AF691" s="79"/>
      <c r="AG691" s="79"/>
      <c r="AH691" s="79"/>
      <c r="AI691" s="79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  <c r="BM691" s="65"/>
      <c r="BN691" s="65">
        <v>0.0</v>
      </c>
      <c r="BO691" s="65">
        <v>51979.53</v>
      </c>
      <c r="BP691" s="65">
        <v>48713.84</v>
      </c>
      <c r="BQ691" s="65">
        <v>39701.74</v>
      </c>
      <c r="BR691" s="65">
        <v>0.0</v>
      </c>
      <c r="BS691" s="65">
        <v>0.0</v>
      </c>
      <c r="BT691" s="88">
        <v>0.0</v>
      </c>
      <c r="BU691" s="65">
        <v>0.0</v>
      </c>
      <c r="BV691" s="65">
        <v>0.0</v>
      </c>
      <c r="BW691" s="90">
        <v>0.0</v>
      </c>
      <c r="BX691" s="90">
        <v>0.0</v>
      </c>
      <c r="BY691" s="90" t="str">
        <f t="array" ref="BY691">XLOOKUP(C691,'PL TOTAL D0'!$A$3:$A$1991,'PL TOTAL D0'!$C$3:$C$1991,"")</f>
        <v/>
      </c>
    </row>
    <row r="692" ht="15.75" customHeight="1">
      <c r="A692" s="50" t="s">
        <v>24</v>
      </c>
      <c r="B692" s="43" t="s">
        <v>7973</v>
      </c>
      <c r="C692" s="94" t="s">
        <v>7974</v>
      </c>
      <c r="D692" s="30" t="s">
        <v>120</v>
      </c>
      <c r="E692" s="22" t="s">
        <v>199</v>
      </c>
      <c r="F692" s="30" t="s">
        <v>388</v>
      </c>
      <c r="G692" s="47" t="str">
        <f t="shared" si="30"/>
        <v>David</v>
      </c>
      <c r="H692" s="49" t="s">
        <v>295</v>
      </c>
      <c r="I692" s="49" t="s">
        <v>756</v>
      </c>
      <c r="J692" s="47" t="str">
        <f t="shared" si="32"/>
        <v>Não</v>
      </c>
      <c r="K692" s="54">
        <v>46014.0</v>
      </c>
      <c r="L692" s="62"/>
      <c r="M692" s="32" t="s">
        <v>61</v>
      </c>
      <c r="N692" s="56">
        <v>0.012</v>
      </c>
      <c r="O692" s="23" t="s">
        <v>66</v>
      </c>
      <c r="P692" s="57">
        <v>0.0</v>
      </c>
      <c r="Q692" s="58"/>
      <c r="R692" s="635"/>
      <c r="S692" s="32" t="s">
        <v>194</v>
      </c>
      <c r="T692" s="32" t="s">
        <v>7976</v>
      </c>
      <c r="U692" s="33" t="s">
        <v>7977</v>
      </c>
      <c r="V692" s="33" t="s">
        <v>7978</v>
      </c>
      <c r="W692" s="34">
        <v>27666.0</v>
      </c>
      <c r="X692" s="23" t="s">
        <v>475</v>
      </c>
      <c r="Y692" s="49" t="str">
        <f t="shared" si="22"/>
        <v>Ativo</v>
      </c>
      <c r="Z692" s="62"/>
      <c r="AA692" s="32" t="s">
        <v>165</v>
      </c>
      <c r="AB692" s="64"/>
      <c r="AC692" s="79"/>
      <c r="AD692" s="54"/>
      <c r="AE692" s="77"/>
      <c r="AF692" s="79"/>
      <c r="AG692" s="79"/>
      <c r="AH692" s="79"/>
      <c r="AI692" s="79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  <c r="BM692" s="65"/>
      <c r="BN692" s="65"/>
      <c r="BO692" s="65"/>
      <c r="BP692" s="65"/>
      <c r="BQ692" s="65"/>
      <c r="BR692" s="65">
        <v>0.0</v>
      </c>
      <c r="BS692" s="65">
        <v>0.0</v>
      </c>
      <c r="BT692" s="88">
        <v>0.0</v>
      </c>
      <c r="BU692" s="65">
        <v>0.0</v>
      </c>
      <c r="BV692" s="65">
        <v>0.0</v>
      </c>
      <c r="BW692" s="90">
        <v>0.0</v>
      </c>
      <c r="BX692" s="90">
        <v>0.0</v>
      </c>
      <c r="BY692" s="90" t="str">
        <f t="array" ref="BY692">XLOOKUP(C692,'PL TOTAL D0'!$A$3:$A$1991,'PL TOTAL D0'!$C$3:$C$1991,"")</f>
        <v/>
      </c>
    </row>
    <row r="693" ht="15.75" customHeight="1">
      <c r="A693" s="43" t="s">
        <v>24</v>
      </c>
      <c r="B693" s="43" t="s">
        <v>7981</v>
      </c>
      <c r="C693" s="94" t="s">
        <v>3424</v>
      </c>
      <c r="D693" s="30" t="s">
        <v>120</v>
      </c>
      <c r="E693" s="22" t="s">
        <v>54</v>
      </c>
      <c r="F693" s="30" t="s">
        <v>125</v>
      </c>
      <c r="G693" s="47" t="str">
        <f t="shared" si="30"/>
        <v>David</v>
      </c>
      <c r="H693" s="49" t="s">
        <v>183</v>
      </c>
      <c r="I693" s="49" t="s">
        <v>66</v>
      </c>
      <c r="J693" s="47" t="str">
        <f t="shared" si="32"/>
        <v>Não</v>
      </c>
      <c r="K693" s="54">
        <v>45659.0</v>
      </c>
      <c r="L693" s="62"/>
      <c r="M693" s="32" t="s">
        <v>61</v>
      </c>
      <c r="N693" s="56">
        <v>0.012</v>
      </c>
      <c r="O693" s="23" t="s">
        <v>66</v>
      </c>
      <c r="P693" s="57">
        <v>0.0</v>
      </c>
      <c r="Q693" s="58"/>
      <c r="R693" s="635"/>
      <c r="S693" s="32" t="s">
        <v>194</v>
      </c>
      <c r="T693" s="32" t="s">
        <v>7982</v>
      </c>
      <c r="U693" s="33" t="s">
        <v>7983</v>
      </c>
      <c r="V693" s="33" t="s">
        <v>7984</v>
      </c>
      <c r="W693" s="34">
        <v>29147.0</v>
      </c>
      <c r="X693" s="23" t="s">
        <v>54</v>
      </c>
      <c r="Y693" s="49" t="str">
        <f t="shared" si="22"/>
        <v>Ativo</v>
      </c>
      <c r="Z693" s="32"/>
      <c r="AA693" s="32" t="s">
        <v>47</v>
      </c>
      <c r="AB693" s="64"/>
      <c r="AC693" s="79"/>
      <c r="AD693" s="54"/>
      <c r="AE693" s="77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  <c r="BP693" s="65"/>
      <c r="BQ693" s="65"/>
      <c r="BR693" s="65" t="s">
        <v>1739</v>
      </c>
      <c r="BS693" s="65">
        <v>54088.55</v>
      </c>
      <c r="BT693" s="88">
        <v>54557.08</v>
      </c>
      <c r="BU693" s="65">
        <v>55253.84</v>
      </c>
      <c r="BV693" s="65">
        <v>55837.02</v>
      </c>
      <c r="BW693" s="90">
        <v>56374.79</v>
      </c>
      <c r="BX693" s="90">
        <v>56699.93</v>
      </c>
      <c r="BY693" s="90">
        <f t="array" ref="BY693">XLOOKUP(C693,'PL TOTAL D0'!$A$3:$A$1991,'PL TOTAL D0'!$C$3:$C$1991,"")</f>
        <v>57378.13</v>
      </c>
    </row>
    <row r="694" ht="15.75" customHeight="1">
      <c r="A694" s="50" t="s">
        <v>24</v>
      </c>
      <c r="B694" s="43" t="s">
        <v>7986</v>
      </c>
      <c r="C694" s="94" t="s">
        <v>2992</v>
      </c>
      <c r="D694" s="30" t="s">
        <v>249</v>
      </c>
      <c r="E694" s="22" t="s">
        <v>199</v>
      </c>
      <c r="F694" s="30" t="s">
        <v>251</v>
      </c>
      <c r="G694" s="47" t="str">
        <f t="shared" si="30"/>
        <v>Gabriel</v>
      </c>
      <c r="H694" s="49" t="s">
        <v>183</v>
      </c>
      <c r="I694" s="49" t="s">
        <v>66</v>
      </c>
      <c r="J694" s="47" t="str">
        <f t="shared" si="32"/>
        <v>Sim</v>
      </c>
      <c r="K694" s="54">
        <v>45504.0</v>
      </c>
      <c r="L694" s="62"/>
      <c r="M694" s="32" t="s">
        <v>34</v>
      </c>
      <c r="N694" s="56">
        <v>0.012</v>
      </c>
      <c r="O694" s="23" t="s">
        <v>66</v>
      </c>
      <c r="P694" s="57">
        <v>0.0</v>
      </c>
      <c r="Q694" s="58" t="s">
        <v>7987</v>
      </c>
      <c r="R694" s="635"/>
      <c r="S694" s="32" t="s">
        <v>194</v>
      </c>
      <c r="T694" s="32" t="s">
        <v>7988</v>
      </c>
      <c r="U694" s="33">
        <v>6.1999345272E10</v>
      </c>
      <c r="V694" s="33" t="s">
        <v>7989</v>
      </c>
      <c r="W694" s="34">
        <v>27469.0</v>
      </c>
      <c r="X694" s="23" t="s">
        <v>199</v>
      </c>
      <c r="Y694" s="49" t="str">
        <f t="shared" si="22"/>
        <v>Ativo</v>
      </c>
      <c r="Z694" s="32"/>
      <c r="AA694" s="32" t="s">
        <v>107</v>
      </c>
      <c r="AB694" s="64" t="s">
        <v>269</v>
      </c>
      <c r="AC694" s="79"/>
      <c r="AD694" s="54">
        <v>45504.0</v>
      </c>
      <c r="AE694" s="77">
        <v>4.9075100015457E13</v>
      </c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65"/>
      <c r="AW694" s="65"/>
      <c r="AX694" s="65"/>
      <c r="AY694" s="65"/>
      <c r="AZ694" s="65"/>
      <c r="BA694" s="65">
        <v>109060.7</v>
      </c>
      <c r="BB694" s="65">
        <v>153694.52</v>
      </c>
      <c r="BC694" s="65">
        <v>206505.02</v>
      </c>
      <c r="BD694" s="65">
        <v>261102.1</v>
      </c>
      <c r="BE694" s="65">
        <v>263107.23</v>
      </c>
      <c r="BF694" s="65">
        <v>265018.2</v>
      </c>
      <c r="BG694" s="65">
        <v>273633.74</v>
      </c>
      <c r="BH694" s="65">
        <v>272071.74</v>
      </c>
      <c r="BI694" s="65">
        <v>284345.35</v>
      </c>
      <c r="BJ694" s="65">
        <v>313186.95</v>
      </c>
      <c r="BK694" s="65">
        <v>320482.66</v>
      </c>
      <c r="BL694" s="65">
        <v>314447.33</v>
      </c>
      <c r="BM694" s="65">
        <v>321443.57</v>
      </c>
      <c r="BN694" s="65">
        <v>304388.8</v>
      </c>
      <c r="BO694" s="65">
        <v>311634.55</v>
      </c>
      <c r="BP694" s="65">
        <v>324252.8</v>
      </c>
      <c r="BQ694" s="65">
        <v>335031.9</v>
      </c>
      <c r="BR694" s="65">
        <v>341557.1</v>
      </c>
      <c r="BS694" s="65">
        <v>348011.77</v>
      </c>
      <c r="BT694" s="88">
        <v>353760.6</v>
      </c>
      <c r="BU694" s="65">
        <v>359695.9</v>
      </c>
      <c r="BV694" s="65">
        <v>378774.4</v>
      </c>
      <c r="BW694" s="90">
        <v>380286.4</v>
      </c>
      <c r="BX694" s="90">
        <v>402005.9</v>
      </c>
      <c r="BY694" s="90">
        <f t="array" ref="BY694">XLOOKUP(C694,'PL TOTAL D0'!$A$3:$A$1991,'PL TOTAL D0'!$C$3:$C$1991,"")</f>
        <v>368909.8</v>
      </c>
    </row>
    <row r="695" ht="15.75" customHeight="1">
      <c r="A695" s="50" t="s">
        <v>24</v>
      </c>
      <c r="B695" s="50" t="s">
        <v>7993</v>
      </c>
      <c r="C695" s="94" t="s">
        <v>3427</v>
      </c>
      <c r="D695" s="81" t="s">
        <v>120</v>
      </c>
      <c r="E695" s="95" t="s">
        <v>54</v>
      </c>
      <c r="F695" s="81" t="s">
        <v>379</v>
      </c>
      <c r="G695" s="47" t="str">
        <f t="shared" si="30"/>
        <v>David</v>
      </c>
      <c r="H695" s="74" t="s">
        <v>183</v>
      </c>
      <c r="I695" s="74" t="s">
        <v>66</v>
      </c>
      <c r="J695" s="47" t="str">
        <f t="shared" si="32"/>
        <v>Não</v>
      </c>
      <c r="K695" s="97">
        <v>44974.0</v>
      </c>
      <c r="L695" s="62"/>
      <c r="M695" s="62" t="s">
        <v>61</v>
      </c>
      <c r="N695" s="98">
        <v>0.012</v>
      </c>
      <c r="O695" s="47" t="s">
        <v>66</v>
      </c>
      <c r="P695" s="99">
        <v>0.0</v>
      </c>
      <c r="Q695" s="58"/>
      <c r="R695" s="70"/>
      <c r="S695" s="62" t="s">
        <v>194</v>
      </c>
      <c r="T695" s="32" t="s">
        <v>7994</v>
      </c>
      <c r="U695" s="33">
        <v>5.5629826517E12</v>
      </c>
      <c r="V695" s="33" t="s">
        <v>7995</v>
      </c>
      <c r="W695" s="34">
        <v>22912.0</v>
      </c>
      <c r="X695" s="23" t="s">
        <v>54</v>
      </c>
      <c r="Y695" s="49" t="str">
        <f t="shared" si="22"/>
        <v>Ativo</v>
      </c>
      <c r="Z695" s="62"/>
      <c r="AA695" s="62"/>
      <c r="AB695" s="64" t="s">
        <v>244</v>
      </c>
      <c r="AC695" s="79"/>
      <c r="AD695" s="54">
        <v>44974.0</v>
      </c>
      <c r="AE695" s="77">
        <v>4.9075100006032E13</v>
      </c>
      <c r="AF695" s="79"/>
      <c r="AG695" s="79"/>
      <c r="AH695" s="79"/>
      <c r="AI695" s="65">
        <v>0.0</v>
      </c>
      <c r="AJ695" s="65">
        <v>100035.14</v>
      </c>
      <c r="AK695" s="65">
        <v>101119.41</v>
      </c>
      <c r="AL695" s="65">
        <v>101836.34</v>
      </c>
      <c r="AM695" s="65">
        <v>102906.88</v>
      </c>
      <c r="AN695" s="65">
        <v>103590.46</v>
      </c>
      <c r="AO695" s="65">
        <v>104499.45</v>
      </c>
      <c r="AP695" s="65">
        <v>105466.81</v>
      </c>
      <c r="AQ695" s="65">
        <v>106326.76</v>
      </c>
      <c r="AR695" s="65">
        <v>107291.03</v>
      </c>
      <c r="AS695" s="65">
        <v>108038.36</v>
      </c>
      <c r="AT695" s="65">
        <v>108875.23</v>
      </c>
      <c r="AU695" s="65">
        <v>130026.38</v>
      </c>
      <c r="AV695" s="65">
        <v>131005.55</v>
      </c>
      <c r="AW695" s="65">
        <v>131805.24</v>
      </c>
      <c r="AX695" s="65">
        <v>132837.94</v>
      </c>
      <c r="AY695" s="65">
        <v>133852.0</v>
      </c>
      <c r="AZ695" s="65">
        <v>134865.4</v>
      </c>
      <c r="BA695" s="65">
        <v>134851.7</v>
      </c>
      <c r="BB695" s="65">
        <v>135407.8</v>
      </c>
      <c r="BC695" s="65">
        <v>136415.96</v>
      </c>
      <c r="BD695" s="65">
        <v>107215.67</v>
      </c>
      <c r="BE695" s="65">
        <v>107913.9</v>
      </c>
      <c r="BF695" s="65">
        <v>108946.36</v>
      </c>
      <c r="BG695" s="65">
        <v>96814.97</v>
      </c>
      <c r="BH695" s="65">
        <v>81138.01</v>
      </c>
      <c r="BI695" s="65">
        <v>81774.44</v>
      </c>
      <c r="BJ695" s="65">
        <v>67802.23</v>
      </c>
      <c r="BK695" s="65">
        <v>68455.06</v>
      </c>
      <c r="BL695" s="65">
        <v>69074.26</v>
      </c>
      <c r="BM695" s="65">
        <v>38454.36</v>
      </c>
      <c r="BN695" s="65">
        <v>38795.26</v>
      </c>
      <c r="BO695" s="65">
        <v>39173.09</v>
      </c>
      <c r="BP695" s="65">
        <v>27431.04</v>
      </c>
      <c r="BQ695" s="65">
        <v>20337.09</v>
      </c>
      <c r="BR695" s="65">
        <v>20572.44</v>
      </c>
      <c r="BS695" s="65">
        <v>20806.65</v>
      </c>
      <c r="BT695" s="88">
        <v>54041.97</v>
      </c>
      <c r="BU695" s="65">
        <v>54732.42</v>
      </c>
      <c r="BV695" s="65">
        <v>55251.86</v>
      </c>
      <c r="BW695" s="90">
        <v>55778.26</v>
      </c>
      <c r="BX695" s="90">
        <v>56383.01</v>
      </c>
      <c r="BY695" s="90">
        <f t="array" ref="BY695">XLOOKUP(C695,'PL TOTAL D0'!$A$3:$A$1991,'PL TOTAL D0'!$C$3:$C$1991,"")</f>
        <v>57055.28</v>
      </c>
    </row>
    <row r="696" ht="15.75" customHeight="1">
      <c r="A696" s="50" t="s">
        <v>24</v>
      </c>
      <c r="B696" s="43" t="s">
        <v>7996</v>
      </c>
      <c r="C696" s="94" t="s">
        <v>7997</v>
      </c>
      <c r="D696" s="81" t="s">
        <v>120</v>
      </c>
      <c r="E696" s="95" t="s">
        <v>54</v>
      </c>
      <c r="F696" s="81" t="s">
        <v>379</v>
      </c>
      <c r="G696" s="47" t="str">
        <f t="shared" si="30"/>
        <v>David</v>
      </c>
      <c r="H696" s="49" t="s">
        <v>224</v>
      </c>
      <c r="I696" s="49" t="s">
        <v>66</v>
      </c>
      <c r="J696" s="47" t="str">
        <f t="shared" si="32"/>
        <v>Sim</v>
      </c>
      <c r="K696" s="54">
        <v>45560.0</v>
      </c>
      <c r="L696" s="121">
        <v>46014.0</v>
      </c>
      <c r="M696" s="32" t="s">
        <v>61</v>
      </c>
      <c r="N696" s="56">
        <v>0.012</v>
      </c>
      <c r="O696" s="23" t="s">
        <v>66</v>
      </c>
      <c r="P696" s="57">
        <v>0.0</v>
      </c>
      <c r="Q696" s="58" t="s">
        <v>7998</v>
      </c>
      <c r="R696" s="70"/>
      <c r="S696" s="32" t="s">
        <v>194</v>
      </c>
      <c r="T696" s="32" t="s">
        <v>8000</v>
      </c>
      <c r="U696" s="33">
        <v>6.2996951751E10</v>
      </c>
      <c r="V696" s="33" t="s">
        <v>8001</v>
      </c>
      <c r="W696" s="34">
        <v>23277.0</v>
      </c>
      <c r="X696" s="23" t="s">
        <v>1387</v>
      </c>
      <c r="Y696" s="49" t="str">
        <f t="shared" si="22"/>
        <v>Encerrado</v>
      </c>
      <c r="Z696" s="62"/>
      <c r="AA696" s="32" t="s">
        <v>47</v>
      </c>
      <c r="AB696" s="64"/>
      <c r="AC696" s="79"/>
      <c r="AD696" s="54">
        <v>45560.0</v>
      </c>
      <c r="AE696" s="77">
        <v>4.9075100015813E13</v>
      </c>
      <c r="AF696" s="79"/>
      <c r="AG696" s="79"/>
      <c r="AH696" s="79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>
        <v>50.0</v>
      </c>
      <c r="BD696" s="65">
        <v>350784.81</v>
      </c>
      <c r="BE696" s="65">
        <v>362529.22</v>
      </c>
      <c r="BF696" s="65">
        <v>365477.55</v>
      </c>
      <c r="BG696" s="65">
        <v>368586.97</v>
      </c>
      <c r="BH696" s="65">
        <v>371625.45</v>
      </c>
      <c r="BI696" s="65">
        <v>375272.6</v>
      </c>
      <c r="BJ696" s="65">
        <v>379407.33</v>
      </c>
      <c r="BK696" s="65">
        <v>383068.89</v>
      </c>
      <c r="BL696" s="65">
        <v>386687.62</v>
      </c>
      <c r="BM696" s="65">
        <v>390651.94</v>
      </c>
      <c r="BN696" s="65">
        <v>394488.9</v>
      </c>
      <c r="BO696" s="65">
        <v>397657.48</v>
      </c>
      <c r="BP696" s="65">
        <v>400723.0</v>
      </c>
      <c r="BQ696" s="65">
        <v>0.0</v>
      </c>
      <c r="BR696" s="65">
        <v>0.0</v>
      </c>
      <c r="BS696" s="65">
        <v>0.0</v>
      </c>
      <c r="BT696" s="88">
        <v>0.0</v>
      </c>
      <c r="BU696" s="65">
        <v>0.0</v>
      </c>
      <c r="BV696" s="65">
        <v>0.0</v>
      </c>
      <c r="BW696" s="90">
        <v>0.0</v>
      </c>
      <c r="BX696" s="90">
        <v>0.0</v>
      </c>
      <c r="BY696" s="90" t="str">
        <f t="array" ref="BY696">XLOOKUP(C696,'PL TOTAL D0'!$A$3:$A$1991,'PL TOTAL D0'!$C$3:$C$1991,"")</f>
        <v/>
      </c>
    </row>
    <row r="697" ht="15.75" customHeight="1">
      <c r="A697" s="43" t="s">
        <v>24</v>
      </c>
      <c r="B697" s="43" t="s">
        <v>8004</v>
      </c>
      <c r="C697" s="94" t="s">
        <v>8005</v>
      </c>
      <c r="D697" s="30" t="s">
        <v>120</v>
      </c>
      <c r="E697" s="22" t="s">
        <v>199</v>
      </c>
      <c r="F697" s="30" t="s">
        <v>1312</v>
      </c>
      <c r="G697" s="47" t="str">
        <f t="shared" si="30"/>
        <v>David</v>
      </c>
      <c r="H697" s="49" t="s">
        <v>224</v>
      </c>
      <c r="I697" s="49" t="s">
        <v>66</v>
      </c>
      <c r="J697" s="47" t="str">
        <f t="shared" si="32"/>
        <v>Não</v>
      </c>
      <c r="K697" s="54">
        <v>45348.0</v>
      </c>
      <c r="L697" s="55">
        <v>45764.0</v>
      </c>
      <c r="M697" s="32" t="s">
        <v>209</v>
      </c>
      <c r="N697" s="56">
        <v>0.016</v>
      </c>
      <c r="O697" s="23" t="s">
        <v>35</v>
      </c>
      <c r="P697" s="57">
        <v>0.2</v>
      </c>
      <c r="Q697" s="58"/>
      <c r="R697" s="70"/>
      <c r="S697" s="32" t="s">
        <v>194</v>
      </c>
      <c r="T697" s="32" t="s">
        <v>8006</v>
      </c>
      <c r="U697" s="33" t="s">
        <v>268</v>
      </c>
      <c r="V697" s="33"/>
      <c r="W697" s="33" t="s">
        <v>268</v>
      </c>
      <c r="X697" s="23" t="s">
        <v>475</v>
      </c>
      <c r="Y697" s="49" t="str">
        <f t="shared" si="22"/>
        <v>Encerrado</v>
      </c>
      <c r="Z697" s="62"/>
      <c r="AA697" s="62"/>
      <c r="AB697" s="64" t="s">
        <v>269</v>
      </c>
      <c r="AC697" s="79"/>
      <c r="AD697" s="54">
        <v>45348.0</v>
      </c>
      <c r="AE697" s="77">
        <v>4.9075100013373E13</v>
      </c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65">
        <v>325808.13</v>
      </c>
      <c r="AW697" s="65">
        <v>327583.28</v>
      </c>
      <c r="AX697" s="65">
        <v>323740.89</v>
      </c>
      <c r="AY697" s="65">
        <v>324453.2</v>
      </c>
      <c r="AZ697" s="65">
        <v>313108.7</v>
      </c>
      <c r="BA697" s="65">
        <v>318480.7</v>
      </c>
      <c r="BB697" s="65">
        <v>0.0</v>
      </c>
      <c r="BC697" s="65">
        <v>0.0</v>
      </c>
      <c r="BD697" s="65">
        <v>0.0</v>
      </c>
      <c r="BE697" s="65">
        <v>0.0</v>
      </c>
      <c r="BF697" s="65">
        <v>0.0</v>
      </c>
      <c r="BG697" s="65">
        <v>0.0</v>
      </c>
      <c r="BH697" s="65">
        <v>0.0</v>
      </c>
      <c r="BI697" s="65">
        <v>0.0</v>
      </c>
      <c r="BJ697" s="65">
        <v>0.0</v>
      </c>
      <c r="BK697" s="65">
        <v>0.0</v>
      </c>
      <c r="BL697" s="65">
        <v>0.0</v>
      </c>
      <c r="BM697" s="65">
        <v>0.0</v>
      </c>
      <c r="BN697" s="65">
        <v>0.0</v>
      </c>
      <c r="BO697" s="65">
        <v>0.0</v>
      </c>
      <c r="BP697" s="65">
        <v>0.0</v>
      </c>
      <c r="BQ697" s="65">
        <v>0.0</v>
      </c>
      <c r="BR697" s="65">
        <v>0.0</v>
      </c>
      <c r="BS697" s="65">
        <v>0.0</v>
      </c>
      <c r="BT697" s="88">
        <v>0.0</v>
      </c>
      <c r="BU697" s="65">
        <v>0.0</v>
      </c>
      <c r="BV697" s="65">
        <v>0.0</v>
      </c>
      <c r="BW697" s="90">
        <v>0.0</v>
      </c>
      <c r="BX697" s="90">
        <v>0.0</v>
      </c>
      <c r="BY697" s="90" t="str">
        <f t="array" ref="BY697">XLOOKUP(C697,'PL TOTAL D0'!$A$3:$A$1991,'PL TOTAL D0'!$C$3:$C$1991,"")</f>
        <v/>
      </c>
    </row>
    <row r="698" ht="15.75" customHeight="1">
      <c r="A698" s="43" t="s">
        <v>24</v>
      </c>
      <c r="B698" s="43" t="s">
        <v>8008</v>
      </c>
      <c r="C698" s="53" t="s">
        <v>2572</v>
      </c>
      <c r="D698" s="30" t="s">
        <v>53</v>
      </c>
      <c r="E698" s="22" t="s">
        <v>54</v>
      </c>
      <c r="F698" s="30" t="s">
        <v>55</v>
      </c>
      <c r="G698" s="47" t="str">
        <f t="shared" si="30"/>
        <v>David</v>
      </c>
      <c r="H698" s="49" t="s">
        <v>183</v>
      </c>
      <c r="I698" s="49" t="s">
        <v>66</v>
      </c>
      <c r="J698" s="47" t="str">
        <f t="shared" si="32"/>
        <v>Não</v>
      </c>
      <c r="K698" s="54">
        <v>46167.0</v>
      </c>
      <c r="L698" s="32"/>
      <c r="M698" s="32" t="s">
        <v>209</v>
      </c>
      <c r="N698" s="56">
        <v>0.015</v>
      </c>
      <c r="O698" s="23" t="s">
        <v>66</v>
      </c>
      <c r="P698" s="57">
        <v>0.0</v>
      </c>
      <c r="Q698" s="58"/>
      <c r="R698" s="70"/>
      <c r="S698" s="32" t="s">
        <v>194</v>
      </c>
      <c r="T698" s="32" t="s">
        <v>8009</v>
      </c>
      <c r="U698" s="33" t="s">
        <v>8010</v>
      </c>
      <c r="V698" s="33" t="s">
        <v>8011</v>
      </c>
      <c r="W698" s="48">
        <v>18196.0</v>
      </c>
      <c r="X698" s="23" t="s">
        <v>77</v>
      </c>
      <c r="Y698" s="49" t="str">
        <f t="shared" si="22"/>
        <v>Ativo</v>
      </c>
      <c r="Z698" s="62"/>
      <c r="AA698" s="32" t="s">
        <v>165</v>
      </c>
      <c r="AB698" s="64"/>
      <c r="AC698" s="79"/>
      <c r="AD698" s="54">
        <v>46203.0</v>
      </c>
      <c r="AE698" s="77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  <c r="BP698" s="65"/>
      <c r="BQ698" s="65"/>
      <c r="BR698" s="65"/>
      <c r="BS698" s="65"/>
      <c r="BT698" s="88"/>
      <c r="BU698" s="65"/>
      <c r="BV698" s="65"/>
      <c r="BW698" s="90">
        <v>5349357.0</v>
      </c>
      <c r="BX698" s="90">
        <v>4077355.865</v>
      </c>
      <c r="BY698" s="90">
        <f t="array" ref="BY698">XLOOKUP(C698,'PL TOTAL D0'!$A$3:$A$1991,'PL TOTAL D0'!$C$3:$C$1991,"")</f>
        <v>2166245.07</v>
      </c>
    </row>
    <row r="699" ht="15.75" customHeight="1">
      <c r="A699" s="43" t="s">
        <v>24</v>
      </c>
      <c r="B699" s="43" t="s">
        <v>8008</v>
      </c>
      <c r="C699" s="53" t="s">
        <v>2675</v>
      </c>
      <c r="D699" s="30" t="s">
        <v>53</v>
      </c>
      <c r="E699" s="22" t="s">
        <v>54</v>
      </c>
      <c r="F699" s="30" t="s">
        <v>55</v>
      </c>
      <c r="G699" s="47" t="str">
        <f t="shared" si="30"/>
        <v>David</v>
      </c>
      <c r="H699" s="49" t="s">
        <v>295</v>
      </c>
      <c r="I699" s="49" t="s">
        <v>447</v>
      </c>
      <c r="J699" s="47" t="str">
        <f t="shared" si="32"/>
        <v>Não</v>
      </c>
      <c r="K699" s="54">
        <v>46204.0</v>
      </c>
      <c r="L699" s="32"/>
      <c r="M699" s="32" t="s">
        <v>201</v>
      </c>
      <c r="N699" s="56">
        <v>0.0</v>
      </c>
      <c r="O699" s="23" t="s">
        <v>66</v>
      </c>
      <c r="P699" s="57">
        <v>0.0</v>
      </c>
      <c r="Q699" s="58"/>
      <c r="R699" s="70"/>
      <c r="S699" s="32" t="s">
        <v>194</v>
      </c>
      <c r="T699" s="32" t="s">
        <v>8009</v>
      </c>
      <c r="U699" s="33" t="s">
        <v>8010</v>
      </c>
      <c r="V699" s="33" t="s">
        <v>8011</v>
      </c>
      <c r="W699" s="48">
        <v>18196.0</v>
      </c>
      <c r="X699" s="23" t="s">
        <v>77</v>
      </c>
      <c r="Y699" s="49" t="str">
        <f t="shared" si="22"/>
        <v>Ativo</v>
      </c>
      <c r="Z699" s="62"/>
      <c r="AA699" s="32" t="s">
        <v>165</v>
      </c>
      <c r="AB699" s="64"/>
      <c r="AC699" s="79"/>
      <c r="AD699" s="54"/>
      <c r="AE699" s="77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  <c r="BP699" s="65"/>
      <c r="BQ699" s="65"/>
      <c r="BR699" s="65"/>
      <c r="BS699" s="65"/>
      <c r="BT699" s="88"/>
      <c r="BU699" s="65"/>
      <c r="BV699" s="65"/>
      <c r="BW699" s="90"/>
      <c r="BX699" s="90">
        <v>0.0</v>
      </c>
      <c r="BY699" s="90">
        <f t="array" ref="BY699">XLOOKUP(C699,'PL TOTAL D0'!$A$3:$A$1991,'PL TOTAL D0'!$C$3:$C$1991,"")</f>
        <v>1208742.24</v>
      </c>
    </row>
    <row r="700" ht="15.75" customHeight="1">
      <c r="A700" s="43" t="s">
        <v>24</v>
      </c>
      <c r="B700" s="43" t="s">
        <v>8014</v>
      </c>
      <c r="C700" s="53" t="s">
        <v>3490</v>
      </c>
      <c r="D700" s="30" t="s">
        <v>89</v>
      </c>
      <c r="E700" s="22" t="s">
        <v>91</v>
      </c>
      <c r="F700" s="30" t="s">
        <v>521</v>
      </c>
      <c r="G700" s="47" t="str">
        <f t="shared" si="30"/>
        <v>David</v>
      </c>
      <c r="H700" s="49" t="s">
        <v>183</v>
      </c>
      <c r="I700" s="49" t="s">
        <v>66</v>
      </c>
      <c r="J700" s="47" t="str">
        <f t="shared" si="32"/>
        <v>Não</v>
      </c>
      <c r="K700" s="54">
        <v>46163.0</v>
      </c>
      <c r="L700" s="55"/>
      <c r="M700" s="32" t="s">
        <v>209</v>
      </c>
      <c r="N700" s="56">
        <v>0.015</v>
      </c>
      <c r="O700" s="23" t="s">
        <v>35</v>
      </c>
      <c r="P700" s="57">
        <v>0.1</v>
      </c>
      <c r="Q700" s="58"/>
      <c r="R700" s="70"/>
      <c r="S700" s="32" t="s">
        <v>194</v>
      </c>
      <c r="T700" s="32" t="s">
        <v>8015</v>
      </c>
      <c r="U700" s="33" t="s">
        <v>2736</v>
      </c>
      <c r="V700" s="33" t="s">
        <v>2738</v>
      </c>
      <c r="W700" s="48">
        <v>40729.0</v>
      </c>
      <c r="X700" s="23" t="s">
        <v>221</v>
      </c>
      <c r="Y700" s="49" t="str">
        <f t="shared" si="22"/>
        <v>Ativo</v>
      </c>
      <c r="Z700" s="62"/>
      <c r="AA700" s="32" t="s">
        <v>165</v>
      </c>
      <c r="AB700" s="64"/>
      <c r="AC700" s="79"/>
      <c r="AD700" s="54">
        <v>46203.0</v>
      </c>
      <c r="AE700" s="77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  <c r="BJ700" s="65"/>
      <c r="BK700" s="65"/>
      <c r="BL700" s="65"/>
      <c r="BM700" s="65"/>
      <c r="BN700" s="65"/>
      <c r="BO700" s="65"/>
      <c r="BP700" s="65"/>
      <c r="BQ700" s="65"/>
      <c r="BR700" s="65"/>
      <c r="BS700" s="65"/>
      <c r="BT700" s="88"/>
      <c r="BU700" s="65"/>
      <c r="BV700" s="65"/>
      <c r="BW700" s="90">
        <v>33080.33</v>
      </c>
      <c r="BX700" s="90">
        <v>33383.85</v>
      </c>
      <c r="BY700" s="90">
        <f t="array" ref="BY700">XLOOKUP(C700,'PL TOTAL D0'!$A$3:$A$1991,'PL TOTAL D0'!$C$3:$C$1991,"")</f>
        <v>33604.92</v>
      </c>
    </row>
    <row r="701" ht="15.75" customHeight="1">
      <c r="A701" s="43" t="s">
        <v>24</v>
      </c>
      <c r="B701" s="43" t="s">
        <v>1216</v>
      </c>
      <c r="C701" s="94" t="s">
        <v>8020</v>
      </c>
      <c r="D701" s="30" t="s">
        <v>53</v>
      </c>
      <c r="E701" s="22" t="s">
        <v>54</v>
      </c>
      <c r="F701" s="30" t="s">
        <v>507</v>
      </c>
      <c r="G701" s="47" t="str">
        <f t="shared" si="30"/>
        <v>David</v>
      </c>
      <c r="H701" s="49" t="s">
        <v>183</v>
      </c>
      <c r="I701" s="49" t="s">
        <v>382</v>
      </c>
      <c r="J701" s="47" t="str">
        <f t="shared" si="32"/>
        <v>Não</v>
      </c>
      <c r="K701" s="54">
        <v>45917.0</v>
      </c>
      <c r="L701" s="55"/>
      <c r="M701" s="32" t="s">
        <v>61</v>
      </c>
      <c r="N701" s="56">
        <v>0.012</v>
      </c>
      <c r="O701" s="23" t="s">
        <v>66</v>
      </c>
      <c r="P701" s="57">
        <v>0.0</v>
      </c>
      <c r="Q701" s="58"/>
      <c r="R701" s="70"/>
      <c r="S701" s="32" t="s">
        <v>194</v>
      </c>
      <c r="T701" s="32" t="s">
        <v>1223</v>
      </c>
      <c r="U701" s="33" t="s">
        <v>1224</v>
      </c>
      <c r="V701" s="33" t="s">
        <v>8021</v>
      </c>
      <c r="W701" s="48">
        <v>34476.0</v>
      </c>
      <c r="X701" s="23" t="s">
        <v>54</v>
      </c>
      <c r="Y701" s="49" t="str">
        <f t="shared" si="22"/>
        <v>Ativo</v>
      </c>
      <c r="Z701" s="62"/>
      <c r="AA701" s="32" t="s">
        <v>47</v>
      </c>
      <c r="AB701" s="64"/>
      <c r="AC701" s="79"/>
      <c r="AD701" s="54"/>
      <c r="AE701" s="77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  <c r="BM701" s="65"/>
      <c r="BN701" s="65">
        <v>0.0</v>
      </c>
      <c r="BO701" s="65">
        <v>0.0</v>
      </c>
      <c r="BP701" s="65">
        <v>0.0</v>
      </c>
      <c r="BQ701" s="65">
        <v>0.0</v>
      </c>
      <c r="BR701" s="65">
        <v>0.0</v>
      </c>
      <c r="BS701" s="65">
        <v>0.0</v>
      </c>
      <c r="BT701" s="88">
        <v>0.0</v>
      </c>
      <c r="BU701" s="65">
        <v>0.0</v>
      </c>
      <c r="BV701" s="65">
        <v>0.0</v>
      </c>
      <c r="BW701" s="90">
        <v>0.0</v>
      </c>
      <c r="BX701" s="90">
        <v>0.0</v>
      </c>
      <c r="BY701" s="90" t="str">
        <f t="array" ref="BY701">XLOOKUP(C701,'PL TOTAL D0'!$A$3:$A$1991,'PL TOTAL D0'!$C$3:$C$1991,"")</f>
        <v/>
      </c>
    </row>
    <row r="702" ht="15.75" customHeight="1">
      <c r="A702" s="50" t="s">
        <v>24</v>
      </c>
      <c r="B702" s="50" t="s">
        <v>8022</v>
      </c>
      <c r="C702" s="94" t="s">
        <v>8023</v>
      </c>
      <c r="D702" s="81" t="s">
        <v>255</v>
      </c>
      <c r="E702" s="95" t="s">
        <v>199</v>
      </c>
      <c r="F702" s="81" t="s">
        <v>257</v>
      </c>
      <c r="G702" s="47" t="str">
        <f t="shared" si="30"/>
        <v>David</v>
      </c>
      <c r="H702" s="49" t="s">
        <v>224</v>
      </c>
      <c r="I702" s="49" t="s">
        <v>66</v>
      </c>
      <c r="J702" s="47" t="str">
        <f t="shared" si="32"/>
        <v>Não</v>
      </c>
      <c r="K702" s="97">
        <v>45125.0</v>
      </c>
      <c r="L702" s="55">
        <v>45505.0</v>
      </c>
      <c r="M702" s="62" t="s">
        <v>61</v>
      </c>
      <c r="N702" s="144">
        <v>0.007</v>
      </c>
      <c r="O702" s="47" t="s">
        <v>66</v>
      </c>
      <c r="P702" s="99">
        <v>0.0</v>
      </c>
      <c r="Q702" s="58"/>
      <c r="R702" s="58" t="s">
        <v>610</v>
      </c>
      <c r="S702" s="62" t="s">
        <v>194</v>
      </c>
      <c r="T702" s="32" t="s">
        <v>8024</v>
      </c>
      <c r="U702" s="33" t="s">
        <v>268</v>
      </c>
      <c r="V702" s="33"/>
      <c r="W702" s="33" t="s">
        <v>268</v>
      </c>
      <c r="X702" s="23" t="s">
        <v>5681</v>
      </c>
      <c r="Y702" s="49" t="str">
        <f t="shared" si="22"/>
        <v>Encerrado</v>
      </c>
      <c r="Z702" s="62"/>
      <c r="AA702" s="62"/>
      <c r="AB702" s="64" t="s">
        <v>269</v>
      </c>
      <c r="AC702" s="79"/>
      <c r="AD702" s="54">
        <v>45125.0</v>
      </c>
      <c r="AE702" s="77">
        <v>4.9075100003701E13</v>
      </c>
      <c r="AF702" s="79"/>
      <c r="AG702" s="79"/>
      <c r="AH702" s="79"/>
      <c r="AI702" s="79"/>
      <c r="AJ702" s="79"/>
      <c r="AK702" s="79"/>
      <c r="AL702" s="79"/>
      <c r="AM702" s="79"/>
      <c r="AN702" s="79"/>
      <c r="AO702" s="65">
        <v>137980.08</v>
      </c>
      <c r="AP702" s="65">
        <v>138571.7</v>
      </c>
      <c r="AQ702" s="65">
        <v>139252.64</v>
      </c>
      <c r="AR702" s="65">
        <v>140187.42</v>
      </c>
      <c r="AS702" s="65">
        <v>125068.1</v>
      </c>
      <c r="AT702" s="65">
        <v>115222.75</v>
      </c>
      <c r="AU702" s="65">
        <v>102160.26</v>
      </c>
      <c r="AV702" s="65">
        <v>91325.16</v>
      </c>
      <c r="AW702" s="65">
        <v>74212.9</v>
      </c>
      <c r="AX702" s="65">
        <v>71225.99</v>
      </c>
      <c r="AY702" s="65">
        <v>68227.62</v>
      </c>
      <c r="AZ702" s="65">
        <v>68999.37</v>
      </c>
      <c r="BA702" s="65">
        <v>69534.69</v>
      </c>
      <c r="BB702" s="65">
        <v>0.0</v>
      </c>
      <c r="BC702" s="65">
        <v>0.0</v>
      </c>
      <c r="BD702" s="65">
        <v>0.0</v>
      </c>
      <c r="BE702" s="65">
        <v>0.0</v>
      </c>
      <c r="BF702" s="65">
        <v>0.0</v>
      </c>
      <c r="BG702" s="65">
        <v>0.0</v>
      </c>
      <c r="BH702" s="65">
        <v>0.0</v>
      </c>
      <c r="BI702" s="65">
        <v>0.0</v>
      </c>
      <c r="BJ702" s="65">
        <v>0.0</v>
      </c>
      <c r="BK702" s="65">
        <v>0.0</v>
      </c>
      <c r="BL702" s="65">
        <v>0.0</v>
      </c>
      <c r="BM702" s="65">
        <v>0.0</v>
      </c>
      <c r="BN702" s="65">
        <v>0.0</v>
      </c>
      <c r="BO702" s="65">
        <v>0.0</v>
      </c>
      <c r="BP702" s="65">
        <v>0.0</v>
      </c>
      <c r="BQ702" s="65">
        <v>0.0</v>
      </c>
      <c r="BR702" s="65">
        <v>0.0</v>
      </c>
      <c r="BS702" s="65">
        <v>0.0</v>
      </c>
      <c r="BT702" s="88">
        <v>0.0</v>
      </c>
      <c r="BU702" s="65">
        <v>0.0</v>
      </c>
      <c r="BV702" s="65">
        <v>0.0</v>
      </c>
      <c r="BW702" s="90">
        <v>0.0</v>
      </c>
      <c r="BX702" s="90">
        <v>0.0</v>
      </c>
      <c r="BY702" s="90" t="str">
        <f t="array" ref="BY702">XLOOKUP(C702,'PL TOTAL D0'!$A$3:$A$1991,'PL TOTAL D0'!$C$3:$C$1991,"")</f>
        <v/>
      </c>
    </row>
    <row r="703" ht="15.75" customHeight="1">
      <c r="A703" s="50" t="s">
        <v>24</v>
      </c>
      <c r="B703" s="43" t="s">
        <v>8025</v>
      </c>
      <c r="C703" s="94" t="s">
        <v>8026</v>
      </c>
      <c r="D703" s="30" t="s">
        <v>89</v>
      </c>
      <c r="E703" s="22" t="s">
        <v>91</v>
      </c>
      <c r="F703" s="30" t="s">
        <v>521</v>
      </c>
      <c r="G703" s="47" t="str">
        <f t="shared" si="30"/>
        <v>David</v>
      </c>
      <c r="H703" s="49" t="s">
        <v>183</v>
      </c>
      <c r="I703" s="49" t="s">
        <v>66</v>
      </c>
      <c r="J703" s="47" t="str">
        <f t="shared" si="32"/>
        <v>Não</v>
      </c>
      <c r="K703" s="54">
        <v>46014.0</v>
      </c>
      <c r="L703" s="55"/>
      <c r="M703" s="32" t="s">
        <v>4551</v>
      </c>
      <c r="N703" s="199">
        <v>0.01</v>
      </c>
      <c r="O703" s="23" t="s">
        <v>66</v>
      </c>
      <c r="P703" s="57">
        <v>0.0</v>
      </c>
      <c r="Q703" s="58"/>
      <c r="R703" s="58"/>
      <c r="S703" s="32" t="s">
        <v>194</v>
      </c>
      <c r="T703" s="32" t="s">
        <v>2240</v>
      </c>
      <c r="U703" s="33" t="s">
        <v>8027</v>
      </c>
      <c r="V703" s="33" t="s">
        <v>2242</v>
      </c>
      <c r="W703" s="34">
        <v>28963.0</v>
      </c>
      <c r="X703" s="23" t="s">
        <v>221</v>
      </c>
      <c r="Y703" s="49" t="str">
        <f t="shared" si="22"/>
        <v>Ativo</v>
      </c>
      <c r="Z703" s="62"/>
      <c r="AA703" s="32" t="s">
        <v>47</v>
      </c>
      <c r="AB703" s="64"/>
      <c r="AC703" s="79"/>
      <c r="AD703" s="54">
        <v>46203.0</v>
      </c>
      <c r="AE703" s="77"/>
      <c r="AF703" s="79"/>
      <c r="AG703" s="79"/>
      <c r="AH703" s="79"/>
      <c r="AI703" s="79"/>
      <c r="AJ703" s="79"/>
      <c r="AK703" s="79"/>
      <c r="AL703" s="79"/>
      <c r="AM703" s="79"/>
      <c r="AN703" s="79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  <c r="BM703" s="65"/>
      <c r="BN703" s="65"/>
      <c r="BO703" s="65"/>
      <c r="BP703" s="65"/>
      <c r="BQ703" s="65"/>
      <c r="BR703" s="65">
        <v>1924.9</v>
      </c>
      <c r="BS703" s="65">
        <v>1626.53</v>
      </c>
      <c r="BT703" s="88">
        <v>1333.28</v>
      </c>
      <c r="BU703" s="65">
        <v>1398.84</v>
      </c>
      <c r="BV703" s="65">
        <v>1551.63</v>
      </c>
      <c r="BW703" s="90">
        <v>1481.04</v>
      </c>
      <c r="BX703" s="90">
        <v>1238.44</v>
      </c>
      <c r="BY703" s="90" t="str">
        <f t="array" ref="BY703">XLOOKUP(C703,'PL TOTAL D0'!$A$3:$A$1991,'PL TOTAL D0'!$C$3:$C$1991,"")</f>
        <v/>
      </c>
    </row>
    <row r="704" ht="15.75" customHeight="1">
      <c r="A704" s="50" t="s">
        <v>24</v>
      </c>
      <c r="B704" s="43" t="s">
        <v>8029</v>
      </c>
      <c r="C704" s="94" t="s">
        <v>8030</v>
      </c>
      <c r="D704" s="30" t="s">
        <v>120</v>
      </c>
      <c r="E704" s="22" t="s">
        <v>199</v>
      </c>
      <c r="F704" s="30" t="s">
        <v>431</v>
      </c>
      <c r="G704" s="47" t="str">
        <f t="shared" si="30"/>
        <v>David</v>
      </c>
      <c r="H704" s="49" t="s">
        <v>295</v>
      </c>
      <c r="I704" s="49" t="s">
        <v>447</v>
      </c>
      <c r="J704" s="47" t="str">
        <f t="shared" si="32"/>
        <v>Sim</v>
      </c>
      <c r="K704" s="54">
        <v>45450.0</v>
      </c>
      <c r="L704" s="62"/>
      <c r="M704" s="32" t="s">
        <v>201</v>
      </c>
      <c r="N704" s="199">
        <v>0.003</v>
      </c>
      <c r="O704" s="23" t="s">
        <v>66</v>
      </c>
      <c r="P704" s="57">
        <v>0.0</v>
      </c>
      <c r="Q704" s="58" t="s">
        <v>8031</v>
      </c>
      <c r="R704" s="70"/>
      <c r="S704" s="32" t="s">
        <v>194</v>
      </c>
      <c r="T704" s="32" t="s">
        <v>8032</v>
      </c>
      <c r="U704" s="33">
        <v>3.1991717327E10</v>
      </c>
      <c r="V704" s="33" t="s">
        <v>8033</v>
      </c>
      <c r="W704" s="34">
        <v>21409.0</v>
      </c>
      <c r="X704" s="23" t="s">
        <v>618</v>
      </c>
      <c r="Y704" s="49" t="str">
        <f t="shared" si="22"/>
        <v>Ativo</v>
      </c>
      <c r="Z704" s="32"/>
      <c r="AA704" s="32" t="s">
        <v>107</v>
      </c>
      <c r="AB704" s="64" t="s">
        <v>269</v>
      </c>
      <c r="AC704" s="79"/>
      <c r="AD704" s="54">
        <v>45450.0</v>
      </c>
      <c r="AE704" s="77">
        <v>4.9075100014851E13</v>
      </c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65"/>
      <c r="AW704" s="65"/>
      <c r="AX704" s="65"/>
      <c r="AY704" s="65"/>
      <c r="AZ704" s="65">
        <v>0.0</v>
      </c>
      <c r="BA704" s="65">
        <v>0.0</v>
      </c>
      <c r="BB704" s="65">
        <v>0.0</v>
      </c>
      <c r="BC704" s="65">
        <v>0.0</v>
      </c>
      <c r="BD704" s="65">
        <v>0.0</v>
      </c>
      <c r="BE704" s="65">
        <v>0.0</v>
      </c>
      <c r="BF704" s="65">
        <v>0.0</v>
      </c>
      <c r="BG704" s="65">
        <v>0.0</v>
      </c>
      <c r="BH704" s="65">
        <v>0.0</v>
      </c>
      <c r="BI704" s="65">
        <v>3.55</v>
      </c>
      <c r="BJ704" s="65">
        <v>3.55</v>
      </c>
      <c r="BK704" s="65">
        <v>3.55</v>
      </c>
      <c r="BL704" s="65">
        <v>3.55</v>
      </c>
      <c r="BM704" s="65">
        <v>3.63</v>
      </c>
      <c r="BN704" s="65">
        <v>0.0</v>
      </c>
      <c r="BO704" s="65">
        <v>0.0</v>
      </c>
      <c r="BP704" s="65">
        <v>0.0</v>
      </c>
      <c r="BQ704" s="65">
        <v>0.0</v>
      </c>
      <c r="BR704" s="65">
        <v>0.03</v>
      </c>
      <c r="BS704" s="65">
        <v>0.03</v>
      </c>
      <c r="BT704" s="88">
        <v>0.03</v>
      </c>
      <c r="BU704" s="65">
        <v>0.0</v>
      </c>
      <c r="BV704" s="65">
        <v>0.0</v>
      </c>
      <c r="BW704" s="90">
        <v>0.0</v>
      </c>
      <c r="BX704" s="90">
        <v>118097.6</v>
      </c>
      <c r="BY704" s="90" t="str">
        <f t="array" ref="BY704">XLOOKUP(C704,'PL TOTAL D0'!$A$3:$A$1991,'PL TOTAL D0'!$C$3:$C$1991,"")</f>
        <v/>
      </c>
    </row>
    <row r="705" ht="15.75" customHeight="1">
      <c r="A705" s="50" t="s">
        <v>24</v>
      </c>
      <c r="B705" s="191" t="s">
        <v>801</v>
      </c>
      <c r="C705" s="94" t="s">
        <v>8034</v>
      </c>
      <c r="D705" s="81" t="s">
        <v>120</v>
      </c>
      <c r="E705" s="95" t="s">
        <v>199</v>
      </c>
      <c r="F705" s="81" t="s">
        <v>803</v>
      </c>
      <c r="G705" s="47" t="str">
        <f t="shared" si="30"/>
        <v>David</v>
      </c>
      <c r="H705" s="49" t="s">
        <v>295</v>
      </c>
      <c r="I705" s="49" t="s">
        <v>382</v>
      </c>
      <c r="J705" s="47" t="str">
        <f t="shared" si="32"/>
        <v>Não</v>
      </c>
      <c r="K705" s="97">
        <v>45229.0</v>
      </c>
      <c r="L705" s="62"/>
      <c r="M705" s="62" t="s">
        <v>34</v>
      </c>
      <c r="N705" s="144">
        <v>0.012</v>
      </c>
      <c r="O705" s="47" t="s">
        <v>35</v>
      </c>
      <c r="P705" s="99">
        <v>0.1</v>
      </c>
      <c r="Q705" s="58"/>
      <c r="R705" s="70"/>
      <c r="S705" s="62" t="s">
        <v>194</v>
      </c>
      <c r="T705" s="32" t="s">
        <v>813</v>
      </c>
      <c r="U705" s="33">
        <v>5.561981756612E12</v>
      </c>
      <c r="V705" s="33" t="s">
        <v>816</v>
      </c>
      <c r="W705" s="48">
        <v>29508.0</v>
      </c>
      <c r="X705" s="23" t="s">
        <v>199</v>
      </c>
      <c r="Y705" s="49" t="str">
        <f t="shared" si="22"/>
        <v>Ativo</v>
      </c>
      <c r="Z705" s="62"/>
      <c r="AA705" s="62"/>
      <c r="AB705" s="64" t="s">
        <v>269</v>
      </c>
      <c r="AC705" s="79"/>
      <c r="AD705" s="54">
        <v>45229.0</v>
      </c>
      <c r="AE705" s="77">
        <v>4.9075100012571E13</v>
      </c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65">
        <v>0.0</v>
      </c>
      <c r="AS705" s="65">
        <v>137488.4</v>
      </c>
      <c r="AT705" s="65">
        <v>139051.6</v>
      </c>
      <c r="AU705" s="65">
        <v>139785.27</v>
      </c>
      <c r="AV705" s="65">
        <v>140349.0</v>
      </c>
      <c r="AW705" s="65">
        <v>141659.22</v>
      </c>
      <c r="AX705" s="65">
        <v>141206.35</v>
      </c>
      <c r="AY705" s="65">
        <v>141304.3</v>
      </c>
      <c r="AZ705" s="65">
        <v>142035.2</v>
      </c>
      <c r="BA705" s="65">
        <v>105.35</v>
      </c>
      <c r="BB705" s="65">
        <v>106.84</v>
      </c>
      <c r="BC705" s="65">
        <v>106.84</v>
      </c>
      <c r="BD705" s="65">
        <v>106.84</v>
      </c>
      <c r="BE705" s="65">
        <v>106.84</v>
      </c>
      <c r="BF705" s="65">
        <v>106.84</v>
      </c>
      <c r="BG705" s="65">
        <v>106.84</v>
      </c>
      <c r="BH705" s="65">
        <v>106.84</v>
      </c>
      <c r="BI705" s="65">
        <v>106.84</v>
      </c>
      <c r="BJ705" s="65">
        <v>106.84</v>
      </c>
      <c r="BK705" s="65">
        <v>106.84</v>
      </c>
      <c r="BL705" s="65">
        <v>106.84</v>
      </c>
      <c r="BM705" s="65">
        <v>106.84</v>
      </c>
      <c r="BN705" s="65">
        <v>106.85</v>
      </c>
      <c r="BO705" s="65">
        <v>106.85</v>
      </c>
      <c r="BP705" s="65">
        <v>106.85</v>
      </c>
      <c r="BQ705" s="65">
        <v>106.85</v>
      </c>
      <c r="BR705" s="65">
        <v>106.85</v>
      </c>
      <c r="BS705" s="65">
        <v>107.55</v>
      </c>
      <c r="BT705" s="88">
        <v>108.61</v>
      </c>
      <c r="BU705" s="65">
        <v>109.93</v>
      </c>
      <c r="BV705" s="65">
        <v>111.12</v>
      </c>
      <c r="BW705" s="90">
        <v>111.5</v>
      </c>
      <c r="BX705" s="90">
        <v>112.68</v>
      </c>
      <c r="BY705" s="90" t="str">
        <f t="array" ref="BY705">XLOOKUP(C705,'PL TOTAL D0'!$A$3:$A$1991,'PL TOTAL D0'!$C$3:$C$1991,"")</f>
        <v/>
      </c>
    </row>
    <row r="706" ht="15.75" customHeight="1">
      <c r="A706" s="50" t="s">
        <v>24</v>
      </c>
      <c r="B706" s="50" t="s">
        <v>5898</v>
      </c>
      <c r="C706" s="94" t="s">
        <v>8035</v>
      </c>
      <c r="D706" s="81" t="s">
        <v>120</v>
      </c>
      <c r="E706" s="95" t="s">
        <v>54</v>
      </c>
      <c r="F706" s="81" t="s">
        <v>125</v>
      </c>
      <c r="G706" s="47" t="str">
        <f t="shared" si="30"/>
        <v>David</v>
      </c>
      <c r="H706" s="74" t="s">
        <v>224</v>
      </c>
      <c r="I706" s="74" t="s">
        <v>66</v>
      </c>
      <c r="J706" s="47" t="str">
        <f t="shared" si="32"/>
        <v>Não</v>
      </c>
      <c r="K706" s="97">
        <v>44987.0</v>
      </c>
      <c r="L706" s="194">
        <v>45181.0</v>
      </c>
      <c r="M706" s="62" t="s">
        <v>61</v>
      </c>
      <c r="N706" s="98">
        <v>0.007</v>
      </c>
      <c r="O706" s="47" t="s">
        <v>66</v>
      </c>
      <c r="P706" s="99">
        <v>0.0</v>
      </c>
      <c r="Q706" s="58"/>
      <c r="R706" s="58" t="s">
        <v>8036</v>
      </c>
      <c r="S706" s="62" t="s">
        <v>194</v>
      </c>
      <c r="T706" s="32" t="s">
        <v>5897</v>
      </c>
      <c r="U706" s="33" t="s">
        <v>268</v>
      </c>
      <c r="V706" s="33"/>
      <c r="W706" s="33" t="s">
        <v>268</v>
      </c>
      <c r="X706" s="23" t="s">
        <v>54</v>
      </c>
      <c r="Y706" s="49" t="str">
        <f t="shared" si="22"/>
        <v>Encerrado</v>
      </c>
      <c r="Z706" s="62"/>
      <c r="AA706" s="62"/>
      <c r="AB706" s="64"/>
      <c r="AC706" s="79"/>
      <c r="AD706" s="54">
        <v>44987.0</v>
      </c>
      <c r="AE706" s="77"/>
      <c r="AF706" s="79"/>
      <c r="AG706" s="79"/>
      <c r="AH706" s="79"/>
      <c r="AI706" s="65">
        <v>0.0</v>
      </c>
      <c r="AJ706" s="65">
        <v>60000.0</v>
      </c>
      <c r="AK706" s="65">
        <v>102534.0</v>
      </c>
      <c r="AL706" s="65">
        <v>153405.6</v>
      </c>
      <c r="AM706" s="65">
        <v>157716.83</v>
      </c>
      <c r="AN706" s="65">
        <v>270708.34</v>
      </c>
      <c r="AO706" s="65">
        <v>314906.04</v>
      </c>
      <c r="AP706" s="65">
        <v>338203.14</v>
      </c>
      <c r="AQ706" s="65">
        <v>0.0</v>
      </c>
      <c r="AR706" s="65">
        <v>0.0</v>
      </c>
      <c r="AS706" s="65">
        <v>0.0</v>
      </c>
      <c r="AT706" s="65">
        <v>0.0</v>
      </c>
      <c r="AU706" s="65">
        <v>0.0</v>
      </c>
      <c r="AV706" s="65">
        <v>0.0</v>
      </c>
      <c r="AW706" s="65">
        <v>0.0</v>
      </c>
      <c r="AX706" s="65">
        <v>0.0</v>
      </c>
      <c r="AY706" s="65">
        <v>0.0</v>
      </c>
      <c r="AZ706" s="65">
        <v>0.0</v>
      </c>
      <c r="BA706" s="65">
        <v>0.0</v>
      </c>
      <c r="BB706" s="65">
        <v>0.0</v>
      </c>
      <c r="BC706" s="65">
        <v>0.0</v>
      </c>
      <c r="BD706" s="65">
        <v>0.0</v>
      </c>
      <c r="BE706" s="65">
        <v>0.0</v>
      </c>
      <c r="BF706" s="65">
        <v>0.0</v>
      </c>
      <c r="BG706" s="65">
        <v>0.0</v>
      </c>
      <c r="BH706" s="65">
        <v>0.0</v>
      </c>
      <c r="BI706" s="65">
        <v>0.0</v>
      </c>
      <c r="BJ706" s="65">
        <v>0.0</v>
      </c>
      <c r="BK706" s="65">
        <v>0.0</v>
      </c>
      <c r="BL706" s="65">
        <v>0.0</v>
      </c>
      <c r="BM706" s="65">
        <v>0.0</v>
      </c>
      <c r="BN706" s="65">
        <v>0.0</v>
      </c>
      <c r="BO706" s="65">
        <v>0.0</v>
      </c>
      <c r="BP706" s="65">
        <v>0.0</v>
      </c>
      <c r="BQ706" s="65">
        <v>0.0</v>
      </c>
      <c r="BR706" s="65">
        <v>0.0</v>
      </c>
      <c r="BS706" s="65">
        <v>0.0</v>
      </c>
      <c r="BT706" s="88">
        <v>0.0</v>
      </c>
      <c r="BU706" s="65">
        <v>0.0</v>
      </c>
      <c r="BV706" s="65">
        <v>0.0</v>
      </c>
      <c r="BW706" s="90">
        <v>0.0</v>
      </c>
      <c r="BX706" s="90">
        <v>0.0</v>
      </c>
      <c r="BY706" s="90" t="str">
        <f t="array" ref="BY706">XLOOKUP(C706,'PL TOTAL D0'!$A$3:$A$1991,'PL TOTAL D0'!$C$3:$C$1991,"")</f>
        <v/>
      </c>
    </row>
    <row r="707" ht="15.75" customHeight="1">
      <c r="A707" s="50" t="s">
        <v>24</v>
      </c>
      <c r="B707" s="43" t="s">
        <v>5898</v>
      </c>
      <c r="C707" s="94" t="s">
        <v>8037</v>
      </c>
      <c r="D707" s="81" t="s">
        <v>120</v>
      </c>
      <c r="E707" s="95" t="s">
        <v>54</v>
      </c>
      <c r="F707" s="81" t="s">
        <v>125</v>
      </c>
      <c r="G707" s="47" t="str">
        <f t="shared" si="30"/>
        <v>David</v>
      </c>
      <c r="H707" s="74" t="s">
        <v>224</v>
      </c>
      <c r="I707" s="74" t="s">
        <v>66</v>
      </c>
      <c r="J707" s="47" t="str">
        <f t="shared" si="32"/>
        <v>Não</v>
      </c>
      <c r="K707" s="97">
        <v>45163.0</v>
      </c>
      <c r="L707" s="194">
        <v>45182.0</v>
      </c>
      <c r="M707" s="62" t="s">
        <v>61</v>
      </c>
      <c r="N707" s="98">
        <v>0.007</v>
      </c>
      <c r="O707" s="47" t="s">
        <v>66</v>
      </c>
      <c r="P707" s="99">
        <v>0.0</v>
      </c>
      <c r="Q707" s="58"/>
      <c r="R707" s="58" t="s">
        <v>8036</v>
      </c>
      <c r="S707" s="62" t="s">
        <v>194</v>
      </c>
      <c r="T707" s="32" t="s">
        <v>5897</v>
      </c>
      <c r="U707" s="33" t="s">
        <v>268</v>
      </c>
      <c r="V707" s="33"/>
      <c r="W707" s="33" t="s">
        <v>268</v>
      </c>
      <c r="X707" s="23" t="s">
        <v>54</v>
      </c>
      <c r="Y707" s="49" t="str">
        <f t="shared" si="22"/>
        <v>Encerrado</v>
      </c>
      <c r="Z707" s="62"/>
      <c r="AA707" s="62"/>
      <c r="AB707" s="64"/>
      <c r="AC707" s="79"/>
      <c r="AD707" s="54">
        <v>45163.0</v>
      </c>
      <c r="AE707" s="77"/>
      <c r="AF707" s="79"/>
      <c r="AG707" s="79"/>
      <c r="AH707" s="79"/>
      <c r="AI707" s="65">
        <v>0.0</v>
      </c>
      <c r="AJ707" s="65">
        <v>0.0</v>
      </c>
      <c r="AK707" s="65">
        <v>0.0</v>
      </c>
      <c r="AL707" s="65">
        <v>0.0</v>
      </c>
      <c r="AM707" s="65">
        <v>0.0</v>
      </c>
      <c r="AN707" s="65">
        <v>0.0</v>
      </c>
      <c r="AO707" s="65">
        <v>0.0</v>
      </c>
      <c r="AP707" s="65">
        <v>0.0</v>
      </c>
      <c r="AQ707" s="65">
        <v>0.0</v>
      </c>
      <c r="AR707" s="65">
        <v>0.0</v>
      </c>
      <c r="AS707" s="65">
        <v>0.0</v>
      </c>
      <c r="AT707" s="65">
        <v>0.0</v>
      </c>
      <c r="AU707" s="65">
        <v>0.0</v>
      </c>
      <c r="AV707" s="65">
        <v>0.0</v>
      </c>
      <c r="AW707" s="65">
        <v>0.0</v>
      </c>
      <c r="AX707" s="65">
        <v>0.0</v>
      </c>
      <c r="AY707" s="65">
        <v>0.0</v>
      </c>
      <c r="AZ707" s="65">
        <v>0.0</v>
      </c>
      <c r="BA707" s="65">
        <v>0.0</v>
      </c>
      <c r="BB707" s="65">
        <v>0.0</v>
      </c>
      <c r="BC707" s="65">
        <v>0.0</v>
      </c>
      <c r="BD707" s="65">
        <v>0.0</v>
      </c>
      <c r="BE707" s="65">
        <v>0.0</v>
      </c>
      <c r="BF707" s="65">
        <v>0.0</v>
      </c>
      <c r="BG707" s="65">
        <v>0.0</v>
      </c>
      <c r="BH707" s="65">
        <v>0.0</v>
      </c>
      <c r="BI707" s="65">
        <v>0.0</v>
      </c>
      <c r="BJ707" s="65">
        <v>0.0</v>
      </c>
      <c r="BK707" s="65">
        <v>0.0</v>
      </c>
      <c r="BL707" s="65">
        <v>0.0</v>
      </c>
      <c r="BM707" s="65">
        <v>0.0</v>
      </c>
      <c r="BN707" s="65">
        <v>0.0</v>
      </c>
      <c r="BO707" s="65">
        <v>0.0</v>
      </c>
      <c r="BP707" s="65">
        <v>0.0</v>
      </c>
      <c r="BQ707" s="65">
        <v>0.0</v>
      </c>
      <c r="BR707" s="65">
        <v>0.0</v>
      </c>
      <c r="BS707" s="65">
        <v>0.0</v>
      </c>
      <c r="BT707" s="88">
        <v>0.0</v>
      </c>
      <c r="BU707" s="65">
        <v>0.0</v>
      </c>
      <c r="BV707" s="65">
        <v>0.0</v>
      </c>
      <c r="BW707" s="90">
        <v>0.0</v>
      </c>
      <c r="BX707" s="90">
        <v>0.0</v>
      </c>
      <c r="BY707" s="90" t="str">
        <f t="array" ref="BY707">XLOOKUP(C707,'PL TOTAL D0'!$A$3:$A$1991,'PL TOTAL D0'!$C$3:$C$1991,"")</f>
        <v/>
      </c>
    </row>
    <row r="708" ht="15.75" customHeight="1">
      <c r="A708" s="50" t="s">
        <v>24</v>
      </c>
      <c r="B708" s="50" t="s">
        <v>1145</v>
      </c>
      <c r="C708" s="94" t="s">
        <v>8038</v>
      </c>
      <c r="D708" s="81" t="s">
        <v>120</v>
      </c>
      <c r="E708" s="95" t="s">
        <v>199</v>
      </c>
      <c r="F708" s="81" t="s">
        <v>4715</v>
      </c>
      <c r="G708" s="47" t="str">
        <f t="shared" si="30"/>
        <v>David</v>
      </c>
      <c r="H708" s="49" t="s">
        <v>224</v>
      </c>
      <c r="I708" s="49" t="s">
        <v>66</v>
      </c>
      <c r="J708" s="47" t="str">
        <f t="shared" si="32"/>
        <v>Não</v>
      </c>
      <c r="K708" s="97">
        <v>45155.0</v>
      </c>
      <c r="L708" s="55">
        <v>45513.0</v>
      </c>
      <c r="M708" s="62" t="s">
        <v>61</v>
      </c>
      <c r="N708" s="98">
        <v>0.007</v>
      </c>
      <c r="O708" s="47" t="s">
        <v>66</v>
      </c>
      <c r="P708" s="99">
        <v>0.0</v>
      </c>
      <c r="Q708" s="58"/>
      <c r="R708" s="58" t="s">
        <v>8039</v>
      </c>
      <c r="S708" s="62" t="s">
        <v>194</v>
      </c>
      <c r="T708" s="32" t="s">
        <v>1152</v>
      </c>
      <c r="U708" s="33" t="s">
        <v>268</v>
      </c>
      <c r="V708" s="33"/>
      <c r="W708" s="33" t="s">
        <v>268</v>
      </c>
      <c r="X708" s="23" t="s">
        <v>199</v>
      </c>
      <c r="Y708" s="49" t="str">
        <f t="shared" si="22"/>
        <v>Encerrado</v>
      </c>
      <c r="Z708" s="62"/>
      <c r="AA708" s="62"/>
      <c r="AB708" s="64" t="s">
        <v>244</v>
      </c>
      <c r="AC708" s="79"/>
      <c r="AD708" s="54">
        <v>45155.0</v>
      </c>
      <c r="AE708" s="77">
        <v>4.907510000862E13</v>
      </c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65">
        <v>52603.38</v>
      </c>
      <c r="AQ708" s="65">
        <v>58632.55</v>
      </c>
      <c r="AR708" s="65">
        <v>128721.41</v>
      </c>
      <c r="AS708" s="65">
        <v>133384.12</v>
      </c>
      <c r="AT708" s="65">
        <v>137232.47</v>
      </c>
      <c r="AU708" s="65">
        <v>144970.06</v>
      </c>
      <c r="AV708" s="65">
        <v>151229.1</v>
      </c>
      <c r="AW708" s="65">
        <v>163997.52</v>
      </c>
      <c r="AX708" s="65">
        <v>165846.09</v>
      </c>
      <c r="AY708" s="65">
        <v>167606.1</v>
      </c>
      <c r="AZ708" s="65">
        <v>169324.9</v>
      </c>
      <c r="BA708" s="65">
        <v>171273.6</v>
      </c>
      <c r="BB708" s="65">
        <v>0.0</v>
      </c>
      <c r="BC708" s="65">
        <v>0.0</v>
      </c>
      <c r="BD708" s="65">
        <v>0.0</v>
      </c>
      <c r="BE708" s="65">
        <v>0.0</v>
      </c>
      <c r="BF708" s="65">
        <v>0.0</v>
      </c>
      <c r="BG708" s="65">
        <v>0.0</v>
      </c>
      <c r="BH708" s="65">
        <v>0.0</v>
      </c>
      <c r="BI708" s="65">
        <v>0.0</v>
      </c>
      <c r="BJ708" s="65">
        <v>0.0</v>
      </c>
      <c r="BK708" s="65">
        <v>0.0</v>
      </c>
      <c r="BL708" s="65">
        <v>0.0</v>
      </c>
      <c r="BM708" s="65">
        <v>0.0</v>
      </c>
      <c r="BN708" s="65">
        <v>0.0</v>
      </c>
      <c r="BO708" s="65">
        <v>0.0</v>
      </c>
      <c r="BP708" s="65">
        <v>0.0</v>
      </c>
      <c r="BQ708" s="65">
        <v>0.0</v>
      </c>
      <c r="BR708" s="65">
        <v>0.0</v>
      </c>
      <c r="BS708" s="65">
        <v>0.0</v>
      </c>
      <c r="BT708" s="88">
        <v>0.0</v>
      </c>
      <c r="BU708" s="65">
        <v>0.0</v>
      </c>
      <c r="BV708" s="65">
        <v>0.0</v>
      </c>
      <c r="BW708" s="90">
        <v>0.0</v>
      </c>
      <c r="BX708" s="90">
        <v>0.0</v>
      </c>
      <c r="BY708" s="90" t="str">
        <f t="array" ref="BY708">XLOOKUP(C708,'PL TOTAL D0'!$A$3:$A$1991,'PL TOTAL D0'!$C$3:$C$1991,"")</f>
        <v/>
      </c>
    </row>
    <row r="709" ht="15.75" customHeight="1">
      <c r="A709" s="50" t="s">
        <v>24</v>
      </c>
      <c r="B709" s="50" t="s">
        <v>8040</v>
      </c>
      <c r="C709" s="94" t="s">
        <v>8042</v>
      </c>
      <c r="D709" s="81" t="s">
        <v>120</v>
      </c>
      <c r="E709" s="95" t="s">
        <v>199</v>
      </c>
      <c r="F709" s="81" t="s">
        <v>1914</v>
      </c>
      <c r="G709" s="47" t="str">
        <f t="shared" si="30"/>
        <v>David</v>
      </c>
      <c r="H709" s="49" t="s">
        <v>224</v>
      </c>
      <c r="I709" s="49" t="s">
        <v>66</v>
      </c>
      <c r="J709" s="47" t="str">
        <f t="shared" si="32"/>
        <v>Não</v>
      </c>
      <c r="K709" s="97">
        <v>44973.0</v>
      </c>
      <c r="L709" s="55">
        <v>45764.0</v>
      </c>
      <c r="M709" s="32" t="s">
        <v>390</v>
      </c>
      <c r="N709" s="56">
        <v>0.0</v>
      </c>
      <c r="O709" s="23" t="s">
        <v>66</v>
      </c>
      <c r="P709" s="57">
        <v>0.0</v>
      </c>
      <c r="Q709" s="58"/>
      <c r="R709" s="841" t="s">
        <v>4014</v>
      </c>
      <c r="S709" s="62" t="s">
        <v>194</v>
      </c>
      <c r="T709" s="32" t="s">
        <v>843</v>
      </c>
      <c r="U709" s="33" t="s">
        <v>268</v>
      </c>
      <c r="V709" s="33"/>
      <c r="W709" s="33" t="s">
        <v>268</v>
      </c>
      <c r="X709" s="23" t="s">
        <v>199</v>
      </c>
      <c r="Y709" s="49" t="str">
        <f t="shared" si="22"/>
        <v>Encerrado</v>
      </c>
      <c r="Z709" s="62"/>
      <c r="AA709" s="62"/>
      <c r="AB709" s="64" t="s">
        <v>269</v>
      </c>
      <c r="AC709" s="79"/>
      <c r="AD709" s="54">
        <v>44973.0</v>
      </c>
      <c r="AE709" s="77">
        <v>4.9075100003785E13</v>
      </c>
      <c r="AF709" s="79"/>
      <c r="AG709" s="79"/>
      <c r="AH709" s="79"/>
      <c r="AI709" s="65">
        <v>0.0</v>
      </c>
      <c r="AJ709" s="65">
        <v>6050.41</v>
      </c>
      <c r="AK709" s="65">
        <v>6120.43</v>
      </c>
      <c r="AL709" s="65">
        <v>14160.03</v>
      </c>
      <c r="AM709" s="65">
        <v>46550.74</v>
      </c>
      <c r="AN709" s="65">
        <v>46962.62</v>
      </c>
      <c r="AO709" s="65">
        <v>47341.05</v>
      </c>
      <c r="AP709" s="65">
        <v>47540.6</v>
      </c>
      <c r="AQ709" s="65">
        <v>47745.93</v>
      </c>
      <c r="AR709" s="65">
        <v>48047.89</v>
      </c>
      <c r="AS709" s="65">
        <v>48101.94</v>
      </c>
      <c r="AT709" s="65">
        <v>48460.62</v>
      </c>
      <c r="AU709" s="65">
        <v>47877.09</v>
      </c>
      <c r="AV709" s="65">
        <v>48344.89</v>
      </c>
      <c r="AW709" s="65">
        <v>48852.6</v>
      </c>
      <c r="AX709" s="65">
        <v>48587.21</v>
      </c>
      <c r="AY709" s="65">
        <v>48946.3</v>
      </c>
      <c r="AZ709" s="65">
        <v>49304.42</v>
      </c>
      <c r="BA709" s="65">
        <v>49745.65</v>
      </c>
      <c r="BB709" s="65">
        <v>50053.3</v>
      </c>
      <c r="BC709" s="65">
        <v>50449.57</v>
      </c>
      <c r="BD709" s="65">
        <v>50942.84</v>
      </c>
      <c r="BE709" s="65">
        <v>0.0</v>
      </c>
      <c r="BF709" s="65">
        <v>0.0</v>
      </c>
      <c r="BG709" s="65">
        <v>0.0</v>
      </c>
      <c r="BH709" s="65">
        <v>0.0</v>
      </c>
      <c r="BI709" s="65">
        <v>0.0</v>
      </c>
      <c r="BJ709" s="65">
        <v>0.0</v>
      </c>
      <c r="BK709" s="65">
        <v>0.0</v>
      </c>
      <c r="BL709" s="65">
        <v>0.0</v>
      </c>
      <c r="BM709" s="65">
        <v>0.0</v>
      </c>
      <c r="BN709" s="65">
        <v>0.0</v>
      </c>
      <c r="BO709" s="65">
        <v>0.0</v>
      </c>
      <c r="BP709" s="65">
        <v>0.0</v>
      </c>
      <c r="BQ709" s="65">
        <v>0.0</v>
      </c>
      <c r="BR709" s="65">
        <v>0.0</v>
      </c>
      <c r="BS709" s="65">
        <v>0.0</v>
      </c>
      <c r="BT709" s="88">
        <v>0.0</v>
      </c>
      <c r="BU709" s="65">
        <v>0.0</v>
      </c>
      <c r="BV709" s="65">
        <v>0.0</v>
      </c>
      <c r="BW709" s="90">
        <v>0.0</v>
      </c>
      <c r="BX709" s="90">
        <v>0.0</v>
      </c>
      <c r="BY709" s="90" t="str">
        <f t="array" ref="BY709">XLOOKUP(C709,'PL TOTAL D0'!$A$3:$A$1991,'PL TOTAL D0'!$C$3:$C$1991,"")</f>
        <v/>
      </c>
    </row>
    <row r="710" ht="15.75" customHeight="1">
      <c r="A710" s="50" t="s">
        <v>24</v>
      </c>
      <c r="B710" s="50" t="s">
        <v>8043</v>
      </c>
      <c r="C710" s="94" t="s">
        <v>3194</v>
      </c>
      <c r="D710" s="81" t="s">
        <v>120</v>
      </c>
      <c r="E710" s="95" t="s">
        <v>199</v>
      </c>
      <c r="F710" s="81" t="s">
        <v>290</v>
      </c>
      <c r="G710" s="47" t="str">
        <f t="shared" si="30"/>
        <v>David</v>
      </c>
      <c r="H710" s="74" t="s">
        <v>183</v>
      </c>
      <c r="I710" s="74" t="s">
        <v>66</v>
      </c>
      <c r="J710" s="47" t="str">
        <f t="shared" si="32"/>
        <v>Não</v>
      </c>
      <c r="K710" s="97">
        <v>44950.0</v>
      </c>
      <c r="L710" s="62"/>
      <c r="M710" s="62" t="s">
        <v>209</v>
      </c>
      <c r="N710" s="98">
        <v>0.015</v>
      </c>
      <c r="O710" s="47" t="s">
        <v>35</v>
      </c>
      <c r="P710" s="99">
        <v>0.1</v>
      </c>
      <c r="Q710" s="58"/>
      <c r="R710" s="70"/>
      <c r="S710" s="62" t="s">
        <v>194</v>
      </c>
      <c r="T710" s="32" t="s">
        <v>8044</v>
      </c>
      <c r="U710" s="33">
        <v>5.583996126462E12</v>
      </c>
      <c r="V710" s="33" t="s">
        <v>8045</v>
      </c>
      <c r="W710" s="48">
        <v>34621.0</v>
      </c>
      <c r="X710" s="23" t="s">
        <v>724</v>
      </c>
      <c r="Y710" s="49" t="str">
        <f t="shared" si="22"/>
        <v>Ativo</v>
      </c>
      <c r="Z710" s="62"/>
      <c r="AA710" s="62"/>
      <c r="AB710" s="64" t="s">
        <v>269</v>
      </c>
      <c r="AC710" s="79"/>
      <c r="AD710" s="54">
        <v>44950.0</v>
      </c>
      <c r="AE710" s="77">
        <v>4.9075100006059E13</v>
      </c>
      <c r="AF710" s="79"/>
      <c r="AG710" s="79"/>
      <c r="AH710" s="79"/>
      <c r="AI710" s="65">
        <v>45032.3</v>
      </c>
      <c r="AJ710" s="65">
        <v>45427.45</v>
      </c>
      <c r="AK710" s="65">
        <v>45916.51</v>
      </c>
      <c r="AL710" s="65">
        <v>46229.26</v>
      </c>
      <c r="AM710" s="65">
        <v>46739.32</v>
      </c>
      <c r="AN710" s="65">
        <v>65307.83</v>
      </c>
      <c r="AO710" s="65">
        <v>75863.42</v>
      </c>
      <c r="AP710" s="65">
        <v>85703.16</v>
      </c>
      <c r="AQ710" s="65">
        <v>101333.44</v>
      </c>
      <c r="AR710" s="65">
        <v>101439.73</v>
      </c>
      <c r="AS710" s="65">
        <v>103756.43</v>
      </c>
      <c r="AT710" s="65">
        <v>119426.87</v>
      </c>
      <c r="AU710" s="65">
        <v>126093.77</v>
      </c>
      <c r="AV710" s="65">
        <v>135178.23</v>
      </c>
      <c r="AW710" s="65">
        <v>144495.55</v>
      </c>
      <c r="AX710" s="65">
        <v>126.75</v>
      </c>
      <c r="AY710" s="65">
        <v>126.75</v>
      </c>
      <c r="AZ710" s="65">
        <v>15238.4</v>
      </c>
      <c r="BA710" s="65">
        <v>25444.25</v>
      </c>
      <c r="BB710" s="65">
        <v>25628.5</v>
      </c>
      <c r="BC710" s="65">
        <v>31821.71</v>
      </c>
      <c r="BD710" s="65">
        <v>46199.7</v>
      </c>
      <c r="BE710" s="65">
        <v>119.16</v>
      </c>
      <c r="BF710" s="65">
        <v>10153.25</v>
      </c>
      <c r="BG710" s="65">
        <v>16296.34</v>
      </c>
      <c r="BH710" s="65">
        <v>24429.61</v>
      </c>
      <c r="BI710" s="65">
        <v>34717.86</v>
      </c>
      <c r="BJ710" s="65">
        <v>45133.58</v>
      </c>
      <c r="BK710" s="65">
        <v>45360.94</v>
      </c>
      <c r="BL710" s="65">
        <v>45823.17</v>
      </c>
      <c r="BM710" s="65">
        <v>28474.81</v>
      </c>
      <c r="BN710" s="65">
        <v>33823.39</v>
      </c>
      <c r="BO710" s="65">
        <v>44364.61</v>
      </c>
      <c r="BP710" s="65">
        <v>18180.47</v>
      </c>
      <c r="BQ710" s="65">
        <v>73596.02</v>
      </c>
      <c r="BR710" s="65">
        <v>86575.64</v>
      </c>
      <c r="BS710" s="65">
        <v>96255.58</v>
      </c>
      <c r="BT710" s="88">
        <v>99858.33</v>
      </c>
      <c r="BU710" s="65">
        <v>105856.6</v>
      </c>
      <c r="BV710" s="65">
        <v>111130.0</v>
      </c>
      <c r="BW710" s="90">
        <v>112063.8</v>
      </c>
      <c r="BX710" s="90">
        <v>117246.32</v>
      </c>
      <c r="BY710" s="90">
        <f t="array" ref="BY710">XLOOKUP(C710,'PL TOTAL D0'!$A$3:$A$1991,'PL TOTAL D0'!$C$3:$C$1991,"")</f>
        <v>168636.05</v>
      </c>
    </row>
    <row r="711" ht="15.75" customHeight="1">
      <c r="A711" s="50" t="s">
        <v>24</v>
      </c>
      <c r="B711" s="43" t="s">
        <v>8046</v>
      </c>
      <c r="C711" s="94" t="s">
        <v>3322</v>
      </c>
      <c r="D711" s="30" t="s">
        <v>365</v>
      </c>
      <c r="E711" s="22" t="s">
        <v>199</v>
      </c>
      <c r="F711" s="30" t="s">
        <v>891</v>
      </c>
      <c r="G711" s="47" t="str">
        <f t="shared" si="30"/>
        <v>David</v>
      </c>
      <c r="H711" s="49" t="s">
        <v>183</v>
      </c>
      <c r="I711" s="49" t="s">
        <v>66</v>
      </c>
      <c r="J711" s="47" t="str">
        <f t="shared" si="32"/>
        <v>Não</v>
      </c>
      <c r="K711" s="54">
        <v>45602.0</v>
      </c>
      <c r="L711" s="62"/>
      <c r="M711" s="32" t="s">
        <v>61</v>
      </c>
      <c r="N711" s="56">
        <v>0.012</v>
      </c>
      <c r="O711" s="23" t="s">
        <v>66</v>
      </c>
      <c r="P711" s="57">
        <v>0.0</v>
      </c>
      <c r="Q711" s="58"/>
      <c r="R711" s="70"/>
      <c r="S711" s="32" t="s">
        <v>194</v>
      </c>
      <c r="T711" s="32" t="s">
        <v>8048</v>
      </c>
      <c r="U711" s="33">
        <v>5.561981226823E12</v>
      </c>
      <c r="V711" s="33" t="s">
        <v>8049</v>
      </c>
      <c r="W711" s="34">
        <v>30585.0</v>
      </c>
      <c r="X711" s="23" t="s">
        <v>199</v>
      </c>
      <c r="Y711" s="49" t="str">
        <f t="shared" si="22"/>
        <v>Ativo</v>
      </c>
      <c r="Z711" s="62"/>
      <c r="AA711" s="32" t="s">
        <v>47</v>
      </c>
      <c r="AB711" s="64"/>
      <c r="AC711" s="79"/>
      <c r="AD711" s="54">
        <v>45602.0</v>
      </c>
      <c r="AE711" s="77">
        <v>4.907510001624E13</v>
      </c>
      <c r="AF711" s="79"/>
      <c r="AG711" s="79"/>
      <c r="AH711" s="79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>
        <v>88228.63</v>
      </c>
      <c r="BF711" s="65">
        <v>88900.34</v>
      </c>
      <c r="BG711" s="65">
        <v>89749.86</v>
      </c>
      <c r="BH711" s="65">
        <v>90169.41</v>
      </c>
      <c r="BI711" s="65">
        <v>97821.43</v>
      </c>
      <c r="BJ711" s="65">
        <v>98506.67</v>
      </c>
      <c r="BK711" s="65">
        <v>99210.2</v>
      </c>
      <c r="BL711" s="65">
        <v>91897.45</v>
      </c>
      <c r="BM711" s="65">
        <v>92619.36</v>
      </c>
      <c r="BN711" s="65">
        <v>93250.18</v>
      </c>
      <c r="BO711" s="65">
        <v>93561.37</v>
      </c>
      <c r="BP711" s="65">
        <v>94653.17</v>
      </c>
      <c r="BQ711" s="65">
        <v>94869.46</v>
      </c>
      <c r="BR711" s="65">
        <v>95579.06</v>
      </c>
      <c r="BS711" s="65">
        <v>96372.4</v>
      </c>
      <c r="BT711" s="88">
        <v>97021.94</v>
      </c>
      <c r="BU711" s="65">
        <v>98296.64</v>
      </c>
      <c r="BV711" s="65">
        <v>99518.24</v>
      </c>
      <c r="BW711" s="90">
        <v>100300.7</v>
      </c>
      <c r="BX711" s="90">
        <v>101181.77</v>
      </c>
      <c r="BY711" s="90">
        <f t="array" ref="BY711">XLOOKUP(C711,'PL TOTAL D0'!$A$3:$A$1991,'PL TOTAL D0'!$C$3:$C$1991,"")</f>
        <v>101727.24</v>
      </c>
    </row>
    <row r="712" ht="15.75" customHeight="1">
      <c r="A712" s="50" t="s">
        <v>24</v>
      </c>
      <c r="B712" s="50" t="s">
        <v>8050</v>
      </c>
      <c r="C712" s="94" t="s">
        <v>3178</v>
      </c>
      <c r="D712" s="81" t="s">
        <v>120</v>
      </c>
      <c r="E712" s="95" t="s">
        <v>199</v>
      </c>
      <c r="F712" s="81" t="s">
        <v>212</v>
      </c>
      <c r="G712" s="47" t="str">
        <f t="shared" si="30"/>
        <v>David</v>
      </c>
      <c r="H712" s="74" t="s">
        <v>183</v>
      </c>
      <c r="I712" s="74" t="s">
        <v>66</v>
      </c>
      <c r="J712" s="47" t="str">
        <f t="shared" si="32"/>
        <v>Não</v>
      </c>
      <c r="K712" s="97">
        <v>44953.0</v>
      </c>
      <c r="L712" s="62"/>
      <c r="M712" s="62" t="s">
        <v>61</v>
      </c>
      <c r="N712" s="98">
        <v>0.012</v>
      </c>
      <c r="O712" s="47" t="s">
        <v>66</v>
      </c>
      <c r="P712" s="99">
        <v>0.0</v>
      </c>
      <c r="Q712" s="58"/>
      <c r="R712" s="70"/>
      <c r="S712" s="62" t="s">
        <v>194</v>
      </c>
      <c r="T712" s="32" t="s">
        <v>5961</v>
      </c>
      <c r="U712" s="33">
        <v>6.1999838868E10</v>
      </c>
      <c r="V712" s="33" t="s">
        <v>8051</v>
      </c>
      <c r="W712" s="34">
        <v>18667.0</v>
      </c>
      <c r="X712" s="23" t="s">
        <v>199</v>
      </c>
      <c r="Y712" s="49" t="str">
        <f t="shared" si="22"/>
        <v>Ativo</v>
      </c>
      <c r="Z712" s="62"/>
      <c r="AA712" s="62"/>
      <c r="AB712" s="64" t="s">
        <v>269</v>
      </c>
      <c r="AC712" s="79"/>
      <c r="AD712" s="54">
        <v>44953.0</v>
      </c>
      <c r="AE712" s="77">
        <v>4.9075100006067E13</v>
      </c>
      <c r="AF712" s="79"/>
      <c r="AG712" s="79"/>
      <c r="AH712" s="79"/>
      <c r="AI712" s="65">
        <v>37951.88</v>
      </c>
      <c r="AJ712" s="65">
        <v>80366.67</v>
      </c>
      <c r="AK712" s="65">
        <v>81226.47</v>
      </c>
      <c r="AL712" s="65">
        <v>81824.72</v>
      </c>
      <c r="AM712" s="65">
        <v>129627.9</v>
      </c>
      <c r="AN712" s="65">
        <v>130683.94</v>
      </c>
      <c r="AO712" s="65">
        <v>131755.43</v>
      </c>
      <c r="AP712" s="65">
        <v>133041.37</v>
      </c>
      <c r="AQ712" s="65">
        <v>134172.01</v>
      </c>
      <c r="AR712" s="65">
        <v>135424.92</v>
      </c>
      <c r="AS712" s="65">
        <v>136471.81</v>
      </c>
      <c r="AT712" s="65">
        <v>137256.54</v>
      </c>
      <c r="AU712" s="65">
        <v>137681.35</v>
      </c>
      <c r="AV712" s="65">
        <v>138635.19</v>
      </c>
      <c r="AW712" s="65">
        <v>139736.26</v>
      </c>
      <c r="AX712" s="65">
        <v>140809.29</v>
      </c>
      <c r="AY712" s="65">
        <v>141835.4</v>
      </c>
      <c r="AZ712" s="65">
        <v>142451.7</v>
      </c>
      <c r="BA712" s="65">
        <v>143658.0</v>
      </c>
      <c r="BB712" s="65">
        <v>144835.5</v>
      </c>
      <c r="BC712" s="65">
        <v>145853.65</v>
      </c>
      <c r="BD712" s="65">
        <v>147196.0</v>
      </c>
      <c r="BE712" s="65">
        <v>148248.88</v>
      </c>
      <c r="BF712" s="65">
        <v>149086.45</v>
      </c>
      <c r="BG712" s="65">
        <v>150343.21</v>
      </c>
      <c r="BH712" s="65">
        <v>151086.31</v>
      </c>
      <c r="BI712" s="65">
        <v>152632.94</v>
      </c>
      <c r="BJ712" s="65">
        <v>154271.36</v>
      </c>
      <c r="BK712" s="65">
        <v>161698.88</v>
      </c>
      <c r="BL712" s="65">
        <v>161794.46</v>
      </c>
      <c r="BM712" s="65">
        <v>163689.18</v>
      </c>
      <c r="BN712" s="65">
        <v>165446.4</v>
      </c>
      <c r="BO712" s="65">
        <v>167105.37</v>
      </c>
      <c r="BP712" s="65">
        <v>169050.9</v>
      </c>
      <c r="BQ712" s="65">
        <v>170066.1</v>
      </c>
      <c r="BR712" s="65">
        <v>171760.5</v>
      </c>
      <c r="BS712" s="65">
        <v>173698.63</v>
      </c>
      <c r="BT712" s="88">
        <v>174937.8</v>
      </c>
      <c r="BU712" s="65">
        <v>177115.8</v>
      </c>
      <c r="BV712" s="65">
        <v>179163.0</v>
      </c>
      <c r="BW712" s="90">
        <v>181137.4</v>
      </c>
      <c r="BX712" s="90">
        <v>182926.05</v>
      </c>
      <c r="BY712" s="90">
        <f t="array" ref="BY712">XLOOKUP(C712,'PL TOTAL D0'!$A$3:$A$1991,'PL TOTAL D0'!$C$3:$C$1991,"")</f>
        <v>184917.25</v>
      </c>
    </row>
    <row r="713" ht="15.75" customHeight="1">
      <c r="A713" s="43" t="s">
        <v>24</v>
      </c>
      <c r="B713" s="43" t="s">
        <v>8053</v>
      </c>
      <c r="C713" s="94" t="s">
        <v>8054</v>
      </c>
      <c r="D713" s="30" t="s">
        <v>120</v>
      </c>
      <c r="E713" s="22" t="s">
        <v>199</v>
      </c>
      <c r="F713" s="30" t="s">
        <v>290</v>
      </c>
      <c r="G713" s="47" t="str">
        <f t="shared" si="30"/>
        <v>David</v>
      </c>
      <c r="H713" s="49" t="s">
        <v>224</v>
      </c>
      <c r="I713" s="49" t="s">
        <v>66</v>
      </c>
      <c r="J713" s="47" t="str">
        <f t="shared" si="32"/>
        <v>Não</v>
      </c>
      <c r="K713" s="54">
        <v>45322.0</v>
      </c>
      <c r="L713" s="55">
        <v>45356.0</v>
      </c>
      <c r="M713" s="32" t="s">
        <v>61</v>
      </c>
      <c r="N713" s="56">
        <v>0.01</v>
      </c>
      <c r="O713" s="23" t="s">
        <v>66</v>
      </c>
      <c r="P713" s="57">
        <v>0.0</v>
      </c>
      <c r="Q713" s="58"/>
      <c r="R713" s="58" t="s">
        <v>8055</v>
      </c>
      <c r="S713" s="32" t="s">
        <v>194</v>
      </c>
      <c r="T713" s="32" t="s">
        <v>8056</v>
      </c>
      <c r="U713" s="33" t="s">
        <v>268</v>
      </c>
      <c r="V713" s="33"/>
      <c r="W713" s="33" t="s">
        <v>268</v>
      </c>
      <c r="X713" s="23" t="s">
        <v>54</v>
      </c>
      <c r="Y713" s="49" t="str">
        <f t="shared" si="22"/>
        <v>Encerrado</v>
      </c>
      <c r="Z713" s="62"/>
      <c r="AA713" s="62"/>
      <c r="AB713" s="64" t="s">
        <v>244</v>
      </c>
      <c r="AC713" s="79"/>
      <c r="AD713" s="54">
        <v>45322.0</v>
      </c>
      <c r="AE713" s="77">
        <v>4.9075100013365E13</v>
      </c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65">
        <v>0.0</v>
      </c>
      <c r="AV713" s="65">
        <v>135193.12</v>
      </c>
      <c r="AW713" s="65">
        <v>0.0</v>
      </c>
      <c r="AX713" s="65">
        <v>0.0</v>
      </c>
      <c r="AY713" s="65">
        <v>0.0</v>
      </c>
      <c r="AZ713" s="65">
        <v>0.0</v>
      </c>
      <c r="BA713" s="65">
        <v>0.0</v>
      </c>
      <c r="BB713" s="65">
        <v>0.0</v>
      </c>
      <c r="BC713" s="65">
        <v>0.0</v>
      </c>
      <c r="BD713" s="65">
        <v>0.0</v>
      </c>
      <c r="BE713" s="65">
        <v>0.0</v>
      </c>
      <c r="BF713" s="65">
        <v>0.0</v>
      </c>
      <c r="BG713" s="65">
        <v>0.0</v>
      </c>
      <c r="BH713" s="65">
        <v>0.0</v>
      </c>
      <c r="BI713" s="65">
        <v>0.0</v>
      </c>
      <c r="BJ713" s="65">
        <v>0.0</v>
      </c>
      <c r="BK713" s="65">
        <v>0.0</v>
      </c>
      <c r="BL713" s="65">
        <v>0.0</v>
      </c>
      <c r="BM713" s="65">
        <v>0.0</v>
      </c>
      <c r="BN713" s="65">
        <v>0.0</v>
      </c>
      <c r="BO713" s="65">
        <v>0.0</v>
      </c>
      <c r="BP713" s="65">
        <v>0.0</v>
      </c>
      <c r="BQ713" s="65">
        <v>0.0</v>
      </c>
      <c r="BR713" s="65">
        <v>0.0</v>
      </c>
      <c r="BS713" s="65">
        <v>0.0</v>
      </c>
      <c r="BT713" s="88">
        <v>0.0</v>
      </c>
      <c r="BU713" s="65">
        <v>0.0</v>
      </c>
      <c r="BV713" s="65">
        <v>0.0</v>
      </c>
      <c r="BW713" s="90">
        <v>0.0</v>
      </c>
      <c r="BX713" s="90">
        <v>0.0</v>
      </c>
      <c r="BY713" s="90" t="str">
        <f t="array" ref="BY713">XLOOKUP(C713,'PL TOTAL D0'!$A$3:$A$1991,'PL TOTAL D0'!$C$3:$C$1991,"")</f>
        <v/>
      </c>
    </row>
    <row r="714" ht="15.75" customHeight="1">
      <c r="A714" s="43" t="s">
        <v>24</v>
      </c>
      <c r="B714" s="43" t="s">
        <v>8058</v>
      </c>
      <c r="C714" s="94" t="s">
        <v>8059</v>
      </c>
      <c r="D714" s="30" t="s">
        <v>249</v>
      </c>
      <c r="E714" s="22" t="s">
        <v>199</v>
      </c>
      <c r="F714" s="30" t="s">
        <v>251</v>
      </c>
      <c r="G714" s="47" t="str">
        <f t="shared" si="30"/>
        <v>David</v>
      </c>
      <c r="H714" s="49" t="s">
        <v>295</v>
      </c>
      <c r="I714" s="49" t="s">
        <v>382</v>
      </c>
      <c r="J714" s="47" t="str">
        <f t="shared" si="32"/>
        <v>Não</v>
      </c>
      <c r="K714" s="54">
        <v>45699.0</v>
      </c>
      <c r="L714" s="55"/>
      <c r="M714" s="32" t="s">
        <v>34</v>
      </c>
      <c r="N714" s="56">
        <v>0.012</v>
      </c>
      <c r="O714" s="23" t="s">
        <v>66</v>
      </c>
      <c r="P714" s="57">
        <v>0.0</v>
      </c>
      <c r="Q714" s="58"/>
      <c r="R714" s="58"/>
      <c r="S714" s="32" t="s">
        <v>194</v>
      </c>
      <c r="T714" s="32" t="s">
        <v>8061</v>
      </c>
      <c r="U714" s="33">
        <v>5.561993516422E12</v>
      </c>
      <c r="V714" s="33" t="s">
        <v>8062</v>
      </c>
      <c r="W714" s="34">
        <v>22411.0</v>
      </c>
      <c r="X714" s="23" t="s">
        <v>199</v>
      </c>
      <c r="Y714" s="49" t="str">
        <f t="shared" si="22"/>
        <v>Ativo</v>
      </c>
      <c r="Z714" s="62"/>
      <c r="AA714" s="32" t="s">
        <v>47</v>
      </c>
      <c r="AB714" s="64"/>
      <c r="AC714" s="79"/>
      <c r="AD714" s="54">
        <v>45699.0</v>
      </c>
      <c r="AE714" s="77">
        <v>4.9075100018103E13</v>
      </c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>
        <v>101589.3</v>
      </c>
      <c r="BI714" s="65">
        <v>102893.08</v>
      </c>
      <c r="BJ714" s="65">
        <v>103960.85</v>
      </c>
      <c r="BK714" s="65">
        <v>105010.67</v>
      </c>
      <c r="BL714" s="65">
        <v>106042.37</v>
      </c>
      <c r="BM714" s="65">
        <v>9495.66</v>
      </c>
      <c r="BN714" s="65">
        <v>1.75</v>
      </c>
      <c r="BO714" s="65">
        <v>1.75</v>
      </c>
      <c r="BP714" s="65">
        <v>1.75</v>
      </c>
      <c r="BQ714" s="65">
        <v>1.75</v>
      </c>
      <c r="BR714" s="65">
        <v>1.75</v>
      </c>
      <c r="BS714" s="65">
        <v>1.75</v>
      </c>
      <c r="BT714" s="88">
        <v>1.75</v>
      </c>
      <c r="BU714" s="65">
        <v>1.75</v>
      </c>
      <c r="BV714" s="65">
        <v>1.75</v>
      </c>
      <c r="BW714" s="90">
        <v>1.75</v>
      </c>
      <c r="BX714" s="90">
        <v>1.75</v>
      </c>
      <c r="BY714" s="90" t="str">
        <f t="array" ref="BY714">XLOOKUP(C714,'PL TOTAL D0'!$A$3:$A$1991,'PL TOTAL D0'!$C$3:$C$1991,"")</f>
        <v/>
      </c>
    </row>
    <row r="715" ht="15.75" customHeight="1">
      <c r="A715" s="43" t="s">
        <v>24</v>
      </c>
      <c r="B715" s="43" t="s">
        <v>8064</v>
      </c>
      <c r="C715" s="94" t="s">
        <v>3429</v>
      </c>
      <c r="D715" s="30" t="s">
        <v>249</v>
      </c>
      <c r="E715" s="22" t="s">
        <v>199</v>
      </c>
      <c r="F715" s="30" t="s">
        <v>251</v>
      </c>
      <c r="G715" s="47" t="str">
        <f t="shared" si="30"/>
        <v>David</v>
      </c>
      <c r="H715" s="49" t="s">
        <v>183</v>
      </c>
      <c r="I715" s="49" t="s">
        <v>66</v>
      </c>
      <c r="J715" s="47" t="str">
        <f t="shared" si="32"/>
        <v>Não</v>
      </c>
      <c r="K715" s="54">
        <v>45576.0</v>
      </c>
      <c r="L715" s="55"/>
      <c r="M715" s="32" t="s">
        <v>61</v>
      </c>
      <c r="N715" s="56">
        <v>0.012</v>
      </c>
      <c r="O715" s="23" t="s">
        <v>66</v>
      </c>
      <c r="P715" s="57">
        <v>0.0</v>
      </c>
      <c r="Q715" s="58"/>
      <c r="R715" s="841" t="s">
        <v>8065</v>
      </c>
      <c r="S715" s="32" t="s">
        <v>194</v>
      </c>
      <c r="T715" s="32" t="s">
        <v>8066</v>
      </c>
      <c r="U715" s="33">
        <v>5.534992470468E12</v>
      </c>
      <c r="V715" s="33" t="s">
        <v>8067</v>
      </c>
      <c r="W715" s="34">
        <v>34912.0</v>
      </c>
      <c r="X715" s="23" t="s">
        <v>618</v>
      </c>
      <c r="Y715" s="49" t="str">
        <f t="shared" si="22"/>
        <v>Ativo</v>
      </c>
      <c r="Z715" s="62"/>
      <c r="AA715" s="32" t="s">
        <v>47</v>
      </c>
      <c r="AB715" s="64"/>
      <c r="AC715" s="79"/>
      <c r="AD715" s="54">
        <v>45576.0</v>
      </c>
      <c r="AE715" s="77">
        <v>4.9075100015929E13</v>
      </c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>
        <v>5022.24</v>
      </c>
      <c r="BE715" s="65">
        <v>6557.01</v>
      </c>
      <c r="BF715" s="65">
        <v>9630.46</v>
      </c>
      <c r="BG715" s="65">
        <v>15787.07</v>
      </c>
      <c r="BH715" s="65">
        <v>11904.75</v>
      </c>
      <c r="BI715" s="65">
        <v>41823.5</v>
      </c>
      <c r="BJ715" s="65">
        <v>37795.6</v>
      </c>
      <c r="BK715" s="65">
        <v>58231.42</v>
      </c>
      <c r="BL715" s="65">
        <v>55773.16</v>
      </c>
      <c r="BM715" s="65">
        <v>50729.5</v>
      </c>
      <c r="BN715" s="65">
        <v>51319.83</v>
      </c>
      <c r="BO715" s="65">
        <v>51905.1</v>
      </c>
      <c r="BP715" s="65">
        <v>52587.36</v>
      </c>
      <c r="BQ715" s="65">
        <v>51138.55</v>
      </c>
      <c r="BR715" s="65">
        <v>51674.06</v>
      </c>
      <c r="BS715" s="65">
        <v>52319.92</v>
      </c>
      <c r="BT715" s="88">
        <v>52788.77</v>
      </c>
      <c r="BU715" s="65">
        <v>52992.86</v>
      </c>
      <c r="BV715" s="65">
        <v>53552.65</v>
      </c>
      <c r="BW715" s="90">
        <v>54107.7</v>
      </c>
      <c r="BX715" s="90">
        <v>55324.76</v>
      </c>
      <c r="BY715" s="90">
        <f t="array" ref="BY715">XLOOKUP(C715,'PL TOTAL D0'!$A$3:$A$1991,'PL TOTAL D0'!$C$3:$C$1991,"")</f>
        <v>56910.44</v>
      </c>
    </row>
    <row r="716" ht="15.75" customHeight="1">
      <c r="A716" s="43" t="s">
        <v>24</v>
      </c>
      <c r="B716" s="43" t="s">
        <v>1238</v>
      </c>
      <c r="C716" s="94" t="s">
        <v>2566</v>
      </c>
      <c r="D716" s="30" t="s">
        <v>142</v>
      </c>
      <c r="E716" s="22" t="s">
        <v>54</v>
      </c>
      <c r="F716" s="30" t="s">
        <v>158</v>
      </c>
      <c r="G716" s="47" t="str">
        <f t="shared" si="30"/>
        <v>Marcus</v>
      </c>
      <c r="H716" s="49" t="s">
        <v>183</v>
      </c>
      <c r="I716" s="49" t="s">
        <v>66</v>
      </c>
      <c r="J716" s="47" t="str">
        <f t="shared" si="32"/>
        <v>Não</v>
      </c>
      <c r="K716" s="54">
        <v>45314.0</v>
      </c>
      <c r="L716" s="62"/>
      <c r="M716" s="32" t="s">
        <v>61</v>
      </c>
      <c r="N716" s="56">
        <v>0.012</v>
      </c>
      <c r="O716" s="23" t="s">
        <v>66</v>
      </c>
      <c r="P716" s="57">
        <v>0.0</v>
      </c>
      <c r="Q716" s="58"/>
      <c r="R716" s="70"/>
      <c r="S716" s="32" t="s">
        <v>194</v>
      </c>
      <c r="T716" s="32" t="s">
        <v>1241</v>
      </c>
      <c r="U716" s="33">
        <v>6.299688744E10</v>
      </c>
      <c r="V716" s="33" t="s">
        <v>8071</v>
      </c>
      <c r="W716" s="34">
        <v>19022.0</v>
      </c>
      <c r="X716" s="23" t="s">
        <v>54</v>
      </c>
      <c r="Y716" s="49" t="str">
        <f t="shared" si="22"/>
        <v>Ativo</v>
      </c>
      <c r="Z716" s="62"/>
      <c r="AA716" s="62"/>
      <c r="AB716" s="64" t="s">
        <v>269</v>
      </c>
      <c r="AC716" s="79"/>
      <c r="AD716" s="54">
        <v>45314.0</v>
      </c>
      <c r="AE716" s="77">
        <v>4.9075100013209E13</v>
      </c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65">
        <v>350558.06</v>
      </c>
      <c r="AV716" s="65">
        <v>403578.75</v>
      </c>
      <c r="AW716" s="65">
        <v>567918.27</v>
      </c>
      <c r="AX716" s="65">
        <v>620290.48</v>
      </c>
      <c r="AY716" s="65">
        <v>624402.3</v>
      </c>
      <c r="AZ716" s="65">
        <v>931162.2</v>
      </c>
      <c r="BA716" s="65">
        <v>1140332.0</v>
      </c>
      <c r="BB716" s="65">
        <v>1242978.57</v>
      </c>
      <c r="BC716" s="65">
        <v>1250893.84</v>
      </c>
      <c r="BD716" s="65">
        <v>1362586.58</v>
      </c>
      <c r="BE716" s="65">
        <v>1593674.2</v>
      </c>
      <c r="BF716" s="65">
        <v>1647584.03</v>
      </c>
      <c r="BG716" s="65">
        <v>1733825.64</v>
      </c>
      <c r="BH716" s="65">
        <v>1749794.61</v>
      </c>
      <c r="BI716" s="65">
        <v>1766145.83</v>
      </c>
      <c r="BJ716" s="65">
        <v>1858437.63</v>
      </c>
      <c r="BK716" s="65">
        <v>1876495.2</v>
      </c>
      <c r="BL716" s="65">
        <v>1891360.93</v>
      </c>
      <c r="BM716" s="65">
        <v>1911778.2</v>
      </c>
      <c r="BN716" s="65">
        <v>1930021.0</v>
      </c>
      <c r="BO716" s="65">
        <v>1947854.6</v>
      </c>
      <c r="BP716" s="65">
        <v>1969337.0</v>
      </c>
      <c r="BQ716" s="65">
        <v>1985183.0</v>
      </c>
      <c r="BR716" s="65">
        <v>1999918.0</v>
      </c>
      <c r="BS716" s="65">
        <v>2015079.36</v>
      </c>
      <c r="BT716" s="88">
        <v>2028484.0</v>
      </c>
      <c r="BU716" s="65">
        <v>2048452.0</v>
      </c>
      <c r="BV716" s="65">
        <v>2069260.0</v>
      </c>
      <c r="BW716" s="90">
        <v>2214215.0</v>
      </c>
      <c r="BX716" s="90">
        <v>2224903.81</v>
      </c>
      <c r="BY716" s="90">
        <f t="array" ref="BY716">XLOOKUP(C716,'PL TOTAL D0'!$A$3:$A$1991,'PL TOTAL D0'!$C$3:$C$1991,"")</f>
        <v>2248605.22</v>
      </c>
    </row>
    <row r="717" ht="15.75" customHeight="1">
      <c r="A717" s="43" t="s">
        <v>24</v>
      </c>
      <c r="B717" s="43" t="s">
        <v>8074</v>
      </c>
      <c r="C717" s="53" t="s">
        <v>8075</v>
      </c>
      <c r="D717" s="30" t="s">
        <v>27</v>
      </c>
      <c r="E717" s="22" t="s">
        <v>28</v>
      </c>
      <c r="F717" s="30" t="s">
        <v>908</v>
      </c>
      <c r="G717" s="47" t="str">
        <f t="shared" si="30"/>
        <v>David</v>
      </c>
      <c r="H717" s="49" t="s">
        <v>335</v>
      </c>
      <c r="I717" s="49" t="s">
        <v>66</v>
      </c>
      <c r="J717" s="47" t="str">
        <f t="shared" si="32"/>
        <v>Não</v>
      </c>
      <c r="K717" s="54">
        <v>46237.0</v>
      </c>
      <c r="L717" s="62"/>
      <c r="M717" s="32" t="s">
        <v>34</v>
      </c>
      <c r="N717" s="56">
        <v>0.012</v>
      </c>
      <c r="O717" s="23" t="s">
        <v>35</v>
      </c>
      <c r="P717" s="57">
        <v>0.1</v>
      </c>
      <c r="Q717" s="58"/>
      <c r="R717" s="70"/>
      <c r="S717" s="32" t="s">
        <v>194</v>
      </c>
      <c r="T717" s="32" t="s">
        <v>8076</v>
      </c>
      <c r="U717" s="33" t="s">
        <v>8077</v>
      </c>
      <c r="V717" s="33" t="s">
        <v>8078</v>
      </c>
      <c r="W717" s="34">
        <v>30463.0</v>
      </c>
      <c r="X717" s="23" t="s">
        <v>1172</v>
      </c>
      <c r="Y717" s="49" t="str">
        <f t="shared" si="22"/>
        <v>Ativo</v>
      </c>
      <c r="Z717" s="62"/>
      <c r="AA717" s="32" t="s">
        <v>47</v>
      </c>
      <c r="AB717" s="64"/>
      <c r="AC717" s="79"/>
      <c r="AD717" s="54"/>
      <c r="AE717" s="77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  <c r="BM717" s="65"/>
      <c r="BN717" s="65"/>
      <c r="BO717" s="65"/>
      <c r="BP717" s="65"/>
      <c r="BQ717" s="65"/>
      <c r="BR717" s="65"/>
      <c r="BS717" s="65"/>
      <c r="BT717" s="88"/>
      <c r="BU717" s="65"/>
      <c r="BV717" s="65"/>
      <c r="BW717" s="90"/>
      <c r="BX717" s="90"/>
      <c r="BY717" s="90"/>
    </row>
    <row r="718" ht="15.75" customHeight="1">
      <c r="A718" s="50" t="s">
        <v>24</v>
      </c>
      <c r="B718" s="176" t="s">
        <v>8079</v>
      </c>
      <c r="C718" s="94" t="s">
        <v>8080</v>
      </c>
      <c r="D718" s="81" t="s">
        <v>255</v>
      </c>
      <c r="E718" s="95" t="s">
        <v>199</v>
      </c>
      <c r="F718" s="95" t="s">
        <v>3611</v>
      </c>
      <c r="G718" s="47" t="str">
        <f t="shared" si="30"/>
        <v>David</v>
      </c>
      <c r="H718" s="49" t="s">
        <v>224</v>
      </c>
      <c r="I718" s="74" t="s">
        <v>66</v>
      </c>
      <c r="J718" s="47" t="str">
        <f t="shared" si="32"/>
        <v>Não</v>
      </c>
      <c r="K718" s="97">
        <v>44998.0</v>
      </c>
      <c r="L718" s="55">
        <v>45407.0</v>
      </c>
      <c r="M718" s="62" t="s">
        <v>209</v>
      </c>
      <c r="N718" s="98">
        <v>0.015</v>
      </c>
      <c r="O718" s="47" t="s">
        <v>35</v>
      </c>
      <c r="P718" s="99">
        <v>0.1</v>
      </c>
      <c r="Q718" s="58"/>
      <c r="R718" s="58" t="s">
        <v>8082</v>
      </c>
      <c r="S718" s="62" t="s">
        <v>194</v>
      </c>
      <c r="T718" s="32" t="s">
        <v>5974</v>
      </c>
      <c r="U718" s="33" t="s">
        <v>268</v>
      </c>
      <c r="V718" s="33"/>
      <c r="W718" s="33" t="s">
        <v>268</v>
      </c>
      <c r="X718" s="23" t="s">
        <v>199</v>
      </c>
      <c r="Y718" s="49" t="str">
        <f t="shared" si="22"/>
        <v>Encerrado</v>
      </c>
      <c r="Z718" s="62"/>
      <c r="AA718" s="62"/>
      <c r="AB718" s="64" t="s">
        <v>269</v>
      </c>
      <c r="AC718" s="79"/>
      <c r="AD718" s="54">
        <v>44998.0</v>
      </c>
      <c r="AE718" s="77"/>
      <c r="AF718" s="79"/>
      <c r="AG718" s="79"/>
      <c r="AH718" s="79"/>
      <c r="AI718" s="79"/>
      <c r="AJ718" s="79"/>
      <c r="AK718" s="65">
        <v>162023.29</v>
      </c>
      <c r="AL718" s="65">
        <v>444063.69</v>
      </c>
      <c r="AM718" s="65">
        <v>168414.97</v>
      </c>
      <c r="AN718" s="65">
        <v>170952.21</v>
      </c>
      <c r="AO718" s="65">
        <v>171906.21</v>
      </c>
      <c r="AP718" s="65">
        <v>171802.08</v>
      </c>
      <c r="AQ718" s="65">
        <v>172413.02</v>
      </c>
      <c r="AR718" s="65">
        <v>171877.91</v>
      </c>
      <c r="AS718" s="65">
        <v>175962.99</v>
      </c>
      <c r="AT718" s="65">
        <v>179581.79</v>
      </c>
      <c r="AU718" s="65">
        <v>176745.19</v>
      </c>
      <c r="AV718" s="65">
        <v>178110.95</v>
      </c>
      <c r="AW718" s="65">
        <v>179899.19</v>
      </c>
      <c r="AX718" s="65">
        <v>0.0</v>
      </c>
      <c r="AY718" s="65">
        <v>0.0</v>
      </c>
      <c r="AZ718" s="65">
        <v>0.0</v>
      </c>
      <c r="BA718" s="65">
        <v>0.0</v>
      </c>
      <c r="BB718" s="65">
        <v>0.0</v>
      </c>
      <c r="BC718" s="65">
        <v>0.0</v>
      </c>
      <c r="BD718" s="65">
        <v>0.0</v>
      </c>
      <c r="BE718" s="65">
        <v>0.0</v>
      </c>
      <c r="BF718" s="65">
        <v>0.0</v>
      </c>
      <c r="BG718" s="65">
        <v>0.0</v>
      </c>
      <c r="BH718" s="65">
        <v>0.0</v>
      </c>
      <c r="BI718" s="65">
        <v>0.0</v>
      </c>
      <c r="BJ718" s="65">
        <v>0.0</v>
      </c>
      <c r="BK718" s="65">
        <v>0.0</v>
      </c>
      <c r="BL718" s="65">
        <v>0.0</v>
      </c>
      <c r="BM718" s="65">
        <v>0.0</v>
      </c>
      <c r="BN718" s="65">
        <v>0.0</v>
      </c>
      <c r="BO718" s="65">
        <v>0.0</v>
      </c>
      <c r="BP718" s="65">
        <v>0.0</v>
      </c>
      <c r="BQ718" s="65">
        <v>0.0</v>
      </c>
      <c r="BR718" s="65">
        <v>0.0</v>
      </c>
      <c r="BS718" s="65">
        <v>0.0</v>
      </c>
      <c r="BT718" s="88">
        <v>0.0</v>
      </c>
      <c r="BU718" s="65">
        <v>0.0</v>
      </c>
      <c r="BV718" s="65">
        <v>0.0</v>
      </c>
      <c r="BW718" s="90">
        <v>0.0</v>
      </c>
      <c r="BX718" s="90">
        <v>0.0</v>
      </c>
      <c r="BY718" s="90" t="str">
        <f t="array" ref="BY718">XLOOKUP(C718,'PL TOTAL D0'!$A$3:$A$1991,'PL TOTAL D0'!$C$3:$C$1991,"")</f>
        <v/>
      </c>
    </row>
    <row r="719" ht="15.75" customHeight="1">
      <c r="A719" s="50" t="s">
        <v>24</v>
      </c>
      <c r="B719" s="39" t="s">
        <v>8084</v>
      </c>
      <c r="C719" s="53" t="s">
        <v>3000</v>
      </c>
      <c r="D719" s="30" t="s">
        <v>53</v>
      </c>
      <c r="E719" s="22" t="s">
        <v>54</v>
      </c>
      <c r="F719" s="22" t="s">
        <v>497</v>
      </c>
      <c r="G719" s="47" t="str">
        <f t="shared" si="30"/>
        <v>David</v>
      </c>
      <c r="H719" s="49" t="s">
        <v>183</v>
      </c>
      <c r="I719" s="49" t="s">
        <v>66</v>
      </c>
      <c r="J719" s="47" t="str">
        <f t="shared" si="32"/>
        <v>Não</v>
      </c>
      <c r="K719" s="54">
        <v>46163.0</v>
      </c>
      <c r="L719" s="55"/>
      <c r="M719" s="32" t="s">
        <v>61</v>
      </c>
      <c r="N719" s="56">
        <v>0.012</v>
      </c>
      <c r="O719" s="23" t="s">
        <v>66</v>
      </c>
      <c r="P719" s="57">
        <v>0.0</v>
      </c>
      <c r="Q719" s="58"/>
      <c r="R719" s="58"/>
      <c r="S719" s="32" t="s">
        <v>194</v>
      </c>
      <c r="T719" s="32" t="s">
        <v>8085</v>
      </c>
      <c r="U719" s="33" t="s">
        <v>8086</v>
      </c>
      <c r="V719" s="33" t="s">
        <v>8087</v>
      </c>
      <c r="W719" s="48">
        <v>21316.0</v>
      </c>
      <c r="X719" s="23" t="s">
        <v>54</v>
      </c>
      <c r="Y719" s="49" t="str">
        <f t="shared" si="22"/>
        <v>Ativo</v>
      </c>
      <c r="Z719" s="62"/>
      <c r="AA719" s="32" t="s">
        <v>47</v>
      </c>
      <c r="AB719" s="64"/>
      <c r="AC719" s="79"/>
      <c r="AD719" s="54">
        <v>46203.0</v>
      </c>
      <c r="AE719" s="77"/>
      <c r="AF719" s="79"/>
      <c r="AG719" s="79"/>
      <c r="AH719" s="79"/>
      <c r="AI719" s="79"/>
      <c r="AJ719" s="79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  <c r="BM719" s="65"/>
      <c r="BN719" s="65"/>
      <c r="BO719" s="65"/>
      <c r="BP719" s="65"/>
      <c r="BQ719" s="65"/>
      <c r="BR719" s="65"/>
      <c r="BS719" s="65"/>
      <c r="BT719" s="88"/>
      <c r="BU719" s="65"/>
      <c r="BV719" s="65"/>
      <c r="BW719" s="90">
        <v>0.0</v>
      </c>
      <c r="BX719" s="90">
        <v>355462.9</v>
      </c>
      <c r="BY719" s="90">
        <f t="array" ref="BY719">XLOOKUP(C719,'PL TOTAL D0'!$A$3:$A$1991,'PL TOTAL D0'!$C$3:$C$1991,"")</f>
        <v>359821.2</v>
      </c>
    </row>
    <row r="720" ht="15.75" customHeight="1">
      <c r="A720" s="50" t="s">
        <v>24</v>
      </c>
      <c r="B720" s="39" t="s">
        <v>8091</v>
      </c>
      <c r="C720" s="53" t="s">
        <v>2956</v>
      </c>
      <c r="D720" s="30" t="s">
        <v>120</v>
      </c>
      <c r="E720" s="22" t="s">
        <v>199</v>
      </c>
      <c r="F720" s="22" t="s">
        <v>290</v>
      </c>
      <c r="G720" s="47" t="str">
        <f t="shared" si="30"/>
        <v>David</v>
      </c>
      <c r="H720" s="49" t="s">
        <v>183</v>
      </c>
      <c r="I720" s="49" t="s">
        <v>66</v>
      </c>
      <c r="J720" s="47" t="str">
        <f t="shared" si="32"/>
        <v>Não</v>
      </c>
      <c r="K720" s="54">
        <v>46192.0</v>
      </c>
      <c r="L720" s="55"/>
      <c r="M720" s="32" t="s">
        <v>61</v>
      </c>
      <c r="N720" s="56">
        <v>0.012</v>
      </c>
      <c r="O720" s="23" t="s">
        <v>66</v>
      </c>
      <c r="P720" s="57">
        <v>0.0</v>
      </c>
      <c r="Q720" s="58"/>
      <c r="R720" s="58"/>
      <c r="S720" s="32" t="s">
        <v>194</v>
      </c>
      <c r="T720" s="32" t="s">
        <v>8092</v>
      </c>
      <c r="U720" s="33" t="s">
        <v>8093</v>
      </c>
      <c r="V720" s="33" t="s">
        <v>8094</v>
      </c>
      <c r="W720" s="48">
        <v>30344.0</v>
      </c>
      <c r="X720" s="23" t="s">
        <v>199</v>
      </c>
      <c r="Y720" s="49" t="str">
        <f t="shared" si="22"/>
        <v>Ativo</v>
      </c>
      <c r="Z720" s="62"/>
      <c r="AA720" s="32" t="s">
        <v>47</v>
      </c>
      <c r="AB720" s="64"/>
      <c r="AC720" s="79"/>
      <c r="AD720" s="54">
        <v>46203.0</v>
      </c>
      <c r="AE720" s="77"/>
      <c r="AF720" s="79"/>
      <c r="AG720" s="79"/>
      <c r="AH720" s="79"/>
      <c r="AI720" s="79"/>
      <c r="AJ720" s="79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  <c r="BM720" s="65"/>
      <c r="BN720" s="65"/>
      <c r="BO720" s="65"/>
      <c r="BP720" s="65"/>
      <c r="BQ720" s="65"/>
      <c r="BR720" s="65"/>
      <c r="BS720" s="65"/>
      <c r="BT720" s="88"/>
      <c r="BU720" s="65"/>
      <c r="BV720" s="65"/>
      <c r="BW720" s="90"/>
      <c r="BX720" s="90">
        <v>85131.44</v>
      </c>
      <c r="BY720" s="90">
        <f t="array" ref="BY720">XLOOKUP(C720,'PL TOTAL D0'!$A$3:$A$1991,'PL TOTAL D0'!$C$3:$C$1991,"")</f>
        <v>426424.15</v>
      </c>
    </row>
    <row r="721" ht="15.75" customHeight="1">
      <c r="A721" s="50" t="s">
        <v>24</v>
      </c>
      <c r="B721" s="39" t="s">
        <v>8091</v>
      </c>
      <c r="C721" s="53" t="s">
        <v>2786</v>
      </c>
      <c r="D721" s="30" t="s">
        <v>120</v>
      </c>
      <c r="E721" s="22" t="s">
        <v>199</v>
      </c>
      <c r="F721" s="22" t="s">
        <v>290</v>
      </c>
      <c r="G721" s="47" t="str">
        <f t="shared" si="30"/>
        <v>David</v>
      </c>
      <c r="H721" s="49" t="s">
        <v>183</v>
      </c>
      <c r="I721" s="49" t="s">
        <v>66</v>
      </c>
      <c r="J721" s="47" t="str">
        <f t="shared" si="32"/>
        <v>Não</v>
      </c>
      <c r="K721" s="54">
        <v>46218.0</v>
      </c>
      <c r="L721" s="55"/>
      <c r="M721" s="32" t="s">
        <v>557</v>
      </c>
      <c r="N721" s="56">
        <v>0.007</v>
      </c>
      <c r="O721" s="23" t="s">
        <v>66</v>
      </c>
      <c r="P721" s="57">
        <v>0.0</v>
      </c>
      <c r="Q721" s="58"/>
      <c r="R721" s="58"/>
      <c r="S721" s="32" t="s">
        <v>194</v>
      </c>
      <c r="T721" s="32" t="s">
        <v>8092</v>
      </c>
      <c r="U721" s="33" t="s">
        <v>8093</v>
      </c>
      <c r="V721" s="33" t="s">
        <v>8094</v>
      </c>
      <c r="W721" s="48">
        <v>30344.0</v>
      </c>
      <c r="X721" s="23" t="s">
        <v>199</v>
      </c>
      <c r="Y721" s="49" t="str">
        <f t="shared" si="22"/>
        <v>Ativo</v>
      </c>
      <c r="Z721" s="62"/>
      <c r="AA721" s="32" t="s">
        <v>47</v>
      </c>
      <c r="AB721" s="64"/>
      <c r="AC721" s="79"/>
      <c r="AD721" s="54">
        <v>46203.0</v>
      </c>
      <c r="AE721" s="77"/>
      <c r="AF721" s="79"/>
      <c r="AG721" s="79"/>
      <c r="AH721" s="79"/>
      <c r="AI721" s="79"/>
      <c r="AJ721" s="79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  <c r="BM721" s="65"/>
      <c r="BN721" s="65"/>
      <c r="BO721" s="65"/>
      <c r="BP721" s="65"/>
      <c r="BQ721" s="65"/>
      <c r="BR721" s="65"/>
      <c r="BS721" s="65"/>
      <c r="BT721" s="88"/>
      <c r="BU721" s="65"/>
      <c r="BV721" s="65"/>
      <c r="BW721" s="90"/>
      <c r="BX721" s="90">
        <v>85131.44</v>
      </c>
      <c r="BY721" s="90">
        <f t="array" ref="BY721">XLOOKUP(C721,'PL TOTAL D0'!$A$3:$A$1991,'PL TOTAL D0'!$C$3:$C$1991,"")</f>
        <v>720073.96</v>
      </c>
    </row>
    <row r="722" ht="15.0" customHeight="1">
      <c r="A722" s="43" t="s">
        <v>24</v>
      </c>
      <c r="B722" s="43" t="s">
        <v>8099</v>
      </c>
      <c r="C722" s="94" t="s">
        <v>8100</v>
      </c>
      <c r="D722" s="30" t="s">
        <v>89</v>
      </c>
      <c r="E722" s="22" t="s">
        <v>91</v>
      </c>
      <c r="F722" s="30" t="s">
        <v>884</v>
      </c>
      <c r="G722" s="47" t="str">
        <f t="shared" si="30"/>
        <v>David</v>
      </c>
      <c r="H722" s="49" t="s">
        <v>295</v>
      </c>
      <c r="I722" s="49" t="s">
        <v>382</v>
      </c>
      <c r="J722" s="47" t="str">
        <f t="shared" si="32"/>
        <v>Não</v>
      </c>
      <c r="K722" s="54">
        <v>45645.0</v>
      </c>
      <c r="L722" s="62"/>
      <c r="M722" s="32" t="s">
        <v>61</v>
      </c>
      <c r="N722" s="56">
        <v>0.012</v>
      </c>
      <c r="O722" s="23" t="s">
        <v>66</v>
      </c>
      <c r="P722" s="57">
        <v>0.0</v>
      </c>
      <c r="Q722" s="58"/>
      <c r="R722" s="70"/>
      <c r="S722" s="32" t="s">
        <v>194</v>
      </c>
      <c r="T722" s="32" t="s">
        <v>8101</v>
      </c>
      <c r="U722" s="33">
        <v>5.543998026618E12</v>
      </c>
      <c r="V722" s="33" t="s">
        <v>8102</v>
      </c>
      <c r="W722" s="48">
        <v>28817.0</v>
      </c>
      <c r="X722" s="23" t="s">
        <v>221</v>
      </c>
      <c r="Y722" s="49" t="str">
        <f t="shared" si="22"/>
        <v>Ativo</v>
      </c>
      <c r="Z722" s="62"/>
      <c r="AA722" s="32" t="s">
        <v>47</v>
      </c>
      <c r="AB722" s="64"/>
      <c r="AC722" s="79"/>
      <c r="AD722" s="54">
        <v>45645.0</v>
      </c>
      <c r="AE722" s="77">
        <v>4.9075100016429E13</v>
      </c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>
        <v>60153.1</v>
      </c>
      <c r="BG722" s="65">
        <v>60748.69</v>
      </c>
      <c r="BH722" s="65">
        <v>3.28</v>
      </c>
      <c r="BI722" s="65">
        <v>4.18</v>
      </c>
      <c r="BJ722" s="65">
        <v>0.0</v>
      </c>
      <c r="BK722" s="65">
        <v>0.0</v>
      </c>
      <c r="BL722" s="65">
        <v>0.0</v>
      </c>
      <c r="BM722" s="65">
        <v>0.0</v>
      </c>
      <c r="BN722" s="65">
        <v>0.0</v>
      </c>
      <c r="BO722" s="65">
        <v>0.0</v>
      </c>
      <c r="BP722" s="65">
        <v>0.0</v>
      </c>
      <c r="BQ722" s="65">
        <v>0.0</v>
      </c>
      <c r="BR722" s="65">
        <v>0.0</v>
      </c>
      <c r="BS722" s="65">
        <v>0.0</v>
      </c>
      <c r="BT722" s="88">
        <v>0.0</v>
      </c>
      <c r="BU722" s="65">
        <v>0.0</v>
      </c>
      <c r="BV722" s="65">
        <v>0.0</v>
      </c>
      <c r="BW722" s="90">
        <v>0.0</v>
      </c>
      <c r="BX722" s="90">
        <v>0.0</v>
      </c>
      <c r="BY722" s="90" t="str">
        <f t="array" ref="BY722">XLOOKUP(C722,'PL TOTAL D0'!$A$3:$A$1991,'PL TOTAL D0'!$C$3:$C$1991,"")</f>
        <v/>
      </c>
    </row>
    <row r="723" ht="15.0" customHeight="1">
      <c r="A723" s="50" t="s">
        <v>24</v>
      </c>
      <c r="B723" s="39" t="s">
        <v>8105</v>
      </c>
      <c r="C723" s="94" t="s">
        <v>8106</v>
      </c>
      <c r="D723" s="30" t="s">
        <v>120</v>
      </c>
      <c r="E723" s="22" t="s">
        <v>54</v>
      </c>
      <c r="F723" s="22" t="s">
        <v>348</v>
      </c>
      <c r="G723" s="47" t="str">
        <f t="shared" si="30"/>
        <v>David</v>
      </c>
      <c r="H723" s="49" t="s">
        <v>224</v>
      </c>
      <c r="I723" s="49" t="s">
        <v>66</v>
      </c>
      <c r="J723" s="47" t="str">
        <f t="shared" si="32"/>
        <v>Não</v>
      </c>
      <c r="K723" s="54">
        <v>45652.0</v>
      </c>
      <c r="L723" s="55">
        <v>45922.0</v>
      </c>
      <c r="M723" s="32" t="s">
        <v>61</v>
      </c>
      <c r="N723" s="56">
        <v>0.012</v>
      </c>
      <c r="O723" s="23" t="s">
        <v>66</v>
      </c>
      <c r="P723" s="57">
        <v>0.0</v>
      </c>
      <c r="Q723" s="58"/>
      <c r="R723" s="58" t="s">
        <v>610</v>
      </c>
      <c r="S723" s="32" t="s">
        <v>194</v>
      </c>
      <c r="T723" s="32" t="s">
        <v>8107</v>
      </c>
      <c r="U723" s="33" t="s">
        <v>268</v>
      </c>
      <c r="V723" s="33"/>
      <c r="W723" s="33" t="s">
        <v>268</v>
      </c>
      <c r="X723" s="23" t="s">
        <v>54</v>
      </c>
      <c r="Y723" s="49" t="str">
        <f t="shared" si="22"/>
        <v>Encerrado</v>
      </c>
      <c r="Z723" s="62"/>
      <c r="AA723" s="32" t="s">
        <v>107</v>
      </c>
      <c r="AB723" s="64"/>
      <c r="AC723" s="79"/>
      <c r="AD723" s="54">
        <v>45652.0</v>
      </c>
      <c r="AE723" s="77">
        <v>4.9075100016437E13</v>
      </c>
      <c r="AF723" s="79"/>
      <c r="AG723" s="79"/>
      <c r="AH723" s="79"/>
      <c r="AI723" s="79"/>
      <c r="AJ723" s="79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>
        <v>100205.27</v>
      </c>
      <c r="BG723" s="65">
        <v>391830.71</v>
      </c>
      <c r="BH723" s="65">
        <v>690997.95</v>
      </c>
      <c r="BI723" s="65">
        <v>695147.05</v>
      </c>
      <c r="BJ723" s="65">
        <v>671139.5</v>
      </c>
      <c r="BK723" s="65">
        <v>674301.03</v>
      </c>
      <c r="BL723" s="65">
        <v>0.0</v>
      </c>
      <c r="BM723" s="65">
        <v>0.0</v>
      </c>
      <c r="BN723" s="65">
        <v>0.0</v>
      </c>
      <c r="BO723" s="65">
        <v>0.0</v>
      </c>
      <c r="BP723" s="65">
        <v>0.0</v>
      </c>
      <c r="BQ723" s="65">
        <v>0.0</v>
      </c>
      <c r="BR723" s="65">
        <v>0.0</v>
      </c>
      <c r="BS723" s="65">
        <v>0.0</v>
      </c>
      <c r="BT723" s="88">
        <v>0.0</v>
      </c>
      <c r="BU723" s="65">
        <v>0.0</v>
      </c>
      <c r="BV723" s="65">
        <v>0.0</v>
      </c>
      <c r="BW723" s="90">
        <v>0.0</v>
      </c>
      <c r="BX723" s="90">
        <v>0.0</v>
      </c>
      <c r="BY723" s="90" t="str">
        <f t="array" ref="BY723">XLOOKUP(C723,'PL TOTAL D0'!$A$3:$A$1991,'PL TOTAL D0'!$C$3:$C$1991,"")</f>
        <v/>
      </c>
    </row>
    <row r="724" ht="15.75" customHeight="1">
      <c r="A724" s="50" t="s">
        <v>24</v>
      </c>
      <c r="B724" s="50" t="s">
        <v>8110</v>
      </c>
      <c r="C724" s="94" t="s">
        <v>8111</v>
      </c>
      <c r="D724" s="81" t="s">
        <v>120</v>
      </c>
      <c r="E724" s="95" t="s">
        <v>54</v>
      </c>
      <c r="F724" s="81" t="s">
        <v>379</v>
      </c>
      <c r="G724" s="47" t="str">
        <f t="shared" si="30"/>
        <v>David</v>
      </c>
      <c r="H724" s="49" t="s">
        <v>224</v>
      </c>
      <c r="I724" s="49" t="s">
        <v>66</v>
      </c>
      <c r="J724" s="47" t="str">
        <f t="shared" si="32"/>
        <v>Não</v>
      </c>
      <c r="K724" s="97">
        <v>44972.0</v>
      </c>
      <c r="L724" s="121">
        <v>45957.0</v>
      </c>
      <c r="M724" s="32" t="s">
        <v>34</v>
      </c>
      <c r="N724" s="98">
        <v>0.012</v>
      </c>
      <c r="O724" s="23" t="s">
        <v>35</v>
      </c>
      <c r="P724" s="57">
        <v>0.1</v>
      </c>
      <c r="Q724" s="58"/>
      <c r="R724" s="58" t="s">
        <v>610</v>
      </c>
      <c r="S724" s="62" t="s">
        <v>194</v>
      </c>
      <c r="T724" s="32" t="s">
        <v>5996</v>
      </c>
      <c r="U724" s="33" t="s">
        <v>268</v>
      </c>
      <c r="V724" s="33"/>
      <c r="W724" s="33" t="s">
        <v>268</v>
      </c>
      <c r="X724" s="23" t="s">
        <v>54</v>
      </c>
      <c r="Y724" s="49" t="str">
        <f t="shared" si="22"/>
        <v>Encerrado</v>
      </c>
      <c r="Z724" s="62"/>
      <c r="AA724" s="62"/>
      <c r="AB724" s="64" t="s">
        <v>269</v>
      </c>
      <c r="AC724" s="79"/>
      <c r="AD724" s="54">
        <v>44972.0</v>
      </c>
      <c r="AE724" s="77">
        <v>4.9075100009805E13</v>
      </c>
      <c r="AF724" s="79"/>
      <c r="AG724" s="79"/>
      <c r="AH724" s="79"/>
      <c r="AI724" s="65">
        <v>0.0</v>
      </c>
      <c r="AJ724" s="65">
        <v>2781216.38</v>
      </c>
      <c r="AK724" s="65">
        <v>2812243.72</v>
      </c>
      <c r="AL724" s="65">
        <v>2836358.2</v>
      </c>
      <c r="AM724" s="65">
        <v>2870623.99</v>
      </c>
      <c r="AN724" s="65">
        <v>2901586.24</v>
      </c>
      <c r="AO724" s="65">
        <v>2927527.12</v>
      </c>
      <c r="AP724" s="65">
        <v>3070459.36</v>
      </c>
      <c r="AQ724" s="65">
        <v>3092897.17</v>
      </c>
      <c r="AR724" s="65">
        <v>3121736.93</v>
      </c>
      <c r="AS724" s="65">
        <v>3144175.92</v>
      </c>
      <c r="AT724" s="65">
        <v>3167084.36</v>
      </c>
      <c r="AU724" s="65">
        <v>3195039.22</v>
      </c>
      <c r="AV724" s="65">
        <v>3208384.34</v>
      </c>
      <c r="AW724" s="65">
        <v>3214698.19</v>
      </c>
      <c r="AX724" s="65">
        <v>3213986.27</v>
      </c>
      <c r="AY724" s="65">
        <v>3228477.0</v>
      </c>
      <c r="AZ724" s="65">
        <v>3253002.0</v>
      </c>
      <c r="BA724" s="65">
        <v>3288268.0</v>
      </c>
      <c r="BB724" s="65">
        <v>3408183.86</v>
      </c>
      <c r="BC724" s="65">
        <v>3424044.6</v>
      </c>
      <c r="BD724" s="65">
        <v>3547396.25</v>
      </c>
      <c r="BE724" s="65">
        <v>3572281.0</v>
      </c>
      <c r="BF724" s="65">
        <v>3599808.46</v>
      </c>
      <c r="BG724" s="65">
        <v>3634740.85</v>
      </c>
      <c r="BH724" s="65">
        <v>4009217.4</v>
      </c>
      <c r="BI724" s="65">
        <v>4046697.31</v>
      </c>
      <c r="BJ724" s="65">
        <v>4082440.03</v>
      </c>
      <c r="BK724" s="65">
        <v>4124676.35</v>
      </c>
      <c r="BL724" s="65">
        <v>4162038.31</v>
      </c>
      <c r="BM724" s="65">
        <v>4557051.61</v>
      </c>
      <c r="BN724" s="65">
        <v>0.0</v>
      </c>
      <c r="BO724" s="65">
        <v>0.0</v>
      </c>
      <c r="BP724" s="65">
        <v>0.0</v>
      </c>
      <c r="BQ724" s="65">
        <v>0.0</v>
      </c>
      <c r="BR724" s="65">
        <v>0.0</v>
      </c>
      <c r="BS724" s="65">
        <v>0.0</v>
      </c>
      <c r="BT724" s="88">
        <v>0.0</v>
      </c>
      <c r="BU724" s="65">
        <v>0.0</v>
      </c>
      <c r="BV724" s="65">
        <v>0.0</v>
      </c>
      <c r="BW724" s="90">
        <v>0.0</v>
      </c>
      <c r="BX724" s="90">
        <v>0.0</v>
      </c>
      <c r="BY724" s="90" t="str">
        <f t="array" ref="BY724">XLOOKUP(C724,'PL TOTAL D0'!$A$3:$A$1991,'PL TOTAL D0'!$C$3:$C$1991,"")</f>
        <v/>
      </c>
    </row>
    <row r="725" ht="15.75" customHeight="1">
      <c r="A725" s="50" t="s">
        <v>24</v>
      </c>
      <c r="B725" s="43" t="s">
        <v>8112</v>
      </c>
      <c r="C725" s="94" t="s">
        <v>3454</v>
      </c>
      <c r="D725" s="30" t="s">
        <v>142</v>
      </c>
      <c r="E725" s="95" t="s">
        <v>54</v>
      </c>
      <c r="F725" s="30" t="s">
        <v>4568</v>
      </c>
      <c r="G725" s="47" t="str">
        <f t="shared" si="30"/>
        <v>David</v>
      </c>
      <c r="H725" s="49" t="s">
        <v>183</v>
      </c>
      <c r="I725" s="49" t="s">
        <v>66</v>
      </c>
      <c r="J725" s="47" t="str">
        <f t="shared" si="32"/>
        <v>Sim</v>
      </c>
      <c r="K725" s="54">
        <v>45785.0</v>
      </c>
      <c r="L725" s="62"/>
      <c r="M725" s="32" t="s">
        <v>61</v>
      </c>
      <c r="N725" s="56">
        <v>0.012</v>
      </c>
      <c r="O725" s="23" t="s">
        <v>66</v>
      </c>
      <c r="P725" s="57">
        <v>0.0</v>
      </c>
      <c r="Q725" s="58" t="s">
        <v>8113</v>
      </c>
      <c r="R725" s="58"/>
      <c r="S725" s="32" t="s">
        <v>194</v>
      </c>
      <c r="T725" s="32" t="s">
        <v>8114</v>
      </c>
      <c r="U725" s="33">
        <v>5.562981691096E12</v>
      </c>
      <c r="V725" s="33" t="s">
        <v>8115</v>
      </c>
      <c r="W725" s="34">
        <v>27483.0</v>
      </c>
      <c r="X725" s="23" t="s">
        <v>54</v>
      </c>
      <c r="Y725" s="49" t="str">
        <f t="shared" si="22"/>
        <v>Ativo</v>
      </c>
      <c r="Z725" s="62"/>
      <c r="AA725" s="32" t="s">
        <v>47</v>
      </c>
      <c r="AB725" s="64"/>
      <c r="AC725" s="79"/>
      <c r="AD725" s="54">
        <v>45785.0</v>
      </c>
      <c r="AE725" s="77">
        <v>4.9075100018847E13</v>
      </c>
      <c r="AF725" s="79"/>
      <c r="AG725" s="79"/>
      <c r="AH725" s="79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65">
        <v>262985.35</v>
      </c>
      <c r="BL725" s="65">
        <v>250218.52</v>
      </c>
      <c r="BM725" s="65">
        <v>242535.07</v>
      </c>
      <c r="BN725" s="65">
        <v>204364.9</v>
      </c>
      <c r="BO725" s="65">
        <v>206421.77</v>
      </c>
      <c r="BP725" s="65">
        <v>208823.7</v>
      </c>
      <c r="BQ725" s="65">
        <v>189965.8</v>
      </c>
      <c r="BR725" s="65">
        <v>162826.2</v>
      </c>
      <c r="BS725" s="65">
        <v>81274.73</v>
      </c>
      <c r="BT725" s="88">
        <v>81608.02</v>
      </c>
      <c r="BU725" s="65">
        <v>82598.85</v>
      </c>
      <c r="BV725" s="65">
        <v>73217.84</v>
      </c>
      <c r="BW725" s="90">
        <v>63116.45</v>
      </c>
      <c r="BX725" s="90">
        <v>63593.51</v>
      </c>
      <c r="BY725" s="90">
        <f t="array" ref="BY725">XLOOKUP(C725,'PL TOTAL D0'!$A$3:$A$1991,'PL TOTAL D0'!$C$3:$C$1991,"")</f>
        <v>49636.18</v>
      </c>
    </row>
    <row r="726" ht="15.75" customHeight="1">
      <c r="A726" s="50" t="s">
        <v>24</v>
      </c>
      <c r="B726" s="50" t="s">
        <v>8116</v>
      </c>
      <c r="C726" s="94" t="s">
        <v>8117</v>
      </c>
      <c r="D726" s="81" t="s">
        <v>120</v>
      </c>
      <c r="E726" s="95" t="s">
        <v>54</v>
      </c>
      <c r="F726" s="81" t="s">
        <v>348</v>
      </c>
      <c r="G726" s="47" t="str">
        <f t="shared" si="30"/>
        <v>David</v>
      </c>
      <c r="H726" s="49" t="s">
        <v>295</v>
      </c>
      <c r="I726" s="74" t="s">
        <v>382</v>
      </c>
      <c r="J726" s="47" t="str">
        <f t="shared" si="32"/>
        <v>Não</v>
      </c>
      <c r="K726" s="97">
        <v>45056.0</v>
      </c>
      <c r="L726" s="62"/>
      <c r="M726" s="62" t="s">
        <v>61</v>
      </c>
      <c r="N726" s="98">
        <v>0.012</v>
      </c>
      <c r="O726" s="47" t="s">
        <v>66</v>
      </c>
      <c r="P726" s="99">
        <v>0.0</v>
      </c>
      <c r="Q726" s="58"/>
      <c r="R726" s="70"/>
      <c r="S726" s="62" t="s">
        <v>194</v>
      </c>
      <c r="T726" s="32" t="s">
        <v>8118</v>
      </c>
      <c r="U726" s="33">
        <v>6.2992584338E10</v>
      </c>
      <c r="V726" s="33" t="s">
        <v>8120</v>
      </c>
      <c r="W726" s="34">
        <v>37773.0</v>
      </c>
      <c r="X726" s="23" t="s">
        <v>54</v>
      </c>
      <c r="Y726" s="49" t="str">
        <f t="shared" si="22"/>
        <v>Ativo</v>
      </c>
      <c r="Z726" s="62"/>
      <c r="AA726" s="62"/>
      <c r="AB726" s="64" t="s">
        <v>269</v>
      </c>
      <c r="AC726" s="79"/>
      <c r="AD726" s="54">
        <v>45056.0</v>
      </c>
      <c r="AE726" s="77">
        <v>4.9075100012581E13</v>
      </c>
      <c r="AF726" s="79"/>
      <c r="AG726" s="79"/>
      <c r="AH726" s="79"/>
      <c r="AI726" s="79"/>
      <c r="AJ726" s="79"/>
      <c r="AK726" s="79"/>
      <c r="AL726" s="65">
        <v>0.0</v>
      </c>
      <c r="AM726" s="65">
        <v>8.53</v>
      </c>
      <c r="AN726" s="65">
        <v>0.0</v>
      </c>
      <c r="AO726" s="65">
        <v>0.0</v>
      </c>
      <c r="AP726" s="65">
        <v>0.0</v>
      </c>
      <c r="AQ726" s="65">
        <v>0.0</v>
      </c>
      <c r="AR726" s="65">
        <v>0.0</v>
      </c>
      <c r="AS726" s="65">
        <v>0.0</v>
      </c>
      <c r="AT726" s="65">
        <v>0.0</v>
      </c>
      <c r="AU726" s="65">
        <v>0.0</v>
      </c>
      <c r="AV726" s="65">
        <v>0.0</v>
      </c>
      <c r="AW726" s="65">
        <v>0.0</v>
      </c>
      <c r="AX726" s="65">
        <v>0.0</v>
      </c>
      <c r="AY726" s="65">
        <v>0.0</v>
      </c>
      <c r="AZ726" s="65">
        <v>0.0</v>
      </c>
      <c r="BA726" s="65">
        <v>0.0</v>
      </c>
      <c r="BB726" s="65">
        <v>0.0</v>
      </c>
      <c r="BC726" s="65">
        <v>0.0</v>
      </c>
      <c r="BD726" s="65">
        <v>0.0</v>
      </c>
      <c r="BE726" s="65">
        <v>0.0</v>
      </c>
      <c r="BF726" s="65">
        <v>0.0</v>
      </c>
      <c r="BG726" s="65">
        <v>0.0</v>
      </c>
      <c r="BH726" s="65">
        <v>0.0</v>
      </c>
      <c r="BI726" s="65">
        <v>0.0</v>
      </c>
      <c r="BJ726" s="65">
        <v>0.0</v>
      </c>
      <c r="BK726" s="65">
        <v>30.0</v>
      </c>
      <c r="BL726" s="65">
        <v>30.0</v>
      </c>
      <c r="BM726" s="65">
        <v>30.0</v>
      </c>
      <c r="BN726" s="65">
        <v>30.0</v>
      </c>
      <c r="BO726" s="65">
        <v>30.0</v>
      </c>
      <c r="BP726" s="65">
        <v>30.0</v>
      </c>
      <c r="BQ726" s="65">
        <v>30.0</v>
      </c>
      <c r="BR726" s="65">
        <v>30.0</v>
      </c>
      <c r="BS726" s="65">
        <v>30.0</v>
      </c>
      <c r="BT726" s="88">
        <v>30.0</v>
      </c>
      <c r="BU726" s="65">
        <v>70.0</v>
      </c>
      <c r="BV726" s="65">
        <v>70.0</v>
      </c>
      <c r="BW726" s="90">
        <v>70.0</v>
      </c>
      <c r="BX726" s="90">
        <v>70.0</v>
      </c>
      <c r="BY726" s="90" t="str">
        <f t="array" ref="BY726">XLOOKUP(C726,'PL TOTAL D0'!$A$3:$A$1991,'PL TOTAL D0'!$C$3:$C$1991,"")</f>
        <v/>
      </c>
    </row>
    <row r="727" ht="15.75" customHeight="1">
      <c r="A727" s="50" t="s">
        <v>24</v>
      </c>
      <c r="B727" s="50" t="s">
        <v>8121</v>
      </c>
      <c r="C727" s="94" t="s">
        <v>8122</v>
      </c>
      <c r="D727" s="81" t="s">
        <v>120</v>
      </c>
      <c r="E727" s="95" t="s">
        <v>54</v>
      </c>
      <c r="F727" s="81" t="s">
        <v>379</v>
      </c>
      <c r="G727" s="47" t="str">
        <f t="shared" si="30"/>
        <v>David</v>
      </c>
      <c r="H727" s="74" t="s">
        <v>295</v>
      </c>
      <c r="I727" s="74" t="s">
        <v>756</v>
      </c>
      <c r="J727" s="47" t="str">
        <f t="shared" si="32"/>
        <v>Não</v>
      </c>
      <c r="K727" s="97">
        <v>45166.0</v>
      </c>
      <c r="L727" s="893"/>
      <c r="M727" s="62" t="s">
        <v>61</v>
      </c>
      <c r="N727" s="98">
        <v>0.012</v>
      </c>
      <c r="O727" s="47" t="s">
        <v>66</v>
      </c>
      <c r="P727" s="99">
        <v>0.0</v>
      </c>
      <c r="Q727" s="58"/>
      <c r="R727" s="58" t="s">
        <v>7391</v>
      </c>
      <c r="S727" s="62" t="s">
        <v>194</v>
      </c>
      <c r="T727" s="32" t="s">
        <v>8123</v>
      </c>
      <c r="U727" s="33">
        <v>5.562992920522E12</v>
      </c>
      <c r="V727" s="33" t="s">
        <v>8124</v>
      </c>
      <c r="W727" s="34">
        <v>22695.0</v>
      </c>
      <c r="X727" s="23" t="s">
        <v>54</v>
      </c>
      <c r="Y727" s="49" t="str">
        <f t="shared" si="22"/>
        <v>Inativo</v>
      </c>
      <c r="Z727" s="62"/>
      <c r="AA727" s="62"/>
      <c r="AB727" s="64" t="s">
        <v>269</v>
      </c>
      <c r="AC727" s="79"/>
      <c r="AD727" s="54">
        <v>45166.0</v>
      </c>
      <c r="AE727" s="77">
        <v>4.9075100011613E13</v>
      </c>
      <c r="AF727" s="79"/>
      <c r="AG727" s="79"/>
      <c r="AH727" s="79"/>
      <c r="AI727" s="79"/>
      <c r="AJ727" s="79"/>
      <c r="AK727" s="79"/>
      <c r="AL727" s="79"/>
      <c r="AM727" s="79"/>
      <c r="AN727" s="65">
        <v>0.0</v>
      </c>
      <c r="AO727" s="65">
        <v>0.0</v>
      </c>
      <c r="AP727" s="65">
        <v>0.0</v>
      </c>
      <c r="AQ727" s="65">
        <v>0.0</v>
      </c>
      <c r="AR727" s="65">
        <v>0.0</v>
      </c>
      <c r="AS727" s="65">
        <v>0.0</v>
      </c>
      <c r="AT727" s="65">
        <v>0.0</v>
      </c>
      <c r="AU727" s="65">
        <v>0.0</v>
      </c>
      <c r="AV727" s="65">
        <v>0.0</v>
      </c>
      <c r="AW727" s="65">
        <v>0.0</v>
      </c>
      <c r="AX727" s="65">
        <v>0.0</v>
      </c>
      <c r="AY727" s="65">
        <v>0.0</v>
      </c>
      <c r="AZ727" s="65">
        <v>0.0</v>
      </c>
      <c r="BA727" s="65">
        <v>0.0</v>
      </c>
      <c r="BB727" s="65">
        <v>0.0</v>
      </c>
      <c r="BC727" s="65">
        <v>0.0</v>
      </c>
      <c r="BD727" s="65">
        <v>0.0</v>
      </c>
      <c r="BE727" s="65">
        <v>0.0</v>
      </c>
      <c r="BF727" s="65">
        <v>0.0</v>
      </c>
      <c r="BG727" s="65">
        <v>0.0</v>
      </c>
      <c r="BH727" s="65">
        <v>0.0</v>
      </c>
      <c r="BI727" s="65">
        <v>0.0</v>
      </c>
      <c r="BJ727" s="65">
        <v>0.0</v>
      </c>
      <c r="BK727" s="65">
        <v>0.0</v>
      </c>
      <c r="BL727" s="65">
        <v>0.0</v>
      </c>
      <c r="BM727" s="65">
        <v>0.0</v>
      </c>
      <c r="BN727" s="65">
        <v>0.0</v>
      </c>
      <c r="BO727" s="65">
        <v>0.0</v>
      </c>
      <c r="BP727" s="65">
        <v>0.0</v>
      </c>
      <c r="BQ727" s="65">
        <v>0.0</v>
      </c>
      <c r="BR727" s="65">
        <v>0.0</v>
      </c>
      <c r="BS727" s="65">
        <v>0.0</v>
      </c>
      <c r="BT727" s="88">
        <v>0.0</v>
      </c>
      <c r="BU727" s="65">
        <v>0.0</v>
      </c>
      <c r="BV727" s="65">
        <v>0.0</v>
      </c>
      <c r="BW727" s="90">
        <v>0.0</v>
      </c>
      <c r="BX727" s="90">
        <v>0.0</v>
      </c>
      <c r="BY727" s="90" t="str">
        <f t="array" ref="BY727">XLOOKUP(C727,'PL TOTAL D0'!$A$3:$A$1991,'PL TOTAL D0'!$C$3:$C$1991,"")</f>
        <v/>
      </c>
    </row>
    <row r="728" ht="15.75" customHeight="1">
      <c r="A728" s="50" t="s">
        <v>24</v>
      </c>
      <c r="B728" s="50" t="s">
        <v>6004</v>
      </c>
      <c r="C728" s="94" t="s">
        <v>3386</v>
      </c>
      <c r="D728" s="81" t="s">
        <v>120</v>
      </c>
      <c r="E728" s="95" t="s">
        <v>199</v>
      </c>
      <c r="F728" s="81" t="s">
        <v>290</v>
      </c>
      <c r="G728" s="47" t="str">
        <f t="shared" si="30"/>
        <v>David</v>
      </c>
      <c r="H728" s="74" t="s">
        <v>183</v>
      </c>
      <c r="I728" s="74" t="s">
        <v>66</v>
      </c>
      <c r="J728" s="47" t="str">
        <f t="shared" si="32"/>
        <v>Não</v>
      </c>
      <c r="K728" s="97">
        <v>45065.0</v>
      </c>
      <c r="L728" s="62"/>
      <c r="M728" s="62" t="s">
        <v>61</v>
      </c>
      <c r="N728" s="98">
        <v>0.007</v>
      </c>
      <c r="O728" s="47" t="s">
        <v>66</v>
      </c>
      <c r="P728" s="99">
        <v>0.0</v>
      </c>
      <c r="Q728" s="58"/>
      <c r="R728" s="70"/>
      <c r="S728" s="62" t="s">
        <v>194</v>
      </c>
      <c r="T728" s="32" t="s">
        <v>6002</v>
      </c>
      <c r="U728" s="33">
        <v>6.1981419401E10</v>
      </c>
      <c r="V728" s="33" t="s">
        <v>3374</v>
      </c>
      <c r="W728" s="34">
        <v>30993.0</v>
      </c>
      <c r="X728" s="23" t="s">
        <v>28</v>
      </c>
      <c r="Y728" s="49" t="str">
        <f t="shared" si="22"/>
        <v>Ativo</v>
      </c>
      <c r="Z728" s="62"/>
      <c r="AA728" s="62"/>
      <c r="AB728" s="64" t="s">
        <v>269</v>
      </c>
      <c r="AC728" s="79"/>
      <c r="AD728" s="54">
        <v>45065.0</v>
      </c>
      <c r="AE728" s="77">
        <v>4.9075100008302E13</v>
      </c>
      <c r="AF728" s="79"/>
      <c r="AG728" s="79"/>
      <c r="AH728" s="79"/>
      <c r="AI728" s="79"/>
      <c r="AJ728" s="79"/>
      <c r="AK728" s="79"/>
      <c r="AL728" s="65">
        <v>0.0</v>
      </c>
      <c r="AM728" s="65">
        <v>268927.25</v>
      </c>
      <c r="AN728" s="65">
        <v>271686.79</v>
      </c>
      <c r="AO728" s="65">
        <v>273736.55</v>
      </c>
      <c r="AP728" s="65">
        <v>276593.56</v>
      </c>
      <c r="AQ728" s="65">
        <v>278938.3</v>
      </c>
      <c r="AR728" s="65">
        <v>281591.95</v>
      </c>
      <c r="AS728" s="65">
        <v>305230.75</v>
      </c>
      <c r="AT728" s="65">
        <v>307697.21</v>
      </c>
      <c r="AU728" s="65">
        <v>310118.8</v>
      </c>
      <c r="AV728" s="65">
        <v>311213.0</v>
      </c>
      <c r="AW728" s="65">
        <v>313991.54</v>
      </c>
      <c r="AX728" s="65">
        <v>340113.73</v>
      </c>
      <c r="AY728" s="65">
        <v>341707.9</v>
      </c>
      <c r="AZ728" s="65">
        <v>344298.8</v>
      </c>
      <c r="BA728" s="65">
        <v>347043.4</v>
      </c>
      <c r="BB728" s="65">
        <v>349474.08</v>
      </c>
      <c r="BC728" s="65">
        <v>351715.45</v>
      </c>
      <c r="BD728" s="65">
        <v>354861.56</v>
      </c>
      <c r="BE728" s="65">
        <v>361876.68</v>
      </c>
      <c r="BF728" s="65">
        <v>364581.66</v>
      </c>
      <c r="BG728" s="65">
        <v>368069.83</v>
      </c>
      <c r="BH728" s="65">
        <v>366651.52</v>
      </c>
      <c r="BI728" s="65">
        <v>370483.27</v>
      </c>
      <c r="BJ728" s="65">
        <v>118323.61</v>
      </c>
      <c r="BK728" s="65">
        <v>119439.0</v>
      </c>
      <c r="BL728" s="65">
        <v>90286.73</v>
      </c>
      <c r="BM728" s="65">
        <v>91398.58</v>
      </c>
      <c r="BN728" s="65">
        <v>92485.21</v>
      </c>
      <c r="BO728" s="65">
        <v>93517.16</v>
      </c>
      <c r="BP728" s="65">
        <v>94433.37</v>
      </c>
      <c r="BQ728" s="65">
        <v>80250.31</v>
      </c>
      <c r="BR728" s="65">
        <v>81031.26</v>
      </c>
      <c r="BS728" s="65">
        <v>82158.93</v>
      </c>
      <c r="BT728" s="88">
        <v>82977.93</v>
      </c>
      <c r="BU728" s="65">
        <v>83703.89</v>
      </c>
      <c r="BV728" s="65">
        <v>71785.5</v>
      </c>
      <c r="BW728" s="90">
        <v>72782.7</v>
      </c>
      <c r="BX728" s="90">
        <v>73374.49</v>
      </c>
      <c r="BY728" s="90">
        <f t="array" ref="BY728">XLOOKUP(C728,'PL TOTAL D0'!$A$3:$A$1991,'PL TOTAL D0'!$C$3:$C$1991,"")</f>
        <v>74378.73</v>
      </c>
    </row>
    <row r="729" ht="15.75" customHeight="1">
      <c r="A729" s="50" t="s">
        <v>24</v>
      </c>
      <c r="B729" s="50" t="s">
        <v>8127</v>
      </c>
      <c r="C729" s="94" t="s">
        <v>3121</v>
      </c>
      <c r="D729" s="81" t="s">
        <v>89</v>
      </c>
      <c r="E729" s="95" t="s">
        <v>91</v>
      </c>
      <c r="F729" s="81" t="s">
        <v>193</v>
      </c>
      <c r="G729" s="47" t="str">
        <f t="shared" si="30"/>
        <v>David</v>
      </c>
      <c r="H729" s="49" t="s">
        <v>183</v>
      </c>
      <c r="I729" s="74" t="s">
        <v>66</v>
      </c>
      <c r="J729" s="47" t="str">
        <f t="shared" si="32"/>
        <v>Não</v>
      </c>
      <c r="K729" s="97">
        <v>46028.0</v>
      </c>
      <c r="L729" s="62"/>
      <c r="M729" s="62" t="s">
        <v>61</v>
      </c>
      <c r="N729" s="98">
        <v>0.012</v>
      </c>
      <c r="O729" s="47" t="s">
        <v>66</v>
      </c>
      <c r="P729" s="99">
        <v>0.0</v>
      </c>
      <c r="Q729" s="58"/>
      <c r="R729" s="70"/>
      <c r="S729" s="62" t="s">
        <v>194</v>
      </c>
      <c r="T729" s="32" t="s">
        <v>8128</v>
      </c>
      <c r="U729" s="33" t="s">
        <v>1292</v>
      </c>
      <c r="V729" s="33" t="s">
        <v>1294</v>
      </c>
      <c r="W729" s="34">
        <v>39078.0</v>
      </c>
      <c r="X729" s="23" t="s">
        <v>221</v>
      </c>
      <c r="Y729" s="49" t="str">
        <f t="shared" si="22"/>
        <v>Ativo</v>
      </c>
      <c r="Z729" s="62"/>
      <c r="AA729" s="62" t="s">
        <v>107</v>
      </c>
      <c r="AB729" s="64"/>
      <c r="AC729" s="79"/>
      <c r="AD729" s="54">
        <v>46203.0</v>
      </c>
      <c r="AE729" s="77"/>
      <c r="AF729" s="79"/>
      <c r="AG729" s="79"/>
      <c r="AH729" s="79"/>
      <c r="AI729" s="79"/>
      <c r="AJ729" s="79"/>
      <c r="AK729" s="79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  <c r="BM729" s="65"/>
      <c r="BN729" s="65"/>
      <c r="BO729" s="65"/>
      <c r="BP729" s="65"/>
      <c r="BQ729" s="65"/>
      <c r="BR729" s="65"/>
      <c r="BS729" s="65">
        <v>203213.55</v>
      </c>
      <c r="BT729" s="88">
        <v>204999.3</v>
      </c>
      <c r="BU729" s="65">
        <v>207580.6</v>
      </c>
      <c r="BV729" s="65">
        <v>209904.5</v>
      </c>
      <c r="BW729" s="90">
        <v>211727.8</v>
      </c>
      <c r="BX729" s="90">
        <v>213877.17</v>
      </c>
      <c r="BY729" s="90">
        <f t="array" ref="BY729">XLOOKUP(C729,'PL TOTAL D0'!$A$3:$A$1991,'PL TOTAL D0'!$C$3:$C$1991,"")</f>
        <v>216026.43</v>
      </c>
    </row>
    <row r="730" ht="15.75" customHeight="1">
      <c r="A730" s="50" t="s">
        <v>24</v>
      </c>
      <c r="B730" s="176" t="s">
        <v>6014</v>
      </c>
      <c r="C730" s="94" t="s">
        <v>8129</v>
      </c>
      <c r="D730" s="81" t="s">
        <v>120</v>
      </c>
      <c r="E730" s="95" t="s">
        <v>199</v>
      </c>
      <c r="F730" s="95" t="s">
        <v>1914</v>
      </c>
      <c r="G730" s="47" t="str">
        <f t="shared" si="30"/>
        <v>David</v>
      </c>
      <c r="H730" s="49" t="s">
        <v>224</v>
      </c>
      <c r="I730" s="49" t="s">
        <v>66</v>
      </c>
      <c r="J730" s="47" t="str">
        <f t="shared" si="32"/>
        <v>Não</v>
      </c>
      <c r="K730" s="97">
        <v>44994.0</v>
      </c>
      <c r="L730" s="55">
        <v>45555.0</v>
      </c>
      <c r="M730" s="62" t="s">
        <v>361</v>
      </c>
      <c r="N730" s="98">
        <v>0.007</v>
      </c>
      <c r="O730" s="47" t="s">
        <v>35</v>
      </c>
      <c r="P730" s="99">
        <v>0.2</v>
      </c>
      <c r="Q730" s="58"/>
      <c r="R730" s="70"/>
      <c r="S730" s="62" t="s">
        <v>194</v>
      </c>
      <c r="T730" s="32" t="s">
        <v>6013</v>
      </c>
      <c r="U730" s="33" t="s">
        <v>268</v>
      </c>
      <c r="V730" s="33"/>
      <c r="W730" s="33" t="s">
        <v>268</v>
      </c>
      <c r="X730" s="23" t="s">
        <v>199</v>
      </c>
      <c r="Y730" s="49" t="str">
        <f t="shared" si="22"/>
        <v>Encerrado</v>
      </c>
      <c r="Z730" s="62"/>
      <c r="AA730" s="62"/>
      <c r="AB730" s="64" t="s">
        <v>269</v>
      </c>
      <c r="AC730" s="79"/>
      <c r="AD730" s="54">
        <v>44994.0</v>
      </c>
      <c r="AE730" s="77">
        <v>4.9075100003556E13</v>
      </c>
      <c r="AF730" s="79"/>
      <c r="AG730" s="79"/>
      <c r="AH730" s="79"/>
      <c r="AI730" s="79"/>
      <c r="AJ730" s="79"/>
      <c r="AK730" s="65">
        <v>53199.19</v>
      </c>
      <c r="AL730" s="65">
        <v>58106.63</v>
      </c>
      <c r="AM730" s="65">
        <v>59285.7</v>
      </c>
      <c r="AN730" s="65">
        <v>61168.62</v>
      </c>
      <c r="AO730" s="65">
        <v>70324.05</v>
      </c>
      <c r="AP730" s="65">
        <v>69561.7</v>
      </c>
      <c r="AQ730" s="65">
        <v>69908.6</v>
      </c>
      <c r="AR730" s="65">
        <v>69330.72</v>
      </c>
      <c r="AS730" s="65">
        <v>71837.89</v>
      </c>
      <c r="AT730" s="65">
        <v>73795.84</v>
      </c>
      <c r="AU730" s="65">
        <v>79553.07</v>
      </c>
      <c r="AV730" s="65">
        <v>80307.06</v>
      </c>
      <c r="AW730" s="65">
        <v>111686.15</v>
      </c>
      <c r="AX730" s="65">
        <v>109874.07</v>
      </c>
      <c r="AY730" s="65">
        <v>108756.7</v>
      </c>
      <c r="AZ730" s="65">
        <v>122887.3</v>
      </c>
      <c r="BA730" s="65">
        <v>124985.8</v>
      </c>
      <c r="BB730" s="65">
        <v>126881.76</v>
      </c>
      <c r="BC730" s="65">
        <v>0.0</v>
      </c>
      <c r="BD730" s="65">
        <v>0.0</v>
      </c>
      <c r="BE730" s="65">
        <v>0.0</v>
      </c>
      <c r="BF730" s="65">
        <v>0.0</v>
      </c>
      <c r="BG730" s="65">
        <v>0.0</v>
      </c>
      <c r="BH730" s="65">
        <v>0.0</v>
      </c>
      <c r="BI730" s="65">
        <v>0.0</v>
      </c>
      <c r="BJ730" s="65">
        <v>0.0</v>
      </c>
      <c r="BK730" s="65">
        <v>0.0</v>
      </c>
      <c r="BL730" s="65">
        <v>0.0</v>
      </c>
      <c r="BM730" s="65">
        <v>0.0</v>
      </c>
      <c r="BN730" s="65">
        <v>0.0</v>
      </c>
      <c r="BO730" s="65">
        <v>0.0</v>
      </c>
      <c r="BP730" s="65">
        <v>0.0</v>
      </c>
      <c r="BQ730" s="65">
        <v>0.0</v>
      </c>
      <c r="BR730" s="65">
        <v>0.0</v>
      </c>
      <c r="BS730" s="65">
        <v>0.0</v>
      </c>
      <c r="BT730" s="88">
        <v>0.0</v>
      </c>
      <c r="BU730" s="65">
        <v>0.0</v>
      </c>
      <c r="BV730" s="65">
        <v>0.0</v>
      </c>
      <c r="BW730" s="90">
        <v>0.0</v>
      </c>
      <c r="BX730" s="90">
        <v>0.0</v>
      </c>
      <c r="BY730" s="90" t="str">
        <f t="array" ref="BY730">XLOOKUP(C730,'PL TOTAL D0'!$A$3:$A$1991,'PL TOTAL D0'!$C$3:$C$1991,"")</f>
        <v/>
      </c>
    </row>
    <row r="731" ht="15.75" customHeight="1">
      <c r="A731" s="50" t="s">
        <v>24</v>
      </c>
      <c r="B731" s="39" t="s">
        <v>8132</v>
      </c>
      <c r="C731" s="94" t="s">
        <v>3288</v>
      </c>
      <c r="D731" s="30" t="s">
        <v>120</v>
      </c>
      <c r="E731" s="22" t="s">
        <v>199</v>
      </c>
      <c r="F731" s="22" t="s">
        <v>290</v>
      </c>
      <c r="G731" s="47" t="str">
        <f t="shared" si="30"/>
        <v>David</v>
      </c>
      <c r="H731" s="49" t="s">
        <v>183</v>
      </c>
      <c r="I731" s="49" t="s">
        <v>66</v>
      </c>
      <c r="J731" s="47" t="str">
        <f t="shared" si="32"/>
        <v>Não</v>
      </c>
      <c r="K731" s="54">
        <v>45587.0</v>
      </c>
      <c r="L731" s="55"/>
      <c r="M731" s="62" t="s">
        <v>209</v>
      </c>
      <c r="N731" s="98">
        <v>0.015</v>
      </c>
      <c r="O731" s="47" t="s">
        <v>35</v>
      </c>
      <c r="P731" s="99">
        <v>0.1</v>
      </c>
      <c r="Q731" s="58"/>
      <c r="R731" s="58" t="s">
        <v>8133</v>
      </c>
      <c r="S731" s="32" t="s">
        <v>194</v>
      </c>
      <c r="T731" s="32" t="s">
        <v>8134</v>
      </c>
      <c r="U731" s="33">
        <v>5.562981588118E12</v>
      </c>
      <c r="V731" s="33" t="s">
        <v>8135</v>
      </c>
      <c r="W731" s="34">
        <v>43899.0</v>
      </c>
      <c r="X731" s="23" t="s">
        <v>54</v>
      </c>
      <c r="Y731" s="49" t="str">
        <f t="shared" si="22"/>
        <v>Ativo</v>
      </c>
      <c r="Z731" s="62"/>
      <c r="AA731" s="32" t="s">
        <v>107</v>
      </c>
      <c r="AB731" s="64"/>
      <c r="AC731" s="79"/>
      <c r="AD731" s="54">
        <v>45587.0</v>
      </c>
      <c r="AE731" s="77">
        <v>4.9075100015872E13</v>
      </c>
      <c r="AF731" s="79"/>
      <c r="AG731" s="79"/>
      <c r="AH731" s="79"/>
      <c r="AI731" s="79"/>
      <c r="AJ731" s="79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>
        <v>0.0</v>
      </c>
      <c r="BE731" s="65">
        <v>0.0</v>
      </c>
      <c r="BF731" s="65">
        <v>0.0</v>
      </c>
      <c r="BG731" s="65">
        <v>0.0</v>
      </c>
      <c r="BH731" s="65">
        <v>0.0</v>
      </c>
      <c r="BI731" s="65">
        <v>0.0</v>
      </c>
      <c r="BJ731" s="65">
        <v>0.0</v>
      </c>
      <c r="BK731" s="65">
        <v>0.0</v>
      </c>
      <c r="BL731" s="65">
        <v>50211.18</v>
      </c>
      <c r="BM731" s="65">
        <v>101039.55</v>
      </c>
      <c r="BN731" s="65">
        <v>102263.5</v>
      </c>
      <c r="BO731" s="65">
        <v>103296.63</v>
      </c>
      <c r="BP731" s="65">
        <v>104634.4</v>
      </c>
      <c r="BQ731" s="65">
        <v>104642.1</v>
      </c>
      <c r="BR731" s="65">
        <v>105764.0</v>
      </c>
      <c r="BS731" s="65">
        <v>107732.22</v>
      </c>
      <c r="BT731" s="88">
        <v>108954.5</v>
      </c>
      <c r="BU731" s="65">
        <v>110409.0</v>
      </c>
      <c r="BV731" s="65">
        <v>111334.8</v>
      </c>
      <c r="BW731" s="90">
        <v>110296.8</v>
      </c>
      <c r="BX731" s="90">
        <v>111607.95</v>
      </c>
      <c r="BY731" s="90">
        <f t="array" ref="BY731">XLOOKUP(C731,'PL TOTAL D0'!$A$3:$A$1991,'PL TOTAL D0'!$C$3:$C$1991,"")</f>
        <v>112659.79</v>
      </c>
    </row>
    <row r="732" ht="15.75" customHeight="1">
      <c r="A732" s="50" t="s">
        <v>24</v>
      </c>
      <c r="B732" s="39" t="s">
        <v>8136</v>
      </c>
      <c r="C732" s="94" t="s">
        <v>3262</v>
      </c>
      <c r="D732" s="30" t="s">
        <v>120</v>
      </c>
      <c r="E732" s="22" t="s">
        <v>199</v>
      </c>
      <c r="F732" s="22" t="s">
        <v>8137</v>
      </c>
      <c r="G732" s="47" t="str">
        <f t="shared" si="30"/>
        <v>David</v>
      </c>
      <c r="H732" s="49" t="s">
        <v>183</v>
      </c>
      <c r="I732" s="49" t="s">
        <v>66</v>
      </c>
      <c r="J732" s="47" t="str">
        <f t="shared" si="32"/>
        <v>Sim</v>
      </c>
      <c r="K732" s="54">
        <v>46063.0</v>
      </c>
      <c r="L732" s="55"/>
      <c r="M732" s="32" t="s">
        <v>61</v>
      </c>
      <c r="N732" s="56">
        <v>0.012</v>
      </c>
      <c r="O732" s="23" t="s">
        <v>66</v>
      </c>
      <c r="P732" s="57">
        <v>0.0</v>
      </c>
      <c r="Q732" s="58" t="s">
        <v>8140</v>
      </c>
      <c r="R732" s="58"/>
      <c r="S732" s="32" t="s">
        <v>194</v>
      </c>
      <c r="T732" s="32" t="s">
        <v>8141</v>
      </c>
      <c r="U732" s="33" t="s">
        <v>8142</v>
      </c>
      <c r="V732" s="33" t="s">
        <v>8143</v>
      </c>
      <c r="W732" s="34">
        <v>32948.0</v>
      </c>
      <c r="X732" s="23" t="s">
        <v>54</v>
      </c>
      <c r="Y732" s="49" t="str">
        <f t="shared" si="22"/>
        <v>Ativo</v>
      </c>
      <c r="Z732" s="62"/>
      <c r="AA732" s="32" t="s">
        <v>47</v>
      </c>
      <c r="AB732" s="64"/>
      <c r="AC732" s="79"/>
      <c r="AD732" s="54">
        <v>46203.0</v>
      </c>
      <c r="AE732" s="77"/>
      <c r="AF732" s="79"/>
      <c r="AG732" s="79"/>
      <c r="AH732" s="79"/>
      <c r="AI732" s="79"/>
      <c r="AJ732" s="79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  <c r="BM732" s="65"/>
      <c r="BN732" s="65"/>
      <c r="BO732" s="65"/>
      <c r="BP732" s="65"/>
      <c r="BQ732" s="65"/>
      <c r="BR732" s="65"/>
      <c r="BS732" s="65"/>
      <c r="BT732" s="88">
        <v>0.0</v>
      </c>
      <c r="BU732" s="65">
        <v>0.0</v>
      </c>
      <c r="BV732" s="65">
        <v>0.0</v>
      </c>
      <c r="BW732" s="90">
        <v>0.0</v>
      </c>
      <c r="BX732" s="90">
        <v>118599.24</v>
      </c>
      <c r="BY732" s="90">
        <f t="array" ref="BY732">XLOOKUP(C732,'PL TOTAL D0'!$A$3:$A$1991,'PL TOTAL D0'!$C$3:$C$1991,"")</f>
        <v>129054.34</v>
      </c>
    </row>
    <row r="733" ht="15.75" customHeight="1">
      <c r="A733" s="43" t="s">
        <v>24</v>
      </c>
      <c r="B733" s="43" t="s">
        <v>8145</v>
      </c>
      <c r="C733" s="94" t="s">
        <v>8146</v>
      </c>
      <c r="D733" s="30" t="s">
        <v>120</v>
      </c>
      <c r="E733" s="22" t="s">
        <v>199</v>
      </c>
      <c r="F733" s="30" t="s">
        <v>8147</v>
      </c>
      <c r="G733" s="47" t="str">
        <f t="shared" si="30"/>
        <v>David</v>
      </c>
      <c r="H733" s="49" t="s">
        <v>224</v>
      </c>
      <c r="I733" s="49" t="s">
        <v>66</v>
      </c>
      <c r="J733" s="47" t="str">
        <f t="shared" si="32"/>
        <v>Não</v>
      </c>
      <c r="K733" s="54">
        <v>45321.0</v>
      </c>
      <c r="L733" s="55">
        <v>45520.0</v>
      </c>
      <c r="M733" s="32" t="s">
        <v>209</v>
      </c>
      <c r="N733" s="56">
        <v>0.012</v>
      </c>
      <c r="O733" s="23" t="s">
        <v>35</v>
      </c>
      <c r="P733" s="57">
        <v>0.1</v>
      </c>
      <c r="Q733" s="58"/>
      <c r="R733" s="70"/>
      <c r="S733" s="32" t="s">
        <v>194</v>
      </c>
      <c r="T733" s="32" t="s">
        <v>8148</v>
      </c>
      <c r="U733" s="33" t="s">
        <v>268</v>
      </c>
      <c r="V733" s="33"/>
      <c r="W733" s="33" t="s">
        <v>268</v>
      </c>
      <c r="X733" s="23" t="s">
        <v>199</v>
      </c>
      <c r="Y733" s="49" t="str">
        <f t="shared" si="22"/>
        <v>Encerrado</v>
      </c>
      <c r="Z733" s="62"/>
      <c r="AA733" s="62"/>
      <c r="AB733" s="64" t="s">
        <v>244</v>
      </c>
      <c r="AC733" s="79"/>
      <c r="AD733" s="54">
        <v>45321.0</v>
      </c>
      <c r="AE733" s="77">
        <v>4.9075100013217E13</v>
      </c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65">
        <v>40063.74</v>
      </c>
      <c r="AV733" s="65">
        <v>40475.33</v>
      </c>
      <c r="AW733" s="65">
        <v>55930.45</v>
      </c>
      <c r="AX733" s="65">
        <v>95808.76</v>
      </c>
      <c r="AY733" s="65">
        <v>95266.58</v>
      </c>
      <c r="AZ733" s="65">
        <v>95956.24</v>
      </c>
      <c r="BA733" s="65">
        <v>97432.41</v>
      </c>
      <c r="BB733" s="65">
        <v>0.0</v>
      </c>
      <c r="BC733" s="65">
        <v>0.0</v>
      </c>
      <c r="BD733" s="65">
        <v>0.0</v>
      </c>
      <c r="BE733" s="65">
        <v>0.0</v>
      </c>
      <c r="BF733" s="65">
        <v>0.0</v>
      </c>
      <c r="BG733" s="65">
        <v>0.0</v>
      </c>
      <c r="BH733" s="65">
        <v>0.0</v>
      </c>
      <c r="BI733" s="65">
        <v>0.0</v>
      </c>
      <c r="BJ733" s="65">
        <v>0.0</v>
      </c>
      <c r="BK733" s="65">
        <v>0.0</v>
      </c>
      <c r="BL733" s="65">
        <v>0.0</v>
      </c>
      <c r="BM733" s="65">
        <v>0.0</v>
      </c>
      <c r="BN733" s="65">
        <v>0.0</v>
      </c>
      <c r="BO733" s="65">
        <v>0.0</v>
      </c>
      <c r="BP733" s="65">
        <v>0.0</v>
      </c>
      <c r="BQ733" s="65">
        <v>0.0</v>
      </c>
      <c r="BR733" s="65">
        <v>0.0</v>
      </c>
      <c r="BS733" s="65">
        <v>0.0</v>
      </c>
      <c r="BT733" s="88">
        <v>0.0</v>
      </c>
      <c r="BU733" s="65">
        <v>0.0</v>
      </c>
      <c r="BV733" s="65">
        <v>0.0</v>
      </c>
      <c r="BW733" s="90">
        <v>0.0</v>
      </c>
      <c r="BX733" s="90">
        <v>0.0</v>
      </c>
      <c r="BY733" s="90" t="str">
        <f t="array" ref="BY733">XLOOKUP(C733,'PL TOTAL D0'!$A$3:$A$1991,'PL TOTAL D0'!$C$3:$C$1991,"")</f>
        <v/>
      </c>
    </row>
    <row r="734" ht="15.75" customHeight="1">
      <c r="A734" s="50" t="s">
        <v>24</v>
      </c>
      <c r="B734" s="50" t="s">
        <v>8151</v>
      </c>
      <c r="C734" s="94" t="s">
        <v>8152</v>
      </c>
      <c r="D734" s="81" t="s">
        <v>255</v>
      </c>
      <c r="E734" s="95" t="s">
        <v>199</v>
      </c>
      <c r="F734" s="81" t="s">
        <v>257</v>
      </c>
      <c r="G734" s="47" t="str">
        <f t="shared" si="30"/>
        <v>David</v>
      </c>
      <c r="H734" s="49" t="s">
        <v>224</v>
      </c>
      <c r="I734" s="49" t="s">
        <v>66</v>
      </c>
      <c r="J734" s="47" t="str">
        <f t="shared" si="32"/>
        <v>Não</v>
      </c>
      <c r="K734" s="97">
        <v>45153.0</v>
      </c>
      <c r="L734" s="55">
        <v>45525.0</v>
      </c>
      <c r="M734" s="62" t="s">
        <v>34</v>
      </c>
      <c r="N734" s="98">
        <v>0.012</v>
      </c>
      <c r="O734" s="47" t="s">
        <v>35</v>
      </c>
      <c r="P734" s="99">
        <v>0.1</v>
      </c>
      <c r="Q734" s="58"/>
      <c r="R734" s="58" t="s">
        <v>8153</v>
      </c>
      <c r="S734" s="62" t="s">
        <v>194</v>
      </c>
      <c r="T734" s="32" t="s">
        <v>8154</v>
      </c>
      <c r="U734" s="33" t="s">
        <v>268</v>
      </c>
      <c r="V734" s="33"/>
      <c r="W734" s="33" t="s">
        <v>268</v>
      </c>
      <c r="X734" s="23" t="s">
        <v>199</v>
      </c>
      <c r="Y734" s="49" t="str">
        <f t="shared" si="22"/>
        <v>Encerrado</v>
      </c>
      <c r="Z734" s="62"/>
      <c r="AA734" s="62"/>
      <c r="AB734" s="64" t="s">
        <v>269</v>
      </c>
      <c r="AC734" s="79"/>
      <c r="AD734" s="54">
        <v>45153.0</v>
      </c>
      <c r="AE734" s="77">
        <v>4.9075100004277E13</v>
      </c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65">
        <v>86137.17</v>
      </c>
      <c r="AQ734" s="65">
        <v>97309.47</v>
      </c>
      <c r="AR734" s="65">
        <v>97261.04</v>
      </c>
      <c r="AS734" s="65">
        <v>235706.8</v>
      </c>
      <c r="AT734" s="65">
        <v>239103.51</v>
      </c>
      <c r="AU734" s="65">
        <v>237931.99</v>
      </c>
      <c r="AV734" s="65">
        <v>260032.22</v>
      </c>
      <c r="AW734" s="65">
        <v>262611.44</v>
      </c>
      <c r="AX734" s="65">
        <v>262847.63</v>
      </c>
      <c r="AY734" s="65">
        <v>263000.1</v>
      </c>
      <c r="AZ734" s="65">
        <v>264928.5</v>
      </c>
      <c r="BA734" s="65">
        <v>267977.1</v>
      </c>
      <c r="BB734" s="65">
        <v>0.0</v>
      </c>
      <c r="BC734" s="65">
        <v>0.0</v>
      </c>
      <c r="BD734" s="65">
        <v>0.0</v>
      </c>
      <c r="BE734" s="65">
        <v>0.0</v>
      </c>
      <c r="BF734" s="65">
        <v>0.0</v>
      </c>
      <c r="BG734" s="65">
        <v>0.0</v>
      </c>
      <c r="BH734" s="65">
        <v>0.0</v>
      </c>
      <c r="BI734" s="65">
        <v>0.0</v>
      </c>
      <c r="BJ734" s="65">
        <v>0.0</v>
      </c>
      <c r="BK734" s="65">
        <v>0.0</v>
      </c>
      <c r="BL734" s="65">
        <v>0.0</v>
      </c>
      <c r="BM734" s="65">
        <v>0.0</v>
      </c>
      <c r="BN734" s="65">
        <v>0.0</v>
      </c>
      <c r="BO734" s="65">
        <v>0.0</v>
      </c>
      <c r="BP734" s="65">
        <v>0.0</v>
      </c>
      <c r="BQ734" s="65">
        <v>0.0</v>
      </c>
      <c r="BR734" s="65">
        <v>0.0</v>
      </c>
      <c r="BS734" s="65">
        <v>0.0</v>
      </c>
      <c r="BT734" s="88">
        <v>0.0</v>
      </c>
      <c r="BU734" s="65">
        <v>0.0</v>
      </c>
      <c r="BV734" s="65">
        <v>0.0</v>
      </c>
      <c r="BW734" s="90">
        <v>0.0</v>
      </c>
      <c r="BX734" s="90">
        <v>0.0</v>
      </c>
      <c r="BY734" s="90" t="str">
        <f t="array" ref="BY734">XLOOKUP(C734,'PL TOTAL D0'!$A$3:$A$1991,'PL TOTAL D0'!$C$3:$C$1991,"")</f>
        <v/>
      </c>
    </row>
    <row r="735" ht="15.75" customHeight="1">
      <c r="A735" s="50" t="s">
        <v>24</v>
      </c>
      <c r="B735" s="50" t="s">
        <v>6056</v>
      </c>
      <c r="C735" s="94" t="s">
        <v>3168</v>
      </c>
      <c r="D735" s="81" t="s">
        <v>120</v>
      </c>
      <c r="E735" s="95" t="s">
        <v>199</v>
      </c>
      <c r="F735" s="95" t="s">
        <v>290</v>
      </c>
      <c r="G735" s="47" t="str">
        <f t="shared" si="30"/>
        <v>David</v>
      </c>
      <c r="H735" s="74" t="s">
        <v>183</v>
      </c>
      <c r="I735" s="74" t="s">
        <v>66</v>
      </c>
      <c r="J735" s="47" t="str">
        <f t="shared" si="32"/>
        <v>Não</v>
      </c>
      <c r="K735" s="97">
        <v>45049.0</v>
      </c>
      <c r="L735" s="62"/>
      <c r="M735" s="62" t="s">
        <v>61</v>
      </c>
      <c r="N735" s="98">
        <v>0.012</v>
      </c>
      <c r="O735" s="47" t="s">
        <v>66</v>
      </c>
      <c r="P735" s="99">
        <v>0.0</v>
      </c>
      <c r="Q735" s="58"/>
      <c r="R735" s="70"/>
      <c r="S735" s="62" t="s">
        <v>194</v>
      </c>
      <c r="T735" s="32" t="s">
        <v>6055</v>
      </c>
      <c r="U735" s="33">
        <v>6.1993285625E10</v>
      </c>
      <c r="V735" s="33" t="s">
        <v>8157</v>
      </c>
      <c r="W735" s="48">
        <v>34694.0</v>
      </c>
      <c r="X735" s="23" t="s">
        <v>199</v>
      </c>
      <c r="Y735" s="49" t="str">
        <f t="shared" si="22"/>
        <v>Ativo</v>
      </c>
      <c r="Z735" s="62"/>
      <c r="AA735" s="62"/>
      <c r="AB735" s="64" t="s">
        <v>269</v>
      </c>
      <c r="AC735" s="79"/>
      <c r="AD735" s="54">
        <v>45049.0</v>
      </c>
      <c r="AE735" s="77">
        <v>4.9075100003084E13</v>
      </c>
      <c r="AF735" s="79"/>
      <c r="AG735" s="79"/>
      <c r="AH735" s="79"/>
      <c r="AI735" s="79"/>
      <c r="AJ735" s="79"/>
      <c r="AK735" s="65">
        <v>0.0</v>
      </c>
      <c r="AL735" s="65">
        <v>0.0</v>
      </c>
      <c r="AM735" s="65">
        <v>250702.3</v>
      </c>
      <c r="AN735" s="65">
        <v>253116.48</v>
      </c>
      <c r="AO735" s="65">
        <v>251302.85</v>
      </c>
      <c r="AP735" s="65">
        <v>253049.1</v>
      </c>
      <c r="AQ735" s="65">
        <v>254242.64</v>
      </c>
      <c r="AR735" s="65">
        <v>255791.67</v>
      </c>
      <c r="AS735" s="65">
        <v>258385.2</v>
      </c>
      <c r="AT735" s="65">
        <v>259749.48</v>
      </c>
      <c r="AU735" s="65">
        <v>261888.86</v>
      </c>
      <c r="AV735" s="65">
        <v>263005.86</v>
      </c>
      <c r="AW735" s="65">
        <v>265209.88</v>
      </c>
      <c r="AX735" s="65">
        <v>266678.8</v>
      </c>
      <c r="AY735" s="65">
        <v>268235.9</v>
      </c>
      <c r="AZ735" s="65">
        <v>269943.9</v>
      </c>
      <c r="BA735" s="65">
        <v>271548.3</v>
      </c>
      <c r="BB735" s="65">
        <v>258260.25</v>
      </c>
      <c r="BC735" s="65">
        <v>259917.58</v>
      </c>
      <c r="BD735" s="65">
        <v>261302.85</v>
      </c>
      <c r="BE735" s="65">
        <v>262799.66</v>
      </c>
      <c r="BF735" s="65">
        <v>264871.65</v>
      </c>
      <c r="BG735" s="65">
        <v>246648.52</v>
      </c>
      <c r="BH735" s="65">
        <v>206290.06</v>
      </c>
      <c r="BI735" s="65">
        <v>208401.09</v>
      </c>
      <c r="BJ735" s="65">
        <v>210669.5</v>
      </c>
      <c r="BK735" s="65">
        <v>207270.94</v>
      </c>
      <c r="BL735" s="65">
        <v>200959.63</v>
      </c>
      <c r="BM735" s="65">
        <v>203112.68</v>
      </c>
      <c r="BN735" s="65">
        <v>196231.5</v>
      </c>
      <c r="BO735" s="65">
        <v>198149.68</v>
      </c>
      <c r="BP735" s="65">
        <v>191412.4</v>
      </c>
      <c r="BQ735" s="65">
        <v>193066.3</v>
      </c>
      <c r="BR735" s="65">
        <v>195059.6</v>
      </c>
      <c r="BS735" s="65">
        <v>180510.03</v>
      </c>
      <c r="BT735" s="88">
        <v>181969.4</v>
      </c>
      <c r="BU735" s="65">
        <v>184229.7</v>
      </c>
      <c r="BV735" s="65">
        <v>186385.6</v>
      </c>
      <c r="BW735" s="90">
        <v>187996.9</v>
      </c>
      <c r="BX735" s="90">
        <v>189188.3</v>
      </c>
      <c r="BY735" s="90">
        <f t="array" ref="BY735">XLOOKUP(C735,'PL TOTAL D0'!$A$3:$A$1991,'PL TOTAL D0'!$C$3:$C$1991,"")</f>
        <v>191267.91</v>
      </c>
    </row>
    <row r="736" ht="15.75" customHeight="1">
      <c r="A736" s="50" t="s">
        <v>24</v>
      </c>
      <c r="B736" s="43" t="s">
        <v>8159</v>
      </c>
      <c r="C736" s="53" t="s">
        <v>2711</v>
      </c>
      <c r="D736" s="30" t="s">
        <v>1257</v>
      </c>
      <c r="E736" s="22" t="s">
        <v>199</v>
      </c>
      <c r="F736" s="22" t="s">
        <v>1257</v>
      </c>
      <c r="G736" s="23" t="s">
        <v>3075</v>
      </c>
      <c r="H736" s="49" t="s">
        <v>183</v>
      </c>
      <c r="I736" s="74" t="s">
        <v>66</v>
      </c>
      <c r="J736" s="47" t="str">
        <f t="shared" si="32"/>
        <v>Não</v>
      </c>
      <c r="K736" s="54">
        <v>46139.0</v>
      </c>
      <c r="L736" s="62"/>
      <c r="M736" s="32" t="s">
        <v>1262</v>
      </c>
      <c r="N736" s="56">
        <v>0.0</v>
      </c>
      <c r="O736" s="23" t="s">
        <v>66</v>
      </c>
      <c r="P736" s="57">
        <v>0.0</v>
      </c>
      <c r="Q736" s="58"/>
      <c r="R736" s="70"/>
      <c r="S736" s="32" t="s">
        <v>194</v>
      </c>
      <c r="T736" s="32" t="s">
        <v>8161</v>
      </c>
      <c r="U736" s="33" t="s">
        <v>8162</v>
      </c>
      <c r="V736" s="33" t="s">
        <v>8163</v>
      </c>
      <c r="W736" s="48">
        <v>31587.0</v>
      </c>
      <c r="X736" s="23" t="s">
        <v>618</v>
      </c>
      <c r="Y736" s="49" t="str">
        <f t="shared" si="22"/>
        <v>Ativo</v>
      </c>
      <c r="Z736" s="62"/>
      <c r="AA736" s="32" t="s">
        <v>165</v>
      </c>
      <c r="AB736" s="64"/>
      <c r="AC736" s="79"/>
      <c r="AD736" s="54">
        <v>46203.0</v>
      </c>
      <c r="AE736" s="77"/>
      <c r="AF736" s="79"/>
      <c r="AG736" s="79"/>
      <c r="AH736" s="79"/>
      <c r="AI736" s="79"/>
      <c r="AJ736" s="79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  <c r="BM736" s="65"/>
      <c r="BN736" s="65"/>
      <c r="BO736" s="65"/>
      <c r="BP736" s="65"/>
      <c r="BQ736" s="65"/>
      <c r="BR736" s="65"/>
      <c r="BS736" s="65"/>
      <c r="BT736" s="88"/>
      <c r="BU736" s="65"/>
      <c r="BV736" s="65">
        <v>967649.0</v>
      </c>
      <c r="BW736" s="90">
        <v>951066.3</v>
      </c>
      <c r="BX736" s="90">
        <v>957305.77</v>
      </c>
      <c r="BY736" s="90">
        <f t="array" ref="BY736">XLOOKUP(C736,'PL TOTAL D0'!$A$3:$A$1991,'PL TOTAL D0'!$C$3:$C$1991,"")</f>
        <v>952201.29</v>
      </c>
    </row>
    <row r="737" ht="15.75" customHeight="1">
      <c r="A737" s="50" t="s">
        <v>24</v>
      </c>
      <c r="B737" s="368" t="s">
        <v>8164</v>
      </c>
      <c r="C737" s="94" t="s">
        <v>8165</v>
      </c>
      <c r="D737" s="81" t="s">
        <v>120</v>
      </c>
      <c r="E737" s="95" t="s">
        <v>199</v>
      </c>
      <c r="F737" s="95" t="s">
        <v>677</v>
      </c>
      <c r="G737" s="47" t="str">
        <f t="shared" ref="G737:G806" si="33">IFS($BS$4:$BS$1280&lt;=250000,"David",$BS$4:$BS$1280&lt;=800000,"Gabriel", $BS$4:$BS$1280&gt;800000,"Marcus")</f>
        <v>David</v>
      </c>
      <c r="H737" s="49" t="s">
        <v>224</v>
      </c>
      <c r="I737" s="49" t="s">
        <v>66</v>
      </c>
      <c r="J737" s="47" t="str">
        <f t="shared" si="32"/>
        <v>Não</v>
      </c>
      <c r="K737" s="97">
        <v>45254.0</v>
      </c>
      <c r="L737" s="55">
        <v>45796.0</v>
      </c>
      <c r="M737" s="66" t="s">
        <v>390</v>
      </c>
      <c r="N737" s="144">
        <v>0.0</v>
      </c>
      <c r="O737" s="81" t="s">
        <v>66</v>
      </c>
      <c r="P737" s="520">
        <v>0.0</v>
      </c>
      <c r="Q737" s="58"/>
      <c r="R737" s="58" t="s">
        <v>610</v>
      </c>
      <c r="S737" s="62" t="s">
        <v>194</v>
      </c>
      <c r="T737" s="32" t="s">
        <v>8166</v>
      </c>
      <c r="U737" s="33" t="s">
        <v>268</v>
      </c>
      <c r="V737" s="33"/>
      <c r="W737" s="33" t="s">
        <v>268</v>
      </c>
      <c r="X737" s="23" t="s">
        <v>199</v>
      </c>
      <c r="Y737" s="49" t="str">
        <f t="shared" si="22"/>
        <v>Encerrado</v>
      </c>
      <c r="Z737" s="62"/>
      <c r="AA737" s="62"/>
      <c r="AB737" s="64" t="s">
        <v>269</v>
      </c>
      <c r="AC737" s="79"/>
      <c r="AD737" s="54">
        <v>45254.0</v>
      </c>
      <c r="AE737" s="77">
        <v>4.9075100012598E13</v>
      </c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65">
        <v>0.0</v>
      </c>
      <c r="AT737" s="65">
        <v>10066.79</v>
      </c>
      <c r="AU737" s="65">
        <v>10162.2</v>
      </c>
      <c r="AV737" s="65">
        <v>10225.44</v>
      </c>
      <c r="AW737" s="65">
        <v>29309.64</v>
      </c>
      <c r="AX737" s="65">
        <v>29442.93</v>
      </c>
      <c r="AY737" s="65">
        <v>29675.0</v>
      </c>
      <c r="AZ737" s="65">
        <v>38333.25</v>
      </c>
      <c r="BA737" s="65">
        <v>47116.13</v>
      </c>
      <c r="BB737" s="65">
        <v>47518.42</v>
      </c>
      <c r="BC737" s="65">
        <v>47893.63</v>
      </c>
      <c r="BD737" s="65">
        <v>0.0</v>
      </c>
      <c r="BE737" s="65">
        <v>0.0</v>
      </c>
      <c r="BF737" s="65">
        <v>0.0</v>
      </c>
      <c r="BG737" s="65">
        <v>0.0</v>
      </c>
      <c r="BH737" s="65">
        <v>0.0</v>
      </c>
      <c r="BI737" s="65">
        <v>0.0</v>
      </c>
      <c r="BJ737" s="65">
        <v>0.0</v>
      </c>
      <c r="BK737" s="65">
        <v>0.0</v>
      </c>
      <c r="BL737" s="65">
        <v>0.0</v>
      </c>
      <c r="BM737" s="65">
        <v>0.0</v>
      </c>
      <c r="BN737" s="65">
        <v>0.0</v>
      </c>
      <c r="BO737" s="65">
        <v>0.0</v>
      </c>
      <c r="BP737" s="65">
        <v>0.0</v>
      </c>
      <c r="BQ737" s="65">
        <v>0.0</v>
      </c>
      <c r="BR737" s="65">
        <v>0.0</v>
      </c>
      <c r="BS737" s="65">
        <v>0.0</v>
      </c>
      <c r="BT737" s="88">
        <v>0.0</v>
      </c>
      <c r="BU737" s="65">
        <v>0.0</v>
      </c>
      <c r="BV737" s="65">
        <v>0.0</v>
      </c>
      <c r="BW737" s="90">
        <v>0.0</v>
      </c>
      <c r="BX737" s="90">
        <v>0.0</v>
      </c>
      <c r="BY737" s="90" t="str">
        <f t="array" ref="BY737">XLOOKUP(C737,'PL TOTAL D0'!$A$3:$A$1991,'PL TOTAL D0'!$C$3:$C$1991,"")</f>
        <v/>
      </c>
    </row>
    <row r="738" ht="15.75" customHeight="1">
      <c r="A738" s="50" t="s">
        <v>24</v>
      </c>
      <c r="B738" s="167" t="s">
        <v>8169</v>
      </c>
      <c r="C738" s="94" t="s">
        <v>8170</v>
      </c>
      <c r="D738" s="30" t="s">
        <v>120</v>
      </c>
      <c r="E738" s="95" t="s">
        <v>199</v>
      </c>
      <c r="F738" s="95" t="s">
        <v>677</v>
      </c>
      <c r="G738" s="47" t="str">
        <f t="shared" si="33"/>
        <v>David</v>
      </c>
      <c r="H738" s="49" t="s">
        <v>224</v>
      </c>
      <c r="I738" s="49" t="s">
        <v>66</v>
      </c>
      <c r="J738" s="47" t="str">
        <f t="shared" si="32"/>
        <v>Não</v>
      </c>
      <c r="K738" s="54">
        <v>45408.0</v>
      </c>
      <c r="L738" s="55">
        <v>45796.0</v>
      </c>
      <c r="M738" s="27" t="s">
        <v>61</v>
      </c>
      <c r="N738" s="199">
        <v>0.012</v>
      </c>
      <c r="O738" s="30" t="s">
        <v>66</v>
      </c>
      <c r="P738" s="702">
        <v>0.0</v>
      </c>
      <c r="Q738" s="58"/>
      <c r="R738" s="58" t="s">
        <v>610</v>
      </c>
      <c r="S738" s="32" t="s">
        <v>194</v>
      </c>
      <c r="T738" s="32" t="s">
        <v>8166</v>
      </c>
      <c r="U738" s="33" t="s">
        <v>268</v>
      </c>
      <c r="V738" s="33"/>
      <c r="W738" s="33" t="s">
        <v>268</v>
      </c>
      <c r="X738" s="23" t="s">
        <v>199</v>
      </c>
      <c r="Y738" s="49" t="str">
        <f t="shared" si="22"/>
        <v>Encerrado</v>
      </c>
      <c r="Z738" s="62"/>
      <c r="AA738" s="32" t="s">
        <v>47</v>
      </c>
      <c r="AB738" s="64" t="s">
        <v>269</v>
      </c>
      <c r="AC738" s="79"/>
      <c r="AD738" s="54">
        <v>45408.0</v>
      </c>
      <c r="AE738" s="77">
        <v>4.9075100014086E13</v>
      </c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65"/>
      <c r="AW738" s="65"/>
      <c r="AX738" s="65">
        <v>0.0</v>
      </c>
      <c r="AY738" s="65">
        <v>0.0</v>
      </c>
      <c r="AZ738" s="65">
        <v>0.0</v>
      </c>
      <c r="BA738" s="65">
        <v>0.0</v>
      </c>
      <c r="BB738" s="65">
        <v>0.0</v>
      </c>
      <c r="BC738" s="65">
        <v>0.0</v>
      </c>
      <c r="BD738" s="65">
        <v>0.0</v>
      </c>
      <c r="BE738" s="65">
        <v>0.0</v>
      </c>
      <c r="BF738" s="65">
        <v>0.0</v>
      </c>
      <c r="BG738" s="65">
        <v>0.0</v>
      </c>
      <c r="BH738" s="65">
        <v>0.0</v>
      </c>
      <c r="BI738" s="65">
        <v>0.0</v>
      </c>
      <c r="BJ738" s="65">
        <v>0.0</v>
      </c>
      <c r="BK738" s="65">
        <v>0.0</v>
      </c>
      <c r="BL738" s="65">
        <v>0.0</v>
      </c>
      <c r="BM738" s="65">
        <v>0.0</v>
      </c>
      <c r="BN738" s="65">
        <v>0.0</v>
      </c>
      <c r="BO738" s="65">
        <v>0.0</v>
      </c>
      <c r="BP738" s="65">
        <v>0.0</v>
      </c>
      <c r="BQ738" s="65">
        <v>0.0</v>
      </c>
      <c r="BR738" s="65">
        <v>0.0</v>
      </c>
      <c r="BS738" s="65">
        <v>0.0</v>
      </c>
      <c r="BT738" s="88">
        <v>0.0</v>
      </c>
      <c r="BU738" s="65">
        <v>0.0</v>
      </c>
      <c r="BV738" s="65">
        <v>0.0</v>
      </c>
      <c r="BW738" s="90">
        <v>0.0</v>
      </c>
      <c r="BX738" s="90">
        <v>0.0</v>
      </c>
      <c r="BY738" s="90" t="str">
        <f t="array" ref="BY738">XLOOKUP(C738,'PL TOTAL D0'!$A$3:$A$1991,'PL TOTAL D0'!$C$3:$C$1991,"")</f>
        <v/>
      </c>
    </row>
    <row r="739" ht="15.75" customHeight="1">
      <c r="A739" s="50" t="s">
        <v>24</v>
      </c>
      <c r="B739" s="167" t="s">
        <v>8173</v>
      </c>
      <c r="C739" s="94" t="s">
        <v>3237</v>
      </c>
      <c r="D739" s="30" t="s">
        <v>120</v>
      </c>
      <c r="E739" s="22" t="s">
        <v>199</v>
      </c>
      <c r="F739" s="30" t="s">
        <v>332</v>
      </c>
      <c r="G739" s="47" t="str">
        <f t="shared" si="33"/>
        <v>David</v>
      </c>
      <c r="H739" s="49" t="s">
        <v>183</v>
      </c>
      <c r="I739" s="49" t="s">
        <v>66</v>
      </c>
      <c r="J739" s="47" t="str">
        <f t="shared" si="32"/>
        <v>Não</v>
      </c>
      <c r="K739" s="54">
        <v>45832.0</v>
      </c>
      <c r="L739" s="55"/>
      <c r="M739" s="27" t="s">
        <v>61</v>
      </c>
      <c r="N739" s="199">
        <v>0.007</v>
      </c>
      <c r="O739" s="30" t="s">
        <v>66</v>
      </c>
      <c r="P739" s="702">
        <v>0.0</v>
      </c>
      <c r="Q739" s="58"/>
      <c r="R739" s="58"/>
      <c r="S739" s="32" t="s">
        <v>194</v>
      </c>
      <c r="T739" s="32" t="s">
        <v>8174</v>
      </c>
      <c r="U739" s="33">
        <v>5.521992011046E12</v>
      </c>
      <c r="V739" s="33" t="s">
        <v>8175</v>
      </c>
      <c r="W739" s="34">
        <v>35823.0</v>
      </c>
      <c r="X739" s="23" t="s">
        <v>397</v>
      </c>
      <c r="Y739" s="49" t="str">
        <f t="shared" si="22"/>
        <v>Ativo</v>
      </c>
      <c r="Z739" s="62"/>
      <c r="AA739" s="32" t="s">
        <v>47</v>
      </c>
      <c r="AB739" s="64"/>
      <c r="AC739" s="79"/>
      <c r="AD739" s="54">
        <v>45832.0</v>
      </c>
      <c r="AE739" s="77">
        <v>4.9075100019037E13</v>
      </c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65"/>
      <c r="AW739" s="65"/>
      <c r="AX739" s="65"/>
      <c r="AY739" s="65"/>
      <c r="AZ739" s="65"/>
      <c r="BA739" s="65"/>
      <c r="BB739" s="65"/>
      <c r="BC739" s="65"/>
      <c r="BD739" s="65"/>
      <c r="BE739" s="65"/>
      <c r="BF739" s="65"/>
      <c r="BG739" s="65"/>
      <c r="BH739" s="65"/>
      <c r="BI739" s="65"/>
      <c r="BJ739" s="65"/>
      <c r="BK739" s="65"/>
      <c r="BL739" s="65">
        <v>65858.22</v>
      </c>
      <c r="BM739" s="65">
        <v>66946.75</v>
      </c>
      <c r="BN739" s="65">
        <v>67291.09</v>
      </c>
      <c r="BO739" s="65">
        <v>67973.45</v>
      </c>
      <c r="BP739" s="65">
        <v>68699.41</v>
      </c>
      <c r="BQ739" s="65">
        <v>68721.56</v>
      </c>
      <c r="BR739" s="65">
        <v>69335.27</v>
      </c>
      <c r="BS739" s="65">
        <v>64812.64</v>
      </c>
      <c r="BT739" s="88">
        <v>64966.11</v>
      </c>
      <c r="BU739" s="65">
        <v>65820.63</v>
      </c>
      <c r="BV739" s="65">
        <v>137381.0</v>
      </c>
      <c r="BW739" s="90">
        <v>138702.3</v>
      </c>
      <c r="BX739" s="90">
        <v>139759.36</v>
      </c>
      <c r="BY739" s="90">
        <f t="array" ref="BY739">XLOOKUP(C739,'PL TOTAL D0'!$A$3:$A$1991,'PL TOTAL D0'!$C$3:$C$1991,"")</f>
        <v>140771.48</v>
      </c>
    </row>
    <row r="740" ht="15.75" customHeight="1">
      <c r="A740" s="50" t="s">
        <v>24</v>
      </c>
      <c r="B740" s="167" t="s">
        <v>8178</v>
      </c>
      <c r="C740" s="94" t="s">
        <v>3158</v>
      </c>
      <c r="D740" s="30" t="s">
        <v>1358</v>
      </c>
      <c r="E740" s="22" t="s">
        <v>199</v>
      </c>
      <c r="F740" s="22" t="s">
        <v>8179</v>
      </c>
      <c r="G740" s="47" t="str">
        <f t="shared" si="33"/>
        <v>David</v>
      </c>
      <c r="H740" s="49" t="s">
        <v>183</v>
      </c>
      <c r="I740" s="49" t="s">
        <v>66</v>
      </c>
      <c r="J740" s="47" t="str">
        <f t="shared" si="32"/>
        <v>Não</v>
      </c>
      <c r="K740" s="54">
        <v>46072.0</v>
      </c>
      <c r="L740" s="55"/>
      <c r="M740" s="27" t="s">
        <v>61</v>
      </c>
      <c r="N740" s="199">
        <v>0.012</v>
      </c>
      <c r="O740" s="30" t="s">
        <v>66</v>
      </c>
      <c r="P740" s="702">
        <v>0.0</v>
      </c>
      <c r="Q740" s="58"/>
      <c r="R740" s="58"/>
      <c r="S740" s="32" t="s">
        <v>194</v>
      </c>
      <c r="T740" s="32" t="s">
        <v>8180</v>
      </c>
      <c r="U740" s="33" t="s">
        <v>8181</v>
      </c>
      <c r="V740" s="33" t="s">
        <v>8182</v>
      </c>
      <c r="W740" s="34">
        <v>21966.0</v>
      </c>
      <c r="X740" s="23" t="s">
        <v>199</v>
      </c>
      <c r="Y740" s="49" t="str">
        <f t="shared" si="22"/>
        <v>Ativo</v>
      </c>
      <c r="Z740" s="62"/>
      <c r="AA740" s="32" t="s">
        <v>47</v>
      </c>
      <c r="AB740" s="64"/>
      <c r="AC740" s="79"/>
      <c r="AD740" s="54">
        <v>46203.0</v>
      </c>
      <c r="AE740" s="77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65"/>
      <c r="AW740" s="65"/>
      <c r="AX740" s="65"/>
      <c r="AY740" s="65"/>
      <c r="AZ740" s="65"/>
      <c r="BA740" s="65"/>
      <c r="BB740" s="65"/>
      <c r="BC740" s="65"/>
      <c r="BD740" s="65"/>
      <c r="BE740" s="65"/>
      <c r="BF740" s="65"/>
      <c r="BG740" s="65"/>
      <c r="BH740" s="65"/>
      <c r="BI740" s="65"/>
      <c r="BJ740" s="65"/>
      <c r="BK740" s="65"/>
      <c r="BL740" s="65"/>
      <c r="BM740" s="65"/>
      <c r="BN740" s="65"/>
      <c r="BO740" s="65"/>
      <c r="BP740" s="65"/>
      <c r="BQ740" s="65"/>
      <c r="BR740" s="65"/>
      <c r="BS740" s="65"/>
      <c r="BT740" s="88">
        <v>187821.9</v>
      </c>
      <c r="BU740" s="65">
        <v>190215.7</v>
      </c>
      <c r="BV740" s="65">
        <v>192371.6</v>
      </c>
      <c r="BW740" s="90">
        <v>194365.7</v>
      </c>
      <c r="BX740" s="90">
        <v>196329.18</v>
      </c>
      <c r="BY740" s="90">
        <f t="array" ref="BY740">XLOOKUP(C740,'PL TOTAL D0'!$A$3:$A$1991,'PL TOTAL D0'!$C$3:$C$1991,"")</f>
        <v>198576.22</v>
      </c>
    </row>
    <row r="741" ht="15.75" customHeight="1">
      <c r="A741" s="50" t="s">
        <v>24</v>
      </c>
      <c r="B741" s="167" t="s">
        <v>8184</v>
      </c>
      <c r="C741" s="94" t="s">
        <v>8185</v>
      </c>
      <c r="D741" s="30" t="s">
        <v>120</v>
      </c>
      <c r="E741" s="22" t="s">
        <v>54</v>
      </c>
      <c r="F741" s="22" t="s">
        <v>348</v>
      </c>
      <c r="G741" s="47" t="str">
        <f t="shared" si="33"/>
        <v>David</v>
      </c>
      <c r="H741" s="49" t="s">
        <v>295</v>
      </c>
      <c r="I741" s="49" t="s">
        <v>756</v>
      </c>
      <c r="J741" s="47" t="str">
        <f t="shared" si="32"/>
        <v>Não</v>
      </c>
      <c r="K741" s="54">
        <v>45688.0</v>
      </c>
      <c r="L741" s="62"/>
      <c r="M741" s="27" t="s">
        <v>61</v>
      </c>
      <c r="N741" s="199">
        <v>0.012</v>
      </c>
      <c r="O741" s="30" t="s">
        <v>66</v>
      </c>
      <c r="P741" s="702">
        <v>0.0</v>
      </c>
      <c r="Q741" s="58"/>
      <c r="R741" s="70"/>
      <c r="S741" s="32" t="s">
        <v>194</v>
      </c>
      <c r="T741" s="32" t="s">
        <v>8186</v>
      </c>
      <c r="U741" s="33">
        <v>5.562981121216E12</v>
      </c>
      <c r="V741" s="33" t="s">
        <v>8187</v>
      </c>
      <c r="W741" s="48">
        <v>19341.0</v>
      </c>
      <c r="X741" s="23" t="s">
        <v>54</v>
      </c>
      <c r="Y741" s="49" t="str">
        <f t="shared" si="22"/>
        <v>Ativo</v>
      </c>
      <c r="Z741" s="62"/>
      <c r="AA741" s="32" t="s">
        <v>107</v>
      </c>
      <c r="AB741" s="64"/>
      <c r="AC741" s="79"/>
      <c r="AD741" s="54">
        <v>45688.0</v>
      </c>
      <c r="AE741" s="77">
        <v>4.9075100017611E13</v>
      </c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65"/>
      <c r="AW741" s="65"/>
      <c r="AX741" s="65"/>
      <c r="AY741" s="65"/>
      <c r="AZ741" s="65"/>
      <c r="BA741" s="65"/>
      <c r="BB741" s="65"/>
      <c r="BC741" s="65"/>
      <c r="BD741" s="65"/>
      <c r="BE741" s="65"/>
      <c r="BF741" s="65"/>
      <c r="BG741" s="65">
        <v>0.0</v>
      </c>
      <c r="BH741" s="65">
        <v>0.0</v>
      </c>
      <c r="BI741" s="65">
        <v>0.0</v>
      </c>
      <c r="BJ741" s="65">
        <v>0.0</v>
      </c>
      <c r="BK741" s="65">
        <v>0.0</v>
      </c>
      <c r="BL741" s="65">
        <v>0.0</v>
      </c>
      <c r="BM741" s="65">
        <v>0.0</v>
      </c>
      <c r="BN741" s="65">
        <v>0.0</v>
      </c>
      <c r="BO741" s="65">
        <v>0.0</v>
      </c>
      <c r="BP741" s="65">
        <v>0.0</v>
      </c>
      <c r="BQ741" s="65">
        <v>0.0</v>
      </c>
      <c r="BR741" s="65">
        <v>0.0</v>
      </c>
      <c r="BS741" s="65">
        <v>0.0</v>
      </c>
      <c r="BT741" s="88">
        <v>0.0</v>
      </c>
      <c r="BU741" s="65">
        <v>0.0</v>
      </c>
      <c r="BV741" s="65">
        <v>0.0</v>
      </c>
      <c r="BW741" s="90">
        <v>0.0</v>
      </c>
      <c r="BX741" s="90">
        <v>0.0</v>
      </c>
      <c r="BY741" s="90" t="str">
        <f t="array" ref="BY741">XLOOKUP(C741,'PL TOTAL D0'!$A$3:$A$1991,'PL TOTAL D0'!$C$3:$C$1991,"")</f>
        <v/>
      </c>
    </row>
    <row r="742" ht="15.75" customHeight="1">
      <c r="A742" s="43" t="s">
        <v>24</v>
      </c>
      <c r="B742" s="43" t="s">
        <v>8189</v>
      </c>
      <c r="C742" s="94" t="s">
        <v>3389</v>
      </c>
      <c r="D742" s="30" t="s">
        <v>365</v>
      </c>
      <c r="E742" s="22" t="s">
        <v>199</v>
      </c>
      <c r="F742" s="30" t="s">
        <v>1111</v>
      </c>
      <c r="G742" s="47" t="str">
        <f t="shared" si="33"/>
        <v>David</v>
      </c>
      <c r="H742" s="49" t="s">
        <v>183</v>
      </c>
      <c r="I742" s="49" t="s">
        <v>66</v>
      </c>
      <c r="J742" s="47" t="str">
        <f t="shared" si="32"/>
        <v>Sim</v>
      </c>
      <c r="K742" s="54">
        <v>45363.0</v>
      </c>
      <c r="L742" s="62"/>
      <c r="M742" s="27" t="s">
        <v>61</v>
      </c>
      <c r="N742" s="199">
        <v>0.012</v>
      </c>
      <c r="O742" s="30" t="s">
        <v>66</v>
      </c>
      <c r="P742" s="702">
        <v>0.0</v>
      </c>
      <c r="Q742" s="58" t="s">
        <v>8190</v>
      </c>
      <c r="R742" s="70"/>
      <c r="S742" s="32" t="s">
        <v>194</v>
      </c>
      <c r="T742" s="177" t="s">
        <v>8191</v>
      </c>
      <c r="U742" s="33">
        <v>6.1999937679E10</v>
      </c>
      <c r="V742" s="33" t="s">
        <v>8192</v>
      </c>
      <c r="W742" s="34">
        <v>20983.0</v>
      </c>
      <c r="X742" s="23" t="s">
        <v>199</v>
      </c>
      <c r="Y742" s="49" t="str">
        <f t="shared" si="22"/>
        <v>Ativo</v>
      </c>
      <c r="Z742" s="62"/>
      <c r="AA742" s="32" t="s">
        <v>47</v>
      </c>
      <c r="AB742" s="64" t="s">
        <v>269</v>
      </c>
      <c r="AC742" s="79"/>
      <c r="AD742" s="54">
        <v>45363.0</v>
      </c>
      <c r="AE742" s="77">
        <v>4.9075100013845E13</v>
      </c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65"/>
      <c r="AW742" s="65">
        <v>105164.21</v>
      </c>
      <c r="AX742" s="65">
        <v>106021.93</v>
      </c>
      <c r="AY742" s="65">
        <v>106704.3</v>
      </c>
      <c r="AZ742" s="65">
        <v>107572.3</v>
      </c>
      <c r="BA742" s="65">
        <v>108492.5</v>
      </c>
      <c r="BB742" s="65">
        <v>109365.04</v>
      </c>
      <c r="BC742" s="65">
        <v>110150.93</v>
      </c>
      <c r="BD742" s="65">
        <v>111185.66</v>
      </c>
      <c r="BE742" s="65">
        <v>111926.87</v>
      </c>
      <c r="BF742" s="65">
        <v>112668.49</v>
      </c>
      <c r="BG742" s="65">
        <v>113632.52</v>
      </c>
      <c r="BH742" s="65">
        <v>114620.78</v>
      </c>
      <c r="BI742" s="65">
        <v>104292.32</v>
      </c>
      <c r="BJ742" s="65">
        <v>105383.41</v>
      </c>
      <c r="BK742" s="65">
        <v>106382.25</v>
      </c>
      <c r="BL742" s="65">
        <v>107484.76</v>
      </c>
      <c r="BM742" s="65">
        <v>108774.71</v>
      </c>
      <c r="BN742" s="65">
        <v>109931.5</v>
      </c>
      <c r="BO742" s="65">
        <v>65959.07</v>
      </c>
      <c r="BP742" s="65">
        <v>66722.44</v>
      </c>
      <c r="BQ742" s="65">
        <v>67392.15</v>
      </c>
      <c r="BR742" s="65">
        <v>68148.87</v>
      </c>
      <c r="BS742" s="65">
        <v>68890.24</v>
      </c>
      <c r="BT742" s="88">
        <v>69539.54</v>
      </c>
      <c r="BU742" s="65">
        <v>70361.43</v>
      </c>
      <c r="BV742" s="65">
        <v>117630.6</v>
      </c>
      <c r="BW742" s="90">
        <v>71371.29</v>
      </c>
      <c r="BX742" s="90">
        <v>72105.22</v>
      </c>
      <c r="BY742" s="90">
        <f t="array" ref="BY742">XLOOKUP(C742,'PL TOTAL D0'!$A$3:$A$1991,'PL TOTAL D0'!$C$3:$C$1991,"")</f>
        <v>72962.46</v>
      </c>
    </row>
    <row r="743" ht="15.75" customHeight="1">
      <c r="A743" s="43" t="s">
        <v>24</v>
      </c>
      <c r="B743" s="43" t="s">
        <v>8189</v>
      </c>
      <c r="C743" s="53" t="s">
        <v>8193</v>
      </c>
      <c r="D743" s="30" t="s">
        <v>365</v>
      </c>
      <c r="E743" s="22" t="s">
        <v>199</v>
      </c>
      <c r="F743" s="30" t="s">
        <v>1111</v>
      </c>
      <c r="G743" s="47" t="str">
        <f t="shared" si="33"/>
        <v>David</v>
      </c>
      <c r="H743" s="49" t="s">
        <v>183</v>
      </c>
      <c r="I743" s="49" t="s">
        <v>66</v>
      </c>
      <c r="J743" s="47" t="str">
        <f t="shared" si="32"/>
        <v>Não</v>
      </c>
      <c r="K743" s="54">
        <v>46122.0</v>
      </c>
      <c r="L743" s="62"/>
      <c r="M743" s="27" t="s">
        <v>390</v>
      </c>
      <c r="N743" s="199">
        <v>0.005</v>
      </c>
      <c r="O743" s="30" t="s">
        <v>66</v>
      </c>
      <c r="P743" s="702">
        <v>0.0</v>
      </c>
      <c r="Q743" s="58"/>
      <c r="R743" s="70"/>
      <c r="S743" s="32" t="s">
        <v>194</v>
      </c>
      <c r="T743" s="177" t="s">
        <v>8191</v>
      </c>
      <c r="U743" s="33">
        <v>6.1999937679E10</v>
      </c>
      <c r="V743" s="33" t="s">
        <v>8192</v>
      </c>
      <c r="W743" s="34">
        <v>20983.0</v>
      </c>
      <c r="X743" s="23" t="s">
        <v>199</v>
      </c>
      <c r="Y743" s="49" t="str">
        <f t="shared" si="22"/>
        <v>Ativo</v>
      </c>
      <c r="Z743" s="62"/>
      <c r="AA743" s="32" t="s">
        <v>47</v>
      </c>
      <c r="AB743" s="64"/>
      <c r="AC743" s="79"/>
      <c r="AD743" s="54"/>
      <c r="AE743" s="77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65"/>
      <c r="BH743" s="65"/>
      <c r="BI743" s="65"/>
      <c r="BJ743" s="65"/>
      <c r="BK743" s="65"/>
      <c r="BL743" s="65"/>
      <c r="BM743" s="65"/>
      <c r="BN743" s="65"/>
      <c r="BO743" s="65"/>
      <c r="BP743" s="65"/>
      <c r="BQ743" s="65"/>
      <c r="BR743" s="65"/>
      <c r="BS743" s="65"/>
      <c r="BT743" s="88"/>
      <c r="BU743" s="65"/>
      <c r="BV743" s="65">
        <v>0.11</v>
      </c>
      <c r="BW743" s="90">
        <v>0.11</v>
      </c>
      <c r="BX743" s="90">
        <v>0.11</v>
      </c>
      <c r="BY743" s="90" t="str">
        <f t="array" ref="BY743">XLOOKUP(C743,'PL TOTAL D0'!$A$3:$A$1991,'PL TOTAL D0'!$C$3:$C$1991,"")</f>
        <v/>
      </c>
    </row>
    <row r="744" ht="15.75" customHeight="1">
      <c r="A744" s="50" t="s">
        <v>24</v>
      </c>
      <c r="B744" s="43" t="s">
        <v>8198</v>
      </c>
      <c r="C744" s="94" t="s">
        <v>2631</v>
      </c>
      <c r="D744" s="30" t="s">
        <v>120</v>
      </c>
      <c r="E744" s="95" t="s">
        <v>91</v>
      </c>
      <c r="F744" s="81" t="s">
        <v>884</v>
      </c>
      <c r="G744" s="47" t="str">
        <f t="shared" si="33"/>
        <v>Marcus</v>
      </c>
      <c r="H744" s="74" t="s">
        <v>183</v>
      </c>
      <c r="I744" s="74" t="s">
        <v>66</v>
      </c>
      <c r="J744" s="47" t="str">
        <f t="shared" si="32"/>
        <v>Não</v>
      </c>
      <c r="K744" s="97">
        <v>45040.0</v>
      </c>
      <c r="L744" s="62"/>
      <c r="M744" s="62" t="s">
        <v>61</v>
      </c>
      <c r="N744" s="98">
        <v>0.007</v>
      </c>
      <c r="O744" s="47" t="s">
        <v>66</v>
      </c>
      <c r="P744" s="99">
        <v>0.0</v>
      </c>
      <c r="Q744" s="58"/>
      <c r="R744" s="70"/>
      <c r="S744" s="62" t="s">
        <v>194</v>
      </c>
      <c r="T744" s="32" t="s">
        <v>8199</v>
      </c>
      <c r="U744" s="33">
        <v>5.514997725401E12</v>
      </c>
      <c r="V744" s="33" t="s">
        <v>8200</v>
      </c>
      <c r="W744" s="34">
        <v>18863.0</v>
      </c>
      <c r="X744" s="23" t="s">
        <v>475</v>
      </c>
      <c r="Y744" s="49" t="str">
        <f t="shared" si="22"/>
        <v>Ativo</v>
      </c>
      <c r="Z744" s="62"/>
      <c r="AA744" s="62"/>
      <c r="AB744" s="64" t="s">
        <v>269</v>
      </c>
      <c r="AC744" s="79"/>
      <c r="AD744" s="54">
        <v>45040.0</v>
      </c>
      <c r="AE744" s="77">
        <v>4.907510000912E13</v>
      </c>
      <c r="AF744" s="79"/>
      <c r="AG744" s="79"/>
      <c r="AH744" s="79"/>
      <c r="AI744" s="79"/>
      <c r="AJ744" s="79"/>
      <c r="AK744" s="65">
        <v>0.0</v>
      </c>
      <c r="AL744" s="65">
        <v>511256.93</v>
      </c>
      <c r="AM744" s="65">
        <v>1157718.0</v>
      </c>
      <c r="AN744" s="65">
        <v>1167395.63</v>
      </c>
      <c r="AO744" s="65">
        <v>1176247.47</v>
      </c>
      <c r="AP744" s="65">
        <v>1187563.07</v>
      </c>
      <c r="AQ744" s="65">
        <v>1197374.01</v>
      </c>
      <c r="AR744" s="65">
        <v>1208309.75</v>
      </c>
      <c r="AS744" s="65">
        <v>1216659.08</v>
      </c>
      <c r="AT744" s="65">
        <v>1226329.6</v>
      </c>
      <c r="AU744" s="65">
        <v>1237407.43</v>
      </c>
      <c r="AV744" s="65">
        <v>1245888.74</v>
      </c>
      <c r="AW744" s="65">
        <v>1255013.76</v>
      </c>
      <c r="AX744" s="65">
        <v>1265024.38</v>
      </c>
      <c r="AY744" s="65">
        <v>1272402.0</v>
      </c>
      <c r="AZ744" s="65">
        <v>1283204.0</v>
      </c>
      <c r="BA744" s="65">
        <v>1293214.0</v>
      </c>
      <c r="BB744" s="65">
        <v>1302817.39</v>
      </c>
      <c r="BC744" s="65">
        <v>1312777.69</v>
      </c>
      <c r="BD744" s="65">
        <v>1325364.46</v>
      </c>
      <c r="BE744" s="65">
        <v>1334920.43</v>
      </c>
      <c r="BF744" s="65">
        <v>1343435.77</v>
      </c>
      <c r="BG744" s="65">
        <v>1356439.97</v>
      </c>
      <c r="BH744" s="65">
        <v>1366995.16</v>
      </c>
      <c r="BI744" s="65">
        <v>1378959.86</v>
      </c>
      <c r="BJ744" s="65">
        <v>1393942.74</v>
      </c>
      <c r="BK744" s="65">
        <v>1403217.28</v>
      </c>
      <c r="BL744" s="65">
        <v>1415722.88</v>
      </c>
      <c r="BM744" s="65">
        <v>1431624.42</v>
      </c>
      <c r="BN744" s="65">
        <v>1446418.0</v>
      </c>
      <c r="BO744" s="65">
        <v>1460486.88</v>
      </c>
      <c r="BP744" s="65">
        <v>1478401.0</v>
      </c>
      <c r="BQ744" s="65">
        <v>1490245.0</v>
      </c>
      <c r="BR744" s="65">
        <v>1503099.0</v>
      </c>
      <c r="BS744" s="65">
        <v>1518701.39</v>
      </c>
      <c r="BT744" s="88">
        <v>1531593.0</v>
      </c>
      <c r="BU744" s="65">
        <v>1546134.0</v>
      </c>
      <c r="BV744" s="65">
        <v>1564809.0</v>
      </c>
      <c r="BW744" s="90">
        <v>1579414.0</v>
      </c>
      <c r="BX744" s="90">
        <v>1594643.69</v>
      </c>
      <c r="BY744" s="90">
        <f t="array" ref="BY744">XLOOKUP(C744,'PL TOTAL D0'!$A$3:$A$1991,'PL TOTAL D0'!$C$3:$C$1991,"")</f>
        <v>1614935.1</v>
      </c>
    </row>
    <row r="745" ht="15.75" customHeight="1">
      <c r="A745" s="50" t="s">
        <v>24</v>
      </c>
      <c r="B745" s="43" t="s">
        <v>8202</v>
      </c>
      <c r="C745" s="53" t="s">
        <v>8203</v>
      </c>
      <c r="D745" s="30" t="s">
        <v>53</v>
      </c>
      <c r="E745" s="22" t="s">
        <v>54</v>
      </c>
      <c r="F745" s="30" t="s">
        <v>55</v>
      </c>
      <c r="G745" s="47" t="str">
        <f t="shared" si="33"/>
        <v>David</v>
      </c>
      <c r="H745" s="49" t="s">
        <v>183</v>
      </c>
      <c r="I745" s="49" t="s">
        <v>66</v>
      </c>
      <c r="J745" s="47" t="str">
        <f t="shared" si="32"/>
        <v>Sim</v>
      </c>
      <c r="K745" s="54">
        <v>46203.0</v>
      </c>
      <c r="L745" s="62"/>
      <c r="M745" s="32" t="s">
        <v>568</v>
      </c>
      <c r="N745" s="56">
        <v>0.013</v>
      </c>
      <c r="O745" s="23" t="s">
        <v>66</v>
      </c>
      <c r="P745" s="57">
        <v>0.0</v>
      </c>
      <c r="Q745" s="58" t="s">
        <v>8204</v>
      </c>
      <c r="R745" s="70"/>
      <c r="S745" s="32" t="s">
        <v>194</v>
      </c>
      <c r="T745" s="32" t="s">
        <v>8205</v>
      </c>
      <c r="U745" s="33" t="s">
        <v>8206</v>
      </c>
      <c r="V745" s="33" t="s">
        <v>8207</v>
      </c>
      <c r="W745" s="34">
        <v>26503.0</v>
      </c>
      <c r="X745" s="23" t="s">
        <v>77</v>
      </c>
      <c r="Y745" s="49" t="str">
        <f t="shared" si="22"/>
        <v>Ativo</v>
      </c>
      <c r="Z745" s="62"/>
      <c r="AA745" s="32" t="s">
        <v>47</v>
      </c>
      <c r="AB745" s="64"/>
      <c r="AC745" s="79"/>
      <c r="AD745" s="54"/>
      <c r="AE745" s="77"/>
      <c r="AF745" s="79"/>
      <c r="AG745" s="79"/>
      <c r="AH745" s="79"/>
      <c r="AI745" s="79"/>
      <c r="AJ745" s="79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65"/>
      <c r="BG745" s="65"/>
      <c r="BH745" s="65"/>
      <c r="BI745" s="65"/>
      <c r="BJ745" s="65"/>
      <c r="BK745" s="65"/>
      <c r="BL745" s="65"/>
      <c r="BM745" s="65"/>
      <c r="BN745" s="65"/>
      <c r="BO745" s="65"/>
      <c r="BP745" s="65"/>
      <c r="BQ745" s="65"/>
      <c r="BR745" s="65"/>
      <c r="BS745" s="65"/>
      <c r="BT745" s="88"/>
      <c r="BU745" s="65"/>
      <c r="BV745" s="65"/>
      <c r="BW745" s="90"/>
      <c r="BX745" s="90">
        <v>0.0</v>
      </c>
      <c r="BY745" s="90" t="str">
        <f t="array" ref="BY745">XLOOKUP(C745,'PL TOTAL D0'!$A$3:$A$1991,'PL TOTAL D0'!$C$3:$C$1991,"")</f>
        <v/>
      </c>
    </row>
    <row r="746" ht="15.75" customHeight="1">
      <c r="A746" s="50" t="s">
        <v>24</v>
      </c>
      <c r="B746" s="43" t="s">
        <v>1304</v>
      </c>
      <c r="C746" s="94" t="s">
        <v>8209</v>
      </c>
      <c r="D746" s="30" t="s">
        <v>89</v>
      </c>
      <c r="E746" s="22" t="s">
        <v>475</v>
      </c>
      <c r="F746" s="30" t="s">
        <v>1305</v>
      </c>
      <c r="G746" s="47" t="str">
        <f t="shared" si="33"/>
        <v>Gabriel</v>
      </c>
      <c r="H746" s="49" t="s">
        <v>224</v>
      </c>
      <c r="I746" s="49" t="s">
        <v>66</v>
      </c>
      <c r="J746" s="47" t="str">
        <f t="shared" si="32"/>
        <v>Não</v>
      </c>
      <c r="K746" s="54">
        <v>45790.0</v>
      </c>
      <c r="L746" s="55">
        <v>46176.0</v>
      </c>
      <c r="M746" s="32" t="s">
        <v>61</v>
      </c>
      <c r="N746" s="56">
        <v>0.01</v>
      </c>
      <c r="O746" s="23" t="s">
        <v>66</v>
      </c>
      <c r="P746" s="57">
        <v>0.0</v>
      </c>
      <c r="Q746" s="58"/>
      <c r="R746" s="58" t="s">
        <v>8212</v>
      </c>
      <c r="S746" s="32" t="s">
        <v>194</v>
      </c>
      <c r="T746" s="32" t="s">
        <v>1314</v>
      </c>
      <c r="U746" s="33">
        <v>5.515981502445E12</v>
      </c>
      <c r="V746" s="33" t="s">
        <v>1318</v>
      </c>
      <c r="W746" s="34">
        <v>29281.0</v>
      </c>
      <c r="X746" s="23" t="s">
        <v>475</v>
      </c>
      <c r="Y746" s="49" t="str">
        <f t="shared" si="22"/>
        <v>Encerrado</v>
      </c>
      <c r="Z746" s="62"/>
      <c r="AA746" s="32" t="s">
        <v>47</v>
      </c>
      <c r="AB746" s="64"/>
      <c r="AC746" s="79"/>
      <c r="AD746" s="54">
        <v>45797.0</v>
      </c>
      <c r="AE746" s="77">
        <v>4.9075100018782E13</v>
      </c>
      <c r="AF746" s="79"/>
      <c r="AG746" s="79"/>
      <c r="AH746" s="79"/>
      <c r="AI746" s="79"/>
      <c r="AJ746" s="79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  <c r="BD746" s="65"/>
      <c r="BE746" s="65"/>
      <c r="BF746" s="65"/>
      <c r="BG746" s="65"/>
      <c r="BH746" s="65"/>
      <c r="BI746" s="65"/>
      <c r="BJ746" s="65"/>
      <c r="BK746" s="65">
        <v>50196.12</v>
      </c>
      <c r="BL746" s="65">
        <v>162087.26</v>
      </c>
      <c r="BM746" s="65">
        <v>460619.75</v>
      </c>
      <c r="BN746" s="65">
        <v>465207.6</v>
      </c>
      <c r="BO746" s="65">
        <v>486294.11</v>
      </c>
      <c r="BP746" s="65">
        <v>502750.8</v>
      </c>
      <c r="BQ746" s="65">
        <v>529764.2</v>
      </c>
      <c r="BR746" s="65">
        <v>673290.8</v>
      </c>
      <c r="BS746" s="65">
        <v>604548.84</v>
      </c>
      <c r="BT746" s="88">
        <v>609686.8</v>
      </c>
      <c r="BU746" s="65">
        <v>616971.7</v>
      </c>
      <c r="BV746" s="65">
        <v>624463.7</v>
      </c>
      <c r="BW746" s="90">
        <v>0.0</v>
      </c>
      <c r="BX746" s="90">
        <v>0.0</v>
      </c>
      <c r="BY746" s="90" t="str">
        <f t="array" ref="BY746">XLOOKUP(C746,'PL TOTAL D0'!$A$3:$A$1991,'PL TOTAL D0'!$C$3:$C$1991,"")</f>
        <v/>
      </c>
    </row>
    <row r="747" ht="15.75" customHeight="1">
      <c r="A747" s="50" t="s">
        <v>24</v>
      </c>
      <c r="B747" s="43" t="s">
        <v>8213</v>
      </c>
      <c r="C747" s="94" t="s">
        <v>3136</v>
      </c>
      <c r="D747" s="30" t="s">
        <v>142</v>
      </c>
      <c r="E747" s="22" t="s">
        <v>199</v>
      </c>
      <c r="F747" s="30" t="s">
        <v>158</v>
      </c>
      <c r="G747" s="47" t="str">
        <f t="shared" si="33"/>
        <v>David</v>
      </c>
      <c r="H747" s="49" t="s">
        <v>183</v>
      </c>
      <c r="I747" s="49" t="s">
        <v>66</v>
      </c>
      <c r="J747" s="47" t="str">
        <f t="shared" si="32"/>
        <v>Não</v>
      </c>
      <c r="K747" s="54">
        <v>46118.0</v>
      </c>
      <c r="L747" s="62"/>
      <c r="M747" s="32" t="s">
        <v>61</v>
      </c>
      <c r="N747" s="56">
        <v>0.012</v>
      </c>
      <c r="O747" s="23" t="s">
        <v>66</v>
      </c>
      <c r="P747" s="57">
        <v>0.0</v>
      </c>
      <c r="Q747" s="58"/>
      <c r="R747" s="58"/>
      <c r="S747" s="32" t="s">
        <v>194</v>
      </c>
      <c r="T747" s="32" t="s">
        <v>8214</v>
      </c>
      <c r="U747" s="33" t="s">
        <v>8215</v>
      </c>
      <c r="V747" s="33" t="s">
        <v>8216</v>
      </c>
      <c r="W747" s="34">
        <v>22417.0</v>
      </c>
      <c r="X747" s="23" t="s">
        <v>618</v>
      </c>
      <c r="Y747" s="49" t="str">
        <f t="shared" si="22"/>
        <v>Ativo</v>
      </c>
      <c r="Z747" s="62"/>
      <c r="AA747" s="32" t="s">
        <v>47</v>
      </c>
      <c r="AB747" s="64"/>
      <c r="AC747" s="79"/>
      <c r="AD747" s="54">
        <v>46203.0</v>
      </c>
      <c r="AE747" s="77"/>
      <c r="AF747" s="79"/>
      <c r="AG747" s="79"/>
      <c r="AH747" s="79"/>
      <c r="AI747" s="79"/>
      <c r="AJ747" s="79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65"/>
      <c r="BG747" s="65"/>
      <c r="BH747" s="65"/>
      <c r="BI747" s="65"/>
      <c r="BJ747" s="65"/>
      <c r="BK747" s="65"/>
      <c r="BL747" s="65"/>
      <c r="BM747" s="65"/>
      <c r="BN747" s="65"/>
      <c r="BO747" s="65"/>
      <c r="BP747" s="65"/>
      <c r="BQ747" s="65"/>
      <c r="BR747" s="65"/>
      <c r="BS747" s="65"/>
      <c r="BT747" s="88"/>
      <c r="BU747" s="65">
        <v>0.0</v>
      </c>
      <c r="BV747" s="65">
        <v>100958.5</v>
      </c>
      <c r="BW747" s="90">
        <v>152573.3</v>
      </c>
      <c r="BX747" s="90">
        <v>204278.16</v>
      </c>
      <c r="BY747" s="90">
        <f t="array" ref="BY747">XLOOKUP(C747,'PL TOTAL D0'!$A$3:$A$1991,'PL TOTAL D0'!$C$3:$C$1991,"")</f>
        <v>206641.09</v>
      </c>
    </row>
    <row r="748" ht="15.75" customHeight="1">
      <c r="A748" s="50" t="s">
        <v>24</v>
      </c>
      <c r="B748" s="43" t="s">
        <v>8218</v>
      </c>
      <c r="C748" s="94" t="s">
        <v>3033</v>
      </c>
      <c r="D748" s="30" t="s">
        <v>120</v>
      </c>
      <c r="E748" s="22" t="s">
        <v>199</v>
      </c>
      <c r="F748" s="30" t="s">
        <v>212</v>
      </c>
      <c r="G748" s="47" t="str">
        <f t="shared" si="33"/>
        <v>Gabriel</v>
      </c>
      <c r="H748" s="49" t="s">
        <v>183</v>
      </c>
      <c r="I748" s="49" t="s">
        <v>66</v>
      </c>
      <c r="J748" s="47" t="str">
        <f t="shared" si="32"/>
        <v>Sim</v>
      </c>
      <c r="K748" s="54">
        <v>45558.0</v>
      </c>
      <c r="L748" s="62"/>
      <c r="M748" s="32" t="s">
        <v>61</v>
      </c>
      <c r="N748" s="56">
        <v>0.012</v>
      </c>
      <c r="O748" s="23" t="s">
        <v>66</v>
      </c>
      <c r="P748" s="57">
        <v>0.0</v>
      </c>
      <c r="Q748" s="58" t="s">
        <v>8219</v>
      </c>
      <c r="R748" s="58" t="s">
        <v>8220</v>
      </c>
      <c r="S748" s="32" t="s">
        <v>194</v>
      </c>
      <c r="T748" s="32" t="s">
        <v>8221</v>
      </c>
      <c r="U748" s="33">
        <v>6.1999284343E10</v>
      </c>
      <c r="V748" s="33" t="s">
        <v>8222</v>
      </c>
      <c r="W748" s="34">
        <v>29105.0</v>
      </c>
      <c r="X748" s="23" t="s">
        <v>199</v>
      </c>
      <c r="Y748" s="49" t="str">
        <f t="shared" si="22"/>
        <v>Ativo</v>
      </c>
      <c r="Z748" s="62"/>
      <c r="AA748" s="32" t="s">
        <v>107</v>
      </c>
      <c r="AB748" s="64"/>
      <c r="AC748" s="79"/>
      <c r="AD748" s="54">
        <v>45558.0</v>
      </c>
      <c r="AE748" s="77">
        <v>4.9075100015783E13</v>
      </c>
      <c r="AF748" s="79"/>
      <c r="AG748" s="79"/>
      <c r="AH748" s="79"/>
      <c r="AI748" s="79"/>
      <c r="AJ748" s="79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>
        <v>498662.39</v>
      </c>
      <c r="BD748" s="65">
        <v>503233.5</v>
      </c>
      <c r="BE748" s="65">
        <v>485089.89</v>
      </c>
      <c r="BF748" s="65">
        <v>468340.69</v>
      </c>
      <c r="BG748" s="65">
        <v>472690.39</v>
      </c>
      <c r="BH748" s="65">
        <v>467032.45</v>
      </c>
      <c r="BI748" s="65">
        <v>466162.13</v>
      </c>
      <c r="BJ748" s="65">
        <v>403362.09</v>
      </c>
      <c r="BK748" s="65">
        <v>385558.99</v>
      </c>
      <c r="BL748" s="65">
        <v>389457.03</v>
      </c>
      <c r="BM748" s="65">
        <v>393111.1</v>
      </c>
      <c r="BN748" s="65">
        <v>398144.1</v>
      </c>
      <c r="BO748" s="65">
        <v>402049.83</v>
      </c>
      <c r="BP748" s="65">
        <v>396984.0</v>
      </c>
      <c r="BQ748" s="65">
        <v>402111.3</v>
      </c>
      <c r="BR748" s="65">
        <v>406467.0</v>
      </c>
      <c r="BS748" s="65">
        <v>411220.97</v>
      </c>
      <c r="BT748" s="88">
        <v>362405.7</v>
      </c>
      <c r="BU748" s="65">
        <v>351679.5</v>
      </c>
      <c r="BV748" s="65">
        <v>330670.9</v>
      </c>
      <c r="BW748" s="90">
        <v>324397.2</v>
      </c>
      <c r="BX748" s="90">
        <v>327707.31</v>
      </c>
      <c r="BY748" s="90">
        <f t="array" ref="BY748">XLOOKUP(C748,'PL TOTAL D0'!$A$3:$A$1991,'PL TOTAL D0'!$C$3:$C$1991,"")</f>
        <v>323276.7</v>
      </c>
    </row>
    <row r="749" ht="15.75" customHeight="1">
      <c r="A749" s="50" t="s">
        <v>24</v>
      </c>
      <c r="B749" s="176" t="s">
        <v>6087</v>
      </c>
      <c r="C749" s="94" t="s">
        <v>8224</v>
      </c>
      <c r="D749" s="81" t="s">
        <v>120</v>
      </c>
      <c r="E749" s="95" t="s">
        <v>199</v>
      </c>
      <c r="F749" s="95" t="s">
        <v>212</v>
      </c>
      <c r="G749" s="47" t="str">
        <f t="shared" si="33"/>
        <v>David</v>
      </c>
      <c r="H749" s="49" t="s">
        <v>224</v>
      </c>
      <c r="I749" s="49" t="s">
        <v>66</v>
      </c>
      <c r="J749" s="47" t="str">
        <f t="shared" si="32"/>
        <v>Não</v>
      </c>
      <c r="K749" s="97">
        <v>44991.0</v>
      </c>
      <c r="L749" s="55">
        <v>45937.0</v>
      </c>
      <c r="M749" s="62" t="s">
        <v>61</v>
      </c>
      <c r="N749" s="98">
        <v>0.012</v>
      </c>
      <c r="O749" s="47" t="s">
        <v>66</v>
      </c>
      <c r="P749" s="99">
        <v>0.0</v>
      </c>
      <c r="Q749" s="58"/>
      <c r="R749" s="70"/>
      <c r="S749" s="62" t="s">
        <v>194</v>
      </c>
      <c r="T749" s="32" t="s">
        <v>6086</v>
      </c>
      <c r="U749" s="33">
        <v>6.1984016068E10</v>
      </c>
      <c r="V749" s="33" t="s">
        <v>8226</v>
      </c>
      <c r="W749" s="48">
        <v>24040.0</v>
      </c>
      <c r="X749" s="23" t="s">
        <v>199</v>
      </c>
      <c r="Y749" s="49" t="str">
        <f t="shared" si="22"/>
        <v>Encerrado</v>
      </c>
      <c r="Z749" s="62"/>
      <c r="AA749" s="62"/>
      <c r="AB749" s="64" t="s">
        <v>269</v>
      </c>
      <c r="AC749" s="79"/>
      <c r="AD749" s="54">
        <v>44991.0</v>
      </c>
      <c r="AE749" s="77">
        <v>4.9075100009538E13</v>
      </c>
      <c r="AF749" s="79"/>
      <c r="AG749" s="79"/>
      <c r="AH749" s="79"/>
      <c r="AI749" s="79"/>
      <c r="AJ749" s="79"/>
      <c r="AK749" s="65">
        <v>368265.24</v>
      </c>
      <c r="AL749" s="65">
        <v>340562.58</v>
      </c>
      <c r="AM749" s="65">
        <v>312389.67</v>
      </c>
      <c r="AN749" s="65">
        <v>284890.51</v>
      </c>
      <c r="AO749" s="65">
        <v>226649.71</v>
      </c>
      <c r="AP749" s="65">
        <v>198726.27</v>
      </c>
      <c r="AQ749" s="65">
        <v>169987.25</v>
      </c>
      <c r="AR749" s="65">
        <v>141258.94</v>
      </c>
      <c r="AS749" s="65">
        <v>116854.35</v>
      </c>
      <c r="AT749" s="65">
        <v>87389.25</v>
      </c>
      <c r="AU749" s="65">
        <v>55777.95</v>
      </c>
      <c r="AV749" s="65">
        <v>25885.58</v>
      </c>
      <c r="AW749" s="65">
        <v>0.0</v>
      </c>
      <c r="AX749" s="65">
        <v>0.0</v>
      </c>
      <c r="AY749" s="65">
        <v>0.0</v>
      </c>
      <c r="AZ749" s="65">
        <v>0.17</v>
      </c>
      <c r="BA749" s="65">
        <v>0.17</v>
      </c>
      <c r="BB749" s="65">
        <v>0.17</v>
      </c>
      <c r="BC749" s="65">
        <v>0.17</v>
      </c>
      <c r="BD749" s="65">
        <v>0.17</v>
      </c>
      <c r="BE749" s="65">
        <v>0.17</v>
      </c>
      <c r="BF749" s="65">
        <v>0.17</v>
      </c>
      <c r="BG749" s="65">
        <v>0.17</v>
      </c>
      <c r="BH749" s="65">
        <v>0.17</v>
      </c>
      <c r="BI749" s="65">
        <v>0.17</v>
      </c>
      <c r="BJ749" s="65">
        <v>0.0</v>
      </c>
      <c r="BK749" s="65">
        <v>0.0</v>
      </c>
      <c r="BL749" s="65">
        <v>0.0</v>
      </c>
      <c r="BM749" s="65">
        <v>0.0</v>
      </c>
      <c r="BN749" s="65">
        <v>0.0</v>
      </c>
      <c r="BO749" s="65">
        <v>0.0</v>
      </c>
      <c r="BP749" s="65">
        <v>0.0</v>
      </c>
      <c r="BQ749" s="65">
        <v>0.0</v>
      </c>
      <c r="BR749" s="65">
        <v>0.0</v>
      </c>
      <c r="BS749" s="65">
        <v>0.0</v>
      </c>
      <c r="BT749" s="88">
        <v>0.0</v>
      </c>
      <c r="BU749" s="65">
        <v>0.0</v>
      </c>
      <c r="BV749" s="65">
        <v>0.0</v>
      </c>
      <c r="BW749" s="90">
        <v>0.0</v>
      </c>
      <c r="BX749" s="90">
        <v>0.0</v>
      </c>
      <c r="BY749" s="90" t="str">
        <f t="array" ref="BY749">XLOOKUP(C749,'PL TOTAL D0'!$A$3:$A$1991,'PL TOTAL D0'!$C$3:$C$1991,"")</f>
        <v/>
      </c>
    </row>
    <row r="750" ht="15.75" customHeight="1">
      <c r="A750" s="50" t="s">
        <v>24</v>
      </c>
      <c r="B750" s="50" t="s">
        <v>8227</v>
      </c>
      <c r="C750" s="94" t="s">
        <v>8228</v>
      </c>
      <c r="D750" s="81" t="s">
        <v>120</v>
      </c>
      <c r="E750" s="95" t="s">
        <v>199</v>
      </c>
      <c r="F750" s="95" t="s">
        <v>212</v>
      </c>
      <c r="G750" s="47" t="str">
        <f t="shared" si="33"/>
        <v>David</v>
      </c>
      <c r="H750" s="49" t="s">
        <v>224</v>
      </c>
      <c r="I750" s="49" t="s">
        <v>66</v>
      </c>
      <c r="J750" s="47" t="str">
        <f t="shared" si="32"/>
        <v>Não</v>
      </c>
      <c r="K750" s="97">
        <v>45100.0</v>
      </c>
      <c r="L750" s="121">
        <v>45644.0</v>
      </c>
      <c r="M750" s="32" t="s">
        <v>557</v>
      </c>
      <c r="N750" s="56">
        <v>0.007</v>
      </c>
      <c r="O750" s="47" t="s">
        <v>66</v>
      </c>
      <c r="P750" s="99">
        <v>0.0</v>
      </c>
      <c r="Q750" s="58"/>
      <c r="R750" s="195" t="s">
        <v>610</v>
      </c>
      <c r="S750" s="62" t="s">
        <v>194</v>
      </c>
      <c r="T750" s="32" t="s">
        <v>8229</v>
      </c>
      <c r="U750" s="33" t="s">
        <v>268</v>
      </c>
      <c r="V750" s="33"/>
      <c r="W750" s="33" t="s">
        <v>268</v>
      </c>
      <c r="X750" s="23" t="s">
        <v>199</v>
      </c>
      <c r="Y750" s="49" t="str">
        <f t="shared" si="22"/>
        <v>Encerrado</v>
      </c>
      <c r="Z750" s="62"/>
      <c r="AA750" s="62"/>
      <c r="AB750" s="64" t="s">
        <v>269</v>
      </c>
      <c r="AC750" s="79"/>
      <c r="AD750" s="54">
        <v>45100.0</v>
      </c>
      <c r="AE750" s="77">
        <v>4.9075100007314E13</v>
      </c>
      <c r="AF750" s="79"/>
      <c r="AG750" s="79"/>
      <c r="AH750" s="79"/>
      <c r="AI750" s="79"/>
      <c r="AJ750" s="79"/>
      <c r="AK750" s="79"/>
      <c r="AL750" s="79"/>
      <c r="AM750" s="79"/>
      <c r="AN750" s="65">
        <v>120847.69</v>
      </c>
      <c r="AO750" s="65">
        <v>210779.7</v>
      </c>
      <c r="AP750" s="65">
        <v>186414.72</v>
      </c>
      <c r="AQ750" s="65">
        <v>188147.5</v>
      </c>
      <c r="AR750" s="65">
        <v>189897.63</v>
      </c>
      <c r="AS750" s="65">
        <v>190792.35</v>
      </c>
      <c r="AT750" s="65">
        <v>192341.63</v>
      </c>
      <c r="AU750" s="65">
        <v>193266.25</v>
      </c>
      <c r="AV750" s="65">
        <v>95403.65</v>
      </c>
      <c r="AW750" s="65">
        <v>96234.46</v>
      </c>
      <c r="AX750" s="65">
        <v>97100.56</v>
      </c>
      <c r="AY750" s="65">
        <v>97912.56</v>
      </c>
      <c r="AZ750" s="65">
        <v>98691.41</v>
      </c>
      <c r="BA750" s="65">
        <v>100130.7</v>
      </c>
      <c r="BB750" s="65">
        <v>100995.19</v>
      </c>
      <c r="BC750" s="65">
        <v>101774.52</v>
      </c>
      <c r="BD750" s="65">
        <v>102672.62</v>
      </c>
      <c r="BE750" s="65">
        <v>103429.12</v>
      </c>
      <c r="BF750" s="65">
        <v>104258.49</v>
      </c>
      <c r="BG750" s="65">
        <v>105348.14</v>
      </c>
      <c r="BH750" s="65">
        <v>106340.14</v>
      </c>
      <c r="BI750" s="65">
        <v>0.0</v>
      </c>
      <c r="BJ750" s="65">
        <v>0.0</v>
      </c>
      <c r="BK750" s="65">
        <v>0.0</v>
      </c>
      <c r="BL750" s="65">
        <v>0.0</v>
      </c>
      <c r="BM750" s="65">
        <v>0.0</v>
      </c>
      <c r="BN750" s="65">
        <v>0.0</v>
      </c>
      <c r="BO750" s="65">
        <v>0.0</v>
      </c>
      <c r="BP750" s="65">
        <v>0.0</v>
      </c>
      <c r="BQ750" s="65">
        <v>0.0</v>
      </c>
      <c r="BR750" s="65">
        <v>0.0</v>
      </c>
      <c r="BS750" s="65">
        <v>0.0</v>
      </c>
      <c r="BT750" s="88">
        <v>0.0</v>
      </c>
      <c r="BU750" s="65">
        <v>0.0</v>
      </c>
      <c r="BV750" s="65">
        <v>0.0</v>
      </c>
      <c r="BW750" s="90">
        <v>0.0</v>
      </c>
      <c r="BX750" s="90">
        <v>0.0</v>
      </c>
      <c r="BY750" s="90" t="str">
        <f t="array" ref="BY750">XLOOKUP(C750,'PL TOTAL D0'!$A$3:$A$1991,'PL TOTAL D0'!$C$3:$C$1991,"")</f>
        <v/>
      </c>
    </row>
    <row r="751" ht="15.75" customHeight="1">
      <c r="A751" s="50" t="s">
        <v>24</v>
      </c>
      <c r="B751" s="50" t="s">
        <v>8227</v>
      </c>
      <c r="C751" s="94" t="s">
        <v>8230</v>
      </c>
      <c r="D751" s="81" t="s">
        <v>120</v>
      </c>
      <c r="E751" s="95" t="s">
        <v>199</v>
      </c>
      <c r="F751" s="95" t="s">
        <v>212</v>
      </c>
      <c r="G751" s="47" t="str">
        <f t="shared" si="33"/>
        <v>David</v>
      </c>
      <c r="H751" s="49" t="s">
        <v>224</v>
      </c>
      <c r="I751" s="49" t="s">
        <v>66</v>
      </c>
      <c r="J751" s="47" t="str">
        <f t="shared" si="32"/>
        <v>Não</v>
      </c>
      <c r="K751" s="97">
        <v>45163.0</v>
      </c>
      <c r="L751" s="186">
        <v>45644.0</v>
      </c>
      <c r="M751" s="32" t="s">
        <v>209</v>
      </c>
      <c r="N751" s="56">
        <v>0.015</v>
      </c>
      <c r="O751" s="23" t="s">
        <v>35</v>
      </c>
      <c r="P751" s="57">
        <v>0.1</v>
      </c>
      <c r="Q751" s="58"/>
      <c r="R751" s="195" t="s">
        <v>610</v>
      </c>
      <c r="S751" s="62" t="s">
        <v>194</v>
      </c>
      <c r="T751" s="32" t="s">
        <v>8229</v>
      </c>
      <c r="U751" s="33" t="s">
        <v>268</v>
      </c>
      <c r="V751" s="33"/>
      <c r="W751" s="33" t="s">
        <v>268</v>
      </c>
      <c r="X751" s="23" t="s">
        <v>199</v>
      </c>
      <c r="Y751" s="49" t="str">
        <f t="shared" si="22"/>
        <v>Encerrado</v>
      </c>
      <c r="Z751" s="62"/>
      <c r="AA751" s="62"/>
      <c r="AB751" s="64" t="s">
        <v>269</v>
      </c>
      <c r="AC751" s="79"/>
      <c r="AD751" s="54">
        <v>45163.0</v>
      </c>
      <c r="AE751" s="77">
        <v>4.907510000361E13</v>
      </c>
      <c r="AF751" s="79"/>
      <c r="AG751" s="79"/>
      <c r="AH751" s="79"/>
      <c r="AI751" s="79"/>
      <c r="AJ751" s="79"/>
      <c r="AK751" s="79"/>
      <c r="AL751" s="79"/>
      <c r="AM751" s="79"/>
      <c r="AN751" s="65">
        <v>0.0</v>
      </c>
      <c r="AO751" s="65">
        <v>0.0</v>
      </c>
      <c r="AP751" s="65">
        <v>27085.37</v>
      </c>
      <c r="AQ751" s="65">
        <v>29145.96</v>
      </c>
      <c r="AR751" s="65">
        <v>27767.72</v>
      </c>
      <c r="AS751" s="65">
        <v>28598.08</v>
      </c>
      <c r="AT751" s="65">
        <v>30015.27</v>
      </c>
      <c r="AU751" s="65">
        <v>27567.04</v>
      </c>
      <c r="AV751" s="65">
        <v>181530.14</v>
      </c>
      <c r="AW751" s="65">
        <v>191029.53</v>
      </c>
      <c r="AX751" s="65">
        <v>189458.43</v>
      </c>
      <c r="AY751" s="65">
        <v>189275.8</v>
      </c>
      <c r="AZ751" s="65">
        <v>194550.1</v>
      </c>
      <c r="BA751" s="65">
        <v>196322.6</v>
      </c>
      <c r="BB751" s="65">
        <v>183008.56</v>
      </c>
      <c r="BC751" s="65">
        <v>183023.05</v>
      </c>
      <c r="BD751" s="65">
        <v>182504.32</v>
      </c>
      <c r="BE751" s="65">
        <v>182069.5</v>
      </c>
      <c r="BF751" s="65">
        <v>182087.01</v>
      </c>
      <c r="BG751" s="65">
        <v>183945.43</v>
      </c>
      <c r="BH751" s="65">
        <v>185424.67</v>
      </c>
      <c r="BI751" s="65">
        <v>0.0</v>
      </c>
      <c r="BJ751" s="65">
        <v>0.0</v>
      </c>
      <c r="BK751" s="65">
        <v>0.0</v>
      </c>
      <c r="BL751" s="65">
        <v>0.0</v>
      </c>
      <c r="BM751" s="65">
        <v>0.0</v>
      </c>
      <c r="BN751" s="65">
        <v>0.0</v>
      </c>
      <c r="BO751" s="65">
        <v>0.0</v>
      </c>
      <c r="BP751" s="65">
        <v>0.0</v>
      </c>
      <c r="BQ751" s="65">
        <v>0.0</v>
      </c>
      <c r="BR751" s="65">
        <v>0.0</v>
      </c>
      <c r="BS751" s="65">
        <v>0.0</v>
      </c>
      <c r="BT751" s="88">
        <v>0.0</v>
      </c>
      <c r="BU751" s="65">
        <v>0.0</v>
      </c>
      <c r="BV751" s="65">
        <v>0.0</v>
      </c>
      <c r="BW751" s="90">
        <v>0.0</v>
      </c>
      <c r="BX751" s="90">
        <v>0.0</v>
      </c>
      <c r="BY751" s="90" t="str">
        <f t="array" ref="BY751">XLOOKUP(C751,'PL TOTAL D0'!$A$3:$A$1991,'PL TOTAL D0'!$C$3:$C$1991,"")</f>
        <v/>
      </c>
    </row>
    <row r="752" ht="15.75" customHeight="1">
      <c r="A752" s="50" t="s">
        <v>24</v>
      </c>
      <c r="B752" s="50" t="s">
        <v>8232</v>
      </c>
      <c r="C752" s="94" t="s">
        <v>8233</v>
      </c>
      <c r="D752" s="81" t="s">
        <v>120</v>
      </c>
      <c r="E752" s="95" t="s">
        <v>199</v>
      </c>
      <c r="F752" s="95" t="s">
        <v>677</v>
      </c>
      <c r="G752" s="47" t="str">
        <f t="shared" si="33"/>
        <v>David</v>
      </c>
      <c r="H752" s="49" t="s">
        <v>224</v>
      </c>
      <c r="I752" s="49" t="s">
        <v>66</v>
      </c>
      <c r="J752" s="47" t="str">
        <f t="shared" si="32"/>
        <v>Não</v>
      </c>
      <c r="K752" s="97">
        <v>45107.0</v>
      </c>
      <c r="L752" s="55">
        <v>45449.0</v>
      </c>
      <c r="M752" s="62" t="s">
        <v>61</v>
      </c>
      <c r="N752" s="98">
        <v>0.012</v>
      </c>
      <c r="O752" s="47" t="s">
        <v>66</v>
      </c>
      <c r="P752" s="99">
        <v>0.0</v>
      </c>
      <c r="Q752" s="58"/>
      <c r="R752" s="58" t="s">
        <v>1767</v>
      </c>
      <c r="S752" s="62" t="s">
        <v>194</v>
      </c>
      <c r="T752" s="32" t="s">
        <v>8235</v>
      </c>
      <c r="U752" s="33" t="s">
        <v>268</v>
      </c>
      <c r="V752" s="33"/>
      <c r="W752" s="33" t="s">
        <v>268</v>
      </c>
      <c r="X752" s="23" t="s">
        <v>618</v>
      </c>
      <c r="Y752" s="49" t="str">
        <f t="shared" si="22"/>
        <v>Encerrado</v>
      </c>
      <c r="Z752" s="62"/>
      <c r="AA752" s="62"/>
      <c r="AB752" s="64" t="s">
        <v>269</v>
      </c>
      <c r="AC752" s="79"/>
      <c r="AD752" s="54">
        <v>45107.0</v>
      </c>
      <c r="AE752" s="77">
        <v>4.9075100011621E13</v>
      </c>
      <c r="AF752" s="79"/>
      <c r="AG752" s="79"/>
      <c r="AH752" s="79"/>
      <c r="AI752" s="79"/>
      <c r="AJ752" s="79"/>
      <c r="AK752" s="79"/>
      <c r="AL752" s="79"/>
      <c r="AM752" s="79"/>
      <c r="AN752" s="65">
        <v>108827.97</v>
      </c>
      <c r="AO752" s="65">
        <v>0.0</v>
      </c>
      <c r="AP752" s="65">
        <v>0.0</v>
      </c>
      <c r="AQ752" s="65">
        <v>0.0</v>
      </c>
      <c r="AR752" s="65">
        <v>0.0</v>
      </c>
      <c r="AS752" s="65">
        <v>0.0</v>
      </c>
      <c r="AT752" s="65">
        <v>0.0</v>
      </c>
      <c r="AU752" s="65">
        <v>0.0</v>
      </c>
      <c r="AV752" s="65">
        <v>0.0</v>
      </c>
      <c r="AW752" s="65">
        <v>0.0</v>
      </c>
      <c r="AX752" s="65">
        <v>0.0</v>
      </c>
      <c r="AY752" s="65">
        <v>0.0</v>
      </c>
      <c r="AZ752" s="65">
        <v>0.0</v>
      </c>
      <c r="BA752" s="65">
        <v>0.0</v>
      </c>
      <c r="BB752" s="65">
        <v>0.0</v>
      </c>
      <c r="BC752" s="65">
        <v>0.0</v>
      </c>
      <c r="BD752" s="65">
        <v>0.0</v>
      </c>
      <c r="BE752" s="65">
        <v>0.0</v>
      </c>
      <c r="BF752" s="65">
        <v>0.0</v>
      </c>
      <c r="BG752" s="65">
        <v>0.0</v>
      </c>
      <c r="BH752" s="65">
        <v>0.0</v>
      </c>
      <c r="BI752" s="65">
        <v>0.0</v>
      </c>
      <c r="BJ752" s="65">
        <v>0.0</v>
      </c>
      <c r="BK752" s="65">
        <v>0.0</v>
      </c>
      <c r="BL752" s="65">
        <v>0.0</v>
      </c>
      <c r="BM752" s="65">
        <v>0.0</v>
      </c>
      <c r="BN752" s="65">
        <v>0.0</v>
      </c>
      <c r="BO752" s="65">
        <v>0.0</v>
      </c>
      <c r="BP752" s="65">
        <v>0.0</v>
      </c>
      <c r="BQ752" s="65">
        <v>0.0</v>
      </c>
      <c r="BR752" s="65">
        <v>0.0</v>
      </c>
      <c r="BS752" s="65">
        <v>0.0</v>
      </c>
      <c r="BT752" s="88">
        <v>0.0</v>
      </c>
      <c r="BU752" s="65">
        <v>0.0</v>
      </c>
      <c r="BV752" s="65">
        <v>0.0</v>
      </c>
      <c r="BW752" s="90">
        <v>0.0</v>
      </c>
      <c r="BX752" s="90">
        <v>0.0</v>
      </c>
      <c r="BY752" s="90" t="str">
        <f t="array" ref="BY752">XLOOKUP(C752,'PL TOTAL D0'!$A$3:$A$1991,'PL TOTAL D0'!$C$3:$C$1991,"")</f>
        <v/>
      </c>
    </row>
    <row r="753" ht="15.75" customHeight="1">
      <c r="A753" s="50" t="s">
        <v>24</v>
      </c>
      <c r="B753" s="191" t="s">
        <v>6260</v>
      </c>
      <c r="C753" s="94" t="s">
        <v>2807</v>
      </c>
      <c r="D753" s="30" t="s">
        <v>89</v>
      </c>
      <c r="E753" s="95" t="s">
        <v>91</v>
      </c>
      <c r="F753" s="95" t="s">
        <v>521</v>
      </c>
      <c r="G753" s="47" t="str">
        <f t="shared" si="33"/>
        <v>Gabriel</v>
      </c>
      <c r="H753" s="74" t="s">
        <v>183</v>
      </c>
      <c r="I753" s="74" t="s">
        <v>66</v>
      </c>
      <c r="J753" s="47" t="str">
        <f t="shared" si="32"/>
        <v>Não</v>
      </c>
      <c r="K753" s="97">
        <v>45188.0</v>
      </c>
      <c r="L753" s="62"/>
      <c r="M753" s="62" t="s">
        <v>209</v>
      </c>
      <c r="N753" s="98">
        <v>0.015</v>
      </c>
      <c r="O753" s="47" t="s">
        <v>35</v>
      </c>
      <c r="P753" s="99">
        <v>0.1</v>
      </c>
      <c r="Q753" s="58"/>
      <c r="R753" s="58" t="s">
        <v>2133</v>
      </c>
      <c r="S753" s="62" t="s">
        <v>194</v>
      </c>
      <c r="T753" s="32" t="s">
        <v>6266</v>
      </c>
      <c r="U753" s="33">
        <v>5.543984082259E12</v>
      </c>
      <c r="V753" s="33" t="s">
        <v>8238</v>
      </c>
      <c r="W753" s="34">
        <v>27997.0</v>
      </c>
      <c r="X753" s="23" t="s">
        <v>221</v>
      </c>
      <c r="Y753" s="49" t="str">
        <f t="shared" si="22"/>
        <v>Ativo</v>
      </c>
      <c r="Z753" s="62"/>
      <c r="AA753" s="62"/>
      <c r="AB753" s="64" t="s">
        <v>269</v>
      </c>
      <c r="AC753" s="79"/>
      <c r="AD753" s="54">
        <v>45188.0</v>
      </c>
      <c r="AE753" s="77">
        <v>4.9075100011631E13</v>
      </c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65">
        <v>208763.51</v>
      </c>
      <c r="AR753" s="65">
        <v>266900.28</v>
      </c>
      <c r="AS753" s="65">
        <v>272939.39</v>
      </c>
      <c r="AT753" s="65">
        <v>278256.37</v>
      </c>
      <c r="AU753" s="65">
        <v>273662.88</v>
      </c>
      <c r="AV753" s="65">
        <v>276015.91</v>
      </c>
      <c r="AW753" s="65">
        <v>278391.66</v>
      </c>
      <c r="AX753" s="65">
        <v>276463.02</v>
      </c>
      <c r="AY753" s="65">
        <v>274973.3</v>
      </c>
      <c r="AZ753" s="65">
        <v>276515.1</v>
      </c>
      <c r="BA753" s="65">
        <v>354447.6</v>
      </c>
      <c r="BB753" s="65">
        <v>357911.94</v>
      </c>
      <c r="BC753" s="65">
        <v>356251.78</v>
      </c>
      <c r="BD753" s="65">
        <v>353357.14</v>
      </c>
      <c r="BE753" s="65">
        <v>351329.7</v>
      </c>
      <c r="BF753" s="65">
        <v>351433.12</v>
      </c>
      <c r="BG753" s="65">
        <v>355757.02</v>
      </c>
      <c r="BH753" s="65">
        <v>359315.33</v>
      </c>
      <c r="BI753" s="65">
        <v>362814.12</v>
      </c>
      <c r="BJ753" s="65">
        <v>366546.06</v>
      </c>
      <c r="BK753" s="65">
        <v>561241.7</v>
      </c>
      <c r="BL753" s="65">
        <v>565980.43</v>
      </c>
      <c r="BM753" s="65">
        <v>570108.72</v>
      </c>
      <c r="BN753" s="65">
        <v>575523.0</v>
      </c>
      <c r="BO753" s="65">
        <v>583195.0</v>
      </c>
      <c r="BP753" s="65">
        <v>589910.3</v>
      </c>
      <c r="BQ753" s="65">
        <v>599339.7</v>
      </c>
      <c r="BR753" s="65">
        <v>605885.7</v>
      </c>
      <c r="BS753" s="65">
        <v>616827.46</v>
      </c>
      <c r="BT753" s="88">
        <v>623884.8</v>
      </c>
      <c r="BU753" s="65">
        <v>631392.7</v>
      </c>
      <c r="BV753" s="65">
        <v>636784.8</v>
      </c>
      <c r="BW753" s="90">
        <v>633077.5</v>
      </c>
      <c r="BX753" s="90">
        <v>659030.3</v>
      </c>
      <c r="BY753" s="90">
        <f t="array" ref="BY753">XLOOKUP(C753,'PL TOTAL D0'!$A$3:$A$1991,'PL TOTAL D0'!$C$3:$C$1991,"")</f>
        <v>644447.64</v>
      </c>
    </row>
    <row r="754" ht="15.75" customHeight="1">
      <c r="A754" s="50" t="s">
        <v>24</v>
      </c>
      <c r="B754" s="191" t="s">
        <v>1194</v>
      </c>
      <c r="C754" s="94" t="s">
        <v>2825</v>
      </c>
      <c r="D754" s="30" t="s">
        <v>120</v>
      </c>
      <c r="E754" s="95" t="s">
        <v>199</v>
      </c>
      <c r="F754" s="95" t="s">
        <v>290</v>
      </c>
      <c r="G754" s="47" t="str">
        <f t="shared" si="33"/>
        <v>Gabriel</v>
      </c>
      <c r="H754" s="49" t="s">
        <v>183</v>
      </c>
      <c r="I754" s="74" t="s">
        <v>66</v>
      </c>
      <c r="J754" s="47" t="str">
        <f t="shared" si="32"/>
        <v>Não</v>
      </c>
      <c r="K754" s="97">
        <v>45966.0</v>
      </c>
      <c r="L754" s="62"/>
      <c r="M754" s="62" t="s">
        <v>1349</v>
      </c>
      <c r="N754" s="98">
        <v>0.012</v>
      </c>
      <c r="O754" s="47" t="s">
        <v>66</v>
      </c>
      <c r="P754" s="99">
        <v>0.0</v>
      </c>
      <c r="Q754" s="58"/>
      <c r="R754" s="58"/>
      <c r="S754" s="62" t="s">
        <v>194</v>
      </c>
      <c r="T754" s="32" t="s">
        <v>1200</v>
      </c>
      <c r="U754" s="33" t="s">
        <v>1202</v>
      </c>
      <c r="V754" s="33" t="s">
        <v>1205</v>
      </c>
      <c r="W754" s="34">
        <v>24644.0</v>
      </c>
      <c r="X754" s="23" t="s">
        <v>199</v>
      </c>
      <c r="Y754" s="49" t="str">
        <f t="shared" si="22"/>
        <v>Ativo</v>
      </c>
      <c r="Z754" s="62"/>
      <c r="AA754" s="62" t="s">
        <v>165</v>
      </c>
      <c r="AB754" s="64"/>
      <c r="AC754" s="79"/>
      <c r="AD754" s="54">
        <v>45966.0</v>
      </c>
      <c r="AE754" s="148">
        <v>4.9075100019738E13</v>
      </c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65"/>
      <c r="AR754" s="65"/>
      <c r="AS754" s="65"/>
      <c r="AT754" s="65"/>
      <c r="AU754" s="65"/>
      <c r="AV754" s="65"/>
      <c r="AW754" s="65"/>
      <c r="AX754" s="65"/>
      <c r="AY754" s="65"/>
      <c r="AZ754" s="65"/>
      <c r="BA754" s="65"/>
      <c r="BB754" s="65"/>
      <c r="BC754" s="65"/>
      <c r="BD754" s="65"/>
      <c r="BE754" s="65"/>
      <c r="BF754" s="65"/>
      <c r="BG754" s="65"/>
      <c r="BH754" s="65"/>
      <c r="BI754" s="65"/>
      <c r="BJ754" s="65"/>
      <c r="BK754" s="65"/>
      <c r="BL754" s="65"/>
      <c r="BM754" s="65"/>
      <c r="BN754" s="65"/>
      <c r="BO754" s="65"/>
      <c r="BP754" s="65">
        <v>0.0</v>
      </c>
      <c r="BQ754" s="65">
        <v>352464.0</v>
      </c>
      <c r="BR754" s="65">
        <v>356503.5</v>
      </c>
      <c r="BS754" s="65">
        <v>360512.47</v>
      </c>
      <c r="BT754" s="88">
        <v>363728.9</v>
      </c>
      <c r="BU754" s="65">
        <v>573754.1</v>
      </c>
      <c r="BV754" s="65">
        <v>579455.5</v>
      </c>
      <c r="BW754" s="90">
        <v>585435.4</v>
      </c>
      <c r="BX754" s="90">
        <v>589754.61</v>
      </c>
      <c r="BY754" s="90">
        <f t="array" ref="BY754">XLOOKUP(C754,'PL TOTAL D0'!$A$3:$A$1991,'PL TOTAL D0'!$C$3:$C$1991,"")</f>
        <v>596357.34</v>
      </c>
    </row>
    <row r="755" ht="15.75" customHeight="1">
      <c r="A755" s="50" t="s">
        <v>24</v>
      </c>
      <c r="B755" s="191" t="s">
        <v>1194</v>
      </c>
      <c r="C755" s="94" t="s">
        <v>2659</v>
      </c>
      <c r="D755" s="30" t="s">
        <v>120</v>
      </c>
      <c r="E755" s="95" t="s">
        <v>199</v>
      </c>
      <c r="F755" s="95" t="s">
        <v>290</v>
      </c>
      <c r="G755" s="47" t="str">
        <f t="shared" si="33"/>
        <v>David</v>
      </c>
      <c r="H755" s="49" t="s">
        <v>183</v>
      </c>
      <c r="I755" s="49" t="s">
        <v>66</v>
      </c>
      <c r="J755" s="47" t="str">
        <f t="shared" si="32"/>
        <v>Não</v>
      </c>
      <c r="K755" s="54">
        <v>46112.0</v>
      </c>
      <c r="L755" s="62"/>
      <c r="M755" s="32" t="s">
        <v>557</v>
      </c>
      <c r="N755" s="56">
        <v>0.007</v>
      </c>
      <c r="O755" s="23" t="s">
        <v>66</v>
      </c>
      <c r="P755" s="57">
        <v>0.0</v>
      </c>
      <c r="Q755" s="58"/>
      <c r="R755" s="58"/>
      <c r="S755" s="62" t="s">
        <v>194</v>
      </c>
      <c r="T755" s="32" t="s">
        <v>1200</v>
      </c>
      <c r="U755" s="33" t="s">
        <v>1202</v>
      </c>
      <c r="V755" s="33" t="s">
        <v>1205</v>
      </c>
      <c r="W755" s="34">
        <v>24644.0</v>
      </c>
      <c r="X755" s="23" t="s">
        <v>199</v>
      </c>
      <c r="Y755" s="49" t="str">
        <f t="shared" si="22"/>
        <v>Ativo</v>
      </c>
      <c r="Z755" s="62"/>
      <c r="AA755" s="62" t="s">
        <v>165</v>
      </c>
      <c r="AB755" s="64"/>
      <c r="AC755" s="79"/>
      <c r="AD755" s="54">
        <v>46203.0</v>
      </c>
      <c r="AE755" s="77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65"/>
      <c r="AR755" s="65"/>
      <c r="AS755" s="65"/>
      <c r="AT755" s="65"/>
      <c r="AU755" s="65"/>
      <c r="AV755" s="65"/>
      <c r="AW755" s="65"/>
      <c r="AX755" s="65"/>
      <c r="AY755" s="65"/>
      <c r="AZ755" s="65"/>
      <c r="BA755" s="65"/>
      <c r="BB755" s="65"/>
      <c r="BC755" s="65"/>
      <c r="BD755" s="65"/>
      <c r="BE755" s="65"/>
      <c r="BF755" s="65"/>
      <c r="BG755" s="65"/>
      <c r="BH755" s="65"/>
      <c r="BI755" s="65"/>
      <c r="BJ755" s="65"/>
      <c r="BK755" s="65"/>
      <c r="BL755" s="65"/>
      <c r="BM755" s="65"/>
      <c r="BN755" s="65"/>
      <c r="BO755" s="65"/>
      <c r="BP755" s="65"/>
      <c r="BQ755" s="65"/>
      <c r="BR755" s="65"/>
      <c r="BS755" s="65"/>
      <c r="BT755" s="88"/>
      <c r="BU755" s="65">
        <v>0.0</v>
      </c>
      <c r="BV755" s="65">
        <v>1227224.0</v>
      </c>
      <c r="BW755" s="90">
        <v>1245569.0</v>
      </c>
      <c r="BX755" s="90">
        <v>1271479.03</v>
      </c>
      <c r="BY755" s="90">
        <f t="array" ref="BY755">XLOOKUP(C755,'PL TOTAL D0'!$A$3:$A$1991,'PL TOTAL D0'!$C$3:$C$1991,"")</f>
        <v>1284089.46</v>
      </c>
    </row>
    <row r="756" ht="15.75" customHeight="1">
      <c r="A756" s="50" t="s">
        <v>24</v>
      </c>
      <c r="B756" s="322" t="s">
        <v>8242</v>
      </c>
      <c r="C756" s="94" t="s">
        <v>2730</v>
      </c>
      <c r="D756" s="30" t="s">
        <v>120</v>
      </c>
      <c r="E756" s="22" t="s">
        <v>54</v>
      </c>
      <c r="F756" s="22" t="s">
        <v>125</v>
      </c>
      <c r="G756" s="47" t="str">
        <f t="shared" si="33"/>
        <v>Marcus</v>
      </c>
      <c r="H756" s="49" t="s">
        <v>183</v>
      </c>
      <c r="I756" s="49" t="s">
        <v>66</v>
      </c>
      <c r="J756" s="47" t="str">
        <f t="shared" si="32"/>
        <v>Sim</v>
      </c>
      <c r="K756" s="54">
        <v>45547.0</v>
      </c>
      <c r="L756" s="62"/>
      <c r="M756" s="32" t="s">
        <v>61</v>
      </c>
      <c r="N756" s="56">
        <v>0.012</v>
      </c>
      <c r="O756" s="23" t="s">
        <v>66</v>
      </c>
      <c r="P756" s="57">
        <v>0.0</v>
      </c>
      <c r="Q756" s="58" t="s">
        <v>8244</v>
      </c>
      <c r="R756" s="58"/>
      <c r="S756" s="32" t="s">
        <v>194</v>
      </c>
      <c r="T756" s="32" t="s">
        <v>8245</v>
      </c>
      <c r="U756" s="33">
        <v>5.562981234202E12</v>
      </c>
      <c r="V756" s="33" t="s">
        <v>8246</v>
      </c>
      <c r="W756" s="34">
        <v>26135.0</v>
      </c>
      <c r="X756" s="23" t="s">
        <v>54</v>
      </c>
      <c r="Y756" s="49" t="str">
        <f t="shared" si="22"/>
        <v>Ativo</v>
      </c>
      <c r="Z756" s="62"/>
      <c r="AA756" s="32" t="s">
        <v>47</v>
      </c>
      <c r="AB756" s="64"/>
      <c r="AC756" s="79"/>
      <c r="AD756" s="54">
        <v>45547.0</v>
      </c>
      <c r="AE756" s="77">
        <v>4.9075100015767E13</v>
      </c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65"/>
      <c r="AR756" s="65"/>
      <c r="AS756" s="65"/>
      <c r="AT756" s="65"/>
      <c r="AU756" s="65"/>
      <c r="AV756" s="65"/>
      <c r="AW756" s="65"/>
      <c r="AX756" s="65"/>
      <c r="AY756" s="65"/>
      <c r="AZ756" s="65"/>
      <c r="BA756" s="65"/>
      <c r="BB756" s="65"/>
      <c r="BC756" s="65">
        <v>802362.22</v>
      </c>
      <c r="BD756" s="65">
        <v>810454.09</v>
      </c>
      <c r="BE756" s="65">
        <v>816560.03</v>
      </c>
      <c r="BF756" s="65">
        <v>823506.27</v>
      </c>
      <c r="BG756" s="65">
        <v>831455.14</v>
      </c>
      <c r="BH756" s="65">
        <v>838074.02</v>
      </c>
      <c r="BI756" s="65">
        <v>847938.55</v>
      </c>
      <c r="BJ756" s="65">
        <v>855650.54</v>
      </c>
      <c r="BK756" s="65">
        <v>863805.03</v>
      </c>
      <c r="BL756" s="65">
        <v>871285.78</v>
      </c>
      <c r="BM756" s="65">
        <v>880164.38</v>
      </c>
      <c r="BN756" s="65">
        <v>888222.3</v>
      </c>
      <c r="BO756" s="65">
        <v>890153.93</v>
      </c>
      <c r="BP756" s="65">
        <v>900740.0</v>
      </c>
      <c r="BQ756" s="65">
        <v>907757.5</v>
      </c>
      <c r="BR756" s="65">
        <v>886275.5</v>
      </c>
      <c r="BS756" s="65">
        <v>875383.4</v>
      </c>
      <c r="BT756" s="88">
        <v>882041.8</v>
      </c>
      <c r="BU756" s="65">
        <v>885419.3</v>
      </c>
      <c r="BV756" s="65">
        <v>895521.2</v>
      </c>
      <c r="BW756" s="90">
        <v>904258.4</v>
      </c>
      <c r="BX756" s="90">
        <v>912407.63</v>
      </c>
      <c r="BY756" s="90">
        <f t="array" ref="BY756">XLOOKUP(C756,'PL TOTAL D0'!$A$3:$A$1991,'PL TOTAL D0'!$C$3:$C$1991,"")</f>
        <v>923538.44</v>
      </c>
    </row>
    <row r="757" ht="15.75" customHeight="1">
      <c r="A757" s="50" t="s">
        <v>24</v>
      </c>
      <c r="B757" s="322" t="s">
        <v>8248</v>
      </c>
      <c r="C757" s="53" t="s">
        <v>8249</v>
      </c>
      <c r="D757" s="30" t="s">
        <v>53</v>
      </c>
      <c r="E757" s="22" t="s">
        <v>54</v>
      </c>
      <c r="F757" s="22" t="s">
        <v>55</v>
      </c>
      <c r="G757" s="47" t="str">
        <f t="shared" si="33"/>
        <v>David</v>
      </c>
      <c r="H757" s="49" t="s">
        <v>183</v>
      </c>
      <c r="I757" s="49" t="s">
        <v>66</v>
      </c>
      <c r="J757" s="47" t="str">
        <f t="shared" si="32"/>
        <v>Sim</v>
      </c>
      <c r="K757" s="54">
        <v>46223.0</v>
      </c>
      <c r="L757" s="62"/>
      <c r="M757" s="32" t="s">
        <v>61</v>
      </c>
      <c r="N757" s="56">
        <v>0.012</v>
      </c>
      <c r="O757" s="23" t="s">
        <v>66</v>
      </c>
      <c r="P757" s="57">
        <v>0.0</v>
      </c>
      <c r="Q757" s="58" t="s">
        <v>8251</v>
      </c>
      <c r="R757" s="58"/>
      <c r="S757" s="32" t="s">
        <v>194</v>
      </c>
      <c r="T757" s="32" t="s">
        <v>8252</v>
      </c>
      <c r="U757" s="33" t="s">
        <v>8253</v>
      </c>
      <c r="V757" s="33" t="s">
        <v>8254</v>
      </c>
      <c r="W757" s="34">
        <v>20916.0</v>
      </c>
      <c r="X757" s="23" t="s">
        <v>54</v>
      </c>
      <c r="Y757" s="49" t="str">
        <f t="shared" si="22"/>
        <v>Ativo</v>
      </c>
      <c r="Z757" s="62"/>
      <c r="AA757" s="32" t="s">
        <v>107</v>
      </c>
      <c r="AB757" s="64"/>
      <c r="AC757" s="79"/>
      <c r="AD757" s="54"/>
      <c r="AE757" s="77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65"/>
      <c r="AR757" s="65"/>
      <c r="AS757" s="65"/>
      <c r="AT757" s="65"/>
      <c r="AU757" s="65"/>
      <c r="AV757" s="65"/>
      <c r="AW757" s="65"/>
      <c r="AX757" s="65"/>
      <c r="AY757" s="65"/>
      <c r="AZ757" s="65"/>
      <c r="BA757" s="65"/>
      <c r="BB757" s="65"/>
      <c r="BC757" s="65"/>
      <c r="BD757" s="65"/>
      <c r="BE757" s="65"/>
      <c r="BF757" s="65"/>
      <c r="BG757" s="65"/>
      <c r="BH757" s="65"/>
      <c r="BI757" s="65"/>
      <c r="BJ757" s="65"/>
      <c r="BK757" s="65"/>
      <c r="BL757" s="65"/>
      <c r="BM757" s="65"/>
      <c r="BN757" s="65"/>
      <c r="BO757" s="65"/>
      <c r="BP757" s="65"/>
      <c r="BQ757" s="65"/>
      <c r="BR757" s="65"/>
      <c r="BS757" s="65"/>
      <c r="BT757" s="88"/>
      <c r="BU757" s="65"/>
      <c r="BV757" s="65"/>
      <c r="BW757" s="90"/>
      <c r="BX757" s="90"/>
      <c r="BY757" s="90"/>
    </row>
    <row r="758" ht="15.75" customHeight="1">
      <c r="A758" s="50" t="s">
        <v>24</v>
      </c>
      <c r="B758" s="50" t="s">
        <v>6101</v>
      </c>
      <c r="C758" s="94" t="s">
        <v>8256</v>
      </c>
      <c r="D758" s="81" t="s">
        <v>120</v>
      </c>
      <c r="E758" s="95" t="s">
        <v>54</v>
      </c>
      <c r="F758" s="81" t="s">
        <v>379</v>
      </c>
      <c r="G758" s="47" t="str">
        <f t="shared" si="33"/>
        <v>David</v>
      </c>
      <c r="H758" s="49" t="s">
        <v>224</v>
      </c>
      <c r="I758" s="49" t="s">
        <v>66</v>
      </c>
      <c r="J758" s="47" t="str">
        <f t="shared" si="32"/>
        <v>Sim</v>
      </c>
      <c r="K758" s="97">
        <v>44987.0</v>
      </c>
      <c r="L758" s="55">
        <v>46134.0</v>
      </c>
      <c r="M758" s="62" t="s">
        <v>209</v>
      </c>
      <c r="N758" s="98">
        <v>0.015</v>
      </c>
      <c r="O758" s="47" t="s">
        <v>35</v>
      </c>
      <c r="P758" s="99">
        <v>0.1</v>
      </c>
      <c r="Q758" s="58" t="s">
        <v>8258</v>
      </c>
      <c r="R758" s="58" t="s">
        <v>8259</v>
      </c>
      <c r="S758" s="62" t="s">
        <v>194</v>
      </c>
      <c r="T758" s="32" t="s">
        <v>6100</v>
      </c>
      <c r="U758" s="33">
        <v>5.562981121413E12</v>
      </c>
      <c r="V758" s="33" t="s">
        <v>8260</v>
      </c>
      <c r="W758" s="48">
        <v>26257.0</v>
      </c>
      <c r="X758" s="23" t="s">
        <v>54</v>
      </c>
      <c r="Y758" s="49" t="str">
        <f t="shared" si="22"/>
        <v>Encerrado</v>
      </c>
      <c r="Z758" s="62"/>
      <c r="AA758" s="62"/>
      <c r="AB758" s="64" t="s">
        <v>244</v>
      </c>
      <c r="AC758" s="79"/>
      <c r="AD758" s="54">
        <v>44987.0</v>
      </c>
      <c r="AE758" s="77">
        <v>4.9075100007276E13</v>
      </c>
      <c r="AF758" s="79"/>
      <c r="AG758" s="79"/>
      <c r="AH758" s="79"/>
      <c r="AI758" s="65">
        <v>0.0</v>
      </c>
      <c r="AJ758" s="65">
        <v>284090.61</v>
      </c>
      <c r="AK758" s="65">
        <v>339363.55</v>
      </c>
      <c r="AL758" s="65">
        <v>341209.52</v>
      </c>
      <c r="AM758" s="65">
        <v>347483.42</v>
      </c>
      <c r="AN758" s="65">
        <v>353546.33</v>
      </c>
      <c r="AO758" s="65">
        <v>355920.24</v>
      </c>
      <c r="AP758" s="65">
        <v>353649.99</v>
      </c>
      <c r="AQ758" s="65">
        <v>354934.72</v>
      </c>
      <c r="AR758" s="65">
        <v>359135.21</v>
      </c>
      <c r="AS758" s="65">
        <v>366613.03</v>
      </c>
      <c r="AT758" s="65">
        <v>373740.33</v>
      </c>
      <c r="AU758" s="65">
        <v>367839.66</v>
      </c>
      <c r="AV758" s="65">
        <v>370831.17</v>
      </c>
      <c r="AW758" s="65">
        <v>374712.09</v>
      </c>
      <c r="AX758" s="65">
        <v>370888.0</v>
      </c>
      <c r="AY758" s="65">
        <v>369170.6</v>
      </c>
      <c r="AZ758" s="65">
        <v>396651.4</v>
      </c>
      <c r="BA758" s="65">
        <v>401297.3</v>
      </c>
      <c r="BB758" s="65">
        <v>405745.91</v>
      </c>
      <c r="BC758" s="65">
        <v>404027.43</v>
      </c>
      <c r="BD758" s="65">
        <v>401467.01</v>
      </c>
      <c r="BE758" s="65">
        <v>399615.23</v>
      </c>
      <c r="BF758" s="65">
        <v>399382.53</v>
      </c>
      <c r="BG758" s="65">
        <v>404918.69</v>
      </c>
      <c r="BH758" s="65">
        <v>408752.27</v>
      </c>
      <c r="BI758" s="65">
        <v>412427.44</v>
      </c>
      <c r="BJ758" s="65">
        <v>415672.01</v>
      </c>
      <c r="BK758" s="65">
        <v>455012.75</v>
      </c>
      <c r="BL758" s="65">
        <v>458600.93</v>
      </c>
      <c r="BM758" s="65">
        <v>461093.56</v>
      </c>
      <c r="BN758" s="65">
        <v>465366.9</v>
      </c>
      <c r="BO758" s="65">
        <v>470195.91</v>
      </c>
      <c r="BP758" s="65">
        <v>475287.4</v>
      </c>
      <c r="BQ758" s="65">
        <v>479906.9</v>
      </c>
      <c r="BR758" s="65">
        <v>0.0</v>
      </c>
      <c r="BS758" s="65">
        <v>0.0</v>
      </c>
      <c r="BT758" s="88">
        <v>0.0</v>
      </c>
      <c r="BU758" s="65">
        <v>0.0</v>
      </c>
      <c r="BV758" s="65">
        <v>0.0</v>
      </c>
      <c r="BW758" s="90">
        <v>0.0</v>
      </c>
      <c r="BX758" s="90">
        <v>0.0</v>
      </c>
      <c r="BY758" s="90" t="str">
        <f t="array" ref="BY758">XLOOKUP(C758,'PL TOTAL D0'!$A$3:$A$1991,'PL TOTAL D0'!$C$3:$C$1991,"")</f>
        <v/>
      </c>
    </row>
    <row r="759" ht="15.75" customHeight="1">
      <c r="A759" s="50" t="s">
        <v>24</v>
      </c>
      <c r="B759" s="43" t="s">
        <v>8262</v>
      </c>
      <c r="C759" s="94" t="s">
        <v>2886</v>
      </c>
      <c r="D759" s="30" t="s">
        <v>142</v>
      </c>
      <c r="E759" s="22" t="s">
        <v>54</v>
      </c>
      <c r="F759" s="30" t="s">
        <v>158</v>
      </c>
      <c r="G759" s="47" t="str">
        <f t="shared" si="33"/>
        <v>Gabriel</v>
      </c>
      <c r="H759" s="49" t="s">
        <v>183</v>
      </c>
      <c r="I759" s="49" t="s">
        <v>66</v>
      </c>
      <c r="J759" s="47" t="str">
        <f t="shared" si="32"/>
        <v>Não</v>
      </c>
      <c r="K759" s="54">
        <v>45490.0</v>
      </c>
      <c r="L759" s="62"/>
      <c r="M759" s="32" t="s">
        <v>61</v>
      </c>
      <c r="N759" s="56">
        <v>0.01</v>
      </c>
      <c r="O759" s="23" t="s">
        <v>66</v>
      </c>
      <c r="P759" s="57">
        <v>0.0</v>
      </c>
      <c r="Q759" s="58"/>
      <c r="R759" s="70"/>
      <c r="S759" s="32" t="s">
        <v>194</v>
      </c>
      <c r="T759" s="32" t="s">
        <v>8264</v>
      </c>
      <c r="U759" s="33">
        <v>5.561992984127E12</v>
      </c>
      <c r="V759" s="33" t="s">
        <v>8265</v>
      </c>
      <c r="W759" s="34">
        <v>22386.0</v>
      </c>
      <c r="X759" s="23" t="s">
        <v>199</v>
      </c>
      <c r="Y759" s="49" t="str">
        <f t="shared" si="22"/>
        <v>Ativo</v>
      </c>
      <c r="Z759" s="32"/>
      <c r="AA759" s="32" t="s">
        <v>165</v>
      </c>
      <c r="AB759" s="64" t="s">
        <v>269</v>
      </c>
      <c r="AC759" s="79"/>
      <c r="AD759" s="54">
        <v>45490.0</v>
      </c>
      <c r="AE759" s="77">
        <v>4.9075100015406E13</v>
      </c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65"/>
      <c r="AW759" s="65"/>
      <c r="AX759" s="65"/>
      <c r="AY759" s="65"/>
      <c r="AZ759" s="65"/>
      <c r="BA759" s="65">
        <v>444187.2</v>
      </c>
      <c r="BB759" s="65">
        <v>448597.51</v>
      </c>
      <c r="BC759" s="65">
        <v>451239.58</v>
      </c>
      <c r="BD759" s="65">
        <v>454787.53</v>
      </c>
      <c r="BE759" s="65">
        <v>457958.57</v>
      </c>
      <c r="BF759" s="65">
        <v>460687.59</v>
      </c>
      <c r="BG759" s="65">
        <v>465054.55</v>
      </c>
      <c r="BH759" s="65">
        <v>469418.69</v>
      </c>
      <c r="BI759" s="65">
        <v>474479.01</v>
      </c>
      <c r="BJ759" s="65">
        <v>479700.75</v>
      </c>
      <c r="BK759" s="65">
        <v>484997.89</v>
      </c>
      <c r="BL759" s="65">
        <v>488926.99</v>
      </c>
      <c r="BM759" s="65">
        <v>492224.34</v>
      </c>
      <c r="BN759" s="65">
        <v>496885.1</v>
      </c>
      <c r="BO759" s="65">
        <v>501546.57</v>
      </c>
      <c r="BP759" s="65">
        <v>507173.8</v>
      </c>
      <c r="BQ759" s="65">
        <v>511707.7</v>
      </c>
      <c r="BR759" s="65">
        <v>516252.3</v>
      </c>
      <c r="BS759" s="65">
        <v>516993.19</v>
      </c>
      <c r="BT759" s="88">
        <v>521790.0</v>
      </c>
      <c r="BU759" s="65">
        <v>527281.3</v>
      </c>
      <c r="BV759" s="65">
        <v>533559.7</v>
      </c>
      <c r="BW759" s="90">
        <v>512267.6</v>
      </c>
      <c r="BX759" s="90">
        <v>517602.11</v>
      </c>
      <c r="BY759" s="90">
        <f t="array" ref="BY759">XLOOKUP(C759,'PL TOTAL D0'!$A$3:$A$1991,'PL TOTAL D0'!$C$3:$C$1991,"")</f>
        <v>518408.87</v>
      </c>
    </row>
    <row r="760" ht="15.75" customHeight="1">
      <c r="A760" s="50" t="s">
        <v>24</v>
      </c>
      <c r="B760" s="43" t="s">
        <v>8262</v>
      </c>
      <c r="C760" s="94" t="s">
        <v>8266</v>
      </c>
      <c r="D760" s="30" t="s">
        <v>142</v>
      </c>
      <c r="E760" s="22" t="s">
        <v>54</v>
      </c>
      <c r="F760" s="30" t="s">
        <v>158</v>
      </c>
      <c r="G760" s="47" t="str">
        <f t="shared" si="33"/>
        <v>David</v>
      </c>
      <c r="H760" s="49" t="s">
        <v>295</v>
      </c>
      <c r="I760" s="49" t="s">
        <v>382</v>
      </c>
      <c r="J760" s="47" t="str">
        <f t="shared" si="32"/>
        <v>Não</v>
      </c>
      <c r="K760" s="54">
        <v>45488.0</v>
      </c>
      <c r="L760" s="62"/>
      <c r="M760" s="32" t="s">
        <v>61</v>
      </c>
      <c r="N760" s="56">
        <v>0.01</v>
      </c>
      <c r="O760" s="23" t="s">
        <v>66</v>
      </c>
      <c r="P760" s="57">
        <v>0.0</v>
      </c>
      <c r="Q760" s="58"/>
      <c r="R760" s="58" t="s">
        <v>8267</v>
      </c>
      <c r="S760" s="32" t="s">
        <v>194</v>
      </c>
      <c r="T760" s="32" t="s">
        <v>8264</v>
      </c>
      <c r="U760" s="33">
        <v>5.561992984127E12</v>
      </c>
      <c r="V760" s="33" t="s">
        <v>8265</v>
      </c>
      <c r="W760" s="34">
        <v>22386.0</v>
      </c>
      <c r="X760" s="23" t="s">
        <v>199</v>
      </c>
      <c r="Y760" s="49" t="str">
        <f t="shared" si="22"/>
        <v>Ativo</v>
      </c>
      <c r="Z760" s="32"/>
      <c r="AA760" s="32" t="s">
        <v>165</v>
      </c>
      <c r="AB760" s="64" t="s">
        <v>269</v>
      </c>
      <c r="AC760" s="79"/>
      <c r="AD760" s="54">
        <v>45488.0</v>
      </c>
      <c r="AE760" s="77">
        <v>4.9075100015538E13</v>
      </c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65"/>
      <c r="AW760" s="65"/>
      <c r="AX760" s="65"/>
      <c r="AY760" s="65"/>
      <c r="AZ760" s="65"/>
      <c r="BA760" s="65">
        <v>0.0</v>
      </c>
      <c r="BB760" s="65">
        <v>0.0</v>
      </c>
      <c r="BC760" s="65">
        <v>0.0</v>
      </c>
      <c r="BD760" s="65">
        <v>0.0</v>
      </c>
      <c r="BE760" s="65">
        <v>0.0</v>
      </c>
      <c r="BF760" s="65">
        <v>0.0</v>
      </c>
      <c r="BG760" s="65">
        <v>0.0</v>
      </c>
      <c r="BH760" s="65">
        <v>0.0</v>
      </c>
      <c r="BI760" s="65">
        <v>0.0</v>
      </c>
      <c r="BJ760" s="65">
        <v>0.0</v>
      </c>
      <c r="BK760" s="65">
        <v>0.0</v>
      </c>
      <c r="BL760" s="65">
        <v>0.0</v>
      </c>
      <c r="BM760" s="65">
        <v>0.0</v>
      </c>
      <c r="BN760" s="65">
        <v>0.0</v>
      </c>
      <c r="BO760" s="65">
        <v>0.0</v>
      </c>
      <c r="BP760" s="65">
        <v>0.0</v>
      </c>
      <c r="BQ760" s="65">
        <v>0.0</v>
      </c>
      <c r="BR760" s="65">
        <v>0.0</v>
      </c>
      <c r="BS760" s="65">
        <v>0.0</v>
      </c>
      <c r="BT760" s="88">
        <v>0.0</v>
      </c>
      <c r="BU760" s="65">
        <v>0.0</v>
      </c>
      <c r="BV760" s="65">
        <v>0.0</v>
      </c>
      <c r="BW760" s="90">
        <v>0.0</v>
      </c>
      <c r="BX760" s="90">
        <v>0.0</v>
      </c>
      <c r="BY760" s="90" t="str">
        <f t="array" ref="BY760">XLOOKUP(C760,'PL TOTAL D0'!$A$3:$A$1991,'PL TOTAL D0'!$C$3:$C$1991,"")</f>
        <v/>
      </c>
    </row>
    <row r="761" ht="15.75" customHeight="1">
      <c r="A761" s="50" t="s">
        <v>24</v>
      </c>
      <c r="B761" s="43" t="s">
        <v>1323</v>
      </c>
      <c r="C761" s="94" t="s">
        <v>2696</v>
      </c>
      <c r="D761" s="30" t="s">
        <v>142</v>
      </c>
      <c r="E761" s="22" t="s">
        <v>54</v>
      </c>
      <c r="F761" s="30" t="s">
        <v>158</v>
      </c>
      <c r="G761" s="47" t="str">
        <f t="shared" si="33"/>
        <v>Marcus</v>
      </c>
      <c r="H761" s="49" t="s">
        <v>183</v>
      </c>
      <c r="I761" s="49" t="s">
        <v>66</v>
      </c>
      <c r="J761" s="47" t="str">
        <f t="shared" si="32"/>
        <v>Não</v>
      </c>
      <c r="K761" s="54">
        <v>45551.0</v>
      </c>
      <c r="L761" s="62"/>
      <c r="M761" s="32" t="s">
        <v>61</v>
      </c>
      <c r="N761" s="56">
        <v>0.012</v>
      </c>
      <c r="O761" s="23" t="s">
        <v>66</v>
      </c>
      <c r="P761" s="57">
        <v>0.0</v>
      </c>
      <c r="Q761" s="58"/>
      <c r="R761" s="58"/>
      <c r="S761" s="32" t="s">
        <v>194</v>
      </c>
      <c r="T761" s="32" t="s">
        <v>1328</v>
      </c>
      <c r="U761" s="33">
        <v>6.1981291257E10</v>
      </c>
      <c r="V761" s="33" t="s">
        <v>1330</v>
      </c>
      <c r="W761" s="34">
        <v>28361.0</v>
      </c>
      <c r="X761" s="23" t="s">
        <v>199</v>
      </c>
      <c r="Y761" s="49" t="str">
        <f t="shared" si="22"/>
        <v>Ativo</v>
      </c>
      <c r="Z761" s="32"/>
      <c r="AA761" s="32" t="s">
        <v>47</v>
      </c>
      <c r="AB761" s="64"/>
      <c r="AC761" s="79"/>
      <c r="AD761" s="54">
        <v>45551.0</v>
      </c>
      <c r="AE761" s="77">
        <v>4.9075100015732E13</v>
      </c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65"/>
      <c r="AW761" s="65"/>
      <c r="AX761" s="65"/>
      <c r="AY761" s="65"/>
      <c r="AZ761" s="65"/>
      <c r="BA761" s="65"/>
      <c r="BB761" s="65"/>
      <c r="BC761" s="65">
        <v>251679.82</v>
      </c>
      <c r="BD761" s="65">
        <v>354337.72</v>
      </c>
      <c r="BE761" s="65">
        <v>357001.76</v>
      </c>
      <c r="BF761" s="65">
        <v>359958.5</v>
      </c>
      <c r="BG761" s="65">
        <v>363468.8</v>
      </c>
      <c r="BH761" s="65">
        <v>366978.3</v>
      </c>
      <c r="BI761" s="65">
        <v>500933.54</v>
      </c>
      <c r="BJ761" s="65">
        <v>506117.25</v>
      </c>
      <c r="BK761" s="65">
        <v>575430.3</v>
      </c>
      <c r="BL761" s="65">
        <v>593710.88</v>
      </c>
      <c r="BM761" s="65">
        <v>599516.98</v>
      </c>
      <c r="BN761" s="65">
        <v>1006393.0</v>
      </c>
      <c r="BO761" s="65">
        <v>1013638.54</v>
      </c>
      <c r="BP761" s="65">
        <v>1069455.0</v>
      </c>
      <c r="BQ761" s="65">
        <v>1081165.0</v>
      </c>
      <c r="BR761" s="65">
        <v>1091571.0</v>
      </c>
      <c r="BS761" s="65">
        <v>1040621.61</v>
      </c>
      <c r="BT761" s="88">
        <v>1048094.0</v>
      </c>
      <c r="BU761" s="65">
        <v>1054909.0</v>
      </c>
      <c r="BV761" s="65">
        <v>1024612.0</v>
      </c>
      <c r="BW761" s="90">
        <v>1037832.0</v>
      </c>
      <c r="BX761" s="90">
        <v>1047279.62</v>
      </c>
      <c r="BY761" s="90">
        <f t="array" ref="BY761">XLOOKUP(C761,'PL TOTAL D0'!$A$3:$A$1991,'PL TOTAL D0'!$C$3:$C$1991,"")</f>
        <v>1059378.97</v>
      </c>
    </row>
    <row r="762" ht="15.75" customHeight="1">
      <c r="A762" s="50" t="s">
        <v>24</v>
      </c>
      <c r="B762" s="43" t="s">
        <v>1323</v>
      </c>
      <c r="C762" s="94" t="s">
        <v>8269</v>
      </c>
      <c r="D762" s="30" t="s">
        <v>142</v>
      </c>
      <c r="E762" s="22" t="s">
        <v>54</v>
      </c>
      <c r="F762" s="30" t="s">
        <v>158</v>
      </c>
      <c r="G762" s="47" t="str">
        <f t="shared" si="33"/>
        <v>David</v>
      </c>
      <c r="H762" s="49" t="s">
        <v>295</v>
      </c>
      <c r="I762" s="49" t="s">
        <v>447</v>
      </c>
      <c r="J762" s="47" t="str">
        <f t="shared" si="32"/>
        <v>Não</v>
      </c>
      <c r="K762" s="54">
        <v>45552.0</v>
      </c>
      <c r="L762" s="62"/>
      <c r="M762" s="32" t="s">
        <v>201</v>
      </c>
      <c r="N762" s="56">
        <v>0.0</v>
      </c>
      <c r="O762" s="23" t="s">
        <v>66</v>
      </c>
      <c r="P762" s="57">
        <v>0.0</v>
      </c>
      <c r="Q762" s="58"/>
      <c r="R762" s="58"/>
      <c r="S762" s="32" t="s">
        <v>194</v>
      </c>
      <c r="T762" s="32" t="s">
        <v>1328</v>
      </c>
      <c r="U762" s="33">
        <v>6.1981291257E10</v>
      </c>
      <c r="V762" s="33" t="s">
        <v>1330</v>
      </c>
      <c r="W762" s="34">
        <v>28361.0</v>
      </c>
      <c r="X762" s="23" t="s">
        <v>199</v>
      </c>
      <c r="Y762" s="49" t="str">
        <f t="shared" si="22"/>
        <v>Ativo</v>
      </c>
      <c r="Z762" s="32"/>
      <c r="AA762" s="32" t="s">
        <v>47</v>
      </c>
      <c r="AB762" s="64"/>
      <c r="AC762" s="79"/>
      <c r="AD762" s="54">
        <v>45552.0</v>
      </c>
      <c r="AE762" s="77">
        <v>4.907510001574E13</v>
      </c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65"/>
      <c r="AW762" s="65"/>
      <c r="AX762" s="65"/>
      <c r="AY762" s="65"/>
      <c r="AZ762" s="65"/>
      <c r="BA762" s="65"/>
      <c r="BB762" s="65"/>
      <c r="BC762" s="65">
        <v>6306.48</v>
      </c>
      <c r="BD762" s="65">
        <v>10466.98</v>
      </c>
      <c r="BE762" s="65">
        <v>10278.56</v>
      </c>
      <c r="BF762" s="65">
        <v>21018.93</v>
      </c>
      <c r="BG762" s="65">
        <v>36389.44</v>
      </c>
      <c r="BH762" s="65">
        <v>35758.16</v>
      </c>
      <c r="BI762" s="65">
        <v>36867.99</v>
      </c>
      <c r="BJ762" s="65">
        <v>38622.97</v>
      </c>
      <c r="BK762" s="65">
        <v>41072.89</v>
      </c>
      <c r="BL762" s="65">
        <v>41144.19</v>
      </c>
      <c r="BM762" s="65">
        <v>40429.19</v>
      </c>
      <c r="BN762" s="65">
        <v>53830.62</v>
      </c>
      <c r="BO762" s="65">
        <v>61344.97</v>
      </c>
      <c r="BP762" s="65">
        <v>62475.86</v>
      </c>
      <c r="BQ762" s="65">
        <v>64488.0</v>
      </c>
      <c r="BR762" s="65">
        <v>65981.18</v>
      </c>
      <c r="BS762" s="65">
        <v>70094.68</v>
      </c>
      <c r="BT762" s="88">
        <v>7755.41</v>
      </c>
      <c r="BU762" s="65">
        <v>0.0</v>
      </c>
      <c r="BV762" s="65">
        <v>0.0</v>
      </c>
      <c r="BW762" s="90">
        <v>0.0</v>
      </c>
      <c r="BX762" s="90">
        <v>0.0</v>
      </c>
      <c r="BY762" s="90" t="str">
        <f t="array" ref="BY762">XLOOKUP(C762,'PL TOTAL D0'!$A$3:$A$1991,'PL TOTAL D0'!$C$3:$C$1991,"")</f>
        <v/>
      </c>
    </row>
    <row r="763" ht="15.75" customHeight="1">
      <c r="A763" s="43" t="s">
        <v>24</v>
      </c>
      <c r="B763" s="43" t="s">
        <v>6107</v>
      </c>
      <c r="C763" s="94" t="s">
        <v>8274</v>
      </c>
      <c r="D763" s="30" t="s">
        <v>120</v>
      </c>
      <c r="E763" s="22" t="s">
        <v>199</v>
      </c>
      <c r="F763" s="30" t="s">
        <v>4715</v>
      </c>
      <c r="G763" s="47" t="str">
        <f t="shared" si="33"/>
        <v>David</v>
      </c>
      <c r="H763" s="49" t="s">
        <v>224</v>
      </c>
      <c r="I763" s="49" t="s">
        <v>66</v>
      </c>
      <c r="J763" s="47" t="str">
        <f t="shared" si="32"/>
        <v>Não</v>
      </c>
      <c r="K763" s="54">
        <v>45356.0</v>
      </c>
      <c r="L763" s="55">
        <v>45770.0</v>
      </c>
      <c r="M763" s="32" t="s">
        <v>61</v>
      </c>
      <c r="N763" s="56">
        <v>0.012</v>
      </c>
      <c r="O763" s="23" t="s">
        <v>66</v>
      </c>
      <c r="P763" s="57">
        <v>0.0</v>
      </c>
      <c r="Q763" s="58"/>
      <c r="R763" s="70"/>
      <c r="S763" s="32" t="s">
        <v>194</v>
      </c>
      <c r="T763" s="22" t="s">
        <v>6106</v>
      </c>
      <c r="U763" s="33" t="s">
        <v>268</v>
      </c>
      <c r="V763" s="33"/>
      <c r="W763" s="33" t="s">
        <v>268</v>
      </c>
      <c r="X763" s="23" t="s">
        <v>199</v>
      </c>
      <c r="Y763" s="49" t="str">
        <f t="shared" si="22"/>
        <v>Encerrado</v>
      </c>
      <c r="Z763" s="62"/>
      <c r="AA763" s="62"/>
      <c r="AB763" s="64" t="s">
        <v>269</v>
      </c>
      <c r="AC763" s="79"/>
      <c r="AD763" s="54">
        <v>45356.0</v>
      </c>
      <c r="AE763" s="77">
        <v>4.9075100013853E13</v>
      </c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65">
        <v>0.0</v>
      </c>
      <c r="AW763" s="65">
        <v>0.0</v>
      </c>
      <c r="AX763" s="65">
        <v>0.0</v>
      </c>
      <c r="AY763" s="65">
        <v>0.0</v>
      </c>
      <c r="AZ763" s="65">
        <v>0.0</v>
      </c>
      <c r="BA763" s="65">
        <v>0.0</v>
      </c>
      <c r="BB763" s="65">
        <v>0.0</v>
      </c>
      <c r="BC763" s="65">
        <v>0.0</v>
      </c>
      <c r="BD763" s="65">
        <v>0.0</v>
      </c>
      <c r="BE763" s="65">
        <v>0.0</v>
      </c>
      <c r="BF763" s="65">
        <v>0.0</v>
      </c>
      <c r="BG763" s="65">
        <v>0.0</v>
      </c>
      <c r="BH763" s="65">
        <v>0.0</v>
      </c>
      <c r="BI763" s="65">
        <v>0.0</v>
      </c>
      <c r="BJ763" s="65">
        <v>0.0</v>
      </c>
      <c r="BK763" s="65">
        <v>0.0</v>
      </c>
      <c r="BL763" s="65">
        <v>0.0</v>
      </c>
      <c r="BM763" s="65">
        <v>0.0</v>
      </c>
      <c r="BN763" s="65">
        <v>0.0</v>
      </c>
      <c r="BO763" s="65">
        <v>0.0</v>
      </c>
      <c r="BP763" s="65">
        <v>0.0</v>
      </c>
      <c r="BQ763" s="65">
        <v>0.0</v>
      </c>
      <c r="BR763" s="65">
        <v>0.0</v>
      </c>
      <c r="BS763" s="65">
        <v>0.0</v>
      </c>
      <c r="BT763" s="88">
        <v>0.0</v>
      </c>
      <c r="BU763" s="65">
        <v>0.0</v>
      </c>
      <c r="BV763" s="65">
        <v>0.0</v>
      </c>
      <c r="BW763" s="90">
        <v>0.0</v>
      </c>
      <c r="BX763" s="90">
        <v>0.0</v>
      </c>
      <c r="BY763" s="90" t="str">
        <f t="array" ref="BY763">XLOOKUP(C763,'PL TOTAL D0'!$A$3:$A$1991,'PL TOTAL D0'!$C$3:$C$1991,"")</f>
        <v/>
      </c>
    </row>
    <row r="764" ht="15.75" customHeight="1">
      <c r="A764" s="50" t="s">
        <v>24</v>
      </c>
      <c r="B764" s="50" t="s">
        <v>8276</v>
      </c>
      <c r="C764" s="94" t="s">
        <v>8277</v>
      </c>
      <c r="D764" s="81" t="s">
        <v>120</v>
      </c>
      <c r="E764" s="95" t="s">
        <v>54</v>
      </c>
      <c r="F764" s="81" t="s">
        <v>125</v>
      </c>
      <c r="G764" s="47" t="str">
        <f t="shared" si="33"/>
        <v>David</v>
      </c>
      <c r="H764" s="49" t="s">
        <v>224</v>
      </c>
      <c r="I764" s="49" t="s">
        <v>66</v>
      </c>
      <c r="J764" s="47" t="str">
        <f t="shared" si="32"/>
        <v>Não</v>
      </c>
      <c r="K764" s="97">
        <v>44951.0</v>
      </c>
      <c r="L764" s="121">
        <v>45980.0</v>
      </c>
      <c r="M764" s="62" t="s">
        <v>231</v>
      </c>
      <c r="N764" s="98">
        <v>0.025</v>
      </c>
      <c r="O764" s="23" t="s">
        <v>233</v>
      </c>
      <c r="P764" s="99">
        <v>0.2</v>
      </c>
      <c r="Q764" s="58"/>
      <c r="R764" s="58" t="s">
        <v>8280</v>
      </c>
      <c r="S764" s="62" t="s">
        <v>194</v>
      </c>
      <c r="T764" s="32" t="s">
        <v>6116</v>
      </c>
      <c r="U764" s="33">
        <v>6.2982741133E10</v>
      </c>
      <c r="V764" s="33" t="s">
        <v>8281</v>
      </c>
      <c r="W764" s="34">
        <v>33014.0</v>
      </c>
      <c r="X764" s="23" t="s">
        <v>54</v>
      </c>
      <c r="Y764" s="49" t="str">
        <f t="shared" si="22"/>
        <v>Encerrado</v>
      </c>
      <c r="Z764" s="62"/>
      <c r="AA764" s="62"/>
      <c r="AB764" s="64" t="s">
        <v>269</v>
      </c>
      <c r="AC764" s="79"/>
      <c r="AD764" s="54">
        <v>44951.0</v>
      </c>
      <c r="AE764" s="77">
        <v>4.9075100006083E13</v>
      </c>
      <c r="AF764" s="79"/>
      <c r="AG764" s="79"/>
      <c r="AH764" s="79"/>
      <c r="AI764" s="65">
        <v>31710.6</v>
      </c>
      <c r="AJ764" s="65">
        <v>51930.03</v>
      </c>
      <c r="AK764" s="65">
        <v>51039.26</v>
      </c>
      <c r="AL764" s="65">
        <v>52412.85</v>
      </c>
      <c r="AM764" s="65">
        <v>54741.43</v>
      </c>
      <c r="AN764" s="65">
        <v>63009.59</v>
      </c>
      <c r="AO764" s="65">
        <v>78422.94</v>
      </c>
      <c r="AP764" s="65">
        <v>79176.09</v>
      </c>
      <c r="AQ764" s="65">
        <v>82436.51</v>
      </c>
      <c r="AR764" s="65">
        <v>81636.55</v>
      </c>
      <c r="AS764" s="65">
        <v>87652.87</v>
      </c>
      <c r="AT764" s="65">
        <v>91860.35</v>
      </c>
      <c r="AU764" s="65">
        <v>85488.26</v>
      </c>
      <c r="AV764" s="65">
        <v>86638.59</v>
      </c>
      <c r="AW764" s="65">
        <v>353.0</v>
      </c>
      <c r="AX764" s="65">
        <v>310.18</v>
      </c>
      <c r="AY764" s="65">
        <v>263.44</v>
      </c>
      <c r="AZ764" s="65">
        <v>263.83</v>
      </c>
      <c r="BA764" s="65">
        <v>263.83</v>
      </c>
      <c r="BB764" s="65">
        <v>263.83</v>
      </c>
      <c r="BC764" s="65">
        <v>263.83</v>
      </c>
      <c r="BD764" s="65">
        <v>263.83</v>
      </c>
      <c r="BE764" s="65">
        <v>263.83</v>
      </c>
      <c r="BF764" s="65">
        <v>263.83</v>
      </c>
      <c r="BG764" s="65">
        <v>263.83</v>
      </c>
      <c r="BH764" s="65">
        <v>263.83</v>
      </c>
      <c r="BI764" s="65">
        <v>263.83</v>
      </c>
      <c r="BJ764" s="65">
        <v>28.28</v>
      </c>
      <c r="BK764" s="65">
        <v>28.28</v>
      </c>
      <c r="BL764" s="65">
        <v>28.28</v>
      </c>
      <c r="BM764" s="65">
        <v>28.28</v>
      </c>
      <c r="BN764" s="65">
        <v>28.28</v>
      </c>
      <c r="BO764" s="65">
        <v>28.28</v>
      </c>
      <c r="BP764" s="65">
        <v>28.28</v>
      </c>
      <c r="BQ764" s="65">
        <v>28.28</v>
      </c>
      <c r="BR764" s="65">
        <v>28.28</v>
      </c>
      <c r="BS764" s="65">
        <v>28.28</v>
      </c>
      <c r="BT764" s="88">
        <v>28.28</v>
      </c>
      <c r="BU764" s="65">
        <v>28.28</v>
      </c>
      <c r="BV764" s="65">
        <v>28.28</v>
      </c>
      <c r="BW764" s="90">
        <v>28.28</v>
      </c>
      <c r="BX764" s="90">
        <v>28.28</v>
      </c>
      <c r="BY764" s="90" t="str">
        <f t="array" ref="BY764">XLOOKUP(C764,'PL TOTAL D0'!$A$3:$A$1991,'PL TOTAL D0'!$C$3:$C$1991,"")</f>
        <v/>
      </c>
    </row>
    <row r="765" ht="15.75" customHeight="1">
      <c r="A765" s="50" t="s">
        <v>24</v>
      </c>
      <c r="B765" s="50" t="s">
        <v>2251</v>
      </c>
      <c r="C765" s="94" t="s">
        <v>8283</v>
      </c>
      <c r="D765" s="30" t="s">
        <v>89</v>
      </c>
      <c r="E765" s="95" t="s">
        <v>91</v>
      </c>
      <c r="F765" s="81" t="s">
        <v>521</v>
      </c>
      <c r="G765" s="47" t="str">
        <f t="shared" si="33"/>
        <v>David</v>
      </c>
      <c r="H765" s="49" t="s">
        <v>224</v>
      </c>
      <c r="I765" s="49" t="s">
        <v>66</v>
      </c>
      <c r="J765" s="47" t="str">
        <f t="shared" si="32"/>
        <v>Não</v>
      </c>
      <c r="K765" s="97">
        <v>45113.0</v>
      </c>
      <c r="L765" s="186">
        <v>45937.0</v>
      </c>
      <c r="M765" s="62" t="s">
        <v>231</v>
      </c>
      <c r="N765" s="98">
        <v>0.025</v>
      </c>
      <c r="O765" s="23" t="s">
        <v>233</v>
      </c>
      <c r="P765" s="99">
        <v>0.2</v>
      </c>
      <c r="Q765" s="58"/>
      <c r="R765" s="58" t="s">
        <v>8284</v>
      </c>
      <c r="S765" s="62" t="s">
        <v>194</v>
      </c>
      <c r="T765" s="32" t="s">
        <v>2258</v>
      </c>
      <c r="U765" s="33" t="s">
        <v>268</v>
      </c>
      <c r="V765" s="33"/>
      <c r="W765" s="33" t="s">
        <v>268</v>
      </c>
      <c r="X765" s="23" t="s">
        <v>221</v>
      </c>
      <c r="Y765" s="49" t="str">
        <f t="shared" si="22"/>
        <v>Encerrado</v>
      </c>
      <c r="Z765" s="62"/>
      <c r="AA765" s="32" t="s">
        <v>47</v>
      </c>
      <c r="AB765" s="64" t="s">
        <v>269</v>
      </c>
      <c r="AC765" s="79"/>
      <c r="AD765" s="54">
        <v>45113.0</v>
      </c>
      <c r="AE765" s="77">
        <v>4.9075100006873E13</v>
      </c>
      <c r="AF765" s="79"/>
      <c r="AG765" s="79"/>
      <c r="AH765" s="79"/>
      <c r="AI765" s="79"/>
      <c r="AJ765" s="79"/>
      <c r="AK765" s="79"/>
      <c r="AL765" s="79"/>
      <c r="AM765" s="79"/>
      <c r="AN765" s="65">
        <v>4000.0</v>
      </c>
      <c r="AO765" s="65">
        <v>58760.66</v>
      </c>
      <c r="AP765" s="65">
        <v>100797.46</v>
      </c>
      <c r="AQ765" s="65">
        <v>100548.79</v>
      </c>
      <c r="AR765" s="65">
        <v>105060.3</v>
      </c>
      <c r="AS765" s="65">
        <v>112931.1</v>
      </c>
      <c r="AT765" s="65">
        <v>148344.7</v>
      </c>
      <c r="AU765" s="65">
        <v>139817.22</v>
      </c>
      <c r="AV765" s="65">
        <v>141680.03</v>
      </c>
      <c r="AW765" s="65">
        <v>567.7</v>
      </c>
      <c r="AX765" s="65">
        <v>414.56</v>
      </c>
      <c r="AY765" s="65">
        <v>414.56</v>
      </c>
      <c r="AZ765" s="65">
        <v>417.19</v>
      </c>
      <c r="BA765" s="65">
        <v>418.23</v>
      </c>
      <c r="BB765" s="65">
        <v>419.25</v>
      </c>
      <c r="BC765" s="65">
        <v>420.23</v>
      </c>
      <c r="BD765" s="65">
        <v>421.33</v>
      </c>
      <c r="BE765" s="65">
        <v>0.0</v>
      </c>
      <c r="BF765" s="65">
        <v>0.0</v>
      </c>
      <c r="BG765" s="65">
        <v>0.0</v>
      </c>
      <c r="BH765" s="65">
        <v>0.0</v>
      </c>
      <c r="BI765" s="65">
        <v>0.0</v>
      </c>
      <c r="BJ765" s="65">
        <v>0.0</v>
      </c>
      <c r="BK765" s="65">
        <v>0.0</v>
      </c>
      <c r="BL765" s="65">
        <v>0.0</v>
      </c>
      <c r="BM765" s="65">
        <v>0.0</v>
      </c>
      <c r="BN765" s="65">
        <v>0.0</v>
      </c>
      <c r="BO765" s="65">
        <v>0.0</v>
      </c>
      <c r="BP765" s="65">
        <v>0.0</v>
      </c>
      <c r="BQ765" s="65">
        <v>0.0</v>
      </c>
      <c r="BR765" s="65">
        <v>0.0</v>
      </c>
      <c r="BS765" s="65">
        <v>0.0</v>
      </c>
      <c r="BT765" s="88">
        <v>0.0</v>
      </c>
      <c r="BU765" s="65">
        <v>0.0</v>
      </c>
      <c r="BV765" s="65">
        <v>0.0</v>
      </c>
      <c r="BW765" s="90">
        <v>0.0</v>
      </c>
      <c r="BX765" s="90">
        <v>0.0</v>
      </c>
      <c r="BY765" s="90" t="str">
        <f t="array" ref="BY765">XLOOKUP(C765,'PL TOTAL D0'!$A$3:$A$1991,'PL TOTAL D0'!$C$3:$C$1991,"")</f>
        <v/>
      </c>
    </row>
    <row r="766" ht="18.75" customHeight="1">
      <c r="A766" s="50" t="s">
        <v>24</v>
      </c>
      <c r="B766" s="50" t="s">
        <v>8288</v>
      </c>
      <c r="C766" s="94" t="s">
        <v>8289</v>
      </c>
      <c r="D766" s="30" t="s">
        <v>89</v>
      </c>
      <c r="E766" s="95" t="s">
        <v>91</v>
      </c>
      <c r="F766" s="81" t="s">
        <v>521</v>
      </c>
      <c r="G766" s="47" t="str">
        <f t="shared" si="33"/>
        <v>David</v>
      </c>
      <c r="H766" s="49" t="s">
        <v>183</v>
      </c>
      <c r="I766" s="49" t="s">
        <v>66</v>
      </c>
      <c r="J766" s="47" t="str">
        <f t="shared" si="32"/>
        <v>Não</v>
      </c>
      <c r="K766" s="97">
        <v>45035.0</v>
      </c>
      <c r="L766" s="62"/>
      <c r="M766" s="32" t="s">
        <v>1349</v>
      </c>
      <c r="N766" s="98">
        <v>0.012</v>
      </c>
      <c r="O766" s="47" t="s">
        <v>66</v>
      </c>
      <c r="P766" s="99">
        <v>0.0</v>
      </c>
      <c r="Q766" s="58"/>
      <c r="R766" s="70"/>
      <c r="S766" s="62" t="s">
        <v>194</v>
      </c>
      <c r="T766" s="32" t="s">
        <v>2258</v>
      </c>
      <c r="U766" s="33">
        <v>4.3999239482E10</v>
      </c>
      <c r="V766" s="33" t="s">
        <v>8290</v>
      </c>
      <c r="W766" s="48">
        <v>30986.0</v>
      </c>
      <c r="X766" s="23" t="s">
        <v>221</v>
      </c>
      <c r="Y766" s="49" t="str">
        <f t="shared" si="22"/>
        <v>Ativo</v>
      </c>
      <c r="Z766" s="62"/>
      <c r="AA766" s="32" t="s">
        <v>47</v>
      </c>
      <c r="AB766" s="64" t="s">
        <v>269</v>
      </c>
      <c r="AC766" s="79"/>
      <c r="AD766" s="54">
        <v>45035.0</v>
      </c>
      <c r="AE766" s="77">
        <v>4.9075100009775E13</v>
      </c>
      <c r="AF766" s="79"/>
      <c r="AG766" s="79"/>
      <c r="AH766" s="79"/>
      <c r="AI766" s="79"/>
      <c r="AJ766" s="79"/>
      <c r="AK766" s="65">
        <v>0.0</v>
      </c>
      <c r="AL766" s="65">
        <v>459936.64</v>
      </c>
      <c r="AM766" s="65">
        <v>510336.77</v>
      </c>
      <c r="AN766" s="65">
        <v>515447.49</v>
      </c>
      <c r="AO766" s="65">
        <v>469355.86</v>
      </c>
      <c r="AP766" s="65">
        <v>432768.81</v>
      </c>
      <c r="AQ766" s="65">
        <v>436245.95</v>
      </c>
      <c r="AR766" s="65">
        <v>440042.95</v>
      </c>
      <c r="AS766" s="65">
        <v>443494.03</v>
      </c>
      <c r="AT766" s="65">
        <v>416227.51</v>
      </c>
      <c r="AU766" s="65">
        <v>419873.9</v>
      </c>
      <c r="AV766" s="65">
        <v>423182.0</v>
      </c>
      <c r="AW766" s="65">
        <v>426797.43</v>
      </c>
      <c r="AX766" s="65">
        <v>426021.0</v>
      </c>
      <c r="AY766" s="65">
        <v>427807.8</v>
      </c>
      <c r="AZ766" s="65">
        <v>431224.4</v>
      </c>
      <c r="BA766" s="65">
        <v>434799.3</v>
      </c>
      <c r="BB766" s="65">
        <v>435406.03</v>
      </c>
      <c r="BC766" s="65">
        <v>438361.15</v>
      </c>
      <c r="BD766" s="65">
        <v>441990.87</v>
      </c>
      <c r="BE766" s="65">
        <v>445764.56</v>
      </c>
      <c r="BF766" s="65">
        <v>448931.83</v>
      </c>
      <c r="BG766" s="65">
        <v>451995.2</v>
      </c>
      <c r="BH766" s="65">
        <v>456197.78</v>
      </c>
      <c r="BI766" s="65">
        <v>461021.99</v>
      </c>
      <c r="BJ766" s="65">
        <v>463241.19</v>
      </c>
      <c r="BK766" s="65">
        <v>162376.72</v>
      </c>
      <c r="BL766" s="65">
        <v>163583.61</v>
      </c>
      <c r="BM766" s="65">
        <v>165450.21</v>
      </c>
      <c r="BN766" s="65">
        <v>31301.01</v>
      </c>
      <c r="BO766" s="65">
        <v>0.83</v>
      </c>
      <c r="BP766" s="65">
        <v>0.83</v>
      </c>
      <c r="BQ766" s="65">
        <v>0.83</v>
      </c>
      <c r="BR766" s="65">
        <v>0.83</v>
      </c>
      <c r="BS766" s="65">
        <v>0.83</v>
      </c>
      <c r="BT766" s="88">
        <v>0.83</v>
      </c>
      <c r="BU766" s="65">
        <v>0.83</v>
      </c>
      <c r="BV766" s="65">
        <v>0.83</v>
      </c>
      <c r="BW766" s="90">
        <v>0.83</v>
      </c>
      <c r="BX766" s="90">
        <v>0.83</v>
      </c>
      <c r="BY766" s="90" t="str">
        <f t="array" ref="BY766">XLOOKUP(C766,'PL TOTAL D0'!$A$3:$A$1991,'PL TOTAL D0'!$C$3:$C$1991,"")</f>
        <v/>
      </c>
    </row>
    <row r="767" ht="15.75" customHeight="1">
      <c r="A767" s="50" t="s">
        <v>24</v>
      </c>
      <c r="B767" s="50" t="s">
        <v>8291</v>
      </c>
      <c r="C767" s="94" t="s">
        <v>8292</v>
      </c>
      <c r="D767" s="81" t="s">
        <v>120</v>
      </c>
      <c r="E767" s="95" t="s">
        <v>199</v>
      </c>
      <c r="F767" s="95" t="s">
        <v>1914</v>
      </c>
      <c r="G767" s="47" t="str">
        <f t="shared" si="33"/>
        <v>David</v>
      </c>
      <c r="H767" s="49" t="s">
        <v>224</v>
      </c>
      <c r="I767" s="49" t="s">
        <v>66</v>
      </c>
      <c r="J767" s="47" t="str">
        <f t="shared" si="32"/>
        <v>Não</v>
      </c>
      <c r="K767" s="97">
        <v>45163.0</v>
      </c>
      <c r="L767" s="186">
        <v>45772.0</v>
      </c>
      <c r="M767" s="62" t="s">
        <v>61</v>
      </c>
      <c r="N767" s="98">
        <v>0.012</v>
      </c>
      <c r="O767" s="47" t="s">
        <v>66</v>
      </c>
      <c r="P767" s="99">
        <v>0.0</v>
      </c>
      <c r="Q767" s="58"/>
      <c r="R767" s="897" t="s">
        <v>8294</v>
      </c>
      <c r="S767" s="62" t="s">
        <v>194</v>
      </c>
      <c r="T767" s="32" t="s">
        <v>8295</v>
      </c>
      <c r="U767" s="33" t="s">
        <v>268</v>
      </c>
      <c r="V767" s="33"/>
      <c r="W767" s="33" t="s">
        <v>268</v>
      </c>
      <c r="X767" s="32" t="s">
        <v>199</v>
      </c>
      <c r="Y767" s="49" t="str">
        <f t="shared" si="22"/>
        <v>Encerrado</v>
      </c>
      <c r="Z767" s="62"/>
      <c r="AA767" s="62"/>
      <c r="AB767" s="32" t="s">
        <v>269</v>
      </c>
      <c r="AC767" s="379"/>
      <c r="AD767" s="54">
        <v>45163.0</v>
      </c>
      <c r="AE767" s="77">
        <v>4.9075100011648E13</v>
      </c>
      <c r="AF767" s="379"/>
      <c r="AG767" s="379"/>
      <c r="AH767" s="379"/>
      <c r="AI767" s="379"/>
      <c r="AJ767" s="379"/>
      <c r="AK767" s="379"/>
      <c r="AL767" s="379">
        <v>0.0</v>
      </c>
      <c r="AM767" s="65">
        <v>0.0</v>
      </c>
      <c r="AN767" s="65">
        <v>0.0</v>
      </c>
      <c r="AO767" s="65">
        <v>0.0</v>
      </c>
      <c r="AP767" s="65">
        <v>0.0</v>
      </c>
      <c r="AQ767" s="65">
        <v>0.0</v>
      </c>
      <c r="AR767" s="65">
        <v>0.0</v>
      </c>
      <c r="AS767" s="65">
        <v>0.0</v>
      </c>
      <c r="AT767" s="65">
        <v>0.0</v>
      </c>
      <c r="AU767" s="65">
        <v>0.0</v>
      </c>
      <c r="AV767" s="65">
        <v>0.0</v>
      </c>
      <c r="AW767" s="65">
        <v>0.0</v>
      </c>
      <c r="AX767" s="65">
        <v>0.0</v>
      </c>
      <c r="AY767" s="65">
        <v>0.0</v>
      </c>
      <c r="AZ767" s="65">
        <v>20000.0</v>
      </c>
      <c r="BA767" s="65">
        <v>0.0</v>
      </c>
      <c r="BB767" s="65">
        <v>0.5</v>
      </c>
      <c r="BC767" s="65">
        <v>120345.4</v>
      </c>
      <c r="BD767" s="65">
        <v>121632.93</v>
      </c>
      <c r="BE767" s="65">
        <v>122580.67</v>
      </c>
      <c r="BF767" s="65">
        <v>123748.2</v>
      </c>
      <c r="BG767" s="65">
        <v>0.0</v>
      </c>
      <c r="BH767" s="65">
        <v>0.0</v>
      </c>
      <c r="BI767" s="65">
        <v>0.0</v>
      </c>
      <c r="BJ767" s="65">
        <v>0.0</v>
      </c>
      <c r="BK767" s="65">
        <v>0.0</v>
      </c>
      <c r="BL767" s="65">
        <v>0.0</v>
      </c>
      <c r="BM767" s="65">
        <v>0.0</v>
      </c>
      <c r="BN767" s="65">
        <v>0.0</v>
      </c>
      <c r="BO767" s="65">
        <v>0.0</v>
      </c>
      <c r="BP767" s="65">
        <v>0.0</v>
      </c>
      <c r="BQ767" s="65">
        <v>0.0</v>
      </c>
      <c r="BR767" s="65">
        <v>0.0</v>
      </c>
      <c r="BS767" s="65">
        <v>0.0</v>
      </c>
      <c r="BT767" s="88">
        <v>0.0</v>
      </c>
      <c r="BU767" s="65">
        <v>0.0</v>
      </c>
      <c r="BV767" s="65">
        <v>0.0</v>
      </c>
      <c r="BW767" s="90">
        <v>0.0</v>
      </c>
      <c r="BX767" s="90">
        <v>0.0</v>
      </c>
      <c r="BY767" s="90" t="str">
        <f t="array" ref="BY767">XLOOKUP(C767,'PL TOTAL D0'!$A$3:$A$1991,'PL TOTAL D0'!$C$3:$C$1991,"")</f>
        <v/>
      </c>
    </row>
    <row r="768" ht="15.75" customHeight="1">
      <c r="A768" s="50" t="s">
        <v>24</v>
      </c>
      <c r="B768" s="50" t="s">
        <v>8291</v>
      </c>
      <c r="C768" s="94" t="s">
        <v>8297</v>
      </c>
      <c r="D768" s="81" t="s">
        <v>120</v>
      </c>
      <c r="E768" s="95" t="s">
        <v>199</v>
      </c>
      <c r="F768" s="95" t="s">
        <v>1914</v>
      </c>
      <c r="G768" s="47" t="str">
        <f t="shared" si="33"/>
        <v>David</v>
      </c>
      <c r="H768" s="49" t="s">
        <v>224</v>
      </c>
      <c r="I768" s="49" t="s">
        <v>66</v>
      </c>
      <c r="J768" s="47" t="str">
        <f t="shared" si="32"/>
        <v>Não</v>
      </c>
      <c r="K768" s="97">
        <v>45163.0</v>
      </c>
      <c r="L768" s="186">
        <v>45772.0</v>
      </c>
      <c r="M768" s="62" t="s">
        <v>209</v>
      </c>
      <c r="N768" s="98">
        <v>0.015</v>
      </c>
      <c r="O768" s="47" t="s">
        <v>35</v>
      </c>
      <c r="P768" s="99">
        <v>0.1</v>
      </c>
      <c r="Q768" s="58"/>
      <c r="R768" s="897" t="s">
        <v>8294</v>
      </c>
      <c r="S768" s="62" t="s">
        <v>194</v>
      </c>
      <c r="T768" s="32" t="s">
        <v>8295</v>
      </c>
      <c r="U768" s="33" t="s">
        <v>268</v>
      </c>
      <c r="V768" s="33"/>
      <c r="W768" s="33" t="s">
        <v>268</v>
      </c>
      <c r="X768" s="32" t="s">
        <v>199</v>
      </c>
      <c r="Y768" s="49" t="str">
        <f t="shared" si="22"/>
        <v>Encerrado</v>
      </c>
      <c r="Z768" s="62"/>
      <c r="AA768" s="62"/>
      <c r="AB768" s="32" t="s">
        <v>269</v>
      </c>
      <c r="AC768" s="379"/>
      <c r="AD768" s="54">
        <v>45163.0</v>
      </c>
      <c r="AE768" s="77">
        <v>4.9075100011656E13</v>
      </c>
      <c r="AF768" s="379"/>
      <c r="AG768" s="379"/>
      <c r="AH768" s="379"/>
      <c r="AI768" s="379"/>
      <c r="AJ768" s="379"/>
      <c r="AK768" s="379"/>
      <c r="AL768" s="379">
        <v>0.0</v>
      </c>
      <c r="AM768" s="65">
        <v>0.0</v>
      </c>
      <c r="AN768" s="65">
        <v>0.0</v>
      </c>
      <c r="AO768" s="65">
        <v>0.0</v>
      </c>
      <c r="AP768" s="65">
        <v>0.0</v>
      </c>
      <c r="AQ768" s="65">
        <v>0.0</v>
      </c>
      <c r="AR768" s="65">
        <v>0.0</v>
      </c>
      <c r="AS768" s="65">
        <v>0.0</v>
      </c>
      <c r="AT768" s="65">
        <v>0.0</v>
      </c>
      <c r="AU768" s="65">
        <v>0.0</v>
      </c>
      <c r="AV768" s="65">
        <v>0.0</v>
      </c>
      <c r="AW768" s="65">
        <v>0.0</v>
      </c>
      <c r="AX768" s="65">
        <v>0.0</v>
      </c>
      <c r="AY768" s="65">
        <v>0.0</v>
      </c>
      <c r="AZ768" s="65">
        <v>0.0</v>
      </c>
      <c r="BA768" s="65">
        <v>20122.26</v>
      </c>
      <c r="BB768" s="65">
        <v>20269.39</v>
      </c>
      <c r="BC768" s="65">
        <v>0.0</v>
      </c>
      <c r="BD768" s="65">
        <v>0.0</v>
      </c>
      <c r="BE768" s="65">
        <v>0.0</v>
      </c>
      <c r="BF768" s="65">
        <v>2.04</v>
      </c>
      <c r="BG768" s="65">
        <v>0.0</v>
      </c>
      <c r="BH768" s="65">
        <v>0.0</v>
      </c>
      <c r="BI768" s="65">
        <v>0.0</v>
      </c>
      <c r="BJ768" s="65">
        <v>0.0</v>
      </c>
      <c r="BK768" s="65">
        <v>0.0</v>
      </c>
      <c r="BL768" s="65">
        <v>0.0</v>
      </c>
      <c r="BM768" s="65">
        <v>0.0</v>
      </c>
      <c r="BN768" s="65">
        <v>0.0</v>
      </c>
      <c r="BO768" s="65">
        <v>0.0</v>
      </c>
      <c r="BP768" s="65">
        <v>0.0</v>
      </c>
      <c r="BQ768" s="65">
        <v>0.0</v>
      </c>
      <c r="BR768" s="65">
        <v>0.0</v>
      </c>
      <c r="BS768" s="65">
        <v>0.0</v>
      </c>
      <c r="BT768" s="88">
        <v>0.0</v>
      </c>
      <c r="BU768" s="65">
        <v>0.0</v>
      </c>
      <c r="BV768" s="65">
        <v>0.0</v>
      </c>
      <c r="BW768" s="90">
        <v>0.0</v>
      </c>
      <c r="BX768" s="90">
        <v>0.0</v>
      </c>
      <c r="BY768" s="90" t="str">
        <f t="array" ref="BY768">XLOOKUP(C768,'PL TOTAL D0'!$A$3:$A$1991,'PL TOTAL D0'!$C$3:$C$1991,"")</f>
        <v/>
      </c>
    </row>
    <row r="769" ht="15.75" customHeight="1">
      <c r="A769" s="50" t="s">
        <v>24</v>
      </c>
      <c r="B769" s="50" t="s">
        <v>8299</v>
      </c>
      <c r="C769" s="94" t="s">
        <v>8300</v>
      </c>
      <c r="D769" s="81" t="s">
        <v>120</v>
      </c>
      <c r="E769" s="95" t="s">
        <v>199</v>
      </c>
      <c r="F769" s="81" t="s">
        <v>1914</v>
      </c>
      <c r="G769" s="47" t="str">
        <f t="shared" si="33"/>
        <v>David</v>
      </c>
      <c r="H769" s="49" t="s">
        <v>224</v>
      </c>
      <c r="I769" s="49" t="s">
        <v>66</v>
      </c>
      <c r="J769" s="47" t="str">
        <f t="shared" si="32"/>
        <v>Não</v>
      </c>
      <c r="K769" s="97">
        <v>44973.0</v>
      </c>
      <c r="L769" s="55">
        <v>45775.0</v>
      </c>
      <c r="M769" s="62" t="s">
        <v>390</v>
      </c>
      <c r="N769" s="98">
        <v>0.0</v>
      </c>
      <c r="O769" s="47" t="s">
        <v>66</v>
      </c>
      <c r="P769" s="99">
        <v>0.0</v>
      </c>
      <c r="Q769" s="58"/>
      <c r="R769" s="58" t="s">
        <v>8301</v>
      </c>
      <c r="S769" s="62" t="s">
        <v>194</v>
      </c>
      <c r="T769" s="32" t="s">
        <v>8302</v>
      </c>
      <c r="U769" s="33" t="s">
        <v>268</v>
      </c>
      <c r="V769" s="33"/>
      <c r="W769" s="33" t="s">
        <v>268</v>
      </c>
      <c r="X769" s="23" t="s">
        <v>199</v>
      </c>
      <c r="Y769" s="49" t="str">
        <f t="shared" si="22"/>
        <v>Encerrado</v>
      </c>
      <c r="Z769" s="62"/>
      <c r="AA769" s="62"/>
      <c r="AB769" s="64" t="s">
        <v>269</v>
      </c>
      <c r="AC769" s="79"/>
      <c r="AD769" s="54">
        <v>44973.0</v>
      </c>
      <c r="AE769" s="77">
        <v>4.9075100006091E13</v>
      </c>
      <c r="AF769" s="79"/>
      <c r="AG769" s="79"/>
      <c r="AH769" s="79"/>
      <c r="AI769" s="79"/>
      <c r="AJ769" s="65">
        <v>5790.98</v>
      </c>
      <c r="AK769" s="65">
        <v>5852.75</v>
      </c>
      <c r="AL769" s="65">
        <v>5888.04</v>
      </c>
      <c r="AM769" s="65">
        <v>6317.77</v>
      </c>
      <c r="AN769" s="65">
        <v>6868.15</v>
      </c>
      <c r="AO769" s="65">
        <v>6927.27</v>
      </c>
      <c r="AP769" s="65">
        <v>7834.09</v>
      </c>
      <c r="AQ769" s="65">
        <v>8020.29</v>
      </c>
      <c r="AR769" s="65">
        <v>8086.59</v>
      </c>
      <c r="AS769" s="65">
        <v>8649.01</v>
      </c>
      <c r="AT769" s="65">
        <v>9191.0</v>
      </c>
      <c r="AU769" s="65">
        <v>9279.92</v>
      </c>
      <c r="AV769" s="65">
        <v>10352.1</v>
      </c>
      <c r="AW769" s="65">
        <v>11431.85</v>
      </c>
      <c r="AX769" s="65">
        <v>11508.63</v>
      </c>
      <c r="AY769" s="65">
        <v>11520.95</v>
      </c>
      <c r="AZ769" s="65">
        <v>11581.53</v>
      </c>
      <c r="BA769" s="65">
        <v>11689.72</v>
      </c>
      <c r="BB769" s="65">
        <v>11789.58</v>
      </c>
      <c r="BC769" s="65">
        <v>11882.89</v>
      </c>
      <c r="BD769" s="65">
        <v>11996.98</v>
      </c>
      <c r="BE769" s="65">
        <v>0.0</v>
      </c>
      <c r="BF769" s="65">
        <v>0.0</v>
      </c>
      <c r="BG769" s="65">
        <v>0.0</v>
      </c>
      <c r="BH769" s="65">
        <v>0.0</v>
      </c>
      <c r="BI769" s="65">
        <v>0.0</v>
      </c>
      <c r="BJ769" s="65">
        <v>0.0</v>
      </c>
      <c r="BK769" s="65">
        <v>0.0</v>
      </c>
      <c r="BL769" s="65">
        <v>0.0</v>
      </c>
      <c r="BM769" s="65">
        <v>0.0</v>
      </c>
      <c r="BN769" s="65">
        <v>0.0</v>
      </c>
      <c r="BO769" s="65">
        <v>0.0</v>
      </c>
      <c r="BP769" s="65">
        <v>0.0</v>
      </c>
      <c r="BQ769" s="65">
        <v>0.0</v>
      </c>
      <c r="BR769" s="65">
        <v>0.0</v>
      </c>
      <c r="BS769" s="65">
        <v>0.0</v>
      </c>
      <c r="BT769" s="88">
        <v>0.0</v>
      </c>
      <c r="BU769" s="65">
        <v>0.0</v>
      </c>
      <c r="BV769" s="65">
        <v>0.0</v>
      </c>
      <c r="BW769" s="90">
        <v>0.0</v>
      </c>
      <c r="BX769" s="90">
        <v>0.0</v>
      </c>
      <c r="BY769" s="90" t="str">
        <f t="array" ref="BY769">XLOOKUP(C769,'PL TOTAL D0'!$A$3:$A$1991,'PL TOTAL D0'!$C$3:$C$1991,"")</f>
        <v/>
      </c>
    </row>
    <row r="770" ht="15.75" customHeight="1">
      <c r="A770" s="43" t="s">
        <v>24</v>
      </c>
      <c r="B770" s="43" t="s">
        <v>8303</v>
      </c>
      <c r="C770" s="94" t="s">
        <v>8304</v>
      </c>
      <c r="D770" s="30" t="s">
        <v>255</v>
      </c>
      <c r="E770" s="22" t="s">
        <v>199</v>
      </c>
      <c r="F770" s="30" t="s">
        <v>2328</v>
      </c>
      <c r="G770" s="47" t="str">
        <f t="shared" si="33"/>
        <v>David</v>
      </c>
      <c r="H770" s="49" t="s">
        <v>224</v>
      </c>
      <c r="I770" s="49" t="s">
        <v>66</v>
      </c>
      <c r="J770" s="23" t="s">
        <v>563</v>
      </c>
      <c r="K770" s="54">
        <v>45348.0</v>
      </c>
      <c r="L770" s="55">
        <v>45505.0</v>
      </c>
      <c r="M770" s="32" t="s">
        <v>716</v>
      </c>
      <c r="N770" s="56">
        <v>0.005</v>
      </c>
      <c r="O770" s="23" t="s">
        <v>66</v>
      </c>
      <c r="P770" s="57">
        <v>0.0</v>
      </c>
      <c r="Q770" s="58"/>
      <c r="R770" s="58" t="s">
        <v>610</v>
      </c>
      <c r="S770" s="32" t="s">
        <v>194</v>
      </c>
      <c r="T770" s="32" t="s">
        <v>8305</v>
      </c>
      <c r="U770" s="33" t="s">
        <v>268</v>
      </c>
      <c r="V770" s="33"/>
      <c r="W770" s="33" t="s">
        <v>268</v>
      </c>
      <c r="X770" s="23"/>
      <c r="Y770" s="49" t="str">
        <f t="shared" si="22"/>
        <v>Encerrado</v>
      </c>
      <c r="Z770" s="62"/>
      <c r="AA770" s="62"/>
      <c r="AB770" s="64"/>
      <c r="AC770" s="79"/>
      <c r="AD770" s="54">
        <v>45348.0</v>
      </c>
      <c r="AE770" s="77">
        <v>4.9075100013594E13</v>
      </c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65">
        <v>2561451.81</v>
      </c>
      <c r="AW770" s="65">
        <v>2584018.75</v>
      </c>
      <c r="AX770" s="65">
        <v>2602467.12</v>
      </c>
      <c r="AY770" s="65">
        <v>2623061.0</v>
      </c>
      <c r="AZ770" s="65">
        <v>2635950.0</v>
      </c>
      <c r="BA770" s="65">
        <v>0.0</v>
      </c>
      <c r="BB770" s="65">
        <v>0.0</v>
      </c>
      <c r="BC770" s="65">
        <v>0.0</v>
      </c>
      <c r="BD770" s="65">
        <v>0.0</v>
      </c>
      <c r="BE770" s="65">
        <v>0.0</v>
      </c>
      <c r="BF770" s="65">
        <v>0.0</v>
      </c>
      <c r="BG770" s="65">
        <v>0.0</v>
      </c>
      <c r="BH770" s="65">
        <v>0.0</v>
      </c>
      <c r="BI770" s="65">
        <v>0.0</v>
      </c>
      <c r="BJ770" s="65">
        <v>0.0</v>
      </c>
      <c r="BK770" s="65">
        <v>0.0</v>
      </c>
      <c r="BL770" s="65">
        <v>0.0</v>
      </c>
      <c r="BM770" s="65">
        <v>0.0</v>
      </c>
      <c r="BN770" s="65">
        <v>0.0</v>
      </c>
      <c r="BO770" s="65">
        <v>0.0</v>
      </c>
      <c r="BP770" s="65">
        <v>0.0</v>
      </c>
      <c r="BQ770" s="65">
        <v>0.0</v>
      </c>
      <c r="BR770" s="65">
        <v>0.0</v>
      </c>
      <c r="BS770" s="65">
        <v>0.0</v>
      </c>
      <c r="BT770" s="88">
        <v>0.0</v>
      </c>
      <c r="BU770" s="65">
        <v>0.0</v>
      </c>
      <c r="BV770" s="65">
        <v>0.0</v>
      </c>
      <c r="BW770" s="90">
        <v>0.0</v>
      </c>
      <c r="BX770" s="90">
        <v>0.0</v>
      </c>
      <c r="BY770" s="90" t="str">
        <f t="array" ref="BY770">XLOOKUP(C770,'PL TOTAL D0'!$A$3:$A$1991,'PL TOTAL D0'!$C$3:$C$1991,"")</f>
        <v/>
      </c>
    </row>
    <row r="771" ht="15.75" customHeight="1">
      <c r="A771" s="50" t="s">
        <v>24</v>
      </c>
      <c r="B771" s="50" t="s">
        <v>8308</v>
      </c>
      <c r="C771" s="94" t="s">
        <v>8309</v>
      </c>
      <c r="D771" s="81" t="s">
        <v>120</v>
      </c>
      <c r="E771" s="95" t="s">
        <v>199</v>
      </c>
      <c r="F771" s="81" t="s">
        <v>1914</v>
      </c>
      <c r="G771" s="47" t="str">
        <f t="shared" si="33"/>
        <v>David</v>
      </c>
      <c r="H771" s="49" t="s">
        <v>224</v>
      </c>
      <c r="I771" s="49" t="s">
        <v>66</v>
      </c>
      <c r="J771" s="47" t="str">
        <f t="shared" ref="J771:J788" si="34">IF(Q771=0,"Não","Sim")</f>
        <v>Não</v>
      </c>
      <c r="K771" s="97">
        <v>44965.0</v>
      </c>
      <c r="L771" s="121">
        <v>45595.0</v>
      </c>
      <c r="M771" s="62" t="s">
        <v>209</v>
      </c>
      <c r="N771" s="98">
        <v>0.015</v>
      </c>
      <c r="O771" s="47" t="s">
        <v>35</v>
      </c>
      <c r="P771" s="99">
        <v>0.1</v>
      </c>
      <c r="Q771" s="58"/>
      <c r="R771" s="70"/>
      <c r="S771" s="62" t="s">
        <v>194</v>
      </c>
      <c r="T771" s="32" t="s">
        <v>8310</v>
      </c>
      <c r="U771" s="33" t="s">
        <v>268</v>
      </c>
      <c r="V771" s="33"/>
      <c r="W771" s="33" t="s">
        <v>268</v>
      </c>
      <c r="X771" s="23" t="s">
        <v>199</v>
      </c>
      <c r="Y771" s="49" t="str">
        <f t="shared" si="22"/>
        <v>Encerrado</v>
      </c>
      <c r="Z771" s="62"/>
      <c r="AA771" s="62"/>
      <c r="AB771" s="64" t="s">
        <v>269</v>
      </c>
      <c r="AC771" s="79"/>
      <c r="AD771" s="54">
        <v>44965.0</v>
      </c>
      <c r="AE771" s="77">
        <v>4.9075100009716E13</v>
      </c>
      <c r="AF771" s="79"/>
      <c r="AG771" s="79"/>
      <c r="AH771" s="79"/>
      <c r="AI771" s="65">
        <v>0.0</v>
      </c>
      <c r="AJ771" s="65">
        <v>71695.11</v>
      </c>
      <c r="AK771" s="65">
        <v>72215.39</v>
      </c>
      <c r="AL771" s="65">
        <v>72488.98</v>
      </c>
      <c r="AM771" s="65">
        <v>73058.1</v>
      </c>
      <c r="AN771" s="65">
        <v>44016.3</v>
      </c>
      <c r="AO771" s="65">
        <v>44694.58</v>
      </c>
      <c r="AP771" s="65">
        <v>44440.77</v>
      </c>
      <c r="AQ771" s="65">
        <v>44594.44</v>
      </c>
      <c r="AR771" s="65">
        <v>44838.89</v>
      </c>
      <c r="AS771" s="65">
        <v>44457.26</v>
      </c>
      <c r="AT771" s="65">
        <v>44766.9</v>
      </c>
      <c r="AU771" s="65">
        <v>59625.17</v>
      </c>
      <c r="AV771" s="65">
        <v>1052792.26</v>
      </c>
      <c r="AW771" s="65">
        <v>1064896.89</v>
      </c>
      <c r="AX771" s="65">
        <v>1059869.39</v>
      </c>
      <c r="AY771" s="65">
        <v>1054261.0</v>
      </c>
      <c r="AZ771" s="65">
        <v>1060786.0</v>
      </c>
      <c r="BA771" s="65">
        <v>1075111.0</v>
      </c>
      <c r="BB771" s="65">
        <v>1088049.88</v>
      </c>
      <c r="BC771" s="65">
        <v>1087054.39</v>
      </c>
      <c r="BD771" s="65">
        <v>1076873.68</v>
      </c>
      <c r="BE771" s="65">
        <v>0.0</v>
      </c>
      <c r="BF771" s="65">
        <v>0.0</v>
      </c>
      <c r="BG771" s="65">
        <v>0.0</v>
      </c>
      <c r="BH771" s="65">
        <v>0.0</v>
      </c>
      <c r="BI771" s="65">
        <v>0.0</v>
      </c>
      <c r="BJ771" s="65">
        <v>0.0</v>
      </c>
      <c r="BK771" s="65">
        <v>0.0</v>
      </c>
      <c r="BL771" s="65">
        <v>0.0</v>
      </c>
      <c r="BM771" s="65">
        <v>0.0</v>
      </c>
      <c r="BN771" s="65">
        <v>0.0</v>
      </c>
      <c r="BO771" s="65">
        <v>0.0</v>
      </c>
      <c r="BP771" s="65">
        <v>0.0</v>
      </c>
      <c r="BQ771" s="65">
        <v>0.0</v>
      </c>
      <c r="BR771" s="65">
        <v>0.0</v>
      </c>
      <c r="BS771" s="65">
        <v>0.0</v>
      </c>
      <c r="BT771" s="88">
        <v>0.0</v>
      </c>
      <c r="BU771" s="65">
        <v>0.0</v>
      </c>
      <c r="BV771" s="65">
        <v>0.0</v>
      </c>
      <c r="BW771" s="90">
        <v>0.0</v>
      </c>
      <c r="BX771" s="90">
        <v>0.0</v>
      </c>
      <c r="BY771" s="90" t="str">
        <f t="array" ref="BY771">XLOOKUP(C771,'PL TOTAL D0'!$A$3:$A$1991,'PL TOTAL D0'!$C$3:$C$1991,"")</f>
        <v/>
      </c>
    </row>
    <row r="772" ht="15.75" customHeight="1">
      <c r="A772" s="50" t="s">
        <v>24</v>
      </c>
      <c r="B772" s="50" t="s">
        <v>8311</v>
      </c>
      <c r="C772" s="94" t="s">
        <v>8312</v>
      </c>
      <c r="D772" s="81" t="s">
        <v>120</v>
      </c>
      <c r="E772" s="95" t="s">
        <v>199</v>
      </c>
      <c r="F772" s="81" t="s">
        <v>677</v>
      </c>
      <c r="G772" s="47" t="str">
        <f t="shared" si="33"/>
        <v>David</v>
      </c>
      <c r="H772" s="49" t="s">
        <v>224</v>
      </c>
      <c r="I772" s="49" t="s">
        <v>66</v>
      </c>
      <c r="J772" s="47" t="str">
        <f t="shared" si="34"/>
        <v>Não</v>
      </c>
      <c r="K772" s="97">
        <v>45041.0</v>
      </c>
      <c r="L772" s="55">
        <v>45814.0</v>
      </c>
      <c r="M772" s="62" t="s">
        <v>209</v>
      </c>
      <c r="N772" s="98">
        <v>0.015</v>
      </c>
      <c r="O772" s="47" t="s">
        <v>35</v>
      </c>
      <c r="P772" s="99">
        <v>0.1</v>
      </c>
      <c r="Q772" s="58"/>
      <c r="R772" s="58" t="s">
        <v>8313</v>
      </c>
      <c r="S772" s="62" t="s">
        <v>194</v>
      </c>
      <c r="T772" s="32" t="s">
        <v>8314</v>
      </c>
      <c r="U772" s="33" t="s">
        <v>268</v>
      </c>
      <c r="V772" s="33"/>
      <c r="W772" s="33" t="s">
        <v>268</v>
      </c>
      <c r="X772" s="23" t="s">
        <v>199</v>
      </c>
      <c r="Y772" s="49" t="str">
        <f t="shared" si="22"/>
        <v>Encerrado</v>
      </c>
      <c r="Z772" s="62"/>
      <c r="AA772" s="62"/>
      <c r="AB772" s="64" t="s">
        <v>269</v>
      </c>
      <c r="AC772" s="79"/>
      <c r="AD772" s="54">
        <v>45041.0</v>
      </c>
      <c r="AE772" s="77">
        <v>4.9075100006806E13</v>
      </c>
      <c r="AF772" s="79"/>
      <c r="AG772" s="79"/>
      <c r="AH772" s="79"/>
      <c r="AI772" s="79"/>
      <c r="AJ772" s="79"/>
      <c r="AK772" s="79"/>
      <c r="AL772" s="65">
        <v>20624.5</v>
      </c>
      <c r="AM772" s="65">
        <v>13707.4</v>
      </c>
      <c r="AN772" s="65">
        <v>13791.31</v>
      </c>
      <c r="AO772" s="65">
        <v>13905.96</v>
      </c>
      <c r="AP772" s="65">
        <v>14043.02</v>
      </c>
      <c r="AQ772" s="65">
        <v>14113.01</v>
      </c>
      <c r="AR772" s="65">
        <v>7111.33</v>
      </c>
      <c r="AS772" s="65">
        <v>6039.64</v>
      </c>
      <c r="AT772" s="65">
        <v>0.0</v>
      </c>
      <c r="AU772" s="65">
        <v>0.0</v>
      </c>
      <c r="AV772" s="65">
        <v>15068.39</v>
      </c>
      <c r="AW772" s="65">
        <v>5612.56</v>
      </c>
      <c r="AX772" s="65">
        <v>3633.75</v>
      </c>
      <c r="AY772" s="65">
        <v>3641.35</v>
      </c>
      <c r="AZ772" s="65">
        <v>3670.17</v>
      </c>
      <c r="BA772" s="65">
        <v>3702.47</v>
      </c>
      <c r="BB772" s="65">
        <v>3728.23</v>
      </c>
      <c r="BC772" s="65">
        <v>3759.26</v>
      </c>
      <c r="BD772" s="65">
        <v>3794.19</v>
      </c>
      <c r="BE772" s="65">
        <v>3790.28</v>
      </c>
      <c r="BF772" s="65">
        <v>3823.99</v>
      </c>
      <c r="BG772" s="65">
        <v>3862.34</v>
      </c>
      <c r="BH772" s="65">
        <v>3898.8</v>
      </c>
      <c r="BI772" s="65">
        <v>3935.89</v>
      </c>
      <c r="BJ772" s="65">
        <v>3976.89</v>
      </c>
      <c r="BK772" s="65">
        <v>3987.75</v>
      </c>
      <c r="BL772" s="65">
        <v>0.0</v>
      </c>
      <c r="BM772" s="65">
        <v>0.0</v>
      </c>
      <c r="BN772" s="65">
        <v>0.0</v>
      </c>
      <c r="BO772" s="65">
        <v>0.0</v>
      </c>
      <c r="BP772" s="65">
        <v>0.0</v>
      </c>
      <c r="BQ772" s="65">
        <v>0.0</v>
      </c>
      <c r="BR772" s="65">
        <v>0.0</v>
      </c>
      <c r="BS772" s="65">
        <v>0.0</v>
      </c>
      <c r="BT772" s="88">
        <v>0.0</v>
      </c>
      <c r="BU772" s="65">
        <v>0.0</v>
      </c>
      <c r="BV772" s="65">
        <v>0.0</v>
      </c>
      <c r="BW772" s="90">
        <v>0.0</v>
      </c>
      <c r="BX772" s="90">
        <v>0.0</v>
      </c>
      <c r="BY772" s="90" t="str">
        <f t="array" ref="BY772">XLOOKUP(C772,'PL TOTAL D0'!$A$3:$A$1991,'PL TOTAL D0'!$C$3:$C$1991,"")</f>
        <v/>
      </c>
    </row>
    <row r="773" ht="15.75" customHeight="1">
      <c r="A773" s="50" t="s">
        <v>24</v>
      </c>
      <c r="B773" s="176" t="s">
        <v>6141</v>
      </c>
      <c r="C773" s="94" t="s">
        <v>2682</v>
      </c>
      <c r="D773" s="81" t="s">
        <v>120</v>
      </c>
      <c r="E773" s="95" t="s">
        <v>54</v>
      </c>
      <c r="F773" s="30" t="s">
        <v>125</v>
      </c>
      <c r="G773" s="47" t="str">
        <f t="shared" si="33"/>
        <v>Marcus</v>
      </c>
      <c r="H773" s="74" t="s">
        <v>183</v>
      </c>
      <c r="I773" s="74" t="s">
        <v>66</v>
      </c>
      <c r="J773" s="47" t="str">
        <f t="shared" si="34"/>
        <v>Não</v>
      </c>
      <c r="K773" s="97">
        <v>45005.0</v>
      </c>
      <c r="L773" s="62"/>
      <c r="M773" s="62" t="s">
        <v>61</v>
      </c>
      <c r="N773" s="98">
        <v>0.012</v>
      </c>
      <c r="O773" s="47" t="s">
        <v>66</v>
      </c>
      <c r="P773" s="99">
        <v>0.0</v>
      </c>
      <c r="Q773" s="58"/>
      <c r="R773" s="70"/>
      <c r="S773" s="62" t="s">
        <v>194</v>
      </c>
      <c r="T773" s="32" t="s">
        <v>6140</v>
      </c>
      <c r="U773" s="33">
        <v>6.2984347403E10</v>
      </c>
      <c r="V773" s="33" t="s">
        <v>3985</v>
      </c>
      <c r="W773" s="34">
        <v>23687.0</v>
      </c>
      <c r="X773" s="23" t="s">
        <v>54</v>
      </c>
      <c r="Y773" s="49" t="str">
        <f t="shared" si="22"/>
        <v>Ativo</v>
      </c>
      <c r="Z773" s="62"/>
      <c r="AA773" s="62"/>
      <c r="AB773" s="64" t="s">
        <v>269</v>
      </c>
      <c r="AC773" s="79"/>
      <c r="AD773" s="54">
        <v>45005.0</v>
      </c>
      <c r="AE773" s="77">
        <v>4.9075100007993E13</v>
      </c>
      <c r="AF773" s="79"/>
      <c r="AG773" s="79"/>
      <c r="AH773" s="79"/>
      <c r="AI773" s="79"/>
      <c r="AJ773" s="79"/>
      <c r="AK773" s="65">
        <v>490650.14</v>
      </c>
      <c r="AL773" s="65">
        <v>494510.23</v>
      </c>
      <c r="AM773" s="65">
        <v>499291.51</v>
      </c>
      <c r="AN773" s="65">
        <v>503579.04</v>
      </c>
      <c r="AO773" s="65">
        <v>507721.03</v>
      </c>
      <c r="AP773" s="65">
        <v>512302.95</v>
      </c>
      <c r="AQ773" s="65">
        <v>516326.05</v>
      </c>
      <c r="AR773" s="65">
        <v>520849.72</v>
      </c>
      <c r="AS773" s="65">
        <v>524615.85</v>
      </c>
      <c r="AT773" s="65">
        <v>528655.79</v>
      </c>
      <c r="AU773" s="65">
        <v>533438.11</v>
      </c>
      <c r="AV773" s="65">
        <v>537680.14</v>
      </c>
      <c r="AW773" s="65">
        <v>530776.49</v>
      </c>
      <c r="AX773" s="65">
        <v>533939.9</v>
      </c>
      <c r="AY773" s="65">
        <v>537799.6</v>
      </c>
      <c r="AZ773" s="65">
        <v>541596.9</v>
      </c>
      <c r="BA773" s="65">
        <v>545758.0</v>
      </c>
      <c r="BB773" s="65">
        <v>850021.82</v>
      </c>
      <c r="BC773" s="65">
        <v>855690.84</v>
      </c>
      <c r="BD773" s="65">
        <v>863436.22</v>
      </c>
      <c r="BE773" s="65">
        <v>778859.89</v>
      </c>
      <c r="BF773" s="65">
        <v>784839.9</v>
      </c>
      <c r="BG773" s="65">
        <v>792317.42</v>
      </c>
      <c r="BH773" s="65">
        <v>773093.5</v>
      </c>
      <c r="BI773" s="65">
        <v>780624.71</v>
      </c>
      <c r="BJ773" s="65">
        <v>788504.84</v>
      </c>
      <c r="BK773" s="65">
        <v>1200149.22</v>
      </c>
      <c r="BL773" s="65">
        <v>1210388.25</v>
      </c>
      <c r="BM773" s="65">
        <v>1295134.77</v>
      </c>
      <c r="BN773" s="65">
        <v>1307716.0</v>
      </c>
      <c r="BO773" s="65">
        <v>1310250.02</v>
      </c>
      <c r="BP773" s="65">
        <v>1302267.0</v>
      </c>
      <c r="BQ773" s="65">
        <v>1302446.0</v>
      </c>
      <c r="BR773" s="65">
        <v>1301921.0</v>
      </c>
      <c r="BS773" s="65">
        <v>1268347.48</v>
      </c>
      <c r="BT773" s="88">
        <v>1234865.0</v>
      </c>
      <c r="BU773" s="65">
        <v>1212288.0</v>
      </c>
      <c r="BV773" s="65">
        <v>1226837.0</v>
      </c>
      <c r="BW773" s="90">
        <v>1208543.0</v>
      </c>
      <c r="BX773" s="90">
        <v>1184535.97</v>
      </c>
      <c r="BY773" s="90">
        <f t="array" ref="BY773">XLOOKUP(C773,'PL TOTAL D0'!$A$3:$A$1991,'PL TOTAL D0'!$C$3:$C$1991,"")</f>
        <v>1161280.49</v>
      </c>
    </row>
    <row r="774" ht="15.75" customHeight="1">
      <c r="A774" s="50" t="s">
        <v>24</v>
      </c>
      <c r="B774" s="39" t="s">
        <v>6141</v>
      </c>
      <c r="C774" s="94" t="s">
        <v>3515</v>
      </c>
      <c r="D774" s="81" t="s">
        <v>120</v>
      </c>
      <c r="E774" s="95" t="s">
        <v>54</v>
      </c>
      <c r="F774" s="30" t="s">
        <v>125</v>
      </c>
      <c r="G774" s="47" t="str">
        <f t="shared" si="33"/>
        <v>David</v>
      </c>
      <c r="H774" s="49" t="s">
        <v>183</v>
      </c>
      <c r="I774" s="49" t="s">
        <v>66</v>
      </c>
      <c r="J774" s="47" t="str">
        <f t="shared" si="34"/>
        <v>Não</v>
      </c>
      <c r="K774" s="54">
        <v>45545.0</v>
      </c>
      <c r="L774" s="62"/>
      <c r="M774" s="32" t="s">
        <v>4564</v>
      </c>
      <c r="N774" s="56">
        <v>0.02</v>
      </c>
      <c r="O774" s="23" t="s">
        <v>7685</v>
      </c>
      <c r="P774" s="57">
        <v>0.2</v>
      </c>
      <c r="Q774" s="58"/>
      <c r="R774" s="58" t="s">
        <v>4920</v>
      </c>
      <c r="S774" s="32" t="s">
        <v>194</v>
      </c>
      <c r="T774" s="32" t="s">
        <v>6140</v>
      </c>
      <c r="U774" s="33">
        <v>6.2984347403E10</v>
      </c>
      <c r="V774" s="33" t="s">
        <v>3985</v>
      </c>
      <c r="W774" s="34">
        <v>23687.0</v>
      </c>
      <c r="X774" s="23" t="s">
        <v>54</v>
      </c>
      <c r="Y774" s="49" t="str">
        <f t="shared" si="22"/>
        <v>Ativo</v>
      </c>
      <c r="Z774" s="62"/>
      <c r="AA774" s="32" t="s">
        <v>47</v>
      </c>
      <c r="AB774" s="64"/>
      <c r="AC774" s="79"/>
      <c r="AD774" s="54">
        <v>45545.0</v>
      </c>
      <c r="AE774" s="77">
        <v>4.9075100016161E13</v>
      </c>
      <c r="AF774" s="79"/>
      <c r="AG774" s="79"/>
      <c r="AH774" s="79"/>
      <c r="AI774" s="79"/>
      <c r="AJ774" s="79"/>
      <c r="AK774" s="65"/>
      <c r="AL774" s="65"/>
      <c r="AM774" s="65"/>
      <c r="AN774" s="65"/>
      <c r="AO774" s="65"/>
      <c r="AP774" s="65"/>
      <c r="AQ774" s="65"/>
      <c r="AR774" s="65"/>
      <c r="AS774" s="65"/>
      <c r="AT774" s="65"/>
      <c r="AU774" s="65"/>
      <c r="AV774" s="65"/>
      <c r="AW774" s="65"/>
      <c r="AX774" s="65"/>
      <c r="AY774" s="65"/>
      <c r="AZ774" s="65"/>
      <c r="BA774" s="65"/>
      <c r="BB774" s="65"/>
      <c r="BC774" s="65">
        <v>0.0</v>
      </c>
      <c r="BD774" s="65">
        <v>0.0</v>
      </c>
      <c r="BE774" s="65">
        <v>0.0</v>
      </c>
      <c r="BF774" s="65">
        <v>0.0</v>
      </c>
      <c r="BG774" s="65">
        <v>0.0</v>
      </c>
      <c r="BH774" s="65">
        <v>24142.35</v>
      </c>
      <c r="BI774" s="65">
        <v>22176.33</v>
      </c>
      <c r="BJ774" s="65">
        <v>22437.18</v>
      </c>
      <c r="BK774" s="65">
        <v>24231.43</v>
      </c>
      <c r="BL774" s="65">
        <v>24341.36</v>
      </c>
      <c r="BM774" s="65">
        <v>26450.83</v>
      </c>
      <c r="BN774" s="65">
        <v>25985.17</v>
      </c>
      <c r="BO774" s="65">
        <v>26172.72</v>
      </c>
      <c r="BP774" s="65">
        <v>26954.13</v>
      </c>
      <c r="BQ774" s="65">
        <v>25830.06</v>
      </c>
      <c r="BR774" s="65">
        <v>26700.02</v>
      </c>
      <c r="BS774" s="65">
        <v>25238.26</v>
      </c>
      <c r="BT774" s="88">
        <v>23502.18</v>
      </c>
      <c r="BU774" s="65">
        <v>23303.27</v>
      </c>
      <c r="BV774" s="65">
        <v>23856.7</v>
      </c>
      <c r="BW774" s="90">
        <v>24224.1</v>
      </c>
      <c r="BX774" s="90">
        <v>23808.1</v>
      </c>
      <c r="BY774" s="90">
        <f t="array" ref="BY774">XLOOKUP(C774,'PL TOTAL D0'!$A$3:$A$1991,'PL TOTAL D0'!$C$3:$C$1991,"")</f>
        <v>24932.87</v>
      </c>
    </row>
    <row r="775" ht="15.75" customHeight="1">
      <c r="A775" s="50" t="s">
        <v>24</v>
      </c>
      <c r="B775" s="43" t="s">
        <v>8318</v>
      </c>
      <c r="C775" s="94" t="s">
        <v>8319</v>
      </c>
      <c r="D775" s="30" t="s">
        <v>120</v>
      </c>
      <c r="E775" s="22" t="s">
        <v>54</v>
      </c>
      <c r="F775" s="81" t="s">
        <v>348</v>
      </c>
      <c r="G775" s="47" t="str">
        <f t="shared" si="33"/>
        <v>David</v>
      </c>
      <c r="H775" s="49" t="s">
        <v>295</v>
      </c>
      <c r="I775" s="49" t="s">
        <v>382</v>
      </c>
      <c r="J775" s="47" t="str">
        <f t="shared" si="34"/>
        <v>Não</v>
      </c>
      <c r="K775" s="54">
        <v>45504.0</v>
      </c>
      <c r="L775" s="194"/>
      <c r="M775" s="32" t="s">
        <v>61</v>
      </c>
      <c r="N775" s="56">
        <v>0.012</v>
      </c>
      <c r="O775" s="23" t="s">
        <v>66</v>
      </c>
      <c r="P775" s="57">
        <v>0.0</v>
      </c>
      <c r="Q775" s="58"/>
      <c r="R775" s="70"/>
      <c r="S775" s="32" t="s">
        <v>194</v>
      </c>
      <c r="T775" s="32" t="s">
        <v>8320</v>
      </c>
      <c r="U775" s="33">
        <v>6.2999976521E10</v>
      </c>
      <c r="V775" s="33" t="s">
        <v>8321</v>
      </c>
      <c r="W775" s="34">
        <v>28197.0</v>
      </c>
      <c r="X775" s="23" t="s">
        <v>54</v>
      </c>
      <c r="Y775" s="49" t="str">
        <f t="shared" si="22"/>
        <v>Ativo</v>
      </c>
      <c r="Z775" s="32"/>
      <c r="AA775" s="32" t="s">
        <v>107</v>
      </c>
      <c r="AB775" s="64" t="s">
        <v>269</v>
      </c>
      <c r="AC775" s="79"/>
      <c r="AD775" s="54">
        <v>45504.0</v>
      </c>
      <c r="AE775" s="77">
        <v>4.9075100015491E13</v>
      </c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65"/>
      <c r="AW775" s="65"/>
      <c r="AX775" s="65"/>
      <c r="AY775" s="65"/>
      <c r="AZ775" s="65"/>
      <c r="BA775" s="65">
        <v>30000.0</v>
      </c>
      <c r="BB775" s="65">
        <v>90688.86</v>
      </c>
      <c r="BC775" s="65">
        <v>61134.64</v>
      </c>
      <c r="BD775" s="65">
        <v>20619.46</v>
      </c>
      <c r="BE775" s="65">
        <v>20690.6</v>
      </c>
      <c r="BF775" s="65">
        <v>0.0</v>
      </c>
      <c r="BG775" s="65">
        <v>0.1</v>
      </c>
      <c r="BH775" s="65">
        <v>0.1</v>
      </c>
      <c r="BI775" s="65">
        <v>0.1</v>
      </c>
      <c r="BJ775" s="65">
        <v>0.0</v>
      </c>
      <c r="BK775" s="65">
        <v>0.0</v>
      </c>
      <c r="BL775" s="65">
        <v>0.0</v>
      </c>
      <c r="BM775" s="65">
        <v>0.0</v>
      </c>
      <c r="BN775" s="65">
        <v>0.0</v>
      </c>
      <c r="BO775" s="65">
        <v>0.0</v>
      </c>
      <c r="BP775" s="65">
        <v>0.0</v>
      </c>
      <c r="BQ775" s="65">
        <v>0.0</v>
      </c>
      <c r="BR775" s="65">
        <v>0.0</v>
      </c>
      <c r="BS775" s="65">
        <v>0.0</v>
      </c>
      <c r="BT775" s="88">
        <v>0.0</v>
      </c>
      <c r="BU775" s="65">
        <v>0.0</v>
      </c>
      <c r="BV775" s="65">
        <v>0.0</v>
      </c>
      <c r="BW775" s="90">
        <v>0.0</v>
      </c>
      <c r="BX775" s="90">
        <v>0.0</v>
      </c>
      <c r="BY775" s="90" t="str">
        <f t="array" ref="BY775">XLOOKUP(C775,'PL TOTAL D0'!$A$3:$A$1991,'PL TOTAL D0'!$C$3:$C$1991,"")</f>
        <v/>
      </c>
    </row>
    <row r="776" ht="15.75" customHeight="1">
      <c r="A776" s="50" t="s">
        <v>24</v>
      </c>
      <c r="B776" s="50" t="s">
        <v>8322</v>
      </c>
      <c r="C776" s="94" t="s">
        <v>8323</v>
      </c>
      <c r="D776" s="81" t="s">
        <v>255</v>
      </c>
      <c r="E776" s="95" t="s">
        <v>199</v>
      </c>
      <c r="F776" s="81" t="s">
        <v>4952</v>
      </c>
      <c r="G776" s="47" t="str">
        <f t="shared" si="33"/>
        <v>David</v>
      </c>
      <c r="H776" s="74" t="s">
        <v>224</v>
      </c>
      <c r="I776" s="74" t="s">
        <v>66</v>
      </c>
      <c r="J776" s="47" t="str">
        <f t="shared" si="34"/>
        <v>Não</v>
      </c>
      <c r="K776" s="97">
        <v>45070.0</v>
      </c>
      <c r="L776" s="194">
        <v>45126.0</v>
      </c>
      <c r="M776" s="62" t="s">
        <v>209</v>
      </c>
      <c r="N776" s="98">
        <v>0.016</v>
      </c>
      <c r="O776" s="47" t="s">
        <v>35</v>
      </c>
      <c r="P776" s="99">
        <v>0.1</v>
      </c>
      <c r="Q776" s="58"/>
      <c r="R776" s="70"/>
      <c r="S776" s="62" t="s">
        <v>194</v>
      </c>
      <c r="T776" s="32" t="s">
        <v>8324</v>
      </c>
      <c r="U776" s="33" t="s">
        <v>268</v>
      </c>
      <c r="V776" s="33"/>
      <c r="W776" s="33" t="s">
        <v>268</v>
      </c>
      <c r="X776" s="23" t="s">
        <v>199</v>
      </c>
      <c r="Y776" s="49" t="str">
        <f t="shared" si="22"/>
        <v>Encerrado</v>
      </c>
      <c r="Z776" s="62"/>
      <c r="AA776" s="62"/>
      <c r="AB776" s="64"/>
      <c r="AC776" s="79"/>
      <c r="AD776" s="54">
        <v>45070.0</v>
      </c>
      <c r="AE776" s="77"/>
      <c r="AF776" s="79"/>
      <c r="AG776" s="79"/>
      <c r="AH776" s="79"/>
      <c r="AI776" s="79"/>
      <c r="AJ776" s="79"/>
      <c r="AK776" s="79"/>
      <c r="AL776" s="65">
        <v>0.0</v>
      </c>
      <c r="AM776" s="65">
        <v>2497905.81</v>
      </c>
      <c r="AN776" s="65">
        <v>2498485.38</v>
      </c>
      <c r="AO776" s="65">
        <v>0.0</v>
      </c>
      <c r="AP776" s="65">
        <v>0.0</v>
      </c>
      <c r="AQ776" s="65">
        <v>0.0</v>
      </c>
      <c r="AR776" s="65">
        <v>0.0</v>
      </c>
      <c r="AS776" s="65">
        <v>0.0</v>
      </c>
      <c r="AT776" s="65">
        <v>0.0</v>
      </c>
      <c r="AU776" s="65">
        <v>0.0</v>
      </c>
      <c r="AV776" s="65">
        <v>0.0</v>
      </c>
      <c r="AW776" s="65">
        <v>0.0</v>
      </c>
      <c r="AX776" s="65">
        <v>0.0</v>
      </c>
      <c r="AY776" s="65">
        <v>0.0</v>
      </c>
      <c r="AZ776" s="65">
        <v>0.0</v>
      </c>
      <c r="BA776" s="65">
        <v>0.0</v>
      </c>
      <c r="BB776" s="65">
        <v>0.0</v>
      </c>
      <c r="BC776" s="65">
        <v>0.0</v>
      </c>
      <c r="BD776" s="65">
        <v>0.0</v>
      </c>
      <c r="BE776" s="65">
        <v>0.0</v>
      </c>
      <c r="BF776" s="65">
        <v>0.0</v>
      </c>
      <c r="BG776" s="65">
        <v>0.0</v>
      </c>
      <c r="BH776" s="65">
        <v>0.0</v>
      </c>
      <c r="BI776" s="65">
        <v>0.0</v>
      </c>
      <c r="BJ776" s="65">
        <v>0.0</v>
      </c>
      <c r="BK776" s="65">
        <v>0.0</v>
      </c>
      <c r="BL776" s="65">
        <v>0.0</v>
      </c>
      <c r="BM776" s="65">
        <v>0.0</v>
      </c>
      <c r="BN776" s="65">
        <v>0.0</v>
      </c>
      <c r="BO776" s="65">
        <v>0.0</v>
      </c>
      <c r="BP776" s="65">
        <v>0.0</v>
      </c>
      <c r="BQ776" s="65">
        <v>0.0</v>
      </c>
      <c r="BR776" s="65">
        <v>0.0</v>
      </c>
      <c r="BS776" s="65">
        <v>0.0</v>
      </c>
      <c r="BT776" s="88">
        <v>0.0</v>
      </c>
      <c r="BU776" s="65">
        <v>0.0</v>
      </c>
      <c r="BV776" s="65">
        <v>0.0</v>
      </c>
      <c r="BW776" s="90">
        <v>0.0</v>
      </c>
      <c r="BX776" s="90">
        <v>0.0</v>
      </c>
      <c r="BY776" s="90" t="str">
        <f t="array" ref="BY776">XLOOKUP(C776,'PL TOTAL D0'!$A$3:$A$1991,'PL TOTAL D0'!$C$3:$C$1991,"")</f>
        <v/>
      </c>
    </row>
    <row r="777" ht="15.75" customHeight="1">
      <c r="A777" s="50" t="s">
        <v>24</v>
      </c>
      <c r="B777" s="50" t="s">
        <v>8326</v>
      </c>
      <c r="C777" s="94" t="s">
        <v>3555</v>
      </c>
      <c r="D777" s="81" t="s">
        <v>255</v>
      </c>
      <c r="E777" s="95" t="s">
        <v>199</v>
      </c>
      <c r="F777" s="81" t="s">
        <v>257</v>
      </c>
      <c r="G777" s="47" t="str">
        <f t="shared" si="33"/>
        <v>David</v>
      </c>
      <c r="H777" s="74" t="s">
        <v>183</v>
      </c>
      <c r="I777" s="74" t="s">
        <v>66</v>
      </c>
      <c r="J777" s="47" t="str">
        <f t="shared" si="34"/>
        <v>Não</v>
      </c>
      <c r="K777" s="97">
        <v>45168.0</v>
      </c>
      <c r="L777" s="194"/>
      <c r="M777" s="62" t="s">
        <v>209</v>
      </c>
      <c r="N777" s="98">
        <v>0.016</v>
      </c>
      <c r="O777" s="47" t="s">
        <v>35</v>
      </c>
      <c r="P777" s="99">
        <v>0.2</v>
      </c>
      <c r="Q777" s="58"/>
      <c r="R777" s="70"/>
      <c r="S777" s="62" t="s">
        <v>194</v>
      </c>
      <c r="T777" s="32" t="s">
        <v>8328</v>
      </c>
      <c r="U777" s="33">
        <v>6.1992989736E10</v>
      </c>
      <c r="V777" s="33" t="s">
        <v>8329</v>
      </c>
      <c r="W777" s="34">
        <v>25107.0</v>
      </c>
      <c r="X777" s="23" t="s">
        <v>199</v>
      </c>
      <c r="Y777" s="49" t="str">
        <f t="shared" si="22"/>
        <v>Ativo</v>
      </c>
      <c r="Z777" s="62"/>
      <c r="AA777" s="62"/>
      <c r="AB777" s="64" t="s">
        <v>269</v>
      </c>
      <c r="AC777" s="79"/>
      <c r="AD777" s="54">
        <v>45168.0</v>
      </c>
      <c r="AE777" s="77">
        <v>4.9075100004366E13</v>
      </c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65">
        <v>86640.52</v>
      </c>
      <c r="AQ777" s="65">
        <v>87103.29</v>
      </c>
      <c r="AR777" s="65">
        <v>87579.02</v>
      </c>
      <c r="AS777" s="65">
        <v>87910.08</v>
      </c>
      <c r="AT777" s="65">
        <v>81281.6</v>
      </c>
      <c r="AU777" s="65">
        <v>58806.46</v>
      </c>
      <c r="AV777" s="65">
        <v>59229.76</v>
      </c>
      <c r="AW777" s="65">
        <v>59694.45</v>
      </c>
      <c r="AX777" s="65">
        <v>59084.54</v>
      </c>
      <c r="AY777" s="65">
        <v>58900.06</v>
      </c>
      <c r="AZ777" s="65">
        <v>10609.15</v>
      </c>
      <c r="BA777" s="65">
        <v>10564.75</v>
      </c>
      <c r="BB777" s="65">
        <v>10552.31</v>
      </c>
      <c r="BC777" s="65">
        <v>10539.39</v>
      </c>
      <c r="BD777" s="65">
        <v>10527.73</v>
      </c>
      <c r="BE777" s="65">
        <v>10513.12</v>
      </c>
      <c r="BF777" s="65">
        <v>10502.8</v>
      </c>
      <c r="BG777" s="65">
        <v>10491.49</v>
      </c>
      <c r="BH777" s="65">
        <v>10478.99</v>
      </c>
      <c r="BI777" s="65">
        <v>10467.11</v>
      </c>
      <c r="BJ777" s="65">
        <v>10456.78</v>
      </c>
      <c r="BK777" s="65">
        <v>10444.74</v>
      </c>
      <c r="BL777" s="65">
        <v>10433.25</v>
      </c>
      <c r="BM777" s="65">
        <v>10164.31</v>
      </c>
      <c r="BN777" s="65">
        <v>10164.31</v>
      </c>
      <c r="BO777" s="65">
        <v>10164.31</v>
      </c>
      <c r="BP777" s="65">
        <v>10164.31</v>
      </c>
      <c r="BQ777" s="65">
        <v>10164.31</v>
      </c>
      <c r="BR777" s="65">
        <v>10164.31</v>
      </c>
      <c r="BS777" s="65">
        <v>10165.87</v>
      </c>
      <c r="BT777" s="88">
        <v>10401.83</v>
      </c>
      <c r="BU777" s="65">
        <v>10150.86</v>
      </c>
      <c r="BV777" s="65">
        <v>10929.68</v>
      </c>
      <c r="BW777" s="90">
        <v>12085.57</v>
      </c>
      <c r="BX777" s="90">
        <v>11907.16</v>
      </c>
      <c r="BY777" s="90">
        <f t="array" ref="BY777">XLOOKUP(C777,'PL TOTAL D0'!$A$3:$A$1991,'PL TOTAL D0'!$C$3:$C$1991,"")</f>
        <v>11377.77</v>
      </c>
    </row>
    <row r="778" ht="15.75" customHeight="1">
      <c r="A778" s="50" t="s">
        <v>24</v>
      </c>
      <c r="B778" s="43" t="s">
        <v>8330</v>
      </c>
      <c r="C778" s="94" t="s">
        <v>8331</v>
      </c>
      <c r="D778" s="30" t="s">
        <v>142</v>
      </c>
      <c r="E778" s="22" t="s">
        <v>54</v>
      </c>
      <c r="F778" s="30" t="s">
        <v>4568</v>
      </c>
      <c r="G778" s="47" t="str">
        <f t="shared" si="33"/>
        <v>David</v>
      </c>
      <c r="H778" s="49" t="s">
        <v>224</v>
      </c>
      <c r="I778" s="49" t="s">
        <v>66</v>
      </c>
      <c r="J778" s="47" t="str">
        <f t="shared" si="34"/>
        <v>Sim</v>
      </c>
      <c r="K778" s="54">
        <v>45713.0</v>
      </c>
      <c r="L778" s="55">
        <v>46164.0</v>
      </c>
      <c r="M778" s="32" t="s">
        <v>61</v>
      </c>
      <c r="N778" s="56">
        <v>0.012</v>
      </c>
      <c r="O778" s="23" t="s">
        <v>66</v>
      </c>
      <c r="P778" s="57">
        <v>0.0</v>
      </c>
      <c r="Q778" s="58" t="s">
        <v>8332</v>
      </c>
      <c r="R778" s="70"/>
      <c r="S778" s="32" t="s">
        <v>194</v>
      </c>
      <c r="T778" s="32" t="s">
        <v>8333</v>
      </c>
      <c r="U778" s="33">
        <v>5.562999970011E12</v>
      </c>
      <c r="V778" s="33" t="s">
        <v>8334</v>
      </c>
      <c r="W778" s="34">
        <v>30416.0</v>
      </c>
      <c r="X778" s="23" t="s">
        <v>54</v>
      </c>
      <c r="Y778" s="49" t="str">
        <f t="shared" si="22"/>
        <v>Encerrado</v>
      </c>
      <c r="Z778" s="62"/>
      <c r="AA778" s="32" t="s">
        <v>165</v>
      </c>
      <c r="AB778" s="64"/>
      <c r="AC778" s="79"/>
      <c r="AD778" s="54">
        <v>45713.0</v>
      </c>
      <c r="AE778" s="77">
        <v>4.9075100018138E13</v>
      </c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65"/>
      <c r="AQ778" s="65"/>
      <c r="AR778" s="65"/>
      <c r="AS778" s="65"/>
      <c r="AT778" s="65"/>
      <c r="AU778" s="65"/>
      <c r="AV778" s="65"/>
      <c r="AW778" s="65"/>
      <c r="AX778" s="65"/>
      <c r="AY778" s="65"/>
      <c r="AZ778" s="65"/>
      <c r="BA778" s="65"/>
      <c r="BB778" s="65"/>
      <c r="BC778" s="65"/>
      <c r="BD778" s="65"/>
      <c r="BE778" s="65"/>
      <c r="BF778" s="65"/>
      <c r="BG778" s="65"/>
      <c r="BH778" s="65">
        <v>100090.33</v>
      </c>
      <c r="BI778" s="65">
        <v>101295.74</v>
      </c>
      <c r="BJ778" s="65">
        <v>202595.89</v>
      </c>
      <c r="BK778" s="65">
        <v>204631.67</v>
      </c>
      <c r="BL778" s="65">
        <v>74625.11</v>
      </c>
      <c r="BM778" s="65">
        <v>75218.19</v>
      </c>
      <c r="BN778" s="65">
        <v>100435.7</v>
      </c>
      <c r="BO778" s="65">
        <v>101292.87</v>
      </c>
      <c r="BP778" s="65">
        <v>102499.2</v>
      </c>
      <c r="BQ778" s="65">
        <v>73069.36</v>
      </c>
      <c r="BR778" s="65">
        <v>143809.3</v>
      </c>
      <c r="BS778" s="65">
        <v>679.14</v>
      </c>
      <c r="BT778" s="88">
        <v>17.6</v>
      </c>
      <c r="BU778" s="65">
        <v>17.61</v>
      </c>
      <c r="BV778" s="65">
        <v>17.61</v>
      </c>
      <c r="BW778" s="90">
        <v>0.0</v>
      </c>
      <c r="BX778" s="90">
        <v>0.0</v>
      </c>
      <c r="BY778" s="90" t="str">
        <f t="array" ref="BY778">XLOOKUP(C778,'PL TOTAL D0'!$A$3:$A$1991,'PL TOTAL D0'!$C$3:$C$1991,"")</f>
        <v/>
      </c>
    </row>
    <row r="779" ht="15.75" customHeight="1">
      <c r="A779" s="50" t="s">
        <v>24</v>
      </c>
      <c r="B779" s="50" t="s">
        <v>8336</v>
      </c>
      <c r="C779" s="94" t="s">
        <v>8337</v>
      </c>
      <c r="D779" s="81" t="s">
        <v>255</v>
      </c>
      <c r="E779" s="95" t="s">
        <v>199</v>
      </c>
      <c r="F779" s="81" t="s">
        <v>257</v>
      </c>
      <c r="G779" s="47" t="str">
        <f t="shared" si="33"/>
        <v>David</v>
      </c>
      <c r="H779" s="49" t="s">
        <v>224</v>
      </c>
      <c r="I779" s="49" t="s">
        <v>66</v>
      </c>
      <c r="J779" s="47" t="str">
        <f t="shared" si="34"/>
        <v>Não</v>
      </c>
      <c r="K779" s="97">
        <v>45158.0</v>
      </c>
      <c r="L779" s="121">
        <v>45576.0</v>
      </c>
      <c r="M779" s="62" t="s">
        <v>209</v>
      </c>
      <c r="N779" s="98">
        <v>0.009</v>
      </c>
      <c r="O779" s="47" t="s">
        <v>35</v>
      </c>
      <c r="P779" s="99">
        <v>0.2</v>
      </c>
      <c r="Q779" s="58"/>
      <c r="R779" s="58" t="s">
        <v>3969</v>
      </c>
      <c r="S779" s="62" t="s">
        <v>194</v>
      </c>
      <c r="T779" s="32" t="s">
        <v>8338</v>
      </c>
      <c r="U779" s="33" t="s">
        <v>268</v>
      </c>
      <c r="V779" s="33"/>
      <c r="W779" s="33" t="s">
        <v>268</v>
      </c>
      <c r="X779" s="23" t="s">
        <v>199</v>
      </c>
      <c r="Y779" s="49" t="str">
        <f t="shared" si="22"/>
        <v>Encerrado</v>
      </c>
      <c r="Z779" s="62"/>
      <c r="AA779" s="62"/>
      <c r="AB779" s="64" t="s">
        <v>244</v>
      </c>
      <c r="AC779" s="79"/>
      <c r="AD779" s="54">
        <v>45158.0</v>
      </c>
      <c r="AE779" s="77">
        <v>4.9075100006008E13</v>
      </c>
      <c r="AF779" s="79"/>
      <c r="AG779" s="79"/>
      <c r="AH779" s="79"/>
      <c r="AI779" s="79"/>
      <c r="AJ779" s="79"/>
      <c r="AK779" s="79"/>
      <c r="AL779" s="79"/>
      <c r="AM779" s="79"/>
      <c r="AN779" s="79"/>
      <c r="AO779" s="65">
        <v>0.0</v>
      </c>
      <c r="AP779" s="65">
        <v>598103.92</v>
      </c>
      <c r="AQ779" s="65">
        <v>594234.29</v>
      </c>
      <c r="AR779" s="65">
        <v>594911.39</v>
      </c>
      <c r="AS779" s="65">
        <v>615008.45</v>
      </c>
      <c r="AT779" s="65">
        <v>649546.84</v>
      </c>
      <c r="AU779" s="65">
        <v>648672.86</v>
      </c>
      <c r="AV779" s="65">
        <v>652869.66</v>
      </c>
      <c r="AW779" s="65">
        <v>655720.22</v>
      </c>
      <c r="AX779" s="65">
        <v>650035.26</v>
      </c>
      <c r="AY779" s="65">
        <v>651486.1</v>
      </c>
      <c r="AZ779" s="65">
        <v>651018.6</v>
      </c>
      <c r="BA779" s="65">
        <v>0.0</v>
      </c>
      <c r="BB779" s="65">
        <v>0.0</v>
      </c>
      <c r="BC779" s="65">
        <v>0.0</v>
      </c>
      <c r="BD779" s="65">
        <v>0.0</v>
      </c>
      <c r="BE779" s="65">
        <v>0.0</v>
      </c>
      <c r="BF779" s="65">
        <v>0.0</v>
      </c>
      <c r="BG779" s="65">
        <v>0.0</v>
      </c>
      <c r="BH779" s="65">
        <v>0.0</v>
      </c>
      <c r="BI779" s="65">
        <v>0.0</v>
      </c>
      <c r="BJ779" s="65">
        <v>0.0</v>
      </c>
      <c r="BK779" s="65">
        <v>0.0</v>
      </c>
      <c r="BL779" s="65">
        <v>0.0</v>
      </c>
      <c r="BM779" s="65">
        <v>0.0</v>
      </c>
      <c r="BN779" s="65">
        <v>0.0</v>
      </c>
      <c r="BO779" s="65">
        <v>0.0</v>
      </c>
      <c r="BP779" s="65">
        <v>0.0</v>
      </c>
      <c r="BQ779" s="65">
        <v>0.0</v>
      </c>
      <c r="BR779" s="65">
        <v>0.0</v>
      </c>
      <c r="BS779" s="65">
        <v>0.0</v>
      </c>
      <c r="BT779" s="88">
        <v>0.0</v>
      </c>
      <c r="BU779" s="65">
        <v>0.0</v>
      </c>
      <c r="BV779" s="65">
        <v>0.0</v>
      </c>
      <c r="BW779" s="90">
        <v>0.0</v>
      </c>
      <c r="BX779" s="90">
        <v>0.0</v>
      </c>
      <c r="BY779" s="90" t="str">
        <f t="array" ref="BY779">XLOOKUP(C779,'PL TOTAL D0'!$A$3:$A$1991,'PL TOTAL D0'!$C$3:$C$1991,"")</f>
        <v/>
      </c>
    </row>
    <row r="780" ht="15.75" customHeight="1">
      <c r="A780" s="43" t="s">
        <v>24</v>
      </c>
      <c r="B780" s="43" t="s">
        <v>8339</v>
      </c>
      <c r="C780" s="94" t="s">
        <v>8340</v>
      </c>
      <c r="D780" s="30" t="s">
        <v>255</v>
      </c>
      <c r="E780" s="22" t="s">
        <v>199</v>
      </c>
      <c r="F780" s="30" t="s">
        <v>2093</v>
      </c>
      <c r="G780" s="47" t="str">
        <f t="shared" si="33"/>
        <v>David</v>
      </c>
      <c r="H780" s="49" t="s">
        <v>295</v>
      </c>
      <c r="I780" s="49" t="s">
        <v>382</v>
      </c>
      <c r="J780" s="47" t="str">
        <f t="shared" si="34"/>
        <v>Não</v>
      </c>
      <c r="K780" s="54">
        <v>45348.0</v>
      </c>
      <c r="L780" s="62"/>
      <c r="M780" s="32" t="s">
        <v>34</v>
      </c>
      <c r="N780" s="56">
        <v>0.014</v>
      </c>
      <c r="O780" s="23" t="s">
        <v>35</v>
      </c>
      <c r="P780" s="57">
        <v>0.1</v>
      </c>
      <c r="Q780" s="58"/>
      <c r="R780" s="70"/>
      <c r="S780" s="32" t="s">
        <v>194</v>
      </c>
      <c r="T780" s="177" t="s">
        <v>8341</v>
      </c>
      <c r="U780" s="33">
        <v>5.561999667007E12</v>
      </c>
      <c r="V780" s="33" t="s">
        <v>8342</v>
      </c>
      <c r="W780" s="34">
        <v>18866.0</v>
      </c>
      <c r="X780" s="23" t="s">
        <v>199</v>
      </c>
      <c r="Y780" s="49" t="str">
        <f t="shared" si="22"/>
        <v>Ativo</v>
      </c>
      <c r="Z780" s="62"/>
      <c r="AA780" s="62"/>
      <c r="AB780" s="64" t="s">
        <v>269</v>
      </c>
      <c r="AC780" s="79"/>
      <c r="AD780" s="54">
        <v>45348.0</v>
      </c>
      <c r="AE780" s="77">
        <v>4.9075100013381E13</v>
      </c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65">
        <v>100044.69</v>
      </c>
      <c r="AW780" s="65">
        <v>101250.66</v>
      </c>
      <c r="AX780" s="65">
        <v>101304.98</v>
      </c>
      <c r="AY780" s="65">
        <v>101692.8</v>
      </c>
      <c r="AZ780" s="65">
        <v>102424.3</v>
      </c>
      <c r="BA780" s="65">
        <v>103468.8</v>
      </c>
      <c r="BB780" s="65">
        <v>104408.47</v>
      </c>
      <c r="BC780" s="65">
        <v>104732.92</v>
      </c>
      <c r="BD780" s="65">
        <v>105097.09</v>
      </c>
      <c r="BE780" s="65">
        <v>105466.56</v>
      </c>
      <c r="BF780" s="65">
        <v>105682.99</v>
      </c>
      <c r="BG780" s="65">
        <v>106643.43</v>
      </c>
      <c r="BH780" s="65">
        <v>105905.97</v>
      </c>
      <c r="BI780" s="65">
        <v>107150.64</v>
      </c>
      <c r="BJ780" s="65">
        <v>108309.91</v>
      </c>
      <c r="BK780" s="65">
        <v>109397.35</v>
      </c>
      <c r="BL780" s="65">
        <v>32.98</v>
      </c>
      <c r="BM780" s="65">
        <v>33.41</v>
      </c>
      <c r="BN780" s="65">
        <v>33.41</v>
      </c>
      <c r="BO780" s="65">
        <v>33.41</v>
      </c>
      <c r="BP780" s="65">
        <v>33.41</v>
      </c>
      <c r="BQ780" s="65">
        <v>33.41</v>
      </c>
      <c r="BR780" s="65">
        <v>33.41</v>
      </c>
      <c r="BS780" s="65">
        <v>33.41</v>
      </c>
      <c r="BT780" s="88">
        <v>33.41</v>
      </c>
      <c r="BU780" s="65">
        <v>33.41</v>
      </c>
      <c r="BV780" s="65">
        <v>33.41</v>
      </c>
      <c r="BW780" s="90">
        <v>33.41</v>
      </c>
      <c r="BX780" s="90">
        <v>33.41</v>
      </c>
      <c r="BY780" s="90" t="str">
        <f t="array" ref="BY780">XLOOKUP(C780,'PL TOTAL D0'!$A$3:$A$1991,'PL TOTAL D0'!$C$3:$C$1991,"")</f>
        <v/>
      </c>
    </row>
    <row r="781" ht="15.75" customHeight="1">
      <c r="A781" s="43" t="s">
        <v>24</v>
      </c>
      <c r="B781" s="43" t="s">
        <v>8344</v>
      </c>
      <c r="C781" s="53" t="s">
        <v>3315</v>
      </c>
      <c r="D781" s="30" t="s">
        <v>3843</v>
      </c>
      <c r="E781" s="22" t="s">
        <v>54</v>
      </c>
      <c r="F781" s="30" t="s">
        <v>3844</v>
      </c>
      <c r="G781" s="47" t="str">
        <f t="shared" si="33"/>
        <v>David</v>
      </c>
      <c r="H781" s="49" t="s">
        <v>183</v>
      </c>
      <c r="I781" s="49" t="s">
        <v>66</v>
      </c>
      <c r="J781" s="47" t="str">
        <f t="shared" si="34"/>
        <v>Não</v>
      </c>
      <c r="K781" s="54">
        <v>46135.0</v>
      </c>
      <c r="L781" s="62"/>
      <c r="M781" s="32" t="s">
        <v>61</v>
      </c>
      <c r="N781" s="56">
        <v>0.012</v>
      </c>
      <c r="O781" s="23" t="s">
        <v>66</v>
      </c>
      <c r="P781" s="57">
        <v>0.0</v>
      </c>
      <c r="Q781" s="58"/>
      <c r="R781" s="70"/>
      <c r="S781" s="32" t="s">
        <v>194</v>
      </c>
      <c r="T781" s="177" t="s">
        <v>8345</v>
      </c>
      <c r="U781" s="33" t="s">
        <v>8346</v>
      </c>
      <c r="V781" s="33" t="s">
        <v>8347</v>
      </c>
      <c r="W781" s="34">
        <v>24275.0</v>
      </c>
      <c r="X781" s="23" t="s">
        <v>54</v>
      </c>
      <c r="Y781" s="49" t="str">
        <f t="shared" si="22"/>
        <v>Ativo</v>
      </c>
      <c r="Z781" s="62"/>
      <c r="AA781" s="32" t="s">
        <v>47</v>
      </c>
      <c r="AB781" s="64"/>
      <c r="AC781" s="79"/>
      <c r="AD781" s="54">
        <v>46203.0</v>
      </c>
      <c r="AE781" s="77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65"/>
      <c r="AW781" s="65"/>
      <c r="AX781" s="65"/>
      <c r="AY781" s="65"/>
      <c r="AZ781" s="65"/>
      <c r="BA781" s="65"/>
      <c r="BB781" s="65"/>
      <c r="BC781" s="65"/>
      <c r="BD781" s="65"/>
      <c r="BE781" s="65"/>
      <c r="BF781" s="65"/>
      <c r="BG781" s="65"/>
      <c r="BH781" s="65"/>
      <c r="BI781" s="65"/>
      <c r="BJ781" s="65"/>
      <c r="BK781" s="65"/>
      <c r="BL781" s="65"/>
      <c r="BM781" s="65"/>
      <c r="BN781" s="65"/>
      <c r="BO781" s="65"/>
      <c r="BP781" s="65"/>
      <c r="BQ781" s="65"/>
      <c r="BR781" s="65"/>
      <c r="BS781" s="65"/>
      <c r="BT781" s="88"/>
      <c r="BU781" s="65"/>
      <c r="BV781" s="65">
        <v>100137.0</v>
      </c>
      <c r="BW781" s="90">
        <v>101284.1</v>
      </c>
      <c r="BX781" s="90">
        <v>102337.06</v>
      </c>
      <c r="BY781" s="90">
        <f t="array" ref="BY781">XLOOKUP(C781,'PL TOTAL D0'!$A$3:$A$1991,'PL TOTAL D0'!$C$3:$C$1991,"")</f>
        <v>103375.14</v>
      </c>
    </row>
    <row r="782" ht="15.75" customHeight="1">
      <c r="A782" s="43" t="s">
        <v>24</v>
      </c>
      <c r="B782" s="43" t="s">
        <v>8349</v>
      </c>
      <c r="C782" s="94" t="s">
        <v>8350</v>
      </c>
      <c r="D782" s="30" t="s">
        <v>120</v>
      </c>
      <c r="E782" s="22" t="s">
        <v>199</v>
      </c>
      <c r="F782" s="30" t="s">
        <v>1914</v>
      </c>
      <c r="G782" s="47" t="str">
        <f t="shared" si="33"/>
        <v>David</v>
      </c>
      <c r="H782" s="49" t="s">
        <v>224</v>
      </c>
      <c r="I782" s="49" t="s">
        <v>66</v>
      </c>
      <c r="J782" s="47" t="str">
        <f t="shared" si="34"/>
        <v>Não</v>
      </c>
      <c r="K782" s="54">
        <v>45043.0</v>
      </c>
      <c r="L782" s="121">
        <v>45590.0</v>
      </c>
      <c r="M782" s="32" t="s">
        <v>4833</v>
      </c>
      <c r="N782" s="56">
        <v>0.007</v>
      </c>
      <c r="O782" s="23" t="s">
        <v>66</v>
      </c>
      <c r="P782" s="57">
        <v>0.0</v>
      </c>
      <c r="Q782" s="58"/>
      <c r="R782" s="58" t="s">
        <v>8352</v>
      </c>
      <c r="S782" s="32" t="s">
        <v>194</v>
      </c>
      <c r="T782" s="177" t="s">
        <v>8353</v>
      </c>
      <c r="U782" s="33" t="s">
        <v>268</v>
      </c>
      <c r="V782" s="33"/>
      <c r="W782" s="33" t="s">
        <v>268</v>
      </c>
      <c r="X782" s="23" t="s">
        <v>199</v>
      </c>
      <c r="Y782" s="49" t="str">
        <f t="shared" si="22"/>
        <v>Encerrado</v>
      </c>
      <c r="Z782" s="62"/>
      <c r="AA782" s="62"/>
      <c r="AB782" s="64"/>
      <c r="AC782" s="79"/>
      <c r="AD782" s="54"/>
      <c r="AE782" s="77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65"/>
      <c r="AW782" s="65"/>
      <c r="AX782" s="65"/>
      <c r="AY782" s="65"/>
      <c r="AZ782" s="65"/>
      <c r="BA782" s="65"/>
      <c r="BB782" s="65"/>
      <c r="BC782" s="65"/>
      <c r="BD782" s="65"/>
      <c r="BE782" s="65"/>
      <c r="BF782" s="65"/>
      <c r="BG782" s="65"/>
      <c r="BH782" s="65">
        <v>0.0</v>
      </c>
      <c r="BI782" s="65">
        <v>0.0</v>
      </c>
      <c r="BJ782" s="65">
        <v>0.0</v>
      </c>
      <c r="BK782" s="65">
        <v>0.0</v>
      </c>
      <c r="BL782" s="65">
        <v>0.0</v>
      </c>
      <c r="BM782" s="65">
        <v>0.0</v>
      </c>
      <c r="BN782" s="65">
        <v>0.0</v>
      </c>
      <c r="BO782" s="65">
        <v>0.0</v>
      </c>
      <c r="BP782" s="65">
        <v>0.0</v>
      </c>
      <c r="BQ782" s="65">
        <v>0.0</v>
      </c>
      <c r="BR782" s="65">
        <v>0.0</v>
      </c>
      <c r="BS782" s="65">
        <v>0.0</v>
      </c>
      <c r="BT782" s="88">
        <v>0.0</v>
      </c>
      <c r="BU782" s="65">
        <v>0.0</v>
      </c>
      <c r="BV782" s="65">
        <v>0.0</v>
      </c>
      <c r="BW782" s="90">
        <v>0.0</v>
      </c>
      <c r="BX782" s="90">
        <v>0.0</v>
      </c>
      <c r="BY782" s="90" t="str">
        <f t="array" ref="BY782">XLOOKUP(C782,'PL TOTAL D0'!$A$3:$A$1991,'PL TOTAL D0'!$C$3:$C$1991,"")</f>
        <v/>
      </c>
    </row>
    <row r="783" ht="15.75" customHeight="1">
      <c r="A783" s="50" t="s">
        <v>24</v>
      </c>
      <c r="B783" s="50" t="s">
        <v>8354</v>
      </c>
      <c r="C783" s="94" t="s">
        <v>8355</v>
      </c>
      <c r="D783" s="81" t="s">
        <v>120</v>
      </c>
      <c r="E783" s="95" t="s">
        <v>475</v>
      </c>
      <c r="F783" s="81" t="s">
        <v>1658</v>
      </c>
      <c r="G783" s="47" t="str">
        <f t="shared" si="33"/>
        <v>David</v>
      </c>
      <c r="H783" s="49" t="s">
        <v>224</v>
      </c>
      <c r="I783" s="49" t="s">
        <v>66</v>
      </c>
      <c r="J783" s="47" t="str">
        <f t="shared" si="34"/>
        <v>Não</v>
      </c>
      <c r="K783" s="97">
        <v>44973.0</v>
      </c>
      <c r="L783" s="55">
        <v>45539.0</v>
      </c>
      <c r="M783" s="62" t="s">
        <v>209</v>
      </c>
      <c r="N783" s="98">
        <v>0.015</v>
      </c>
      <c r="O783" s="47" t="s">
        <v>35</v>
      </c>
      <c r="P783" s="99">
        <v>0.1</v>
      </c>
      <c r="Q783" s="58"/>
      <c r="R783" s="70"/>
      <c r="S783" s="62" t="s">
        <v>194</v>
      </c>
      <c r="T783" s="32" t="s">
        <v>8357</v>
      </c>
      <c r="U783" s="33" t="s">
        <v>268</v>
      </c>
      <c r="V783" s="33"/>
      <c r="W783" s="33" t="s">
        <v>268</v>
      </c>
      <c r="X783" s="23" t="s">
        <v>475</v>
      </c>
      <c r="Y783" s="49" t="str">
        <f t="shared" si="22"/>
        <v>Encerrado</v>
      </c>
      <c r="Z783" s="62"/>
      <c r="AA783" s="62"/>
      <c r="AB783" s="64" t="s">
        <v>269</v>
      </c>
      <c r="AC783" s="79"/>
      <c r="AD783" s="54">
        <v>44973.0</v>
      </c>
      <c r="AE783" s="77">
        <v>4.9075100010277E13</v>
      </c>
      <c r="AF783" s="79"/>
      <c r="AG783" s="79"/>
      <c r="AH783" s="79"/>
      <c r="AI783" s="65">
        <v>0.0</v>
      </c>
      <c r="AJ783" s="65">
        <v>30166.52</v>
      </c>
      <c r="AK783" s="65">
        <v>32411.69</v>
      </c>
      <c r="AL783" s="65">
        <v>34582.67</v>
      </c>
      <c r="AM783" s="65">
        <v>37421.92</v>
      </c>
      <c r="AN783" s="65">
        <v>40114.94</v>
      </c>
      <c r="AO783" s="65">
        <v>40553.65</v>
      </c>
      <c r="AP783" s="65">
        <v>40571.92</v>
      </c>
      <c r="AQ783" s="65">
        <v>40649.3</v>
      </c>
      <c r="AR783" s="65">
        <v>40627.37</v>
      </c>
      <c r="AS783" s="65">
        <v>41061.6</v>
      </c>
      <c r="AT783" s="65">
        <v>41826.03</v>
      </c>
      <c r="AU783" s="65">
        <v>41287.2</v>
      </c>
      <c r="AV783" s="65">
        <v>41549.16</v>
      </c>
      <c r="AW783" s="65">
        <v>41967.58</v>
      </c>
      <c r="AX783" s="65">
        <v>41272.03</v>
      </c>
      <c r="AY783" s="65">
        <v>41221.46</v>
      </c>
      <c r="AZ783" s="65">
        <v>41425.75</v>
      </c>
      <c r="BA783" s="65">
        <v>41953.47</v>
      </c>
      <c r="BB783" s="65">
        <v>42334.19</v>
      </c>
      <c r="BC783" s="65">
        <v>0.0</v>
      </c>
      <c r="BD783" s="65">
        <v>0.0</v>
      </c>
      <c r="BE783" s="65">
        <v>0.0</v>
      </c>
      <c r="BF783" s="65">
        <v>0.0</v>
      </c>
      <c r="BG783" s="65">
        <v>0.0</v>
      </c>
      <c r="BH783" s="65">
        <v>0.0</v>
      </c>
      <c r="BI783" s="65">
        <v>0.0</v>
      </c>
      <c r="BJ783" s="65">
        <v>0.0</v>
      </c>
      <c r="BK783" s="65">
        <v>0.0</v>
      </c>
      <c r="BL783" s="65">
        <v>0.0</v>
      </c>
      <c r="BM783" s="65">
        <v>0.0</v>
      </c>
      <c r="BN783" s="65">
        <v>0.0</v>
      </c>
      <c r="BO783" s="65">
        <v>0.0</v>
      </c>
      <c r="BP783" s="65">
        <v>0.0</v>
      </c>
      <c r="BQ783" s="65">
        <v>0.0</v>
      </c>
      <c r="BR783" s="65">
        <v>0.0</v>
      </c>
      <c r="BS783" s="65">
        <v>0.0</v>
      </c>
      <c r="BT783" s="88">
        <v>0.0</v>
      </c>
      <c r="BU783" s="65">
        <v>0.0</v>
      </c>
      <c r="BV783" s="65">
        <v>0.0</v>
      </c>
      <c r="BW783" s="90">
        <v>0.0</v>
      </c>
      <c r="BX783" s="90">
        <v>0.0</v>
      </c>
      <c r="BY783" s="90" t="str">
        <f t="array" ref="BY783">XLOOKUP(C783,'PL TOTAL D0'!$A$3:$A$1991,'PL TOTAL D0'!$C$3:$C$1991,"")</f>
        <v/>
      </c>
    </row>
    <row r="784" ht="15.75" customHeight="1">
      <c r="A784" s="50" t="s">
        <v>24</v>
      </c>
      <c r="B784" s="43" t="s">
        <v>8358</v>
      </c>
      <c r="C784" s="94" t="s">
        <v>8359</v>
      </c>
      <c r="D784" s="30" t="s">
        <v>120</v>
      </c>
      <c r="E784" s="22" t="s">
        <v>199</v>
      </c>
      <c r="F784" s="30" t="s">
        <v>290</v>
      </c>
      <c r="G784" s="47" t="str">
        <f t="shared" si="33"/>
        <v>David</v>
      </c>
      <c r="H784" s="49" t="s">
        <v>295</v>
      </c>
      <c r="I784" s="49" t="s">
        <v>756</v>
      </c>
      <c r="J784" s="47" t="str">
        <f t="shared" si="34"/>
        <v>Não</v>
      </c>
      <c r="K784" s="54">
        <v>45617.0</v>
      </c>
      <c r="L784" s="55"/>
      <c r="M784" s="32" t="s">
        <v>61</v>
      </c>
      <c r="N784" s="56">
        <v>0.0</v>
      </c>
      <c r="O784" s="23" t="s">
        <v>66</v>
      </c>
      <c r="P784" s="57">
        <v>0.0</v>
      </c>
      <c r="Q784" s="58"/>
      <c r="R784" s="70"/>
      <c r="S784" s="32" t="s">
        <v>194</v>
      </c>
      <c r="T784" s="32" t="s">
        <v>8360</v>
      </c>
      <c r="U784" s="33">
        <v>5.561981212666E12</v>
      </c>
      <c r="V784" s="33" t="s">
        <v>8361</v>
      </c>
      <c r="W784" s="34">
        <v>35078.0</v>
      </c>
      <c r="X784" s="23" t="s">
        <v>199</v>
      </c>
      <c r="Y784" s="49" t="str">
        <f t="shared" si="22"/>
        <v>Ativo</v>
      </c>
      <c r="Z784" s="62"/>
      <c r="AA784" s="32" t="s">
        <v>107</v>
      </c>
      <c r="AB784" s="64"/>
      <c r="AC784" s="79"/>
      <c r="AD784" s="54">
        <v>45617.0</v>
      </c>
      <c r="AE784" s="77">
        <v>4.9075100016313E13</v>
      </c>
      <c r="AF784" s="79"/>
      <c r="AG784" s="79"/>
      <c r="AH784" s="79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  <c r="AT784" s="65"/>
      <c r="AU784" s="65"/>
      <c r="AV784" s="65"/>
      <c r="AW784" s="65"/>
      <c r="AX784" s="65"/>
      <c r="AY784" s="65"/>
      <c r="AZ784" s="65"/>
      <c r="BA784" s="65"/>
      <c r="BB784" s="65"/>
      <c r="BC784" s="65"/>
      <c r="BD784" s="65"/>
      <c r="BE784" s="65">
        <v>0.0</v>
      </c>
      <c r="BF784" s="65">
        <v>0.0</v>
      </c>
      <c r="BG784" s="65">
        <v>0.0</v>
      </c>
      <c r="BH784" s="65">
        <v>0.0</v>
      </c>
      <c r="BI784" s="65">
        <v>0.0</v>
      </c>
      <c r="BJ784" s="65">
        <v>0.0</v>
      </c>
      <c r="BK784" s="65">
        <v>0.0</v>
      </c>
      <c r="BL784" s="65">
        <v>0.0</v>
      </c>
      <c r="BM784" s="65">
        <v>0.0</v>
      </c>
      <c r="BN784" s="65">
        <v>0.0</v>
      </c>
      <c r="BO784" s="65">
        <v>0.0</v>
      </c>
      <c r="BP784" s="65">
        <v>0.0</v>
      </c>
      <c r="BQ784" s="65">
        <v>0.0</v>
      </c>
      <c r="BR784" s="65">
        <v>0.0</v>
      </c>
      <c r="BS784" s="65">
        <v>0.0</v>
      </c>
      <c r="BT784" s="88">
        <v>0.0</v>
      </c>
      <c r="BU784" s="65">
        <v>0.0</v>
      </c>
      <c r="BV784" s="65">
        <v>0.0</v>
      </c>
      <c r="BW784" s="90">
        <v>0.0</v>
      </c>
      <c r="BX784" s="90">
        <v>0.0</v>
      </c>
      <c r="BY784" s="90" t="str">
        <f t="array" ref="BY784">XLOOKUP(C784,'PL TOTAL D0'!$A$3:$A$1991,'PL TOTAL D0'!$C$3:$C$1991,"")</f>
        <v/>
      </c>
    </row>
    <row r="785" ht="15.75" customHeight="1">
      <c r="A785" s="50" t="s">
        <v>24</v>
      </c>
      <c r="B785" s="43" t="s">
        <v>8363</v>
      </c>
      <c r="C785" s="94" t="s">
        <v>8364</v>
      </c>
      <c r="D785" s="30" t="s">
        <v>210</v>
      </c>
      <c r="E785" s="22" t="s">
        <v>199</v>
      </c>
      <c r="F785" s="30" t="s">
        <v>275</v>
      </c>
      <c r="G785" s="47" t="str">
        <f t="shared" si="33"/>
        <v>David</v>
      </c>
      <c r="H785" s="49" t="s">
        <v>295</v>
      </c>
      <c r="I785" s="49" t="s">
        <v>447</v>
      </c>
      <c r="J785" s="47" t="str">
        <f t="shared" si="34"/>
        <v>Não</v>
      </c>
      <c r="K785" s="54">
        <v>45705.0</v>
      </c>
      <c r="L785" s="55"/>
      <c r="M785" s="32" t="s">
        <v>201</v>
      </c>
      <c r="N785" s="56">
        <v>0.0</v>
      </c>
      <c r="O785" s="23" t="s">
        <v>66</v>
      </c>
      <c r="P785" s="57">
        <v>0.0</v>
      </c>
      <c r="Q785" s="58"/>
      <c r="R785" s="70"/>
      <c r="S785" s="32" t="s">
        <v>234</v>
      </c>
      <c r="T785" s="32" t="s">
        <v>8365</v>
      </c>
      <c r="U785" s="33">
        <v>5.561991797179E12</v>
      </c>
      <c r="V785" s="33" t="s">
        <v>8366</v>
      </c>
      <c r="W785" s="34">
        <v>45691.0</v>
      </c>
      <c r="X785" s="23" t="s">
        <v>199</v>
      </c>
      <c r="Y785" s="49" t="str">
        <f t="shared" si="22"/>
        <v>Ativo</v>
      </c>
      <c r="Z785" s="62"/>
      <c r="AA785" s="32" t="s">
        <v>107</v>
      </c>
      <c r="AB785" s="64"/>
      <c r="AC785" s="79"/>
      <c r="AD785" s="54">
        <v>45705.0</v>
      </c>
      <c r="AE785" s="77">
        <v>4.9075100018261E13</v>
      </c>
      <c r="AF785" s="79"/>
      <c r="AG785" s="79"/>
      <c r="AH785" s="79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  <c r="AT785" s="65"/>
      <c r="AU785" s="65"/>
      <c r="AV785" s="65"/>
      <c r="AW785" s="65"/>
      <c r="AX785" s="65"/>
      <c r="AY785" s="65"/>
      <c r="AZ785" s="65"/>
      <c r="BA785" s="65"/>
      <c r="BB785" s="65"/>
      <c r="BC785" s="65"/>
      <c r="BD785" s="65"/>
      <c r="BE785" s="65"/>
      <c r="BF785" s="65"/>
      <c r="BG785" s="65"/>
      <c r="BH785" s="65">
        <v>0.0</v>
      </c>
      <c r="BI785" s="65">
        <v>0.0</v>
      </c>
      <c r="BJ785" s="65">
        <v>0.0</v>
      </c>
      <c r="BK785" s="65">
        <v>0.0</v>
      </c>
      <c r="BL785" s="65">
        <v>0.0</v>
      </c>
      <c r="BM785" s="65">
        <v>0.0</v>
      </c>
      <c r="BN785" s="65">
        <v>0.0</v>
      </c>
      <c r="BO785" s="65">
        <v>0.0</v>
      </c>
      <c r="BP785" s="65">
        <v>0.0</v>
      </c>
      <c r="BQ785" s="65">
        <v>0.0</v>
      </c>
      <c r="BR785" s="65">
        <v>0.0</v>
      </c>
      <c r="BS785" s="65">
        <v>0.0</v>
      </c>
      <c r="BT785" s="88">
        <v>0.0</v>
      </c>
      <c r="BU785" s="65">
        <v>0.0</v>
      </c>
      <c r="BV785" s="65">
        <v>0.0</v>
      </c>
      <c r="BW785" s="90">
        <v>0.0</v>
      </c>
      <c r="BX785" s="90">
        <v>0.0</v>
      </c>
      <c r="BY785" s="90" t="str">
        <f t="array" ref="BY785">XLOOKUP(C785,'PL TOTAL D0'!$A$3:$A$1991,'PL TOTAL D0'!$C$3:$C$1991,"")</f>
        <v/>
      </c>
    </row>
    <row r="786" ht="15.75" customHeight="1">
      <c r="A786" s="50" t="s">
        <v>24</v>
      </c>
      <c r="B786" s="368" t="s">
        <v>8368</v>
      </c>
      <c r="C786" s="94" t="s">
        <v>8369</v>
      </c>
      <c r="D786" s="81" t="s">
        <v>120</v>
      </c>
      <c r="E786" s="95" t="s">
        <v>54</v>
      </c>
      <c r="F786" s="81" t="s">
        <v>348</v>
      </c>
      <c r="G786" s="47" t="str">
        <f t="shared" si="33"/>
        <v>David</v>
      </c>
      <c r="H786" s="49" t="s">
        <v>224</v>
      </c>
      <c r="I786" s="49" t="s">
        <v>66</v>
      </c>
      <c r="J786" s="47" t="str">
        <f t="shared" si="34"/>
        <v>Não</v>
      </c>
      <c r="K786" s="97">
        <v>45253.0</v>
      </c>
      <c r="L786" s="55">
        <v>45922.0</v>
      </c>
      <c r="M786" s="62" t="s">
        <v>61</v>
      </c>
      <c r="N786" s="366">
        <v>0.012</v>
      </c>
      <c r="O786" s="81" t="s">
        <v>66</v>
      </c>
      <c r="P786" s="367">
        <v>0.0</v>
      </c>
      <c r="Q786" s="58"/>
      <c r="R786" s="58" t="s">
        <v>610</v>
      </c>
      <c r="S786" s="62" t="s">
        <v>194</v>
      </c>
      <c r="T786" s="32" t="s">
        <v>8371</v>
      </c>
      <c r="U786" s="33" t="s">
        <v>268</v>
      </c>
      <c r="V786" s="33"/>
      <c r="W786" s="33" t="s">
        <v>268</v>
      </c>
      <c r="X786" s="23" t="s">
        <v>54</v>
      </c>
      <c r="Y786" s="49" t="str">
        <f t="shared" si="22"/>
        <v>Encerrado</v>
      </c>
      <c r="Z786" s="62"/>
      <c r="AA786" s="62"/>
      <c r="AB786" s="64" t="s">
        <v>269</v>
      </c>
      <c r="AC786" s="79"/>
      <c r="AD786" s="54">
        <v>45253.0</v>
      </c>
      <c r="AE786" s="77">
        <v>4.9075100013012E13</v>
      </c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65">
        <v>0.0</v>
      </c>
      <c r="AT786" s="65">
        <v>2300.0</v>
      </c>
      <c r="AU786" s="65">
        <v>2300.0</v>
      </c>
      <c r="AV786" s="65">
        <v>2311.38</v>
      </c>
      <c r="AW786" s="65">
        <v>2325.06</v>
      </c>
      <c r="AX786" s="65">
        <v>2335.63</v>
      </c>
      <c r="AY786" s="65">
        <v>2354.04</v>
      </c>
      <c r="AZ786" s="65">
        <v>2364.72</v>
      </c>
      <c r="BA786" s="65">
        <v>2386.84</v>
      </c>
      <c r="BB786" s="65">
        <v>2407.22</v>
      </c>
      <c r="BC786" s="65">
        <v>2426.23</v>
      </c>
      <c r="BD786" s="65">
        <v>2449.56</v>
      </c>
      <c r="BE786" s="65">
        <v>2461.3</v>
      </c>
      <c r="BF786" s="65">
        <v>2466.74</v>
      </c>
      <c r="BG786" s="65">
        <v>2494.01</v>
      </c>
      <c r="BH786" s="65">
        <v>2526.72</v>
      </c>
      <c r="BI786" s="65">
        <v>7689.75</v>
      </c>
      <c r="BJ786" s="65">
        <v>7762.7</v>
      </c>
      <c r="BK786" s="65">
        <v>7820.24</v>
      </c>
      <c r="BL786" s="65">
        <v>0.0</v>
      </c>
      <c r="BM786" s="65">
        <v>0.0</v>
      </c>
      <c r="BN786" s="65">
        <v>0.0</v>
      </c>
      <c r="BO786" s="65">
        <v>0.0</v>
      </c>
      <c r="BP786" s="65">
        <v>0.0</v>
      </c>
      <c r="BQ786" s="65">
        <v>0.0</v>
      </c>
      <c r="BR786" s="65">
        <v>0.0</v>
      </c>
      <c r="BS786" s="65">
        <v>0.0</v>
      </c>
      <c r="BT786" s="88">
        <v>0.0</v>
      </c>
      <c r="BU786" s="65">
        <v>0.0</v>
      </c>
      <c r="BV786" s="65">
        <v>0.0</v>
      </c>
      <c r="BW786" s="90">
        <v>0.0</v>
      </c>
      <c r="BX786" s="90">
        <v>0.0</v>
      </c>
      <c r="BY786" s="90" t="str">
        <f t="array" ref="BY786">XLOOKUP(C786,'PL TOTAL D0'!$A$3:$A$1991,'PL TOTAL D0'!$C$3:$C$1991,"")</f>
        <v/>
      </c>
    </row>
    <row r="787" ht="15.75" customHeight="1">
      <c r="A787" s="50" t="s">
        <v>24</v>
      </c>
      <c r="B787" s="428" t="s">
        <v>8372</v>
      </c>
      <c r="C787" s="94" t="s">
        <v>8373</v>
      </c>
      <c r="D787" s="81" t="s">
        <v>120</v>
      </c>
      <c r="E787" s="95" t="s">
        <v>54</v>
      </c>
      <c r="F787" s="81" t="s">
        <v>348</v>
      </c>
      <c r="G787" s="47" t="str">
        <f t="shared" si="33"/>
        <v>David</v>
      </c>
      <c r="H787" s="49" t="s">
        <v>224</v>
      </c>
      <c r="I787" s="49" t="s">
        <v>66</v>
      </c>
      <c r="J787" s="47" t="str">
        <f t="shared" si="34"/>
        <v>Não</v>
      </c>
      <c r="K787" s="97">
        <v>45149.0</v>
      </c>
      <c r="L787" s="186">
        <v>45939.0</v>
      </c>
      <c r="M787" s="62" t="s">
        <v>61</v>
      </c>
      <c r="N787" s="98">
        <v>0.012</v>
      </c>
      <c r="O787" s="47" t="s">
        <v>66</v>
      </c>
      <c r="P787" s="99">
        <v>0.0</v>
      </c>
      <c r="Q787" s="58"/>
      <c r="R787" s="70"/>
      <c r="S787" s="62" t="s">
        <v>194</v>
      </c>
      <c r="T787" s="32" t="s">
        <v>8374</v>
      </c>
      <c r="U787" s="33" t="s">
        <v>268</v>
      </c>
      <c r="V787" s="33"/>
      <c r="W787" s="33" t="s">
        <v>268</v>
      </c>
      <c r="X787" s="23" t="s">
        <v>54</v>
      </c>
      <c r="Y787" s="49" t="str">
        <f t="shared" si="22"/>
        <v>Encerrado</v>
      </c>
      <c r="Z787" s="62"/>
      <c r="AA787" s="62"/>
      <c r="AB787" s="64" t="s">
        <v>269</v>
      </c>
      <c r="AC787" s="79"/>
      <c r="AD787" s="54">
        <v>45149.0</v>
      </c>
      <c r="AE787" s="77">
        <v>4.9075100012611E13</v>
      </c>
      <c r="AF787" s="79"/>
      <c r="AG787" s="79"/>
      <c r="AH787" s="79"/>
      <c r="AI787" s="79"/>
      <c r="AJ787" s="79"/>
      <c r="AK787" s="79"/>
      <c r="AL787" s="79"/>
      <c r="AM787" s="79"/>
      <c r="AN787" s="65">
        <v>0.0</v>
      </c>
      <c r="AO787" s="65">
        <v>0.0</v>
      </c>
      <c r="AP787" s="65">
        <v>12077.1</v>
      </c>
      <c r="AQ787" s="65">
        <v>12189.66</v>
      </c>
      <c r="AR787" s="65">
        <v>13818.94</v>
      </c>
      <c r="AS787" s="65">
        <v>13925.05</v>
      </c>
      <c r="AT787" s="65">
        <v>14038.81</v>
      </c>
      <c r="AU787" s="65">
        <v>14162.82</v>
      </c>
      <c r="AV787" s="65">
        <v>14265.7</v>
      </c>
      <c r="AW787" s="65">
        <v>15351.73</v>
      </c>
      <c r="AX787" s="65">
        <v>34293.2</v>
      </c>
      <c r="AY787" s="65">
        <v>34878.2</v>
      </c>
      <c r="AZ787" s="65">
        <v>50468.13</v>
      </c>
      <c r="BA787" s="65">
        <v>51320.23</v>
      </c>
      <c r="BB787" s="65">
        <v>51844.49</v>
      </c>
      <c r="BC787" s="65">
        <v>57082.91</v>
      </c>
      <c r="BD787" s="65">
        <v>57956.94</v>
      </c>
      <c r="BE787" s="65">
        <v>58858.32</v>
      </c>
      <c r="BF787" s="65">
        <v>59640.73</v>
      </c>
      <c r="BG787" s="65">
        <v>65714.51</v>
      </c>
      <c r="BH787" s="65">
        <v>66592.95</v>
      </c>
      <c r="BI787" s="65">
        <v>67424.3</v>
      </c>
      <c r="BJ787" s="65">
        <v>68562.4</v>
      </c>
      <c r="BK787" s="65">
        <v>69581.94</v>
      </c>
      <c r="BL787" s="65">
        <v>70253.65</v>
      </c>
      <c r="BM787" s="65">
        <v>0.0</v>
      </c>
      <c r="BN787" s="65">
        <v>0.0</v>
      </c>
      <c r="BO787" s="65">
        <v>0.0</v>
      </c>
      <c r="BP787" s="65">
        <v>0.0</v>
      </c>
      <c r="BQ787" s="65">
        <v>0.0</v>
      </c>
      <c r="BR787" s="65">
        <v>0.0</v>
      </c>
      <c r="BS787" s="65">
        <v>0.0</v>
      </c>
      <c r="BT787" s="88">
        <v>0.0</v>
      </c>
      <c r="BU787" s="65">
        <v>0.0</v>
      </c>
      <c r="BV787" s="65">
        <v>0.0</v>
      </c>
      <c r="BW787" s="90">
        <v>0.0</v>
      </c>
      <c r="BX787" s="90">
        <v>0.0</v>
      </c>
      <c r="BY787" s="90" t="str">
        <f t="array" ref="BY787">XLOOKUP(C787,'PL TOTAL D0'!$A$3:$A$1991,'PL TOTAL D0'!$C$3:$C$1991,"")</f>
        <v/>
      </c>
    </row>
    <row r="788" ht="15.75" customHeight="1">
      <c r="A788" s="50" t="s">
        <v>24</v>
      </c>
      <c r="B788" s="428" t="s">
        <v>8375</v>
      </c>
      <c r="C788" s="94" t="s">
        <v>8376</v>
      </c>
      <c r="D788" s="81" t="s">
        <v>120</v>
      </c>
      <c r="E788" s="95" t="s">
        <v>199</v>
      </c>
      <c r="F788" s="81" t="s">
        <v>8137</v>
      </c>
      <c r="G788" s="47" t="str">
        <f t="shared" si="33"/>
        <v>David</v>
      </c>
      <c r="H788" s="49" t="s">
        <v>295</v>
      </c>
      <c r="I788" s="49" t="s">
        <v>382</v>
      </c>
      <c r="J788" s="47" t="str">
        <f t="shared" si="34"/>
        <v>Não</v>
      </c>
      <c r="K788" s="97">
        <v>46023.0</v>
      </c>
      <c r="L788" s="186"/>
      <c r="M788" s="62" t="s">
        <v>390</v>
      </c>
      <c r="N788" s="98">
        <v>0.005</v>
      </c>
      <c r="O788" s="47" t="s">
        <v>66</v>
      </c>
      <c r="P788" s="99">
        <v>0.0</v>
      </c>
      <c r="Q788" s="58"/>
      <c r="R788" s="70"/>
      <c r="S788" s="32" t="s">
        <v>234</v>
      </c>
      <c r="T788" s="32" t="s">
        <v>8377</v>
      </c>
      <c r="U788" s="33" t="s">
        <v>8378</v>
      </c>
      <c r="V788" s="33" t="s">
        <v>8379</v>
      </c>
      <c r="W788" s="33">
        <v>45516.0</v>
      </c>
      <c r="X788" s="23" t="s">
        <v>1620</v>
      </c>
      <c r="Y788" s="49" t="str">
        <f t="shared" si="22"/>
        <v>Ativo</v>
      </c>
      <c r="Z788" s="62"/>
      <c r="AA788" s="62" t="s">
        <v>107</v>
      </c>
      <c r="AB788" s="64"/>
      <c r="AC788" s="79"/>
      <c r="AD788" s="54"/>
      <c r="AE788" s="77"/>
      <c r="AF788" s="79"/>
      <c r="AG788" s="79"/>
      <c r="AH788" s="79"/>
      <c r="AI788" s="79"/>
      <c r="AJ788" s="79"/>
      <c r="AK788" s="79"/>
      <c r="AL788" s="79"/>
      <c r="AM788" s="79"/>
      <c r="AN788" s="65"/>
      <c r="AO788" s="65"/>
      <c r="AP788" s="65"/>
      <c r="AQ788" s="65"/>
      <c r="AR788" s="65"/>
      <c r="AS788" s="65"/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  <c r="BD788" s="65"/>
      <c r="BE788" s="65"/>
      <c r="BF788" s="65"/>
      <c r="BG788" s="65"/>
      <c r="BH788" s="65"/>
      <c r="BI788" s="65"/>
      <c r="BJ788" s="65"/>
      <c r="BK788" s="65"/>
      <c r="BL788" s="65"/>
      <c r="BM788" s="65"/>
      <c r="BN788" s="65"/>
      <c r="BO788" s="65"/>
      <c r="BP788" s="65"/>
      <c r="BQ788" s="65"/>
      <c r="BR788" s="65"/>
      <c r="BS788" s="65">
        <v>0.0</v>
      </c>
      <c r="BT788" s="88">
        <v>0.0</v>
      </c>
      <c r="BU788" s="65">
        <v>0.0</v>
      </c>
      <c r="BV788" s="65">
        <v>0.0</v>
      </c>
      <c r="BW788" s="90">
        <v>0.0</v>
      </c>
      <c r="BX788" s="90">
        <v>0.0</v>
      </c>
      <c r="BY788" s="90" t="str">
        <f t="array" ref="BY788">XLOOKUP(C788,'PL TOTAL D0'!$A$3:$A$1991,'PL TOTAL D0'!$C$3:$C$1991,"")</f>
        <v/>
      </c>
    </row>
    <row r="789" ht="15.75" customHeight="1">
      <c r="A789" s="50" t="s">
        <v>24</v>
      </c>
      <c r="B789" s="428" t="s">
        <v>8382</v>
      </c>
      <c r="C789" s="53" t="s">
        <v>8383</v>
      </c>
      <c r="D789" s="30" t="s">
        <v>1257</v>
      </c>
      <c r="E789" s="22" t="s">
        <v>199</v>
      </c>
      <c r="F789" s="30" t="s">
        <v>1257</v>
      </c>
      <c r="G789" s="47" t="str">
        <f t="shared" si="33"/>
        <v>David</v>
      </c>
      <c r="H789" s="49" t="s">
        <v>183</v>
      </c>
      <c r="I789" s="49" t="s">
        <v>66</v>
      </c>
      <c r="J789" s="47" t="str">
        <f>IF(Q788=0,"Não","Sim")</f>
        <v>Não</v>
      </c>
      <c r="K789" s="362">
        <v>46139.0</v>
      </c>
      <c r="L789" s="186"/>
      <c r="M789" s="32" t="s">
        <v>1262</v>
      </c>
      <c r="N789" s="98"/>
      <c r="O789" s="23" t="s">
        <v>66</v>
      </c>
      <c r="P789" s="99">
        <v>0.0</v>
      </c>
      <c r="Q789" s="58"/>
      <c r="R789" s="70"/>
      <c r="S789" s="32" t="s">
        <v>234</v>
      </c>
      <c r="T789" s="32" t="s">
        <v>8384</v>
      </c>
      <c r="U789" s="33" t="s">
        <v>8385</v>
      </c>
      <c r="V789" s="33" t="s">
        <v>8386</v>
      </c>
      <c r="W789" s="48">
        <v>45392.0</v>
      </c>
      <c r="X789" s="23" t="s">
        <v>618</v>
      </c>
      <c r="Y789" s="49" t="str">
        <f t="shared" si="22"/>
        <v>Ativo</v>
      </c>
      <c r="Z789" s="62"/>
      <c r="AA789" s="32" t="s">
        <v>47</v>
      </c>
      <c r="AB789" s="64"/>
      <c r="AC789" s="79"/>
      <c r="AD789" s="54"/>
      <c r="AE789" s="77"/>
      <c r="AF789" s="79"/>
      <c r="AG789" s="79"/>
      <c r="AH789" s="79"/>
      <c r="AI789" s="79"/>
      <c r="AJ789" s="79"/>
      <c r="AK789" s="79"/>
      <c r="AL789" s="79"/>
      <c r="AM789" s="79"/>
      <c r="AN789" s="65"/>
      <c r="AO789" s="65"/>
      <c r="AP789" s="65"/>
      <c r="AQ789" s="65"/>
      <c r="AR789" s="65"/>
      <c r="AS789" s="65"/>
      <c r="AT789" s="65"/>
      <c r="AU789" s="65"/>
      <c r="AV789" s="65"/>
      <c r="AW789" s="65"/>
      <c r="AX789" s="65"/>
      <c r="AY789" s="65"/>
      <c r="AZ789" s="65"/>
      <c r="BA789" s="65"/>
      <c r="BB789" s="65"/>
      <c r="BC789" s="65"/>
      <c r="BD789" s="65"/>
      <c r="BE789" s="65"/>
      <c r="BF789" s="65"/>
      <c r="BG789" s="65"/>
      <c r="BH789" s="65"/>
      <c r="BI789" s="65"/>
      <c r="BJ789" s="65"/>
      <c r="BK789" s="65"/>
      <c r="BL789" s="65"/>
      <c r="BM789" s="65"/>
      <c r="BN789" s="65"/>
      <c r="BO789" s="65"/>
      <c r="BP789" s="65"/>
      <c r="BQ789" s="65"/>
      <c r="BR789" s="65"/>
      <c r="BS789" s="65"/>
      <c r="BT789" s="88"/>
      <c r="BU789" s="65"/>
      <c r="BV789" s="65">
        <v>0.0</v>
      </c>
      <c r="BW789" s="90">
        <v>0.0</v>
      </c>
      <c r="BX789" s="90">
        <v>0.0</v>
      </c>
      <c r="BY789" s="90" t="str">
        <f t="array" ref="BY789">XLOOKUP(C789,'PL TOTAL D0'!$A$3:$A$1991,'PL TOTAL D0'!$C$3:$C$1991,"")</f>
        <v/>
      </c>
    </row>
    <row r="790" ht="15.75" customHeight="1">
      <c r="A790" s="50" t="s">
        <v>24</v>
      </c>
      <c r="B790" s="50" t="s">
        <v>8387</v>
      </c>
      <c r="C790" s="94" t="s">
        <v>8388</v>
      </c>
      <c r="D790" s="81" t="s">
        <v>255</v>
      </c>
      <c r="E790" s="95" t="s">
        <v>199</v>
      </c>
      <c r="F790" s="81" t="s">
        <v>8389</v>
      </c>
      <c r="G790" s="47" t="str">
        <f t="shared" si="33"/>
        <v>David</v>
      </c>
      <c r="H790" s="49" t="s">
        <v>224</v>
      </c>
      <c r="I790" s="49" t="s">
        <v>66</v>
      </c>
      <c r="J790" s="47" t="str">
        <f t="shared" ref="J790:J868" si="35">IF(Q790=0,"Não","Sim")</f>
        <v>Não</v>
      </c>
      <c r="K790" s="97">
        <v>44973.0</v>
      </c>
      <c r="L790" s="55">
        <v>45572.0</v>
      </c>
      <c r="M790" s="32" t="s">
        <v>1678</v>
      </c>
      <c r="N790" s="98">
        <v>0.012</v>
      </c>
      <c r="O790" s="47" t="s">
        <v>66</v>
      </c>
      <c r="P790" s="99">
        <v>0.0</v>
      </c>
      <c r="Q790" s="58"/>
      <c r="R790" s="70"/>
      <c r="S790" s="62" t="s">
        <v>194</v>
      </c>
      <c r="T790" s="32" t="s">
        <v>6161</v>
      </c>
      <c r="U790" s="33" t="s">
        <v>268</v>
      </c>
      <c r="V790" s="33"/>
      <c r="W790" s="33" t="s">
        <v>268</v>
      </c>
      <c r="X790" s="23" t="s">
        <v>199</v>
      </c>
      <c r="Y790" s="49" t="str">
        <f t="shared" si="22"/>
        <v>Encerrado</v>
      </c>
      <c r="Z790" s="62"/>
      <c r="AA790" s="62"/>
      <c r="AB790" s="64" t="s">
        <v>2099</v>
      </c>
      <c r="AC790" s="79"/>
      <c r="AD790" s="54">
        <v>44973.0</v>
      </c>
      <c r="AE790" s="77">
        <v>4.9075100006652E13</v>
      </c>
      <c r="AF790" s="79"/>
      <c r="AG790" s="79"/>
      <c r="AH790" s="79"/>
      <c r="AI790" s="65">
        <v>0.0</v>
      </c>
      <c r="AJ790" s="65">
        <v>0.0</v>
      </c>
      <c r="AK790" s="65">
        <v>0.0</v>
      </c>
      <c r="AL790" s="65">
        <v>347988.69</v>
      </c>
      <c r="AM790" s="65">
        <v>357710.52</v>
      </c>
      <c r="AN790" s="65">
        <v>364672.27</v>
      </c>
      <c r="AO790" s="65">
        <v>370568.08</v>
      </c>
      <c r="AP790" s="65">
        <v>374390.39</v>
      </c>
      <c r="AQ790" s="65">
        <v>376886.21</v>
      </c>
      <c r="AR790" s="65">
        <v>376422.29</v>
      </c>
      <c r="AS790" s="65">
        <v>380757.32</v>
      </c>
      <c r="AT790" s="65">
        <v>386224.65</v>
      </c>
      <c r="AU790" s="65">
        <v>388515.52</v>
      </c>
      <c r="AV790" s="65">
        <v>393413.58</v>
      </c>
      <c r="AW790" s="65">
        <v>396652.54</v>
      </c>
      <c r="AX790" s="65">
        <v>396242.02</v>
      </c>
      <c r="AY790" s="65">
        <v>397246.1</v>
      </c>
      <c r="AZ790" s="65">
        <v>397970.7</v>
      </c>
      <c r="BA790" s="65">
        <v>402117.5</v>
      </c>
      <c r="BB790" s="65">
        <v>404374.9</v>
      </c>
      <c r="BC790" s="65">
        <v>0.0</v>
      </c>
      <c r="BD790" s="65">
        <v>0.0</v>
      </c>
      <c r="BE790" s="65">
        <v>0.0</v>
      </c>
      <c r="BF790" s="65">
        <v>0.0</v>
      </c>
      <c r="BG790" s="65">
        <v>0.0</v>
      </c>
      <c r="BH790" s="65">
        <v>0.0</v>
      </c>
      <c r="BI790" s="65">
        <v>0.0</v>
      </c>
      <c r="BJ790" s="65">
        <v>0.0</v>
      </c>
      <c r="BK790" s="65">
        <v>0.0</v>
      </c>
      <c r="BL790" s="65">
        <v>0.0</v>
      </c>
      <c r="BM790" s="65">
        <v>0.0</v>
      </c>
      <c r="BN790" s="65">
        <v>0.0</v>
      </c>
      <c r="BO790" s="65">
        <v>0.0</v>
      </c>
      <c r="BP790" s="65">
        <v>0.0</v>
      </c>
      <c r="BQ790" s="65">
        <v>0.0</v>
      </c>
      <c r="BR790" s="65">
        <v>0.0</v>
      </c>
      <c r="BS790" s="65">
        <v>0.0</v>
      </c>
      <c r="BT790" s="88">
        <v>0.0</v>
      </c>
      <c r="BU790" s="65">
        <v>0.0</v>
      </c>
      <c r="BV790" s="65">
        <v>0.0</v>
      </c>
      <c r="BW790" s="90">
        <v>0.0</v>
      </c>
      <c r="BX790" s="90">
        <v>0.0</v>
      </c>
      <c r="BY790" s="90" t="str">
        <f t="array" ref="BY790">XLOOKUP(C790,'PL TOTAL D0'!$A$3:$A$1991,'PL TOTAL D0'!$C$3:$C$1991,"")</f>
        <v/>
      </c>
    </row>
    <row r="791" ht="15.75" customHeight="1">
      <c r="A791" s="50" t="s">
        <v>24</v>
      </c>
      <c r="B791" s="50" t="s">
        <v>8391</v>
      </c>
      <c r="C791" s="94" t="s">
        <v>2971</v>
      </c>
      <c r="D791" s="30" t="s">
        <v>365</v>
      </c>
      <c r="E791" s="22" t="s">
        <v>199</v>
      </c>
      <c r="F791" s="30" t="s">
        <v>368</v>
      </c>
      <c r="G791" s="47" t="str">
        <f t="shared" si="33"/>
        <v>Gabriel</v>
      </c>
      <c r="H791" s="49" t="s">
        <v>183</v>
      </c>
      <c r="I791" s="49" t="s">
        <v>66</v>
      </c>
      <c r="J791" s="47" t="str">
        <f t="shared" si="35"/>
        <v>Não</v>
      </c>
      <c r="K791" s="54">
        <v>45449.0</v>
      </c>
      <c r="L791" s="62"/>
      <c r="M791" s="32" t="s">
        <v>34</v>
      </c>
      <c r="N791" s="56">
        <v>0.012</v>
      </c>
      <c r="O791" s="23" t="s">
        <v>35</v>
      </c>
      <c r="P791" s="57">
        <v>0.1</v>
      </c>
      <c r="Q791" s="58"/>
      <c r="R791" s="70"/>
      <c r="S791" s="32" t="s">
        <v>194</v>
      </c>
      <c r="T791" s="32" t="s">
        <v>8392</v>
      </c>
      <c r="U791" s="33">
        <v>5.551999857791E12</v>
      </c>
      <c r="V791" s="33" t="s">
        <v>8393</v>
      </c>
      <c r="W791" s="34">
        <v>25224.0</v>
      </c>
      <c r="X791" s="23" t="s">
        <v>199</v>
      </c>
      <c r="Y791" s="49" t="str">
        <f t="shared" si="22"/>
        <v>Ativo</v>
      </c>
      <c r="Z791" s="32"/>
      <c r="AA791" s="32" t="s">
        <v>47</v>
      </c>
      <c r="AB791" s="64" t="s">
        <v>269</v>
      </c>
      <c r="AC791" s="79"/>
      <c r="AD791" s="54">
        <v>45449.0</v>
      </c>
      <c r="AE791" s="77">
        <v>4.9075100015066E13</v>
      </c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65"/>
      <c r="AW791" s="65"/>
      <c r="AX791" s="65"/>
      <c r="AY791" s="65"/>
      <c r="AZ791" s="65">
        <v>389887.7</v>
      </c>
      <c r="BA791" s="65">
        <v>393810.0</v>
      </c>
      <c r="BB791" s="65">
        <v>391529.98</v>
      </c>
      <c r="BC791" s="65">
        <v>388360.53</v>
      </c>
      <c r="BD791" s="65">
        <v>388584.62</v>
      </c>
      <c r="BE791" s="65">
        <v>391881.99</v>
      </c>
      <c r="BF791" s="65">
        <v>386173.12</v>
      </c>
      <c r="BG791" s="65">
        <v>389889.55</v>
      </c>
      <c r="BH791" s="65">
        <v>398661.78</v>
      </c>
      <c r="BI791" s="65">
        <v>402886.83</v>
      </c>
      <c r="BJ791" s="65">
        <v>351154.64</v>
      </c>
      <c r="BK791" s="65">
        <v>351696.56</v>
      </c>
      <c r="BL791" s="65">
        <v>355067.78</v>
      </c>
      <c r="BM791" s="65">
        <v>335222.69</v>
      </c>
      <c r="BN791" s="65">
        <v>338337.0</v>
      </c>
      <c r="BO791" s="65">
        <v>341614.02</v>
      </c>
      <c r="BP791" s="65">
        <v>345356.9</v>
      </c>
      <c r="BQ791" s="65">
        <v>348402.0</v>
      </c>
      <c r="BR791" s="65">
        <v>389970.4</v>
      </c>
      <c r="BS791" s="65">
        <v>394135.92</v>
      </c>
      <c r="BT791" s="88">
        <v>396127.4</v>
      </c>
      <c r="BU791" s="65">
        <v>396797.1</v>
      </c>
      <c r="BV791" s="65">
        <v>395431.7</v>
      </c>
      <c r="BW791" s="90">
        <v>400843.6</v>
      </c>
      <c r="BX791" s="90">
        <v>399093.49</v>
      </c>
      <c r="BY791" s="90">
        <f t="array" ref="BY791">XLOOKUP(C791,'PL TOTAL D0'!$A$3:$A$1991,'PL TOTAL D0'!$C$3:$C$1991,"")</f>
        <v>400146.29</v>
      </c>
    </row>
    <row r="792" ht="15.75" customHeight="1">
      <c r="A792" s="43" t="s">
        <v>24</v>
      </c>
      <c r="B792" s="43" t="s">
        <v>8395</v>
      </c>
      <c r="C792" s="94" t="s">
        <v>2727</v>
      </c>
      <c r="D792" s="30" t="s">
        <v>120</v>
      </c>
      <c r="E792" s="22" t="s">
        <v>199</v>
      </c>
      <c r="F792" s="30" t="s">
        <v>212</v>
      </c>
      <c r="G792" s="47" t="str">
        <f t="shared" si="33"/>
        <v>Marcus</v>
      </c>
      <c r="H792" s="49" t="s">
        <v>183</v>
      </c>
      <c r="I792" s="49" t="s">
        <v>66</v>
      </c>
      <c r="J792" s="47" t="str">
        <f t="shared" si="35"/>
        <v>Sim</v>
      </c>
      <c r="K792" s="54">
        <v>45359.0</v>
      </c>
      <c r="L792" s="189"/>
      <c r="M792" s="32" t="s">
        <v>61</v>
      </c>
      <c r="N792" s="56">
        <v>0.012</v>
      </c>
      <c r="O792" s="23" t="s">
        <v>66</v>
      </c>
      <c r="P792" s="57">
        <v>0.0</v>
      </c>
      <c r="Q792" s="58" t="s">
        <v>8396</v>
      </c>
      <c r="R792" s="58" t="s">
        <v>8397</v>
      </c>
      <c r="S792" s="32" t="s">
        <v>194</v>
      </c>
      <c r="T792" s="22" t="s">
        <v>8398</v>
      </c>
      <c r="U792" s="33">
        <v>6.1981117706E10</v>
      </c>
      <c r="V792" s="33" t="s">
        <v>8399</v>
      </c>
      <c r="W792" s="34">
        <v>30538.0</v>
      </c>
      <c r="X792" s="23" t="s">
        <v>199</v>
      </c>
      <c r="Y792" s="49" t="str">
        <f t="shared" si="22"/>
        <v>Ativo</v>
      </c>
      <c r="Z792" s="62"/>
      <c r="AA792" s="62"/>
      <c r="AB792" s="64" t="s">
        <v>269</v>
      </c>
      <c r="AC792" s="79"/>
      <c r="AD792" s="54">
        <v>45359.0</v>
      </c>
      <c r="AE792" s="77">
        <v>4.9075100013861E13</v>
      </c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65"/>
      <c r="AW792" s="65">
        <v>350725.59</v>
      </c>
      <c r="AX792" s="65">
        <v>351793.23</v>
      </c>
      <c r="AY792" s="65">
        <v>354369.2</v>
      </c>
      <c r="AZ792" s="65">
        <v>424859.3</v>
      </c>
      <c r="BA792" s="65">
        <v>428565.0</v>
      </c>
      <c r="BB792" s="65">
        <v>432083.45</v>
      </c>
      <c r="BC792" s="65">
        <v>434756.91</v>
      </c>
      <c r="BD792" s="65">
        <v>438751.02</v>
      </c>
      <c r="BE792" s="65">
        <v>442186.11</v>
      </c>
      <c r="BF792" s="65">
        <v>445972.56</v>
      </c>
      <c r="BG792" s="65">
        <v>450230.62</v>
      </c>
      <c r="BH792" s="65">
        <v>454310.44</v>
      </c>
      <c r="BI792" s="65">
        <v>617462.55</v>
      </c>
      <c r="BJ792" s="65">
        <v>652060.07</v>
      </c>
      <c r="BK792" s="65">
        <v>709095.36</v>
      </c>
      <c r="BL792" s="65">
        <v>715276.41</v>
      </c>
      <c r="BM792" s="65">
        <v>723293.59</v>
      </c>
      <c r="BN792" s="65">
        <v>748167.6</v>
      </c>
      <c r="BO792" s="65">
        <v>820517.01</v>
      </c>
      <c r="BP792" s="65">
        <v>830672.4</v>
      </c>
      <c r="BQ792" s="65">
        <v>835027.0</v>
      </c>
      <c r="BR792" s="65">
        <v>851290.8</v>
      </c>
      <c r="BS792" s="65">
        <v>860692.02</v>
      </c>
      <c r="BT792" s="88">
        <v>867771.9</v>
      </c>
      <c r="BU792" s="65">
        <v>870485.9</v>
      </c>
      <c r="BV792" s="65">
        <v>896668.9</v>
      </c>
      <c r="BW792" s="90">
        <v>905656.8</v>
      </c>
      <c r="BX792" s="90">
        <v>913329.25</v>
      </c>
      <c r="BY792" s="90">
        <f t="array" ref="BY792">XLOOKUP(C792,'PL TOTAL D0'!$A$3:$A$1991,'PL TOTAL D0'!$C$3:$C$1991,"")</f>
        <v>924125.6</v>
      </c>
    </row>
    <row r="793" ht="15.75" customHeight="1">
      <c r="A793" s="50" t="s">
        <v>24</v>
      </c>
      <c r="B793" s="50" t="s">
        <v>6189</v>
      </c>
      <c r="C793" s="94" t="s">
        <v>8400</v>
      </c>
      <c r="D793" s="81" t="s">
        <v>120</v>
      </c>
      <c r="E793" s="95" t="s">
        <v>54</v>
      </c>
      <c r="F793" s="81" t="s">
        <v>348</v>
      </c>
      <c r="G793" s="47" t="str">
        <f t="shared" si="33"/>
        <v>David</v>
      </c>
      <c r="H793" s="49" t="s">
        <v>224</v>
      </c>
      <c r="I793" s="49" t="s">
        <v>66</v>
      </c>
      <c r="J793" s="47" t="str">
        <f t="shared" si="35"/>
        <v>Não</v>
      </c>
      <c r="K793" s="97">
        <v>45034.0</v>
      </c>
      <c r="L793" s="55">
        <v>45966.0</v>
      </c>
      <c r="M793" s="62" t="s">
        <v>61</v>
      </c>
      <c r="N793" s="98">
        <v>0.012</v>
      </c>
      <c r="O793" s="47" t="s">
        <v>66</v>
      </c>
      <c r="P793" s="99">
        <v>0.0</v>
      </c>
      <c r="Q793" s="58"/>
      <c r="R793" s="58" t="s">
        <v>610</v>
      </c>
      <c r="S793" s="62" t="s">
        <v>194</v>
      </c>
      <c r="T793" s="32" t="s">
        <v>6188</v>
      </c>
      <c r="U793" s="33" t="s">
        <v>268</v>
      </c>
      <c r="V793" s="33"/>
      <c r="W793" s="33" t="s">
        <v>268</v>
      </c>
      <c r="X793" s="23" t="s">
        <v>199</v>
      </c>
      <c r="Y793" s="49" t="str">
        <f t="shared" si="22"/>
        <v>Encerrado</v>
      </c>
      <c r="Z793" s="62"/>
      <c r="AA793" s="62"/>
      <c r="AB793" s="64" t="s">
        <v>269</v>
      </c>
      <c r="AC793" s="79"/>
      <c r="AD793" s="54">
        <v>45034.0</v>
      </c>
      <c r="AE793" s="77">
        <v>4.9075100008388E13</v>
      </c>
      <c r="AF793" s="79"/>
      <c r="AG793" s="79"/>
      <c r="AH793" s="79"/>
      <c r="AI793" s="79"/>
      <c r="AJ793" s="79"/>
      <c r="AK793" s="65">
        <v>0.0</v>
      </c>
      <c r="AL793" s="65">
        <v>114482.14</v>
      </c>
      <c r="AM793" s="65">
        <v>116324.12</v>
      </c>
      <c r="AN793" s="65">
        <v>117665.37</v>
      </c>
      <c r="AO793" s="65">
        <v>158063.24</v>
      </c>
      <c r="AP793" s="65">
        <v>158805.14</v>
      </c>
      <c r="AQ793" s="65">
        <v>159033.28</v>
      </c>
      <c r="AR793" s="65">
        <v>160346.51</v>
      </c>
      <c r="AS793" s="65">
        <v>162382.9</v>
      </c>
      <c r="AT793" s="65">
        <v>163655.53</v>
      </c>
      <c r="AU793" s="65">
        <v>164859.7</v>
      </c>
      <c r="AV793" s="65">
        <v>166549.19</v>
      </c>
      <c r="AW793" s="65">
        <v>167903.82</v>
      </c>
      <c r="AX793" s="65">
        <v>167832.6</v>
      </c>
      <c r="AY793" s="65">
        <v>170532.3</v>
      </c>
      <c r="AZ793" s="65">
        <v>120218.6</v>
      </c>
      <c r="BA793" s="65">
        <v>121668.6</v>
      </c>
      <c r="BB793" s="65">
        <v>69647.76</v>
      </c>
      <c r="BC793" s="65">
        <v>68843.35</v>
      </c>
      <c r="BD793" s="65">
        <v>69436.93</v>
      </c>
      <c r="BE793" s="65">
        <v>69945.51</v>
      </c>
      <c r="BF793" s="65">
        <v>70514.63</v>
      </c>
      <c r="BG793" s="65">
        <v>71206.69</v>
      </c>
      <c r="BH793" s="65">
        <v>101855.13</v>
      </c>
      <c r="BI793" s="65">
        <v>106139.6</v>
      </c>
      <c r="BJ793" s="65">
        <v>107183.57</v>
      </c>
      <c r="BK793" s="65">
        <v>139447.1</v>
      </c>
      <c r="BL793" s="65">
        <v>140756.29</v>
      </c>
      <c r="BM793" s="65">
        <v>0.0</v>
      </c>
      <c r="BN793" s="65">
        <v>0.0</v>
      </c>
      <c r="BO793" s="65">
        <v>0.0</v>
      </c>
      <c r="BP793" s="65">
        <v>0.0</v>
      </c>
      <c r="BQ793" s="65">
        <v>0.0</v>
      </c>
      <c r="BR793" s="65">
        <v>0.0</v>
      </c>
      <c r="BS793" s="65">
        <v>0.0</v>
      </c>
      <c r="BT793" s="88">
        <v>0.0</v>
      </c>
      <c r="BU793" s="65">
        <v>0.0</v>
      </c>
      <c r="BV793" s="65">
        <v>0.0</v>
      </c>
      <c r="BW793" s="90">
        <v>0.0</v>
      </c>
      <c r="BX793" s="90">
        <v>0.0</v>
      </c>
      <c r="BY793" s="90" t="str">
        <f t="array" ref="BY793">XLOOKUP(C793,'PL TOTAL D0'!$A$3:$A$1991,'PL TOTAL D0'!$C$3:$C$1991,"")</f>
        <v/>
      </c>
    </row>
    <row r="794" ht="15.75" customHeight="1">
      <c r="A794" s="50" t="s">
        <v>24</v>
      </c>
      <c r="B794" s="50" t="s">
        <v>6379</v>
      </c>
      <c r="C794" s="94" t="s">
        <v>8401</v>
      </c>
      <c r="D794" s="30" t="s">
        <v>89</v>
      </c>
      <c r="E794" s="95" t="s">
        <v>91</v>
      </c>
      <c r="F794" s="81" t="s">
        <v>193</v>
      </c>
      <c r="G794" s="47" t="str">
        <f t="shared" si="33"/>
        <v>Gabriel</v>
      </c>
      <c r="H794" s="49" t="s">
        <v>295</v>
      </c>
      <c r="I794" s="49" t="s">
        <v>694</v>
      </c>
      <c r="J794" s="47" t="str">
        <f t="shared" si="35"/>
        <v>Não</v>
      </c>
      <c r="K794" s="97">
        <v>45070.0</v>
      </c>
      <c r="L794" s="189"/>
      <c r="M794" s="62" t="s">
        <v>4465</v>
      </c>
      <c r="N794" s="98">
        <v>0.02</v>
      </c>
      <c r="O794" s="23" t="s">
        <v>233</v>
      </c>
      <c r="P794" s="99">
        <v>0.2</v>
      </c>
      <c r="Q794" s="58"/>
      <c r="R794" s="70"/>
      <c r="S794" s="62" t="s">
        <v>194</v>
      </c>
      <c r="T794" s="32" t="s">
        <v>6386</v>
      </c>
      <c r="U794" s="33">
        <v>5.543991617307E12</v>
      </c>
      <c r="V794" s="33" t="s">
        <v>8402</v>
      </c>
      <c r="W794" s="34">
        <v>28887.0</v>
      </c>
      <c r="X794" s="23" t="s">
        <v>221</v>
      </c>
      <c r="Y794" s="49" t="str">
        <f t="shared" si="22"/>
        <v>Ativo</v>
      </c>
      <c r="Z794" s="62"/>
      <c r="AA794" s="62"/>
      <c r="AB794" s="64" t="s">
        <v>269</v>
      </c>
      <c r="AC794" s="79"/>
      <c r="AD794" s="54">
        <v>45070.0</v>
      </c>
      <c r="AE794" s="77">
        <v>4.907510000926E13</v>
      </c>
      <c r="AF794" s="79"/>
      <c r="AG794" s="79"/>
      <c r="AH794" s="79"/>
      <c r="AI794" s="79"/>
      <c r="AJ794" s="79"/>
      <c r="AK794" s="79"/>
      <c r="AL794" s="65">
        <v>0.0</v>
      </c>
      <c r="AM794" s="65">
        <v>0.0</v>
      </c>
      <c r="AN794" s="65">
        <v>481579.68</v>
      </c>
      <c r="AO794" s="65">
        <v>479112.38</v>
      </c>
      <c r="AP794" s="65">
        <v>482826.85</v>
      </c>
      <c r="AQ794" s="65">
        <v>494486.85</v>
      </c>
      <c r="AR794" s="65">
        <v>491878.69</v>
      </c>
      <c r="AS794" s="65">
        <v>533565.37</v>
      </c>
      <c r="AT794" s="65">
        <v>585023.88</v>
      </c>
      <c r="AU794" s="65">
        <v>573373.79</v>
      </c>
      <c r="AV794" s="65">
        <v>575238.78</v>
      </c>
      <c r="AW794" s="65">
        <v>574607.37</v>
      </c>
      <c r="AX794" s="65">
        <v>559333.6</v>
      </c>
      <c r="AY794" s="65">
        <v>560456.7</v>
      </c>
      <c r="AZ794" s="65">
        <v>566993.1</v>
      </c>
      <c r="BA794" s="65">
        <v>589389.3</v>
      </c>
      <c r="BB794" s="65">
        <v>623454.29</v>
      </c>
      <c r="BC794" s="65">
        <v>617643.89</v>
      </c>
      <c r="BD794" s="65">
        <v>599490.24</v>
      </c>
      <c r="BE794" s="65">
        <v>686950.67</v>
      </c>
      <c r="BF794" s="65">
        <v>676547.54</v>
      </c>
      <c r="BG794" s="65">
        <v>704989.84</v>
      </c>
      <c r="BH794" s="65">
        <v>819302.97</v>
      </c>
      <c r="BI794" s="65">
        <v>839511.69</v>
      </c>
      <c r="BJ794" s="65">
        <v>428436.07</v>
      </c>
      <c r="BK794" s="65">
        <v>541532.43</v>
      </c>
      <c r="BL794" s="65">
        <v>575975.98</v>
      </c>
      <c r="BM794" s="65">
        <v>574162.38</v>
      </c>
      <c r="BN794" s="65">
        <v>588348.1</v>
      </c>
      <c r="BO794" s="65">
        <v>598866.52</v>
      </c>
      <c r="BP794" s="65">
        <v>608492.3</v>
      </c>
      <c r="BQ794" s="65">
        <v>621553.4</v>
      </c>
      <c r="BR794" s="65">
        <v>618532.1</v>
      </c>
      <c r="BS794" s="65">
        <v>544495.12</v>
      </c>
      <c r="BT794" s="88">
        <v>559741.1</v>
      </c>
      <c r="BU794" s="65">
        <v>562928.5</v>
      </c>
      <c r="BV794" s="65">
        <v>548912.4</v>
      </c>
      <c r="BW794" s="90">
        <v>537961.2</v>
      </c>
      <c r="BX794" s="90">
        <v>472902.88</v>
      </c>
      <c r="BY794" s="90" t="str">
        <f t="array" ref="BY794">XLOOKUP(C794,'PL TOTAL D0'!$A$3:$A$1991,'PL TOTAL D0'!$C$3:$C$1991,"")</f>
        <v/>
      </c>
    </row>
    <row r="795" ht="15.75" customHeight="1">
      <c r="A795" s="50" t="s">
        <v>24</v>
      </c>
      <c r="B795" s="43" t="s">
        <v>8403</v>
      </c>
      <c r="C795" s="53" t="s">
        <v>8404</v>
      </c>
      <c r="D795" s="30" t="s">
        <v>89</v>
      </c>
      <c r="E795" s="22" t="s">
        <v>91</v>
      </c>
      <c r="F795" s="30" t="s">
        <v>521</v>
      </c>
      <c r="G795" s="47" t="str">
        <f t="shared" si="33"/>
        <v>David</v>
      </c>
      <c r="H795" s="49" t="s">
        <v>183</v>
      </c>
      <c r="I795" s="49" t="s">
        <v>66</v>
      </c>
      <c r="J795" s="47" t="str">
        <f t="shared" si="35"/>
        <v>Não</v>
      </c>
      <c r="K795" s="54">
        <v>46146.0</v>
      </c>
      <c r="L795" s="189"/>
      <c r="M795" s="32" t="s">
        <v>557</v>
      </c>
      <c r="N795" s="56">
        <v>0.007</v>
      </c>
      <c r="O795" s="23" t="s">
        <v>66</v>
      </c>
      <c r="P795" s="57">
        <v>0.0</v>
      </c>
      <c r="Q795" s="58"/>
      <c r="R795" s="70"/>
      <c r="S795" s="32" t="s">
        <v>194</v>
      </c>
      <c r="T795" s="32" t="s">
        <v>8407</v>
      </c>
      <c r="U795" s="33" t="s">
        <v>8408</v>
      </c>
      <c r="V795" s="33" t="s">
        <v>8409</v>
      </c>
      <c r="W795" s="34">
        <v>30833.0</v>
      </c>
      <c r="X795" s="23" t="s">
        <v>221</v>
      </c>
      <c r="Y795" s="49" t="str">
        <f t="shared" si="22"/>
        <v>Ativo</v>
      </c>
      <c r="Z795" s="62"/>
      <c r="AA795" s="32" t="s">
        <v>165</v>
      </c>
      <c r="AB795" s="64"/>
      <c r="AC795" s="79"/>
      <c r="AD795" s="54"/>
      <c r="AE795" s="77"/>
      <c r="AF795" s="79"/>
      <c r="AG795" s="79"/>
      <c r="AH795" s="79"/>
      <c r="AI795" s="79"/>
      <c r="AJ795" s="79"/>
      <c r="AK795" s="79"/>
      <c r="AL795" s="65"/>
      <c r="AM795" s="65"/>
      <c r="AN795" s="65"/>
      <c r="AO795" s="65"/>
      <c r="AP795" s="65"/>
      <c r="AQ795" s="65"/>
      <c r="AR795" s="65"/>
      <c r="AS795" s="65"/>
      <c r="AT795" s="65"/>
      <c r="AU795" s="65"/>
      <c r="AV795" s="65"/>
      <c r="AW795" s="65"/>
      <c r="AX795" s="65"/>
      <c r="AY795" s="65"/>
      <c r="AZ795" s="65"/>
      <c r="BA795" s="65"/>
      <c r="BB795" s="65"/>
      <c r="BC795" s="65"/>
      <c r="BD795" s="65"/>
      <c r="BE795" s="65"/>
      <c r="BF795" s="65"/>
      <c r="BG795" s="65"/>
      <c r="BH795" s="65"/>
      <c r="BI795" s="65"/>
      <c r="BJ795" s="65"/>
      <c r="BK795" s="65"/>
      <c r="BL795" s="65"/>
      <c r="BM795" s="65"/>
      <c r="BN795" s="65"/>
      <c r="BO795" s="65"/>
      <c r="BP795" s="65"/>
      <c r="BQ795" s="65"/>
      <c r="BR795" s="65"/>
      <c r="BS795" s="65"/>
      <c r="BT795" s="88"/>
      <c r="BU795" s="65"/>
      <c r="BV795" s="65">
        <v>0.0</v>
      </c>
      <c r="BW795" s="90">
        <v>0.0</v>
      </c>
      <c r="BX795" s="90">
        <v>0.0</v>
      </c>
      <c r="BY795" s="90" t="str">
        <f t="array" ref="BY795">XLOOKUP(C795,'PL TOTAL D0'!$A$3:$A$1991,'PL TOTAL D0'!$C$3:$C$1991,"")</f>
        <v/>
      </c>
    </row>
    <row r="796" ht="15.75" customHeight="1">
      <c r="A796" s="50" t="s">
        <v>24</v>
      </c>
      <c r="B796" s="191" t="s">
        <v>1210</v>
      </c>
      <c r="C796" s="94" t="s">
        <v>8413</v>
      </c>
      <c r="D796" s="30" t="s">
        <v>89</v>
      </c>
      <c r="E796" s="95" t="s">
        <v>91</v>
      </c>
      <c r="F796" s="81" t="s">
        <v>193</v>
      </c>
      <c r="G796" s="47" t="str">
        <f t="shared" si="33"/>
        <v>David</v>
      </c>
      <c r="H796" s="49" t="s">
        <v>295</v>
      </c>
      <c r="I796" s="49" t="s">
        <v>382</v>
      </c>
      <c r="J796" s="47" t="str">
        <f t="shared" si="35"/>
        <v>Não</v>
      </c>
      <c r="K796" s="97">
        <v>45209.0</v>
      </c>
      <c r="L796" s="62"/>
      <c r="M796" s="62" t="s">
        <v>61</v>
      </c>
      <c r="N796" s="98">
        <v>0.012</v>
      </c>
      <c r="O796" s="47" t="s">
        <v>66</v>
      </c>
      <c r="P796" s="99">
        <v>0.0</v>
      </c>
      <c r="Q796" s="58"/>
      <c r="R796" s="635"/>
      <c r="S796" s="62" t="s">
        <v>194</v>
      </c>
      <c r="T796" s="32" t="s">
        <v>1211</v>
      </c>
      <c r="U796" s="33" t="s">
        <v>268</v>
      </c>
      <c r="V796" s="33"/>
      <c r="W796" s="33" t="s">
        <v>268</v>
      </c>
      <c r="X796" s="23" t="s">
        <v>221</v>
      </c>
      <c r="Y796" s="49" t="str">
        <f t="shared" si="22"/>
        <v>Inativo</v>
      </c>
      <c r="Z796" s="62"/>
      <c r="AA796" s="62"/>
      <c r="AB796" s="64" t="s">
        <v>269</v>
      </c>
      <c r="AC796" s="79"/>
      <c r="AD796" s="54">
        <v>45209.0</v>
      </c>
      <c r="AE796" s="77">
        <v>4.9075100012636E13</v>
      </c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65">
        <v>0.0</v>
      </c>
      <c r="AR796" s="65">
        <v>0.0</v>
      </c>
      <c r="AS796" s="65">
        <v>0.0</v>
      </c>
      <c r="AT796" s="65">
        <v>0.0</v>
      </c>
      <c r="AU796" s="65">
        <v>0.0</v>
      </c>
      <c r="AV796" s="65">
        <v>0.0</v>
      </c>
      <c r="AW796" s="65">
        <v>0.0</v>
      </c>
      <c r="AX796" s="65">
        <v>0.0</v>
      </c>
      <c r="AY796" s="65">
        <v>0.0</v>
      </c>
      <c r="AZ796" s="65">
        <v>0.0</v>
      </c>
      <c r="BA796" s="65">
        <v>0.0</v>
      </c>
      <c r="BB796" s="65">
        <v>0.0</v>
      </c>
      <c r="BC796" s="65">
        <v>0.0</v>
      </c>
      <c r="BD796" s="65">
        <v>0.0</v>
      </c>
      <c r="BE796" s="65">
        <v>0.0</v>
      </c>
      <c r="BF796" s="65">
        <v>0.0</v>
      </c>
      <c r="BG796" s="65">
        <v>0.0</v>
      </c>
      <c r="BH796" s="65">
        <v>0.0</v>
      </c>
      <c r="BI796" s="65">
        <v>0.0</v>
      </c>
      <c r="BJ796" s="65">
        <v>0.0</v>
      </c>
      <c r="BK796" s="65">
        <v>0.0</v>
      </c>
      <c r="BL796" s="65">
        <v>0.0</v>
      </c>
      <c r="BM796" s="65">
        <v>0.0</v>
      </c>
      <c r="BN796" s="65">
        <v>0.0</v>
      </c>
      <c r="BO796" s="65">
        <v>0.0</v>
      </c>
      <c r="BP796" s="65">
        <v>0.0</v>
      </c>
      <c r="BQ796" s="65">
        <v>0.0</v>
      </c>
      <c r="BR796" s="65">
        <v>0.0</v>
      </c>
      <c r="BS796" s="65">
        <v>0.0</v>
      </c>
      <c r="BT796" s="88">
        <v>0.0</v>
      </c>
      <c r="BU796" s="65">
        <v>0.0</v>
      </c>
      <c r="BV796" s="65">
        <v>0.0</v>
      </c>
      <c r="BW796" s="90">
        <v>0.0</v>
      </c>
      <c r="BX796" s="90">
        <v>0.0</v>
      </c>
      <c r="BY796" s="90" t="str">
        <f t="array" ref="BY796">XLOOKUP(C796,'PL TOTAL D0'!$A$3:$A$1991,'PL TOTAL D0'!$C$3:$C$1991,"")</f>
        <v/>
      </c>
    </row>
    <row r="797" ht="15.75" customHeight="1">
      <c r="A797" s="50" t="s">
        <v>24</v>
      </c>
      <c r="B797" s="50" t="s">
        <v>8415</v>
      </c>
      <c r="C797" s="94" t="s">
        <v>8416</v>
      </c>
      <c r="D797" s="81" t="s">
        <v>120</v>
      </c>
      <c r="E797" s="95" t="s">
        <v>199</v>
      </c>
      <c r="F797" s="30" t="s">
        <v>332</v>
      </c>
      <c r="G797" s="47" t="str">
        <f t="shared" si="33"/>
        <v>David</v>
      </c>
      <c r="H797" s="49" t="s">
        <v>295</v>
      </c>
      <c r="I797" s="49" t="s">
        <v>382</v>
      </c>
      <c r="J797" s="47" t="str">
        <f t="shared" si="35"/>
        <v>Não</v>
      </c>
      <c r="K797" s="97">
        <v>44911.0</v>
      </c>
      <c r="L797" s="62"/>
      <c r="M797" s="62" t="s">
        <v>231</v>
      </c>
      <c r="N797" s="98">
        <v>0.025</v>
      </c>
      <c r="O797" s="23" t="s">
        <v>233</v>
      </c>
      <c r="P797" s="99">
        <v>0.2</v>
      </c>
      <c r="Q797" s="58"/>
      <c r="R797" s="58" t="s">
        <v>8417</v>
      </c>
      <c r="S797" s="62" t="s">
        <v>194</v>
      </c>
      <c r="T797" s="32" t="s">
        <v>8418</v>
      </c>
      <c r="U797" s="33">
        <v>6.1992787473E10</v>
      </c>
      <c r="V797" s="33" t="s">
        <v>8419</v>
      </c>
      <c r="W797" s="34">
        <v>29785.0</v>
      </c>
      <c r="X797" s="23" t="s">
        <v>199</v>
      </c>
      <c r="Y797" s="49" t="str">
        <f t="shared" si="22"/>
        <v>Ativo</v>
      </c>
      <c r="Z797" s="62"/>
      <c r="AA797" s="62"/>
      <c r="AB797" s="64" t="s">
        <v>244</v>
      </c>
      <c r="AC797" s="79"/>
      <c r="AD797" s="54">
        <v>44911.0</v>
      </c>
      <c r="AE797" s="77">
        <v>4.9075100006131E13</v>
      </c>
      <c r="AF797" s="79"/>
      <c r="AG797" s="79"/>
      <c r="AH797" s="65">
        <v>14721.08</v>
      </c>
      <c r="AI797" s="65">
        <v>14932.95</v>
      </c>
      <c r="AJ797" s="65">
        <v>15016.78</v>
      </c>
      <c r="AK797" s="65">
        <v>15092.34</v>
      </c>
      <c r="AL797" s="65">
        <v>15185.7</v>
      </c>
      <c r="AM797" s="65">
        <v>5316.89</v>
      </c>
      <c r="AN797" s="65">
        <v>5698.8</v>
      </c>
      <c r="AO797" s="65">
        <v>5852.36</v>
      </c>
      <c r="AP797" s="65">
        <v>5390.36</v>
      </c>
      <c r="AQ797" s="65">
        <v>5272.2</v>
      </c>
      <c r="AR797" s="65">
        <v>5006.41</v>
      </c>
      <c r="AS797" s="65">
        <v>5366.84</v>
      </c>
      <c r="AT797" s="65">
        <v>5643.12</v>
      </c>
      <c r="AU797" s="65">
        <v>35.34</v>
      </c>
      <c r="AV797" s="65">
        <v>35.29</v>
      </c>
      <c r="AW797" s="65">
        <v>35.29</v>
      </c>
      <c r="AX797" s="65">
        <v>35.29</v>
      </c>
      <c r="AY797" s="65">
        <v>35.29</v>
      </c>
      <c r="AZ797" s="65">
        <v>35.29</v>
      </c>
      <c r="BA797" s="65">
        <v>35.29</v>
      </c>
      <c r="BB797" s="65">
        <v>35.29</v>
      </c>
      <c r="BC797" s="65">
        <v>35.29</v>
      </c>
      <c r="BD797" s="65">
        <v>35.29</v>
      </c>
      <c r="BE797" s="65">
        <v>35.29</v>
      </c>
      <c r="BF797" s="65">
        <v>35.29</v>
      </c>
      <c r="BG797" s="65">
        <v>35.29</v>
      </c>
      <c r="BH797" s="65">
        <v>35.29</v>
      </c>
      <c r="BI797" s="65">
        <v>35.29</v>
      </c>
      <c r="BJ797" s="65">
        <v>0.0</v>
      </c>
      <c r="BK797" s="65">
        <v>0.0</v>
      </c>
      <c r="BL797" s="65">
        <v>0.0</v>
      </c>
      <c r="BM797" s="65">
        <v>0.0</v>
      </c>
      <c r="BN797" s="65">
        <v>0.0</v>
      </c>
      <c r="BO797" s="65">
        <v>0.0</v>
      </c>
      <c r="BP797" s="65">
        <v>0.0</v>
      </c>
      <c r="BQ797" s="65">
        <v>0.0</v>
      </c>
      <c r="BR797" s="65">
        <v>0.0</v>
      </c>
      <c r="BS797" s="65">
        <v>0.0</v>
      </c>
      <c r="BT797" s="88">
        <v>0.0</v>
      </c>
      <c r="BU797" s="65">
        <v>0.0</v>
      </c>
      <c r="BV797" s="65">
        <v>0.0</v>
      </c>
      <c r="BW797" s="90">
        <v>0.0</v>
      </c>
      <c r="BX797" s="90">
        <v>0.0</v>
      </c>
      <c r="BY797" s="90" t="str">
        <f t="array" ref="BY797">XLOOKUP(C797,'PL TOTAL D0'!$A$3:$A$1991,'PL TOTAL D0'!$C$3:$C$1991,"")</f>
        <v/>
      </c>
    </row>
    <row r="798" ht="15.75" customHeight="1">
      <c r="A798" s="50" t="s">
        <v>24</v>
      </c>
      <c r="B798" s="50" t="s">
        <v>8415</v>
      </c>
      <c r="C798" s="94" t="s">
        <v>8421</v>
      </c>
      <c r="D798" s="81" t="s">
        <v>120</v>
      </c>
      <c r="E798" s="95" t="s">
        <v>199</v>
      </c>
      <c r="F798" s="81" t="s">
        <v>1914</v>
      </c>
      <c r="G798" s="47" t="str">
        <f t="shared" si="33"/>
        <v>David</v>
      </c>
      <c r="H798" s="49" t="s">
        <v>224</v>
      </c>
      <c r="I798" s="49" t="s">
        <v>66</v>
      </c>
      <c r="J798" s="47" t="str">
        <f t="shared" si="35"/>
        <v>Não</v>
      </c>
      <c r="K798" s="97">
        <v>44893.0</v>
      </c>
      <c r="L798" s="55">
        <v>45799.0</v>
      </c>
      <c r="M798" s="32" t="s">
        <v>209</v>
      </c>
      <c r="N798" s="56">
        <v>0.015</v>
      </c>
      <c r="O798" s="23" t="s">
        <v>35</v>
      </c>
      <c r="P798" s="57">
        <v>0.1</v>
      </c>
      <c r="Q798" s="58"/>
      <c r="R798" s="58" t="s">
        <v>610</v>
      </c>
      <c r="S798" s="62" t="s">
        <v>194</v>
      </c>
      <c r="T798" s="32" t="s">
        <v>8418</v>
      </c>
      <c r="U798" s="33" t="s">
        <v>268</v>
      </c>
      <c r="V798" s="33"/>
      <c r="W798" s="33" t="s">
        <v>268</v>
      </c>
      <c r="X798" s="23" t="s">
        <v>199</v>
      </c>
      <c r="Y798" s="49" t="str">
        <f t="shared" si="22"/>
        <v>Encerrado</v>
      </c>
      <c r="Z798" s="62"/>
      <c r="AA798" s="62"/>
      <c r="AB798" s="64" t="s">
        <v>244</v>
      </c>
      <c r="AC798" s="79"/>
      <c r="AD798" s="54">
        <v>44893.0</v>
      </c>
      <c r="AE798" s="77">
        <v>4.9075100006121E13</v>
      </c>
      <c r="AF798" s="79"/>
      <c r="AG798" s="79"/>
      <c r="AH798" s="65">
        <v>64596.85</v>
      </c>
      <c r="AI798" s="65">
        <v>65271.12</v>
      </c>
      <c r="AJ798" s="65">
        <v>65927.09</v>
      </c>
      <c r="AK798" s="65">
        <v>66639.29</v>
      </c>
      <c r="AL798" s="65">
        <v>67134.96</v>
      </c>
      <c r="AM798" s="65">
        <v>67680.42</v>
      </c>
      <c r="AN798" s="65">
        <v>68277.54</v>
      </c>
      <c r="AO798" s="65">
        <v>68884.14</v>
      </c>
      <c r="AP798" s="65">
        <v>79671.28</v>
      </c>
      <c r="AQ798" s="65">
        <v>80142.49</v>
      </c>
      <c r="AR798" s="65">
        <v>80771.11</v>
      </c>
      <c r="AS798" s="65">
        <v>76230.72</v>
      </c>
      <c r="AT798" s="65">
        <v>76436.55</v>
      </c>
      <c r="AU798" s="65">
        <v>77264.27</v>
      </c>
      <c r="AV798" s="65">
        <v>77705.23</v>
      </c>
      <c r="AW798" s="65">
        <v>98754.33</v>
      </c>
      <c r="AX798" s="65">
        <v>101220.8</v>
      </c>
      <c r="AY798" s="65">
        <v>115801.3</v>
      </c>
      <c r="AZ798" s="65">
        <v>113405.7</v>
      </c>
      <c r="BA798" s="65">
        <v>130141.3</v>
      </c>
      <c r="BB798" s="65">
        <v>131556.67</v>
      </c>
      <c r="BC798" s="65">
        <v>131535.86</v>
      </c>
      <c r="BD798" s="65">
        <v>140476.03</v>
      </c>
      <c r="BE798" s="65">
        <v>0.0</v>
      </c>
      <c r="BF798" s="65">
        <v>0.0</v>
      </c>
      <c r="BG798" s="65">
        <v>0.0</v>
      </c>
      <c r="BH798" s="65">
        <v>0.0</v>
      </c>
      <c r="BI798" s="65">
        <v>0.0</v>
      </c>
      <c r="BJ798" s="65">
        <v>0.0</v>
      </c>
      <c r="BK798" s="65">
        <v>0.0</v>
      </c>
      <c r="BL798" s="65">
        <v>0.0</v>
      </c>
      <c r="BM798" s="65">
        <v>0.0</v>
      </c>
      <c r="BN798" s="65">
        <v>0.0</v>
      </c>
      <c r="BO798" s="65">
        <v>0.0</v>
      </c>
      <c r="BP798" s="65">
        <v>0.0</v>
      </c>
      <c r="BQ798" s="65">
        <v>0.0</v>
      </c>
      <c r="BR798" s="65">
        <v>0.0</v>
      </c>
      <c r="BS798" s="65">
        <v>0.0</v>
      </c>
      <c r="BT798" s="88">
        <v>0.0</v>
      </c>
      <c r="BU798" s="65">
        <v>0.0</v>
      </c>
      <c r="BV798" s="65">
        <v>0.0</v>
      </c>
      <c r="BW798" s="90">
        <v>0.0</v>
      </c>
      <c r="BX798" s="90">
        <v>0.0</v>
      </c>
      <c r="BY798" s="90" t="str">
        <f t="array" ref="BY798">XLOOKUP(C798,'PL TOTAL D0'!$A$3:$A$1991,'PL TOTAL D0'!$C$3:$C$1991,"")</f>
        <v/>
      </c>
    </row>
    <row r="799" ht="15.75" customHeight="1">
      <c r="A799" s="50" t="s">
        <v>24</v>
      </c>
      <c r="B799" s="191" t="s">
        <v>1673</v>
      </c>
      <c r="C799" s="94" t="s">
        <v>8422</v>
      </c>
      <c r="D799" s="81" t="s">
        <v>120</v>
      </c>
      <c r="E799" s="95" t="s">
        <v>199</v>
      </c>
      <c r="F799" s="81" t="s">
        <v>803</v>
      </c>
      <c r="G799" s="47" t="str">
        <f t="shared" si="33"/>
        <v>David</v>
      </c>
      <c r="H799" s="49" t="s">
        <v>224</v>
      </c>
      <c r="I799" s="49" t="s">
        <v>66</v>
      </c>
      <c r="J799" s="47" t="str">
        <f t="shared" si="35"/>
        <v>Não</v>
      </c>
      <c r="K799" s="97">
        <v>45180.0</v>
      </c>
      <c r="L799" s="55">
        <v>45523.0</v>
      </c>
      <c r="M799" s="62" t="s">
        <v>231</v>
      </c>
      <c r="N799" s="98">
        <v>0.015</v>
      </c>
      <c r="O799" s="47" t="s">
        <v>66</v>
      </c>
      <c r="P799" s="99">
        <v>0.0</v>
      </c>
      <c r="Q799" s="58"/>
      <c r="R799" s="58" t="s">
        <v>8423</v>
      </c>
      <c r="S799" s="62" t="s">
        <v>194</v>
      </c>
      <c r="T799" s="32" t="s">
        <v>1675</v>
      </c>
      <c r="U799" s="33" t="s">
        <v>268</v>
      </c>
      <c r="V799" s="33"/>
      <c r="W799" s="33" t="s">
        <v>268</v>
      </c>
      <c r="X799" s="23" t="s">
        <v>199</v>
      </c>
      <c r="Y799" s="49" t="str">
        <f t="shared" si="22"/>
        <v>Encerrado</v>
      </c>
      <c r="Z799" s="62"/>
      <c r="AA799" s="62"/>
      <c r="AB799" s="64" t="s">
        <v>244</v>
      </c>
      <c r="AC799" s="79"/>
      <c r="AD799" s="54">
        <v>45180.0</v>
      </c>
      <c r="AE799" s="77">
        <v>4.9075100012628E13</v>
      </c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65">
        <v>0.0</v>
      </c>
      <c r="AQ799" s="65">
        <v>0.0</v>
      </c>
      <c r="AR799" s="65">
        <v>0.0</v>
      </c>
      <c r="AS799" s="65">
        <v>0.0</v>
      </c>
      <c r="AT799" s="65">
        <v>0.0</v>
      </c>
      <c r="AU799" s="65">
        <v>0.0</v>
      </c>
      <c r="AV799" s="65">
        <v>4216123.96</v>
      </c>
      <c r="AW799" s="65">
        <v>4295934.78</v>
      </c>
      <c r="AX799" s="65">
        <v>2815971.09</v>
      </c>
      <c r="AY799" s="65">
        <v>1780224.0</v>
      </c>
      <c r="AZ799" s="65">
        <v>1162155.0</v>
      </c>
      <c r="BA799" s="65">
        <v>10787.94</v>
      </c>
      <c r="BB799" s="65">
        <v>0.0</v>
      </c>
      <c r="BC799" s="65">
        <v>0.0</v>
      </c>
      <c r="BD799" s="65">
        <v>0.0</v>
      </c>
      <c r="BE799" s="65">
        <v>0.0</v>
      </c>
      <c r="BF799" s="65">
        <v>0.0</v>
      </c>
      <c r="BG799" s="65">
        <v>0.0</v>
      </c>
      <c r="BH799" s="65">
        <v>0.0</v>
      </c>
      <c r="BI799" s="65">
        <v>0.0</v>
      </c>
      <c r="BJ799" s="65">
        <v>0.0</v>
      </c>
      <c r="BK799" s="65">
        <v>0.0</v>
      </c>
      <c r="BL799" s="65">
        <v>0.0</v>
      </c>
      <c r="BM799" s="65">
        <v>0.0</v>
      </c>
      <c r="BN799" s="65">
        <v>0.0</v>
      </c>
      <c r="BO799" s="65">
        <v>0.0</v>
      </c>
      <c r="BP799" s="65">
        <v>0.0</v>
      </c>
      <c r="BQ799" s="65">
        <v>0.0</v>
      </c>
      <c r="BR799" s="65">
        <v>0.0</v>
      </c>
      <c r="BS799" s="65">
        <v>0.0</v>
      </c>
      <c r="BT799" s="88">
        <v>0.0</v>
      </c>
      <c r="BU799" s="65">
        <v>0.0</v>
      </c>
      <c r="BV799" s="65">
        <v>0.0</v>
      </c>
      <c r="BW799" s="90">
        <v>0.0</v>
      </c>
      <c r="BX799" s="90">
        <v>0.0</v>
      </c>
      <c r="BY799" s="90" t="str">
        <f t="array" ref="BY799">XLOOKUP(C799,'PL TOTAL D0'!$A$3:$A$1991,'PL TOTAL D0'!$C$3:$C$1991,"")</f>
        <v/>
      </c>
    </row>
    <row r="800" ht="15.75" customHeight="1">
      <c r="A800" s="50" t="s">
        <v>24</v>
      </c>
      <c r="B800" s="191" t="s">
        <v>1673</v>
      </c>
      <c r="C800" s="94" t="s">
        <v>8427</v>
      </c>
      <c r="D800" s="81" t="s">
        <v>120</v>
      </c>
      <c r="E800" s="95" t="s">
        <v>199</v>
      </c>
      <c r="F800" s="81" t="s">
        <v>803</v>
      </c>
      <c r="G800" s="47" t="str">
        <f t="shared" si="33"/>
        <v>David</v>
      </c>
      <c r="H800" s="49" t="s">
        <v>224</v>
      </c>
      <c r="I800" s="49" t="s">
        <v>66</v>
      </c>
      <c r="J800" s="47" t="str">
        <f t="shared" si="35"/>
        <v>Não</v>
      </c>
      <c r="K800" s="97">
        <v>45177.0</v>
      </c>
      <c r="L800" s="55">
        <v>45523.0</v>
      </c>
      <c r="M800" s="62" t="s">
        <v>61</v>
      </c>
      <c r="N800" s="98">
        <v>0.007</v>
      </c>
      <c r="O800" s="47" t="s">
        <v>66</v>
      </c>
      <c r="P800" s="99">
        <v>0.0</v>
      </c>
      <c r="Q800" s="58"/>
      <c r="R800" s="58" t="s">
        <v>8423</v>
      </c>
      <c r="S800" s="62" t="s">
        <v>194</v>
      </c>
      <c r="T800" s="32" t="s">
        <v>1675</v>
      </c>
      <c r="U800" s="33" t="s">
        <v>268</v>
      </c>
      <c r="V800" s="33"/>
      <c r="W800" s="33" t="s">
        <v>268</v>
      </c>
      <c r="X800" s="23" t="s">
        <v>199</v>
      </c>
      <c r="Y800" s="49" t="str">
        <f t="shared" si="22"/>
        <v>Encerrado</v>
      </c>
      <c r="Z800" s="62"/>
      <c r="AA800" s="62"/>
      <c r="AB800" s="64" t="s">
        <v>244</v>
      </c>
      <c r="AC800" s="79"/>
      <c r="AD800" s="54">
        <v>45177.0</v>
      </c>
      <c r="AE800" s="77">
        <v>4.9075100011664E13</v>
      </c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65">
        <v>0.0</v>
      </c>
      <c r="AQ800" s="65">
        <v>0.0</v>
      </c>
      <c r="AR800" s="65">
        <v>0.0</v>
      </c>
      <c r="AS800" s="65">
        <v>0.0</v>
      </c>
      <c r="AT800" s="65">
        <v>0.0</v>
      </c>
      <c r="AU800" s="65">
        <v>0.0</v>
      </c>
      <c r="AV800" s="65">
        <v>827196.2</v>
      </c>
      <c r="AW800" s="65">
        <v>829370.48</v>
      </c>
      <c r="AX800" s="65">
        <v>2180207.6</v>
      </c>
      <c r="AY800" s="65">
        <v>2377484.0</v>
      </c>
      <c r="AZ800" s="65">
        <v>2717400.0</v>
      </c>
      <c r="BA800" s="65">
        <v>3308747.0</v>
      </c>
      <c r="BB800" s="65">
        <v>0.0</v>
      </c>
      <c r="BC800" s="65">
        <v>0.0</v>
      </c>
      <c r="BD800" s="65">
        <v>0.0</v>
      </c>
      <c r="BE800" s="65">
        <v>0.0</v>
      </c>
      <c r="BF800" s="65">
        <v>0.0</v>
      </c>
      <c r="BG800" s="65">
        <v>0.0</v>
      </c>
      <c r="BH800" s="65">
        <v>0.0</v>
      </c>
      <c r="BI800" s="65">
        <v>0.0</v>
      </c>
      <c r="BJ800" s="65">
        <v>0.0</v>
      </c>
      <c r="BK800" s="65">
        <v>0.0</v>
      </c>
      <c r="BL800" s="65">
        <v>0.0</v>
      </c>
      <c r="BM800" s="65">
        <v>0.0</v>
      </c>
      <c r="BN800" s="65">
        <v>0.0</v>
      </c>
      <c r="BO800" s="65">
        <v>0.0</v>
      </c>
      <c r="BP800" s="65">
        <v>0.0</v>
      </c>
      <c r="BQ800" s="65">
        <v>0.0</v>
      </c>
      <c r="BR800" s="65">
        <v>0.0</v>
      </c>
      <c r="BS800" s="65">
        <v>0.0</v>
      </c>
      <c r="BT800" s="88">
        <v>0.0</v>
      </c>
      <c r="BU800" s="65">
        <v>0.0</v>
      </c>
      <c r="BV800" s="65">
        <v>0.0</v>
      </c>
      <c r="BW800" s="90">
        <v>0.0</v>
      </c>
      <c r="BX800" s="90">
        <v>0.0</v>
      </c>
      <c r="BY800" s="90" t="str">
        <f t="array" ref="BY800">XLOOKUP(C800,'PL TOTAL D0'!$A$3:$A$1991,'PL TOTAL D0'!$C$3:$C$1991,"")</f>
        <v/>
      </c>
    </row>
    <row r="801" ht="15.75" customHeight="1">
      <c r="A801" s="50" t="s">
        <v>24</v>
      </c>
      <c r="B801" s="176" t="s">
        <v>6253</v>
      </c>
      <c r="C801" s="94" t="s">
        <v>3156</v>
      </c>
      <c r="D801" s="81" t="s">
        <v>120</v>
      </c>
      <c r="E801" s="95" t="s">
        <v>199</v>
      </c>
      <c r="F801" s="81" t="s">
        <v>212</v>
      </c>
      <c r="G801" s="47" t="str">
        <f t="shared" si="33"/>
        <v>David</v>
      </c>
      <c r="H801" s="74" t="s">
        <v>183</v>
      </c>
      <c r="I801" s="74" t="s">
        <v>66</v>
      </c>
      <c r="J801" s="47" t="str">
        <f t="shared" si="35"/>
        <v>Não</v>
      </c>
      <c r="K801" s="97">
        <v>45042.0</v>
      </c>
      <c r="L801" s="62"/>
      <c r="M801" s="62" t="s">
        <v>231</v>
      </c>
      <c r="N801" s="98">
        <v>0.025</v>
      </c>
      <c r="O801" s="23" t="s">
        <v>233</v>
      </c>
      <c r="P801" s="99">
        <v>0.2</v>
      </c>
      <c r="Q801" s="58"/>
      <c r="R801" s="635"/>
      <c r="S801" s="62" t="s">
        <v>194</v>
      </c>
      <c r="T801" s="32" t="s">
        <v>6252</v>
      </c>
      <c r="U801" s="33">
        <v>5.561992118252E12</v>
      </c>
      <c r="V801" s="33" t="s">
        <v>8428</v>
      </c>
      <c r="W801" s="34">
        <v>26891.0</v>
      </c>
      <c r="X801" s="23" t="s">
        <v>199</v>
      </c>
      <c r="Y801" s="49" t="str">
        <f t="shared" si="22"/>
        <v>Ativo</v>
      </c>
      <c r="Z801" s="62"/>
      <c r="AA801" s="62"/>
      <c r="AB801" s="64" t="s">
        <v>269</v>
      </c>
      <c r="AC801" s="79"/>
      <c r="AD801" s="54">
        <v>45042.0</v>
      </c>
      <c r="AE801" s="77">
        <v>4.9075100008248E13</v>
      </c>
      <c r="AF801" s="79"/>
      <c r="AG801" s="79"/>
      <c r="AH801" s="79"/>
      <c r="AI801" s="79"/>
      <c r="AJ801" s="79"/>
      <c r="AK801" s="65">
        <v>0.0</v>
      </c>
      <c r="AL801" s="65">
        <v>53520.35</v>
      </c>
      <c r="AM801" s="65">
        <v>54661.25</v>
      </c>
      <c r="AN801" s="65">
        <v>58707.84</v>
      </c>
      <c r="AO801" s="65">
        <v>60765.6</v>
      </c>
      <c r="AP801" s="65">
        <v>58978.07</v>
      </c>
      <c r="AQ801" s="65">
        <v>58569.48</v>
      </c>
      <c r="AR801" s="65">
        <v>55998.07</v>
      </c>
      <c r="AS801" s="65">
        <v>60194.16</v>
      </c>
      <c r="AT801" s="65">
        <v>63255.04</v>
      </c>
      <c r="AU801" s="65">
        <v>58666.86</v>
      </c>
      <c r="AV801" s="65">
        <v>160547.06</v>
      </c>
      <c r="AW801" s="65">
        <v>163478.71</v>
      </c>
      <c r="AX801" s="65">
        <v>157336.19</v>
      </c>
      <c r="AY801" s="65">
        <v>153007.7</v>
      </c>
      <c r="AZ801" s="65">
        <v>153242.6</v>
      </c>
      <c r="BA801" s="65">
        <v>157397.0</v>
      </c>
      <c r="BB801" s="65">
        <v>160690.94</v>
      </c>
      <c r="BC801" s="65">
        <v>157437.73</v>
      </c>
      <c r="BD801" s="65">
        <v>150678.84</v>
      </c>
      <c r="BE801" s="65">
        <v>145513.15</v>
      </c>
      <c r="BF801" s="65">
        <v>141079.84</v>
      </c>
      <c r="BG801" s="65">
        <v>145435.33</v>
      </c>
      <c r="BH801" s="65">
        <v>146802.02</v>
      </c>
      <c r="BI801" s="65">
        <v>149962.76</v>
      </c>
      <c r="BJ801" s="65">
        <v>154829.85</v>
      </c>
      <c r="BK801" s="65">
        <v>161577.44</v>
      </c>
      <c r="BL801" s="65">
        <v>164142.8</v>
      </c>
      <c r="BM801" s="65">
        <v>160469.7</v>
      </c>
      <c r="BN801" s="65">
        <v>164743.0</v>
      </c>
      <c r="BO801" s="65">
        <v>169010.7</v>
      </c>
      <c r="BP801" s="65">
        <v>171502.9</v>
      </c>
      <c r="BQ801" s="65">
        <v>180218.3</v>
      </c>
      <c r="BR801" s="65">
        <v>184972.4</v>
      </c>
      <c r="BS801" s="65">
        <v>201699.64</v>
      </c>
      <c r="BT801" s="88">
        <v>209476.5</v>
      </c>
      <c r="BU801" s="65">
        <v>207693.4</v>
      </c>
      <c r="BV801" s="65">
        <v>208197.6</v>
      </c>
      <c r="BW801" s="90">
        <v>197929.4</v>
      </c>
      <c r="BX801" s="90">
        <v>200626.31</v>
      </c>
      <c r="BY801" s="90">
        <f t="array" ref="BY801">XLOOKUP(C801,'PL TOTAL D0'!$A$3:$A$1991,'PL TOTAL D0'!$C$3:$C$1991,"")</f>
        <v>199857.89</v>
      </c>
    </row>
    <row r="802" ht="15.75" customHeight="1">
      <c r="A802" s="50" t="s">
        <v>24</v>
      </c>
      <c r="B802" s="50" t="s">
        <v>6253</v>
      </c>
      <c r="C802" s="94" t="s">
        <v>2681</v>
      </c>
      <c r="D802" s="81" t="s">
        <v>120</v>
      </c>
      <c r="E802" s="95" t="s">
        <v>199</v>
      </c>
      <c r="F802" s="81" t="s">
        <v>212</v>
      </c>
      <c r="G802" s="47" t="str">
        <f t="shared" si="33"/>
        <v>Marcus</v>
      </c>
      <c r="H802" s="74" t="s">
        <v>183</v>
      </c>
      <c r="I802" s="74" t="s">
        <v>66</v>
      </c>
      <c r="J802" s="47" t="str">
        <f t="shared" si="35"/>
        <v>Não</v>
      </c>
      <c r="K802" s="97">
        <v>45006.0</v>
      </c>
      <c r="L802" s="62"/>
      <c r="M802" s="62" t="s">
        <v>61</v>
      </c>
      <c r="N802" s="98">
        <v>0.012</v>
      </c>
      <c r="O802" s="47" t="s">
        <v>66</v>
      </c>
      <c r="P802" s="99">
        <v>0.0</v>
      </c>
      <c r="Q802" s="58"/>
      <c r="R802" s="635"/>
      <c r="S802" s="62" t="s">
        <v>194</v>
      </c>
      <c r="T802" s="32" t="s">
        <v>6252</v>
      </c>
      <c r="U802" s="33">
        <v>5.561992118252E12</v>
      </c>
      <c r="V802" s="33" t="s">
        <v>8428</v>
      </c>
      <c r="W802" s="34">
        <v>26891.0</v>
      </c>
      <c r="X802" s="23" t="s">
        <v>199</v>
      </c>
      <c r="Y802" s="49" t="str">
        <f t="shared" si="22"/>
        <v>Ativo</v>
      </c>
      <c r="Z802" s="62"/>
      <c r="AA802" s="62"/>
      <c r="AB802" s="64" t="s">
        <v>269</v>
      </c>
      <c r="AC802" s="79"/>
      <c r="AD802" s="54">
        <v>45006.0</v>
      </c>
      <c r="AE802" s="77">
        <v>4.9075100008183E13</v>
      </c>
      <c r="AF802" s="79"/>
      <c r="AG802" s="79"/>
      <c r="AH802" s="79"/>
      <c r="AI802" s="79"/>
      <c r="AJ802" s="79"/>
      <c r="AK802" s="65">
        <v>711474.6</v>
      </c>
      <c r="AL802" s="65">
        <v>664128.98</v>
      </c>
      <c r="AM802" s="65">
        <v>671497.32</v>
      </c>
      <c r="AN802" s="65">
        <v>675072.26</v>
      </c>
      <c r="AO802" s="65">
        <v>680203.78</v>
      </c>
      <c r="AP802" s="65">
        <v>684676.14</v>
      </c>
      <c r="AQ802" s="65">
        <v>686452.52</v>
      </c>
      <c r="AR802" s="65">
        <v>690160.78</v>
      </c>
      <c r="AS802" s="65">
        <v>697458.11</v>
      </c>
      <c r="AT802" s="65">
        <v>704478.61</v>
      </c>
      <c r="AU802" s="65">
        <v>705505.43</v>
      </c>
      <c r="AV802" s="65">
        <v>1111761.26</v>
      </c>
      <c r="AW802" s="65">
        <v>1120231.44</v>
      </c>
      <c r="AX802" s="65">
        <v>1127213.29</v>
      </c>
      <c r="AY802" s="65">
        <v>1134918.0</v>
      </c>
      <c r="AZ802" s="65">
        <v>1140503.0</v>
      </c>
      <c r="BA802" s="65">
        <v>1148605.0</v>
      </c>
      <c r="BB802" s="65">
        <v>1163859.73</v>
      </c>
      <c r="BC802" s="65">
        <v>1168117.31</v>
      </c>
      <c r="BD802" s="65">
        <v>1177879.0</v>
      </c>
      <c r="BE802" s="65">
        <v>1186694.1</v>
      </c>
      <c r="BF802" s="65">
        <v>1196028.58</v>
      </c>
      <c r="BG802" s="65">
        <v>1205866.36</v>
      </c>
      <c r="BH802" s="65">
        <v>1213269.97</v>
      </c>
      <c r="BI802" s="65">
        <v>1122589.44</v>
      </c>
      <c r="BJ802" s="65">
        <v>1134807.25</v>
      </c>
      <c r="BK802" s="65">
        <v>1146212.85</v>
      </c>
      <c r="BL802" s="65">
        <v>1052718.98</v>
      </c>
      <c r="BM802" s="65">
        <v>1063728.87</v>
      </c>
      <c r="BN802" s="65">
        <v>1072593.0</v>
      </c>
      <c r="BO802" s="65">
        <v>1082133.03</v>
      </c>
      <c r="BP802" s="65">
        <v>1093639.0</v>
      </c>
      <c r="BQ802" s="65">
        <v>1101753.0</v>
      </c>
      <c r="BR802" s="65">
        <v>1110224.0</v>
      </c>
      <c r="BS802" s="65">
        <v>1118865.79</v>
      </c>
      <c r="BT802" s="88">
        <v>1125783.0</v>
      </c>
      <c r="BU802" s="65">
        <v>1138776.0</v>
      </c>
      <c r="BV802" s="65">
        <v>1151198.0</v>
      </c>
      <c r="BW802" s="90">
        <v>1157325.0</v>
      </c>
      <c r="BX802" s="90">
        <v>1167811.11</v>
      </c>
      <c r="BY802" s="90">
        <f t="array" ref="BY802">XLOOKUP(C802,'PL TOTAL D0'!$A$3:$A$1991,'PL TOTAL D0'!$C$3:$C$1991,"")</f>
        <v>1179088.26</v>
      </c>
    </row>
    <row r="803" ht="15.75" customHeight="1">
      <c r="A803" s="50" t="s">
        <v>24</v>
      </c>
      <c r="B803" s="50" t="s">
        <v>1371</v>
      </c>
      <c r="C803" s="94" t="s">
        <v>2822</v>
      </c>
      <c r="D803" s="81" t="s">
        <v>249</v>
      </c>
      <c r="E803" s="95" t="s">
        <v>199</v>
      </c>
      <c r="F803" s="30" t="s">
        <v>251</v>
      </c>
      <c r="G803" s="47" t="str">
        <f t="shared" si="33"/>
        <v>Gabriel</v>
      </c>
      <c r="H803" s="49" t="s">
        <v>183</v>
      </c>
      <c r="I803" s="49" t="s">
        <v>66</v>
      </c>
      <c r="J803" s="47" t="str">
        <f t="shared" si="35"/>
        <v>Não</v>
      </c>
      <c r="K803" s="54">
        <v>45974.0</v>
      </c>
      <c r="L803" s="62"/>
      <c r="M803" s="32" t="s">
        <v>34</v>
      </c>
      <c r="N803" s="56">
        <v>0.012</v>
      </c>
      <c r="O803" s="23" t="s">
        <v>35</v>
      </c>
      <c r="P803" s="57">
        <v>0.1</v>
      </c>
      <c r="Q803" s="58"/>
      <c r="R803" s="635"/>
      <c r="S803" s="32" t="s">
        <v>194</v>
      </c>
      <c r="T803" s="32" t="s">
        <v>1375</v>
      </c>
      <c r="U803" s="33" t="s">
        <v>1376</v>
      </c>
      <c r="V803" s="33" t="s">
        <v>1377</v>
      </c>
      <c r="W803" s="48">
        <v>29843.0</v>
      </c>
      <c r="X803" s="23" t="s">
        <v>199</v>
      </c>
      <c r="Y803" s="49" t="str">
        <f t="shared" si="22"/>
        <v>Ativo</v>
      </c>
      <c r="Z803" s="62"/>
      <c r="AA803" s="32" t="s">
        <v>47</v>
      </c>
      <c r="AB803" s="64"/>
      <c r="AC803" s="79"/>
      <c r="AD803" s="54">
        <v>45978.0</v>
      </c>
      <c r="AE803" s="148">
        <v>4.9075100019721E13</v>
      </c>
      <c r="AF803" s="79"/>
      <c r="AG803" s="79"/>
      <c r="AH803" s="79"/>
      <c r="AI803" s="79"/>
      <c r="AJ803" s="79"/>
      <c r="AK803" s="65"/>
      <c r="AL803" s="65"/>
      <c r="AM803" s="65"/>
      <c r="AN803" s="65"/>
      <c r="AO803" s="65"/>
      <c r="AP803" s="65"/>
      <c r="AQ803" s="65"/>
      <c r="AR803" s="65"/>
      <c r="AS803" s="65"/>
      <c r="AT803" s="65"/>
      <c r="AU803" s="65"/>
      <c r="AV803" s="65"/>
      <c r="AW803" s="65"/>
      <c r="AX803" s="65"/>
      <c r="AY803" s="65"/>
      <c r="AZ803" s="65"/>
      <c r="BA803" s="65"/>
      <c r="BB803" s="65"/>
      <c r="BC803" s="65"/>
      <c r="BD803" s="65"/>
      <c r="BE803" s="65"/>
      <c r="BF803" s="65"/>
      <c r="BG803" s="65"/>
      <c r="BH803" s="65"/>
      <c r="BI803" s="65"/>
      <c r="BJ803" s="65"/>
      <c r="BK803" s="65"/>
      <c r="BL803" s="65"/>
      <c r="BM803" s="65"/>
      <c r="BN803" s="65"/>
      <c r="BO803" s="65"/>
      <c r="BP803" s="65"/>
      <c r="BQ803" s="65">
        <v>234970.3</v>
      </c>
      <c r="BR803" s="65">
        <v>492783.0</v>
      </c>
      <c r="BS803" s="65">
        <v>510216.16</v>
      </c>
      <c r="BT803" s="88">
        <v>516377.9</v>
      </c>
      <c r="BU803" s="65">
        <v>512628.3</v>
      </c>
      <c r="BV803" s="65">
        <v>525739.6</v>
      </c>
      <c r="BW803" s="90">
        <v>528622.1</v>
      </c>
      <c r="BX803" s="90">
        <v>536033.66</v>
      </c>
      <c r="BY803" s="90">
        <f t="array" ref="BY803">XLOOKUP(C803,'PL TOTAL D0'!$A$3:$A$1991,'PL TOTAL D0'!$C$3:$C$1991,"")</f>
        <v>622354.68</v>
      </c>
    </row>
    <row r="804" ht="15.75" customHeight="1">
      <c r="A804" s="50" t="s">
        <v>24</v>
      </c>
      <c r="B804" s="322" t="s">
        <v>8433</v>
      </c>
      <c r="C804" s="94" t="s">
        <v>2990</v>
      </c>
      <c r="D804" s="30" t="s">
        <v>142</v>
      </c>
      <c r="E804" s="22" t="s">
        <v>54</v>
      </c>
      <c r="F804" s="30" t="s">
        <v>158</v>
      </c>
      <c r="G804" s="47" t="str">
        <f t="shared" si="33"/>
        <v>Gabriel</v>
      </c>
      <c r="H804" s="49" t="s">
        <v>183</v>
      </c>
      <c r="I804" s="49" t="s">
        <v>66</v>
      </c>
      <c r="J804" s="47" t="str">
        <f t="shared" si="35"/>
        <v>Não</v>
      </c>
      <c r="K804" s="54">
        <v>45490.0</v>
      </c>
      <c r="L804" s="62"/>
      <c r="M804" s="32" t="s">
        <v>61</v>
      </c>
      <c r="N804" s="56">
        <v>0.012</v>
      </c>
      <c r="O804" s="23" t="s">
        <v>66</v>
      </c>
      <c r="P804" s="57">
        <v>0.0</v>
      </c>
      <c r="Q804" s="58"/>
      <c r="R804" s="635"/>
      <c r="S804" s="32" t="s">
        <v>194</v>
      </c>
      <c r="T804" s="32" t="s">
        <v>8436</v>
      </c>
      <c r="U804" s="33">
        <v>5.562981419491E12</v>
      </c>
      <c r="V804" s="33" t="s">
        <v>8437</v>
      </c>
      <c r="W804" s="48">
        <v>27690.0</v>
      </c>
      <c r="X804" s="23" t="s">
        <v>54</v>
      </c>
      <c r="Y804" s="49" t="str">
        <f t="shared" si="22"/>
        <v>Ativo</v>
      </c>
      <c r="Z804" s="32"/>
      <c r="AA804" s="32" t="s">
        <v>47</v>
      </c>
      <c r="AB804" s="64" t="s">
        <v>269</v>
      </c>
      <c r="AC804" s="79"/>
      <c r="AD804" s="54">
        <v>45490.0</v>
      </c>
      <c r="AE804" s="77">
        <v>4.907510001543E13</v>
      </c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65"/>
      <c r="AW804" s="65"/>
      <c r="AX804" s="65"/>
      <c r="AY804" s="65"/>
      <c r="AZ804" s="65"/>
      <c r="BA804" s="65">
        <v>251041.2</v>
      </c>
      <c r="BB804" s="65">
        <v>303997.93</v>
      </c>
      <c r="BC804" s="65">
        <v>306277.55</v>
      </c>
      <c r="BD804" s="65">
        <v>309396.04</v>
      </c>
      <c r="BE804" s="65">
        <v>312155.81</v>
      </c>
      <c r="BF804" s="65">
        <v>315121.02</v>
      </c>
      <c r="BG804" s="65">
        <v>318528.11</v>
      </c>
      <c r="BH804" s="65">
        <v>321306.57</v>
      </c>
      <c r="BI804" s="65">
        <v>325032.28</v>
      </c>
      <c r="BJ804" s="65">
        <v>327026.28</v>
      </c>
      <c r="BK804" s="65">
        <v>330276.59</v>
      </c>
      <c r="BL804" s="65">
        <v>333651.39</v>
      </c>
      <c r="BM804" s="65">
        <v>337353.0</v>
      </c>
      <c r="BN804" s="65">
        <v>340939.1</v>
      </c>
      <c r="BO804" s="65">
        <v>344625.92</v>
      </c>
      <c r="BP804" s="65">
        <v>348847.9</v>
      </c>
      <c r="BQ804" s="65">
        <v>351622.9</v>
      </c>
      <c r="BR804" s="65">
        <v>355391.0</v>
      </c>
      <c r="BS804" s="65">
        <v>358457.64</v>
      </c>
      <c r="BT804" s="88">
        <v>360917.3</v>
      </c>
      <c r="BU804" s="65">
        <v>362073.2</v>
      </c>
      <c r="BV804" s="65">
        <v>366330.9</v>
      </c>
      <c r="BW804" s="90">
        <v>370275.4</v>
      </c>
      <c r="BX804" s="90">
        <v>374233.17</v>
      </c>
      <c r="BY804" s="90">
        <f t="array" ref="BY804">XLOOKUP(C804,'PL TOTAL D0'!$A$3:$A$1991,'PL TOTAL D0'!$C$3:$C$1991,"")</f>
        <v>376813.19</v>
      </c>
    </row>
    <row r="805" ht="15.75" customHeight="1">
      <c r="A805" s="50" t="s">
        <v>24</v>
      </c>
      <c r="B805" s="50" t="s">
        <v>8438</v>
      </c>
      <c r="C805" s="94" t="s">
        <v>8439</v>
      </c>
      <c r="D805" s="81" t="s">
        <v>255</v>
      </c>
      <c r="E805" s="95" t="s">
        <v>199</v>
      </c>
      <c r="F805" s="81" t="s">
        <v>257</v>
      </c>
      <c r="G805" s="47" t="str">
        <f t="shared" si="33"/>
        <v>David</v>
      </c>
      <c r="H805" s="49" t="s">
        <v>224</v>
      </c>
      <c r="I805" s="49" t="s">
        <v>66</v>
      </c>
      <c r="J805" s="47" t="str">
        <f t="shared" si="35"/>
        <v>Não</v>
      </c>
      <c r="K805" s="97">
        <v>45104.0</v>
      </c>
      <c r="L805" s="186">
        <v>45513.0</v>
      </c>
      <c r="M805" s="62" t="s">
        <v>8440</v>
      </c>
      <c r="N805" s="98">
        <v>0.012</v>
      </c>
      <c r="O805" s="47" t="s">
        <v>35</v>
      </c>
      <c r="P805" s="99">
        <v>0.1</v>
      </c>
      <c r="Q805" s="58"/>
      <c r="R805" s="58" t="s">
        <v>1868</v>
      </c>
      <c r="S805" s="62" t="s">
        <v>194</v>
      </c>
      <c r="T805" s="32" t="s">
        <v>8441</v>
      </c>
      <c r="U805" s="33" t="s">
        <v>268</v>
      </c>
      <c r="V805" s="33"/>
      <c r="W805" s="33" t="s">
        <v>268</v>
      </c>
      <c r="X805" s="23" t="s">
        <v>397</v>
      </c>
      <c r="Y805" s="49" t="str">
        <f t="shared" si="22"/>
        <v>Encerrado</v>
      </c>
      <c r="Z805" s="62"/>
      <c r="AA805" s="62"/>
      <c r="AB805" s="64" t="s">
        <v>244</v>
      </c>
      <c r="AC805" s="79"/>
      <c r="AD805" s="54">
        <v>45104.0</v>
      </c>
      <c r="AE805" s="77">
        <v>4.9075100008035E13</v>
      </c>
      <c r="AF805" s="79"/>
      <c r="AG805" s="79"/>
      <c r="AH805" s="79"/>
      <c r="AI805" s="79"/>
      <c r="AJ805" s="79"/>
      <c r="AK805" s="79"/>
      <c r="AL805" s="79"/>
      <c r="AM805" s="79"/>
      <c r="AN805" s="65">
        <v>155770.65</v>
      </c>
      <c r="AO805" s="65">
        <v>286860.28</v>
      </c>
      <c r="AP805" s="65">
        <v>406228.53</v>
      </c>
      <c r="AQ805" s="65">
        <v>408929.28</v>
      </c>
      <c r="AR805" s="65">
        <v>410236.8</v>
      </c>
      <c r="AS805" s="65">
        <v>415850.21</v>
      </c>
      <c r="AT805" s="65">
        <v>420654.55</v>
      </c>
      <c r="AU805" s="65">
        <v>421571.79</v>
      </c>
      <c r="AV805" s="65">
        <v>424971.39</v>
      </c>
      <c r="AW805" s="65">
        <v>428542.58</v>
      </c>
      <c r="AX805" s="65">
        <v>428300.89</v>
      </c>
      <c r="AY805" s="65">
        <v>472427.2</v>
      </c>
      <c r="AZ805" s="65">
        <v>483335.0</v>
      </c>
      <c r="BA805" s="65">
        <v>0.0</v>
      </c>
      <c r="BB805" s="65">
        <v>0.0</v>
      </c>
      <c r="BC805" s="65">
        <v>0.0</v>
      </c>
      <c r="BD805" s="65">
        <v>0.0</v>
      </c>
      <c r="BE805" s="65">
        <v>0.0</v>
      </c>
      <c r="BF805" s="65">
        <v>0.0</v>
      </c>
      <c r="BG805" s="65">
        <v>0.0</v>
      </c>
      <c r="BH805" s="65">
        <v>0.0</v>
      </c>
      <c r="BI805" s="65">
        <v>0.0</v>
      </c>
      <c r="BJ805" s="65">
        <v>0.0</v>
      </c>
      <c r="BK805" s="65">
        <v>0.0</v>
      </c>
      <c r="BL805" s="65">
        <v>0.0</v>
      </c>
      <c r="BM805" s="65">
        <v>0.0</v>
      </c>
      <c r="BN805" s="65">
        <v>0.0</v>
      </c>
      <c r="BO805" s="65">
        <v>0.0</v>
      </c>
      <c r="BP805" s="65">
        <v>0.0</v>
      </c>
      <c r="BQ805" s="65">
        <v>0.0</v>
      </c>
      <c r="BR805" s="65">
        <v>0.0</v>
      </c>
      <c r="BS805" s="65">
        <v>0.0</v>
      </c>
      <c r="BT805" s="88">
        <v>0.0</v>
      </c>
      <c r="BU805" s="65">
        <v>0.0</v>
      </c>
      <c r="BV805" s="65">
        <v>0.0</v>
      </c>
      <c r="BW805" s="90">
        <v>0.0</v>
      </c>
      <c r="BX805" s="90">
        <v>0.0</v>
      </c>
      <c r="BY805" s="90" t="str">
        <f t="array" ref="BY805">XLOOKUP(C805,'PL TOTAL D0'!$A$3:$A$1991,'PL TOTAL D0'!$C$3:$C$1991,"")</f>
        <v/>
      </c>
    </row>
    <row r="806" ht="15.75" customHeight="1">
      <c r="A806" s="50" t="s">
        <v>24</v>
      </c>
      <c r="B806" s="50" t="s">
        <v>1240</v>
      </c>
      <c r="C806" s="94" t="s">
        <v>8444</v>
      </c>
      <c r="D806" s="30" t="s">
        <v>89</v>
      </c>
      <c r="E806" s="95" t="s">
        <v>91</v>
      </c>
      <c r="F806" s="81" t="s">
        <v>193</v>
      </c>
      <c r="G806" s="47" t="str">
        <f t="shared" si="33"/>
        <v>David</v>
      </c>
      <c r="H806" s="74" t="s">
        <v>295</v>
      </c>
      <c r="I806" s="74" t="s">
        <v>382</v>
      </c>
      <c r="J806" s="47" t="str">
        <f t="shared" si="35"/>
        <v>Não</v>
      </c>
      <c r="K806" s="97">
        <v>45163.0</v>
      </c>
      <c r="L806" s="189"/>
      <c r="M806" s="62" t="s">
        <v>209</v>
      </c>
      <c r="N806" s="98">
        <v>0.015</v>
      </c>
      <c r="O806" s="47" t="s">
        <v>35</v>
      </c>
      <c r="P806" s="99">
        <v>0.1</v>
      </c>
      <c r="Q806" s="58"/>
      <c r="R806" s="70" t="s">
        <v>8446</v>
      </c>
      <c r="S806" s="62" t="s">
        <v>194</v>
      </c>
      <c r="T806" s="32" t="s">
        <v>1245</v>
      </c>
      <c r="U806" s="33" t="s">
        <v>268</v>
      </c>
      <c r="V806" s="33"/>
      <c r="W806" s="33" t="s">
        <v>268</v>
      </c>
      <c r="X806" s="23" t="s">
        <v>221</v>
      </c>
      <c r="Y806" s="49" t="str">
        <f t="shared" si="22"/>
        <v>Inativo</v>
      </c>
      <c r="Z806" s="62"/>
      <c r="AA806" s="62"/>
      <c r="AB806" s="64" t="s">
        <v>269</v>
      </c>
      <c r="AC806" s="79"/>
      <c r="AD806" s="54">
        <v>45163.0</v>
      </c>
      <c r="AE806" s="77">
        <v>4.9075100011672E13</v>
      </c>
      <c r="AF806" s="79"/>
      <c r="AG806" s="79"/>
      <c r="AH806" s="79"/>
      <c r="AI806" s="79"/>
      <c r="AJ806" s="79"/>
      <c r="AK806" s="79"/>
      <c r="AL806" s="65">
        <v>0.0</v>
      </c>
      <c r="AM806" s="65">
        <v>0.0</v>
      </c>
      <c r="AN806" s="65">
        <v>0.0</v>
      </c>
      <c r="AO806" s="65">
        <v>0.0</v>
      </c>
      <c r="AP806" s="65">
        <v>0.0</v>
      </c>
      <c r="AQ806" s="65">
        <v>0.0</v>
      </c>
      <c r="AR806" s="65">
        <v>0.0</v>
      </c>
      <c r="AS806" s="65">
        <v>0.0</v>
      </c>
      <c r="AT806" s="65">
        <v>0.0</v>
      </c>
      <c r="AU806" s="65">
        <v>0.0</v>
      </c>
      <c r="AV806" s="65">
        <v>0.0</v>
      </c>
      <c r="AW806" s="65">
        <v>0.0</v>
      </c>
      <c r="AX806" s="65">
        <v>0.0</v>
      </c>
      <c r="AY806" s="65">
        <v>0.0</v>
      </c>
      <c r="AZ806" s="65">
        <v>0.0</v>
      </c>
      <c r="BA806" s="65">
        <v>0.0</v>
      </c>
      <c r="BB806" s="65">
        <v>0.0</v>
      </c>
      <c r="BC806" s="65">
        <v>0.0</v>
      </c>
      <c r="BD806" s="65">
        <v>0.0</v>
      </c>
      <c r="BE806" s="65">
        <v>0.0</v>
      </c>
      <c r="BF806" s="65">
        <v>0.0</v>
      </c>
      <c r="BG806" s="65">
        <v>0.0</v>
      </c>
      <c r="BH806" s="65">
        <v>0.0</v>
      </c>
      <c r="BI806" s="65">
        <v>0.0</v>
      </c>
      <c r="BJ806" s="65">
        <v>0.0</v>
      </c>
      <c r="BK806" s="65">
        <v>0.0</v>
      </c>
      <c r="BL806" s="65">
        <v>0.0</v>
      </c>
      <c r="BM806" s="65">
        <v>0.0</v>
      </c>
      <c r="BN806" s="65">
        <v>0.0</v>
      </c>
      <c r="BO806" s="65">
        <v>0.0</v>
      </c>
      <c r="BP806" s="65">
        <v>0.0</v>
      </c>
      <c r="BQ806" s="65">
        <v>0.0</v>
      </c>
      <c r="BR806" s="65">
        <v>0.0</v>
      </c>
      <c r="BS806" s="65">
        <v>0.0</v>
      </c>
      <c r="BT806" s="88">
        <v>0.0</v>
      </c>
      <c r="BU806" s="65">
        <v>0.0</v>
      </c>
      <c r="BV806" s="65">
        <v>0.0</v>
      </c>
      <c r="BW806" s="90">
        <v>0.0</v>
      </c>
      <c r="BX806" s="90">
        <v>0.0</v>
      </c>
      <c r="BY806" s="90" t="str">
        <f t="array" ref="BY806">XLOOKUP(C806,'PL TOTAL D0'!$A$3:$A$1991,'PL TOTAL D0'!$C$3:$C$1991,"")</f>
        <v/>
      </c>
    </row>
    <row r="807" ht="15.75" customHeight="1">
      <c r="A807" s="50" t="s">
        <v>24</v>
      </c>
      <c r="B807" s="50" t="s">
        <v>8447</v>
      </c>
      <c r="C807" s="94" t="s">
        <v>2586</v>
      </c>
      <c r="D807" s="30" t="s">
        <v>120</v>
      </c>
      <c r="E807" s="95" t="s">
        <v>54</v>
      </c>
      <c r="F807" s="81" t="s">
        <v>125</v>
      </c>
      <c r="G807" s="23" t="s">
        <v>3075</v>
      </c>
      <c r="H807" s="49" t="s">
        <v>183</v>
      </c>
      <c r="I807" s="74" t="s">
        <v>66</v>
      </c>
      <c r="J807" s="47" t="str">
        <f t="shared" si="35"/>
        <v>Não</v>
      </c>
      <c r="K807" s="97">
        <v>46094.0</v>
      </c>
      <c r="L807" s="189"/>
      <c r="M807" s="62" t="s">
        <v>61</v>
      </c>
      <c r="N807" s="98">
        <v>0.012</v>
      </c>
      <c r="O807" s="47" t="s">
        <v>66</v>
      </c>
      <c r="P807" s="99">
        <v>0.0</v>
      </c>
      <c r="Q807" s="58"/>
      <c r="R807" s="70"/>
      <c r="S807" s="62" t="s">
        <v>194</v>
      </c>
      <c r="T807" s="32" t="s">
        <v>8448</v>
      </c>
      <c r="U807" s="33" t="s">
        <v>8449</v>
      </c>
      <c r="V807" s="33" t="s">
        <v>8450</v>
      </c>
      <c r="W807" s="33">
        <v>27694.0</v>
      </c>
      <c r="X807" s="23" t="s">
        <v>54</v>
      </c>
      <c r="Y807" s="49" t="str">
        <f t="shared" si="22"/>
        <v>Ativo</v>
      </c>
      <c r="Z807" s="62"/>
      <c r="AA807" s="62" t="s">
        <v>47</v>
      </c>
      <c r="AB807" s="64"/>
      <c r="AC807" s="79"/>
      <c r="AD807" s="54">
        <v>46203.0</v>
      </c>
      <c r="AE807" s="77"/>
      <c r="AF807" s="79"/>
      <c r="AG807" s="79"/>
      <c r="AH807" s="79"/>
      <c r="AI807" s="79"/>
      <c r="AJ807" s="79"/>
      <c r="AK807" s="79"/>
      <c r="AL807" s="65"/>
      <c r="AM807" s="65"/>
      <c r="AN807" s="65"/>
      <c r="AO807" s="65"/>
      <c r="AP807" s="65"/>
      <c r="AQ807" s="65"/>
      <c r="AR807" s="65"/>
      <c r="AS807" s="65"/>
      <c r="AT807" s="65"/>
      <c r="AU807" s="65"/>
      <c r="AV807" s="65"/>
      <c r="AW807" s="65"/>
      <c r="AX807" s="65"/>
      <c r="AY807" s="65"/>
      <c r="AZ807" s="65"/>
      <c r="BA807" s="65"/>
      <c r="BB807" s="65"/>
      <c r="BC807" s="65"/>
      <c r="BD807" s="65"/>
      <c r="BE807" s="65"/>
      <c r="BF807" s="65"/>
      <c r="BG807" s="65"/>
      <c r="BH807" s="65"/>
      <c r="BI807" s="65"/>
      <c r="BJ807" s="65"/>
      <c r="BK807" s="65"/>
      <c r="BL807" s="65"/>
      <c r="BM807" s="65"/>
      <c r="BN807" s="65"/>
      <c r="BO807" s="65"/>
      <c r="BP807" s="65"/>
      <c r="BQ807" s="65"/>
      <c r="BR807" s="65"/>
      <c r="BS807" s="65"/>
      <c r="BT807" s="88"/>
      <c r="BU807" s="65">
        <v>2004225.0</v>
      </c>
      <c r="BV807" s="65">
        <v>2028085.0</v>
      </c>
      <c r="BW807" s="90">
        <v>2049765.0</v>
      </c>
      <c r="BX807" s="90">
        <v>2068082.82</v>
      </c>
      <c r="BY807" s="90">
        <f t="array" ref="BY807">XLOOKUP(C807,'PL TOTAL D0'!$A$3:$A$1991,'PL TOTAL D0'!$C$3:$C$1991,"")</f>
        <v>1942072.41</v>
      </c>
    </row>
    <row r="808" ht="15.75" customHeight="1">
      <c r="A808" s="50" t="s">
        <v>24</v>
      </c>
      <c r="B808" s="43" t="s">
        <v>8452</v>
      </c>
      <c r="C808" s="94" t="s">
        <v>8453</v>
      </c>
      <c r="D808" s="30" t="s">
        <v>120</v>
      </c>
      <c r="E808" s="22" t="s">
        <v>54</v>
      </c>
      <c r="F808" s="30" t="s">
        <v>1393</v>
      </c>
      <c r="G808" s="47" t="str">
        <f t="shared" ref="G808:G831" si="36">IFS($BS$4:$BS$1280&lt;=250000,"David",$BS$4:$BS$1280&lt;=800000,"Gabriel", $BS$4:$BS$1280&gt;800000,"Marcus")</f>
        <v>David</v>
      </c>
      <c r="H808" s="49" t="s">
        <v>295</v>
      </c>
      <c r="I808" s="49" t="s">
        <v>382</v>
      </c>
      <c r="J808" s="47" t="str">
        <f t="shared" si="35"/>
        <v>Não</v>
      </c>
      <c r="K808" s="54">
        <v>45580.0</v>
      </c>
      <c r="L808" s="189"/>
      <c r="M808" s="32" t="s">
        <v>61</v>
      </c>
      <c r="N808" s="56">
        <v>0.012</v>
      </c>
      <c r="O808" s="23" t="s">
        <v>66</v>
      </c>
      <c r="P808" s="57">
        <v>0.0</v>
      </c>
      <c r="Q808" s="58"/>
      <c r="R808" s="70"/>
      <c r="S808" s="32" t="s">
        <v>194</v>
      </c>
      <c r="T808" s="32" t="s">
        <v>8455</v>
      </c>
      <c r="U808" s="33">
        <v>5.562996557679E12</v>
      </c>
      <c r="V808" s="33" t="s">
        <v>8456</v>
      </c>
      <c r="W808" s="34">
        <v>28184.0</v>
      </c>
      <c r="X808" s="23" t="s">
        <v>54</v>
      </c>
      <c r="Y808" s="49" t="str">
        <f t="shared" si="22"/>
        <v>Ativo</v>
      </c>
      <c r="Z808" s="62"/>
      <c r="AA808" s="32" t="s">
        <v>47</v>
      </c>
      <c r="AB808" s="64"/>
      <c r="AC808" s="79"/>
      <c r="AD808" s="54">
        <v>45580.0</v>
      </c>
      <c r="AE808" s="77">
        <v>4.9075100015864E13</v>
      </c>
      <c r="AF808" s="79"/>
      <c r="AG808" s="79"/>
      <c r="AH808" s="79"/>
      <c r="AI808" s="79"/>
      <c r="AJ808" s="79"/>
      <c r="AK808" s="79"/>
      <c r="AL808" s="65"/>
      <c r="AM808" s="65"/>
      <c r="AN808" s="65"/>
      <c r="AO808" s="65"/>
      <c r="AP808" s="65"/>
      <c r="AQ808" s="65"/>
      <c r="AR808" s="65"/>
      <c r="AS808" s="65"/>
      <c r="AT808" s="65"/>
      <c r="AU808" s="65"/>
      <c r="AV808" s="65"/>
      <c r="AW808" s="65"/>
      <c r="AX808" s="65"/>
      <c r="AY808" s="65"/>
      <c r="AZ808" s="65"/>
      <c r="BA808" s="65"/>
      <c r="BB808" s="65"/>
      <c r="BC808" s="65"/>
      <c r="BD808" s="65">
        <v>0.0</v>
      </c>
      <c r="BE808" s="65">
        <v>0.0</v>
      </c>
      <c r="BF808" s="65">
        <v>0.0</v>
      </c>
      <c r="BG808" s="65">
        <v>0.0</v>
      </c>
      <c r="BH808" s="65">
        <v>0.0</v>
      </c>
      <c r="BI808" s="65">
        <v>0.0</v>
      </c>
      <c r="BJ808" s="65">
        <v>0.0</v>
      </c>
      <c r="BK808" s="65">
        <v>0.0</v>
      </c>
      <c r="BL808" s="65">
        <v>0.0</v>
      </c>
      <c r="BM808" s="65">
        <v>0.0</v>
      </c>
      <c r="BN808" s="65">
        <v>0.0</v>
      </c>
      <c r="BO808" s="65">
        <v>0.0</v>
      </c>
      <c r="BP808" s="65">
        <v>0.0</v>
      </c>
      <c r="BQ808" s="65">
        <v>0.0</v>
      </c>
      <c r="BR808" s="65">
        <v>0.0</v>
      </c>
      <c r="BS808" s="65">
        <v>0.0</v>
      </c>
      <c r="BT808" s="88">
        <v>0.0</v>
      </c>
      <c r="BU808" s="65">
        <v>0.0</v>
      </c>
      <c r="BV808" s="65">
        <v>0.0</v>
      </c>
      <c r="BW808" s="90">
        <v>0.0</v>
      </c>
      <c r="BX808" s="90">
        <v>0.0</v>
      </c>
      <c r="BY808" s="90" t="str">
        <f t="array" ref="BY808">XLOOKUP(C808,'PL TOTAL D0'!$A$3:$A$1991,'PL TOTAL D0'!$C$3:$C$1991,"")</f>
        <v/>
      </c>
    </row>
    <row r="809" ht="15.75" customHeight="1">
      <c r="A809" s="50" t="s">
        <v>24</v>
      </c>
      <c r="B809" s="176" t="s">
        <v>6284</v>
      </c>
      <c r="C809" s="94" t="s">
        <v>8458</v>
      </c>
      <c r="D809" s="81" t="s">
        <v>120</v>
      </c>
      <c r="E809" s="95" t="s">
        <v>54</v>
      </c>
      <c r="F809" s="81" t="s">
        <v>379</v>
      </c>
      <c r="G809" s="47" t="str">
        <f t="shared" si="36"/>
        <v>David</v>
      </c>
      <c r="H809" s="49" t="s">
        <v>295</v>
      </c>
      <c r="I809" s="74" t="s">
        <v>382</v>
      </c>
      <c r="J809" s="47" t="str">
        <f t="shared" si="35"/>
        <v>Não</v>
      </c>
      <c r="K809" s="97">
        <v>45163.0</v>
      </c>
      <c r="L809" s="189"/>
      <c r="M809" s="62" t="s">
        <v>361</v>
      </c>
      <c r="N809" s="98">
        <v>0.02</v>
      </c>
      <c r="O809" s="47" t="s">
        <v>35</v>
      </c>
      <c r="P809" s="99">
        <v>0.2</v>
      </c>
      <c r="Q809" s="58"/>
      <c r="R809" s="635"/>
      <c r="S809" s="62" t="s">
        <v>194</v>
      </c>
      <c r="T809" s="32" t="s">
        <v>6283</v>
      </c>
      <c r="U809" s="33">
        <v>5.531997311685E12</v>
      </c>
      <c r="V809" s="33" t="s">
        <v>8459</v>
      </c>
      <c r="W809" s="34">
        <v>31893.0</v>
      </c>
      <c r="X809" s="23" t="s">
        <v>618</v>
      </c>
      <c r="Y809" s="49" t="str">
        <f t="shared" si="22"/>
        <v>Inativo</v>
      </c>
      <c r="Z809" s="62"/>
      <c r="AA809" s="62"/>
      <c r="AB809" s="64" t="s">
        <v>269</v>
      </c>
      <c r="AC809" s="79"/>
      <c r="AD809" s="54">
        <v>45163.0</v>
      </c>
      <c r="AE809" s="77">
        <v>4.907510001168E13</v>
      </c>
      <c r="AF809" s="79"/>
      <c r="AG809" s="79"/>
      <c r="AH809" s="79"/>
      <c r="AI809" s="79"/>
      <c r="AJ809" s="79"/>
      <c r="AK809" s="65">
        <v>0.0</v>
      </c>
      <c r="AL809" s="65">
        <v>0.0</v>
      </c>
      <c r="AM809" s="65">
        <v>0.0</v>
      </c>
      <c r="AN809" s="65">
        <v>0.0</v>
      </c>
      <c r="AO809" s="65">
        <v>0.0</v>
      </c>
      <c r="AP809" s="65">
        <v>0.0</v>
      </c>
      <c r="AQ809" s="65">
        <v>0.0</v>
      </c>
      <c r="AR809" s="65">
        <v>0.0</v>
      </c>
      <c r="AS809" s="65">
        <v>0.0</v>
      </c>
      <c r="AT809" s="65">
        <v>0.0</v>
      </c>
      <c r="AU809" s="65">
        <v>0.0</v>
      </c>
      <c r="AV809" s="65">
        <v>0.0</v>
      </c>
      <c r="AW809" s="65">
        <v>0.0</v>
      </c>
      <c r="AX809" s="65">
        <v>0.0</v>
      </c>
      <c r="AY809" s="65">
        <v>0.0</v>
      </c>
      <c r="AZ809" s="65">
        <v>0.0</v>
      </c>
      <c r="BA809" s="65">
        <v>0.0</v>
      </c>
      <c r="BB809" s="65">
        <v>0.0</v>
      </c>
      <c r="BC809" s="65">
        <v>0.0</v>
      </c>
      <c r="BD809" s="65">
        <v>0.0</v>
      </c>
      <c r="BE809" s="65">
        <v>0.0</v>
      </c>
      <c r="BF809" s="65">
        <v>0.0</v>
      </c>
      <c r="BG809" s="65">
        <v>0.0</v>
      </c>
      <c r="BH809" s="65">
        <v>0.0</v>
      </c>
      <c r="BI809" s="65">
        <v>0.0</v>
      </c>
      <c r="BJ809" s="65">
        <v>0.0</v>
      </c>
      <c r="BK809" s="65">
        <v>0.0</v>
      </c>
      <c r="BL809" s="65">
        <v>0.0</v>
      </c>
      <c r="BM809" s="65">
        <v>0.0</v>
      </c>
      <c r="BN809" s="65">
        <v>0.0</v>
      </c>
      <c r="BO809" s="65">
        <v>0.0</v>
      </c>
      <c r="BP809" s="65">
        <v>0.0</v>
      </c>
      <c r="BQ809" s="65">
        <v>0.0</v>
      </c>
      <c r="BR809" s="65">
        <v>0.0</v>
      </c>
      <c r="BS809" s="65">
        <v>0.0</v>
      </c>
      <c r="BT809" s="88">
        <v>0.0</v>
      </c>
      <c r="BU809" s="65">
        <v>0.0</v>
      </c>
      <c r="BV809" s="65">
        <v>0.0</v>
      </c>
      <c r="BW809" s="90">
        <v>0.0</v>
      </c>
      <c r="BX809" s="90">
        <v>0.0</v>
      </c>
      <c r="BY809" s="90" t="str">
        <f t="array" ref="BY809">XLOOKUP(C809,'PL TOTAL D0'!$A$3:$A$1991,'PL TOTAL D0'!$C$3:$C$1991,"")</f>
        <v/>
      </c>
    </row>
    <row r="810" ht="15.75" customHeight="1">
      <c r="A810" s="50" t="s">
        <v>24</v>
      </c>
      <c r="B810" s="39" t="s">
        <v>8462</v>
      </c>
      <c r="C810" s="53" t="s">
        <v>3095</v>
      </c>
      <c r="D810" s="30" t="s">
        <v>142</v>
      </c>
      <c r="E810" s="22" t="s">
        <v>54</v>
      </c>
      <c r="F810" s="30" t="s">
        <v>158</v>
      </c>
      <c r="G810" s="47" t="str">
        <f t="shared" si="36"/>
        <v>David</v>
      </c>
      <c r="H810" s="49" t="s">
        <v>183</v>
      </c>
      <c r="I810" s="49" t="s">
        <v>66</v>
      </c>
      <c r="J810" s="47" t="str">
        <f t="shared" si="35"/>
        <v>Não</v>
      </c>
      <c r="K810" s="54">
        <v>46168.0</v>
      </c>
      <c r="L810" s="189"/>
      <c r="M810" s="32" t="s">
        <v>61</v>
      </c>
      <c r="N810" s="56">
        <v>0.012</v>
      </c>
      <c r="O810" s="23" t="s">
        <v>66</v>
      </c>
      <c r="P810" s="57">
        <v>0.0</v>
      </c>
      <c r="Q810" s="58"/>
      <c r="R810" s="635"/>
      <c r="S810" s="32" t="s">
        <v>194</v>
      </c>
      <c r="T810" s="32" t="s">
        <v>8463</v>
      </c>
      <c r="U810" s="33" t="s">
        <v>8464</v>
      </c>
      <c r="V810" s="33" t="s">
        <v>8465</v>
      </c>
      <c r="W810" s="34">
        <v>27827.0</v>
      </c>
      <c r="X810" s="23" t="s">
        <v>54</v>
      </c>
      <c r="Y810" s="49" t="str">
        <f t="shared" si="22"/>
        <v>Ativo</v>
      </c>
      <c r="Z810" s="62"/>
      <c r="AA810" s="32" t="s">
        <v>47</v>
      </c>
      <c r="AB810" s="64"/>
      <c r="AC810" s="79"/>
      <c r="AD810" s="54">
        <v>46203.0</v>
      </c>
      <c r="AE810" s="77"/>
      <c r="AF810" s="79"/>
      <c r="AG810" s="79"/>
      <c r="AH810" s="79"/>
      <c r="AI810" s="79"/>
      <c r="AJ810" s="79"/>
      <c r="AK810" s="65"/>
      <c r="AL810" s="65"/>
      <c r="AM810" s="65"/>
      <c r="AN810" s="65"/>
      <c r="AO810" s="65"/>
      <c r="AP810" s="65"/>
      <c r="AQ810" s="65"/>
      <c r="AR810" s="65"/>
      <c r="AS810" s="65"/>
      <c r="AT810" s="65"/>
      <c r="AU810" s="65"/>
      <c r="AV810" s="65"/>
      <c r="AW810" s="65"/>
      <c r="AX810" s="65"/>
      <c r="AY810" s="65"/>
      <c r="AZ810" s="65"/>
      <c r="BA810" s="65"/>
      <c r="BB810" s="65"/>
      <c r="BC810" s="65"/>
      <c r="BD810" s="65"/>
      <c r="BE810" s="65"/>
      <c r="BF810" s="65"/>
      <c r="BG810" s="65"/>
      <c r="BH810" s="65"/>
      <c r="BI810" s="65"/>
      <c r="BJ810" s="65"/>
      <c r="BK810" s="65"/>
      <c r="BL810" s="65"/>
      <c r="BM810" s="65"/>
      <c r="BN810" s="65"/>
      <c r="BO810" s="65"/>
      <c r="BP810" s="65"/>
      <c r="BQ810" s="65"/>
      <c r="BR810" s="65"/>
      <c r="BS810" s="65"/>
      <c r="BT810" s="88"/>
      <c r="BU810" s="65"/>
      <c r="BV810" s="65"/>
      <c r="BW810" s="90">
        <v>100000.0</v>
      </c>
      <c r="BX810" s="90">
        <v>252585.27</v>
      </c>
      <c r="BY810" s="90">
        <f t="array" ref="BY810">XLOOKUP(C810,'PL TOTAL D0'!$A$3:$A$1991,'PL TOTAL D0'!$C$3:$C$1991,"")</f>
        <v>255553.2</v>
      </c>
    </row>
    <row r="811" ht="15.75" customHeight="1">
      <c r="A811" s="50" t="s">
        <v>24</v>
      </c>
      <c r="B811" s="50" t="s">
        <v>8467</v>
      </c>
      <c r="C811" s="94" t="s">
        <v>8468</v>
      </c>
      <c r="D811" s="81" t="s">
        <v>255</v>
      </c>
      <c r="E811" s="95" t="s">
        <v>199</v>
      </c>
      <c r="F811" s="81" t="s">
        <v>257</v>
      </c>
      <c r="G811" s="47" t="str">
        <f t="shared" si="36"/>
        <v>David</v>
      </c>
      <c r="H811" s="49" t="s">
        <v>224</v>
      </c>
      <c r="I811" s="49" t="s">
        <v>66</v>
      </c>
      <c r="J811" s="47" t="str">
        <f t="shared" si="35"/>
        <v>Não</v>
      </c>
      <c r="K811" s="97">
        <v>45142.0</v>
      </c>
      <c r="L811" s="186">
        <v>45525.0</v>
      </c>
      <c r="M811" s="62" t="s">
        <v>34</v>
      </c>
      <c r="N811" s="98">
        <v>0.012</v>
      </c>
      <c r="O811" s="47" t="s">
        <v>35</v>
      </c>
      <c r="P811" s="99">
        <v>0.1</v>
      </c>
      <c r="Q811" s="58"/>
      <c r="R811" s="635"/>
      <c r="S811" s="62" t="s">
        <v>194</v>
      </c>
      <c r="T811" s="32" t="s">
        <v>8469</v>
      </c>
      <c r="U811" s="33" t="s">
        <v>268</v>
      </c>
      <c r="V811" s="33"/>
      <c r="W811" s="33" t="s">
        <v>268</v>
      </c>
      <c r="X811" s="23" t="s">
        <v>199</v>
      </c>
      <c r="Y811" s="49" t="str">
        <f t="shared" si="22"/>
        <v>Encerrado</v>
      </c>
      <c r="Z811" s="62"/>
      <c r="AA811" s="62"/>
      <c r="AB811" s="64" t="s">
        <v>244</v>
      </c>
      <c r="AC811" s="79"/>
      <c r="AD811" s="54">
        <v>45142.0</v>
      </c>
      <c r="AE811" s="77">
        <v>4.9075100003025E13</v>
      </c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65">
        <v>113710.95</v>
      </c>
      <c r="AQ811" s="65">
        <v>140590.94</v>
      </c>
      <c r="AR811" s="65">
        <v>140857.09</v>
      </c>
      <c r="AS811" s="65">
        <v>143109.31</v>
      </c>
      <c r="AT811" s="65">
        <v>145201.68</v>
      </c>
      <c r="AU811" s="65">
        <v>103439.6</v>
      </c>
      <c r="AV811" s="65">
        <v>104207.06</v>
      </c>
      <c r="AW811" s="65">
        <v>104868.18</v>
      </c>
      <c r="AX811" s="65">
        <v>104717.38</v>
      </c>
      <c r="AY811" s="65">
        <v>53741.27</v>
      </c>
      <c r="AZ811" s="65">
        <v>54026.77</v>
      </c>
      <c r="BA811" s="65">
        <v>54726.43</v>
      </c>
      <c r="BB811" s="65">
        <v>0.0</v>
      </c>
      <c r="BC811" s="65">
        <v>0.0</v>
      </c>
      <c r="BD811" s="65">
        <v>0.0</v>
      </c>
      <c r="BE811" s="65">
        <v>0.0</v>
      </c>
      <c r="BF811" s="65">
        <v>0.0</v>
      </c>
      <c r="BG811" s="65">
        <v>0.0</v>
      </c>
      <c r="BH811" s="65">
        <v>0.0</v>
      </c>
      <c r="BI811" s="65">
        <v>0.0</v>
      </c>
      <c r="BJ811" s="65">
        <v>0.0</v>
      </c>
      <c r="BK811" s="65">
        <v>0.0</v>
      </c>
      <c r="BL811" s="65">
        <v>0.0</v>
      </c>
      <c r="BM811" s="65">
        <v>0.0</v>
      </c>
      <c r="BN811" s="65">
        <v>0.0</v>
      </c>
      <c r="BO811" s="65">
        <v>0.0</v>
      </c>
      <c r="BP811" s="65">
        <v>0.0</v>
      </c>
      <c r="BQ811" s="65">
        <v>0.0</v>
      </c>
      <c r="BR811" s="65">
        <v>0.0</v>
      </c>
      <c r="BS811" s="65">
        <v>0.0</v>
      </c>
      <c r="BT811" s="88">
        <v>0.0</v>
      </c>
      <c r="BU811" s="65">
        <v>0.0</v>
      </c>
      <c r="BV811" s="65">
        <v>0.0</v>
      </c>
      <c r="BW811" s="90">
        <v>0.0</v>
      </c>
      <c r="BX811" s="90">
        <v>0.0</v>
      </c>
      <c r="BY811" s="90" t="str">
        <f t="array" ref="BY811">XLOOKUP(C811,'PL TOTAL D0'!$A$3:$A$1991,'PL TOTAL D0'!$C$3:$C$1991,"")</f>
        <v/>
      </c>
    </row>
    <row r="812" ht="15.75" customHeight="1">
      <c r="A812" s="50" t="s">
        <v>24</v>
      </c>
      <c r="B812" s="50" t="s">
        <v>8471</v>
      </c>
      <c r="C812" s="94" t="s">
        <v>8472</v>
      </c>
      <c r="D812" s="81" t="s">
        <v>120</v>
      </c>
      <c r="E812" s="95" t="s">
        <v>54</v>
      </c>
      <c r="F812" s="81" t="s">
        <v>379</v>
      </c>
      <c r="G812" s="47" t="str">
        <f t="shared" si="36"/>
        <v>David</v>
      </c>
      <c r="H812" s="49" t="s">
        <v>224</v>
      </c>
      <c r="I812" s="49" t="s">
        <v>66</v>
      </c>
      <c r="J812" s="47" t="str">
        <f t="shared" si="35"/>
        <v>Não</v>
      </c>
      <c r="K812" s="97">
        <v>45061.0</v>
      </c>
      <c r="L812" s="121">
        <v>45957.0</v>
      </c>
      <c r="M812" s="62" t="s">
        <v>61</v>
      </c>
      <c r="N812" s="98">
        <v>0.012</v>
      </c>
      <c r="O812" s="47" t="s">
        <v>66</v>
      </c>
      <c r="P812" s="99">
        <v>0.0</v>
      </c>
      <c r="Q812" s="58"/>
      <c r="R812" s="195" t="s">
        <v>610</v>
      </c>
      <c r="S812" s="62" t="s">
        <v>194</v>
      </c>
      <c r="T812" s="32" t="s">
        <v>8474</v>
      </c>
      <c r="U812" s="33">
        <v>6.2981753161E10</v>
      </c>
      <c r="V812" s="33" t="s">
        <v>8475</v>
      </c>
      <c r="W812" s="34">
        <v>24936.0</v>
      </c>
      <c r="X812" s="23" t="s">
        <v>54</v>
      </c>
      <c r="Y812" s="49" t="str">
        <f t="shared" si="22"/>
        <v>Encerrado</v>
      </c>
      <c r="Z812" s="62"/>
      <c r="AA812" s="62"/>
      <c r="AB812" s="64" t="s">
        <v>269</v>
      </c>
      <c r="AC812" s="79"/>
      <c r="AD812" s="54">
        <v>45061.0</v>
      </c>
      <c r="AE812" s="77">
        <v>4.9075100008957E13</v>
      </c>
      <c r="AF812" s="79"/>
      <c r="AG812" s="79"/>
      <c r="AH812" s="79"/>
      <c r="AI812" s="79"/>
      <c r="AJ812" s="79"/>
      <c r="AK812" s="79"/>
      <c r="AL812" s="65">
        <v>0.0</v>
      </c>
      <c r="AM812" s="65">
        <v>100563.06</v>
      </c>
      <c r="AN812" s="65">
        <v>101482.84</v>
      </c>
      <c r="AO812" s="65">
        <v>98285.69</v>
      </c>
      <c r="AP812" s="65">
        <v>99818.75</v>
      </c>
      <c r="AQ812" s="65">
        <v>101218.18</v>
      </c>
      <c r="AR812" s="65">
        <v>102112.14</v>
      </c>
      <c r="AS812" s="65">
        <v>107887.84</v>
      </c>
      <c r="AT812" s="65">
        <v>112538.41</v>
      </c>
      <c r="AU812" s="65">
        <v>115488.71</v>
      </c>
      <c r="AV812" s="65">
        <v>117061.56</v>
      </c>
      <c r="AW812" s="65">
        <v>124791.66</v>
      </c>
      <c r="AX812" s="65">
        <v>129535.66</v>
      </c>
      <c r="AY812" s="65">
        <v>130442.0</v>
      </c>
      <c r="AZ812" s="65">
        <v>131948.4</v>
      </c>
      <c r="BA812" s="65">
        <v>137185.0</v>
      </c>
      <c r="BB812" s="65">
        <v>145993.47</v>
      </c>
      <c r="BC812" s="65">
        <v>150133.13</v>
      </c>
      <c r="BD812" s="65">
        <v>153197.1</v>
      </c>
      <c r="BE812" s="65">
        <v>106683.23</v>
      </c>
      <c r="BF812" s="65">
        <v>107344.32</v>
      </c>
      <c r="BG812" s="65">
        <v>111898.99</v>
      </c>
      <c r="BH812" s="65">
        <v>116377.69</v>
      </c>
      <c r="BI812" s="65">
        <v>56382.65</v>
      </c>
      <c r="BJ812" s="65">
        <v>85270.96</v>
      </c>
      <c r="BK812" s="65">
        <v>86159.05</v>
      </c>
      <c r="BL812" s="65">
        <v>86661.23</v>
      </c>
      <c r="BM812" s="65">
        <v>90511.7</v>
      </c>
      <c r="BN812" s="65">
        <v>91381.96</v>
      </c>
      <c r="BO812" s="65">
        <v>0.0</v>
      </c>
      <c r="BP812" s="65">
        <v>0.0</v>
      </c>
      <c r="BQ812" s="65">
        <v>0.0</v>
      </c>
      <c r="BR812" s="65">
        <v>0.0</v>
      </c>
      <c r="BS812" s="65">
        <v>0.0</v>
      </c>
      <c r="BT812" s="88">
        <v>0.0</v>
      </c>
      <c r="BU812" s="65">
        <v>0.0</v>
      </c>
      <c r="BV812" s="65">
        <v>0.0</v>
      </c>
      <c r="BW812" s="90">
        <v>0.0</v>
      </c>
      <c r="BX812" s="90">
        <v>0.0</v>
      </c>
      <c r="BY812" s="90" t="str">
        <f t="array" ref="BY812">XLOOKUP(C812,'PL TOTAL D0'!$A$3:$A$1991,'PL TOTAL D0'!$C$3:$C$1991,"")</f>
        <v/>
      </c>
    </row>
    <row r="813" ht="15.75" customHeight="1">
      <c r="A813" s="50" t="s">
        <v>24</v>
      </c>
      <c r="B813" s="50" t="s">
        <v>1720</v>
      </c>
      <c r="C813" s="94" t="s">
        <v>3061</v>
      </c>
      <c r="D813" s="81" t="s">
        <v>120</v>
      </c>
      <c r="E813" s="95" t="s">
        <v>199</v>
      </c>
      <c r="F813" s="81" t="s">
        <v>212</v>
      </c>
      <c r="G813" s="47" t="str">
        <f t="shared" si="36"/>
        <v>Gabriel</v>
      </c>
      <c r="H813" s="74" t="s">
        <v>183</v>
      </c>
      <c r="I813" s="74" t="s">
        <v>66</v>
      </c>
      <c r="J813" s="47" t="str">
        <f t="shared" si="35"/>
        <v>Não</v>
      </c>
      <c r="K813" s="97">
        <v>45163.0</v>
      </c>
      <c r="L813" s="189"/>
      <c r="M813" s="62" t="s">
        <v>61</v>
      </c>
      <c r="N813" s="98">
        <v>0.012</v>
      </c>
      <c r="O813" s="47" t="s">
        <v>66</v>
      </c>
      <c r="P813" s="99">
        <v>0.0</v>
      </c>
      <c r="Q813" s="58"/>
      <c r="R813" s="635"/>
      <c r="S813" s="62" t="s">
        <v>194</v>
      </c>
      <c r="T813" s="21" t="s">
        <v>1723</v>
      </c>
      <c r="U813" s="33">
        <v>6.1999722507E10</v>
      </c>
      <c r="V813" s="33" t="s">
        <v>1725</v>
      </c>
      <c r="W813" s="34">
        <v>24349.0</v>
      </c>
      <c r="X813" s="23" t="s">
        <v>199</v>
      </c>
      <c r="Y813" s="49" t="str">
        <f t="shared" si="22"/>
        <v>Ativo</v>
      </c>
      <c r="Z813" s="62"/>
      <c r="AA813" s="62"/>
      <c r="AB813" s="64" t="s">
        <v>269</v>
      </c>
      <c r="AC813" s="79"/>
      <c r="AD813" s="54">
        <v>45163.0</v>
      </c>
      <c r="AE813" s="77">
        <v>4.9075100007527E13</v>
      </c>
      <c r="AF813" s="79"/>
      <c r="AG813" s="79"/>
      <c r="AH813" s="79"/>
      <c r="AI813" s="79"/>
      <c r="AJ813" s="79"/>
      <c r="AK813" s="79"/>
      <c r="AL813" s="65">
        <v>0.0</v>
      </c>
      <c r="AM813" s="65">
        <v>0.0</v>
      </c>
      <c r="AN813" s="65">
        <v>0.0</v>
      </c>
      <c r="AO813" s="65">
        <v>0.0</v>
      </c>
      <c r="AP813" s="65">
        <v>0.0</v>
      </c>
      <c r="AQ813" s="65">
        <v>69433.98</v>
      </c>
      <c r="AR813" s="65">
        <v>119309.69</v>
      </c>
      <c r="AS813" s="65">
        <v>120232.86</v>
      </c>
      <c r="AT813" s="65">
        <v>121160.89</v>
      </c>
      <c r="AU813" s="65">
        <v>111265.43</v>
      </c>
      <c r="AV813" s="65">
        <v>101675.26</v>
      </c>
      <c r="AW813" s="65">
        <v>94987.15</v>
      </c>
      <c r="AX813" s="65">
        <v>88119.86</v>
      </c>
      <c r="AY813" s="65">
        <v>81028.38</v>
      </c>
      <c r="AZ813" s="65">
        <v>73568.12</v>
      </c>
      <c r="BA813" s="65">
        <v>66079.52</v>
      </c>
      <c r="BB813" s="65">
        <v>58458.09</v>
      </c>
      <c r="BC813" s="65">
        <v>49122.72</v>
      </c>
      <c r="BD813" s="65">
        <v>301104.32</v>
      </c>
      <c r="BE813" s="65">
        <v>302399.34</v>
      </c>
      <c r="BF813" s="65">
        <v>304041.94</v>
      </c>
      <c r="BG813" s="65">
        <v>307048.16</v>
      </c>
      <c r="BH813" s="65">
        <v>310604.42</v>
      </c>
      <c r="BI813" s="65">
        <v>313146.7</v>
      </c>
      <c r="BJ813" s="65">
        <v>316167.52</v>
      </c>
      <c r="BK813" s="65">
        <v>269787.36</v>
      </c>
      <c r="BL813" s="65">
        <v>271111.34</v>
      </c>
      <c r="BM813" s="65">
        <v>274348.17</v>
      </c>
      <c r="BN813" s="65">
        <v>277367.5</v>
      </c>
      <c r="BO813" s="65">
        <v>280243.5</v>
      </c>
      <c r="BP813" s="65">
        <v>283780.8</v>
      </c>
      <c r="BQ813" s="65">
        <v>284243.0</v>
      </c>
      <c r="BR813" s="65">
        <v>286590.2</v>
      </c>
      <c r="BS813" s="65">
        <v>290165.36</v>
      </c>
      <c r="BT813" s="88">
        <v>292245.4</v>
      </c>
      <c r="BU813" s="65">
        <v>295204.0</v>
      </c>
      <c r="BV813" s="65">
        <v>298590.3</v>
      </c>
      <c r="BW813" s="90">
        <v>301582.9</v>
      </c>
      <c r="BX813" s="90">
        <v>304402.65</v>
      </c>
      <c r="BY813" s="90">
        <f t="array" ref="BY813">XLOOKUP(C813,'PL TOTAL D0'!$A$3:$A$1991,'PL TOTAL D0'!$C$3:$C$1991,"")</f>
        <v>305739.18</v>
      </c>
    </row>
    <row r="814" ht="15.75" customHeight="1">
      <c r="A814" s="50" t="s">
        <v>24</v>
      </c>
      <c r="B814" s="43" t="s">
        <v>8478</v>
      </c>
      <c r="C814" s="53" t="s">
        <v>2765</v>
      </c>
      <c r="D814" s="30" t="s">
        <v>27</v>
      </c>
      <c r="E814" s="22" t="s">
        <v>28</v>
      </c>
      <c r="F814" s="30" t="s">
        <v>29</v>
      </c>
      <c r="G814" s="47" t="str">
        <f t="shared" si="36"/>
        <v>David</v>
      </c>
      <c r="H814" s="49" t="s">
        <v>183</v>
      </c>
      <c r="I814" s="49" t="s">
        <v>66</v>
      </c>
      <c r="J814" s="47" t="str">
        <f t="shared" si="35"/>
        <v>Não</v>
      </c>
      <c r="K814" s="54">
        <v>46204.0</v>
      </c>
      <c r="L814" s="189"/>
      <c r="M814" s="32" t="s">
        <v>557</v>
      </c>
      <c r="N814" s="56">
        <v>0.007</v>
      </c>
      <c r="O814" s="23" t="s">
        <v>66</v>
      </c>
      <c r="P814" s="99">
        <v>0.0</v>
      </c>
      <c r="Q814" s="58"/>
      <c r="R814" s="635"/>
      <c r="S814" s="62" t="s">
        <v>194</v>
      </c>
      <c r="T814" s="21" t="s">
        <v>8479</v>
      </c>
      <c r="U814" s="33" t="s">
        <v>8480</v>
      </c>
      <c r="V814" s="33" t="s">
        <v>8481</v>
      </c>
      <c r="W814" s="34">
        <v>20717.0</v>
      </c>
      <c r="X814" s="23" t="s">
        <v>28</v>
      </c>
      <c r="Y814" s="49" t="str">
        <f t="shared" si="22"/>
        <v>Ativo</v>
      </c>
      <c r="Z814" s="62"/>
      <c r="AA814" s="32" t="s">
        <v>47</v>
      </c>
      <c r="AB814" s="64"/>
      <c r="AC814" s="79"/>
      <c r="AD814" s="54"/>
      <c r="AE814" s="77"/>
      <c r="AF814" s="79"/>
      <c r="AG814" s="79"/>
      <c r="AH814" s="79"/>
      <c r="AI814" s="79"/>
      <c r="AJ814" s="79"/>
      <c r="AK814" s="79"/>
      <c r="AL814" s="65"/>
      <c r="AM814" s="65"/>
      <c r="AN814" s="65"/>
      <c r="AO814" s="65"/>
      <c r="AP814" s="65"/>
      <c r="AQ814" s="65"/>
      <c r="AR814" s="65"/>
      <c r="AS814" s="65"/>
      <c r="AT814" s="65"/>
      <c r="AU814" s="65"/>
      <c r="AV814" s="65"/>
      <c r="AW814" s="65"/>
      <c r="AX814" s="65"/>
      <c r="AY814" s="65"/>
      <c r="AZ814" s="65"/>
      <c r="BA814" s="65"/>
      <c r="BB814" s="65"/>
      <c r="BC814" s="65"/>
      <c r="BD814" s="65"/>
      <c r="BE814" s="65"/>
      <c r="BF814" s="65"/>
      <c r="BG814" s="65"/>
      <c r="BH814" s="65"/>
      <c r="BI814" s="65"/>
      <c r="BJ814" s="65"/>
      <c r="BK814" s="65"/>
      <c r="BL814" s="65"/>
      <c r="BM814" s="65"/>
      <c r="BN814" s="65"/>
      <c r="BO814" s="65"/>
      <c r="BP814" s="65"/>
      <c r="BQ814" s="65"/>
      <c r="BR814" s="65"/>
      <c r="BS814" s="65"/>
      <c r="BT814" s="88"/>
      <c r="BU814" s="65"/>
      <c r="BV814" s="65"/>
      <c r="BW814" s="90"/>
      <c r="BX814" s="90">
        <v>0.0</v>
      </c>
      <c r="BY814" s="90">
        <f t="array" ref="BY814">XLOOKUP(C814,'PL TOTAL D0'!$A$3:$A$1991,'PL TOTAL D0'!$C$3:$C$1991,"")</f>
        <v>779726.47</v>
      </c>
    </row>
    <row r="815" ht="15.75" customHeight="1">
      <c r="A815" s="50" t="s">
        <v>24</v>
      </c>
      <c r="B815" s="50" t="s">
        <v>6320</v>
      </c>
      <c r="C815" s="94" t="s">
        <v>8482</v>
      </c>
      <c r="D815" s="81" t="s">
        <v>120</v>
      </c>
      <c r="E815" s="95" t="s">
        <v>54</v>
      </c>
      <c r="F815" s="81" t="s">
        <v>348</v>
      </c>
      <c r="G815" s="47" t="str">
        <f t="shared" si="36"/>
        <v>David</v>
      </c>
      <c r="H815" s="49" t="s">
        <v>295</v>
      </c>
      <c r="I815" s="74" t="s">
        <v>382</v>
      </c>
      <c r="J815" s="47" t="str">
        <f t="shared" si="35"/>
        <v>Não</v>
      </c>
      <c r="K815" s="97">
        <v>45163.0</v>
      </c>
      <c r="L815" s="189"/>
      <c r="M815" s="62" t="s">
        <v>61</v>
      </c>
      <c r="N815" s="98">
        <v>0.01</v>
      </c>
      <c r="O815" s="47" t="s">
        <v>66</v>
      </c>
      <c r="P815" s="99">
        <v>0.0</v>
      </c>
      <c r="Q815" s="58"/>
      <c r="R815" s="736"/>
      <c r="S815" s="62" t="s">
        <v>194</v>
      </c>
      <c r="T815" s="32" t="s">
        <v>6319</v>
      </c>
      <c r="U815" s="33">
        <v>5.562992168451E12</v>
      </c>
      <c r="V815" s="33" t="s">
        <v>8483</v>
      </c>
      <c r="W815" s="34">
        <v>28883.0</v>
      </c>
      <c r="X815" s="23" t="s">
        <v>54</v>
      </c>
      <c r="Y815" s="49" t="str">
        <f t="shared" si="22"/>
        <v>Inativo</v>
      </c>
      <c r="Z815" s="62"/>
      <c r="AA815" s="62"/>
      <c r="AB815" s="64" t="s">
        <v>269</v>
      </c>
      <c r="AC815" s="79"/>
      <c r="AD815" s="54">
        <v>45163.0</v>
      </c>
      <c r="AE815" s="77">
        <v>4.9075100011699E13</v>
      </c>
      <c r="AF815" s="79"/>
      <c r="AG815" s="79"/>
      <c r="AH815" s="79"/>
      <c r="AI815" s="79"/>
      <c r="AJ815" s="65">
        <v>0.0</v>
      </c>
      <c r="AK815" s="65">
        <v>0.0</v>
      </c>
      <c r="AL815" s="65">
        <v>0.0</v>
      </c>
      <c r="AM815" s="65">
        <v>0.0</v>
      </c>
      <c r="AN815" s="65">
        <v>0.0</v>
      </c>
      <c r="AO815" s="65">
        <v>0.0</v>
      </c>
      <c r="AP815" s="65">
        <v>0.0</v>
      </c>
      <c r="AQ815" s="65">
        <v>0.0</v>
      </c>
      <c r="AR815" s="65">
        <v>0.0</v>
      </c>
      <c r="AS815" s="65">
        <v>0.0</v>
      </c>
      <c r="AT815" s="65">
        <v>0.0</v>
      </c>
      <c r="AU815" s="65">
        <v>0.0</v>
      </c>
      <c r="AV815" s="65">
        <v>0.0</v>
      </c>
      <c r="AW815" s="65">
        <v>0.0</v>
      </c>
      <c r="AX815" s="65">
        <v>0.0</v>
      </c>
      <c r="AY815" s="65">
        <v>0.0</v>
      </c>
      <c r="AZ815" s="65">
        <v>0.0</v>
      </c>
      <c r="BA815" s="65">
        <v>0.0</v>
      </c>
      <c r="BB815" s="65">
        <v>0.0</v>
      </c>
      <c r="BC815" s="65">
        <v>0.0</v>
      </c>
      <c r="BD815" s="65">
        <v>0.0</v>
      </c>
      <c r="BE815" s="65">
        <v>0.0</v>
      </c>
      <c r="BF815" s="65">
        <v>0.0</v>
      </c>
      <c r="BG815" s="65">
        <v>0.0</v>
      </c>
      <c r="BH815" s="65">
        <v>0.0</v>
      </c>
      <c r="BI815" s="65">
        <v>0.0</v>
      </c>
      <c r="BJ815" s="65">
        <v>0.0</v>
      </c>
      <c r="BK815" s="65">
        <v>0.0</v>
      </c>
      <c r="BL815" s="65">
        <v>0.0</v>
      </c>
      <c r="BM815" s="65">
        <v>0.0</v>
      </c>
      <c r="BN815" s="65">
        <v>0.0</v>
      </c>
      <c r="BO815" s="65">
        <v>0.0</v>
      </c>
      <c r="BP815" s="65">
        <v>0.0</v>
      </c>
      <c r="BQ815" s="65">
        <v>0.0</v>
      </c>
      <c r="BR815" s="65">
        <v>0.0</v>
      </c>
      <c r="BS815" s="65">
        <v>0.0</v>
      </c>
      <c r="BT815" s="88">
        <v>0.0</v>
      </c>
      <c r="BU815" s="65">
        <v>0.0</v>
      </c>
      <c r="BV815" s="65">
        <v>0.0</v>
      </c>
      <c r="BW815" s="90">
        <v>0.0</v>
      </c>
      <c r="BX815" s="90">
        <v>0.0</v>
      </c>
      <c r="BY815" s="90" t="str">
        <f t="array" ref="BY815">XLOOKUP(C815,'PL TOTAL D0'!$A$3:$A$1991,'PL TOTAL D0'!$C$3:$C$1991,"")</f>
        <v/>
      </c>
    </row>
    <row r="816" ht="15.75" customHeight="1">
      <c r="A816" s="50" t="s">
        <v>24</v>
      </c>
      <c r="B816" s="50" t="s">
        <v>6333</v>
      </c>
      <c r="C816" s="94" t="s">
        <v>3051</v>
      </c>
      <c r="D816" s="81" t="s">
        <v>120</v>
      </c>
      <c r="E816" s="95" t="s">
        <v>199</v>
      </c>
      <c r="F816" s="95" t="s">
        <v>290</v>
      </c>
      <c r="G816" s="47" t="str">
        <f t="shared" si="36"/>
        <v>Gabriel</v>
      </c>
      <c r="H816" s="74" t="s">
        <v>183</v>
      </c>
      <c r="I816" s="74" t="s">
        <v>66</v>
      </c>
      <c r="J816" s="47" t="str">
        <f t="shared" si="35"/>
        <v>Não</v>
      </c>
      <c r="K816" s="97">
        <v>45048.0</v>
      </c>
      <c r="L816" s="62"/>
      <c r="M816" s="62" t="s">
        <v>61</v>
      </c>
      <c r="N816" s="98">
        <v>0.012</v>
      </c>
      <c r="O816" s="47" t="s">
        <v>66</v>
      </c>
      <c r="P816" s="99">
        <v>0.0</v>
      </c>
      <c r="Q816" s="58"/>
      <c r="R816" s="635"/>
      <c r="S816" s="62" t="s">
        <v>194</v>
      </c>
      <c r="T816" s="32" t="s">
        <v>6332</v>
      </c>
      <c r="U816" s="33">
        <v>6.1999893001E10</v>
      </c>
      <c r="V816" s="33" t="s">
        <v>8484</v>
      </c>
      <c r="W816" s="34">
        <v>24137.0</v>
      </c>
      <c r="X816" s="23" t="s">
        <v>199</v>
      </c>
      <c r="Y816" s="49" t="str">
        <f t="shared" si="22"/>
        <v>Ativo</v>
      </c>
      <c r="Z816" s="62"/>
      <c r="AA816" s="62"/>
      <c r="AB816" s="64" t="s">
        <v>269</v>
      </c>
      <c r="AC816" s="79"/>
      <c r="AD816" s="54">
        <v>45048.0</v>
      </c>
      <c r="AE816" s="77">
        <v>4.9075100007055E13</v>
      </c>
      <c r="AF816" s="79"/>
      <c r="AG816" s="79"/>
      <c r="AH816" s="79"/>
      <c r="AI816" s="79"/>
      <c r="AJ816" s="79"/>
      <c r="AK816" s="65">
        <v>0.0</v>
      </c>
      <c r="AL816" s="65">
        <v>0.0</v>
      </c>
      <c r="AM816" s="65">
        <v>230828.89</v>
      </c>
      <c r="AN816" s="65">
        <v>233457.5</v>
      </c>
      <c r="AO816" s="65">
        <v>235284.62</v>
      </c>
      <c r="AP816" s="65">
        <v>236929.21</v>
      </c>
      <c r="AQ816" s="65">
        <v>236309.68</v>
      </c>
      <c r="AR816" s="65">
        <v>237754.02</v>
      </c>
      <c r="AS816" s="65">
        <v>240176.41</v>
      </c>
      <c r="AT816" s="65">
        <v>242739.59</v>
      </c>
      <c r="AU816" s="65">
        <v>241480.57</v>
      </c>
      <c r="AV816" s="65">
        <v>243002.64</v>
      </c>
      <c r="AW816" s="65">
        <v>244225.82</v>
      </c>
      <c r="AX816" s="65">
        <v>244913.65</v>
      </c>
      <c r="AY816" s="65">
        <v>246827.4</v>
      </c>
      <c r="AZ816" s="65">
        <v>247926.1</v>
      </c>
      <c r="BA816" s="65">
        <v>249319.6</v>
      </c>
      <c r="BB816" s="65">
        <v>254933.36</v>
      </c>
      <c r="BC816" s="65">
        <v>256274.47</v>
      </c>
      <c r="BD816" s="65">
        <v>258505.64</v>
      </c>
      <c r="BE816" s="65">
        <v>259994.96</v>
      </c>
      <c r="BF816" s="65">
        <v>262012.68</v>
      </c>
      <c r="BG816" s="65">
        <v>264407.0</v>
      </c>
      <c r="BH816" s="65">
        <v>266870.38</v>
      </c>
      <c r="BI816" s="65">
        <v>269113.66</v>
      </c>
      <c r="BJ816" s="65">
        <v>271879.93</v>
      </c>
      <c r="BK816" s="65">
        <v>274443.16</v>
      </c>
      <c r="BL816" s="65">
        <v>276905.17</v>
      </c>
      <c r="BM816" s="65">
        <v>279772.77</v>
      </c>
      <c r="BN816" s="65">
        <v>282187.5</v>
      </c>
      <c r="BO816" s="65">
        <v>284806.73</v>
      </c>
      <c r="BP816" s="65">
        <v>287823.6</v>
      </c>
      <c r="BQ816" s="65">
        <v>289617.9</v>
      </c>
      <c r="BR816" s="65">
        <v>292445.6</v>
      </c>
      <c r="BS816" s="65">
        <v>294250.31</v>
      </c>
      <c r="BT816" s="88">
        <v>296591.1</v>
      </c>
      <c r="BU816" s="65">
        <v>299985.3</v>
      </c>
      <c r="BV816" s="65">
        <v>303222.4</v>
      </c>
      <c r="BW816" s="90">
        <v>305611.6</v>
      </c>
      <c r="BX816" s="90">
        <v>308455.12</v>
      </c>
      <c r="BY816" s="90">
        <f t="array" ref="BY816">XLOOKUP(C816,'PL TOTAL D0'!$A$3:$A$1991,'PL TOTAL D0'!$C$3:$C$1991,"")</f>
        <v>308996.51</v>
      </c>
    </row>
    <row r="817" ht="15.75" customHeight="1">
      <c r="A817" s="43" t="s">
        <v>24</v>
      </c>
      <c r="B817" s="43" t="s">
        <v>8485</v>
      </c>
      <c r="C817" s="94" t="s">
        <v>8486</v>
      </c>
      <c r="D817" s="30" t="s">
        <v>255</v>
      </c>
      <c r="E817" s="22" t="s">
        <v>199</v>
      </c>
      <c r="F817" s="22" t="s">
        <v>8487</v>
      </c>
      <c r="G817" s="47" t="str">
        <f t="shared" si="36"/>
        <v>David</v>
      </c>
      <c r="H817" s="49" t="s">
        <v>224</v>
      </c>
      <c r="I817" s="49" t="s">
        <v>66</v>
      </c>
      <c r="J817" s="47" t="str">
        <f t="shared" si="35"/>
        <v>Não</v>
      </c>
      <c r="K817" s="54">
        <v>45337.0</v>
      </c>
      <c r="L817" s="55">
        <v>45532.0</v>
      </c>
      <c r="M817" s="32" t="s">
        <v>1443</v>
      </c>
      <c r="N817" s="56">
        <v>0.014</v>
      </c>
      <c r="O817" s="23" t="s">
        <v>35</v>
      </c>
      <c r="P817" s="57">
        <v>0.1</v>
      </c>
      <c r="Q817" s="58"/>
      <c r="R817" s="635"/>
      <c r="S817" s="32" t="s">
        <v>194</v>
      </c>
      <c r="T817" s="32" t="s">
        <v>8488</v>
      </c>
      <c r="U817" s="33" t="s">
        <v>268</v>
      </c>
      <c r="V817" s="33"/>
      <c r="W817" s="33" t="s">
        <v>268</v>
      </c>
      <c r="X817" s="23" t="s">
        <v>199</v>
      </c>
      <c r="Y817" s="49" t="str">
        <f t="shared" si="22"/>
        <v>Encerrado</v>
      </c>
      <c r="Z817" s="62"/>
      <c r="AA817" s="62"/>
      <c r="AB817" s="64"/>
      <c r="AC817" s="79"/>
      <c r="AD817" s="54">
        <v>45337.0</v>
      </c>
      <c r="AE817" s="77">
        <v>4.9075100013391E13</v>
      </c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65">
        <v>396577.13</v>
      </c>
      <c r="AW817" s="65">
        <v>501159.88</v>
      </c>
      <c r="AX817" s="65">
        <v>679243.23</v>
      </c>
      <c r="AY817" s="65">
        <v>799332.7</v>
      </c>
      <c r="AZ817" s="65">
        <v>803953.7</v>
      </c>
      <c r="BA817" s="65">
        <v>1118595.0</v>
      </c>
      <c r="BB817" s="65">
        <v>0.0</v>
      </c>
      <c r="BC817" s="65">
        <v>0.0</v>
      </c>
      <c r="BD817" s="65">
        <v>0.0</v>
      </c>
      <c r="BE817" s="65">
        <v>0.0</v>
      </c>
      <c r="BF817" s="65">
        <v>0.0</v>
      </c>
      <c r="BG817" s="65">
        <v>0.0</v>
      </c>
      <c r="BH817" s="65">
        <v>0.0</v>
      </c>
      <c r="BI817" s="65">
        <v>0.0</v>
      </c>
      <c r="BJ817" s="65">
        <v>0.0</v>
      </c>
      <c r="BK817" s="65">
        <v>0.0</v>
      </c>
      <c r="BL817" s="65">
        <v>0.0</v>
      </c>
      <c r="BM817" s="65">
        <v>0.0</v>
      </c>
      <c r="BN817" s="65">
        <v>0.0</v>
      </c>
      <c r="BO817" s="65">
        <v>0.0</v>
      </c>
      <c r="BP817" s="65">
        <v>0.0</v>
      </c>
      <c r="BQ817" s="65">
        <v>0.0</v>
      </c>
      <c r="BR817" s="65">
        <v>0.0</v>
      </c>
      <c r="BS817" s="65">
        <v>0.0</v>
      </c>
      <c r="BT817" s="88">
        <v>0.0</v>
      </c>
      <c r="BU817" s="65">
        <v>0.0</v>
      </c>
      <c r="BV817" s="65">
        <v>0.0</v>
      </c>
      <c r="BW817" s="90">
        <v>0.0</v>
      </c>
      <c r="BX817" s="90">
        <v>0.0</v>
      </c>
      <c r="BY817" s="90" t="str">
        <f t="array" ref="BY817">XLOOKUP(C817,'PL TOTAL D0'!$A$3:$A$1991,'PL TOTAL D0'!$C$3:$C$1991,"")</f>
        <v/>
      </c>
    </row>
    <row r="818" ht="15.75" customHeight="1">
      <c r="A818" s="43" t="s">
        <v>24</v>
      </c>
      <c r="B818" s="43" t="s">
        <v>8489</v>
      </c>
      <c r="C818" s="94" t="s">
        <v>2490</v>
      </c>
      <c r="D818" s="30" t="s">
        <v>89</v>
      </c>
      <c r="E818" s="22" t="s">
        <v>91</v>
      </c>
      <c r="F818" s="22" t="s">
        <v>521</v>
      </c>
      <c r="G818" s="47" t="str">
        <f t="shared" si="36"/>
        <v>Marcus</v>
      </c>
      <c r="H818" s="49" t="s">
        <v>183</v>
      </c>
      <c r="I818" s="49" t="s">
        <v>66</v>
      </c>
      <c r="J818" s="47" t="str">
        <f t="shared" si="35"/>
        <v>Não</v>
      </c>
      <c r="K818" s="54">
        <v>45880.0</v>
      </c>
      <c r="L818" s="55"/>
      <c r="M818" s="32" t="s">
        <v>1349</v>
      </c>
      <c r="N818" s="56">
        <v>0.012</v>
      </c>
      <c r="O818" s="23" t="s">
        <v>66</v>
      </c>
      <c r="P818" s="57">
        <v>0.0</v>
      </c>
      <c r="Q818" s="58"/>
      <c r="R818" s="635"/>
      <c r="S818" s="32" t="s">
        <v>194</v>
      </c>
      <c r="T818" s="32" t="s">
        <v>8490</v>
      </c>
      <c r="U818" s="33" t="s">
        <v>268</v>
      </c>
      <c r="V818" s="33"/>
      <c r="W818" s="33" t="s">
        <v>268</v>
      </c>
      <c r="X818" s="23" t="s">
        <v>221</v>
      </c>
      <c r="Y818" s="49" t="str">
        <f t="shared" si="22"/>
        <v>Ativo</v>
      </c>
      <c r="Z818" s="62"/>
      <c r="AA818" s="32" t="s">
        <v>165</v>
      </c>
      <c r="AB818" s="64"/>
      <c r="AC818" s="79"/>
      <c r="AD818" s="54">
        <v>45903.0</v>
      </c>
      <c r="AE818" s="148">
        <v>4.9075100019487E13</v>
      </c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65"/>
      <c r="AW818" s="65"/>
      <c r="AX818" s="65"/>
      <c r="AY818" s="65"/>
      <c r="AZ818" s="65"/>
      <c r="BA818" s="65"/>
      <c r="BB818" s="65"/>
      <c r="BC818" s="65"/>
      <c r="BD818" s="65"/>
      <c r="BE818" s="65"/>
      <c r="BF818" s="65"/>
      <c r="BG818" s="65"/>
      <c r="BH818" s="65"/>
      <c r="BI818" s="65"/>
      <c r="BJ818" s="65"/>
      <c r="BK818" s="65"/>
      <c r="BL818" s="65"/>
      <c r="BM818" s="65">
        <v>0.0</v>
      </c>
      <c r="BN818" s="65">
        <v>0.0</v>
      </c>
      <c r="BO818" s="65">
        <v>3518104.42</v>
      </c>
      <c r="BP818" s="65">
        <v>3557124.0</v>
      </c>
      <c r="BQ818" s="65">
        <v>3579261.0</v>
      </c>
      <c r="BR818" s="65">
        <v>3611096.0</v>
      </c>
      <c r="BS818" s="65">
        <v>3644672.93</v>
      </c>
      <c r="BT818" s="88">
        <v>3672156.0</v>
      </c>
      <c r="BU818" s="65">
        <v>3680238.0</v>
      </c>
      <c r="BV818" s="65">
        <v>3720883.0</v>
      </c>
      <c r="BW818" s="90">
        <v>4433459.0</v>
      </c>
      <c r="BX818" s="90">
        <v>4480481.02</v>
      </c>
      <c r="BY818" s="90">
        <f t="array" ref="BY818">XLOOKUP(C818,'PL TOTAL D0'!$A$3:$A$1991,'PL TOTAL D0'!$C$3:$C$1991,"")</f>
        <v>4520203.82</v>
      </c>
    </row>
    <row r="819" ht="15.75" customHeight="1">
      <c r="A819" s="43" t="s">
        <v>24</v>
      </c>
      <c r="B819" s="43" t="s">
        <v>8491</v>
      </c>
      <c r="C819" s="94" t="s">
        <v>3562</v>
      </c>
      <c r="D819" s="30" t="s">
        <v>120</v>
      </c>
      <c r="E819" s="22" t="s">
        <v>199</v>
      </c>
      <c r="F819" s="22" t="s">
        <v>6373</v>
      </c>
      <c r="G819" s="47" t="str">
        <f t="shared" si="36"/>
        <v>David</v>
      </c>
      <c r="H819" s="49" t="s">
        <v>183</v>
      </c>
      <c r="I819" s="49" t="s">
        <v>66</v>
      </c>
      <c r="J819" s="47" t="str">
        <f t="shared" si="35"/>
        <v>Sim</v>
      </c>
      <c r="K819" s="54">
        <v>46036.0</v>
      </c>
      <c r="L819" s="55"/>
      <c r="M819" s="32" t="s">
        <v>390</v>
      </c>
      <c r="N819" s="56">
        <v>0.005</v>
      </c>
      <c r="O819" s="23" t="s">
        <v>66</v>
      </c>
      <c r="P819" s="57">
        <v>0.0</v>
      </c>
      <c r="Q819" s="58" t="s">
        <v>8492</v>
      </c>
      <c r="R819" s="635"/>
      <c r="S819" s="32" t="s">
        <v>194</v>
      </c>
      <c r="T819" s="32" t="s">
        <v>8493</v>
      </c>
      <c r="U819" s="33" t="s">
        <v>8494</v>
      </c>
      <c r="V819" s="33" t="s">
        <v>8495</v>
      </c>
      <c r="W819" s="33">
        <v>23450.0</v>
      </c>
      <c r="X819" s="23" t="s">
        <v>199</v>
      </c>
      <c r="Y819" s="49" t="str">
        <f t="shared" si="22"/>
        <v>Ativo</v>
      </c>
      <c r="Z819" s="62"/>
      <c r="AA819" s="32" t="s">
        <v>107</v>
      </c>
      <c r="AB819" s="64"/>
      <c r="AC819" s="79"/>
      <c r="AD819" s="54">
        <v>46203.0</v>
      </c>
      <c r="AE819" s="77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65"/>
      <c r="AW819" s="65"/>
      <c r="AX819" s="65"/>
      <c r="AY819" s="65"/>
      <c r="AZ819" s="65"/>
      <c r="BA819" s="65"/>
      <c r="BB819" s="65"/>
      <c r="BC819" s="65"/>
      <c r="BD819" s="65"/>
      <c r="BE819" s="65"/>
      <c r="BF819" s="65"/>
      <c r="BG819" s="65"/>
      <c r="BH819" s="65"/>
      <c r="BI819" s="65"/>
      <c r="BJ819" s="65"/>
      <c r="BK819" s="65"/>
      <c r="BL819" s="65"/>
      <c r="BM819" s="65"/>
      <c r="BN819" s="65"/>
      <c r="BO819" s="65"/>
      <c r="BP819" s="65"/>
      <c r="BQ819" s="65"/>
      <c r="BR819" s="65"/>
      <c r="BS819" s="65">
        <v>14069.27</v>
      </c>
      <c r="BT819" s="88">
        <v>12190.07</v>
      </c>
      <c r="BU819" s="65">
        <v>9313.01</v>
      </c>
      <c r="BV819" s="65">
        <v>9413.65</v>
      </c>
      <c r="BW819" s="90">
        <v>9447.7</v>
      </c>
      <c r="BX819" s="90">
        <v>9547.22</v>
      </c>
      <c r="BY819" s="90">
        <f t="array" ref="BY819">XLOOKUP(C819,'PL TOTAL D0'!$A$3:$A$1991,'PL TOTAL D0'!$C$3:$C$1991,"")</f>
        <v>6629.19</v>
      </c>
    </row>
    <row r="820" ht="15.75" customHeight="1">
      <c r="A820" s="50" t="s">
        <v>24</v>
      </c>
      <c r="B820" s="43" t="s">
        <v>8496</v>
      </c>
      <c r="C820" s="94" t="s">
        <v>3135</v>
      </c>
      <c r="D820" s="30" t="s">
        <v>120</v>
      </c>
      <c r="E820" s="22" t="s">
        <v>54</v>
      </c>
      <c r="F820" s="30" t="s">
        <v>125</v>
      </c>
      <c r="G820" s="47" t="str">
        <f t="shared" si="36"/>
        <v>David</v>
      </c>
      <c r="H820" s="49" t="s">
        <v>183</v>
      </c>
      <c r="I820" s="49" t="s">
        <v>66</v>
      </c>
      <c r="J820" s="47" t="str">
        <f t="shared" si="35"/>
        <v>Não</v>
      </c>
      <c r="K820" s="54">
        <v>45630.0</v>
      </c>
      <c r="L820" s="189"/>
      <c r="M820" s="32" t="s">
        <v>61</v>
      </c>
      <c r="N820" s="56">
        <v>0.012</v>
      </c>
      <c r="O820" s="23" t="s">
        <v>66</v>
      </c>
      <c r="P820" s="57">
        <v>0.0</v>
      </c>
      <c r="Q820" s="58"/>
      <c r="R820" s="70"/>
      <c r="S820" s="32" t="s">
        <v>194</v>
      </c>
      <c r="T820" s="32" t="s">
        <v>8497</v>
      </c>
      <c r="U820" s="33">
        <v>5.562981188902E12</v>
      </c>
      <c r="V820" s="33" t="s">
        <v>8498</v>
      </c>
      <c r="W820" s="34">
        <v>24125.0</v>
      </c>
      <c r="X820" s="23" t="s">
        <v>54</v>
      </c>
      <c r="Y820" s="49" t="str">
        <f t="shared" si="22"/>
        <v>Ativo</v>
      </c>
      <c r="Z820" s="62"/>
      <c r="AA820" s="32" t="s">
        <v>165</v>
      </c>
      <c r="AB820" s="64"/>
      <c r="AC820" s="79"/>
      <c r="AD820" s="54">
        <v>45635.0</v>
      </c>
      <c r="AE820" s="77">
        <v>4.9075100016399E13</v>
      </c>
      <c r="AF820" s="79"/>
      <c r="AG820" s="79"/>
      <c r="AH820" s="79"/>
      <c r="AI820" s="79"/>
      <c r="AJ820" s="79"/>
      <c r="AK820" s="79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  <c r="BD820" s="65"/>
      <c r="BE820" s="65"/>
      <c r="BF820" s="65">
        <v>50318.91</v>
      </c>
      <c r="BG820" s="65">
        <v>50796.65</v>
      </c>
      <c r="BH820" s="65">
        <v>101225.82</v>
      </c>
      <c r="BI820" s="65">
        <v>102463.56</v>
      </c>
      <c r="BJ820" s="65">
        <v>103396.23</v>
      </c>
      <c r="BK820" s="65">
        <v>104294.88</v>
      </c>
      <c r="BL820" s="65">
        <v>105206.26</v>
      </c>
      <c r="BM820" s="65">
        <v>106379.57</v>
      </c>
      <c r="BN820" s="65">
        <v>107502.1</v>
      </c>
      <c r="BO820" s="65">
        <v>108504.36</v>
      </c>
      <c r="BP820" s="65">
        <v>189952.4</v>
      </c>
      <c r="BQ820" s="65">
        <v>191497.2</v>
      </c>
      <c r="BR820" s="65">
        <v>193253.8</v>
      </c>
      <c r="BS820" s="65">
        <v>195370.37</v>
      </c>
      <c r="BT820" s="88">
        <v>196986.0</v>
      </c>
      <c r="BU820" s="65">
        <v>199422.0</v>
      </c>
      <c r="BV820" s="65">
        <v>201576.3</v>
      </c>
      <c r="BW820" s="90">
        <v>203624.6</v>
      </c>
      <c r="BX820" s="90">
        <v>205562.53</v>
      </c>
      <c r="BY820" s="90">
        <f t="array" ref="BY820">XLOOKUP(C820,'PL TOTAL D0'!$A$3:$A$1991,'PL TOTAL D0'!$C$3:$C$1991,"")</f>
        <v>207541.6</v>
      </c>
    </row>
    <row r="821" ht="15.75" customHeight="1">
      <c r="A821" s="50" t="s">
        <v>24</v>
      </c>
      <c r="B821" s="43" t="s">
        <v>8499</v>
      </c>
      <c r="C821" s="94" t="s">
        <v>2951</v>
      </c>
      <c r="D821" s="30" t="s">
        <v>89</v>
      </c>
      <c r="E821" s="22" t="s">
        <v>91</v>
      </c>
      <c r="F821" s="30" t="s">
        <v>1869</v>
      </c>
      <c r="G821" s="47" t="str">
        <f t="shared" si="36"/>
        <v>Gabriel</v>
      </c>
      <c r="H821" s="49" t="s">
        <v>183</v>
      </c>
      <c r="I821" s="49" t="s">
        <v>66</v>
      </c>
      <c r="J821" s="47" t="str">
        <f t="shared" si="35"/>
        <v>Sim</v>
      </c>
      <c r="K821" s="54">
        <v>45685.0</v>
      </c>
      <c r="L821" s="189"/>
      <c r="M821" s="32" t="s">
        <v>209</v>
      </c>
      <c r="N821" s="56">
        <v>0.015</v>
      </c>
      <c r="O821" s="23" t="s">
        <v>35</v>
      </c>
      <c r="P821" s="57">
        <v>0.1</v>
      </c>
      <c r="Q821" s="58" t="s">
        <v>8500</v>
      </c>
      <c r="R821" s="58" t="s">
        <v>8501</v>
      </c>
      <c r="S821" s="32" t="s">
        <v>194</v>
      </c>
      <c r="T821" s="32" t="s">
        <v>8502</v>
      </c>
      <c r="U821" s="33">
        <v>5.543988172703E12</v>
      </c>
      <c r="V821" s="33" t="s">
        <v>8503</v>
      </c>
      <c r="W821" s="34">
        <v>30580.0</v>
      </c>
      <c r="X821" s="23" t="s">
        <v>221</v>
      </c>
      <c r="Y821" s="49" t="str">
        <f t="shared" si="22"/>
        <v>Ativo</v>
      </c>
      <c r="Z821" s="62"/>
      <c r="AA821" s="32" t="s">
        <v>47</v>
      </c>
      <c r="AB821" s="64"/>
      <c r="AC821" s="79"/>
      <c r="AD821" s="54">
        <v>45685.0</v>
      </c>
      <c r="AE821" s="77">
        <v>4.9075100017621E13</v>
      </c>
      <c r="AF821" s="79"/>
      <c r="AG821" s="79"/>
      <c r="AH821" s="79"/>
      <c r="AI821" s="79"/>
      <c r="AJ821" s="79"/>
      <c r="AK821" s="79"/>
      <c r="AL821" s="65"/>
      <c r="AM821" s="65"/>
      <c r="AN821" s="65"/>
      <c r="AO821" s="65"/>
      <c r="AP821" s="65"/>
      <c r="AQ821" s="65"/>
      <c r="AR821" s="65"/>
      <c r="AS821" s="65"/>
      <c r="AT821" s="65"/>
      <c r="AU821" s="65"/>
      <c r="AV821" s="65"/>
      <c r="AW821" s="65"/>
      <c r="AX821" s="65"/>
      <c r="AY821" s="65"/>
      <c r="AZ821" s="65"/>
      <c r="BA821" s="65"/>
      <c r="BB821" s="65"/>
      <c r="BC821" s="65"/>
      <c r="BD821" s="65"/>
      <c r="BE821" s="65"/>
      <c r="BF821" s="65"/>
      <c r="BG821" s="65">
        <v>0.0</v>
      </c>
      <c r="BH821" s="65">
        <v>294789.02</v>
      </c>
      <c r="BI821" s="65">
        <v>287970.23</v>
      </c>
      <c r="BJ821" s="65">
        <v>256042.89</v>
      </c>
      <c r="BK821" s="65">
        <v>242606.14</v>
      </c>
      <c r="BL821" s="65">
        <v>244148.58</v>
      </c>
      <c r="BM821" s="65">
        <v>236595.59</v>
      </c>
      <c r="BN821" s="65">
        <v>234337.5</v>
      </c>
      <c r="BO821" s="65">
        <v>107388.85</v>
      </c>
      <c r="BP821" s="65">
        <v>108555.1</v>
      </c>
      <c r="BQ821" s="65">
        <v>109388.7</v>
      </c>
      <c r="BR821" s="65">
        <v>492874.0</v>
      </c>
      <c r="BS821" s="65">
        <v>478237.9</v>
      </c>
      <c r="BT821" s="88">
        <v>376877.7</v>
      </c>
      <c r="BU821" s="65">
        <v>356982.0</v>
      </c>
      <c r="BV821" s="65">
        <v>325016.1</v>
      </c>
      <c r="BW821" s="90">
        <v>426031.4</v>
      </c>
      <c r="BX821" s="90">
        <v>468927.76</v>
      </c>
      <c r="BY821" s="90">
        <f t="array" ref="BY821">XLOOKUP(C821,'PL TOTAL D0'!$A$3:$A$1991,'PL TOTAL D0'!$C$3:$C$1991,"")</f>
        <v>434595.53</v>
      </c>
    </row>
    <row r="822" ht="15.75" customHeight="1">
      <c r="A822" s="50" t="s">
        <v>24</v>
      </c>
      <c r="B822" s="43" t="s">
        <v>8504</v>
      </c>
      <c r="C822" s="53" t="s">
        <v>8505</v>
      </c>
      <c r="D822" s="30" t="s">
        <v>1358</v>
      </c>
      <c r="E822" s="22" t="s">
        <v>199</v>
      </c>
      <c r="F822" s="30" t="s">
        <v>8506</v>
      </c>
      <c r="G822" s="47" t="str">
        <f t="shared" si="36"/>
        <v>David</v>
      </c>
      <c r="H822" s="49" t="s">
        <v>335</v>
      </c>
      <c r="I822" s="49" t="s">
        <v>66</v>
      </c>
      <c r="J822" s="47" t="str">
        <f t="shared" si="35"/>
        <v>Não</v>
      </c>
      <c r="K822" s="54">
        <v>46147.0</v>
      </c>
      <c r="L822" s="189"/>
      <c r="M822" s="32" t="s">
        <v>557</v>
      </c>
      <c r="N822" s="56">
        <v>0.007</v>
      </c>
      <c r="O822" s="23" t="s">
        <v>66</v>
      </c>
      <c r="P822" s="57">
        <v>0.0</v>
      </c>
      <c r="Q822" s="58"/>
      <c r="R822" s="58"/>
      <c r="S822" s="32" t="s">
        <v>194</v>
      </c>
      <c r="T822" s="32" t="s">
        <v>8507</v>
      </c>
      <c r="U822" s="33" t="s">
        <v>8508</v>
      </c>
      <c r="V822" s="33" t="s">
        <v>8509</v>
      </c>
      <c r="W822" s="34">
        <v>21869.0</v>
      </c>
      <c r="X822" s="23" t="s">
        <v>199</v>
      </c>
      <c r="Y822" s="49" t="str">
        <f t="shared" si="22"/>
        <v>Ativo</v>
      </c>
      <c r="Z822" s="62"/>
      <c r="AA822" s="32" t="s">
        <v>47</v>
      </c>
      <c r="AB822" s="64"/>
      <c r="AC822" s="79"/>
      <c r="AD822" s="54"/>
      <c r="AE822" s="77"/>
      <c r="AF822" s="79"/>
      <c r="AG822" s="79"/>
      <c r="AH822" s="79"/>
      <c r="AI822" s="79"/>
      <c r="AJ822" s="79"/>
      <c r="AK822" s="79"/>
      <c r="AL822" s="65"/>
      <c r="AM822" s="65"/>
      <c r="AN822" s="65"/>
      <c r="AO822" s="65"/>
      <c r="AP822" s="65"/>
      <c r="AQ822" s="65"/>
      <c r="AR822" s="65"/>
      <c r="AS822" s="65"/>
      <c r="AT822" s="65"/>
      <c r="AU822" s="65"/>
      <c r="AV822" s="65"/>
      <c r="AW822" s="65"/>
      <c r="AX822" s="65"/>
      <c r="AY822" s="65"/>
      <c r="AZ822" s="65"/>
      <c r="BA822" s="65"/>
      <c r="BB822" s="65"/>
      <c r="BC822" s="65"/>
      <c r="BD822" s="65"/>
      <c r="BE822" s="65"/>
      <c r="BF822" s="65"/>
      <c r="BG822" s="65"/>
      <c r="BH822" s="65"/>
      <c r="BI822" s="65"/>
      <c r="BJ822" s="65"/>
      <c r="BK822" s="65"/>
      <c r="BL822" s="65"/>
      <c r="BM822" s="65"/>
      <c r="BN822" s="65"/>
      <c r="BO822" s="65"/>
      <c r="BP822" s="65"/>
      <c r="BQ822" s="65"/>
      <c r="BR822" s="65"/>
      <c r="BS822" s="65"/>
      <c r="BT822" s="88"/>
      <c r="BU822" s="65"/>
      <c r="BV822" s="65">
        <v>0.0</v>
      </c>
      <c r="BW822" s="90">
        <v>0.0</v>
      </c>
      <c r="BX822" s="90">
        <v>0.0</v>
      </c>
      <c r="BY822" s="90" t="str">
        <f t="array" ref="BY822">XLOOKUP(C822,'PL TOTAL D0'!$A$3:$A$1991,'PL TOTAL D0'!$C$3:$C$1991,"")</f>
        <v/>
      </c>
    </row>
    <row r="823" ht="15.75" customHeight="1">
      <c r="A823" s="50" t="s">
        <v>24</v>
      </c>
      <c r="B823" s="50" t="s">
        <v>8510</v>
      </c>
      <c r="C823" s="94" t="s">
        <v>8511</v>
      </c>
      <c r="D823" s="81" t="s">
        <v>120</v>
      </c>
      <c r="E823" s="95" t="s">
        <v>54</v>
      </c>
      <c r="F823" s="81" t="s">
        <v>1393</v>
      </c>
      <c r="G823" s="47" t="str">
        <f t="shared" si="36"/>
        <v>David</v>
      </c>
      <c r="H823" s="49" t="s">
        <v>224</v>
      </c>
      <c r="I823" s="49" t="s">
        <v>66</v>
      </c>
      <c r="J823" s="47" t="str">
        <f t="shared" si="35"/>
        <v>Não</v>
      </c>
      <c r="K823" s="97">
        <v>45029.0</v>
      </c>
      <c r="L823" s="55">
        <v>45769.0</v>
      </c>
      <c r="M823" s="32" t="s">
        <v>231</v>
      </c>
      <c r="N823" s="56">
        <v>0.025</v>
      </c>
      <c r="O823" s="23" t="s">
        <v>233</v>
      </c>
      <c r="P823" s="57">
        <v>0.2</v>
      </c>
      <c r="Q823" s="58"/>
      <c r="R823" s="841" t="s">
        <v>8512</v>
      </c>
      <c r="S823" s="62" t="s">
        <v>194</v>
      </c>
      <c r="T823" s="32" t="s">
        <v>6478</v>
      </c>
      <c r="U823" s="33" t="s">
        <v>268</v>
      </c>
      <c r="V823" s="33"/>
      <c r="W823" s="33" t="s">
        <v>268</v>
      </c>
      <c r="X823" s="23" t="s">
        <v>54</v>
      </c>
      <c r="Y823" s="49" t="str">
        <f t="shared" si="22"/>
        <v>Encerrado</v>
      </c>
      <c r="Z823" s="62"/>
      <c r="AA823" s="62"/>
      <c r="AB823" s="64" t="s">
        <v>244</v>
      </c>
      <c r="AC823" s="79"/>
      <c r="AD823" s="54">
        <v>45029.0</v>
      </c>
      <c r="AE823" s="77">
        <v>4.9075100009198E13</v>
      </c>
      <c r="AF823" s="79"/>
      <c r="AG823" s="79"/>
      <c r="AH823" s="79"/>
      <c r="AI823" s="65">
        <v>0.0</v>
      </c>
      <c r="AJ823" s="65">
        <v>0.0</v>
      </c>
      <c r="AK823" s="65">
        <v>0.0</v>
      </c>
      <c r="AL823" s="65">
        <v>286046.33</v>
      </c>
      <c r="AM823" s="65">
        <v>289366.31</v>
      </c>
      <c r="AN823" s="65">
        <v>292898.11</v>
      </c>
      <c r="AO823" s="65">
        <v>295833.26</v>
      </c>
      <c r="AP823" s="65">
        <v>297702.8</v>
      </c>
      <c r="AQ823" s="65">
        <v>300124.35</v>
      </c>
      <c r="AR823" s="65">
        <v>302212.93</v>
      </c>
      <c r="AS823" s="65">
        <v>305456.62</v>
      </c>
      <c r="AT823" s="65">
        <v>308888.3</v>
      </c>
      <c r="AU823" s="65">
        <v>309347.39</v>
      </c>
      <c r="AV823" s="65">
        <v>225.73</v>
      </c>
      <c r="AW823" s="65">
        <v>68.39</v>
      </c>
      <c r="AX823" s="65">
        <v>68.39</v>
      </c>
      <c r="AY823" s="65">
        <v>68.39</v>
      </c>
      <c r="AZ823" s="65">
        <v>68.43</v>
      </c>
      <c r="BA823" s="65">
        <v>68.43</v>
      </c>
      <c r="BB823" s="65">
        <v>68.43</v>
      </c>
      <c r="BC823" s="65">
        <v>68.43</v>
      </c>
      <c r="BD823" s="65">
        <v>68.43</v>
      </c>
      <c r="BE823" s="65">
        <v>0.0</v>
      </c>
      <c r="BF823" s="65">
        <v>0.0</v>
      </c>
      <c r="BG823" s="65">
        <v>0.0</v>
      </c>
      <c r="BH823" s="65">
        <v>0.0</v>
      </c>
      <c r="BI823" s="65">
        <v>0.0</v>
      </c>
      <c r="BJ823" s="65">
        <v>0.0</v>
      </c>
      <c r="BK823" s="65">
        <v>0.0</v>
      </c>
      <c r="BL823" s="65">
        <v>0.0</v>
      </c>
      <c r="BM823" s="65">
        <v>0.0</v>
      </c>
      <c r="BN823" s="65">
        <v>0.0</v>
      </c>
      <c r="BO823" s="65">
        <v>0.0</v>
      </c>
      <c r="BP823" s="65">
        <v>0.0</v>
      </c>
      <c r="BQ823" s="65">
        <v>0.0</v>
      </c>
      <c r="BR823" s="65">
        <v>0.0</v>
      </c>
      <c r="BS823" s="65">
        <v>0.0</v>
      </c>
      <c r="BT823" s="88">
        <v>0.0</v>
      </c>
      <c r="BU823" s="65">
        <v>0.0</v>
      </c>
      <c r="BV823" s="65">
        <v>0.0</v>
      </c>
      <c r="BW823" s="90">
        <v>0.0</v>
      </c>
      <c r="BX823" s="90">
        <v>0.0</v>
      </c>
      <c r="BY823" s="90" t="str">
        <f t="array" ref="BY823">XLOOKUP(C823,'PL TOTAL D0'!$A$3:$A$1991,'PL TOTAL D0'!$C$3:$C$1991,"")</f>
        <v/>
      </c>
    </row>
    <row r="824" ht="15.75" customHeight="1">
      <c r="A824" s="50" t="s">
        <v>24</v>
      </c>
      <c r="B824" s="176" t="s">
        <v>6369</v>
      </c>
      <c r="C824" s="94" t="s">
        <v>8513</v>
      </c>
      <c r="D824" s="81" t="s">
        <v>120</v>
      </c>
      <c r="E824" s="95" t="s">
        <v>199</v>
      </c>
      <c r="F824" s="30" t="s">
        <v>290</v>
      </c>
      <c r="G824" s="47" t="str">
        <f t="shared" si="36"/>
        <v>David</v>
      </c>
      <c r="H824" s="49" t="s">
        <v>224</v>
      </c>
      <c r="I824" s="49" t="s">
        <v>66</v>
      </c>
      <c r="J824" s="47" t="str">
        <f t="shared" si="35"/>
        <v>Não</v>
      </c>
      <c r="K824" s="97">
        <v>44995.0</v>
      </c>
      <c r="L824" s="55">
        <v>45938.0</v>
      </c>
      <c r="M824" s="62" t="s">
        <v>231</v>
      </c>
      <c r="N824" s="98">
        <v>0.025</v>
      </c>
      <c r="O824" s="23" t="s">
        <v>233</v>
      </c>
      <c r="P824" s="99">
        <v>0.2</v>
      </c>
      <c r="Q824" s="58"/>
      <c r="R824" s="70"/>
      <c r="S824" s="62" t="s">
        <v>194</v>
      </c>
      <c r="T824" s="32" t="s">
        <v>6368</v>
      </c>
      <c r="U824" s="33">
        <v>5.531988618498E12</v>
      </c>
      <c r="V824" s="33" t="s">
        <v>8514</v>
      </c>
      <c r="W824" s="34">
        <v>32845.0</v>
      </c>
      <c r="X824" s="23" t="s">
        <v>618</v>
      </c>
      <c r="Y824" s="49" t="str">
        <f t="shared" si="22"/>
        <v>Encerrado</v>
      </c>
      <c r="Z824" s="62"/>
      <c r="AA824" s="62"/>
      <c r="AB824" s="64" t="s">
        <v>269</v>
      </c>
      <c r="AC824" s="79"/>
      <c r="AD824" s="54">
        <v>44995.0</v>
      </c>
      <c r="AE824" s="77">
        <v>4.9075100012644E13</v>
      </c>
      <c r="AF824" s="79"/>
      <c r="AG824" s="79"/>
      <c r="AH824" s="79"/>
      <c r="AI824" s="79"/>
      <c r="AJ824" s="79"/>
      <c r="AK824" s="65">
        <v>367764.99</v>
      </c>
      <c r="AL824" s="65">
        <v>367686.19</v>
      </c>
      <c r="AM824" s="65">
        <v>406919.01</v>
      </c>
      <c r="AN824" s="65">
        <v>438425.42</v>
      </c>
      <c r="AO824" s="65">
        <v>436082.42</v>
      </c>
      <c r="AP824" s="65">
        <v>416674.53</v>
      </c>
      <c r="AQ824" s="65">
        <v>366586.03</v>
      </c>
      <c r="AR824" s="65">
        <v>348048.83</v>
      </c>
      <c r="AS824" s="65">
        <v>374041.62</v>
      </c>
      <c r="AT824" s="65">
        <v>391888.29</v>
      </c>
      <c r="AU824" s="65">
        <v>364856.23</v>
      </c>
      <c r="AV824" s="65">
        <v>369881.45</v>
      </c>
      <c r="AW824" s="65">
        <v>376620.2</v>
      </c>
      <c r="AX824" s="65">
        <v>362153.74</v>
      </c>
      <c r="AY824" s="65">
        <v>350348.5</v>
      </c>
      <c r="AZ824" s="65">
        <v>350873.1</v>
      </c>
      <c r="BA824" s="65">
        <v>327219.8</v>
      </c>
      <c r="BB824" s="65">
        <v>335190.99</v>
      </c>
      <c r="BC824" s="65">
        <v>328933.72</v>
      </c>
      <c r="BD824" s="65">
        <v>314184.19</v>
      </c>
      <c r="BE824" s="65">
        <v>302746.93</v>
      </c>
      <c r="BF824" s="65">
        <v>293556.5</v>
      </c>
      <c r="BG824" s="65">
        <v>302629.07</v>
      </c>
      <c r="BH824" s="65">
        <v>305474.99</v>
      </c>
      <c r="BI824" s="65">
        <v>312077.86</v>
      </c>
      <c r="BJ824" s="65">
        <v>323354.0</v>
      </c>
      <c r="BK824" s="65">
        <v>336271.26</v>
      </c>
      <c r="BL824" s="65">
        <v>257542.72</v>
      </c>
      <c r="BM824" s="65">
        <v>251272.32</v>
      </c>
      <c r="BN824" s="65">
        <v>257520.6</v>
      </c>
      <c r="BO824" s="65">
        <v>0.0</v>
      </c>
      <c r="BP824" s="65">
        <v>0.0</v>
      </c>
      <c r="BQ824" s="65">
        <v>0.0</v>
      </c>
      <c r="BR824" s="65">
        <v>0.0</v>
      </c>
      <c r="BS824" s="65">
        <v>0.0</v>
      </c>
      <c r="BT824" s="88">
        <v>0.0</v>
      </c>
      <c r="BU824" s="65">
        <v>0.0</v>
      </c>
      <c r="BV824" s="65">
        <v>0.0</v>
      </c>
      <c r="BW824" s="90">
        <v>0.0</v>
      </c>
      <c r="BX824" s="90">
        <v>0.0</v>
      </c>
      <c r="BY824" s="90" t="str">
        <f t="array" ref="BY824">XLOOKUP(C824,'PL TOTAL D0'!$A$3:$A$1991,'PL TOTAL D0'!$C$3:$C$1991,"")</f>
        <v/>
      </c>
    </row>
    <row r="825" ht="15.75" customHeight="1">
      <c r="A825" s="50" t="s">
        <v>24</v>
      </c>
      <c r="B825" s="176" t="s">
        <v>6369</v>
      </c>
      <c r="C825" s="94" t="s">
        <v>8515</v>
      </c>
      <c r="D825" s="81" t="s">
        <v>120</v>
      </c>
      <c r="E825" s="95" t="s">
        <v>199</v>
      </c>
      <c r="F825" s="30" t="s">
        <v>290</v>
      </c>
      <c r="G825" s="47" t="str">
        <f t="shared" si="36"/>
        <v>David</v>
      </c>
      <c r="H825" s="49" t="s">
        <v>224</v>
      </c>
      <c r="I825" s="49" t="s">
        <v>66</v>
      </c>
      <c r="J825" s="47" t="str">
        <f t="shared" si="35"/>
        <v>Não</v>
      </c>
      <c r="K825" s="97">
        <v>44995.0</v>
      </c>
      <c r="L825" s="55">
        <v>45938.0</v>
      </c>
      <c r="M825" s="62" t="s">
        <v>2364</v>
      </c>
      <c r="N825" s="98">
        <v>0.02</v>
      </c>
      <c r="O825" s="23" t="s">
        <v>233</v>
      </c>
      <c r="P825" s="99">
        <v>0.2</v>
      </c>
      <c r="Q825" s="58"/>
      <c r="R825" s="70"/>
      <c r="S825" s="62" t="s">
        <v>194</v>
      </c>
      <c r="T825" s="32" t="s">
        <v>6368</v>
      </c>
      <c r="U825" s="33">
        <v>5.531988618498E12</v>
      </c>
      <c r="V825" s="33" t="s">
        <v>8514</v>
      </c>
      <c r="W825" s="34">
        <v>32845.0</v>
      </c>
      <c r="X825" s="23" t="s">
        <v>618</v>
      </c>
      <c r="Y825" s="49" t="str">
        <f t="shared" si="22"/>
        <v>Encerrado</v>
      </c>
      <c r="Z825" s="62"/>
      <c r="AA825" s="62"/>
      <c r="AB825" s="64" t="s">
        <v>269</v>
      </c>
      <c r="AC825" s="79"/>
      <c r="AD825" s="54">
        <v>44995.0</v>
      </c>
      <c r="AE825" s="77">
        <v>4.9075100012652E13</v>
      </c>
      <c r="AF825" s="79"/>
      <c r="AG825" s="79"/>
      <c r="AH825" s="79"/>
      <c r="AI825" s="79"/>
      <c r="AJ825" s="79"/>
      <c r="AK825" s="65">
        <v>156498.64</v>
      </c>
      <c r="AL825" s="65">
        <v>159700.37</v>
      </c>
      <c r="AM825" s="65">
        <v>174038.01</v>
      </c>
      <c r="AN825" s="65">
        <v>187209.86</v>
      </c>
      <c r="AO825" s="65">
        <v>201894.44</v>
      </c>
      <c r="AP825" s="65">
        <v>203267.32</v>
      </c>
      <c r="AQ825" s="65">
        <v>200471.45</v>
      </c>
      <c r="AR825" s="65">
        <v>183105.1</v>
      </c>
      <c r="AS825" s="65">
        <v>196445.33</v>
      </c>
      <c r="AT825" s="65">
        <v>207938.86</v>
      </c>
      <c r="AU825" s="65">
        <v>191185.99</v>
      </c>
      <c r="AV825" s="65">
        <v>189479.82</v>
      </c>
      <c r="AW825" s="65">
        <v>196353.37</v>
      </c>
      <c r="AX825" s="65">
        <v>180285.43</v>
      </c>
      <c r="AY825" s="65">
        <v>166397.3</v>
      </c>
      <c r="AZ825" s="65">
        <v>165460.1</v>
      </c>
      <c r="BA825" s="65">
        <v>155488.8</v>
      </c>
      <c r="BB825" s="65">
        <v>157920.94</v>
      </c>
      <c r="BC825" s="65">
        <v>150832.6</v>
      </c>
      <c r="BD825" s="65">
        <v>146915.8</v>
      </c>
      <c r="BE825" s="65">
        <v>141910.97</v>
      </c>
      <c r="BF825" s="65">
        <v>139980.09</v>
      </c>
      <c r="BG825" s="65">
        <v>144858.72</v>
      </c>
      <c r="BH825" s="65">
        <v>140774.75</v>
      </c>
      <c r="BI825" s="65">
        <v>142492.95</v>
      </c>
      <c r="BJ825" s="65">
        <v>143397.38</v>
      </c>
      <c r="BK825" s="65">
        <v>147796.38</v>
      </c>
      <c r="BL825" s="65">
        <v>665.48</v>
      </c>
      <c r="BM825" s="65">
        <v>672.6</v>
      </c>
      <c r="BN825" s="65">
        <v>0.0</v>
      </c>
      <c r="BO825" s="65">
        <v>0.0</v>
      </c>
      <c r="BP825" s="65">
        <v>0.0</v>
      </c>
      <c r="BQ825" s="65">
        <v>0.0</v>
      </c>
      <c r="BR825" s="65">
        <v>0.0</v>
      </c>
      <c r="BS825" s="65">
        <v>0.0</v>
      </c>
      <c r="BT825" s="88">
        <v>0.0</v>
      </c>
      <c r="BU825" s="65">
        <v>0.0</v>
      </c>
      <c r="BV825" s="65">
        <v>0.0</v>
      </c>
      <c r="BW825" s="90">
        <v>0.0</v>
      </c>
      <c r="BX825" s="90">
        <v>0.0</v>
      </c>
      <c r="BY825" s="90" t="str">
        <f t="array" ref="BY825">XLOOKUP(C825,'PL TOTAL D0'!$A$3:$A$1991,'PL TOTAL D0'!$C$3:$C$1991,"")</f>
        <v/>
      </c>
    </row>
    <row r="826" ht="15.75" customHeight="1">
      <c r="A826" s="50" t="s">
        <v>24</v>
      </c>
      <c r="B826" s="176" t="s">
        <v>6172</v>
      </c>
      <c r="C826" s="94" t="s">
        <v>2644</v>
      </c>
      <c r="D826" s="30" t="s">
        <v>89</v>
      </c>
      <c r="E826" s="95" t="s">
        <v>91</v>
      </c>
      <c r="F826" s="81" t="s">
        <v>193</v>
      </c>
      <c r="G826" s="47" t="str">
        <f t="shared" si="36"/>
        <v>Marcus</v>
      </c>
      <c r="H826" s="74" t="s">
        <v>183</v>
      </c>
      <c r="I826" s="74" t="s">
        <v>66</v>
      </c>
      <c r="J826" s="47" t="str">
        <f t="shared" si="35"/>
        <v>Não</v>
      </c>
      <c r="K826" s="97">
        <v>45002.0</v>
      </c>
      <c r="L826" s="62"/>
      <c r="M826" s="62" t="s">
        <v>34</v>
      </c>
      <c r="N826" s="98">
        <v>0.01</v>
      </c>
      <c r="O826" s="47" t="s">
        <v>66</v>
      </c>
      <c r="P826" s="99">
        <v>0.0</v>
      </c>
      <c r="Q826" s="58"/>
      <c r="R826" s="635"/>
      <c r="S826" s="62" t="s">
        <v>194</v>
      </c>
      <c r="T826" s="32" t="s">
        <v>6482</v>
      </c>
      <c r="U826" s="33">
        <v>5.514981157593E12</v>
      </c>
      <c r="V826" s="33" t="s">
        <v>8516</v>
      </c>
      <c r="W826" s="34">
        <v>18645.0</v>
      </c>
      <c r="X826" s="23" t="s">
        <v>475</v>
      </c>
      <c r="Y826" s="49" t="str">
        <f t="shared" si="22"/>
        <v>Ativo</v>
      </c>
      <c r="Z826" s="62"/>
      <c r="AA826" s="62"/>
      <c r="AB826" s="64" t="s">
        <v>269</v>
      </c>
      <c r="AC826" s="79"/>
      <c r="AD826" s="54">
        <v>45002.0</v>
      </c>
      <c r="AE826" s="77">
        <v>4.9075100006776E13</v>
      </c>
      <c r="AF826" s="79"/>
      <c r="AG826" s="79"/>
      <c r="AH826" s="79"/>
      <c r="AI826" s="79"/>
      <c r="AJ826" s="79"/>
      <c r="AK826" s="65">
        <v>943347.36</v>
      </c>
      <c r="AL826" s="65">
        <v>950389.54</v>
      </c>
      <c r="AM826" s="65">
        <v>1089087.97</v>
      </c>
      <c r="AN826" s="65">
        <v>1096279.87</v>
      </c>
      <c r="AO826" s="65">
        <v>1104974.04</v>
      </c>
      <c r="AP826" s="65">
        <v>1113323.77</v>
      </c>
      <c r="AQ826" s="65">
        <v>1400497.04</v>
      </c>
      <c r="AR826" s="65">
        <v>1401599.23</v>
      </c>
      <c r="AS826" s="65">
        <v>1425706.0</v>
      </c>
      <c r="AT826" s="65">
        <v>1441206.32</v>
      </c>
      <c r="AU826" s="65">
        <v>1439806.42</v>
      </c>
      <c r="AV826" s="65">
        <v>1446953.94</v>
      </c>
      <c r="AW826" s="65">
        <v>1459910.2</v>
      </c>
      <c r="AX826" s="65">
        <v>1449446.83</v>
      </c>
      <c r="AY826" s="65">
        <v>1453175.0</v>
      </c>
      <c r="AZ826" s="65">
        <v>1464827.0</v>
      </c>
      <c r="BA826" s="65">
        <v>1481819.0</v>
      </c>
      <c r="BB826" s="65">
        <v>1497943.68</v>
      </c>
      <c r="BC826" s="65">
        <v>1499949.69</v>
      </c>
      <c r="BD826" s="65">
        <v>1502031.64</v>
      </c>
      <c r="BE826" s="65">
        <v>1507142.45</v>
      </c>
      <c r="BF826" s="65">
        <v>1512045.37</v>
      </c>
      <c r="BG826" s="65">
        <v>1526996.05</v>
      </c>
      <c r="BH826" s="65">
        <v>1490151.2</v>
      </c>
      <c r="BI826" s="65">
        <v>1505231.86</v>
      </c>
      <c r="BJ826" s="65">
        <v>1520930.99</v>
      </c>
      <c r="BK826" s="65">
        <v>1536349.16</v>
      </c>
      <c r="BL826" s="65">
        <v>1520443.35</v>
      </c>
      <c r="BM826" s="65">
        <v>1536182.51</v>
      </c>
      <c r="BN826" s="65">
        <v>1551709.0</v>
      </c>
      <c r="BO826" s="65">
        <v>1566617.8</v>
      </c>
      <c r="BP826" s="65">
        <v>1579795.0</v>
      </c>
      <c r="BQ826" s="65">
        <v>1593829.0</v>
      </c>
      <c r="BR826" s="65">
        <v>1630489.0</v>
      </c>
      <c r="BS826" s="65">
        <v>1639079.76</v>
      </c>
      <c r="BT826" s="88">
        <v>1645036.0</v>
      </c>
      <c r="BU826" s="65">
        <v>1645998.0</v>
      </c>
      <c r="BV826" s="65">
        <v>1531803.0</v>
      </c>
      <c r="BW826" s="90">
        <v>1501061.0</v>
      </c>
      <c r="BX826" s="90">
        <v>1544287.25</v>
      </c>
      <c r="BY826" s="90">
        <f t="array" ref="BY826">XLOOKUP(C826,'PL TOTAL D0'!$A$3:$A$1991,'PL TOTAL D0'!$C$3:$C$1991,"")</f>
        <v>1492254.68</v>
      </c>
    </row>
    <row r="827" ht="15.75" customHeight="1">
      <c r="A827" s="50" t="s">
        <v>24</v>
      </c>
      <c r="B827" s="188" t="s">
        <v>8298</v>
      </c>
      <c r="C827" s="94" t="s">
        <v>8517</v>
      </c>
      <c r="D827" s="30" t="s">
        <v>120</v>
      </c>
      <c r="E827" s="22" t="s">
        <v>54</v>
      </c>
      <c r="F827" s="30" t="s">
        <v>1393</v>
      </c>
      <c r="G827" s="47" t="str">
        <f t="shared" si="36"/>
        <v>David</v>
      </c>
      <c r="H827" s="49" t="s">
        <v>183</v>
      </c>
      <c r="I827" s="49" t="s">
        <v>66</v>
      </c>
      <c r="J827" s="47" t="str">
        <f t="shared" si="35"/>
        <v>Não</v>
      </c>
      <c r="K827" s="54">
        <v>45390.0</v>
      </c>
      <c r="L827" s="62"/>
      <c r="M827" s="32" t="s">
        <v>4551</v>
      </c>
      <c r="N827" s="56">
        <v>0.02</v>
      </c>
      <c r="O827" s="23" t="s">
        <v>66</v>
      </c>
      <c r="P827" s="57">
        <v>0.0</v>
      </c>
      <c r="Q827" s="58"/>
      <c r="R827" s="635"/>
      <c r="S827" s="32" t="s">
        <v>194</v>
      </c>
      <c r="T827" s="22" t="s">
        <v>6389</v>
      </c>
      <c r="U827" s="33">
        <v>6.2999726204E10</v>
      </c>
      <c r="V827" s="33" t="s">
        <v>8518</v>
      </c>
      <c r="W827" s="34">
        <v>26848.0</v>
      </c>
      <c r="X827" s="23" t="s">
        <v>54</v>
      </c>
      <c r="Y827" s="49" t="str">
        <f t="shared" si="22"/>
        <v>Ativo</v>
      </c>
      <c r="Z827" s="62"/>
      <c r="AA827" s="62"/>
      <c r="AB827" s="64" t="s">
        <v>269</v>
      </c>
      <c r="AC827" s="79"/>
      <c r="AD827" s="54">
        <v>45390.0</v>
      </c>
      <c r="AE827" s="77">
        <v>4.9075100014094E13</v>
      </c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65"/>
      <c r="AW827" s="65"/>
      <c r="AX827" s="65">
        <v>1314611.13</v>
      </c>
      <c r="AY827" s="65">
        <v>0.0</v>
      </c>
      <c r="AZ827" s="65">
        <v>10.89</v>
      </c>
      <c r="BA827" s="65">
        <v>10.89</v>
      </c>
      <c r="BB827" s="65">
        <v>10.89</v>
      </c>
      <c r="BC827" s="65">
        <v>10.89</v>
      </c>
      <c r="BD827" s="65">
        <v>10.89</v>
      </c>
      <c r="BE827" s="65">
        <v>10.89</v>
      </c>
      <c r="BF827" s="65">
        <v>1719723.71</v>
      </c>
      <c r="BG827" s="65">
        <v>0.0</v>
      </c>
      <c r="BH827" s="65">
        <v>17.86</v>
      </c>
      <c r="BI827" s="65">
        <v>17.86</v>
      </c>
      <c r="BJ827" s="65">
        <v>0.0</v>
      </c>
      <c r="BK827" s="65">
        <v>2.53</v>
      </c>
      <c r="BL827" s="65">
        <v>2.53</v>
      </c>
      <c r="BM827" s="65">
        <v>2.53</v>
      </c>
      <c r="BN827" s="65">
        <v>2.53</v>
      </c>
      <c r="BO827" s="65">
        <v>2.53</v>
      </c>
      <c r="BP827" s="65">
        <v>2.53</v>
      </c>
      <c r="BQ827" s="65">
        <v>2.53</v>
      </c>
      <c r="BR827" s="65">
        <v>2.53</v>
      </c>
      <c r="BS827" s="65">
        <v>2.53</v>
      </c>
      <c r="BT827" s="88">
        <v>2.53</v>
      </c>
      <c r="BU827" s="65">
        <v>2.53</v>
      </c>
      <c r="BV827" s="65">
        <v>2.53</v>
      </c>
      <c r="BW827" s="90">
        <v>2.53</v>
      </c>
      <c r="BX827" s="90">
        <v>2.53</v>
      </c>
      <c r="BY827" s="90" t="str">
        <f t="array" ref="BY827">XLOOKUP(C827,'PL TOTAL D0'!$A$3:$A$1991,'PL TOTAL D0'!$C$3:$C$1991,"")</f>
        <v/>
      </c>
    </row>
    <row r="828" ht="15.75" customHeight="1">
      <c r="A828" s="50" t="s">
        <v>24</v>
      </c>
      <c r="B828" s="200" t="s">
        <v>8519</v>
      </c>
      <c r="C828" s="94" t="s">
        <v>3106</v>
      </c>
      <c r="D828" s="30" t="s">
        <v>120</v>
      </c>
      <c r="E828" s="22" t="s">
        <v>199</v>
      </c>
      <c r="F828" s="30" t="s">
        <v>8520</v>
      </c>
      <c r="G828" s="47" t="str">
        <f t="shared" si="36"/>
        <v>David</v>
      </c>
      <c r="H828" s="49" t="s">
        <v>183</v>
      </c>
      <c r="I828" s="49" t="s">
        <v>66</v>
      </c>
      <c r="J828" s="47" t="str">
        <f t="shared" si="35"/>
        <v>Não</v>
      </c>
      <c r="K828" s="54">
        <v>45706.0</v>
      </c>
      <c r="L828" s="62"/>
      <c r="M828" s="32" t="s">
        <v>1349</v>
      </c>
      <c r="N828" s="56">
        <v>0.012</v>
      </c>
      <c r="O828" s="23" t="s">
        <v>66</v>
      </c>
      <c r="P828" s="57">
        <v>0.0</v>
      </c>
      <c r="Q828" s="58"/>
      <c r="R828" s="635"/>
      <c r="S828" s="32" t="s">
        <v>194</v>
      </c>
      <c r="T828" s="22" t="s">
        <v>8521</v>
      </c>
      <c r="U828" s="33">
        <v>5.521994574422E12</v>
      </c>
      <c r="V828" s="33" t="s">
        <v>8522</v>
      </c>
      <c r="W828" s="34">
        <v>21568.0</v>
      </c>
      <c r="X828" s="23" t="s">
        <v>1620</v>
      </c>
      <c r="Y828" s="49" t="str">
        <f t="shared" si="22"/>
        <v>Ativo</v>
      </c>
      <c r="Z828" s="62"/>
      <c r="AA828" s="32" t="s">
        <v>107</v>
      </c>
      <c r="AB828" s="64"/>
      <c r="AC828" s="79"/>
      <c r="AD828" s="54">
        <v>45712.0</v>
      </c>
      <c r="AE828" s="77">
        <v>4.9075100018121E13</v>
      </c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65"/>
      <c r="AW828" s="65"/>
      <c r="AX828" s="65"/>
      <c r="AY828" s="65"/>
      <c r="AZ828" s="65"/>
      <c r="BA828" s="65"/>
      <c r="BB828" s="65"/>
      <c r="BC828" s="65"/>
      <c r="BD828" s="65"/>
      <c r="BE828" s="65"/>
      <c r="BF828" s="65"/>
      <c r="BG828" s="65"/>
      <c r="BH828" s="65">
        <v>200077.84</v>
      </c>
      <c r="BI828" s="65">
        <v>202642.9</v>
      </c>
      <c r="BJ828" s="65">
        <v>204700.39</v>
      </c>
      <c r="BK828" s="65">
        <v>206847.54</v>
      </c>
      <c r="BL828" s="65">
        <v>208523.6</v>
      </c>
      <c r="BM828" s="65">
        <v>210703.5</v>
      </c>
      <c r="BN828" s="65">
        <v>212830.1</v>
      </c>
      <c r="BO828" s="65">
        <v>214706.46</v>
      </c>
      <c r="BP828" s="65">
        <v>217376.6</v>
      </c>
      <c r="BQ828" s="65">
        <v>219242.1</v>
      </c>
      <c r="BR828" s="65">
        <v>221251.1</v>
      </c>
      <c r="BS828" s="65">
        <v>223693.66</v>
      </c>
      <c r="BT828" s="88">
        <v>224821.9</v>
      </c>
      <c r="BU828" s="65">
        <v>227611.5</v>
      </c>
      <c r="BV828" s="65">
        <v>230256.5</v>
      </c>
      <c r="BW828" s="90">
        <v>232655.8</v>
      </c>
      <c r="BX828" s="90">
        <v>234772.15</v>
      </c>
      <c r="BY828" s="90">
        <f t="array" ref="BY828">XLOOKUP(C828,'PL TOTAL D0'!$A$3:$A$1991,'PL TOTAL D0'!$C$3:$C$1991,"")</f>
        <v>237055.84</v>
      </c>
    </row>
    <row r="829" ht="15.75" customHeight="1">
      <c r="A829" s="50" t="s">
        <v>24</v>
      </c>
      <c r="B829" s="50" t="s">
        <v>2230</v>
      </c>
      <c r="C829" s="94" t="s">
        <v>8523</v>
      </c>
      <c r="D829" s="81" t="s">
        <v>120</v>
      </c>
      <c r="E829" s="95" t="s">
        <v>199</v>
      </c>
      <c r="F829" s="81" t="s">
        <v>1914</v>
      </c>
      <c r="G829" s="47" t="str">
        <f t="shared" si="36"/>
        <v>David</v>
      </c>
      <c r="H829" s="49" t="s">
        <v>224</v>
      </c>
      <c r="I829" s="49" t="s">
        <v>66</v>
      </c>
      <c r="J829" s="47" t="str">
        <f t="shared" si="35"/>
        <v>Não</v>
      </c>
      <c r="K829" s="97">
        <v>44908.0</v>
      </c>
      <c r="L829" s="121">
        <v>45614.0</v>
      </c>
      <c r="M829" s="32" t="s">
        <v>231</v>
      </c>
      <c r="N829" s="56">
        <v>0.02</v>
      </c>
      <c r="O829" s="23" t="s">
        <v>233</v>
      </c>
      <c r="P829" s="99">
        <v>0.2</v>
      </c>
      <c r="Q829" s="58"/>
      <c r="R829" s="58" t="s">
        <v>8524</v>
      </c>
      <c r="S829" s="62" t="s">
        <v>194</v>
      </c>
      <c r="T829" s="32" t="s">
        <v>2239</v>
      </c>
      <c r="U829" s="33" t="s">
        <v>268</v>
      </c>
      <c r="V829" s="33"/>
      <c r="W829" s="33" t="s">
        <v>268</v>
      </c>
      <c r="X829" s="23" t="s">
        <v>199</v>
      </c>
      <c r="Y829" s="49" t="str">
        <f t="shared" si="22"/>
        <v>Encerrado</v>
      </c>
      <c r="Z829" s="62"/>
      <c r="AA829" s="62"/>
      <c r="AB829" s="64" t="s">
        <v>269</v>
      </c>
      <c r="AC829" s="79"/>
      <c r="AD829" s="54">
        <v>44908.0</v>
      </c>
      <c r="AE829" s="77">
        <v>4.9075100006148E13</v>
      </c>
      <c r="AF829" s="79"/>
      <c r="AG829" s="79"/>
      <c r="AH829" s="65">
        <v>818196.58</v>
      </c>
      <c r="AI829" s="65">
        <v>828082.58</v>
      </c>
      <c r="AJ829" s="65">
        <v>990968.05</v>
      </c>
      <c r="AK829" s="65">
        <v>1038419.02</v>
      </c>
      <c r="AL829" s="65">
        <v>1044490.68</v>
      </c>
      <c r="AM829" s="65">
        <v>1140148.39</v>
      </c>
      <c r="AN829" s="65">
        <v>1175009.74</v>
      </c>
      <c r="AO829" s="65">
        <v>1266407.64</v>
      </c>
      <c r="AP829" s="65">
        <v>1248695.89</v>
      </c>
      <c r="AQ829" s="65">
        <v>1251801.63</v>
      </c>
      <c r="AR829" s="65">
        <v>1230464.75</v>
      </c>
      <c r="AS829" s="65">
        <v>1260351.36</v>
      </c>
      <c r="AT829" s="65">
        <v>1280008.15</v>
      </c>
      <c r="AU829" s="65">
        <v>1284055.75</v>
      </c>
      <c r="AV829" s="65">
        <v>1307211.23</v>
      </c>
      <c r="AW829" s="65">
        <v>802110.67</v>
      </c>
      <c r="AX829" s="65">
        <v>586142.46</v>
      </c>
      <c r="AY829" s="65">
        <v>564140.4</v>
      </c>
      <c r="AZ829" s="65">
        <v>594395.2</v>
      </c>
      <c r="BA829" s="65">
        <v>613107.7</v>
      </c>
      <c r="BB829" s="65">
        <v>627606.23</v>
      </c>
      <c r="BC829" s="65">
        <v>615559.69</v>
      </c>
      <c r="BD829" s="65">
        <v>0.0</v>
      </c>
      <c r="BE829" s="65">
        <v>0.0</v>
      </c>
      <c r="BF829" s="65">
        <v>0.0</v>
      </c>
      <c r="BG829" s="65">
        <v>0.0</v>
      </c>
      <c r="BH829" s="65">
        <v>0.0</v>
      </c>
      <c r="BI829" s="65">
        <v>0.0</v>
      </c>
      <c r="BJ829" s="65">
        <v>0.0</v>
      </c>
      <c r="BK829" s="65">
        <v>0.0</v>
      </c>
      <c r="BL829" s="65">
        <v>0.0</v>
      </c>
      <c r="BM829" s="65">
        <v>0.0</v>
      </c>
      <c r="BN829" s="65">
        <v>0.0</v>
      </c>
      <c r="BO829" s="65">
        <v>0.0</v>
      </c>
      <c r="BP829" s="65">
        <v>0.0</v>
      </c>
      <c r="BQ829" s="65">
        <v>0.0</v>
      </c>
      <c r="BR829" s="65">
        <v>0.0</v>
      </c>
      <c r="BS829" s="65">
        <v>0.0</v>
      </c>
      <c r="BT829" s="88">
        <v>0.0</v>
      </c>
      <c r="BU829" s="65">
        <v>0.0</v>
      </c>
      <c r="BV829" s="65">
        <v>0.0</v>
      </c>
      <c r="BW829" s="90">
        <v>0.0</v>
      </c>
      <c r="BX829" s="90">
        <v>0.0</v>
      </c>
      <c r="BY829" s="90" t="str">
        <f t="array" ref="BY829">XLOOKUP(C829,'PL TOTAL D0'!$A$3:$A$1991,'PL TOTAL D0'!$C$3:$C$1991,"")</f>
        <v/>
      </c>
    </row>
    <row r="830" ht="15.75" customHeight="1">
      <c r="A830" s="43" t="s">
        <v>24</v>
      </c>
      <c r="B830" s="43" t="s">
        <v>2230</v>
      </c>
      <c r="C830" s="94" t="s">
        <v>8525</v>
      </c>
      <c r="D830" s="30" t="s">
        <v>120</v>
      </c>
      <c r="E830" s="22" t="s">
        <v>199</v>
      </c>
      <c r="F830" s="30" t="s">
        <v>1914</v>
      </c>
      <c r="G830" s="47" t="str">
        <f t="shared" si="36"/>
        <v>David</v>
      </c>
      <c r="H830" s="49" t="s">
        <v>224</v>
      </c>
      <c r="I830" s="49" t="s">
        <v>66</v>
      </c>
      <c r="J830" s="47" t="str">
        <f t="shared" si="35"/>
        <v>Não</v>
      </c>
      <c r="K830" s="54">
        <v>45330.0</v>
      </c>
      <c r="L830" s="121">
        <v>45614.0</v>
      </c>
      <c r="M830" s="32" t="s">
        <v>61</v>
      </c>
      <c r="N830" s="56">
        <v>0.012</v>
      </c>
      <c r="O830" s="23" t="s">
        <v>66</v>
      </c>
      <c r="P830" s="57">
        <v>0.0</v>
      </c>
      <c r="Q830" s="58"/>
      <c r="R830" s="580" t="s">
        <v>8526</v>
      </c>
      <c r="S830" s="32" t="s">
        <v>194</v>
      </c>
      <c r="T830" s="32" t="s">
        <v>2239</v>
      </c>
      <c r="U830" s="33" t="s">
        <v>268</v>
      </c>
      <c r="V830" s="33"/>
      <c r="W830" s="33" t="s">
        <v>268</v>
      </c>
      <c r="X830" s="23" t="s">
        <v>199</v>
      </c>
      <c r="Y830" s="49" t="str">
        <f t="shared" si="22"/>
        <v>Encerrado</v>
      </c>
      <c r="Z830" s="62"/>
      <c r="AA830" s="62"/>
      <c r="AB830" s="64" t="s">
        <v>269</v>
      </c>
      <c r="AC830" s="79"/>
      <c r="AD830" s="54">
        <v>45330.0</v>
      </c>
      <c r="AE830" s="77">
        <v>4.9075100013403E13</v>
      </c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65">
        <v>0.0</v>
      </c>
      <c r="AW830" s="65">
        <v>527081.27</v>
      </c>
      <c r="AX830" s="65">
        <v>715155.64</v>
      </c>
      <c r="AY830" s="65">
        <v>718123.2</v>
      </c>
      <c r="AZ830" s="65">
        <v>724373.3</v>
      </c>
      <c r="BA830" s="65">
        <v>831701.9</v>
      </c>
      <c r="BB830" s="65">
        <v>917997.9</v>
      </c>
      <c r="BC830" s="65">
        <v>924501.84</v>
      </c>
      <c r="BD830" s="65">
        <v>0.0</v>
      </c>
      <c r="BE830" s="65">
        <v>0.0</v>
      </c>
      <c r="BF830" s="65">
        <v>0.0</v>
      </c>
      <c r="BG830" s="65">
        <v>0.0</v>
      </c>
      <c r="BH830" s="65">
        <v>0.0</v>
      </c>
      <c r="BI830" s="65">
        <v>0.0</v>
      </c>
      <c r="BJ830" s="65">
        <v>0.0</v>
      </c>
      <c r="BK830" s="65">
        <v>0.0</v>
      </c>
      <c r="BL830" s="65">
        <v>0.0</v>
      </c>
      <c r="BM830" s="65">
        <v>0.0</v>
      </c>
      <c r="BN830" s="65">
        <v>0.0</v>
      </c>
      <c r="BO830" s="65">
        <v>0.0</v>
      </c>
      <c r="BP830" s="65">
        <v>0.0</v>
      </c>
      <c r="BQ830" s="65">
        <v>0.0</v>
      </c>
      <c r="BR830" s="65">
        <v>0.0</v>
      </c>
      <c r="BS830" s="65">
        <v>0.0</v>
      </c>
      <c r="BT830" s="88">
        <v>0.0</v>
      </c>
      <c r="BU830" s="65">
        <v>0.0</v>
      </c>
      <c r="BV830" s="65">
        <v>0.0</v>
      </c>
      <c r="BW830" s="90">
        <v>0.0</v>
      </c>
      <c r="BX830" s="90">
        <v>0.0</v>
      </c>
      <c r="BY830" s="90" t="str">
        <f t="array" ref="BY830">XLOOKUP(C830,'PL TOTAL D0'!$A$3:$A$1991,'PL TOTAL D0'!$C$3:$C$1991,"")</f>
        <v/>
      </c>
    </row>
    <row r="831" ht="15.75" customHeight="1">
      <c r="A831" s="43" t="s">
        <v>24</v>
      </c>
      <c r="B831" s="43" t="s">
        <v>8527</v>
      </c>
      <c r="C831" s="94" t="s">
        <v>8528</v>
      </c>
      <c r="D831" s="30" t="s">
        <v>120</v>
      </c>
      <c r="E831" s="22" t="s">
        <v>199</v>
      </c>
      <c r="F831" s="30" t="s">
        <v>290</v>
      </c>
      <c r="G831" s="47" t="str">
        <f t="shared" si="36"/>
        <v>David</v>
      </c>
      <c r="H831" s="49" t="s">
        <v>224</v>
      </c>
      <c r="I831" s="49" t="s">
        <v>66</v>
      </c>
      <c r="J831" s="47" t="str">
        <f t="shared" si="35"/>
        <v>Não</v>
      </c>
      <c r="K831" s="54">
        <v>46035.0</v>
      </c>
      <c r="L831" s="121">
        <v>46213.0</v>
      </c>
      <c r="M831" s="32" t="s">
        <v>34</v>
      </c>
      <c r="N831" s="56">
        <v>0.012</v>
      </c>
      <c r="O831" s="23" t="s">
        <v>35</v>
      </c>
      <c r="P831" s="57">
        <v>0.1</v>
      </c>
      <c r="Q831" s="58"/>
      <c r="R831" s="580"/>
      <c r="S831" s="32" t="s">
        <v>194</v>
      </c>
      <c r="T831" s="32" t="s">
        <v>8529</v>
      </c>
      <c r="U831" s="33" t="s">
        <v>8530</v>
      </c>
      <c r="V831" s="33" t="s">
        <v>8531</v>
      </c>
      <c r="W831" s="33">
        <v>26849.0</v>
      </c>
      <c r="X831" s="23" t="s">
        <v>199</v>
      </c>
      <c r="Y831" s="49" t="str">
        <f t="shared" si="22"/>
        <v>Encerrado</v>
      </c>
      <c r="Z831" s="62"/>
      <c r="AA831" s="62" t="s">
        <v>47</v>
      </c>
      <c r="AB831" s="64"/>
      <c r="AC831" s="79"/>
      <c r="AD831" s="23" t="s">
        <v>1239</v>
      </c>
      <c r="AE831" s="77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65"/>
      <c r="AW831" s="65"/>
      <c r="AX831" s="65"/>
      <c r="AY831" s="65"/>
      <c r="AZ831" s="65"/>
      <c r="BA831" s="65"/>
      <c r="BB831" s="65"/>
      <c r="BC831" s="65"/>
      <c r="BD831" s="65"/>
      <c r="BE831" s="65"/>
      <c r="BF831" s="65"/>
      <c r="BG831" s="65"/>
      <c r="BH831" s="65"/>
      <c r="BI831" s="65"/>
      <c r="BJ831" s="65"/>
      <c r="BK831" s="65"/>
      <c r="BL831" s="65"/>
      <c r="BM831" s="65"/>
      <c r="BN831" s="65"/>
      <c r="BO831" s="65"/>
      <c r="BP831" s="65"/>
      <c r="BQ831" s="65"/>
      <c r="BR831" s="65"/>
      <c r="BS831" s="65">
        <v>26061.84</v>
      </c>
      <c r="BT831" s="88">
        <v>284890.5</v>
      </c>
      <c r="BU831" s="65">
        <v>287557.4</v>
      </c>
      <c r="BV831" s="65">
        <v>290958.1</v>
      </c>
      <c r="BW831" s="90">
        <v>0.0</v>
      </c>
      <c r="BX831" s="90">
        <v>0.0</v>
      </c>
      <c r="BY831" s="90" t="str">
        <f t="array" ref="BY831">XLOOKUP(C831,'PL TOTAL D0'!$A$3:$A$1991,'PL TOTAL D0'!$C$3:$C$1991,"")</f>
        <v/>
      </c>
    </row>
    <row r="832" ht="15.75" customHeight="1">
      <c r="A832" s="43" t="s">
        <v>24</v>
      </c>
      <c r="B832" s="43" t="s">
        <v>8532</v>
      </c>
      <c r="C832" s="53" t="s">
        <v>2544</v>
      </c>
      <c r="D832" s="30" t="s">
        <v>1257</v>
      </c>
      <c r="E832" s="22" t="s">
        <v>199</v>
      </c>
      <c r="F832" s="30" t="s">
        <v>1257</v>
      </c>
      <c r="G832" s="23" t="s">
        <v>3075</v>
      </c>
      <c r="H832" s="49" t="s">
        <v>183</v>
      </c>
      <c r="I832" s="49" t="s">
        <v>66</v>
      </c>
      <c r="J832" s="47" t="str">
        <f t="shared" si="35"/>
        <v>Não</v>
      </c>
      <c r="K832" s="54">
        <v>46139.0</v>
      </c>
      <c r="L832" s="121"/>
      <c r="M832" s="32" t="s">
        <v>1262</v>
      </c>
      <c r="N832" s="56"/>
      <c r="O832" s="23" t="s">
        <v>66</v>
      </c>
      <c r="P832" s="57">
        <v>0.0</v>
      </c>
      <c r="Q832" s="58"/>
      <c r="R832" s="580"/>
      <c r="S832" s="32" t="s">
        <v>194</v>
      </c>
      <c r="T832" s="32" t="s">
        <v>8533</v>
      </c>
      <c r="U832" s="33" t="s">
        <v>8534</v>
      </c>
      <c r="V832" s="33" t="s">
        <v>8535</v>
      </c>
      <c r="W832" s="48">
        <v>23963.0</v>
      </c>
      <c r="X832" s="23" t="s">
        <v>618</v>
      </c>
      <c r="Y832" s="49" t="str">
        <f t="shared" si="22"/>
        <v>Ativo</v>
      </c>
      <c r="Z832" s="62"/>
      <c r="AA832" s="32" t="s">
        <v>47</v>
      </c>
      <c r="AB832" s="64"/>
      <c r="AC832" s="79"/>
      <c r="AD832" s="54">
        <v>46203.0</v>
      </c>
      <c r="AE832" s="77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65"/>
      <c r="AW832" s="65"/>
      <c r="AX832" s="65"/>
      <c r="AY832" s="65"/>
      <c r="AZ832" s="65"/>
      <c r="BA832" s="65"/>
      <c r="BB832" s="65"/>
      <c r="BC832" s="65"/>
      <c r="BD832" s="65"/>
      <c r="BE832" s="65"/>
      <c r="BF832" s="65"/>
      <c r="BG832" s="65"/>
      <c r="BH832" s="65"/>
      <c r="BI832" s="65"/>
      <c r="BJ832" s="65"/>
      <c r="BK832" s="65"/>
      <c r="BL832" s="65"/>
      <c r="BM832" s="65"/>
      <c r="BN832" s="65"/>
      <c r="BO832" s="65"/>
      <c r="BP832" s="65"/>
      <c r="BQ832" s="65"/>
      <c r="BR832" s="65"/>
      <c r="BS832" s="65"/>
      <c r="BT832" s="88"/>
      <c r="BU832" s="65"/>
      <c r="BV832" s="65">
        <v>2552382.0</v>
      </c>
      <c r="BW832" s="90">
        <v>2549603.0</v>
      </c>
      <c r="BX832" s="90">
        <v>2560521.37</v>
      </c>
      <c r="BY832" s="90">
        <f t="array" ref="BY832">XLOOKUP(C832,'PL TOTAL D0'!$A$3:$A$1991,'PL TOTAL D0'!$C$3:$C$1991,"")</f>
        <v>2567568.13</v>
      </c>
    </row>
    <row r="833" ht="15.75" customHeight="1">
      <c r="A833" s="43" t="s">
        <v>24</v>
      </c>
      <c r="B833" s="43" t="s">
        <v>8536</v>
      </c>
      <c r="C833" s="53" t="s">
        <v>3042</v>
      </c>
      <c r="D833" s="30" t="s">
        <v>142</v>
      </c>
      <c r="E833" s="22" t="s">
        <v>54</v>
      </c>
      <c r="F833" s="30" t="s">
        <v>158</v>
      </c>
      <c r="G833" s="23" t="s">
        <v>3075</v>
      </c>
      <c r="H833" s="49" t="s">
        <v>183</v>
      </c>
      <c r="I833" s="49" t="s">
        <v>66</v>
      </c>
      <c r="J833" s="47" t="str">
        <f t="shared" si="35"/>
        <v>Não</v>
      </c>
      <c r="K833" s="23" t="s">
        <v>8537</v>
      </c>
      <c r="L833" s="121"/>
      <c r="M833" s="32" t="s">
        <v>61</v>
      </c>
      <c r="N833" s="56">
        <v>0.012</v>
      </c>
      <c r="O833" s="23" t="s">
        <v>66</v>
      </c>
      <c r="P833" s="57">
        <v>0.0</v>
      </c>
      <c r="Q833" s="58"/>
      <c r="R833" s="580"/>
      <c r="S833" s="32" t="s">
        <v>194</v>
      </c>
      <c r="T833" s="32" t="s">
        <v>8538</v>
      </c>
      <c r="U833" s="33" t="s">
        <v>8539</v>
      </c>
      <c r="V833" s="33" t="s">
        <v>8540</v>
      </c>
      <c r="W833" s="48">
        <v>27351.0</v>
      </c>
      <c r="X833" s="23" t="s">
        <v>54</v>
      </c>
      <c r="Y833" s="49" t="str">
        <f t="shared" si="22"/>
        <v>Ativo</v>
      </c>
      <c r="Z833" s="62"/>
      <c r="AA833" s="32" t="s">
        <v>47</v>
      </c>
      <c r="AB833" s="64"/>
      <c r="AC833" s="79"/>
      <c r="AD833" s="54">
        <v>46203.0</v>
      </c>
      <c r="AE833" s="77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65"/>
      <c r="AW833" s="65"/>
      <c r="AX833" s="65"/>
      <c r="AY833" s="65"/>
      <c r="AZ833" s="65"/>
      <c r="BA833" s="65"/>
      <c r="BB833" s="65"/>
      <c r="BC833" s="65"/>
      <c r="BD833" s="65"/>
      <c r="BE833" s="65"/>
      <c r="BF833" s="65"/>
      <c r="BG833" s="65"/>
      <c r="BH833" s="65"/>
      <c r="BI833" s="65"/>
      <c r="BJ833" s="65"/>
      <c r="BK833" s="65"/>
      <c r="BL833" s="65"/>
      <c r="BM833" s="65"/>
      <c r="BN833" s="65"/>
      <c r="BO833" s="65"/>
      <c r="BP833" s="65"/>
      <c r="BQ833" s="65"/>
      <c r="BR833" s="65"/>
      <c r="BS833" s="65"/>
      <c r="BT833" s="88"/>
      <c r="BU833" s="65"/>
      <c r="BV833" s="65">
        <v>0.0</v>
      </c>
      <c r="BW833" s="90">
        <v>150587.1</v>
      </c>
      <c r="BX833" s="90">
        <v>161905.93</v>
      </c>
      <c r="BY833" s="90">
        <f t="array" ref="BY833">XLOOKUP(C833,'PL TOTAL D0'!$A$3:$A$1991,'PL TOTAL D0'!$C$3:$C$1991,"")</f>
        <v>313234.62</v>
      </c>
    </row>
    <row r="834" ht="15.75" customHeight="1">
      <c r="A834" s="50" t="s">
        <v>24</v>
      </c>
      <c r="B834" s="50" t="s">
        <v>8541</v>
      </c>
      <c r="C834" s="94" t="s">
        <v>8542</v>
      </c>
      <c r="D834" s="81" t="s">
        <v>120</v>
      </c>
      <c r="E834" s="95" t="s">
        <v>54</v>
      </c>
      <c r="F834" s="81" t="s">
        <v>1393</v>
      </c>
      <c r="G834" s="47" t="str">
        <f t="shared" ref="G834:G967" si="37">IFS($BS$4:$BS$1280&lt;=250000,"David",$BS$4:$BS$1280&lt;=800000,"Gabriel", $BS$4:$BS$1280&gt;800000,"Marcus")</f>
        <v>David</v>
      </c>
      <c r="H834" s="49" t="s">
        <v>224</v>
      </c>
      <c r="I834" s="49" t="s">
        <v>66</v>
      </c>
      <c r="J834" s="47" t="str">
        <f t="shared" si="35"/>
        <v>Não</v>
      </c>
      <c r="K834" s="97">
        <v>45118.0</v>
      </c>
      <c r="L834" s="55">
        <v>46134.0</v>
      </c>
      <c r="M834" s="62" t="s">
        <v>61</v>
      </c>
      <c r="N834" s="98">
        <v>0.012</v>
      </c>
      <c r="O834" s="47" t="s">
        <v>66</v>
      </c>
      <c r="P834" s="99">
        <v>0.0</v>
      </c>
      <c r="Q834" s="58"/>
      <c r="R834" s="58" t="s">
        <v>6915</v>
      </c>
      <c r="S834" s="62" t="s">
        <v>194</v>
      </c>
      <c r="T834" s="32" t="s">
        <v>8543</v>
      </c>
      <c r="U834" s="33">
        <v>5.56298415008E12</v>
      </c>
      <c r="V834" s="33" t="s">
        <v>8544</v>
      </c>
      <c r="W834" s="48">
        <v>25121.0</v>
      </c>
      <c r="X834" s="23" t="s">
        <v>54</v>
      </c>
      <c r="Y834" s="49" t="str">
        <f t="shared" si="22"/>
        <v>Encerrado</v>
      </c>
      <c r="Z834" s="62"/>
      <c r="AA834" s="62"/>
      <c r="AB834" s="64" t="s">
        <v>269</v>
      </c>
      <c r="AC834" s="79"/>
      <c r="AD834" s="54">
        <v>45118.0</v>
      </c>
      <c r="AE834" s="77">
        <v>4.907510001266E13</v>
      </c>
      <c r="AF834" s="79"/>
      <c r="AG834" s="79"/>
      <c r="AH834" s="79"/>
      <c r="AI834" s="79"/>
      <c r="AJ834" s="79"/>
      <c r="AK834" s="79"/>
      <c r="AL834" s="79"/>
      <c r="AM834" s="79"/>
      <c r="AN834" s="65">
        <v>0.0</v>
      </c>
      <c r="AO834" s="65">
        <v>236912.56</v>
      </c>
      <c r="AP834" s="65">
        <v>239432.92</v>
      </c>
      <c r="AQ834" s="65">
        <v>268544.31</v>
      </c>
      <c r="AR834" s="65">
        <v>279721.99</v>
      </c>
      <c r="AS834" s="65">
        <v>281711.45</v>
      </c>
      <c r="AT834" s="65">
        <v>316793.96</v>
      </c>
      <c r="AU834" s="65">
        <v>319594.49</v>
      </c>
      <c r="AV834" s="65">
        <v>317694.94</v>
      </c>
      <c r="AW834" s="65">
        <v>316403.92</v>
      </c>
      <c r="AX834" s="65">
        <v>323401.14</v>
      </c>
      <c r="AY834" s="65">
        <v>337965.1</v>
      </c>
      <c r="AZ834" s="65">
        <v>362639.4</v>
      </c>
      <c r="BA834" s="65">
        <v>375015.7</v>
      </c>
      <c r="BB834" s="65">
        <v>378255.55</v>
      </c>
      <c r="BC834" s="65">
        <v>392839.56</v>
      </c>
      <c r="BD834" s="65">
        <v>406367.87</v>
      </c>
      <c r="BE834" s="65">
        <v>409365.81</v>
      </c>
      <c r="BF834" s="65">
        <v>406169.04</v>
      </c>
      <c r="BG834" s="65">
        <v>440342.89</v>
      </c>
      <c r="BH834" s="65">
        <v>492055.7</v>
      </c>
      <c r="BI834" s="65">
        <v>512781.26</v>
      </c>
      <c r="BJ834" s="65">
        <v>511780.27</v>
      </c>
      <c r="BK834" s="65">
        <v>521206.52</v>
      </c>
      <c r="BL834" s="65">
        <v>515710.2</v>
      </c>
      <c r="BM834" s="65">
        <v>510567.36</v>
      </c>
      <c r="BN834" s="65">
        <v>510541.7</v>
      </c>
      <c r="BO834" s="65">
        <v>508467.02</v>
      </c>
      <c r="BP834" s="65">
        <v>506342.9</v>
      </c>
      <c r="BQ834" s="65">
        <v>0.0</v>
      </c>
      <c r="BR834" s="65">
        <v>0.0</v>
      </c>
      <c r="BS834" s="65">
        <v>0.0</v>
      </c>
      <c r="BT834" s="88">
        <v>0.0</v>
      </c>
      <c r="BU834" s="65">
        <v>0.0</v>
      </c>
      <c r="BV834" s="65">
        <v>0.0</v>
      </c>
      <c r="BW834" s="90">
        <v>0.0</v>
      </c>
      <c r="BX834" s="90">
        <v>0.0</v>
      </c>
      <c r="BY834" s="90" t="str">
        <f t="array" ref="BY834">XLOOKUP(C834,'PL TOTAL D0'!$A$3:$A$1991,'PL TOTAL D0'!$C$3:$C$1991,"")</f>
        <v/>
      </c>
    </row>
    <row r="835" ht="15.75" customHeight="1">
      <c r="A835" s="50" t="s">
        <v>24</v>
      </c>
      <c r="B835" s="50" t="s">
        <v>1250</v>
      </c>
      <c r="C835" s="94" t="s">
        <v>8545</v>
      </c>
      <c r="D835" s="30" t="s">
        <v>89</v>
      </c>
      <c r="E835" s="95" t="s">
        <v>91</v>
      </c>
      <c r="F835" s="81" t="s">
        <v>521</v>
      </c>
      <c r="G835" s="47" t="str">
        <f t="shared" si="37"/>
        <v>David</v>
      </c>
      <c r="H835" s="49" t="s">
        <v>295</v>
      </c>
      <c r="I835" s="49" t="s">
        <v>382</v>
      </c>
      <c r="J835" s="47" t="str">
        <f t="shared" si="35"/>
        <v>Não</v>
      </c>
      <c r="K835" s="97">
        <v>45127.0</v>
      </c>
      <c r="L835" s="189"/>
      <c r="M835" s="62" t="s">
        <v>231</v>
      </c>
      <c r="N835" s="98">
        <v>0.025</v>
      </c>
      <c r="O835" s="23" t="s">
        <v>233</v>
      </c>
      <c r="P835" s="99">
        <v>0.2</v>
      </c>
      <c r="Q835" s="58"/>
      <c r="R835" s="635"/>
      <c r="S835" s="62" t="s">
        <v>194</v>
      </c>
      <c r="T835" s="32" t="s">
        <v>1258</v>
      </c>
      <c r="U835" s="33">
        <v>5.543991066451E12</v>
      </c>
      <c r="V835" s="33" t="s">
        <v>8546</v>
      </c>
      <c r="W835" s="48">
        <v>27349.0</v>
      </c>
      <c r="X835" s="23" t="s">
        <v>221</v>
      </c>
      <c r="Y835" s="49" t="str">
        <f t="shared" si="22"/>
        <v>Ativo</v>
      </c>
      <c r="Z835" s="62"/>
      <c r="AA835" s="62"/>
      <c r="AB835" s="64" t="s">
        <v>269</v>
      </c>
      <c r="AC835" s="79"/>
      <c r="AD835" s="54">
        <v>45127.0</v>
      </c>
      <c r="AE835" s="77">
        <v>4.9075100009831E13</v>
      </c>
      <c r="AF835" s="79"/>
      <c r="AG835" s="79"/>
      <c r="AH835" s="79"/>
      <c r="AI835" s="79"/>
      <c r="AJ835" s="79"/>
      <c r="AK835" s="79"/>
      <c r="AL835" s="79"/>
      <c r="AM835" s="79"/>
      <c r="AN835" s="65">
        <v>0.0</v>
      </c>
      <c r="AO835" s="65">
        <v>51761.9</v>
      </c>
      <c r="AP835" s="65">
        <v>51743.98</v>
      </c>
      <c r="AQ835" s="65">
        <v>50555.96</v>
      </c>
      <c r="AR835" s="65">
        <v>48256.8</v>
      </c>
      <c r="AS835" s="65">
        <v>51908.81</v>
      </c>
      <c r="AT835" s="65">
        <v>49827.07</v>
      </c>
      <c r="AU835" s="65">
        <v>47231.72</v>
      </c>
      <c r="AV835" s="65">
        <v>47847.12</v>
      </c>
      <c r="AW835" s="65">
        <v>48585.14</v>
      </c>
      <c r="AX835" s="65">
        <v>46484.02</v>
      </c>
      <c r="AY835" s="65">
        <v>452.33</v>
      </c>
      <c r="AZ835" s="65">
        <v>454.32</v>
      </c>
      <c r="BA835" s="65">
        <v>455.35</v>
      </c>
      <c r="BB835" s="65">
        <v>456.34</v>
      </c>
      <c r="BC835" s="65">
        <v>457.55</v>
      </c>
      <c r="BD835" s="65">
        <v>459.65</v>
      </c>
      <c r="BE835" s="65">
        <v>460.28</v>
      </c>
      <c r="BF835" s="65">
        <v>462.35</v>
      </c>
      <c r="BG835" s="65">
        <v>45.08</v>
      </c>
      <c r="BH835" s="65">
        <v>45.08</v>
      </c>
      <c r="BI835" s="65">
        <v>45.08</v>
      </c>
      <c r="BJ835" s="65">
        <v>45.08</v>
      </c>
      <c r="BK835" s="65">
        <v>45.08</v>
      </c>
      <c r="BL835" s="65">
        <v>45.08</v>
      </c>
      <c r="BM835" s="65">
        <v>45.08</v>
      </c>
      <c r="BN835" s="65">
        <v>45.08</v>
      </c>
      <c r="BO835" s="65">
        <v>45.08</v>
      </c>
      <c r="BP835" s="65">
        <v>45.08</v>
      </c>
      <c r="BQ835" s="65">
        <v>45.08</v>
      </c>
      <c r="BR835" s="65">
        <v>45.08</v>
      </c>
      <c r="BS835" s="65">
        <v>45.08</v>
      </c>
      <c r="BT835" s="88">
        <v>45.08</v>
      </c>
      <c r="BU835" s="65">
        <v>45.08</v>
      </c>
      <c r="BV835" s="65">
        <v>45.08</v>
      </c>
      <c r="BW835" s="90">
        <v>45.08</v>
      </c>
      <c r="BX835" s="90">
        <v>45.08</v>
      </c>
      <c r="BY835" s="90" t="str">
        <f t="array" ref="BY835">XLOOKUP(C835,'PL TOTAL D0'!$A$3:$A$1991,'PL TOTAL D0'!$C$3:$C$1991,"")</f>
        <v/>
      </c>
    </row>
    <row r="836" ht="15.75" customHeight="1">
      <c r="A836" s="50" t="s">
        <v>24</v>
      </c>
      <c r="B836" s="176" t="s">
        <v>1250</v>
      </c>
      <c r="C836" s="94" t="s">
        <v>8547</v>
      </c>
      <c r="D836" s="30" t="s">
        <v>89</v>
      </c>
      <c r="E836" s="95" t="s">
        <v>91</v>
      </c>
      <c r="F836" s="81" t="s">
        <v>521</v>
      </c>
      <c r="G836" s="47" t="str">
        <f t="shared" si="37"/>
        <v>David</v>
      </c>
      <c r="H836" s="49" t="s">
        <v>295</v>
      </c>
      <c r="I836" s="49" t="s">
        <v>382</v>
      </c>
      <c r="J836" s="47" t="str">
        <f t="shared" si="35"/>
        <v>Não</v>
      </c>
      <c r="K836" s="97">
        <v>45064.0</v>
      </c>
      <c r="L836" s="189"/>
      <c r="M836" s="62" t="s">
        <v>61</v>
      </c>
      <c r="N836" s="98">
        <v>0.012</v>
      </c>
      <c r="O836" s="47" t="s">
        <v>66</v>
      </c>
      <c r="P836" s="99">
        <v>0.0</v>
      </c>
      <c r="Q836" s="58"/>
      <c r="R836" s="635"/>
      <c r="S836" s="62" t="s">
        <v>194</v>
      </c>
      <c r="T836" s="32" t="s">
        <v>1258</v>
      </c>
      <c r="U836" s="33">
        <v>5.543991066451E12</v>
      </c>
      <c r="V836" s="33" t="s">
        <v>8546</v>
      </c>
      <c r="W836" s="48">
        <v>27349.0</v>
      </c>
      <c r="X836" s="23" t="s">
        <v>221</v>
      </c>
      <c r="Y836" s="49" t="str">
        <f t="shared" si="22"/>
        <v>Ativo</v>
      </c>
      <c r="Z836" s="62"/>
      <c r="AA836" s="62"/>
      <c r="AB836" s="64" t="s">
        <v>269</v>
      </c>
      <c r="AC836" s="79"/>
      <c r="AD836" s="54">
        <v>45064.0</v>
      </c>
      <c r="AE836" s="77">
        <v>4.9075100005508E13</v>
      </c>
      <c r="AF836" s="79"/>
      <c r="AG836" s="79"/>
      <c r="AH836" s="79"/>
      <c r="AI836" s="79"/>
      <c r="AJ836" s="79"/>
      <c r="AK836" s="65">
        <v>0.0</v>
      </c>
      <c r="AL836" s="65">
        <v>0.0</v>
      </c>
      <c r="AM836" s="65">
        <v>0.0</v>
      </c>
      <c r="AN836" s="65">
        <v>177711.3</v>
      </c>
      <c r="AO836" s="65">
        <v>128735.41</v>
      </c>
      <c r="AP836" s="65">
        <v>130008.98</v>
      </c>
      <c r="AQ836" s="65">
        <v>131025.4</v>
      </c>
      <c r="AR836" s="65">
        <v>132166.66</v>
      </c>
      <c r="AS836" s="65">
        <v>133117.54</v>
      </c>
      <c r="AT836" s="65">
        <v>118089.24</v>
      </c>
      <c r="AU836" s="65">
        <v>102899.13</v>
      </c>
      <c r="AV836" s="65">
        <v>103738.25</v>
      </c>
      <c r="AW836" s="65">
        <v>104723.2</v>
      </c>
      <c r="AX836" s="65">
        <v>105554.87</v>
      </c>
      <c r="AY836" s="65">
        <v>0.0</v>
      </c>
      <c r="AZ836" s="65">
        <v>4.4</v>
      </c>
      <c r="BA836" s="65">
        <v>4.4</v>
      </c>
      <c r="BB836" s="65">
        <v>4.4</v>
      </c>
      <c r="BC836" s="65">
        <v>4.4</v>
      </c>
      <c r="BD836" s="65">
        <v>4.4</v>
      </c>
      <c r="BE836" s="65">
        <v>4.4</v>
      </c>
      <c r="BF836" s="65">
        <v>4.4</v>
      </c>
      <c r="BG836" s="65">
        <v>0.0</v>
      </c>
      <c r="BH836" s="65">
        <v>0.0</v>
      </c>
      <c r="BI836" s="65">
        <v>0.0</v>
      </c>
      <c r="BJ836" s="65">
        <v>0.0</v>
      </c>
      <c r="BK836" s="65">
        <v>0.0</v>
      </c>
      <c r="BL836" s="65">
        <v>0.0</v>
      </c>
      <c r="BM836" s="65">
        <v>0.0</v>
      </c>
      <c r="BN836" s="65">
        <v>0.0</v>
      </c>
      <c r="BO836" s="65">
        <v>0.0</v>
      </c>
      <c r="BP836" s="65">
        <v>0.0</v>
      </c>
      <c r="BQ836" s="65">
        <v>0.0</v>
      </c>
      <c r="BR836" s="65">
        <v>0.0</v>
      </c>
      <c r="BS836" s="65">
        <v>0.0</v>
      </c>
      <c r="BT836" s="88">
        <v>0.0</v>
      </c>
      <c r="BU836" s="65">
        <v>0.0</v>
      </c>
      <c r="BV836" s="65">
        <v>0.0</v>
      </c>
      <c r="BW836" s="90">
        <v>0.0</v>
      </c>
      <c r="BX836" s="90">
        <v>0.0</v>
      </c>
      <c r="BY836" s="90" t="str">
        <f t="array" ref="BY836">XLOOKUP(C836,'PL TOTAL D0'!$A$3:$A$1991,'PL TOTAL D0'!$C$3:$C$1991,"")</f>
        <v/>
      </c>
    </row>
    <row r="837" ht="15.75" customHeight="1">
      <c r="A837" s="50" t="s">
        <v>24</v>
      </c>
      <c r="B837" s="39" t="s">
        <v>8548</v>
      </c>
      <c r="C837" s="94" t="s">
        <v>3074</v>
      </c>
      <c r="D837" s="30" t="s">
        <v>120</v>
      </c>
      <c r="E837" s="22" t="s">
        <v>199</v>
      </c>
      <c r="F837" s="30" t="s">
        <v>6373</v>
      </c>
      <c r="G837" s="47" t="str">
        <f t="shared" si="37"/>
        <v>Gabriel</v>
      </c>
      <c r="H837" s="49" t="s">
        <v>295</v>
      </c>
      <c r="I837" s="49" t="s">
        <v>447</v>
      </c>
      <c r="J837" s="47" t="str">
        <f t="shared" si="35"/>
        <v>Sim</v>
      </c>
      <c r="K837" s="54">
        <v>45603.0</v>
      </c>
      <c r="L837" s="189"/>
      <c r="M837" s="27" t="s">
        <v>201</v>
      </c>
      <c r="N837" s="29">
        <v>0.0</v>
      </c>
      <c r="O837" s="30" t="s">
        <v>66</v>
      </c>
      <c r="P837" s="31">
        <v>0.0</v>
      </c>
      <c r="Q837" s="58" t="s">
        <v>8549</v>
      </c>
      <c r="R837" s="841" t="s">
        <v>8550</v>
      </c>
      <c r="S837" s="32" t="s">
        <v>194</v>
      </c>
      <c r="T837" s="32" t="s">
        <v>8551</v>
      </c>
      <c r="U837" s="33">
        <v>5.561993642906E12</v>
      </c>
      <c r="V837" s="33" t="s">
        <v>8552</v>
      </c>
      <c r="W837" s="34">
        <v>33065.0</v>
      </c>
      <c r="X837" s="23" t="s">
        <v>199</v>
      </c>
      <c r="Y837" s="49" t="str">
        <f t="shared" si="22"/>
        <v>Ativo</v>
      </c>
      <c r="Z837" s="62"/>
      <c r="AA837" s="32" t="s">
        <v>47</v>
      </c>
      <c r="AB837" s="64"/>
      <c r="AC837" s="79"/>
      <c r="AD837" s="54">
        <v>45603.0</v>
      </c>
      <c r="AE837" s="77">
        <v>4.9075100016356E13</v>
      </c>
      <c r="AF837" s="79"/>
      <c r="AG837" s="79"/>
      <c r="AH837" s="79"/>
      <c r="AI837" s="79"/>
      <c r="AJ837" s="79"/>
      <c r="AK837" s="65"/>
      <c r="AL837" s="65"/>
      <c r="AM837" s="65"/>
      <c r="AN837" s="65"/>
      <c r="AO837" s="65"/>
      <c r="AP837" s="65"/>
      <c r="AQ837" s="65"/>
      <c r="AR837" s="65"/>
      <c r="AS837" s="65"/>
      <c r="AT837" s="65"/>
      <c r="AU837" s="65"/>
      <c r="AV837" s="65"/>
      <c r="AW837" s="65"/>
      <c r="AX837" s="65"/>
      <c r="AY837" s="65"/>
      <c r="AZ837" s="65"/>
      <c r="BA837" s="65"/>
      <c r="BB837" s="65"/>
      <c r="BC837" s="65"/>
      <c r="BD837" s="65"/>
      <c r="BE837" s="65">
        <v>452894.54</v>
      </c>
      <c r="BF837" s="65">
        <v>457601.03</v>
      </c>
      <c r="BG837" s="65">
        <v>462208.02</v>
      </c>
      <c r="BH837" s="65">
        <v>466364.85</v>
      </c>
      <c r="BI837" s="65">
        <v>465125.75</v>
      </c>
      <c r="BJ837" s="65">
        <v>465779.01</v>
      </c>
      <c r="BK837" s="65">
        <v>467087.43</v>
      </c>
      <c r="BL837" s="65">
        <v>470888.69</v>
      </c>
      <c r="BM837" s="65">
        <v>470439.94</v>
      </c>
      <c r="BN837" s="65">
        <v>468504.2</v>
      </c>
      <c r="BO837" s="65">
        <v>472609.85</v>
      </c>
      <c r="BP837" s="65">
        <v>459168.7</v>
      </c>
      <c r="BQ837" s="65">
        <v>391021.4</v>
      </c>
      <c r="BR837" s="65">
        <v>375967.4</v>
      </c>
      <c r="BS837" s="65">
        <v>365478.05</v>
      </c>
      <c r="BT837" s="88">
        <v>351047.0</v>
      </c>
      <c r="BU837" s="65">
        <v>351097.2</v>
      </c>
      <c r="BV837" s="65">
        <v>327167.9</v>
      </c>
      <c r="BW837" s="90">
        <v>306580.8</v>
      </c>
      <c r="BX837" s="90">
        <v>304462.48</v>
      </c>
      <c r="BY837" s="90">
        <f t="array" ref="BY837">XLOOKUP(C837,'PL TOTAL D0'!$A$3:$A$1991,'PL TOTAL D0'!$C$3:$C$1991,"")</f>
        <v>284249.72</v>
      </c>
    </row>
    <row r="838" ht="15.75" customHeight="1">
      <c r="A838" s="43" t="s">
        <v>24</v>
      </c>
      <c r="B838" s="39" t="s">
        <v>8548</v>
      </c>
      <c r="C838" s="94" t="s">
        <v>3477</v>
      </c>
      <c r="D838" s="30" t="s">
        <v>120</v>
      </c>
      <c r="E838" s="22" t="s">
        <v>199</v>
      </c>
      <c r="F838" s="30" t="s">
        <v>6373</v>
      </c>
      <c r="G838" s="47" t="str">
        <f t="shared" si="37"/>
        <v>David</v>
      </c>
      <c r="H838" s="49" t="s">
        <v>295</v>
      </c>
      <c r="I838" s="49" t="s">
        <v>447</v>
      </c>
      <c r="J838" s="47" t="str">
        <f t="shared" si="35"/>
        <v>Não</v>
      </c>
      <c r="K838" s="54">
        <v>45968.0</v>
      </c>
      <c r="L838" s="189"/>
      <c r="M838" s="27" t="s">
        <v>201</v>
      </c>
      <c r="N838" s="29">
        <v>0.0</v>
      </c>
      <c r="O838" s="30" t="s">
        <v>66</v>
      </c>
      <c r="P838" s="31">
        <v>0.0</v>
      </c>
      <c r="Q838" s="58"/>
      <c r="R838" s="841"/>
      <c r="S838" s="32" t="s">
        <v>194</v>
      </c>
      <c r="T838" s="32" t="s">
        <v>8551</v>
      </c>
      <c r="U838" s="33">
        <v>5.561993642906E12</v>
      </c>
      <c r="V838" s="33" t="s">
        <v>8552</v>
      </c>
      <c r="W838" s="34">
        <v>33065.0</v>
      </c>
      <c r="X838" s="23" t="s">
        <v>199</v>
      </c>
      <c r="Y838" s="49" t="str">
        <f t="shared" si="22"/>
        <v>Ativo</v>
      </c>
      <c r="Z838" s="62"/>
      <c r="AA838" s="32" t="s">
        <v>47</v>
      </c>
      <c r="AB838" s="64"/>
      <c r="AC838" s="79"/>
      <c r="AD838" s="54">
        <v>45968.0</v>
      </c>
      <c r="AE838" s="148">
        <v>4.9075100019657E13</v>
      </c>
      <c r="AF838" s="79"/>
      <c r="AG838" s="79"/>
      <c r="AH838" s="79"/>
      <c r="AI838" s="79"/>
      <c r="AJ838" s="79"/>
      <c r="AK838" s="65"/>
      <c r="AL838" s="65"/>
      <c r="AM838" s="65"/>
      <c r="AN838" s="65"/>
      <c r="AO838" s="65"/>
      <c r="AP838" s="65"/>
      <c r="AQ838" s="65"/>
      <c r="AR838" s="65"/>
      <c r="AS838" s="65"/>
      <c r="AT838" s="65"/>
      <c r="AU838" s="65"/>
      <c r="AV838" s="65"/>
      <c r="AW838" s="65"/>
      <c r="AX838" s="65"/>
      <c r="AY838" s="65"/>
      <c r="AZ838" s="65"/>
      <c r="BA838" s="65"/>
      <c r="BB838" s="65"/>
      <c r="BC838" s="65"/>
      <c r="BD838" s="65"/>
      <c r="BE838" s="65"/>
      <c r="BF838" s="65"/>
      <c r="BG838" s="65"/>
      <c r="BH838" s="65"/>
      <c r="BI838" s="65"/>
      <c r="BJ838" s="65"/>
      <c r="BK838" s="65"/>
      <c r="BL838" s="65"/>
      <c r="BM838" s="65"/>
      <c r="BN838" s="65"/>
      <c r="BO838" s="65"/>
      <c r="BP838" s="65">
        <v>0.0</v>
      </c>
      <c r="BQ838" s="65">
        <v>39652.39</v>
      </c>
      <c r="BR838" s="65">
        <v>40378.14</v>
      </c>
      <c r="BS838" s="65">
        <v>40525.82</v>
      </c>
      <c r="BT838" s="88">
        <v>40079.55</v>
      </c>
      <c r="BU838" s="65">
        <v>39132.5</v>
      </c>
      <c r="BV838" s="65">
        <v>39713.89</v>
      </c>
      <c r="BW838" s="90">
        <v>38501.49</v>
      </c>
      <c r="BX838" s="90">
        <v>37975.06</v>
      </c>
      <c r="BY838" s="90">
        <f t="array" ref="BY838">XLOOKUP(C838,'PL TOTAL D0'!$A$3:$A$1991,'PL TOTAL D0'!$C$3:$C$1991,"")</f>
        <v>38661.38</v>
      </c>
    </row>
    <row r="839" ht="15.75" customHeight="1">
      <c r="A839" s="50" t="s">
        <v>24</v>
      </c>
      <c r="B839" s="50" t="s">
        <v>8553</v>
      </c>
      <c r="C839" s="94" t="s">
        <v>8554</v>
      </c>
      <c r="D839" s="81" t="s">
        <v>255</v>
      </c>
      <c r="E839" s="95" t="s">
        <v>199</v>
      </c>
      <c r="F839" s="81" t="s">
        <v>257</v>
      </c>
      <c r="G839" s="47" t="str">
        <f t="shared" si="37"/>
        <v>David</v>
      </c>
      <c r="H839" s="49" t="s">
        <v>224</v>
      </c>
      <c r="I839" s="49" t="s">
        <v>66</v>
      </c>
      <c r="J839" s="47" t="str">
        <f t="shared" si="35"/>
        <v>Não</v>
      </c>
      <c r="K839" s="97">
        <v>45105.0</v>
      </c>
      <c r="L839" s="186">
        <v>45513.0</v>
      </c>
      <c r="M839" s="62" t="s">
        <v>209</v>
      </c>
      <c r="N839" s="98">
        <v>0.015</v>
      </c>
      <c r="O839" s="47" t="s">
        <v>35</v>
      </c>
      <c r="P839" s="99">
        <v>0.1</v>
      </c>
      <c r="Q839" s="58"/>
      <c r="R839" s="58" t="s">
        <v>8555</v>
      </c>
      <c r="S839" s="62" t="s">
        <v>194</v>
      </c>
      <c r="T839" s="32" t="s">
        <v>8556</v>
      </c>
      <c r="U839" s="33" t="s">
        <v>268</v>
      </c>
      <c r="V839" s="33"/>
      <c r="W839" s="33" t="s">
        <v>268</v>
      </c>
      <c r="X839" s="23" t="s">
        <v>199</v>
      </c>
      <c r="Y839" s="49" t="str">
        <f t="shared" si="22"/>
        <v>Encerrado</v>
      </c>
      <c r="Z839" s="62"/>
      <c r="AA839" s="62"/>
      <c r="AB839" s="64" t="s">
        <v>244</v>
      </c>
      <c r="AC839" s="79"/>
      <c r="AD839" s="54">
        <v>45105.0</v>
      </c>
      <c r="AE839" s="77">
        <v>4.9075100007209E13</v>
      </c>
      <c r="AF839" s="79"/>
      <c r="AG839" s="79"/>
      <c r="AH839" s="79"/>
      <c r="AI839" s="79"/>
      <c r="AJ839" s="79"/>
      <c r="AK839" s="79"/>
      <c r="AL839" s="79"/>
      <c r="AM839" s="79"/>
      <c r="AN839" s="65">
        <v>144597.64</v>
      </c>
      <c r="AO839" s="65">
        <v>249151.62</v>
      </c>
      <c r="AP839" s="65">
        <v>240637.98</v>
      </c>
      <c r="AQ839" s="65">
        <v>222998.54</v>
      </c>
      <c r="AR839" s="65">
        <v>206781.25</v>
      </c>
      <c r="AS839" s="65">
        <v>204344.21</v>
      </c>
      <c r="AT839" s="65">
        <v>208352.87</v>
      </c>
      <c r="AU839" s="65">
        <v>255201.5</v>
      </c>
      <c r="AV839" s="65">
        <v>249479.85</v>
      </c>
      <c r="AW839" s="65">
        <v>243986.61</v>
      </c>
      <c r="AX839" s="65">
        <v>233685.22</v>
      </c>
      <c r="AY839" s="65">
        <v>232346.8</v>
      </c>
      <c r="AZ839" s="65">
        <v>232504.7</v>
      </c>
      <c r="BA839" s="65">
        <v>0.0</v>
      </c>
      <c r="BB839" s="65">
        <v>0.0</v>
      </c>
      <c r="BC839" s="65">
        <v>0.0</v>
      </c>
      <c r="BD839" s="65">
        <v>0.0</v>
      </c>
      <c r="BE839" s="65">
        <v>0.0</v>
      </c>
      <c r="BF839" s="65">
        <v>0.0</v>
      </c>
      <c r="BG839" s="65">
        <v>0.0</v>
      </c>
      <c r="BH839" s="65">
        <v>0.0</v>
      </c>
      <c r="BI839" s="65">
        <v>0.0</v>
      </c>
      <c r="BJ839" s="65">
        <v>0.0</v>
      </c>
      <c r="BK839" s="65">
        <v>0.0</v>
      </c>
      <c r="BL839" s="65">
        <v>0.0</v>
      </c>
      <c r="BM839" s="65">
        <v>0.0</v>
      </c>
      <c r="BN839" s="65">
        <v>0.0</v>
      </c>
      <c r="BO839" s="65">
        <v>0.0</v>
      </c>
      <c r="BP839" s="65">
        <v>0.0</v>
      </c>
      <c r="BQ839" s="65">
        <v>0.0</v>
      </c>
      <c r="BR839" s="65">
        <v>0.0</v>
      </c>
      <c r="BS839" s="65">
        <v>0.0</v>
      </c>
      <c r="BT839" s="88">
        <v>0.0</v>
      </c>
      <c r="BU839" s="65">
        <v>0.0</v>
      </c>
      <c r="BV839" s="65">
        <v>0.0</v>
      </c>
      <c r="BW839" s="90">
        <v>0.0</v>
      </c>
      <c r="BX839" s="90">
        <v>0.0</v>
      </c>
      <c r="BY839" s="90" t="str">
        <f t="array" ref="BY839">XLOOKUP(C839,'PL TOTAL D0'!$A$3:$A$1991,'PL TOTAL D0'!$C$3:$C$1991,"")</f>
        <v/>
      </c>
    </row>
    <row r="840" ht="15.75" customHeight="1">
      <c r="A840" s="50" t="s">
        <v>24</v>
      </c>
      <c r="B840" s="43" t="s">
        <v>8557</v>
      </c>
      <c r="C840" s="94" t="s">
        <v>8558</v>
      </c>
      <c r="D840" s="30" t="s">
        <v>255</v>
      </c>
      <c r="E840" s="22" t="s">
        <v>199</v>
      </c>
      <c r="F840" s="81" t="s">
        <v>257</v>
      </c>
      <c r="G840" s="47" t="str">
        <f t="shared" si="37"/>
        <v>David</v>
      </c>
      <c r="H840" s="49" t="s">
        <v>224</v>
      </c>
      <c r="I840" s="49" t="s">
        <v>66</v>
      </c>
      <c r="J840" s="47" t="str">
        <f t="shared" si="35"/>
        <v>Não</v>
      </c>
      <c r="K840" s="54">
        <v>45345.0</v>
      </c>
      <c r="L840" s="186">
        <v>45540.0</v>
      </c>
      <c r="M840" s="32" t="s">
        <v>61</v>
      </c>
      <c r="N840" s="56">
        <v>0.012</v>
      </c>
      <c r="O840" s="23" t="s">
        <v>66</v>
      </c>
      <c r="P840" s="57">
        <v>0.0</v>
      </c>
      <c r="Q840" s="58"/>
      <c r="R840" s="58" t="s">
        <v>8555</v>
      </c>
      <c r="S840" s="32" t="s">
        <v>194</v>
      </c>
      <c r="T840" s="177" t="s">
        <v>8556</v>
      </c>
      <c r="U840" s="33" t="s">
        <v>268</v>
      </c>
      <c r="V840" s="33"/>
      <c r="W840" s="33" t="s">
        <v>268</v>
      </c>
      <c r="X840" s="23" t="s">
        <v>199</v>
      </c>
      <c r="Y840" s="49" t="str">
        <f t="shared" si="22"/>
        <v>Encerrado</v>
      </c>
      <c r="Z840" s="62"/>
      <c r="AA840" s="62"/>
      <c r="AB840" s="64" t="s">
        <v>244</v>
      </c>
      <c r="AC840" s="79"/>
      <c r="AD840" s="54">
        <v>45345.0</v>
      </c>
      <c r="AE840" s="77">
        <v>4.9075100013411E13</v>
      </c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65">
        <v>0.0</v>
      </c>
      <c r="AW840" s="65">
        <v>0.0</v>
      </c>
      <c r="AX840" s="65">
        <v>0.0</v>
      </c>
      <c r="AY840" s="65">
        <v>0.0</v>
      </c>
      <c r="AZ840" s="65">
        <v>0.0</v>
      </c>
      <c r="BA840" s="65">
        <v>0.0</v>
      </c>
      <c r="BB840" s="65">
        <v>0.0</v>
      </c>
      <c r="BC840" s="65">
        <v>0.0</v>
      </c>
      <c r="BD840" s="65">
        <v>0.0</v>
      </c>
      <c r="BE840" s="65">
        <v>0.0</v>
      </c>
      <c r="BF840" s="65">
        <v>0.0</v>
      </c>
      <c r="BG840" s="65">
        <v>0.0</v>
      </c>
      <c r="BH840" s="65">
        <v>0.0</v>
      </c>
      <c r="BI840" s="65">
        <v>0.0</v>
      </c>
      <c r="BJ840" s="65">
        <v>0.0</v>
      </c>
      <c r="BK840" s="65">
        <v>0.0</v>
      </c>
      <c r="BL840" s="65">
        <v>0.0</v>
      </c>
      <c r="BM840" s="65">
        <v>0.0</v>
      </c>
      <c r="BN840" s="65">
        <v>0.0</v>
      </c>
      <c r="BO840" s="65">
        <v>0.0</v>
      </c>
      <c r="BP840" s="65">
        <v>0.0</v>
      </c>
      <c r="BQ840" s="65">
        <v>0.0</v>
      </c>
      <c r="BR840" s="65">
        <v>0.0</v>
      </c>
      <c r="BS840" s="65">
        <v>0.0</v>
      </c>
      <c r="BT840" s="88">
        <v>0.0</v>
      </c>
      <c r="BU840" s="65">
        <v>0.0</v>
      </c>
      <c r="BV840" s="65">
        <v>0.0</v>
      </c>
      <c r="BW840" s="90">
        <v>0.0</v>
      </c>
      <c r="BX840" s="90">
        <v>0.0</v>
      </c>
      <c r="BY840" s="90" t="str">
        <f t="array" ref="BY840">XLOOKUP(C840,'PL TOTAL D0'!$A$3:$A$1991,'PL TOTAL D0'!$C$3:$C$1991,"")</f>
        <v/>
      </c>
    </row>
    <row r="841" ht="15.75" customHeight="1">
      <c r="A841" s="50" t="s">
        <v>24</v>
      </c>
      <c r="B841" s="43" t="s">
        <v>8559</v>
      </c>
      <c r="C841" s="94" t="s">
        <v>8560</v>
      </c>
      <c r="D841" s="30" t="s">
        <v>120</v>
      </c>
      <c r="E841" s="22" t="s">
        <v>199</v>
      </c>
      <c r="F841" s="30" t="s">
        <v>1914</v>
      </c>
      <c r="G841" s="47" t="str">
        <f t="shared" si="37"/>
        <v>David</v>
      </c>
      <c r="H841" s="49" t="s">
        <v>224</v>
      </c>
      <c r="I841" s="49" t="s">
        <v>66</v>
      </c>
      <c r="J841" s="47" t="str">
        <f t="shared" si="35"/>
        <v>Não</v>
      </c>
      <c r="K841" s="54">
        <v>45453.0</v>
      </c>
      <c r="L841" s="186">
        <v>45562.0</v>
      </c>
      <c r="M841" s="32" t="s">
        <v>61</v>
      </c>
      <c r="N841" s="56">
        <v>0.012</v>
      </c>
      <c r="O841" s="23" t="s">
        <v>66</v>
      </c>
      <c r="P841" s="57">
        <v>0.0</v>
      </c>
      <c r="Q841" s="58"/>
      <c r="R841" s="70"/>
      <c r="S841" s="32" t="s">
        <v>194</v>
      </c>
      <c r="T841" s="177" t="s">
        <v>8561</v>
      </c>
      <c r="U841" s="33" t="s">
        <v>268</v>
      </c>
      <c r="V841" s="33"/>
      <c r="W841" s="33" t="s">
        <v>268</v>
      </c>
      <c r="X841" s="23" t="s">
        <v>199</v>
      </c>
      <c r="Y841" s="49" t="str">
        <f t="shared" si="22"/>
        <v>Encerrado</v>
      </c>
      <c r="Z841" s="32"/>
      <c r="AA841" s="32" t="s">
        <v>165</v>
      </c>
      <c r="AB841" s="64" t="s">
        <v>269</v>
      </c>
      <c r="AC841" s="79"/>
      <c r="AD841" s="54">
        <v>45453.0</v>
      </c>
      <c r="AE841" s="77">
        <v>4.9075100015112E13</v>
      </c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65"/>
      <c r="AW841" s="65"/>
      <c r="AX841" s="65"/>
      <c r="AY841" s="65"/>
      <c r="AZ841" s="65">
        <v>694317.1</v>
      </c>
      <c r="BA841" s="65">
        <v>700710.6</v>
      </c>
      <c r="BB841" s="65">
        <v>707238.48</v>
      </c>
      <c r="BC841" s="65">
        <v>711912.1</v>
      </c>
      <c r="BD841" s="65">
        <v>0.0</v>
      </c>
      <c r="BE841" s="65">
        <v>0.0</v>
      </c>
      <c r="BF841" s="65">
        <v>0.0</v>
      </c>
      <c r="BG841" s="65">
        <v>0.0</v>
      </c>
      <c r="BH841" s="65">
        <v>0.0</v>
      </c>
      <c r="BI841" s="65">
        <v>0.0</v>
      </c>
      <c r="BJ841" s="65">
        <v>0.0</v>
      </c>
      <c r="BK841" s="65">
        <v>0.0</v>
      </c>
      <c r="BL841" s="65">
        <v>0.0</v>
      </c>
      <c r="BM841" s="65">
        <v>0.0</v>
      </c>
      <c r="BN841" s="65">
        <v>0.0</v>
      </c>
      <c r="BO841" s="65">
        <v>0.0</v>
      </c>
      <c r="BP841" s="65">
        <v>0.0</v>
      </c>
      <c r="BQ841" s="65">
        <v>0.0</v>
      </c>
      <c r="BR841" s="65">
        <v>0.0</v>
      </c>
      <c r="BS841" s="65">
        <v>0.0</v>
      </c>
      <c r="BT841" s="88">
        <v>0.0</v>
      </c>
      <c r="BU841" s="65">
        <v>0.0</v>
      </c>
      <c r="BV841" s="65">
        <v>0.0</v>
      </c>
      <c r="BW841" s="90">
        <v>0.0</v>
      </c>
      <c r="BX841" s="90">
        <v>0.0</v>
      </c>
      <c r="BY841" s="90" t="str">
        <f t="array" ref="BY841">XLOOKUP(C841,'PL TOTAL D0'!$A$3:$A$1991,'PL TOTAL D0'!$C$3:$C$1991,"")</f>
        <v/>
      </c>
    </row>
    <row r="842" ht="15.75" customHeight="1">
      <c r="A842" s="50" t="s">
        <v>24</v>
      </c>
      <c r="B842" s="457" t="s">
        <v>8562</v>
      </c>
      <c r="C842" s="94" t="s">
        <v>8563</v>
      </c>
      <c r="D842" s="81" t="s">
        <v>255</v>
      </c>
      <c r="E842" s="95" t="s">
        <v>199</v>
      </c>
      <c r="F842" s="81" t="s">
        <v>2328</v>
      </c>
      <c r="G842" s="47" t="str">
        <f t="shared" si="37"/>
        <v>David</v>
      </c>
      <c r="H842" s="49" t="s">
        <v>224</v>
      </c>
      <c r="I842" s="49" t="s">
        <v>66</v>
      </c>
      <c r="J842" s="47" t="str">
        <f t="shared" si="35"/>
        <v>Não</v>
      </c>
      <c r="K842" s="97">
        <v>45105.0</v>
      </c>
      <c r="L842" s="186">
        <v>45513.0</v>
      </c>
      <c r="M842" s="62" t="s">
        <v>61</v>
      </c>
      <c r="N842" s="98">
        <v>0.0085</v>
      </c>
      <c r="O842" s="47" t="s">
        <v>66</v>
      </c>
      <c r="P842" s="99">
        <v>0.0</v>
      </c>
      <c r="Q842" s="58"/>
      <c r="R842" s="58" t="s">
        <v>3969</v>
      </c>
      <c r="S842" s="62" t="s">
        <v>194</v>
      </c>
      <c r="T842" s="32" t="s">
        <v>8564</v>
      </c>
      <c r="U842" s="33" t="s">
        <v>268</v>
      </c>
      <c r="V842" s="33"/>
      <c r="W842" s="33" t="s">
        <v>268</v>
      </c>
      <c r="X842" s="23" t="s">
        <v>475</v>
      </c>
      <c r="Y842" s="49" t="str">
        <f t="shared" si="22"/>
        <v>Encerrado</v>
      </c>
      <c r="Z842" s="62"/>
      <c r="AA842" s="62"/>
      <c r="AB842" s="64" t="s">
        <v>269</v>
      </c>
      <c r="AC842" s="79"/>
      <c r="AD842" s="54">
        <v>45105.0</v>
      </c>
      <c r="AE842" s="77">
        <v>4.9075100010153E13</v>
      </c>
      <c r="AF842" s="79"/>
      <c r="AG842" s="79"/>
      <c r="AH842" s="79"/>
      <c r="AI842" s="79"/>
      <c r="AJ842" s="79"/>
      <c r="AK842" s="79"/>
      <c r="AL842" s="79"/>
      <c r="AM842" s="79"/>
      <c r="AN842" s="79"/>
      <c r="AO842" s="65">
        <v>791856.43</v>
      </c>
      <c r="AP842" s="65">
        <v>817625.14</v>
      </c>
      <c r="AQ842" s="65">
        <v>819516.43</v>
      </c>
      <c r="AR842" s="65">
        <v>885191.86</v>
      </c>
      <c r="AS842" s="65">
        <v>886981.65</v>
      </c>
      <c r="AT842" s="65">
        <v>892805.98</v>
      </c>
      <c r="AU842" s="65">
        <v>883088.38</v>
      </c>
      <c r="AV842" s="65">
        <v>890559.72</v>
      </c>
      <c r="AW842" s="65">
        <v>898278.39</v>
      </c>
      <c r="AX842" s="65">
        <v>984105.29</v>
      </c>
      <c r="AY842" s="65">
        <v>992243.5</v>
      </c>
      <c r="AZ842" s="65">
        <v>1000850.0</v>
      </c>
      <c r="BA842" s="65">
        <v>0.0</v>
      </c>
      <c r="BB842" s="65">
        <v>0.0</v>
      </c>
      <c r="BC842" s="65">
        <v>0.0</v>
      </c>
      <c r="BD842" s="65">
        <v>0.0</v>
      </c>
      <c r="BE842" s="65">
        <v>0.0</v>
      </c>
      <c r="BF842" s="65">
        <v>0.0</v>
      </c>
      <c r="BG842" s="65">
        <v>0.0</v>
      </c>
      <c r="BH842" s="65">
        <v>0.0</v>
      </c>
      <c r="BI842" s="65">
        <v>0.0</v>
      </c>
      <c r="BJ842" s="65">
        <v>0.0</v>
      </c>
      <c r="BK842" s="65">
        <v>0.0</v>
      </c>
      <c r="BL842" s="65">
        <v>0.0</v>
      </c>
      <c r="BM842" s="65">
        <v>0.0</v>
      </c>
      <c r="BN842" s="65">
        <v>0.0</v>
      </c>
      <c r="BO842" s="65">
        <v>0.0</v>
      </c>
      <c r="BP842" s="65">
        <v>0.0</v>
      </c>
      <c r="BQ842" s="65">
        <v>0.0</v>
      </c>
      <c r="BR842" s="65">
        <v>0.0</v>
      </c>
      <c r="BS842" s="65">
        <v>0.0</v>
      </c>
      <c r="BT842" s="88">
        <v>0.0</v>
      </c>
      <c r="BU842" s="65">
        <v>0.0</v>
      </c>
      <c r="BV842" s="65">
        <v>0.0</v>
      </c>
      <c r="BW842" s="90">
        <v>0.0</v>
      </c>
      <c r="BX842" s="90">
        <v>0.0</v>
      </c>
      <c r="BY842" s="90" t="str">
        <f t="array" ref="BY842">XLOOKUP(C842,'PL TOTAL D0'!$A$3:$A$1991,'PL TOTAL D0'!$C$3:$C$1991,"")</f>
        <v/>
      </c>
    </row>
    <row r="843" ht="15.75" customHeight="1">
      <c r="A843" s="50" t="s">
        <v>24</v>
      </c>
      <c r="B843" s="555" t="s">
        <v>8565</v>
      </c>
      <c r="C843" s="94" t="s">
        <v>8566</v>
      </c>
      <c r="D843" s="30" t="s">
        <v>255</v>
      </c>
      <c r="E843" s="22" t="s">
        <v>199</v>
      </c>
      <c r="F843" s="30" t="s">
        <v>8567</v>
      </c>
      <c r="G843" s="47" t="str">
        <f t="shared" si="37"/>
        <v>David</v>
      </c>
      <c r="H843" s="49" t="s">
        <v>224</v>
      </c>
      <c r="I843" s="49" t="s">
        <v>66</v>
      </c>
      <c r="J843" s="47" t="str">
        <f t="shared" si="35"/>
        <v>Não</v>
      </c>
      <c r="K843" s="54">
        <v>45476.0</v>
      </c>
      <c r="L843" s="186">
        <v>45761.0</v>
      </c>
      <c r="M843" s="32" t="s">
        <v>61</v>
      </c>
      <c r="N843" s="56">
        <v>0.012</v>
      </c>
      <c r="O843" s="23" t="s">
        <v>66</v>
      </c>
      <c r="P843" s="57">
        <v>0.0</v>
      </c>
      <c r="Q843" s="58"/>
      <c r="R843" s="70"/>
      <c r="S843" s="32" t="s">
        <v>194</v>
      </c>
      <c r="T843" s="32" t="s">
        <v>8568</v>
      </c>
      <c r="U843" s="33">
        <v>3.4999781112E10</v>
      </c>
      <c r="V843" s="33" t="s">
        <v>8569</v>
      </c>
      <c r="W843" s="34">
        <v>21412.0</v>
      </c>
      <c r="X843" s="23" t="s">
        <v>618</v>
      </c>
      <c r="Y843" s="49" t="str">
        <f t="shared" si="22"/>
        <v>Encerrado</v>
      </c>
      <c r="Z843" s="32"/>
      <c r="AA843" s="32" t="s">
        <v>47</v>
      </c>
      <c r="AB843" s="64" t="s">
        <v>2099</v>
      </c>
      <c r="AC843" s="79"/>
      <c r="AD843" s="54">
        <v>45476.0</v>
      </c>
      <c r="AE843" s="77">
        <v>4.9075100015368E13</v>
      </c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65"/>
      <c r="AW843" s="65"/>
      <c r="AX843" s="65"/>
      <c r="AY843" s="65"/>
      <c r="AZ843" s="65"/>
      <c r="BA843" s="65">
        <v>668651.2</v>
      </c>
      <c r="BB843" s="65">
        <v>674921.15</v>
      </c>
      <c r="BC843" s="65">
        <v>679682.94</v>
      </c>
      <c r="BD843" s="65">
        <v>685885.05</v>
      </c>
      <c r="BE843" s="65">
        <v>691312.75</v>
      </c>
      <c r="BF843" s="65">
        <v>697427.83</v>
      </c>
      <c r="BG843" s="65">
        <v>704289.06</v>
      </c>
      <c r="BH843" s="65">
        <v>0.2</v>
      </c>
      <c r="BI843" s="65">
        <v>0.22</v>
      </c>
      <c r="BJ843" s="65">
        <v>0.22</v>
      </c>
      <c r="BK843" s="65">
        <v>0.22</v>
      </c>
      <c r="BL843" s="65">
        <v>0.22</v>
      </c>
      <c r="BM843" s="65">
        <v>0.22</v>
      </c>
      <c r="BN843" s="65">
        <v>0.22</v>
      </c>
      <c r="BO843" s="65">
        <v>0.22</v>
      </c>
      <c r="BP843" s="65">
        <v>0.22</v>
      </c>
      <c r="BQ843" s="65">
        <v>0.22</v>
      </c>
      <c r="BR843" s="65">
        <v>0.22</v>
      </c>
      <c r="BS843" s="65">
        <v>0.22</v>
      </c>
      <c r="BT843" s="88">
        <v>0.22</v>
      </c>
      <c r="BU843" s="65">
        <v>0.22</v>
      </c>
      <c r="BV843" s="65">
        <v>0.22</v>
      </c>
      <c r="BW843" s="90">
        <v>0.22</v>
      </c>
      <c r="BX843" s="90">
        <v>0.22</v>
      </c>
      <c r="BY843" s="90" t="str">
        <f t="array" ref="BY843">XLOOKUP(C843,'PL TOTAL D0'!$A$3:$A$1991,'PL TOTAL D0'!$C$3:$C$1991,"")</f>
        <v/>
      </c>
    </row>
    <row r="844" ht="15.75" customHeight="1">
      <c r="A844" s="50" t="s">
        <v>24</v>
      </c>
      <c r="B844" s="50" t="s">
        <v>8570</v>
      </c>
      <c r="C844" s="94" t="s">
        <v>8571</v>
      </c>
      <c r="D844" s="81" t="s">
        <v>255</v>
      </c>
      <c r="E844" s="95" t="s">
        <v>199</v>
      </c>
      <c r="F844" s="81" t="s">
        <v>257</v>
      </c>
      <c r="G844" s="47" t="str">
        <f t="shared" si="37"/>
        <v>David</v>
      </c>
      <c r="H844" s="49" t="s">
        <v>224</v>
      </c>
      <c r="I844" s="49" t="s">
        <v>66</v>
      </c>
      <c r="J844" s="47" t="str">
        <f t="shared" si="35"/>
        <v>Não</v>
      </c>
      <c r="K844" s="97">
        <v>45132.0</v>
      </c>
      <c r="L844" s="186">
        <v>45505.0</v>
      </c>
      <c r="M844" s="62" t="s">
        <v>61</v>
      </c>
      <c r="N844" s="98">
        <v>0.007</v>
      </c>
      <c r="O844" s="47" t="s">
        <v>66</v>
      </c>
      <c r="P844" s="99">
        <v>0.0</v>
      </c>
      <c r="Q844" s="58"/>
      <c r="R844" s="58" t="s">
        <v>610</v>
      </c>
      <c r="S844" s="62" t="s">
        <v>194</v>
      </c>
      <c r="T844" s="32" t="s">
        <v>8572</v>
      </c>
      <c r="U844" s="33" t="s">
        <v>268</v>
      </c>
      <c r="V844" s="33"/>
      <c r="W844" s="33" t="s">
        <v>268</v>
      </c>
      <c r="X844" s="23" t="s">
        <v>475</v>
      </c>
      <c r="Y844" s="49" t="str">
        <f t="shared" si="22"/>
        <v>Encerrado</v>
      </c>
      <c r="Z844" s="62"/>
      <c r="AA844" s="62"/>
      <c r="AB844" s="64" t="s">
        <v>244</v>
      </c>
      <c r="AC844" s="79"/>
      <c r="AD844" s="54">
        <v>45132.0</v>
      </c>
      <c r="AE844" s="77">
        <v>4.9075100007217E13</v>
      </c>
      <c r="AF844" s="79"/>
      <c r="AG844" s="79"/>
      <c r="AH844" s="79"/>
      <c r="AI844" s="79"/>
      <c r="AJ844" s="79"/>
      <c r="AK844" s="79"/>
      <c r="AL844" s="79"/>
      <c r="AM844" s="79"/>
      <c r="AN844" s="79"/>
      <c r="AO844" s="65">
        <v>565393.68</v>
      </c>
      <c r="AP844" s="65">
        <v>544900.07</v>
      </c>
      <c r="AQ844" s="65">
        <v>512555.95</v>
      </c>
      <c r="AR844" s="65">
        <v>500246.61</v>
      </c>
      <c r="AS844" s="65">
        <v>486733.81</v>
      </c>
      <c r="AT844" s="65">
        <v>463036.36</v>
      </c>
      <c r="AU844" s="65">
        <v>419820.89</v>
      </c>
      <c r="AV844" s="65">
        <v>396521.35</v>
      </c>
      <c r="AW844" s="65">
        <v>388775.0</v>
      </c>
      <c r="AX844" s="65">
        <v>369081.1</v>
      </c>
      <c r="AY844" s="65">
        <v>355948.6</v>
      </c>
      <c r="AZ844" s="65">
        <v>443221.3</v>
      </c>
      <c r="BA844" s="65">
        <v>0.0</v>
      </c>
      <c r="BB844" s="65">
        <v>0.0</v>
      </c>
      <c r="BC844" s="65">
        <v>0.0</v>
      </c>
      <c r="BD844" s="65">
        <v>0.0</v>
      </c>
      <c r="BE844" s="65">
        <v>0.0</v>
      </c>
      <c r="BF844" s="65">
        <v>0.0</v>
      </c>
      <c r="BG844" s="65">
        <v>0.0</v>
      </c>
      <c r="BH844" s="65">
        <v>0.0</v>
      </c>
      <c r="BI844" s="65">
        <v>0.0</v>
      </c>
      <c r="BJ844" s="65">
        <v>0.0</v>
      </c>
      <c r="BK844" s="65">
        <v>0.0</v>
      </c>
      <c r="BL844" s="65">
        <v>0.0</v>
      </c>
      <c r="BM844" s="65">
        <v>0.0</v>
      </c>
      <c r="BN844" s="65">
        <v>0.0</v>
      </c>
      <c r="BO844" s="65">
        <v>0.0</v>
      </c>
      <c r="BP844" s="65">
        <v>0.0</v>
      </c>
      <c r="BQ844" s="65">
        <v>0.0</v>
      </c>
      <c r="BR844" s="65">
        <v>0.0</v>
      </c>
      <c r="BS844" s="65">
        <v>0.0</v>
      </c>
      <c r="BT844" s="88">
        <v>0.0</v>
      </c>
      <c r="BU844" s="65">
        <v>0.0</v>
      </c>
      <c r="BV844" s="65">
        <v>0.0</v>
      </c>
      <c r="BW844" s="90">
        <v>0.0</v>
      </c>
      <c r="BX844" s="90">
        <v>0.0</v>
      </c>
      <c r="BY844" s="90" t="str">
        <f t="array" ref="BY844">XLOOKUP(C844,'PL TOTAL D0'!$A$3:$A$1991,'PL TOTAL D0'!$C$3:$C$1991,"")</f>
        <v/>
      </c>
    </row>
    <row r="845" ht="15.75" customHeight="1">
      <c r="A845" s="50" t="s">
        <v>24</v>
      </c>
      <c r="B845" s="50" t="s">
        <v>8573</v>
      </c>
      <c r="C845" s="94" t="s">
        <v>2617</v>
      </c>
      <c r="D845" s="81" t="s">
        <v>120</v>
      </c>
      <c r="E845" s="95" t="s">
        <v>199</v>
      </c>
      <c r="F845" s="30" t="s">
        <v>332</v>
      </c>
      <c r="G845" s="47" t="str">
        <f t="shared" si="37"/>
        <v>Marcus</v>
      </c>
      <c r="H845" s="74" t="s">
        <v>183</v>
      </c>
      <c r="I845" s="74" t="s">
        <v>66</v>
      </c>
      <c r="J845" s="47" t="str">
        <f t="shared" si="35"/>
        <v>Não</v>
      </c>
      <c r="K845" s="97">
        <v>45158.0</v>
      </c>
      <c r="L845" s="189"/>
      <c r="M845" s="62" t="s">
        <v>4824</v>
      </c>
      <c r="N845" s="98">
        <v>0.008</v>
      </c>
      <c r="O845" s="47" t="s">
        <v>66</v>
      </c>
      <c r="P845" s="99">
        <v>0.0</v>
      </c>
      <c r="Q845" s="58"/>
      <c r="R845" s="635"/>
      <c r="S845" s="62" t="s">
        <v>194</v>
      </c>
      <c r="T845" s="32" t="s">
        <v>8574</v>
      </c>
      <c r="U845" s="33">
        <v>6.1998616112E10</v>
      </c>
      <c r="V845" s="33" t="s">
        <v>8575</v>
      </c>
      <c r="W845" s="34">
        <v>18387.0</v>
      </c>
      <c r="X845" s="23" t="s">
        <v>199</v>
      </c>
      <c r="Y845" s="49" t="str">
        <f t="shared" si="22"/>
        <v>Ativo</v>
      </c>
      <c r="Z845" s="62"/>
      <c r="AA845" s="62"/>
      <c r="AB845" s="64" t="s">
        <v>269</v>
      </c>
      <c r="AC845" s="79"/>
      <c r="AD845" s="54">
        <v>45158.0</v>
      </c>
      <c r="AE845" s="77">
        <v>4.9075100008418E13</v>
      </c>
      <c r="AF845" s="79"/>
      <c r="AG845" s="79"/>
      <c r="AH845" s="79"/>
      <c r="AI845" s="79"/>
      <c r="AJ845" s="79"/>
      <c r="AK845" s="79"/>
      <c r="AL845" s="65">
        <v>0.0</v>
      </c>
      <c r="AM845" s="65">
        <v>0.0</v>
      </c>
      <c r="AN845" s="65">
        <v>0.0</v>
      </c>
      <c r="AO845" s="65">
        <v>0.0</v>
      </c>
      <c r="AP845" s="65">
        <v>1194211.62</v>
      </c>
      <c r="AQ845" s="65">
        <v>1208400.83</v>
      </c>
      <c r="AR845" s="65">
        <v>1219197.63</v>
      </c>
      <c r="AS845" s="65">
        <v>1229323.33</v>
      </c>
      <c r="AT845" s="65">
        <v>1244149.42</v>
      </c>
      <c r="AU845" s="65">
        <v>1255754.27</v>
      </c>
      <c r="AV845" s="65">
        <v>1264467.51</v>
      </c>
      <c r="AW845" s="65">
        <v>1277140.44</v>
      </c>
      <c r="AX845" s="65">
        <v>1282517.68</v>
      </c>
      <c r="AY845" s="65">
        <v>1291567.0</v>
      </c>
      <c r="AZ845" s="65">
        <v>1300141.0</v>
      </c>
      <c r="BA845" s="65">
        <v>1312629.0</v>
      </c>
      <c r="BB845" s="65">
        <v>1322982.42</v>
      </c>
      <c r="BC845" s="65">
        <v>1335383.78</v>
      </c>
      <c r="BD845" s="65">
        <v>1347181.19</v>
      </c>
      <c r="BE845" s="65">
        <v>1361048.94</v>
      </c>
      <c r="BF845" s="65">
        <v>1370249.28</v>
      </c>
      <c r="BG845" s="65">
        <v>1385666.42</v>
      </c>
      <c r="BH845" s="65">
        <v>1396686.89</v>
      </c>
      <c r="BI845" s="65">
        <v>1405743.7</v>
      </c>
      <c r="BJ845" s="65">
        <v>1422981.24</v>
      </c>
      <c r="BK845" s="65">
        <v>1438854.45</v>
      </c>
      <c r="BL845" s="65">
        <v>1445990.55</v>
      </c>
      <c r="BM845" s="65">
        <v>1463886.7</v>
      </c>
      <c r="BN845" s="65">
        <v>1482515.0</v>
      </c>
      <c r="BO845" s="65">
        <v>1498557.85</v>
      </c>
      <c r="BP845" s="65">
        <v>1516506.0</v>
      </c>
      <c r="BQ845" s="65">
        <v>1533485.0</v>
      </c>
      <c r="BR845" s="65">
        <v>1549584.0</v>
      </c>
      <c r="BS845" s="65">
        <v>1568426.28</v>
      </c>
      <c r="BT845" s="88">
        <v>1582696.0</v>
      </c>
      <c r="BU845" s="65">
        <v>1596025.0</v>
      </c>
      <c r="BV845" s="65">
        <v>1616193.0</v>
      </c>
      <c r="BW845" s="90">
        <v>1634347.0</v>
      </c>
      <c r="BX845" s="90">
        <v>1647979.46</v>
      </c>
      <c r="BY845" s="90">
        <f t="array" ref="BY845">XLOOKUP(C845,'PL TOTAL D0'!$A$3:$A$1991,'PL TOTAL D0'!$C$3:$C$1991,"")</f>
        <v>1669531.04</v>
      </c>
    </row>
    <row r="846" ht="15.75" customHeight="1">
      <c r="A846" s="50" t="s">
        <v>24</v>
      </c>
      <c r="B846" s="50" t="s">
        <v>8573</v>
      </c>
      <c r="C846" s="94" t="s">
        <v>8576</v>
      </c>
      <c r="D846" s="81" t="s">
        <v>120</v>
      </c>
      <c r="E846" s="95" t="s">
        <v>199</v>
      </c>
      <c r="F846" s="30" t="s">
        <v>332</v>
      </c>
      <c r="G846" s="47" t="str">
        <f t="shared" si="37"/>
        <v>David</v>
      </c>
      <c r="H846" s="74" t="s">
        <v>295</v>
      </c>
      <c r="I846" s="74" t="s">
        <v>382</v>
      </c>
      <c r="J846" s="47" t="str">
        <f t="shared" si="35"/>
        <v>Não</v>
      </c>
      <c r="K846" s="97">
        <v>45163.0</v>
      </c>
      <c r="L846" s="189"/>
      <c r="M846" s="62" t="s">
        <v>61</v>
      </c>
      <c r="N846" s="98">
        <v>0.012</v>
      </c>
      <c r="O846" s="47" t="s">
        <v>66</v>
      </c>
      <c r="P846" s="99">
        <v>0.0</v>
      </c>
      <c r="Q846" s="58"/>
      <c r="R846" s="70" t="s">
        <v>8577</v>
      </c>
      <c r="S846" s="62" t="s">
        <v>194</v>
      </c>
      <c r="T846" s="32" t="s">
        <v>8574</v>
      </c>
      <c r="U846" s="33">
        <v>6.1998616112E10</v>
      </c>
      <c r="V846" s="33" t="s">
        <v>8575</v>
      </c>
      <c r="W846" s="34">
        <v>18387.0</v>
      </c>
      <c r="X846" s="23" t="s">
        <v>199</v>
      </c>
      <c r="Y846" s="49" t="str">
        <f t="shared" si="22"/>
        <v>Inativo</v>
      </c>
      <c r="Z846" s="62"/>
      <c r="AA846" s="62"/>
      <c r="AB846" s="64" t="s">
        <v>269</v>
      </c>
      <c r="AC846" s="79"/>
      <c r="AD846" s="54">
        <v>45163.0</v>
      </c>
      <c r="AE846" s="77">
        <v>4.9075100011702E13</v>
      </c>
      <c r="AF846" s="79"/>
      <c r="AG846" s="79"/>
      <c r="AH846" s="79"/>
      <c r="AI846" s="79"/>
      <c r="AJ846" s="79"/>
      <c r="AK846" s="79"/>
      <c r="AL846" s="79"/>
      <c r="AM846" s="79"/>
      <c r="AN846" s="65">
        <v>0.0</v>
      </c>
      <c r="AO846" s="65">
        <v>0.0</v>
      </c>
      <c r="AP846" s="65">
        <v>0.0</v>
      </c>
      <c r="AQ846" s="65">
        <v>0.0</v>
      </c>
      <c r="AR846" s="65">
        <v>0.0</v>
      </c>
      <c r="AS846" s="65">
        <v>0.0</v>
      </c>
      <c r="AT846" s="65">
        <v>0.0</v>
      </c>
      <c r="AU846" s="65">
        <v>0.0</v>
      </c>
      <c r="AV846" s="65">
        <v>0.0</v>
      </c>
      <c r="AW846" s="65">
        <v>0.0</v>
      </c>
      <c r="AX846" s="65">
        <v>0.0</v>
      </c>
      <c r="AY846" s="65">
        <v>0.0</v>
      </c>
      <c r="AZ846" s="65">
        <v>0.0</v>
      </c>
      <c r="BA846" s="65">
        <v>0.0</v>
      </c>
      <c r="BB846" s="65">
        <v>0.0</v>
      </c>
      <c r="BC846" s="65">
        <v>0.0</v>
      </c>
      <c r="BD846" s="65">
        <v>0.0</v>
      </c>
      <c r="BE846" s="65">
        <v>0.0</v>
      </c>
      <c r="BF846" s="65">
        <v>0.0</v>
      </c>
      <c r="BG846" s="65">
        <v>0.0</v>
      </c>
      <c r="BH846" s="65">
        <v>0.0</v>
      </c>
      <c r="BI846" s="65">
        <v>0.0</v>
      </c>
      <c r="BJ846" s="65">
        <v>0.0</v>
      </c>
      <c r="BK846" s="65">
        <v>0.0</v>
      </c>
      <c r="BL846" s="65">
        <v>0.0</v>
      </c>
      <c r="BM846" s="65">
        <v>0.0</v>
      </c>
      <c r="BN846" s="65">
        <v>0.0</v>
      </c>
      <c r="BO846" s="65">
        <v>0.0</v>
      </c>
      <c r="BP846" s="65">
        <v>0.0</v>
      </c>
      <c r="BQ846" s="65">
        <v>0.0</v>
      </c>
      <c r="BR846" s="65">
        <v>0.0</v>
      </c>
      <c r="BS846" s="65">
        <v>0.0</v>
      </c>
      <c r="BT846" s="88">
        <v>0.0</v>
      </c>
      <c r="BU846" s="65">
        <v>0.0</v>
      </c>
      <c r="BV846" s="65">
        <v>0.0</v>
      </c>
      <c r="BW846" s="90">
        <v>0.0</v>
      </c>
      <c r="BX846" s="90">
        <v>0.0</v>
      </c>
      <c r="BY846" s="90" t="str">
        <f t="array" ref="BY846">XLOOKUP(C846,'PL TOTAL D0'!$A$3:$A$1991,'PL TOTAL D0'!$C$3:$C$1991,"")</f>
        <v/>
      </c>
    </row>
    <row r="847" ht="15.75" customHeight="1">
      <c r="A847" s="50" t="s">
        <v>24</v>
      </c>
      <c r="B847" s="43" t="s">
        <v>8578</v>
      </c>
      <c r="C847" s="94" t="s">
        <v>3339</v>
      </c>
      <c r="D847" s="30" t="s">
        <v>89</v>
      </c>
      <c r="E847" s="22" t="s">
        <v>91</v>
      </c>
      <c r="F847" s="30" t="s">
        <v>193</v>
      </c>
      <c r="G847" s="47" t="str">
        <f t="shared" si="37"/>
        <v>David</v>
      </c>
      <c r="H847" s="49" t="s">
        <v>183</v>
      </c>
      <c r="I847" s="49" t="s">
        <v>66</v>
      </c>
      <c r="J847" s="47" t="str">
        <f t="shared" si="35"/>
        <v>Sim</v>
      </c>
      <c r="K847" s="54">
        <v>46009.0</v>
      </c>
      <c r="L847" s="189"/>
      <c r="M847" s="32" t="s">
        <v>61</v>
      </c>
      <c r="N847" s="56">
        <v>0.012</v>
      </c>
      <c r="O847" s="23" t="s">
        <v>66</v>
      </c>
      <c r="P847" s="57">
        <v>0.0</v>
      </c>
      <c r="Q847" s="58" t="s">
        <v>8579</v>
      </c>
      <c r="R847" s="70"/>
      <c r="S847" s="32" t="s">
        <v>194</v>
      </c>
      <c r="T847" s="32" t="s">
        <v>8580</v>
      </c>
      <c r="U847" s="33" t="s">
        <v>8581</v>
      </c>
      <c r="V847" s="33" t="s">
        <v>8582</v>
      </c>
      <c r="W847" s="34">
        <v>23884.0</v>
      </c>
      <c r="X847" s="23" t="s">
        <v>475</v>
      </c>
      <c r="Y847" s="49" t="str">
        <f t="shared" si="22"/>
        <v>Ativo</v>
      </c>
      <c r="Z847" s="62"/>
      <c r="AA847" s="32" t="s">
        <v>107</v>
      </c>
      <c r="AB847" s="64"/>
      <c r="AC847" s="79"/>
      <c r="AD847" s="54">
        <v>46203.0</v>
      </c>
      <c r="AE847" s="77"/>
      <c r="AF847" s="79"/>
      <c r="AG847" s="79"/>
      <c r="AH847" s="79"/>
      <c r="AI847" s="79"/>
      <c r="AJ847" s="79"/>
      <c r="AK847" s="79"/>
      <c r="AL847" s="79"/>
      <c r="AM847" s="79"/>
      <c r="AN847" s="65"/>
      <c r="AO847" s="65"/>
      <c r="AP847" s="65"/>
      <c r="AQ847" s="65"/>
      <c r="AR847" s="65"/>
      <c r="AS847" s="65"/>
      <c r="AT847" s="65"/>
      <c r="AU847" s="65"/>
      <c r="AV847" s="65"/>
      <c r="AW847" s="65"/>
      <c r="AX847" s="65"/>
      <c r="AY847" s="65"/>
      <c r="AZ847" s="65"/>
      <c r="BA847" s="65"/>
      <c r="BB847" s="65"/>
      <c r="BC847" s="65"/>
      <c r="BD847" s="65"/>
      <c r="BE847" s="65"/>
      <c r="BF847" s="65"/>
      <c r="BG847" s="65"/>
      <c r="BH847" s="65"/>
      <c r="BI847" s="65"/>
      <c r="BJ847" s="65"/>
      <c r="BK847" s="65"/>
      <c r="BL847" s="65"/>
      <c r="BM847" s="65"/>
      <c r="BN847" s="65"/>
      <c r="BO847" s="65"/>
      <c r="BP847" s="65"/>
      <c r="BQ847" s="65"/>
      <c r="BR847" s="65">
        <v>57572.42</v>
      </c>
      <c r="BS847" s="65">
        <v>58109.86</v>
      </c>
      <c r="BT847" s="88">
        <v>58653.28</v>
      </c>
      <c r="BU847" s="65">
        <v>59336.39</v>
      </c>
      <c r="BV847" s="65">
        <v>59996.28</v>
      </c>
      <c r="BW847" s="90">
        <v>70454.78</v>
      </c>
      <c r="BX847" s="90">
        <v>71228.68</v>
      </c>
      <c r="BY847" s="90">
        <f t="array" ref="BY847">XLOOKUP(C847,'PL TOTAL D0'!$A$3:$A$1991,'PL TOTAL D0'!$C$3:$C$1991,"")</f>
        <v>92037.92</v>
      </c>
    </row>
    <row r="848" ht="15.75" customHeight="1">
      <c r="A848" s="50" t="s">
        <v>24</v>
      </c>
      <c r="B848" s="188" t="s">
        <v>8583</v>
      </c>
      <c r="C848" s="94" t="s">
        <v>2860</v>
      </c>
      <c r="D848" s="30" t="s">
        <v>142</v>
      </c>
      <c r="E848" s="22" t="s">
        <v>54</v>
      </c>
      <c r="F848" s="30" t="s">
        <v>158</v>
      </c>
      <c r="G848" s="47" t="str">
        <f t="shared" si="37"/>
        <v>Gabriel</v>
      </c>
      <c r="H848" s="49" t="s">
        <v>183</v>
      </c>
      <c r="I848" s="49" t="s">
        <v>66</v>
      </c>
      <c r="J848" s="47" t="str">
        <f t="shared" si="35"/>
        <v>Não</v>
      </c>
      <c r="K848" s="54">
        <v>45387.0</v>
      </c>
      <c r="L848" s="189"/>
      <c r="M848" s="32" t="s">
        <v>61</v>
      </c>
      <c r="N848" s="56">
        <v>0.012</v>
      </c>
      <c r="O848" s="23" t="s">
        <v>66</v>
      </c>
      <c r="P848" s="57">
        <v>0.0</v>
      </c>
      <c r="Q848" s="58"/>
      <c r="R848" s="635"/>
      <c r="S848" s="32" t="s">
        <v>194</v>
      </c>
      <c r="T848" s="22" t="s">
        <v>8584</v>
      </c>
      <c r="U848" s="33">
        <v>5.56299735214E11</v>
      </c>
      <c r="V848" s="33" t="s">
        <v>8585</v>
      </c>
      <c r="W848" s="34">
        <v>19666.0</v>
      </c>
      <c r="X848" s="23" t="s">
        <v>54</v>
      </c>
      <c r="Y848" s="49" t="str">
        <f t="shared" si="22"/>
        <v>Ativo</v>
      </c>
      <c r="Z848" s="62"/>
      <c r="AA848" s="62"/>
      <c r="AB848" s="64" t="s">
        <v>269</v>
      </c>
      <c r="AC848" s="79"/>
      <c r="AD848" s="54">
        <v>45387.0</v>
      </c>
      <c r="AE848" s="77">
        <v>4.9075100014108E13</v>
      </c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65"/>
      <c r="AW848" s="65"/>
      <c r="AX848" s="65">
        <v>419685.46</v>
      </c>
      <c r="AY848" s="65">
        <v>424040.7</v>
      </c>
      <c r="AZ848" s="65">
        <v>423929.0</v>
      </c>
      <c r="BA848" s="65">
        <v>431118.0</v>
      </c>
      <c r="BB848" s="65">
        <v>459531.92</v>
      </c>
      <c r="BC848" s="65">
        <v>464967.78</v>
      </c>
      <c r="BD848" s="65">
        <v>472770.54</v>
      </c>
      <c r="BE848" s="65">
        <v>470732.02</v>
      </c>
      <c r="BF848" s="65">
        <v>472074.86</v>
      </c>
      <c r="BG848" s="65">
        <v>475772.47</v>
      </c>
      <c r="BH848" s="65">
        <v>478198.7</v>
      </c>
      <c r="BI848" s="65">
        <v>485007.72</v>
      </c>
      <c r="BJ848" s="65">
        <v>485617.4</v>
      </c>
      <c r="BK848" s="65">
        <v>489735.41</v>
      </c>
      <c r="BL848" s="65">
        <v>493349.17</v>
      </c>
      <c r="BM848" s="65">
        <v>497756.47</v>
      </c>
      <c r="BN848" s="65">
        <v>501867.1</v>
      </c>
      <c r="BO848" s="65">
        <v>504898.56</v>
      </c>
      <c r="BP848" s="65">
        <v>510803.1</v>
      </c>
      <c r="BQ848" s="65">
        <v>513600.0</v>
      </c>
      <c r="BR848" s="65">
        <v>517973.2</v>
      </c>
      <c r="BS848" s="65">
        <v>522863.08</v>
      </c>
      <c r="BT848" s="88">
        <v>526673.0</v>
      </c>
      <c r="BU848" s="65">
        <v>533002.2</v>
      </c>
      <c r="BV848" s="65">
        <v>536512.8</v>
      </c>
      <c r="BW848" s="90">
        <v>541560.8</v>
      </c>
      <c r="BX848" s="90">
        <v>545407.2</v>
      </c>
      <c r="BY848" s="90">
        <f t="array" ref="BY848">XLOOKUP(C848,'PL TOTAL D0'!$A$3:$A$1991,'PL TOTAL D0'!$C$3:$C$1991,"")</f>
        <v>549931.48</v>
      </c>
    </row>
    <row r="849" ht="15.75" customHeight="1">
      <c r="A849" s="50" t="s">
        <v>24</v>
      </c>
      <c r="B849" s="200" t="s">
        <v>8586</v>
      </c>
      <c r="C849" s="53" t="s">
        <v>2970</v>
      </c>
      <c r="D849" s="30" t="s">
        <v>3843</v>
      </c>
      <c r="E849" s="22" t="s">
        <v>54</v>
      </c>
      <c r="F849" s="30" t="s">
        <v>3844</v>
      </c>
      <c r="G849" s="47" t="str">
        <f t="shared" si="37"/>
        <v>David</v>
      </c>
      <c r="H849" s="49" t="s">
        <v>183</v>
      </c>
      <c r="I849" s="49" t="s">
        <v>66</v>
      </c>
      <c r="J849" s="47" t="str">
        <f t="shared" si="35"/>
        <v>Não</v>
      </c>
      <c r="K849" s="54">
        <v>46146.0</v>
      </c>
      <c r="L849" s="189"/>
      <c r="M849" s="32" t="s">
        <v>34</v>
      </c>
      <c r="N849" s="56">
        <v>0.012</v>
      </c>
      <c r="O849" s="23" t="s">
        <v>35</v>
      </c>
      <c r="P849" s="57">
        <v>0.1</v>
      </c>
      <c r="Q849" s="58"/>
      <c r="R849" s="635"/>
      <c r="S849" s="32" t="s">
        <v>194</v>
      </c>
      <c r="T849" s="22" t="s">
        <v>8587</v>
      </c>
      <c r="U849" s="33" t="s">
        <v>8588</v>
      </c>
      <c r="V849" s="33" t="s">
        <v>8589</v>
      </c>
      <c r="W849" s="34">
        <v>23969.0</v>
      </c>
      <c r="X849" s="23" t="s">
        <v>54</v>
      </c>
      <c r="Y849" s="49" t="str">
        <f t="shared" si="22"/>
        <v>Ativo</v>
      </c>
      <c r="Z849" s="62"/>
      <c r="AA849" s="32" t="s">
        <v>47</v>
      </c>
      <c r="AB849" s="64"/>
      <c r="AC849" s="79"/>
      <c r="AD849" s="54"/>
      <c r="AE849" s="77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65"/>
      <c r="AW849" s="65"/>
      <c r="AX849" s="65"/>
      <c r="AY849" s="65"/>
      <c r="AZ849" s="65"/>
      <c r="BA849" s="65"/>
      <c r="BB849" s="65"/>
      <c r="BC849" s="65"/>
      <c r="BD849" s="65"/>
      <c r="BE849" s="65"/>
      <c r="BF849" s="65"/>
      <c r="BG849" s="65"/>
      <c r="BH849" s="65"/>
      <c r="BI849" s="65"/>
      <c r="BJ849" s="65"/>
      <c r="BK849" s="65"/>
      <c r="BL849" s="65"/>
      <c r="BM849" s="65"/>
      <c r="BN849" s="65"/>
      <c r="BO849" s="65"/>
      <c r="BP849" s="65"/>
      <c r="BQ849" s="65"/>
      <c r="BR849" s="65"/>
      <c r="BS849" s="65"/>
      <c r="BT849" s="88"/>
      <c r="BU849" s="65"/>
      <c r="BV849" s="65">
        <v>0.0</v>
      </c>
      <c r="BW849" s="90">
        <v>0.0</v>
      </c>
      <c r="BX849" s="90">
        <v>0.0</v>
      </c>
      <c r="BY849" s="90">
        <f t="array" ref="BY849">XLOOKUP(C849,'PL TOTAL D0'!$A$3:$A$1991,'PL TOTAL D0'!$C$3:$C$1991,"")</f>
        <v>400369.27</v>
      </c>
    </row>
    <row r="850" ht="15.75" customHeight="1">
      <c r="A850" s="50" t="s">
        <v>24</v>
      </c>
      <c r="B850" s="200" t="s">
        <v>8590</v>
      </c>
      <c r="C850" s="53" t="s">
        <v>2798</v>
      </c>
      <c r="D850" s="30" t="s">
        <v>249</v>
      </c>
      <c r="E850" s="22" t="s">
        <v>199</v>
      </c>
      <c r="F850" s="30" t="s">
        <v>251</v>
      </c>
      <c r="G850" s="47" t="str">
        <f t="shared" si="37"/>
        <v>David</v>
      </c>
      <c r="H850" s="49" t="s">
        <v>183</v>
      </c>
      <c r="I850" s="49" t="s">
        <v>66</v>
      </c>
      <c r="J850" s="47" t="str">
        <f t="shared" si="35"/>
        <v>Não</v>
      </c>
      <c r="K850" s="54">
        <v>46149.0</v>
      </c>
      <c r="L850" s="189"/>
      <c r="M850" s="32" t="s">
        <v>61</v>
      </c>
      <c r="N850" s="56">
        <v>0.012</v>
      </c>
      <c r="O850" s="23" t="s">
        <v>66</v>
      </c>
      <c r="P850" s="57">
        <v>0.0</v>
      </c>
      <c r="Q850" s="58"/>
      <c r="R850" s="635"/>
      <c r="S850" s="32" t="s">
        <v>194</v>
      </c>
      <c r="T850" s="22" t="s">
        <v>8591</v>
      </c>
      <c r="U850" s="33" t="s">
        <v>8592</v>
      </c>
      <c r="V850" s="33" t="s">
        <v>8593</v>
      </c>
      <c r="W850" s="34">
        <v>21683.0</v>
      </c>
      <c r="X850" s="23" t="s">
        <v>199</v>
      </c>
      <c r="Y850" s="49" t="str">
        <f t="shared" si="22"/>
        <v>Ativo</v>
      </c>
      <c r="Z850" s="62"/>
      <c r="AA850" s="32" t="s">
        <v>47</v>
      </c>
      <c r="AB850" s="64"/>
      <c r="AC850" s="79"/>
      <c r="AD850" s="54">
        <v>46203.0</v>
      </c>
      <c r="AE850" s="77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65"/>
      <c r="AW850" s="65"/>
      <c r="AX850" s="65"/>
      <c r="AY850" s="65"/>
      <c r="AZ850" s="65"/>
      <c r="BA850" s="65"/>
      <c r="BB850" s="65"/>
      <c r="BC850" s="65"/>
      <c r="BD850" s="65"/>
      <c r="BE850" s="65"/>
      <c r="BF850" s="65"/>
      <c r="BG850" s="65"/>
      <c r="BH850" s="65"/>
      <c r="BI850" s="65"/>
      <c r="BJ850" s="65"/>
      <c r="BK850" s="65"/>
      <c r="BL850" s="65"/>
      <c r="BM850" s="65"/>
      <c r="BN850" s="65"/>
      <c r="BO850" s="65"/>
      <c r="BP850" s="65"/>
      <c r="BQ850" s="65"/>
      <c r="BR850" s="65"/>
      <c r="BS850" s="65"/>
      <c r="BT850" s="88"/>
      <c r="BU850" s="65"/>
      <c r="BV850" s="65"/>
      <c r="BW850" s="90">
        <v>523189.8</v>
      </c>
      <c r="BX850" s="90">
        <v>586378.15</v>
      </c>
      <c r="BY850" s="90">
        <f t="array" ref="BY850">XLOOKUP(C850,'PL TOTAL D0'!$A$3:$A$1991,'PL TOTAL D0'!$C$3:$C$1991,"")</f>
        <v>688824.96</v>
      </c>
    </row>
    <row r="851" ht="15.75" customHeight="1">
      <c r="A851" s="50" t="s">
        <v>24</v>
      </c>
      <c r="B851" s="188" t="s">
        <v>8594</v>
      </c>
      <c r="C851" s="94" t="s">
        <v>8595</v>
      </c>
      <c r="D851" s="30" t="s">
        <v>120</v>
      </c>
      <c r="E851" s="22" t="s">
        <v>199</v>
      </c>
      <c r="F851" s="30" t="s">
        <v>1399</v>
      </c>
      <c r="G851" s="47" t="str">
        <f t="shared" si="37"/>
        <v>David</v>
      </c>
      <c r="H851" s="49" t="s">
        <v>224</v>
      </c>
      <c r="I851" s="49" t="s">
        <v>66</v>
      </c>
      <c r="J851" s="47" t="str">
        <f t="shared" si="35"/>
        <v>Não</v>
      </c>
      <c r="K851" s="54">
        <v>45401.0</v>
      </c>
      <c r="L851" s="186">
        <v>45581.0</v>
      </c>
      <c r="M851" s="32" t="s">
        <v>34</v>
      </c>
      <c r="N851" s="56">
        <v>0.012</v>
      </c>
      <c r="O851" s="23" t="s">
        <v>35</v>
      </c>
      <c r="P851" s="57">
        <v>0.1</v>
      </c>
      <c r="Q851" s="58"/>
      <c r="R851" s="635"/>
      <c r="S851" s="32" t="s">
        <v>194</v>
      </c>
      <c r="T851" s="22" t="s">
        <v>8596</v>
      </c>
      <c r="U851" s="33" t="s">
        <v>268</v>
      </c>
      <c r="V851" s="33"/>
      <c r="W851" s="33" t="s">
        <v>268</v>
      </c>
      <c r="X851" s="23" t="s">
        <v>199</v>
      </c>
      <c r="Y851" s="49" t="str">
        <f t="shared" si="22"/>
        <v>Encerrado</v>
      </c>
      <c r="Z851" s="32"/>
      <c r="AA851" s="32" t="s">
        <v>47</v>
      </c>
      <c r="AB851" s="64" t="s">
        <v>269</v>
      </c>
      <c r="AC851" s="79"/>
      <c r="AD851" s="54">
        <v>45401.0</v>
      </c>
      <c r="AE851" s="77">
        <v>4.9075100014116E13</v>
      </c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65"/>
      <c r="AW851" s="65"/>
      <c r="AX851" s="65">
        <v>967127.32</v>
      </c>
      <c r="AY851" s="65">
        <v>942343.1</v>
      </c>
      <c r="AZ851" s="65">
        <v>936256.9</v>
      </c>
      <c r="BA851" s="65">
        <v>936541.0</v>
      </c>
      <c r="BB851" s="65">
        <v>946771.21</v>
      </c>
      <c r="BC851" s="65">
        <v>925356.59</v>
      </c>
      <c r="BD851" s="65">
        <v>0.0</v>
      </c>
      <c r="BE851" s="65">
        <v>0.0</v>
      </c>
      <c r="BF851" s="65">
        <v>0.0</v>
      </c>
      <c r="BG851" s="65">
        <v>0.0</v>
      </c>
      <c r="BH851" s="65">
        <v>0.0</v>
      </c>
      <c r="BI851" s="65">
        <v>0.0</v>
      </c>
      <c r="BJ851" s="65">
        <v>0.0</v>
      </c>
      <c r="BK851" s="65">
        <v>0.0</v>
      </c>
      <c r="BL851" s="65">
        <v>0.0</v>
      </c>
      <c r="BM851" s="65">
        <v>0.0</v>
      </c>
      <c r="BN851" s="65">
        <v>0.0</v>
      </c>
      <c r="BO851" s="65">
        <v>0.0</v>
      </c>
      <c r="BP851" s="65">
        <v>0.0</v>
      </c>
      <c r="BQ851" s="65">
        <v>0.0</v>
      </c>
      <c r="BR851" s="65">
        <v>0.0</v>
      </c>
      <c r="BS851" s="65">
        <v>0.0</v>
      </c>
      <c r="BT851" s="88">
        <v>0.0</v>
      </c>
      <c r="BU851" s="65">
        <v>0.0</v>
      </c>
      <c r="BV851" s="65">
        <v>0.0</v>
      </c>
      <c r="BW851" s="90">
        <v>0.0</v>
      </c>
      <c r="BX851" s="90">
        <v>0.0</v>
      </c>
      <c r="BY851" s="90" t="str">
        <f t="array" ref="BY851">XLOOKUP(C851,'PL TOTAL D0'!$A$3:$A$1991,'PL TOTAL D0'!$C$3:$C$1991,"")</f>
        <v/>
      </c>
    </row>
    <row r="852" ht="15.0" customHeight="1">
      <c r="A852" s="50" t="s">
        <v>24</v>
      </c>
      <c r="B852" s="50" t="s">
        <v>6426</v>
      </c>
      <c r="C852" s="94" t="s">
        <v>2610</v>
      </c>
      <c r="D852" s="81" t="s">
        <v>120</v>
      </c>
      <c r="E852" s="95" t="s">
        <v>54</v>
      </c>
      <c r="F852" s="81" t="s">
        <v>125</v>
      </c>
      <c r="G852" s="47" t="str">
        <f t="shared" si="37"/>
        <v>Marcus</v>
      </c>
      <c r="H852" s="49" t="s">
        <v>183</v>
      </c>
      <c r="I852" s="49" t="s">
        <v>66</v>
      </c>
      <c r="J852" s="47" t="str">
        <f t="shared" si="35"/>
        <v>Não</v>
      </c>
      <c r="K852" s="97">
        <v>44957.0</v>
      </c>
      <c r="L852" s="62"/>
      <c r="M852" s="32" t="s">
        <v>61</v>
      </c>
      <c r="N852" s="98">
        <v>0.01</v>
      </c>
      <c r="O852" s="47" t="s">
        <v>66</v>
      </c>
      <c r="P852" s="99">
        <v>0.0</v>
      </c>
      <c r="Q852" s="58"/>
      <c r="R852" s="70" t="s">
        <v>8597</v>
      </c>
      <c r="S852" s="62" t="s">
        <v>194</v>
      </c>
      <c r="T852" s="32" t="s">
        <v>8598</v>
      </c>
      <c r="U852" s="33">
        <v>5.562982565471E12</v>
      </c>
      <c r="V852" s="33" t="s">
        <v>8599</v>
      </c>
      <c r="W852" s="48">
        <v>19293.0</v>
      </c>
      <c r="X852" s="23" t="s">
        <v>54</v>
      </c>
      <c r="Y852" s="49" t="str">
        <f t="shared" si="22"/>
        <v>Ativo</v>
      </c>
      <c r="Z852" s="32"/>
      <c r="AA852" s="32" t="s">
        <v>165</v>
      </c>
      <c r="AB852" s="64" t="s">
        <v>269</v>
      </c>
      <c r="AC852" s="79"/>
      <c r="AD852" s="54">
        <v>44957.0</v>
      </c>
      <c r="AE852" s="77">
        <v>4.9075100006156E13</v>
      </c>
      <c r="AF852" s="79"/>
      <c r="AG852" s="79"/>
      <c r="AH852" s="79"/>
      <c r="AI852" s="65">
        <v>817484.12</v>
      </c>
      <c r="AJ852" s="65">
        <v>2780380.17</v>
      </c>
      <c r="AK852" s="65">
        <v>2812325.28</v>
      </c>
      <c r="AL852" s="65">
        <v>3204638.15</v>
      </c>
      <c r="AM852" s="65">
        <v>3239178.93</v>
      </c>
      <c r="AN852" s="65">
        <v>3268216.61</v>
      </c>
      <c r="AO852" s="65">
        <v>3297963.12</v>
      </c>
      <c r="AP852" s="65">
        <v>3323567.62</v>
      </c>
      <c r="AQ852" s="65">
        <v>3322940.36</v>
      </c>
      <c r="AR852" s="65">
        <v>3316293.09</v>
      </c>
      <c r="AS852" s="65">
        <v>3365051.12</v>
      </c>
      <c r="AT852" s="65">
        <v>3412356.99</v>
      </c>
      <c r="AU852" s="65">
        <v>3403625.52</v>
      </c>
      <c r="AV852" s="65">
        <v>3428944.68</v>
      </c>
      <c r="AW852" s="65">
        <v>3431369.99</v>
      </c>
      <c r="AX852" s="65">
        <v>3288861.95</v>
      </c>
      <c r="AY852" s="65">
        <v>2799431.0</v>
      </c>
      <c r="AZ852" s="65">
        <v>2816108.0</v>
      </c>
      <c r="BA852" s="65">
        <v>2835090.0</v>
      </c>
      <c r="BB852" s="65">
        <v>2827092.43</v>
      </c>
      <c r="BC852" s="65">
        <v>2845704.0</v>
      </c>
      <c r="BD852" s="65">
        <v>3102839.49</v>
      </c>
      <c r="BE852" s="65">
        <v>3226267.96</v>
      </c>
      <c r="BF852" s="65">
        <v>3249561.79</v>
      </c>
      <c r="BG852" s="65">
        <v>3179981.56</v>
      </c>
      <c r="BH852" s="65">
        <v>3206950.84</v>
      </c>
      <c r="BI852" s="65">
        <v>3240458.72</v>
      </c>
      <c r="BJ852" s="65">
        <v>1709779.58</v>
      </c>
      <c r="BK852" s="65">
        <v>1727495.01</v>
      </c>
      <c r="BL852" s="65">
        <v>1722363.17</v>
      </c>
      <c r="BM852" s="65">
        <v>1741122.67</v>
      </c>
      <c r="BN852" s="65">
        <v>1757840.0</v>
      </c>
      <c r="BO852" s="65">
        <v>1774248.72</v>
      </c>
      <c r="BP852" s="65">
        <v>1954150.0</v>
      </c>
      <c r="BQ852" s="65">
        <v>1971318.0</v>
      </c>
      <c r="BR852" s="65">
        <v>1988150.0</v>
      </c>
      <c r="BS852" s="65">
        <v>1908022.0</v>
      </c>
      <c r="BT852" s="88">
        <v>1922724.0</v>
      </c>
      <c r="BU852" s="65">
        <v>1843532.0</v>
      </c>
      <c r="BV852" s="65">
        <v>1853162.0</v>
      </c>
      <c r="BW852" s="90">
        <v>1873554.0</v>
      </c>
      <c r="BX852" s="90">
        <v>1889174.84</v>
      </c>
      <c r="BY852" s="90">
        <f t="array" ref="BY852">XLOOKUP(C852,'PL TOTAL D0'!$A$3:$A$1991,'PL TOTAL D0'!$C$3:$C$1991,"")</f>
        <v>1709577.16</v>
      </c>
    </row>
    <row r="853" ht="15.0" customHeight="1">
      <c r="A853" s="50" t="s">
        <v>24</v>
      </c>
      <c r="B853" s="50" t="s">
        <v>6426</v>
      </c>
      <c r="C853" s="94" t="s">
        <v>3082</v>
      </c>
      <c r="D853" s="81" t="s">
        <v>120</v>
      </c>
      <c r="E853" s="95" t="s">
        <v>54</v>
      </c>
      <c r="F853" s="81" t="s">
        <v>125</v>
      </c>
      <c r="G853" s="47" t="str">
        <f t="shared" si="37"/>
        <v>David</v>
      </c>
      <c r="H853" s="49" t="s">
        <v>295</v>
      </c>
      <c r="I853" s="49" t="s">
        <v>66</v>
      </c>
      <c r="J853" s="47" t="str">
        <f t="shared" si="35"/>
        <v>Sim</v>
      </c>
      <c r="K853" s="97">
        <v>44957.0</v>
      </c>
      <c r="L853" s="62"/>
      <c r="M853" s="32" t="s">
        <v>231</v>
      </c>
      <c r="N853" s="56">
        <v>0.012</v>
      </c>
      <c r="O853" s="23" t="s">
        <v>233</v>
      </c>
      <c r="P853" s="57">
        <v>0.2</v>
      </c>
      <c r="Q853" s="58" t="s">
        <v>8600</v>
      </c>
      <c r="R853" s="841" t="s">
        <v>8397</v>
      </c>
      <c r="S853" s="62" t="s">
        <v>194</v>
      </c>
      <c r="T853" s="32" t="s">
        <v>8598</v>
      </c>
      <c r="U853" s="33">
        <v>5.562982565471E12</v>
      </c>
      <c r="V853" s="33" t="s">
        <v>8599</v>
      </c>
      <c r="W853" s="48">
        <v>19293.0</v>
      </c>
      <c r="X853" s="23" t="s">
        <v>54</v>
      </c>
      <c r="Y853" s="49" t="str">
        <f t="shared" si="22"/>
        <v>Ativo</v>
      </c>
      <c r="Z853" s="32"/>
      <c r="AA853" s="32" t="s">
        <v>165</v>
      </c>
      <c r="AB853" s="64" t="s">
        <v>269</v>
      </c>
      <c r="AC853" s="79"/>
      <c r="AD853" s="54">
        <v>44957.0</v>
      </c>
      <c r="AE853" s="77">
        <v>4.9075100006164E13</v>
      </c>
      <c r="AF853" s="79"/>
      <c r="AG853" s="79"/>
      <c r="AH853" s="79"/>
      <c r="AI853" s="65">
        <v>11787.84</v>
      </c>
      <c r="AJ853" s="65">
        <v>22682.07</v>
      </c>
      <c r="AK853" s="65">
        <v>26103.99</v>
      </c>
      <c r="AL853" s="65">
        <v>56051.76</v>
      </c>
      <c r="AM853" s="65">
        <v>52222.99</v>
      </c>
      <c r="AN853" s="65">
        <v>54504.69</v>
      </c>
      <c r="AO853" s="65">
        <v>52409.24</v>
      </c>
      <c r="AP853" s="65">
        <v>49494.51</v>
      </c>
      <c r="AQ853" s="65">
        <v>1410.83</v>
      </c>
      <c r="AR853" s="65">
        <v>397.94</v>
      </c>
      <c r="AS853" s="65">
        <v>452.52</v>
      </c>
      <c r="AT853" s="65">
        <v>514.44</v>
      </c>
      <c r="AU853" s="65">
        <v>495.5</v>
      </c>
      <c r="AV853" s="65">
        <v>557.09</v>
      </c>
      <c r="AW853" s="65">
        <v>33853.44</v>
      </c>
      <c r="AX853" s="65">
        <v>131448.95</v>
      </c>
      <c r="AY853" s="65">
        <v>640452.8</v>
      </c>
      <c r="AZ853" s="65">
        <v>634993.9</v>
      </c>
      <c r="BA853" s="65">
        <v>660723.9</v>
      </c>
      <c r="BB853" s="65">
        <v>683641.81</v>
      </c>
      <c r="BC853" s="65">
        <v>684619.83</v>
      </c>
      <c r="BD853" s="65">
        <v>482227.31</v>
      </c>
      <c r="BE853" s="65">
        <v>382085.98</v>
      </c>
      <c r="BF853" s="65">
        <v>378823.19</v>
      </c>
      <c r="BG853" s="65">
        <v>382756.7</v>
      </c>
      <c r="BH853" s="65">
        <v>311641.27</v>
      </c>
      <c r="BI853" s="65">
        <v>289788.88</v>
      </c>
      <c r="BJ853" s="65">
        <v>326453.34</v>
      </c>
      <c r="BK853" s="65">
        <v>367903.21</v>
      </c>
      <c r="BL853" s="65">
        <v>376707.98</v>
      </c>
      <c r="BM853" s="65">
        <v>326578.06</v>
      </c>
      <c r="BN853" s="65">
        <v>300829.4</v>
      </c>
      <c r="BO853" s="65">
        <v>293890.68</v>
      </c>
      <c r="BP853" s="65">
        <v>119871.9</v>
      </c>
      <c r="BQ853" s="65">
        <v>101295.7</v>
      </c>
      <c r="BR853" s="65">
        <v>100332.1</v>
      </c>
      <c r="BS853" s="65">
        <v>86741.17</v>
      </c>
      <c r="BT853" s="88">
        <v>66470.91</v>
      </c>
      <c r="BU853" s="65">
        <v>69703.6</v>
      </c>
      <c r="BV853" s="65">
        <v>84155.78</v>
      </c>
      <c r="BW853" s="90">
        <v>82004.75</v>
      </c>
      <c r="BX853" s="90">
        <v>70055.54</v>
      </c>
      <c r="BY853" s="90">
        <f t="array" ref="BY853">XLOOKUP(C853,'PL TOTAL D0'!$A$3:$A$1991,'PL TOTAL D0'!$C$3:$C$1991,"")</f>
        <v>272721.31</v>
      </c>
    </row>
    <row r="854" ht="15.0" customHeight="1">
      <c r="A854" s="50" t="s">
        <v>24</v>
      </c>
      <c r="B854" s="43" t="s">
        <v>8601</v>
      </c>
      <c r="C854" s="53" t="s">
        <v>3310</v>
      </c>
      <c r="D854" s="30" t="s">
        <v>1358</v>
      </c>
      <c r="E854" s="22" t="s">
        <v>199</v>
      </c>
      <c r="F854" s="30" t="s">
        <v>6001</v>
      </c>
      <c r="G854" s="47" t="str">
        <f t="shared" si="37"/>
        <v>David</v>
      </c>
      <c r="H854" s="49" t="s">
        <v>183</v>
      </c>
      <c r="I854" s="49" t="s">
        <v>66</v>
      </c>
      <c r="J854" s="47" t="str">
        <f t="shared" si="35"/>
        <v>Não</v>
      </c>
      <c r="K854" s="54">
        <v>46121.0</v>
      </c>
      <c r="L854" s="62"/>
      <c r="M854" s="32" t="s">
        <v>209</v>
      </c>
      <c r="N854" s="56">
        <v>0.015</v>
      </c>
      <c r="O854" s="23" t="s">
        <v>35</v>
      </c>
      <c r="P854" s="57">
        <v>0.1</v>
      </c>
      <c r="Q854" s="58"/>
      <c r="R854" s="841"/>
      <c r="S854" s="32" t="s">
        <v>194</v>
      </c>
      <c r="T854" s="32" t="s">
        <v>8602</v>
      </c>
      <c r="U854" s="33" t="s">
        <v>8603</v>
      </c>
      <c r="V854" s="33" t="s">
        <v>8604</v>
      </c>
      <c r="W854" s="48">
        <v>19632.0</v>
      </c>
      <c r="X854" s="23" t="s">
        <v>199</v>
      </c>
      <c r="Y854" s="49" t="str">
        <f t="shared" si="22"/>
        <v>Ativo</v>
      </c>
      <c r="Z854" s="32"/>
      <c r="AA854" s="32" t="s">
        <v>47</v>
      </c>
      <c r="AB854" s="64"/>
      <c r="AC854" s="79"/>
      <c r="AD854" s="54">
        <v>46203.0</v>
      </c>
      <c r="AE854" s="77"/>
      <c r="AF854" s="79"/>
      <c r="AG854" s="79"/>
      <c r="AH854" s="79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  <c r="AT854" s="65"/>
      <c r="AU854" s="65"/>
      <c r="AV854" s="65"/>
      <c r="AW854" s="65"/>
      <c r="AX854" s="65"/>
      <c r="AY854" s="65"/>
      <c r="AZ854" s="65"/>
      <c r="BA854" s="65"/>
      <c r="BB854" s="65"/>
      <c r="BC854" s="65"/>
      <c r="BD854" s="65"/>
      <c r="BE854" s="65"/>
      <c r="BF854" s="65"/>
      <c r="BG854" s="65"/>
      <c r="BH854" s="65"/>
      <c r="BI854" s="65"/>
      <c r="BJ854" s="65"/>
      <c r="BK854" s="65"/>
      <c r="BL854" s="65"/>
      <c r="BM854" s="65"/>
      <c r="BN854" s="65"/>
      <c r="BO854" s="65"/>
      <c r="BP854" s="65"/>
      <c r="BQ854" s="65"/>
      <c r="BR854" s="65"/>
      <c r="BS854" s="65"/>
      <c r="BT854" s="88"/>
      <c r="BU854" s="65">
        <v>0.0</v>
      </c>
      <c r="BV854" s="65">
        <v>100786.6</v>
      </c>
      <c r="BW854" s="90">
        <v>101875.4</v>
      </c>
      <c r="BX854" s="90">
        <v>102918.7</v>
      </c>
      <c r="BY854" s="90">
        <f t="array" ref="BY854">XLOOKUP(C854,'PL TOTAL D0'!$A$3:$A$1991,'PL TOTAL D0'!$C$3:$C$1991,"")</f>
        <v>104085.89</v>
      </c>
    </row>
    <row r="855" ht="15.0" customHeight="1">
      <c r="A855" s="50" t="s">
        <v>24</v>
      </c>
      <c r="B855" s="43" t="s">
        <v>8605</v>
      </c>
      <c r="C855" s="94" t="s">
        <v>3101</v>
      </c>
      <c r="D855" s="30" t="s">
        <v>365</v>
      </c>
      <c r="E855" s="22" t="s">
        <v>199</v>
      </c>
      <c r="F855" s="30" t="s">
        <v>368</v>
      </c>
      <c r="G855" s="47" t="str">
        <f t="shared" si="37"/>
        <v>David</v>
      </c>
      <c r="H855" s="49" t="s">
        <v>183</v>
      </c>
      <c r="I855" s="49" t="s">
        <v>66</v>
      </c>
      <c r="J855" s="47" t="str">
        <f t="shared" si="35"/>
        <v>Não</v>
      </c>
      <c r="K855" s="54">
        <v>45518.0</v>
      </c>
      <c r="L855" s="62"/>
      <c r="M855" s="32" t="s">
        <v>61</v>
      </c>
      <c r="N855" s="56">
        <v>0.012</v>
      </c>
      <c r="O855" s="23" t="s">
        <v>66</v>
      </c>
      <c r="P855" s="57">
        <v>0.0</v>
      </c>
      <c r="Q855" s="58"/>
      <c r="R855" s="70"/>
      <c r="S855" s="32" t="s">
        <v>194</v>
      </c>
      <c r="T855" s="32" t="s">
        <v>8606</v>
      </c>
      <c r="U855" s="33">
        <v>5.561981656543E12</v>
      </c>
      <c r="V855" s="33" t="s">
        <v>8607</v>
      </c>
      <c r="W855" s="34">
        <v>14640.0</v>
      </c>
      <c r="X855" s="23" t="s">
        <v>199</v>
      </c>
      <c r="Y855" s="49" t="str">
        <f t="shared" si="22"/>
        <v>Ativo</v>
      </c>
      <c r="Z855" s="32"/>
      <c r="AA855" s="32" t="s">
        <v>47</v>
      </c>
      <c r="AB855" s="64" t="s">
        <v>269</v>
      </c>
      <c r="AC855" s="79"/>
      <c r="AD855" s="54">
        <v>45518.0</v>
      </c>
      <c r="AE855" s="77">
        <v>4.9075100015546E13</v>
      </c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65"/>
      <c r="AW855" s="65"/>
      <c r="AX855" s="65"/>
      <c r="AY855" s="65"/>
      <c r="AZ855" s="65"/>
      <c r="BA855" s="65"/>
      <c r="BB855" s="65">
        <v>201972.21</v>
      </c>
      <c r="BC855" s="65">
        <v>203364.18</v>
      </c>
      <c r="BD855" s="65">
        <v>205228.66</v>
      </c>
      <c r="BE855" s="65">
        <v>206713.65</v>
      </c>
      <c r="BF855" s="65">
        <v>208234.45</v>
      </c>
      <c r="BG855" s="65">
        <v>210156.43</v>
      </c>
      <c r="BH855" s="65">
        <v>212185.18</v>
      </c>
      <c r="BI855" s="65">
        <v>214134.55</v>
      </c>
      <c r="BJ855" s="65">
        <v>216167.36</v>
      </c>
      <c r="BK855" s="65">
        <v>218256.11</v>
      </c>
      <c r="BL855" s="65">
        <v>219957.92</v>
      </c>
      <c r="BM855" s="65">
        <v>222285.16</v>
      </c>
      <c r="BN855" s="65">
        <v>228354.6</v>
      </c>
      <c r="BO855" s="65">
        <v>229434.99</v>
      </c>
      <c r="BP855" s="65">
        <v>232114.4</v>
      </c>
      <c r="BQ855" s="65">
        <v>234065.0</v>
      </c>
      <c r="BR855" s="65">
        <v>236227.8</v>
      </c>
      <c r="BS855" s="65">
        <v>238789.0</v>
      </c>
      <c r="BT855" s="88">
        <v>238787.4</v>
      </c>
      <c r="BU855" s="65">
        <v>241673.3</v>
      </c>
      <c r="BV855" s="65">
        <v>244465.8</v>
      </c>
      <c r="BW855" s="90">
        <v>247062.5</v>
      </c>
      <c r="BX855" s="90">
        <v>249289.67</v>
      </c>
      <c r="BY855" s="90">
        <f t="array" ref="BY855">XLOOKUP(C855,'PL TOTAL D0'!$A$3:$A$1991,'PL TOTAL D0'!$C$3:$C$1991,"")</f>
        <v>252062.25</v>
      </c>
    </row>
    <row r="856" ht="15.0" customHeight="1">
      <c r="A856" s="50" t="s">
        <v>24</v>
      </c>
      <c r="B856" s="43" t="s">
        <v>8608</v>
      </c>
      <c r="C856" s="94" t="s">
        <v>8609</v>
      </c>
      <c r="D856" s="30" t="s">
        <v>53</v>
      </c>
      <c r="E856" s="22" t="s">
        <v>54</v>
      </c>
      <c r="F856" s="30" t="s">
        <v>608</v>
      </c>
      <c r="G856" s="47" t="str">
        <f t="shared" si="37"/>
        <v>David</v>
      </c>
      <c r="H856" s="49" t="s">
        <v>224</v>
      </c>
      <c r="I856" s="49" t="s">
        <v>66</v>
      </c>
      <c r="J856" s="47" t="str">
        <f t="shared" si="35"/>
        <v>Não</v>
      </c>
      <c r="K856" s="54">
        <v>46063.0</v>
      </c>
      <c r="L856" s="55">
        <v>46169.0</v>
      </c>
      <c r="M856" s="32" t="s">
        <v>61</v>
      </c>
      <c r="N856" s="56">
        <v>0.012</v>
      </c>
      <c r="O856" s="23" t="s">
        <v>66</v>
      </c>
      <c r="P856" s="57">
        <v>0.0</v>
      </c>
      <c r="Q856" s="58"/>
      <c r="R856" s="70"/>
      <c r="S856" s="32" t="s">
        <v>194</v>
      </c>
      <c r="T856" s="32" t="s">
        <v>8610</v>
      </c>
      <c r="U856" s="33" t="s">
        <v>8611</v>
      </c>
      <c r="V856" s="33" t="s">
        <v>8612</v>
      </c>
      <c r="W856" s="34">
        <v>24720.0</v>
      </c>
      <c r="X856" s="23" t="s">
        <v>54</v>
      </c>
      <c r="Y856" s="49" t="str">
        <f t="shared" si="22"/>
        <v>Encerrado</v>
      </c>
      <c r="Z856" s="32"/>
      <c r="AA856" s="32" t="s">
        <v>47</v>
      </c>
      <c r="AB856" s="64"/>
      <c r="AC856" s="79"/>
      <c r="AD856" s="54"/>
      <c r="AE856" s="77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65"/>
      <c r="AW856" s="65"/>
      <c r="AX856" s="65"/>
      <c r="AY856" s="65"/>
      <c r="AZ856" s="65"/>
      <c r="BA856" s="65"/>
      <c r="BB856" s="65"/>
      <c r="BC856" s="65"/>
      <c r="BD856" s="65"/>
      <c r="BE856" s="65"/>
      <c r="BF856" s="65"/>
      <c r="BG856" s="65"/>
      <c r="BH856" s="65"/>
      <c r="BI856" s="65"/>
      <c r="BJ856" s="65"/>
      <c r="BK856" s="65"/>
      <c r="BL856" s="65"/>
      <c r="BM856" s="65"/>
      <c r="BN856" s="65"/>
      <c r="BO856" s="65"/>
      <c r="BP856" s="65"/>
      <c r="BQ856" s="65"/>
      <c r="BR856" s="65"/>
      <c r="BS856" s="65"/>
      <c r="BT856" s="88">
        <v>83229.29</v>
      </c>
      <c r="BU856" s="65">
        <v>83871.62</v>
      </c>
      <c r="BV856" s="65">
        <v>84330.27</v>
      </c>
      <c r="BW856" s="90">
        <v>0.0</v>
      </c>
      <c r="BX856" s="90">
        <v>0.0</v>
      </c>
      <c r="BY856" s="90" t="str">
        <f t="array" ref="BY856">XLOOKUP(C856,'PL TOTAL D0'!$A$3:$A$1991,'PL TOTAL D0'!$C$3:$C$1991,"")</f>
        <v/>
      </c>
    </row>
    <row r="857" ht="15.0" customHeight="1">
      <c r="A857" s="50" t="s">
        <v>24</v>
      </c>
      <c r="B857" s="43" t="s">
        <v>8613</v>
      </c>
      <c r="C857" s="94" t="s">
        <v>3492</v>
      </c>
      <c r="D857" s="30" t="s">
        <v>120</v>
      </c>
      <c r="E857" s="22" t="s">
        <v>199</v>
      </c>
      <c r="F857" s="30" t="s">
        <v>431</v>
      </c>
      <c r="G857" s="47" t="str">
        <f t="shared" si="37"/>
        <v>David</v>
      </c>
      <c r="H857" s="49" t="s">
        <v>295</v>
      </c>
      <c r="I857" s="49" t="s">
        <v>447</v>
      </c>
      <c r="J857" s="47" t="str">
        <f t="shared" si="35"/>
        <v>Não</v>
      </c>
      <c r="K857" s="54">
        <v>45839.0</v>
      </c>
      <c r="L857" s="62"/>
      <c r="M857" s="32" t="s">
        <v>390</v>
      </c>
      <c r="N857" s="56">
        <v>0.007</v>
      </c>
      <c r="O857" s="23" t="s">
        <v>66</v>
      </c>
      <c r="P857" s="57">
        <v>0.0</v>
      </c>
      <c r="Q857" s="58"/>
      <c r="R857" s="70"/>
      <c r="S857" s="32" t="s">
        <v>194</v>
      </c>
      <c r="T857" s="32" t="s">
        <v>8614</v>
      </c>
      <c r="U857" s="33">
        <v>5.561991524882E12</v>
      </c>
      <c r="V857" s="33" t="s">
        <v>8615</v>
      </c>
      <c r="W857" s="34">
        <v>36586.0</v>
      </c>
      <c r="X857" s="23" t="s">
        <v>199</v>
      </c>
      <c r="Y857" s="49" t="str">
        <f t="shared" si="22"/>
        <v>Ativo</v>
      </c>
      <c r="Z857" s="32"/>
      <c r="AA857" s="32" t="s">
        <v>47</v>
      </c>
      <c r="AB857" s="64"/>
      <c r="AC857" s="79"/>
      <c r="AD857" s="54">
        <v>45839.0</v>
      </c>
      <c r="AE857" s="77">
        <v>4.907510001915E13</v>
      </c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65"/>
      <c r="AW857" s="65"/>
      <c r="AX857" s="65"/>
      <c r="AY857" s="65"/>
      <c r="AZ857" s="65"/>
      <c r="BA857" s="65"/>
      <c r="BB857" s="65"/>
      <c r="BC857" s="65"/>
      <c r="BD857" s="65"/>
      <c r="BE857" s="65"/>
      <c r="BF857" s="65"/>
      <c r="BG857" s="65"/>
      <c r="BH857" s="65"/>
      <c r="BI857" s="65"/>
      <c r="BJ857" s="65"/>
      <c r="BK857" s="65"/>
      <c r="BL857" s="65"/>
      <c r="BM857" s="65">
        <v>12020.03</v>
      </c>
      <c r="BN857" s="65">
        <v>12124.44</v>
      </c>
      <c r="BO857" s="65">
        <v>12238.43</v>
      </c>
      <c r="BP857" s="65">
        <v>11706.81</v>
      </c>
      <c r="BQ857" s="65">
        <v>11807.0</v>
      </c>
      <c r="BR857" s="65">
        <v>13574.17</v>
      </c>
      <c r="BS857" s="65">
        <v>15662.92</v>
      </c>
      <c r="BT857" s="88">
        <v>17599.01</v>
      </c>
      <c r="BU857" s="65">
        <v>15921.27</v>
      </c>
      <c r="BV857" s="65">
        <v>18893.84</v>
      </c>
      <c r="BW857" s="90">
        <v>21268.69</v>
      </c>
      <c r="BX857" s="90">
        <v>33619.59</v>
      </c>
      <c r="BY857" s="90">
        <f t="array" ref="BY857">XLOOKUP(C857,'PL TOTAL D0'!$A$3:$A$1991,'PL TOTAL D0'!$C$3:$C$1991,"")</f>
        <v>32109.98</v>
      </c>
    </row>
    <row r="858" ht="15.75" customHeight="1">
      <c r="A858" s="50" t="s">
        <v>24</v>
      </c>
      <c r="B858" s="176" t="s">
        <v>8616</v>
      </c>
      <c r="C858" s="94" t="s">
        <v>8617</v>
      </c>
      <c r="D858" s="81" t="s">
        <v>120</v>
      </c>
      <c r="E858" s="95" t="s">
        <v>54</v>
      </c>
      <c r="F858" s="81" t="s">
        <v>348</v>
      </c>
      <c r="G858" s="47" t="str">
        <f t="shared" si="37"/>
        <v>David</v>
      </c>
      <c r="H858" s="49" t="s">
        <v>295</v>
      </c>
      <c r="I858" s="74" t="s">
        <v>382</v>
      </c>
      <c r="J858" s="47" t="str">
        <f t="shared" si="35"/>
        <v>Não</v>
      </c>
      <c r="K858" s="97">
        <v>45163.0</v>
      </c>
      <c r="L858" s="62"/>
      <c r="M858" s="62" t="s">
        <v>61</v>
      </c>
      <c r="N858" s="98">
        <v>0.012</v>
      </c>
      <c r="O858" s="47" t="s">
        <v>66</v>
      </c>
      <c r="P858" s="99">
        <v>0.0</v>
      </c>
      <c r="Q858" s="58"/>
      <c r="R858" s="190"/>
      <c r="S858" s="62" t="s">
        <v>194</v>
      </c>
      <c r="T858" s="32" t="s">
        <v>8618</v>
      </c>
      <c r="U858" s="33">
        <v>5.562999414331E12</v>
      </c>
      <c r="V858" s="33" t="s">
        <v>8619</v>
      </c>
      <c r="W858" s="34">
        <v>19386.0</v>
      </c>
      <c r="X858" s="23" t="s">
        <v>54</v>
      </c>
      <c r="Y858" s="49" t="str">
        <f t="shared" si="22"/>
        <v>Inativo</v>
      </c>
      <c r="Z858" s="62"/>
      <c r="AA858" s="62"/>
      <c r="AB858" s="64" t="s">
        <v>269</v>
      </c>
      <c r="AC858" s="79"/>
      <c r="AD858" s="54">
        <v>45163.0</v>
      </c>
      <c r="AE858" s="77">
        <v>4.907510001171E13</v>
      </c>
      <c r="AF858" s="79"/>
      <c r="AG858" s="79"/>
      <c r="AH858" s="79"/>
      <c r="AI858" s="79"/>
      <c r="AJ858" s="79"/>
      <c r="AK858" s="79"/>
      <c r="AL858" s="79"/>
      <c r="AM858" s="79"/>
      <c r="AN858" s="79"/>
      <c r="AO858" s="65">
        <v>0.0</v>
      </c>
      <c r="AP858" s="65">
        <v>0.0</v>
      </c>
      <c r="AQ858" s="65">
        <v>0.0</v>
      </c>
      <c r="AR858" s="65">
        <v>0.0</v>
      </c>
      <c r="AS858" s="65">
        <v>0.0</v>
      </c>
      <c r="AT858" s="65">
        <v>0.0</v>
      </c>
      <c r="AU858" s="65">
        <v>0.0</v>
      </c>
      <c r="AV858" s="65">
        <v>0.0</v>
      </c>
      <c r="AW858" s="65">
        <v>0.0</v>
      </c>
      <c r="AX858" s="65">
        <v>0.0</v>
      </c>
      <c r="AY858" s="65">
        <v>0.0</v>
      </c>
      <c r="AZ858" s="65">
        <v>0.0</v>
      </c>
      <c r="BA858" s="65">
        <v>0.0</v>
      </c>
      <c r="BB858" s="65">
        <v>0.0</v>
      </c>
      <c r="BC858" s="65">
        <v>0.0</v>
      </c>
      <c r="BD858" s="65">
        <v>0.0</v>
      </c>
      <c r="BE858" s="65">
        <v>0.0</v>
      </c>
      <c r="BF858" s="65">
        <v>0.0</v>
      </c>
      <c r="BG858" s="65">
        <v>0.0</v>
      </c>
      <c r="BH858" s="65">
        <v>0.0</v>
      </c>
      <c r="BI858" s="65">
        <v>0.0</v>
      </c>
      <c r="BJ858" s="65">
        <v>0.0</v>
      </c>
      <c r="BK858" s="65">
        <v>0.0</v>
      </c>
      <c r="BL858" s="65">
        <v>0.0</v>
      </c>
      <c r="BM858" s="65">
        <v>0.0</v>
      </c>
      <c r="BN858" s="65">
        <v>0.0</v>
      </c>
      <c r="BO858" s="65">
        <v>0.0</v>
      </c>
      <c r="BP858" s="65">
        <v>0.0</v>
      </c>
      <c r="BQ858" s="65">
        <v>0.0</v>
      </c>
      <c r="BR858" s="65">
        <v>0.0</v>
      </c>
      <c r="BS858" s="65">
        <v>0.0</v>
      </c>
      <c r="BT858" s="88">
        <v>0.0</v>
      </c>
      <c r="BU858" s="65">
        <v>0.0</v>
      </c>
      <c r="BV858" s="65">
        <v>0.0</v>
      </c>
      <c r="BW858" s="90">
        <v>0.0</v>
      </c>
      <c r="BX858" s="90">
        <v>0.0</v>
      </c>
      <c r="BY858" s="90" t="str">
        <f t="array" ref="BY858">XLOOKUP(C858,'PL TOTAL D0'!$A$3:$A$1991,'PL TOTAL D0'!$C$3:$C$1991,"")</f>
        <v/>
      </c>
    </row>
    <row r="859" ht="15.75" customHeight="1">
      <c r="A859" s="50" t="s">
        <v>24</v>
      </c>
      <c r="B859" s="50" t="s">
        <v>6573</v>
      </c>
      <c r="C859" s="94" t="s">
        <v>8620</v>
      </c>
      <c r="D859" s="30" t="s">
        <v>89</v>
      </c>
      <c r="E859" s="95" t="s">
        <v>91</v>
      </c>
      <c r="F859" s="81" t="s">
        <v>193</v>
      </c>
      <c r="G859" s="47" t="str">
        <f t="shared" si="37"/>
        <v>David</v>
      </c>
      <c r="H859" s="74" t="s">
        <v>295</v>
      </c>
      <c r="I859" s="74" t="s">
        <v>382</v>
      </c>
      <c r="J859" s="47" t="str">
        <f t="shared" si="35"/>
        <v>Não</v>
      </c>
      <c r="K859" s="97">
        <v>45163.0</v>
      </c>
      <c r="L859" s="189"/>
      <c r="M859" s="62" t="s">
        <v>61</v>
      </c>
      <c r="N859" s="98">
        <v>0.012</v>
      </c>
      <c r="O859" s="47" t="s">
        <v>66</v>
      </c>
      <c r="P859" s="99">
        <v>0.0</v>
      </c>
      <c r="Q859" s="58"/>
      <c r="R859" s="70" t="s">
        <v>8446</v>
      </c>
      <c r="S859" s="62" t="s">
        <v>194</v>
      </c>
      <c r="T859" s="32" t="s">
        <v>6574</v>
      </c>
      <c r="U859" s="33">
        <v>5.543996192004E12</v>
      </c>
      <c r="V859" s="33" t="s">
        <v>8621</v>
      </c>
      <c r="W859" s="48">
        <v>19649.0</v>
      </c>
      <c r="X859" s="23" t="s">
        <v>221</v>
      </c>
      <c r="Y859" s="49" t="str">
        <f t="shared" si="22"/>
        <v>Inativo</v>
      </c>
      <c r="Z859" s="62"/>
      <c r="AA859" s="62"/>
      <c r="AB859" s="64" t="s">
        <v>269</v>
      </c>
      <c r="AC859" s="79"/>
      <c r="AD859" s="54">
        <v>45163.0</v>
      </c>
      <c r="AE859" s="77">
        <v>4.9075100011729E13</v>
      </c>
      <c r="AF859" s="79"/>
      <c r="AG859" s="79"/>
      <c r="AH859" s="79"/>
      <c r="AI859" s="79"/>
      <c r="AJ859" s="79"/>
      <c r="AK859" s="79"/>
      <c r="AL859" s="65">
        <v>0.0</v>
      </c>
      <c r="AM859" s="65">
        <v>0.0</v>
      </c>
      <c r="AN859" s="65">
        <v>0.0</v>
      </c>
      <c r="AO859" s="65">
        <v>0.0</v>
      </c>
      <c r="AP859" s="65">
        <v>0.0</v>
      </c>
      <c r="AQ859" s="65">
        <v>0.0</v>
      </c>
      <c r="AR859" s="65">
        <v>0.0</v>
      </c>
      <c r="AS859" s="65">
        <v>0.0</v>
      </c>
      <c r="AT859" s="65">
        <v>0.0</v>
      </c>
      <c r="AU859" s="65">
        <v>0.0</v>
      </c>
      <c r="AV859" s="65">
        <v>0.0</v>
      </c>
      <c r="AW859" s="65">
        <v>0.0</v>
      </c>
      <c r="AX859" s="65">
        <v>0.0</v>
      </c>
      <c r="AY859" s="65">
        <v>0.0</v>
      </c>
      <c r="AZ859" s="65">
        <v>0.0</v>
      </c>
      <c r="BA859" s="65">
        <v>0.0</v>
      </c>
      <c r="BB859" s="65">
        <v>0.0</v>
      </c>
      <c r="BC859" s="65">
        <v>0.0</v>
      </c>
      <c r="BD859" s="65">
        <v>0.0</v>
      </c>
      <c r="BE859" s="65">
        <v>0.0</v>
      </c>
      <c r="BF859" s="65">
        <v>0.0</v>
      </c>
      <c r="BG859" s="65">
        <v>0.0</v>
      </c>
      <c r="BH859" s="65">
        <v>0.0</v>
      </c>
      <c r="BI859" s="65">
        <v>0.0</v>
      </c>
      <c r="BJ859" s="65">
        <v>0.0</v>
      </c>
      <c r="BK859" s="65">
        <v>0.0</v>
      </c>
      <c r="BL859" s="65">
        <v>0.0</v>
      </c>
      <c r="BM859" s="65">
        <v>0.0</v>
      </c>
      <c r="BN859" s="65">
        <v>0.0</v>
      </c>
      <c r="BO859" s="65">
        <v>0.0</v>
      </c>
      <c r="BP859" s="65">
        <v>0.0</v>
      </c>
      <c r="BQ859" s="65">
        <v>0.0</v>
      </c>
      <c r="BR859" s="65">
        <v>0.0</v>
      </c>
      <c r="BS859" s="65">
        <v>0.0</v>
      </c>
      <c r="BT859" s="88">
        <v>0.0</v>
      </c>
      <c r="BU859" s="65">
        <v>0.0</v>
      </c>
      <c r="BV859" s="65">
        <v>0.0</v>
      </c>
      <c r="BW859" s="90">
        <v>0.0</v>
      </c>
      <c r="BX859" s="90">
        <v>0.0</v>
      </c>
      <c r="BY859" s="90" t="str">
        <f t="array" ref="BY859">XLOOKUP(C859,'PL TOTAL D0'!$A$3:$A$1991,'PL TOTAL D0'!$C$3:$C$1991,"")</f>
        <v/>
      </c>
    </row>
    <row r="860" ht="15.75" customHeight="1">
      <c r="A860" s="50" t="s">
        <v>24</v>
      </c>
      <c r="B860" s="43" t="s">
        <v>8622</v>
      </c>
      <c r="C860" s="94" t="s">
        <v>3078</v>
      </c>
      <c r="D860" s="30" t="s">
        <v>89</v>
      </c>
      <c r="E860" s="95" t="s">
        <v>91</v>
      </c>
      <c r="F860" s="81" t="s">
        <v>193</v>
      </c>
      <c r="G860" s="47" t="str">
        <f t="shared" si="37"/>
        <v>Gabriel</v>
      </c>
      <c r="H860" s="49" t="s">
        <v>183</v>
      </c>
      <c r="I860" s="49" t="s">
        <v>66</v>
      </c>
      <c r="J860" s="47" t="str">
        <f t="shared" si="35"/>
        <v>Não</v>
      </c>
      <c r="K860" s="54">
        <v>45824.0</v>
      </c>
      <c r="L860" s="189"/>
      <c r="M860" s="32" t="s">
        <v>1349</v>
      </c>
      <c r="N860" s="56">
        <v>0.012</v>
      </c>
      <c r="O860" s="23" t="s">
        <v>66</v>
      </c>
      <c r="P860" s="57">
        <v>0.0</v>
      </c>
      <c r="Q860" s="58"/>
      <c r="R860" s="70"/>
      <c r="S860" s="32" t="s">
        <v>194</v>
      </c>
      <c r="T860" s="32" t="s">
        <v>8623</v>
      </c>
      <c r="U860" s="33">
        <v>3.1996114452E10</v>
      </c>
      <c r="V860" s="33" t="s">
        <v>8624</v>
      </c>
      <c r="W860" s="34">
        <v>24845.0</v>
      </c>
      <c r="X860" s="23" t="s">
        <v>618</v>
      </c>
      <c r="Y860" s="49" t="str">
        <f t="shared" si="22"/>
        <v>Ativo</v>
      </c>
      <c r="Z860" s="62"/>
      <c r="AA860" s="32" t="s">
        <v>47</v>
      </c>
      <c r="AB860" s="64"/>
      <c r="AC860" s="79"/>
      <c r="AD860" s="54">
        <v>45833.0</v>
      </c>
      <c r="AE860" s="77">
        <v>4.9075100019071E13</v>
      </c>
      <c r="AF860" s="79"/>
      <c r="AG860" s="79"/>
      <c r="AH860" s="79"/>
      <c r="AI860" s="79"/>
      <c r="AJ860" s="79"/>
      <c r="AK860" s="79"/>
      <c r="AL860" s="65"/>
      <c r="AM860" s="65"/>
      <c r="AN860" s="65"/>
      <c r="AO860" s="65"/>
      <c r="AP860" s="65"/>
      <c r="AQ860" s="65"/>
      <c r="AR860" s="65"/>
      <c r="AS860" s="65"/>
      <c r="AT860" s="65"/>
      <c r="AU860" s="65"/>
      <c r="AV860" s="65"/>
      <c r="AW860" s="65"/>
      <c r="AX860" s="65"/>
      <c r="AY860" s="65"/>
      <c r="AZ860" s="65"/>
      <c r="BA860" s="65"/>
      <c r="BB860" s="65"/>
      <c r="BC860" s="65"/>
      <c r="BD860" s="65"/>
      <c r="BE860" s="65"/>
      <c r="BF860" s="65"/>
      <c r="BG860" s="65"/>
      <c r="BH860" s="65"/>
      <c r="BI860" s="65"/>
      <c r="BJ860" s="65"/>
      <c r="BK860" s="65"/>
      <c r="BL860" s="65">
        <v>267448.99</v>
      </c>
      <c r="BM860" s="65">
        <v>301964.87</v>
      </c>
      <c r="BN860" s="65">
        <v>325189.1</v>
      </c>
      <c r="BO860" s="65">
        <v>328090.27</v>
      </c>
      <c r="BP860" s="65">
        <v>332920.5</v>
      </c>
      <c r="BQ860" s="65">
        <v>335683.1</v>
      </c>
      <c r="BR860" s="65">
        <v>338483.9</v>
      </c>
      <c r="BS860" s="65">
        <v>341836.22</v>
      </c>
      <c r="BT860" s="88">
        <v>293194.5</v>
      </c>
      <c r="BU860" s="65">
        <v>296871.9</v>
      </c>
      <c r="BV860" s="65">
        <v>294443.4</v>
      </c>
      <c r="BW860" s="90">
        <v>271546.8</v>
      </c>
      <c r="BX860" s="90">
        <v>273600.22</v>
      </c>
      <c r="BY860" s="90">
        <f t="array" ref="BY860">XLOOKUP(C860,'PL TOTAL D0'!$A$3:$A$1991,'PL TOTAL D0'!$C$3:$C$1991,"")</f>
        <v>276038.23</v>
      </c>
    </row>
    <row r="861" ht="15.75" customHeight="1">
      <c r="A861" s="50" t="s">
        <v>24</v>
      </c>
      <c r="B861" s="50" t="s">
        <v>8625</v>
      </c>
      <c r="C861" s="94" t="s">
        <v>8626</v>
      </c>
      <c r="D861" s="81" t="s">
        <v>120</v>
      </c>
      <c r="E861" s="95" t="s">
        <v>54</v>
      </c>
      <c r="F861" s="904" t="s">
        <v>348</v>
      </c>
      <c r="G861" s="47" t="str">
        <f t="shared" si="37"/>
        <v>David</v>
      </c>
      <c r="H861" s="49" t="s">
        <v>295</v>
      </c>
      <c r="I861" s="49" t="s">
        <v>382</v>
      </c>
      <c r="J861" s="47" t="str">
        <f t="shared" si="35"/>
        <v>Não</v>
      </c>
      <c r="K861" s="97">
        <v>45173.0</v>
      </c>
      <c r="L861" s="144"/>
      <c r="M861" s="62" t="s">
        <v>61</v>
      </c>
      <c r="N861" s="98">
        <v>0.012</v>
      </c>
      <c r="O861" s="47" t="s">
        <v>66</v>
      </c>
      <c r="P861" s="99">
        <v>0.0</v>
      </c>
      <c r="Q861" s="58"/>
      <c r="R861" s="58"/>
      <c r="S861" s="62" t="s">
        <v>194</v>
      </c>
      <c r="T861" s="32" t="s">
        <v>8627</v>
      </c>
      <c r="U861" s="33">
        <v>6.2981111266E10</v>
      </c>
      <c r="V861" s="33" t="s">
        <v>8628</v>
      </c>
      <c r="W861" s="48">
        <v>18254.0</v>
      </c>
      <c r="X861" s="561" t="s">
        <v>54</v>
      </c>
      <c r="Y861" s="49" t="str">
        <f t="shared" si="22"/>
        <v>Ativo</v>
      </c>
      <c r="Z861" s="905"/>
      <c r="AA861" s="905"/>
      <c r="AB861" s="58" t="s">
        <v>269</v>
      </c>
      <c r="AC861" s="905"/>
      <c r="AD861" s="54">
        <v>45173.0</v>
      </c>
      <c r="AE861" s="77">
        <v>4.9075100011737E13</v>
      </c>
      <c r="AF861" s="906"/>
      <c r="AG861" s="906"/>
      <c r="AH861" s="906"/>
      <c r="AI861" s="906"/>
      <c r="AJ861" s="906"/>
      <c r="AK861" s="906"/>
      <c r="AL861" s="906"/>
      <c r="AM861" s="906"/>
      <c r="AN861" s="906"/>
      <c r="AO861" s="906"/>
      <c r="AP861" s="330">
        <v>0.0</v>
      </c>
      <c r="AQ861" s="65">
        <v>70505.92</v>
      </c>
      <c r="AR861" s="65">
        <v>71100.93</v>
      </c>
      <c r="AS861" s="65">
        <v>71586.33</v>
      </c>
      <c r="AT861" s="65">
        <v>72109.81</v>
      </c>
      <c r="AU861" s="65">
        <v>72717.95</v>
      </c>
      <c r="AV861" s="65">
        <v>73256.82</v>
      </c>
      <c r="AW861" s="65">
        <v>73840.23</v>
      </c>
      <c r="AX861" s="65">
        <v>74216.2</v>
      </c>
      <c r="AY861" s="65">
        <v>74779.01</v>
      </c>
      <c r="AZ861" s="65">
        <v>75375.78</v>
      </c>
      <c r="BA861" s="65">
        <v>76015.42</v>
      </c>
      <c r="BB861" s="65">
        <v>0.0</v>
      </c>
      <c r="BC861" s="65">
        <v>0.0</v>
      </c>
      <c r="BD861" s="65">
        <v>0.0</v>
      </c>
      <c r="BE861" s="65">
        <v>0.0</v>
      </c>
      <c r="BF861" s="65">
        <v>0.37</v>
      </c>
      <c r="BG861" s="65">
        <v>0.37</v>
      </c>
      <c r="BH861" s="65">
        <v>0.37</v>
      </c>
      <c r="BI861" s="65">
        <v>0.37</v>
      </c>
      <c r="BJ861" s="65">
        <v>0.0</v>
      </c>
      <c r="BK861" s="65">
        <v>0.0</v>
      </c>
      <c r="BL861" s="65">
        <v>0.0</v>
      </c>
      <c r="BM861" s="65">
        <v>0.0</v>
      </c>
      <c r="BN861" s="65">
        <v>0.0</v>
      </c>
      <c r="BO861" s="65">
        <v>0.0</v>
      </c>
      <c r="BP861" s="65">
        <v>0.0</v>
      </c>
      <c r="BQ861" s="65">
        <v>0.0</v>
      </c>
      <c r="BR861" s="65">
        <v>0.0</v>
      </c>
      <c r="BS861" s="65">
        <v>0.0</v>
      </c>
      <c r="BT861" s="88">
        <v>0.0</v>
      </c>
      <c r="BU861" s="65">
        <v>0.0</v>
      </c>
      <c r="BV861" s="65">
        <v>0.0</v>
      </c>
      <c r="BW861" s="90">
        <v>0.0</v>
      </c>
      <c r="BX861" s="90">
        <v>0.0</v>
      </c>
      <c r="BY861" s="90" t="str">
        <f t="array" ref="BY861">XLOOKUP(C861,'PL TOTAL D0'!$A$3:$A$1991,'PL TOTAL D0'!$C$3:$C$1991,"")</f>
        <v/>
      </c>
    </row>
    <row r="862" ht="15.75" customHeight="1">
      <c r="A862" s="50" t="s">
        <v>24</v>
      </c>
      <c r="B862" s="50" t="s">
        <v>8629</v>
      </c>
      <c r="C862" s="94" t="s">
        <v>2855</v>
      </c>
      <c r="D862" s="81" t="s">
        <v>120</v>
      </c>
      <c r="E862" s="95" t="s">
        <v>199</v>
      </c>
      <c r="F862" s="81" t="s">
        <v>803</v>
      </c>
      <c r="G862" s="47" t="str">
        <f t="shared" si="37"/>
        <v>Gabriel</v>
      </c>
      <c r="H862" s="74" t="s">
        <v>183</v>
      </c>
      <c r="I862" s="74" t="s">
        <v>66</v>
      </c>
      <c r="J862" s="47" t="str">
        <f t="shared" si="35"/>
        <v>Não</v>
      </c>
      <c r="K862" s="97">
        <v>44993.0</v>
      </c>
      <c r="L862" s="62"/>
      <c r="M862" s="62" t="s">
        <v>61</v>
      </c>
      <c r="N862" s="98">
        <v>0.007</v>
      </c>
      <c r="O862" s="47" t="s">
        <v>66</v>
      </c>
      <c r="P862" s="99">
        <v>0.0</v>
      </c>
      <c r="Q862" s="58"/>
      <c r="R862" s="635"/>
      <c r="S862" s="62" t="s">
        <v>194</v>
      </c>
      <c r="T862" s="32" t="s">
        <v>6468</v>
      </c>
      <c r="U862" s="33">
        <v>5.561984249444E12</v>
      </c>
      <c r="V862" s="33" t="s">
        <v>8630</v>
      </c>
      <c r="W862" s="34">
        <v>17294.0</v>
      </c>
      <c r="X862" s="23" t="s">
        <v>54</v>
      </c>
      <c r="Y862" s="49" t="str">
        <f t="shared" si="22"/>
        <v>Ativo</v>
      </c>
      <c r="Z862" s="62"/>
      <c r="AA862" s="62"/>
      <c r="AB862" s="64" t="s">
        <v>269</v>
      </c>
      <c r="AC862" s="79"/>
      <c r="AD862" s="54">
        <v>44993.0</v>
      </c>
      <c r="AE862" s="77">
        <v>4.9075100009546E13</v>
      </c>
      <c r="AF862" s="79"/>
      <c r="AG862" s="79"/>
      <c r="AH862" s="79"/>
      <c r="AI862" s="79"/>
      <c r="AJ862" s="65">
        <v>0.0</v>
      </c>
      <c r="AK862" s="65">
        <v>1604739.39</v>
      </c>
      <c r="AL862" s="65">
        <v>1473903.2</v>
      </c>
      <c r="AM862" s="65">
        <v>1481389.2</v>
      </c>
      <c r="AN862" s="65">
        <v>1491823.87</v>
      </c>
      <c r="AO862" s="65">
        <v>1242237.9</v>
      </c>
      <c r="AP862" s="65">
        <v>1248948.75</v>
      </c>
      <c r="AQ862" s="65">
        <v>1248278.35</v>
      </c>
      <c r="AR862" s="65">
        <v>1249070.19</v>
      </c>
      <c r="AS862" s="65">
        <v>1262605.28</v>
      </c>
      <c r="AT862" s="65">
        <v>1269804.17</v>
      </c>
      <c r="AU862" s="65">
        <v>1268448.41</v>
      </c>
      <c r="AV862" s="65">
        <v>1277858.49</v>
      </c>
      <c r="AW862" s="65">
        <v>1200219.25</v>
      </c>
      <c r="AX862" s="65">
        <v>1203299.21</v>
      </c>
      <c r="AY862" s="65">
        <v>1212906.0</v>
      </c>
      <c r="AZ862" s="65">
        <v>1223279.0</v>
      </c>
      <c r="BA862" s="65">
        <v>1233758.0</v>
      </c>
      <c r="BB862" s="65">
        <v>1241548.74</v>
      </c>
      <c r="BC862" s="65">
        <v>1248892.61</v>
      </c>
      <c r="BD862" s="65">
        <v>1219590.08</v>
      </c>
      <c r="BE862" s="65">
        <v>1229518.75</v>
      </c>
      <c r="BF862" s="65">
        <v>1228406.95</v>
      </c>
      <c r="BG862" s="65">
        <v>1204443.92</v>
      </c>
      <c r="BH862" s="65">
        <v>1188751.5</v>
      </c>
      <c r="BI862" s="65">
        <v>1189066.77</v>
      </c>
      <c r="BJ862" s="65">
        <v>778783.43</v>
      </c>
      <c r="BK862" s="65">
        <v>781335.87</v>
      </c>
      <c r="BL862" s="65">
        <v>773492.2</v>
      </c>
      <c r="BM862" s="65">
        <v>770527.18</v>
      </c>
      <c r="BN862" s="65">
        <v>748442.3</v>
      </c>
      <c r="BO862" s="65">
        <v>747346.97</v>
      </c>
      <c r="BP862" s="65">
        <v>744170.9</v>
      </c>
      <c r="BQ862" s="65">
        <v>736602.1</v>
      </c>
      <c r="BR862" s="65">
        <v>716715.1</v>
      </c>
      <c r="BS862" s="65">
        <v>702203.68</v>
      </c>
      <c r="BT862" s="88">
        <v>677540.4</v>
      </c>
      <c r="BU862" s="65">
        <v>675948.8</v>
      </c>
      <c r="BV862" s="65">
        <v>669341.6</v>
      </c>
      <c r="BW862" s="90">
        <v>565565.7</v>
      </c>
      <c r="BX862" s="90">
        <v>565007.25</v>
      </c>
      <c r="BY862" s="90">
        <f t="array" ref="BY862">XLOOKUP(C862,'PL TOTAL D0'!$A$3:$A$1991,'PL TOTAL D0'!$C$3:$C$1991,"")</f>
        <v>552238.88</v>
      </c>
    </row>
    <row r="863" ht="15.75" customHeight="1">
      <c r="A863" s="50" t="s">
        <v>24</v>
      </c>
      <c r="B863" s="191" t="s">
        <v>8631</v>
      </c>
      <c r="C863" s="94" t="s">
        <v>8632</v>
      </c>
      <c r="D863" s="81" t="s">
        <v>255</v>
      </c>
      <c r="E863" s="95" t="s">
        <v>199</v>
      </c>
      <c r="F863" s="81" t="s">
        <v>257</v>
      </c>
      <c r="G863" s="47" t="str">
        <f t="shared" si="37"/>
        <v>David</v>
      </c>
      <c r="H863" s="49" t="s">
        <v>224</v>
      </c>
      <c r="I863" s="49" t="s">
        <v>66</v>
      </c>
      <c r="J863" s="47" t="str">
        <f t="shared" si="35"/>
        <v>Não</v>
      </c>
      <c r="K863" s="97">
        <v>45184.0</v>
      </c>
      <c r="L863" s="55">
        <v>45525.0</v>
      </c>
      <c r="M863" s="62" t="s">
        <v>61</v>
      </c>
      <c r="N863" s="98">
        <v>0.008</v>
      </c>
      <c r="O863" s="47" t="s">
        <v>66</v>
      </c>
      <c r="P863" s="99">
        <v>0.0</v>
      </c>
      <c r="Q863" s="58"/>
      <c r="R863" s="135"/>
      <c r="S863" s="62" t="s">
        <v>194</v>
      </c>
      <c r="T863" s="32" t="s">
        <v>8633</v>
      </c>
      <c r="U863" s="33" t="s">
        <v>268</v>
      </c>
      <c r="V863" s="33"/>
      <c r="W863" s="33" t="s">
        <v>268</v>
      </c>
      <c r="X863" s="561" t="s">
        <v>199</v>
      </c>
      <c r="Y863" s="49" t="str">
        <f t="shared" si="22"/>
        <v>Encerrado</v>
      </c>
      <c r="Z863" s="905"/>
      <c r="AA863" s="905"/>
      <c r="AB863" s="58" t="s">
        <v>269</v>
      </c>
      <c r="AC863" s="905"/>
      <c r="AD863" s="54">
        <v>45184.0</v>
      </c>
      <c r="AE863" s="77">
        <v>4.9075100011745E13</v>
      </c>
      <c r="AF863" s="906"/>
      <c r="AG863" s="906"/>
      <c r="AH863" s="906"/>
      <c r="AI863" s="906"/>
      <c r="AJ863" s="906"/>
      <c r="AK863" s="906"/>
      <c r="AL863" s="906"/>
      <c r="AM863" s="906"/>
      <c r="AN863" s="906"/>
      <c r="AO863" s="906"/>
      <c r="AP863" s="330"/>
      <c r="AQ863" s="65">
        <v>2545016.37</v>
      </c>
      <c r="AR863" s="65">
        <v>3615194.62</v>
      </c>
      <c r="AS863" s="65">
        <v>4149605.23</v>
      </c>
      <c r="AT863" s="65">
        <v>4189690.54</v>
      </c>
      <c r="AU863" s="65">
        <v>4230755.17</v>
      </c>
      <c r="AV863" s="65">
        <v>4419040.94</v>
      </c>
      <c r="AW863" s="65">
        <v>4460551.74</v>
      </c>
      <c r="AX863" s="65">
        <v>4494765.13</v>
      </c>
      <c r="AY863" s="65">
        <v>4536217.0</v>
      </c>
      <c r="AZ863" s="65">
        <v>4576159.0</v>
      </c>
      <c r="BA863" s="65">
        <v>4613440.0</v>
      </c>
      <c r="BB863" s="65">
        <v>0.0</v>
      </c>
      <c r="BC863" s="65">
        <v>0.0</v>
      </c>
      <c r="BD863" s="65">
        <v>0.0</v>
      </c>
      <c r="BE863" s="65">
        <v>0.0</v>
      </c>
      <c r="BF863" s="65">
        <v>0.0</v>
      </c>
      <c r="BG863" s="65">
        <v>0.0</v>
      </c>
      <c r="BH863" s="65">
        <v>0.0</v>
      </c>
      <c r="BI863" s="65">
        <v>0.0</v>
      </c>
      <c r="BJ863" s="65">
        <v>0.0</v>
      </c>
      <c r="BK863" s="65">
        <v>0.0</v>
      </c>
      <c r="BL863" s="65">
        <v>0.0</v>
      </c>
      <c r="BM863" s="65">
        <v>0.0</v>
      </c>
      <c r="BN863" s="65">
        <v>0.0</v>
      </c>
      <c r="BO863" s="65">
        <v>0.0</v>
      </c>
      <c r="BP863" s="65">
        <v>0.0</v>
      </c>
      <c r="BQ863" s="65">
        <v>0.0</v>
      </c>
      <c r="BR863" s="65">
        <v>0.0</v>
      </c>
      <c r="BS863" s="65">
        <v>0.0</v>
      </c>
      <c r="BT863" s="88">
        <v>0.0</v>
      </c>
      <c r="BU863" s="65">
        <v>0.0</v>
      </c>
      <c r="BV863" s="65">
        <v>0.0</v>
      </c>
      <c r="BW863" s="90">
        <v>0.0</v>
      </c>
      <c r="BX863" s="90">
        <v>0.0</v>
      </c>
      <c r="BY863" s="90" t="str">
        <f t="array" ref="BY863">XLOOKUP(C863,'PL TOTAL D0'!$A$3:$A$1991,'PL TOTAL D0'!$C$3:$C$1991,"")</f>
        <v/>
      </c>
    </row>
    <row r="864" ht="15.75" customHeight="1">
      <c r="A864" s="50" t="s">
        <v>24</v>
      </c>
      <c r="B864" s="50" t="s">
        <v>8634</v>
      </c>
      <c r="C864" s="94" t="s">
        <v>8635</v>
      </c>
      <c r="D864" s="81" t="s">
        <v>120</v>
      </c>
      <c r="E864" s="95" t="s">
        <v>54</v>
      </c>
      <c r="F864" s="81" t="s">
        <v>125</v>
      </c>
      <c r="G864" s="47" t="str">
        <f t="shared" si="37"/>
        <v>David</v>
      </c>
      <c r="H864" s="49" t="s">
        <v>224</v>
      </c>
      <c r="I864" s="49" t="s">
        <v>66</v>
      </c>
      <c r="J864" s="47" t="str">
        <f t="shared" si="35"/>
        <v>Não</v>
      </c>
      <c r="K864" s="97">
        <v>44951.0</v>
      </c>
      <c r="L864" s="55">
        <v>45964.0</v>
      </c>
      <c r="M864" s="62" t="s">
        <v>61</v>
      </c>
      <c r="N864" s="98">
        <v>0.007</v>
      </c>
      <c r="O864" s="47" t="s">
        <v>66</v>
      </c>
      <c r="P864" s="99">
        <v>0.0</v>
      </c>
      <c r="Q864" s="58"/>
      <c r="R864" s="58" t="s">
        <v>2352</v>
      </c>
      <c r="S864" s="62" t="s">
        <v>194</v>
      </c>
      <c r="T864" s="32" t="s">
        <v>6473</v>
      </c>
      <c r="U864" s="33">
        <v>5.562995597887E12</v>
      </c>
      <c r="V864" s="33" t="s">
        <v>8636</v>
      </c>
      <c r="W864" s="34">
        <v>33483.0</v>
      </c>
      <c r="X864" s="23" t="s">
        <v>54</v>
      </c>
      <c r="Y864" s="49" t="str">
        <f t="shared" si="22"/>
        <v>Encerrado</v>
      </c>
      <c r="Z864" s="62"/>
      <c r="AA864" s="62"/>
      <c r="AB864" s="64" t="s">
        <v>269</v>
      </c>
      <c r="AC864" s="79"/>
      <c r="AD864" s="54">
        <v>44951.0</v>
      </c>
      <c r="AE864" s="77">
        <v>4.9075100006172E13</v>
      </c>
      <c r="AF864" s="79"/>
      <c r="AG864" s="79"/>
      <c r="AH864" s="79"/>
      <c r="AI864" s="65">
        <v>116998.11</v>
      </c>
      <c r="AJ864" s="65">
        <v>124923.21</v>
      </c>
      <c r="AK864" s="65">
        <v>110310.81</v>
      </c>
      <c r="AL864" s="65">
        <v>109478.85</v>
      </c>
      <c r="AM864" s="65">
        <v>86217.05</v>
      </c>
      <c r="AN864" s="65">
        <v>50580.59</v>
      </c>
      <c r="AO864" s="65">
        <v>35709.37</v>
      </c>
      <c r="AP864" s="65">
        <v>25952.12</v>
      </c>
      <c r="AQ864" s="65">
        <v>22046.5</v>
      </c>
      <c r="AR864" s="65">
        <v>22262.6</v>
      </c>
      <c r="AS864" s="65">
        <v>20432.4</v>
      </c>
      <c r="AT864" s="65">
        <v>26.17</v>
      </c>
      <c r="AU864" s="65">
        <v>19.08</v>
      </c>
      <c r="AV864" s="65">
        <v>20.72</v>
      </c>
      <c r="AW864" s="65">
        <v>20.72</v>
      </c>
      <c r="AX864" s="65">
        <v>20.75</v>
      </c>
      <c r="AY864" s="65">
        <v>20.75</v>
      </c>
      <c r="AZ864" s="65">
        <v>20.75</v>
      </c>
      <c r="BA864" s="65">
        <v>20.75</v>
      </c>
      <c r="BB864" s="65">
        <v>20.75</v>
      </c>
      <c r="BC864" s="65">
        <v>20.75</v>
      </c>
      <c r="BD864" s="65">
        <v>20.75</v>
      </c>
      <c r="BE864" s="65">
        <v>20.75</v>
      </c>
      <c r="BF864" s="65">
        <v>20.75</v>
      </c>
      <c r="BG864" s="65">
        <v>20.75</v>
      </c>
      <c r="BH864" s="65">
        <v>20.75</v>
      </c>
      <c r="BI864" s="65">
        <v>20.75</v>
      </c>
      <c r="BJ864" s="65">
        <v>0.0</v>
      </c>
      <c r="BK864" s="65">
        <v>0.0</v>
      </c>
      <c r="BL864" s="65">
        <v>0.0</v>
      </c>
      <c r="BM864" s="65">
        <v>0.0</v>
      </c>
      <c r="BN864" s="65">
        <v>0.0</v>
      </c>
      <c r="BO864" s="65">
        <v>0.0</v>
      </c>
      <c r="BP864" s="65">
        <v>0.0</v>
      </c>
      <c r="BQ864" s="65">
        <v>0.0</v>
      </c>
      <c r="BR864" s="65">
        <v>0.0</v>
      </c>
      <c r="BS864" s="65">
        <v>0.0</v>
      </c>
      <c r="BT864" s="88">
        <v>0.0</v>
      </c>
      <c r="BU864" s="65">
        <v>0.0</v>
      </c>
      <c r="BV864" s="65">
        <v>0.0</v>
      </c>
      <c r="BW864" s="90">
        <v>0.0</v>
      </c>
      <c r="BX864" s="90">
        <v>0.0</v>
      </c>
      <c r="BY864" s="90" t="str">
        <f t="array" ref="BY864">XLOOKUP(C864,'PL TOTAL D0'!$A$3:$A$1991,'PL TOTAL D0'!$C$3:$C$1991,"")</f>
        <v/>
      </c>
    </row>
    <row r="865" ht="17.25" customHeight="1">
      <c r="A865" s="50" t="s">
        <v>24</v>
      </c>
      <c r="B865" s="50" t="s">
        <v>6481</v>
      </c>
      <c r="C865" s="94" t="s">
        <v>8637</v>
      </c>
      <c r="D865" s="81" t="s">
        <v>120</v>
      </c>
      <c r="E865" s="95" t="s">
        <v>54</v>
      </c>
      <c r="F865" s="81" t="s">
        <v>125</v>
      </c>
      <c r="G865" s="47" t="str">
        <f t="shared" si="37"/>
        <v>Marcus</v>
      </c>
      <c r="H865" s="49" t="s">
        <v>183</v>
      </c>
      <c r="I865" s="49" t="s">
        <v>382</v>
      </c>
      <c r="J865" s="47" t="str">
        <f t="shared" si="35"/>
        <v>Sim</v>
      </c>
      <c r="K865" s="97">
        <v>44949.0</v>
      </c>
      <c r="L865" s="62"/>
      <c r="M865" s="32" t="s">
        <v>61</v>
      </c>
      <c r="N865" s="56">
        <v>0.012</v>
      </c>
      <c r="O865" s="47" t="s">
        <v>66</v>
      </c>
      <c r="P865" s="99">
        <v>0.0</v>
      </c>
      <c r="Q865" s="58" t="s">
        <v>8638</v>
      </c>
      <c r="R865" s="58" t="s">
        <v>8639</v>
      </c>
      <c r="S865" s="62" t="s">
        <v>194</v>
      </c>
      <c r="T865" s="32" t="s">
        <v>6480</v>
      </c>
      <c r="U865" s="33">
        <v>5.562992342646E12</v>
      </c>
      <c r="V865" s="33" t="s">
        <v>8640</v>
      </c>
      <c r="W865" s="34">
        <v>18539.0</v>
      </c>
      <c r="X865" s="23" t="s">
        <v>54</v>
      </c>
      <c r="Y865" s="49" t="str">
        <f t="shared" si="22"/>
        <v>Ativo</v>
      </c>
      <c r="Z865" s="32"/>
      <c r="AA865" s="32" t="s">
        <v>47</v>
      </c>
      <c r="AB865" s="64" t="s">
        <v>269</v>
      </c>
      <c r="AC865" s="79"/>
      <c r="AD865" s="54">
        <v>44949.0</v>
      </c>
      <c r="AE865" s="77">
        <v>4.907510000618E13</v>
      </c>
      <c r="AF865" s="79"/>
      <c r="AG865" s="79"/>
      <c r="AH865" s="79"/>
      <c r="AI865" s="65">
        <v>1652218.89</v>
      </c>
      <c r="AJ865" s="65">
        <v>1718110.98</v>
      </c>
      <c r="AK865" s="65">
        <v>1737740.56</v>
      </c>
      <c r="AL865" s="65">
        <v>1751867.31</v>
      </c>
      <c r="AM865" s="65">
        <v>1769481.97</v>
      </c>
      <c r="AN865" s="65">
        <v>1781611.74</v>
      </c>
      <c r="AO865" s="65">
        <v>1795213.42</v>
      </c>
      <c r="AP865" s="65">
        <v>1805336.03</v>
      </c>
      <c r="AQ865" s="65">
        <v>1810474.77</v>
      </c>
      <c r="AR865" s="65">
        <v>1815036.86</v>
      </c>
      <c r="AS865" s="65">
        <v>1842147.25</v>
      </c>
      <c r="AT865" s="65">
        <v>1867845.05</v>
      </c>
      <c r="AU865" s="65">
        <v>1848323.25</v>
      </c>
      <c r="AV865" s="65">
        <v>1862905.58</v>
      </c>
      <c r="AW865" s="65">
        <v>1882119.94</v>
      </c>
      <c r="AX865" s="65">
        <v>1878261.46</v>
      </c>
      <c r="AY865" s="65">
        <v>1875811.0</v>
      </c>
      <c r="AZ865" s="65">
        <v>1632139.0</v>
      </c>
      <c r="BA865" s="65">
        <v>1613226.0</v>
      </c>
      <c r="BB865" s="65">
        <v>1623777.3</v>
      </c>
      <c r="BC865" s="65">
        <v>1635856.96</v>
      </c>
      <c r="BD865" s="65">
        <v>1829175.06</v>
      </c>
      <c r="BE865" s="65">
        <v>1873741.37</v>
      </c>
      <c r="BF865" s="65">
        <v>1885964.48</v>
      </c>
      <c r="BG865" s="65">
        <v>1904426.79</v>
      </c>
      <c r="BH865" s="65">
        <v>1921634.65</v>
      </c>
      <c r="BI865" s="65">
        <v>1940388.27</v>
      </c>
      <c r="BJ865" s="65">
        <v>1961312.79</v>
      </c>
      <c r="BK865" s="65">
        <v>1981364.93</v>
      </c>
      <c r="BL865" s="65">
        <v>1995959.08</v>
      </c>
      <c r="BM865" s="65">
        <v>2017491.8</v>
      </c>
      <c r="BN865" s="65">
        <v>2028529.0</v>
      </c>
      <c r="BO865" s="65">
        <v>2048259.8</v>
      </c>
      <c r="BP865" s="65">
        <v>2104735.0</v>
      </c>
      <c r="BQ865" s="65">
        <v>2121527.0</v>
      </c>
      <c r="BR865" s="65">
        <v>2141080.0</v>
      </c>
      <c r="BS865" s="65">
        <v>2163473.65</v>
      </c>
      <c r="BT865" s="88">
        <v>2180370.0</v>
      </c>
      <c r="BU865" s="65">
        <v>2205255.0</v>
      </c>
      <c r="BV865" s="65">
        <v>2229427.0</v>
      </c>
      <c r="BW865" s="90">
        <v>2249829.0</v>
      </c>
      <c r="BX865" s="90">
        <v>1899640.35</v>
      </c>
      <c r="BY865" s="90" t="str">
        <f t="array" ref="BY865">XLOOKUP(C865,'PL TOTAL D0'!$A$3:$A$1991,'PL TOTAL D0'!$C$3:$C$1991,"")</f>
        <v/>
      </c>
    </row>
    <row r="866" ht="17.25" customHeight="1">
      <c r="A866" s="50" t="s">
        <v>24</v>
      </c>
      <c r="B866" s="43" t="s">
        <v>6481</v>
      </c>
      <c r="C866" s="94" t="s">
        <v>3522</v>
      </c>
      <c r="D866" s="30" t="s">
        <v>120</v>
      </c>
      <c r="E866" s="22" t="s">
        <v>54</v>
      </c>
      <c r="F866" s="81" t="s">
        <v>125</v>
      </c>
      <c r="G866" s="47" t="str">
        <f t="shared" si="37"/>
        <v>David</v>
      </c>
      <c r="H866" s="49" t="s">
        <v>183</v>
      </c>
      <c r="I866" s="49" t="s">
        <v>66</v>
      </c>
      <c r="J866" s="47" t="str">
        <f t="shared" si="35"/>
        <v>Sim</v>
      </c>
      <c r="K866" s="54">
        <v>45432.0</v>
      </c>
      <c r="L866" s="62"/>
      <c r="M866" s="32" t="s">
        <v>231</v>
      </c>
      <c r="N866" s="56">
        <v>0.011</v>
      </c>
      <c r="O866" s="23" t="s">
        <v>233</v>
      </c>
      <c r="P866" s="57">
        <v>0.2</v>
      </c>
      <c r="Q866" s="58" t="s">
        <v>8641</v>
      </c>
      <c r="R866" s="70"/>
      <c r="S866" s="32" t="s">
        <v>194</v>
      </c>
      <c r="T866" s="32" t="s">
        <v>6480</v>
      </c>
      <c r="U866" s="33">
        <v>5.562992342646E12</v>
      </c>
      <c r="V866" s="33" t="s">
        <v>8640</v>
      </c>
      <c r="W866" s="34">
        <v>18539.0</v>
      </c>
      <c r="X866" s="23" t="s">
        <v>54</v>
      </c>
      <c r="Y866" s="49" t="str">
        <f t="shared" si="22"/>
        <v>Ativo</v>
      </c>
      <c r="Z866" s="32"/>
      <c r="AA866" s="32" t="s">
        <v>47</v>
      </c>
      <c r="AB866" s="64" t="s">
        <v>269</v>
      </c>
      <c r="AC866" s="79"/>
      <c r="AD866" s="54">
        <v>45432.0</v>
      </c>
      <c r="AE866" s="77">
        <v>4.907510001459E13</v>
      </c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65"/>
      <c r="AW866" s="65"/>
      <c r="AX866" s="65"/>
      <c r="AY866" s="65">
        <v>0.0</v>
      </c>
      <c r="AZ866" s="65">
        <v>252060.9</v>
      </c>
      <c r="BA866" s="65">
        <v>275648.9</v>
      </c>
      <c r="BB866" s="65">
        <v>281905.66</v>
      </c>
      <c r="BC866" s="65">
        <v>276392.7</v>
      </c>
      <c r="BD866" s="65">
        <v>89761.16</v>
      </c>
      <c r="BE866" s="65">
        <v>69238.53</v>
      </c>
      <c r="BF866" s="65">
        <v>66566.37</v>
      </c>
      <c r="BG866" s="65">
        <v>66248.43</v>
      </c>
      <c r="BH866" s="65">
        <v>55428.06</v>
      </c>
      <c r="BI866" s="65">
        <v>51460.44</v>
      </c>
      <c r="BJ866" s="65">
        <v>58310.6</v>
      </c>
      <c r="BK866" s="65">
        <v>64625.35</v>
      </c>
      <c r="BL866" s="65">
        <v>62748.83</v>
      </c>
      <c r="BM866" s="65">
        <v>72147.26</v>
      </c>
      <c r="BN866" s="65">
        <v>68701.8</v>
      </c>
      <c r="BO866" s="65">
        <v>69374.74</v>
      </c>
      <c r="BP866" s="65">
        <v>37578.5</v>
      </c>
      <c r="BQ866" s="65">
        <v>31407.92</v>
      </c>
      <c r="BR866" s="65">
        <v>31191.15</v>
      </c>
      <c r="BS866" s="65">
        <v>26874.53</v>
      </c>
      <c r="BT866" s="88">
        <v>22706.8</v>
      </c>
      <c r="BU866" s="65">
        <v>23624.0</v>
      </c>
      <c r="BV866" s="65">
        <v>25635.01</v>
      </c>
      <c r="BW866" s="90">
        <v>24665.89</v>
      </c>
      <c r="BX866" s="90">
        <v>21400.42</v>
      </c>
      <c r="BY866" s="90">
        <f t="array" ref="BY866">XLOOKUP(C866,'PL TOTAL D0'!$A$3:$A$1991,'PL TOTAL D0'!$C$3:$C$1991,"")</f>
        <v>22099.43</v>
      </c>
    </row>
    <row r="867" ht="17.25" customHeight="1">
      <c r="A867" s="50" t="s">
        <v>24</v>
      </c>
      <c r="B867" s="43" t="s">
        <v>8642</v>
      </c>
      <c r="C867" s="94" t="s">
        <v>8643</v>
      </c>
      <c r="D867" s="30" t="s">
        <v>89</v>
      </c>
      <c r="E867" s="22" t="s">
        <v>91</v>
      </c>
      <c r="F867" s="30" t="s">
        <v>193</v>
      </c>
      <c r="G867" s="47" t="str">
        <f t="shared" si="37"/>
        <v>David</v>
      </c>
      <c r="H867" s="49" t="s">
        <v>295</v>
      </c>
      <c r="I867" s="49" t="s">
        <v>382</v>
      </c>
      <c r="J867" s="47" t="str">
        <f t="shared" si="35"/>
        <v>Não</v>
      </c>
      <c r="K867" s="54">
        <v>45709.0</v>
      </c>
      <c r="L867" s="62"/>
      <c r="M867" s="32" t="s">
        <v>390</v>
      </c>
      <c r="N867" s="56">
        <v>0.0</v>
      </c>
      <c r="O867" s="23" t="s">
        <v>66</v>
      </c>
      <c r="P867" s="57">
        <v>0.0</v>
      </c>
      <c r="Q867" s="58"/>
      <c r="R867" s="70"/>
      <c r="S867" s="32" t="s">
        <v>194</v>
      </c>
      <c r="T867" s="32" t="s">
        <v>8644</v>
      </c>
      <c r="U867" s="33">
        <v>1.1986870983E10</v>
      </c>
      <c r="V867" s="33" t="s">
        <v>8645</v>
      </c>
      <c r="W867" s="34">
        <v>26847.0</v>
      </c>
      <c r="X867" s="23" t="s">
        <v>475</v>
      </c>
      <c r="Y867" s="49" t="str">
        <f t="shared" si="22"/>
        <v>Ativo</v>
      </c>
      <c r="Z867" s="32"/>
      <c r="AA867" s="32" t="s">
        <v>47</v>
      </c>
      <c r="AB867" s="64"/>
      <c r="AC867" s="79"/>
      <c r="AD867" s="54">
        <v>45709.0</v>
      </c>
      <c r="AE867" s="77">
        <v>4.9075100018308E13</v>
      </c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65"/>
      <c r="AW867" s="65"/>
      <c r="AX867" s="65"/>
      <c r="AY867" s="65"/>
      <c r="AZ867" s="65"/>
      <c r="BA867" s="65"/>
      <c r="BB867" s="65"/>
      <c r="BC867" s="65"/>
      <c r="BD867" s="65"/>
      <c r="BE867" s="65"/>
      <c r="BF867" s="65"/>
      <c r="BG867" s="65"/>
      <c r="BH867" s="65">
        <v>5332.31</v>
      </c>
      <c r="BI867" s="65">
        <v>5382.85</v>
      </c>
      <c r="BJ867" s="65">
        <v>5438.92</v>
      </c>
      <c r="BK867" s="65">
        <v>5474.19</v>
      </c>
      <c r="BL867" s="65">
        <v>5533.8</v>
      </c>
      <c r="BM867" s="65">
        <v>5604.09</v>
      </c>
      <c r="BN867" s="65">
        <v>5668.84</v>
      </c>
      <c r="BO867" s="65">
        <v>5734.35</v>
      </c>
      <c r="BP867" s="65">
        <v>5809.65</v>
      </c>
      <c r="BQ867" s="65">
        <v>8327.0</v>
      </c>
      <c r="BR867" s="65">
        <v>8428.21</v>
      </c>
      <c r="BS867" s="65">
        <v>0.0</v>
      </c>
      <c r="BT867" s="88">
        <v>0.25</v>
      </c>
      <c r="BU867" s="65">
        <v>0.0</v>
      </c>
      <c r="BV867" s="65">
        <v>0.0</v>
      </c>
      <c r="BW867" s="90">
        <v>0.0</v>
      </c>
      <c r="BX867" s="90">
        <v>0.0</v>
      </c>
      <c r="BY867" s="90" t="str">
        <f t="array" ref="BY867">XLOOKUP(C867,'PL TOTAL D0'!$A$3:$A$1991,'PL TOTAL D0'!$C$3:$C$1991,"")</f>
        <v/>
      </c>
    </row>
    <row r="868" ht="15.75" customHeight="1">
      <c r="A868" s="50" t="s">
        <v>24</v>
      </c>
      <c r="B868" s="50" t="s">
        <v>6486</v>
      </c>
      <c r="C868" s="94" t="s">
        <v>8646</v>
      </c>
      <c r="D868" s="81" t="s">
        <v>120</v>
      </c>
      <c r="E868" s="95" t="s">
        <v>54</v>
      </c>
      <c r="F868" s="81" t="s">
        <v>348</v>
      </c>
      <c r="G868" s="47" t="str">
        <f t="shared" si="37"/>
        <v>David</v>
      </c>
      <c r="H868" s="49" t="s">
        <v>224</v>
      </c>
      <c r="I868" s="49" t="s">
        <v>66</v>
      </c>
      <c r="J868" s="47" t="str">
        <f t="shared" si="35"/>
        <v>Não</v>
      </c>
      <c r="K868" s="97">
        <v>44957.0</v>
      </c>
      <c r="L868" s="55">
        <v>45922.0</v>
      </c>
      <c r="M868" s="62" t="s">
        <v>61</v>
      </c>
      <c r="N868" s="98">
        <v>0.01</v>
      </c>
      <c r="O868" s="47" t="s">
        <v>66</v>
      </c>
      <c r="P868" s="99">
        <v>0.0</v>
      </c>
      <c r="Q868" s="58"/>
      <c r="R868" s="58" t="s">
        <v>610</v>
      </c>
      <c r="S868" s="62" t="s">
        <v>194</v>
      </c>
      <c r="T868" s="32" t="s">
        <v>6485</v>
      </c>
      <c r="U868" s="33" t="s">
        <v>268</v>
      </c>
      <c r="V868" s="33"/>
      <c r="W868" s="33" t="s">
        <v>268</v>
      </c>
      <c r="X868" s="23" t="s">
        <v>54</v>
      </c>
      <c r="Y868" s="49" t="str">
        <f t="shared" si="22"/>
        <v>Encerrado</v>
      </c>
      <c r="Z868" s="62"/>
      <c r="AA868" s="62"/>
      <c r="AB868" s="64" t="s">
        <v>269</v>
      </c>
      <c r="AC868" s="79"/>
      <c r="AD868" s="54">
        <v>44957.0</v>
      </c>
      <c r="AE868" s="77">
        <v>4.9075100006199E13</v>
      </c>
      <c r="AF868" s="79"/>
      <c r="AG868" s="79"/>
      <c r="AH868" s="79"/>
      <c r="AI868" s="65">
        <v>77520.32</v>
      </c>
      <c r="AJ868" s="65">
        <v>78310.67</v>
      </c>
      <c r="AK868" s="65">
        <v>79413.38</v>
      </c>
      <c r="AL868" s="65">
        <v>84128.08</v>
      </c>
      <c r="AM868" s="65">
        <v>80132.51</v>
      </c>
      <c r="AN868" s="65">
        <v>70966.44</v>
      </c>
      <c r="AO868" s="65">
        <v>71598.24</v>
      </c>
      <c r="AP868" s="65">
        <v>67173.2</v>
      </c>
      <c r="AQ868" s="65">
        <v>46567.55</v>
      </c>
      <c r="AR868" s="65">
        <v>86670.15</v>
      </c>
      <c r="AS868" s="65">
        <v>90825.27</v>
      </c>
      <c r="AT868" s="65">
        <v>75577.76</v>
      </c>
      <c r="AU868" s="65">
        <v>73095.18</v>
      </c>
      <c r="AV868" s="65">
        <v>56074.58</v>
      </c>
      <c r="AW868" s="65">
        <v>53505.91</v>
      </c>
      <c r="AX868" s="65">
        <v>50057.03</v>
      </c>
      <c r="AY868" s="65">
        <v>45394.28</v>
      </c>
      <c r="AZ868" s="65">
        <v>35310.38</v>
      </c>
      <c r="BA868" s="65">
        <v>35609.63</v>
      </c>
      <c r="BB868" s="65">
        <v>55024.88</v>
      </c>
      <c r="BC868" s="65">
        <v>40156.18</v>
      </c>
      <c r="BD868" s="65">
        <v>35150.9</v>
      </c>
      <c r="BE868" s="65">
        <v>35327.14</v>
      </c>
      <c r="BF868" s="65">
        <v>35570.89</v>
      </c>
      <c r="BG868" s="65">
        <v>32891.78</v>
      </c>
      <c r="BH868" s="65">
        <v>31155.01</v>
      </c>
      <c r="BI868" s="65">
        <v>21754.2</v>
      </c>
      <c r="BJ868" s="65">
        <v>13249.78</v>
      </c>
      <c r="BK868" s="65">
        <v>13349.13</v>
      </c>
      <c r="BL868" s="65">
        <v>0.0</v>
      </c>
      <c r="BM868" s="65">
        <v>0.0</v>
      </c>
      <c r="BN868" s="65">
        <v>0.0</v>
      </c>
      <c r="BO868" s="65">
        <v>0.0</v>
      </c>
      <c r="BP868" s="65">
        <v>0.0</v>
      </c>
      <c r="BQ868" s="65">
        <v>0.0</v>
      </c>
      <c r="BR868" s="65">
        <v>0.0</v>
      </c>
      <c r="BS868" s="65">
        <v>0.0</v>
      </c>
      <c r="BT868" s="88">
        <v>0.0</v>
      </c>
      <c r="BU868" s="65">
        <v>0.0</v>
      </c>
      <c r="BV868" s="65">
        <v>0.0</v>
      </c>
      <c r="BW868" s="90">
        <v>0.0</v>
      </c>
      <c r="BX868" s="90">
        <v>0.0</v>
      </c>
      <c r="BY868" s="90" t="str">
        <f t="array" ref="BY868">XLOOKUP(C868,'PL TOTAL D0'!$A$3:$A$1991,'PL TOTAL D0'!$C$3:$C$1991,"")</f>
        <v/>
      </c>
    </row>
    <row r="869" ht="15.75" customHeight="1">
      <c r="A869" s="43" t="s">
        <v>24</v>
      </c>
      <c r="B869" s="43" t="s">
        <v>8647</v>
      </c>
      <c r="C869" s="94" t="s">
        <v>8648</v>
      </c>
      <c r="D869" s="30" t="s">
        <v>255</v>
      </c>
      <c r="E869" s="22" t="s">
        <v>199</v>
      </c>
      <c r="F869" s="30" t="s">
        <v>2328</v>
      </c>
      <c r="G869" s="47" t="str">
        <f t="shared" si="37"/>
        <v>David</v>
      </c>
      <c r="H869" s="49" t="s">
        <v>224</v>
      </c>
      <c r="I869" s="49" t="s">
        <v>66</v>
      </c>
      <c r="J869" s="23" t="s">
        <v>563</v>
      </c>
      <c r="K869" s="54">
        <v>45349.0</v>
      </c>
      <c r="L869" s="55">
        <v>45505.0</v>
      </c>
      <c r="M869" s="32" t="s">
        <v>716</v>
      </c>
      <c r="N869" s="56">
        <v>0.005</v>
      </c>
      <c r="O869" s="23" t="s">
        <v>66</v>
      </c>
      <c r="P869" s="57">
        <v>0.0</v>
      </c>
      <c r="Q869" s="58"/>
      <c r="R869" s="58" t="s">
        <v>610</v>
      </c>
      <c r="S869" s="32" t="s">
        <v>194</v>
      </c>
      <c r="T869" s="32" t="s">
        <v>8649</v>
      </c>
      <c r="U869" s="33" t="s">
        <v>268</v>
      </c>
      <c r="V869" s="33"/>
      <c r="W869" s="33" t="s">
        <v>268</v>
      </c>
      <c r="X869" s="23"/>
      <c r="Y869" s="49" t="str">
        <f t="shared" si="22"/>
        <v>Encerrado</v>
      </c>
      <c r="Z869" s="62"/>
      <c r="AA869" s="62"/>
      <c r="AB869" s="64"/>
      <c r="AC869" s="79"/>
      <c r="AD869" s="54">
        <v>45349.0</v>
      </c>
      <c r="AE869" s="77">
        <v>4.9075100013608E13</v>
      </c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65">
        <v>446964.19</v>
      </c>
      <c r="AW869" s="65">
        <v>450866.14</v>
      </c>
      <c r="AX869" s="65">
        <v>453991.84</v>
      </c>
      <c r="AY869" s="65">
        <v>457590.4</v>
      </c>
      <c r="AZ869" s="65">
        <v>460874.1</v>
      </c>
      <c r="BA869" s="65">
        <v>0.0</v>
      </c>
      <c r="BB869" s="65">
        <v>0.0</v>
      </c>
      <c r="BC869" s="65">
        <v>0.0</v>
      </c>
      <c r="BD869" s="65">
        <v>0.0</v>
      </c>
      <c r="BE869" s="65">
        <v>0.0</v>
      </c>
      <c r="BF869" s="65">
        <v>0.0</v>
      </c>
      <c r="BG869" s="65">
        <v>0.0</v>
      </c>
      <c r="BH869" s="65">
        <v>0.0</v>
      </c>
      <c r="BI869" s="65">
        <v>0.0</v>
      </c>
      <c r="BJ869" s="65">
        <v>0.0</v>
      </c>
      <c r="BK869" s="65">
        <v>0.0</v>
      </c>
      <c r="BL869" s="65">
        <v>0.0</v>
      </c>
      <c r="BM869" s="65">
        <v>0.0</v>
      </c>
      <c r="BN869" s="65">
        <v>0.0</v>
      </c>
      <c r="BO869" s="65">
        <v>0.0</v>
      </c>
      <c r="BP869" s="65">
        <v>0.0</v>
      </c>
      <c r="BQ869" s="65">
        <v>0.0</v>
      </c>
      <c r="BR869" s="65">
        <v>0.0</v>
      </c>
      <c r="BS869" s="65">
        <v>0.0</v>
      </c>
      <c r="BT869" s="88">
        <v>0.0</v>
      </c>
      <c r="BU869" s="65">
        <v>0.0</v>
      </c>
      <c r="BV869" s="65">
        <v>0.0</v>
      </c>
      <c r="BW869" s="90">
        <v>0.0</v>
      </c>
      <c r="BX869" s="90">
        <v>0.0</v>
      </c>
      <c r="BY869" s="90" t="str">
        <f t="array" ref="BY869">XLOOKUP(C869,'PL TOTAL D0'!$A$3:$A$1991,'PL TOTAL D0'!$C$3:$C$1991,"")</f>
        <v/>
      </c>
    </row>
    <row r="870" ht="15.0" customHeight="1">
      <c r="A870" s="50" t="s">
        <v>24</v>
      </c>
      <c r="B870" s="191" t="s">
        <v>8650</v>
      </c>
      <c r="C870" s="94" t="s">
        <v>8651</v>
      </c>
      <c r="D870" s="30" t="s">
        <v>89</v>
      </c>
      <c r="E870" s="95" t="s">
        <v>91</v>
      </c>
      <c r="F870" s="81" t="s">
        <v>193</v>
      </c>
      <c r="G870" s="47" t="str">
        <f t="shared" si="37"/>
        <v>David</v>
      </c>
      <c r="H870" s="49" t="s">
        <v>295</v>
      </c>
      <c r="I870" s="49" t="s">
        <v>382</v>
      </c>
      <c r="J870" s="47" t="str">
        <f t="shared" ref="J870:J986" si="38">IF(Q870=0,"Não","Sim")</f>
        <v>Sim</v>
      </c>
      <c r="K870" s="97">
        <v>45188.0</v>
      </c>
      <c r="L870" s="189"/>
      <c r="M870" s="62" t="s">
        <v>61</v>
      </c>
      <c r="N870" s="98">
        <v>0.012</v>
      </c>
      <c r="O870" s="47" t="s">
        <v>66</v>
      </c>
      <c r="P870" s="99">
        <v>0.0</v>
      </c>
      <c r="Q870" s="58" t="s">
        <v>8652</v>
      </c>
      <c r="R870" s="635"/>
      <c r="S870" s="62" t="s">
        <v>194</v>
      </c>
      <c r="T870" s="32" t="s">
        <v>8653</v>
      </c>
      <c r="U870" s="33">
        <v>5.543984063901E12</v>
      </c>
      <c r="V870" s="33" t="s">
        <v>8654</v>
      </c>
      <c r="W870" s="34">
        <v>29366.0</v>
      </c>
      <c r="X870" s="23" t="s">
        <v>221</v>
      </c>
      <c r="Y870" s="49" t="str">
        <f t="shared" si="22"/>
        <v>Ativo</v>
      </c>
      <c r="Z870" s="62"/>
      <c r="AA870" s="62"/>
      <c r="AB870" s="64" t="s">
        <v>269</v>
      </c>
      <c r="AC870" s="79"/>
      <c r="AD870" s="54">
        <v>45188.0</v>
      </c>
      <c r="AE870" s="77">
        <v>4.9075100011761E13</v>
      </c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65">
        <v>0.0</v>
      </c>
      <c r="AR870" s="65">
        <v>0.0</v>
      </c>
      <c r="AS870" s="65">
        <v>51205.92</v>
      </c>
      <c r="AT870" s="65">
        <v>55414.38</v>
      </c>
      <c r="AU870" s="65">
        <v>55914.48</v>
      </c>
      <c r="AV870" s="65">
        <v>56330.84</v>
      </c>
      <c r="AW870" s="65">
        <v>56802.0</v>
      </c>
      <c r="AX870" s="65">
        <v>58242.94</v>
      </c>
      <c r="AY870" s="65">
        <v>59719.43</v>
      </c>
      <c r="AZ870" s="65">
        <v>68125.42</v>
      </c>
      <c r="BA870" s="65">
        <v>123569.0</v>
      </c>
      <c r="BB870" s="65">
        <v>129444.74</v>
      </c>
      <c r="BC870" s="65">
        <v>133897.38</v>
      </c>
      <c r="BD870" s="65">
        <v>140163.72</v>
      </c>
      <c r="BE870" s="65">
        <v>145298.49</v>
      </c>
      <c r="BF870" s="65">
        <v>149979.5</v>
      </c>
      <c r="BG870" s="65">
        <v>147453.66</v>
      </c>
      <c r="BH870" s="65">
        <v>123607.59</v>
      </c>
      <c r="BI870" s="65">
        <v>111545.79</v>
      </c>
      <c r="BJ870" s="65">
        <v>90922.3</v>
      </c>
      <c r="BK870" s="65">
        <v>56281.39</v>
      </c>
      <c r="BL870" s="65">
        <v>39751.43</v>
      </c>
      <c r="BM870" s="65">
        <v>35512.11</v>
      </c>
      <c r="BN870" s="65">
        <v>35924.33</v>
      </c>
      <c r="BO870" s="65">
        <v>36345.75</v>
      </c>
      <c r="BP870" s="65">
        <v>36553.83</v>
      </c>
      <c r="BQ870" s="65">
        <v>1647.83</v>
      </c>
      <c r="BR870" s="65">
        <v>1635.77</v>
      </c>
      <c r="BS870" s="65">
        <v>0.0</v>
      </c>
      <c r="BT870" s="88">
        <v>0.07</v>
      </c>
      <c r="BU870" s="65">
        <v>0.07</v>
      </c>
      <c r="BV870" s="65">
        <v>0.07</v>
      </c>
      <c r="BW870" s="90">
        <v>0.07</v>
      </c>
      <c r="BX870" s="90">
        <v>0.07</v>
      </c>
      <c r="BY870" s="90" t="str">
        <f t="array" ref="BY870">XLOOKUP(C870,'PL TOTAL D0'!$A$3:$A$1991,'PL TOTAL D0'!$C$3:$C$1991,"")</f>
        <v/>
      </c>
    </row>
    <row r="871" ht="15.0" customHeight="1">
      <c r="A871" s="50" t="s">
        <v>24</v>
      </c>
      <c r="B871" s="368" t="s">
        <v>8650</v>
      </c>
      <c r="C871" s="94" t="s">
        <v>3231</v>
      </c>
      <c r="D871" s="30" t="s">
        <v>89</v>
      </c>
      <c r="E871" s="95" t="s">
        <v>91</v>
      </c>
      <c r="F871" s="81" t="s">
        <v>193</v>
      </c>
      <c r="G871" s="47" t="str">
        <f t="shared" si="37"/>
        <v>David</v>
      </c>
      <c r="H871" s="74" t="s">
        <v>183</v>
      </c>
      <c r="I871" s="74" t="s">
        <v>66</v>
      </c>
      <c r="J871" s="47" t="str">
        <f t="shared" si="38"/>
        <v>Sim</v>
      </c>
      <c r="K871" s="97">
        <v>45212.0</v>
      </c>
      <c r="L871" s="189"/>
      <c r="M871" s="62" t="s">
        <v>61</v>
      </c>
      <c r="N871" s="98">
        <v>0.012</v>
      </c>
      <c r="O871" s="47" t="s">
        <v>66</v>
      </c>
      <c r="P871" s="99">
        <v>0.0</v>
      </c>
      <c r="Q871" s="58" t="s">
        <v>8113</v>
      </c>
      <c r="R871" s="635"/>
      <c r="S871" s="62" t="s">
        <v>194</v>
      </c>
      <c r="T871" s="32" t="s">
        <v>8653</v>
      </c>
      <c r="U871" s="33">
        <v>5.543984063901E12</v>
      </c>
      <c r="V871" s="33" t="s">
        <v>8654</v>
      </c>
      <c r="W871" s="34">
        <v>29366.0</v>
      </c>
      <c r="X871" s="23" t="s">
        <v>221</v>
      </c>
      <c r="Y871" s="49" t="str">
        <f t="shared" si="22"/>
        <v>Ativo</v>
      </c>
      <c r="Z871" s="62"/>
      <c r="AA871" s="62"/>
      <c r="AB871" s="64" t="s">
        <v>269</v>
      </c>
      <c r="AC871" s="79"/>
      <c r="AD871" s="54">
        <v>45212.0</v>
      </c>
      <c r="AE871" s="77">
        <v>4.9075100012679E13</v>
      </c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65">
        <v>0.0</v>
      </c>
      <c r="AS871" s="65">
        <v>54117.31</v>
      </c>
      <c r="AT871" s="65">
        <v>54555.82</v>
      </c>
      <c r="AU871" s="65">
        <v>64099.99</v>
      </c>
      <c r="AV871" s="65">
        <v>143730.62</v>
      </c>
      <c r="AW871" s="65">
        <v>162158.77</v>
      </c>
      <c r="AX871" s="65">
        <v>173441.07</v>
      </c>
      <c r="AY871" s="65">
        <v>181127.2</v>
      </c>
      <c r="AZ871" s="65">
        <v>202441.3</v>
      </c>
      <c r="BA871" s="65">
        <v>206684.7</v>
      </c>
      <c r="BB871" s="65">
        <v>224889.24</v>
      </c>
      <c r="BC871" s="65">
        <v>230075.41</v>
      </c>
      <c r="BD871" s="65">
        <v>235140.43</v>
      </c>
      <c r="BE871" s="65">
        <v>236788.72</v>
      </c>
      <c r="BF871" s="65">
        <v>239313.77</v>
      </c>
      <c r="BG871" s="65">
        <v>245076.74</v>
      </c>
      <c r="BH871" s="65">
        <v>245576.5</v>
      </c>
      <c r="BI871" s="65">
        <v>258900.61</v>
      </c>
      <c r="BJ871" s="65">
        <v>264574.14</v>
      </c>
      <c r="BK871" s="65">
        <v>259193.44</v>
      </c>
      <c r="BL871" s="65">
        <v>244956.83</v>
      </c>
      <c r="BM871" s="65">
        <v>223550.67</v>
      </c>
      <c r="BN871" s="65">
        <v>213963.4</v>
      </c>
      <c r="BO871" s="65">
        <v>197819.66</v>
      </c>
      <c r="BP871" s="65">
        <v>122401.1</v>
      </c>
      <c r="BQ871" s="65">
        <v>163016.0</v>
      </c>
      <c r="BR871" s="65">
        <v>184936.3</v>
      </c>
      <c r="BS871" s="65">
        <v>124865.01</v>
      </c>
      <c r="BT871" s="88">
        <v>103026.4</v>
      </c>
      <c r="BU871" s="65">
        <v>125484.6</v>
      </c>
      <c r="BV871" s="65">
        <v>122390.6</v>
      </c>
      <c r="BW871" s="90">
        <v>105209.4</v>
      </c>
      <c r="BX871" s="90">
        <v>113750.63</v>
      </c>
      <c r="BY871" s="90">
        <f t="array" ref="BY871">XLOOKUP(C871,'PL TOTAL D0'!$A$3:$A$1991,'PL TOTAL D0'!$C$3:$C$1991,"")</f>
        <v>142808.39</v>
      </c>
    </row>
    <row r="872" ht="15.0" customHeight="1">
      <c r="A872" s="50" t="s">
        <v>24</v>
      </c>
      <c r="B872" s="167" t="s">
        <v>8655</v>
      </c>
      <c r="C872" s="53" t="s">
        <v>3539</v>
      </c>
      <c r="D872" s="30" t="s">
        <v>1257</v>
      </c>
      <c r="E872" s="22" t="s">
        <v>199</v>
      </c>
      <c r="F872" s="30" t="s">
        <v>1257</v>
      </c>
      <c r="G872" s="47" t="str">
        <f t="shared" si="37"/>
        <v>David</v>
      </c>
      <c r="H872" s="49" t="s">
        <v>183</v>
      </c>
      <c r="I872" s="49" t="s">
        <v>66</v>
      </c>
      <c r="J872" s="47" t="str">
        <f t="shared" si="38"/>
        <v>Não</v>
      </c>
      <c r="K872" s="54">
        <v>46160.0</v>
      </c>
      <c r="L872" s="189"/>
      <c r="M872" s="32" t="s">
        <v>1262</v>
      </c>
      <c r="N872" s="56">
        <v>0.0</v>
      </c>
      <c r="O872" s="23" t="s">
        <v>66</v>
      </c>
      <c r="P872" s="57">
        <v>0.0</v>
      </c>
      <c r="Q872" s="58"/>
      <c r="R872" s="635"/>
      <c r="S872" s="62" t="s">
        <v>194</v>
      </c>
      <c r="T872" s="32" t="s">
        <v>8656</v>
      </c>
      <c r="U872" s="33" t="s">
        <v>8657</v>
      </c>
      <c r="V872" s="33" t="s">
        <v>8658</v>
      </c>
      <c r="W872" s="34">
        <v>30662.0</v>
      </c>
      <c r="X872" s="23" t="s">
        <v>475</v>
      </c>
      <c r="Y872" s="49" t="str">
        <f t="shared" si="22"/>
        <v>Ativo</v>
      </c>
      <c r="Z872" s="62"/>
      <c r="AA872" s="32" t="s">
        <v>47</v>
      </c>
      <c r="AB872" s="64"/>
      <c r="AC872" s="79"/>
      <c r="AD872" s="54">
        <v>46203.0</v>
      </c>
      <c r="AE872" s="77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65"/>
      <c r="AS872" s="65"/>
      <c r="AT872" s="65"/>
      <c r="AU872" s="65"/>
      <c r="AV872" s="65"/>
      <c r="AW872" s="65"/>
      <c r="AX872" s="65"/>
      <c r="AY872" s="65"/>
      <c r="AZ872" s="65"/>
      <c r="BA872" s="65"/>
      <c r="BB872" s="65"/>
      <c r="BC872" s="65"/>
      <c r="BD872" s="65"/>
      <c r="BE872" s="65"/>
      <c r="BF872" s="65"/>
      <c r="BG872" s="65"/>
      <c r="BH872" s="65"/>
      <c r="BI872" s="65"/>
      <c r="BJ872" s="65"/>
      <c r="BK872" s="65"/>
      <c r="BL872" s="65"/>
      <c r="BM872" s="65"/>
      <c r="BN872" s="65"/>
      <c r="BO872" s="65"/>
      <c r="BP872" s="65"/>
      <c r="BQ872" s="65"/>
      <c r="BR872" s="65"/>
      <c r="BS872" s="65"/>
      <c r="BT872" s="88"/>
      <c r="BU872" s="65"/>
      <c r="BV872" s="65"/>
      <c r="BW872" s="90">
        <v>16319.22</v>
      </c>
      <c r="BX872" s="90">
        <v>15646.38</v>
      </c>
      <c r="BY872" s="90">
        <f t="array" ref="BY872">XLOOKUP(C872,'PL TOTAL D0'!$A$3:$A$1991,'PL TOTAL D0'!$C$3:$C$1991,"")</f>
        <v>15355.72</v>
      </c>
    </row>
    <row r="873" ht="15.0" customHeight="1">
      <c r="A873" s="50" t="s">
        <v>24</v>
      </c>
      <c r="B873" s="167" t="s">
        <v>8659</v>
      </c>
      <c r="C873" s="53" t="s">
        <v>2620</v>
      </c>
      <c r="D873" s="30" t="s">
        <v>1257</v>
      </c>
      <c r="E873" s="22" t="s">
        <v>199</v>
      </c>
      <c r="F873" s="30" t="s">
        <v>1257</v>
      </c>
      <c r="G873" s="47" t="str">
        <f t="shared" si="37"/>
        <v>David</v>
      </c>
      <c r="H873" s="49" t="s">
        <v>183</v>
      </c>
      <c r="I873" s="49" t="s">
        <v>66</v>
      </c>
      <c r="J873" s="47" t="str">
        <f t="shared" si="38"/>
        <v>Não</v>
      </c>
      <c r="K873" s="54">
        <v>46160.0</v>
      </c>
      <c r="L873" s="189"/>
      <c r="M873" s="32" t="s">
        <v>1262</v>
      </c>
      <c r="N873" s="56">
        <v>0.0</v>
      </c>
      <c r="O873" s="23" t="s">
        <v>66</v>
      </c>
      <c r="P873" s="57">
        <v>0.0</v>
      </c>
      <c r="Q873" s="58"/>
      <c r="R873" s="635"/>
      <c r="S873" s="62" t="s">
        <v>194</v>
      </c>
      <c r="T873" s="32" t="s">
        <v>8656</v>
      </c>
      <c r="U873" s="33" t="s">
        <v>8657</v>
      </c>
      <c r="V873" s="33" t="s">
        <v>8658</v>
      </c>
      <c r="W873" s="34">
        <v>30662.0</v>
      </c>
      <c r="X873" s="23" t="s">
        <v>475</v>
      </c>
      <c r="Y873" s="49" t="str">
        <f t="shared" si="22"/>
        <v>Ativo</v>
      </c>
      <c r="Z873" s="62"/>
      <c r="AA873" s="32" t="s">
        <v>47</v>
      </c>
      <c r="AB873" s="64"/>
      <c r="AC873" s="79"/>
      <c r="AD873" s="54">
        <v>46203.0</v>
      </c>
      <c r="AE873" s="77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65"/>
      <c r="AS873" s="65"/>
      <c r="AT873" s="65"/>
      <c r="AU873" s="65"/>
      <c r="AV873" s="65"/>
      <c r="AW873" s="65"/>
      <c r="AX873" s="65"/>
      <c r="AY873" s="65"/>
      <c r="AZ873" s="65"/>
      <c r="BA873" s="65"/>
      <c r="BB873" s="65"/>
      <c r="BC873" s="65"/>
      <c r="BD873" s="65"/>
      <c r="BE873" s="65"/>
      <c r="BF873" s="65"/>
      <c r="BG873" s="65"/>
      <c r="BH873" s="65"/>
      <c r="BI873" s="65"/>
      <c r="BJ873" s="65"/>
      <c r="BK873" s="65"/>
      <c r="BL873" s="65"/>
      <c r="BM873" s="65"/>
      <c r="BN873" s="65"/>
      <c r="BO873" s="65"/>
      <c r="BP873" s="65"/>
      <c r="BQ873" s="65"/>
      <c r="BR873" s="65"/>
      <c r="BS873" s="65"/>
      <c r="BT873" s="88"/>
      <c r="BU873" s="65"/>
      <c r="BV873" s="65"/>
      <c r="BW873" s="90">
        <v>1679735.0</v>
      </c>
      <c r="BX873" s="90">
        <v>1655993.97</v>
      </c>
      <c r="BY873" s="90">
        <f t="array" ref="BY873">XLOOKUP(C873,'PL TOTAL D0'!$A$3:$A$1991,'PL TOTAL D0'!$C$3:$C$1991,"")</f>
        <v>1656941.34</v>
      </c>
    </row>
    <row r="874" ht="15.0" customHeight="1">
      <c r="A874" s="50" t="s">
        <v>24</v>
      </c>
      <c r="B874" s="167" t="s">
        <v>1415</v>
      </c>
      <c r="C874" s="94" t="s">
        <v>2800</v>
      </c>
      <c r="D874" s="30" t="s">
        <v>53</v>
      </c>
      <c r="E874" s="22" t="s">
        <v>54</v>
      </c>
      <c r="F874" s="30" t="s">
        <v>608</v>
      </c>
      <c r="G874" s="47" t="str">
        <f t="shared" si="37"/>
        <v>David</v>
      </c>
      <c r="H874" s="49" t="s">
        <v>183</v>
      </c>
      <c r="I874" s="49" t="s">
        <v>66</v>
      </c>
      <c r="J874" s="47" t="str">
        <f t="shared" si="38"/>
        <v>Sim</v>
      </c>
      <c r="K874" s="54">
        <v>46105.0</v>
      </c>
      <c r="L874" s="189"/>
      <c r="M874" s="32" t="s">
        <v>34</v>
      </c>
      <c r="N874" s="56">
        <v>0.012</v>
      </c>
      <c r="O874" s="23" t="s">
        <v>35</v>
      </c>
      <c r="P874" s="57">
        <v>0.1</v>
      </c>
      <c r="Q874" s="58" t="s">
        <v>8660</v>
      </c>
      <c r="R874" s="635"/>
      <c r="S874" s="32" t="s">
        <v>194</v>
      </c>
      <c r="T874" s="32" t="s">
        <v>1418</v>
      </c>
      <c r="U874" s="33" t="s">
        <v>1419</v>
      </c>
      <c r="V874" s="33" t="s">
        <v>1420</v>
      </c>
      <c r="W874" s="34">
        <v>30662.0</v>
      </c>
      <c r="X874" s="23" t="s">
        <v>54</v>
      </c>
      <c r="Y874" s="49" t="str">
        <f t="shared" si="22"/>
        <v>Ativo</v>
      </c>
      <c r="Z874" s="62"/>
      <c r="AA874" s="32" t="s">
        <v>47</v>
      </c>
      <c r="AB874" s="64"/>
      <c r="AC874" s="79"/>
      <c r="AD874" s="54">
        <v>46203.0</v>
      </c>
      <c r="AE874" s="77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65"/>
      <c r="AS874" s="65"/>
      <c r="AT874" s="65"/>
      <c r="AU874" s="65"/>
      <c r="AV874" s="65"/>
      <c r="AW874" s="65"/>
      <c r="AX874" s="65"/>
      <c r="AY874" s="65"/>
      <c r="AZ874" s="65"/>
      <c r="BA874" s="65"/>
      <c r="BB874" s="65"/>
      <c r="BC874" s="65"/>
      <c r="BD874" s="65"/>
      <c r="BE874" s="65"/>
      <c r="BF874" s="65"/>
      <c r="BG874" s="65"/>
      <c r="BH874" s="65"/>
      <c r="BI874" s="65"/>
      <c r="BJ874" s="65"/>
      <c r="BK874" s="65"/>
      <c r="BL874" s="65"/>
      <c r="BM874" s="65"/>
      <c r="BN874" s="65"/>
      <c r="BO874" s="65"/>
      <c r="BP874" s="65"/>
      <c r="BQ874" s="65"/>
      <c r="BR874" s="65"/>
      <c r="BS874" s="65"/>
      <c r="BT874" s="88"/>
      <c r="BU874" s="65">
        <v>361737.2</v>
      </c>
      <c r="BV874" s="65">
        <v>667974.6</v>
      </c>
      <c r="BW874" s="90">
        <v>656815.5</v>
      </c>
      <c r="BX874" s="90">
        <v>666485.23</v>
      </c>
      <c r="BY874" s="90">
        <f t="array" ref="BY874">XLOOKUP(C874,'PL TOTAL D0'!$A$3:$A$1991,'PL TOTAL D0'!$C$3:$C$1991,"")</f>
        <v>673285.54</v>
      </c>
    </row>
    <row r="875" ht="15.75" customHeight="1">
      <c r="A875" s="43" t="s">
        <v>24</v>
      </c>
      <c r="B875" s="43" t="s">
        <v>8661</v>
      </c>
      <c r="C875" s="94" t="s">
        <v>8662</v>
      </c>
      <c r="D875" s="30" t="s">
        <v>120</v>
      </c>
      <c r="E875" s="22" t="s">
        <v>54</v>
      </c>
      <c r="F875" s="30" t="s">
        <v>1393</v>
      </c>
      <c r="G875" s="47" t="str">
        <f t="shared" si="37"/>
        <v>David</v>
      </c>
      <c r="H875" s="49" t="s">
        <v>295</v>
      </c>
      <c r="I875" s="49" t="s">
        <v>382</v>
      </c>
      <c r="J875" s="47" t="str">
        <f t="shared" si="38"/>
        <v>Não</v>
      </c>
      <c r="K875" s="54">
        <v>45356.0</v>
      </c>
      <c r="L875" s="189"/>
      <c r="M875" s="32" t="s">
        <v>61</v>
      </c>
      <c r="N875" s="56">
        <v>0.012</v>
      </c>
      <c r="O875" s="23" t="s">
        <v>66</v>
      </c>
      <c r="P875" s="57">
        <v>0.0</v>
      </c>
      <c r="Q875" s="58"/>
      <c r="R875" s="70"/>
      <c r="S875" s="32" t="s">
        <v>194</v>
      </c>
      <c r="T875" s="22" t="s">
        <v>8663</v>
      </c>
      <c r="U875" s="33">
        <v>5.562998076268E12</v>
      </c>
      <c r="V875" s="33" t="s">
        <v>8664</v>
      </c>
      <c r="W875" s="34">
        <v>34515.0</v>
      </c>
      <c r="X875" s="23" t="s">
        <v>618</v>
      </c>
      <c r="Y875" s="49" t="str">
        <f t="shared" si="22"/>
        <v>Inativo</v>
      </c>
      <c r="Z875" s="62"/>
      <c r="AA875" s="62"/>
      <c r="AB875" s="64" t="s">
        <v>269</v>
      </c>
      <c r="AC875" s="79"/>
      <c r="AD875" s="54">
        <v>45356.0</v>
      </c>
      <c r="AE875" s="77">
        <v>4.9075100013871E13</v>
      </c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65">
        <v>0.0</v>
      </c>
      <c r="AW875" s="65">
        <v>0.0</v>
      </c>
      <c r="AX875" s="65">
        <v>0.0</v>
      </c>
      <c r="AY875" s="65">
        <v>0.0</v>
      </c>
      <c r="AZ875" s="65">
        <v>0.0</v>
      </c>
      <c r="BA875" s="65">
        <v>0.0</v>
      </c>
      <c r="BB875" s="65">
        <v>0.0</v>
      </c>
      <c r="BC875" s="65">
        <v>0.0</v>
      </c>
      <c r="BD875" s="65">
        <v>0.0</v>
      </c>
      <c r="BE875" s="65">
        <v>0.0</v>
      </c>
      <c r="BF875" s="65">
        <v>0.0</v>
      </c>
      <c r="BG875" s="65">
        <v>0.0</v>
      </c>
      <c r="BH875" s="65">
        <v>0.0</v>
      </c>
      <c r="BI875" s="65">
        <v>0.0</v>
      </c>
      <c r="BJ875" s="65">
        <v>0.0</v>
      </c>
      <c r="BK875" s="65">
        <v>0.0</v>
      </c>
      <c r="BL875" s="65">
        <v>0.0</v>
      </c>
      <c r="BM875" s="65">
        <v>0.0</v>
      </c>
      <c r="BN875" s="65">
        <v>0.0</v>
      </c>
      <c r="BO875" s="65">
        <v>0.0</v>
      </c>
      <c r="BP875" s="65">
        <v>0.0</v>
      </c>
      <c r="BQ875" s="65">
        <v>0.0</v>
      </c>
      <c r="BR875" s="65">
        <v>0.0</v>
      </c>
      <c r="BS875" s="65">
        <v>0.0</v>
      </c>
      <c r="BT875" s="88">
        <v>0.0</v>
      </c>
      <c r="BU875" s="65">
        <v>0.0</v>
      </c>
      <c r="BV875" s="65">
        <v>0.0</v>
      </c>
      <c r="BW875" s="90">
        <v>0.0</v>
      </c>
      <c r="BX875" s="90">
        <v>0.0</v>
      </c>
      <c r="BY875" s="90" t="str">
        <f t="array" ref="BY875">XLOOKUP(C875,'PL TOTAL D0'!$A$3:$A$1991,'PL TOTAL D0'!$C$3:$C$1991,"")</f>
        <v/>
      </c>
    </row>
    <row r="876" ht="15.75" customHeight="1">
      <c r="A876" s="50" t="s">
        <v>24</v>
      </c>
      <c r="B876" s="50" t="s">
        <v>1286</v>
      </c>
      <c r="C876" s="94" t="s">
        <v>2543</v>
      </c>
      <c r="D876" s="30" t="s">
        <v>120</v>
      </c>
      <c r="E876" s="95" t="s">
        <v>91</v>
      </c>
      <c r="F876" s="81" t="s">
        <v>884</v>
      </c>
      <c r="G876" s="47" t="str">
        <f t="shared" si="37"/>
        <v>Marcus</v>
      </c>
      <c r="H876" s="49" t="s">
        <v>183</v>
      </c>
      <c r="I876" s="49" t="s">
        <v>66</v>
      </c>
      <c r="J876" s="47" t="str">
        <f t="shared" si="38"/>
        <v>Não</v>
      </c>
      <c r="K876" s="97">
        <v>45163.0</v>
      </c>
      <c r="L876" s="189"/>
      <c r="M876" s="62" t="s">
        <v>61</v>
      </c>
      <c r="N876" s="98">
        <v>0.007</v>
      </c>
      <c r="O876" s="47" t="s">
        <v>66</v>
      </c>
      <c r="P876" s="99">
        <v>0.0</v>
      </c>
      <c r="Q876" s="58"/>
      <c r="R876" s="70" t="s">
        <v>6109</v>
      </c>
      <c r="S876" s="62" t="s">
        <v>194</v>
      </c>
      <c r="T876" s="32" t="s">
        <v>1289</v>
      </c>
      <c r="U876" s="33">
        <v>5.514997029785E12</v>
      </c>
      <c r="V876" s="33" t="s">
        <v>888</v>
      </c>
      <c r="W876" s="34">
        <v>40315.0</v>
      </c>
      <c r="X876" s="23" t="s">
        <v>475</v>
      </c>
      <c r="Y876" s="49" t="str">
        <f t="shared" si="22"/>
        <v>Ativo</v>
      </c>
      <c r="Z876" s="62"/>
      <c r="AA876" s="62"/>
      <c r="AB876" s="64" t="s">
        <v>269</v>
      </c>
      <c r="AC876" s="79"/>
      <c r="AD876" s="54">
        <v>45163.0</v>
      </c>
      <c r="AE876" s="77">
        <v>4.9075100011753E13</v>
      </c>
      <c r="AF876" s="79"/>
      <c r="AG876" s="79"/>
      <c r="AH876" s="79"/>
      <c r="AI876" s="79"/>
      <c r="AJ876" s="79"/>
      <c r="AK876" s="79"/>
      <c r="AL876" s="65">
        <v>0.0</v>
      </c>
      <c r="AM876" s="65">
        <v>0.0</v>
      </c>
      <c r="AN876" s="65">
        <v>0.0</v>
      </c>
      <c r="AO876" s="65">
        <v>0.0</v>
      </c>
      <c r="AP876" s="65">
        <v>0.0</v>
      </c>
      <c r="AQ876" s="65">
        <v>0.0</v>
      </c>
      <c r="AR876" s="65">
        <v>0.0</v>
      </c>
      <c r="AS876" s="65">
        <v>0.0</v>
      </c>
      <c r="AT876" s="65">
        <v>0.0</v>
      </c>
      <c r="AU876" s="65">
        <v>0.0</v>
      </c>
      <c r="AV876" s="65">
        <v>0.0</v>
      </c>
      <c r="AW876" s="65">
        <v>0.0</v>
      </c>
      <c r="AX876" s="65">
        <v>0.0</v>
      </c>
      <c r="AY876" s="65">
        <v>0.0</v>
      </c>
      <c r="AZ876" s="65">
        <v>0.0</v>
      </c>
      <c r="BA876" s="65">
        <v>0.0</v>
      </c>
      <c r="BB876" s="65">
        <v>0.0</v>
      </c>
      <c r="BC876" s="65">
        <v>0.0</v>
      </c>
      <c r="BD876" s="65">
        <v>0.0</v>
      </c>
      <c r="BE876" s="65">
        <v>2067348.69</v>
      </c>
      <c r="BF876" s="65">
        <v>2168586.12</v>
      </c>
      <c r="BG876" s="65">
        <v>2189862.25</v>
      </c>
      <c r="BH876" s="65">
        <v>2203949.16</v>
      </c>
      <c r="BI876" s="65">
        <v>2241083.72</v>
      </c>
      <c r="BJ876" s="65">
        <v>2264183.22</v>
      </c>
      <c r="BK876" s="65">
        <v>2289267.21</v>
      </c>
      <c r="BL876" s="65">
        <v>2310130.1</v>
      </c>
      <c r="BM876" s="65">
        <v>2309693.46</v>
      </c>
      <c r="BN876" s="65">
        <v>2333744.0</v>
      </c>
      <c r="BO876" s="65">
        <v>2356842.96</v>
      </c>
      <c r="BP876" s="65">
        <v>2384501.0</v>
      </c>
      <c r="BQ876" s="65">
        <v>2406389.0</v>
      </c>
      <c r="BR876" s="65">
        <v>2429085.0</v>
      </c>
      <c r="BS876" s="65">
        <v>2456289.7</v>
      </c>
      <c r="BT876" s="88">
        <v>2469043.0</v>
      </c>
      <c r="BU876" s="65">
        <v>2491328.0</v>
      </c>
      <c r="BV876" s="65">
        <v>2520518.0</v>
      </c>
      <c r="BW876" s="90">
        <v>2549613.0</v>
      </c>
      <c r="BX876" s="90">
        <v>2574391.06</v>
      </c>
      <c r="BY876" s="90">
        <f t="array" ref="BY876">XLOOKUP(C876,'PL TOTAL D0'!$A$3:$A$1991,'PL TOTAL D0'!$C$3:$C$1991,"")</f>
        <v>2609046.92</v>
      </c>
    </row>
    <row r="877" ht="15.75" customHeight="1">
      <c r="A877" s="50" t="s">
        <v>24</v>
      </c>
      <c r="B877" s="50" t="s">
        <v>8665</v>
      </c>
      <c r="C877" s="94" t="s">
        <v>8666</v>
      </c>
      <c r="D877" s="30" t="s">
        <v>120</v>
      </c>
      <c r="E877" s="95" t="s">
        <v>199</v>
      </c>
      <c r="F877" s="81" t="s">
        <v>6373</v>
      </c>
      <c r="G877" s="47" t="str">
        <f t="shared" si="37"/>
        <v>David</v>
      </c>
      <c r="H877" s="49" t="s">
        <v>295</v>
      </c>
      <c r="I877" s="49" t="s">
        <v>447</v>
      </c>
      <c r="J877" s="47" t="str">
        <f t="shared" si="38"/>
        <v>Não</v>
      </c>
      <c r="K877" s="97">
        <v>46045.0</v>
      </c>
      <c r="L877" s="189"/>
      <c r="M877" s="62" t="s">
        <v>201</v>
      </c>
      <c r="N877" s="98">
        <v>0.0</v>
      </c>
      <c r="O877" s="47" t="s">
        <v>66</v>
      </c>
      <c r="P877" s="99">
        <v>0.0</v>
      </c>
      <c r="Q877" s="58"/>
      <c r="R877" s="70"/>
      <c r="S877" s="62" t="s">
        <v>194</v>
      </c>
      <c r="T877" s="32" t="s">
        <v>8667</v>
      </c>
      <c r="U877" s="33" t="s">
        <v>8668</v>
      </c>
      <c r="V877" s="33" t="s">
        <v>8669</v>
      </c>
      <c r="W877" s="34">
        <v>31086.0</v>
      </c>
      <c r="X877" s="23" t="s">
        <v>199</v>
      </c>
      <c r="Y877" s="49" t="str">
        <f t="shared" si="22"/>
        <v>Ativo</v>
      </c>
      <c r="Z877" s="62"/>
      <c r="AA877" s="62" t="s">
        <v>107</v>
      </c>
      <c r="AB877" s="64"/>
      <c r="AC877" s="79"/>
      <c r="AD877" s="54"/>
      <c r="AE877" s="77"/>
      <c r="AF877" s="79"/>
      <c r="AG877" s="79"/>
      <c r="AH877" s="79"/>
      <c r="AI877" s="79"/>
      <c r="AJ877" s="79"/>
      <c r="AK877" s="79"/>
      <c r="AL877" s="65"/>
      <c r="AM877" s="65"/>
      <c r="AN877" s="65"/>
      <c r="AO877" s="65"/>
      <c r="AP877" s="65"/>
      <c r="AQ877" s="65"/>
      <c r="AR877" s="65"/>
      <c r="AS877" s="65"/>
      <c r="AT877" s="65"/>
      <c r="AU877" s="65"/>
      <c r="AV877" s="65"/>
      <c r="AW877" s="65"/>
      <c r="AX877" s="65"/>
      <c r="AY877" s="65"/>
      <c r="AZ877" s="65"/>
      <c r="BA877" s="65"/>
      <c r="BB877" s="65"/>
      <c r="BC877" s="65"/>
      <c r="BD877" s="65"/>
      <c r="BE877" s="65"/>
      <c r="BF877" s="65"/>
      <c r="BG877" s="65"/>
      <c r="BH877" s="65"/>
      <c r="BI877" s="65"/>
      <c r="BJ877" s="65"/>
      <c r="BK877" s="65"/>
      <c r="BL877" s="65"/>
      <c r="BM877" s="65"/>
      <c r="BN877" s="65"/>
      <c r="BO877" s="65"/>
      <c r="BP877" s="65"/>
      <c r="BQ877" s="65"/>
      <c r="BR877" s="65"/>
      <c r="BS877" s="65">
        <v>0.0</v>
      </c>
      <c r="BT877" s="88">
        <v>0.0</v>
      </c>
      <c r="BU877" s="65">
        <v>0.0</v>
      </c>
      <c r="BV877" s="65">
        <v>0.0</v>
      </c>
      <c r="BW877" s="90">
        <v>0.0</v>
      </c>
      <c r="BX877" s="90">
        <v>0.0</v>
      </c>
      <c r="BY877" s="90" t="str">
        <f t="array" ref="BY877">XLOOKUP(C877,'PL TOTAL D0'!$A$3:$A$1991,'PL TOTAL D0'!$C$3:$C$1991,"")</f>
        <v/>
      </c>
    </row>
    <row r="878" ht="15.75" customHeight="1">
      <c r="A878" s="50" t="s">
        <v>24</v>
      </c>
      <c r="B878" s="50" t="s">
        <v>8670</v>
      </c>
      <c r="C878" s="94" t="s">
        <v>3223</v>
      </c>
      <c r="D878" s="81" t="s">
        <v>120</v>
      </c>
      <c r="E878" s="95" t="s">
        <v>199</v>
      </c>
      <c r="F878" s="81" t="s">
        <v>290</v>
      </c>
      <c r="G878" s="47" t="str">
        <f t="shared" si="37"/>
        <v>David</v>
      </c>
      <c r="H878" s="74" t="s">
        <v>183</v>
      </c>
      <c r="I878" s="74" t="s">
        <v>66</v>
      </c>
      <c r="J878" s="47" t="str">
        <f t="shared" si="38"/>
        <v>Não</v>
      </c>
      <c r="K878" s="97">
        <v>45162.0</v>
      </c>
      <c r="L878" s="189"/>
      <c r="M878" s="62" t="s">
        <v>61</v>
      </c>
      <c r="N878" s="98">
        <v>0.007</v>
      </c>
      <c r="O878" s="47" t="s">
        <v>66</v>
      </c>
      <c r="P878" s="99">
        <v>0.0</v>
      </c>
      <c r="Q878" s="58"/>
      <c r="R878" s="635"/>
      <c r="S878" s="62" t="s">
        <v>194</v>
      </c>
      <c r="T878" s="32" t="s">
        <v>8671</v>
      </c>
      <c r="U878" s="33">
        <v>6.2981588118E10</v>
      </c>
      <c r="V878" s="33" t="s">
        <v>8135</v>
      </c>
      <c r="W878" s="34">
        <v>32900.0</v>
      </c>
      <c r="X878" s="23" t="s">
        <v>54</v>
      </c>
      <c r="Y878" s="49" t="str">
        <f t="shared" si="22"/>
        <v>Ativo</v>
      </c>
      <c r="Z878" s="62"/>
      <c r="AA878" s="62"/>
      <c r="AB878" s="64" t="s">
        <v>269</v>
      </c>
      <c r="AC878" s="79"/>
      <c r="AD878" s="54">
        <v>45162.0</v>
      </c>
      <c r="AE878" s="77">
        <v>4.9075100003211E13</v>
      </c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65">
        <v>135422.27</v>
      </c>
      <c r="AQ878" s="65">
        <v>136497.06</v>
      </c>
      <c r="AR878" s="65">
        <v>137637.89</v>
      </c>
      <c r="AS878" s="65">
        <v>138604.86</v>
      </c>
      <c r="AT878" s="65">
        <v>139642.28</v>
      </c>
      <c r="AU878" s="65">
        <v>140837.2</v>
      </c>
      <c r="AV878" s="65">
        <v>141885.55</v>
      </c>
      <c r="AW878" s="65">
        <v>142733.52</v>
      </c>
      <c r="AX878" s="65">
        <v>143940.23</v>
      </c>
      <c r="AY878" s="65">
        <v>145046.4</v>
      </c>
      <c r="AZ878" s="65">
        <v>146173.6</v>
      </c>
      <c r="BA878" s="65">
        <v>147414.1</v>
      </c>
      <c r="BB878" s="65">
        <v>148114.06</v>
      </c>
      <c r="BC878" s="65">
        <v>149153.94</v>
      </c>
      <c r="BD878" s="65">
        <v>150607.13</v>
      </c>
      <c r="BE878" s="65">
        <v>151822.79</v>
      </c>
      <c r="BF878" s="65">
        <v>152981.58</v>
      </c>
      <c r="BG878" s="65">
        <v>154521.9</v>
      </c>
      <c r="BH878" s="65">
        <v>155929.38</v>
      </c>
      <c r="BI878" s="65">
        <v>157215.44</v>
      </c>
      <c r="BJ878" s="65">
        <v>158811.75</v>
      </c>
      <c r="BK878" s="65">
        <v>160437.74</v>
      </c>
      <c r="BL878" s="65">
        <v>194469.81</v>
      </c>
      <c r="BM878" s="65">
        <v>145076.6</v>
      </c>
      <c r="BN878" s="65">
        <v>146608.1</v>
      </c>
      <c r="BO878" s="65">
        <v>148027.12</v>
      </c>
      <c r="BP878" s="65">
        <v>144819.2</v>
      </c>
      <c r="BQ878" s="65">
        <v>146041.3</v>
      </c>
      <c r="BR878" s="65">
        <v>147476.9</v>
      </c>
      <c r="BS878" s="65">
        <v>145644.21</v>
      </c>
      <c r="BT878" s="88">
        <v>146660.8</v>
      </c>
      <c r="BU878" s="65">
        <v>141789.3</v>
      </c>
      <c r="BV878" s="65">
        <v>143492.3</v>
      </c>
      <c r="BW878" s="90">
        <v>145074.4</v>
      </c>
      <c r="BX878" s="90">
        <v>146188.78</v>
      </c>
      <c r="BY878" s="90">
        <f t="array" ref="BY878">XLOOKUP(C878,'PL TOTAL D0'!$A$3:$A$1991,'PL TOTAL D0'!$C$3:$C$1991,"")</f>
        <v>147893.06</v>
      </c>
    </row>
    <row r="879" ht="15.75" customHeight="1">
      <c r="A879" s="50" t="s">
        <v>24</v>
      </c>
      <c r="B879" s="43" t="s">
        <v>8672</v>
      </c>
      <c r="C879" s="94" t="s">
        <v>8673</v>
      </c>
      <c r="D879" s="30" t="s">
        <v>120</v>
      </c>
      <c r="E879" s="22" t="s">
        <v>54</v>
      </c>
      <c r="F879" s="30" t="s">
        <v>125</v>
      </c>
      <c r="G879" s="47" t="str">
        <f t="shared" si="37"/>
        <v>David</v>
      </c>
      <c r="H879" s="49" t="s">
        <v>224</v>
      </c>
      <c r="I879" s="49" t="s">
        <v>66</v>
      </c>
      <c r="J879" s="47" t="str">
        <f t="shared" si="38"/>
        <v>Não</v>
      </c>
      <c r="K879" s="54">
        <v>45520.0</v>
      </c>
      <c r="L879" s="186">
        <v>45796.0</v>
      </c>
      <c r="M879" s="32" t="s">
        <v>390</v>
      </c>
      <c r="N879" s="56">
        <v>0.0</v>
      </c>
      <c r="O879" s="23" t="s">
        <v>66</v>
      </c>
      <c r="P879" s="57">
        <v>0.0</v>
      </c>
      <c r="Q879" s="58"/>
      <c r="R879" s="635"/>
      <c r="S879" s="32" t="s">
        <v>194</v>
      </c>
      <c r="T879" s="32" t="s">
        <v>8674</v>
      </c>
      <c r="U879" s="33" t="s">
        <v>268</v>
      </c>
      <c r="V879" s="33"/>
      <c r="W879" s="33" t="s">
        <v>268</v>
      </c>
      <c r="X879" s="23" t="s">
        <v>54</v>
      </c>
      <c r="Y879" s="49" t="str">
        <f t="shared" si="22"/>
        <v>Encerrado</v>
      </c>
      <c r="Z879" s="32"/>
      <c r="AA879" s="32" t="s">
        <v>107</v>
      </c>
      <c r="AB879" s="64" t="s">
        <v>244</v>
      </c>
      <c r="AC879" s="79"/>
      <c r="AD879" s="54">
        <v>45520.0</v>
      </c>
      <c r="AE879" s="77">
        <v>4.9075100015619E13</v>
      </c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65"/>
      <c r="AW879" s="65"/>
      <c r="AX879" s="65"/>
      <c r="AY879" s="65"/>
      <c r="AZ879" s="65"/>
      <c r="BA879" s="65"/>
      <c r="BB879" s="65">
        <v>26591.13</v>
      </c>
      <c r="BC879" s="65">
        <v>27945.61</v>
      </c>
      <c r="BD879" s="65">
        <v>28708.95</v>
      </c>
      <c r="BE879" s="65">
        <v>29098.31</v>
      </c>
      <c r="BF879" s="65">
        <v>30063.6</v>
      </c>
      <c r="BG879" s="65">
        <v>31275.16</v>
      </c>
      <c r="BH879" s="65">
        <v>32080.41</v>
      </c>
      <c r="BI879" s="65">
        <v>33000.58</v>
      </c>
      <c r="BJ879" s="65">
        <v>33344.05</v>
      </c>
      <c r="BK879" s="65">
        <v>0.0</v>
      </c>
      <c r="BL879" s="65">
        <v>0.0</v>
      </c>
      <c r="BM879" s="65">
        <v>0.0</v>
      </c>
      <c r="BN879" s="65">
        <v>0.0</v>
      </c>
      <c r="BO879" s="65">
        <v>0.0</v>
      </c>
      <c r="BP879" s="65">
        <v>0.0</v>
      </c>
      <c r="BQ879" s="65">
        <v>0.0</v>
      </c>
      <c r="BR879" s="65">
        <v>0.0</v>
      </c>
      <c r="BS879" s="65">
        <v>0.0</v>
      </c>
      <c r="BT879" s="88">
        <v>0.0</v>
      </c>
      <c r="BU879" s="65">
        <v>0.0</v>
      </c>
      <c r="BV879" s="65">
        <v>0.0</v>
      </c>
      <c r="BW879" s="90">
        <v>0.0</v>
      </c>
      <c r="BX879" s="90">
        <v>0.0</v>
      </c>
      <c r="BY879" s="90" t="str">
        <f t="array" ref="BY879">XLOOKUP(C879,'PL TOTAL D0'!$A$3:$A$1991,'PL TOTAL D0'!$C$3:$C$1991,"")</f>
        <v/>
      </c>
    </row>
    <row r="880" ht="15.75" customHeight="1">
      <c r="A880" s="50" t="s">
        <v>24</v>
      </c>
      <c r="B880" s="50" t="s">
        <v>8675</v>
      </c>
      <c r="C880" s="94" t="s">
        <v>8676</v>
      </c>
      <c r="D880" s="81" t="s">
        <v>120</v>
      </c>
      <c r="E880" s="95" t="s">
        <v>54</v>
      </c>
      <c r="F880" s="81" t="s">
        <v>348</v>
      </c>
      <c r="G880" s="47" t="str">
        <f t="shared" si="37"/>
        <v>David</v>
      </c>
      <c r="H880" s="74" t="s">
        <v>224</v>
      </c>
      <c r="I880" s="74" t="s">
        <v>66</v>
      </c>
      <c r="J880" s="47" t="str">
        <f t="shared" si="38"/>
        <v>Não</v>
      </c>
      <c r="K880" s="97">
        <v>44966.0</v>
      </c>
      <c r="L880" s="194">
        <v>45119.0</v>
      </c>
      <c r="M880" s="62" t="s">
        <v>34</v>
      </c>
      <c r="N880" s="98">
        <v>0.012</v>
      </c>
      <c r="O880" s="47" t="s">
        <v>66</v>
      </c>
      <c r="P880" s="99">
        <v>0.0</v>
      </c>
      <c r="Q880" s="58"/>
      <c r="R880" s="635"/>
      <c r="S880" s="62" t="s">
        <v>194</v>
      </c>
      <c r="T880" s="265" t="s">
        <v>6500</v>
      </c>
      <c r="U880" s="33" t="s">
        <v>268</v>
      </c>
      <c r="V880" s="33"/>
      <c r="W880" s="33" t="s">
        <v>268</v>
      </c>
      <c r="X880" s="23" t="s">
        <v>54</v>
      </c>
      <c r="Y880" s="49" t="str">
        <f t="shared" si="22"/>
        <v>Encerrado</v>
      </c>
      <c r="Z880" s="62"/>
      <c r="AA880" s="62"/>
      <c r="AB880" s="64"/>
      <c r="AC880" s="79"/>
      <c r="AD880" s="54">
        <v>44966.0</v>
      </c>
      <c r="AE880" s="77"/>
      <c r="AF880" s="79"/>
      <c r="AG880" s="79"/>
      <c r="AH880" s="79"/>
      <c r="AI880" s="65">
        <v>0.0</v>
      </c>
      <c r="AJ880" s="65">
        <v>423818.64</v>
      </c>
      <c r="AK880" s="65">
        <v>428408.17</v>
      </c>
      <c r="AL880" s="65">
        <v>387469.55</v>
      </c>
      <c r="AM880" s="65">
        <v>384253.18</v>
      </c>
      <c r="AN880" s="65">
        <v>389699.92</v>
      </c>
      <c r="AO880" s="65">
        <v>0.0</v>
      </c>
      <c r="AP880" s="65">
        <v>0.0</v>
      </c>
      <c r="AQ880" s="65">
        <v>0.0</v>
      </c>
      <c r="AR880" s="65">
        <v>0.0</v>
      </c>
      <c r="AS880" s="65">
        <v>0.0</v>
      </c>
      <c r="AT880" s="65">
        <v>0.0</v>
      </c>
      <c r="AU880" s="65">
        <v>0.0</v>
      </c>
      <c r="AV880" s="65">
        <v>0.0</v>
      </c>
      <c r="AW880" s="65">
        <v>0.0</v>
      </c>
      <c r="AX880" s="65">
        <v>0.0</v>
      </c>
      <c r="AY880" s="65">
        <v>0.0</v>
      </c>
      <c r="AZ880" s="65">
        <v>0.0</v>
      </c>
      <c r="BA880" s="65">
        <v>0.0</v>
      </c>
      <c r="BB880" s="65">
        <v>0.0</v>
      </c>
      <c r="BC880" s="65">
        <v>0.0</v>
      </c>
      <c r="BD880" s="65">
        <v>0.0</v>
      </c>
      <c r="BE880" s="65">
        <v>0.0</v>
      </c>
      <c r="BF880" s="65">
        <v>0.0</v>
      </c>
      <c r="BG880" s="65">
        <v>0.0</v>
      </c>
      <c r="BH880" s="65">
        <v>0.0</v>
      </c>
      <c r="BI880" s="65">
        <v>0.0</v>
      </c>
      <c r="BJ880" s="65">
        <v>0.0</v>
      </c>
      <c r="BK880" s="65">
        <v>0.0</v>
      </c>
      <c r="BL880" s="65">
        <v>0.0</v>
      </c>
      <c r="BM880" s="65">
        <v>0.0</v>
      </c>
      <c r="BN880" s="65">
        <v>0.0</v>
      </c>
      <c r="BO880" s="65">
        <v>0.0</v>
      </c>
      <c r="BP880" s="65">
        <v>0.0</v>
      </c>
      <c r="BQ880" s="65">
        <v>0.0</v>
      </c>
      <c r="BR880" s="65">
        <v>0.0</v>
      </c>
      <c r="BS880" s="65">
        <v>0.0</v>
      </c>
      <c r="BT880" s="88">
        <v>0.0</v>
      </c>
      <c r="BU880" s="65">
        <v>0.0</v>
      </c>
      <c r="BV880" s="65">
        <v>0.0</v>
      </c>
      <c r="BW880" s="90">
        <v>0.0</v>
      </c>
      <c r="BX880" s="90">
        <v>0.0</v>
      </c>
      <c r="BY880" s="90" t="str">
        <f t="array" ref="BY880">XLOOKUP(C880,'PL TOTAL D0'!$A$3:$A$1991,'PL TOTAL D0'!$C$3:$C$1991,"")</f>
        <v/>
      </c>
    </row>
    <row r="881" ht="15.75" customHeight="1">
      <c r="A881" s="50" t="s">
        <v>24</v>
      </c>
      <c r="B881" s="50" t="s">
        <v>8677</v>
      </c>
      <c r="C881" s="94" t="s">
        <v>3398</v>
      </c>
      <c r="D881" s="81" t="s">
        <v>120</v>
      </c>
      <c r="E881" s="95" t="s">
        <v>54</v>
      </c>
      <c r="F881" s="81" t="s">
        <v>125</v>
      </c>
      <c r="G881" s="47" t="str">
        <f t="shared" si="37"/>
        <v>David</v>
      </c>
      <c r="H881" s="74" t="s">
        <v>183</v>
      </c>
      <c r="I881" s="74" t="s">
        <v>66</v>
      </c>
      <c r="J881" s="47" t="str">
        <f t="shared" si="38"/>
        <v>Não</v>
      </c>
      <c r="K881" s="97">
        <v>45058.0</v>
      </c>
      <c r="L881" s="62"/>
      <c r="M881" s="62" t="s">
        <v>61</v>
      </c>
      <c r="N881" s="98">
        <v>0.012</v>
      </c>
      <c r="O881" s="47" t="s">
        <v>66</v>
      </c>
      <c r="P881" s="99">
        <v>0.0</v>
      </c>
      <c r="Q881" s="58"/>
      <c r="R881" s="635"/>
      <c r="S881" s="62" t="s">
        <v>194</v>
      </c>
      <c r="T881" s="32" t="s">
        <v>8678</v>
      </c>
      <c r="U881" s="33">
        <v>5.562981430009E12</v>
      </c>
      <c r="V881" s="33" t="s">
        <v>8679</v>
      </c>
      <c r="W881" s="34">
        <v>31275.0</v>
      </c>
      <c r="X881" s="23" t="s">
        <v>54</v>
      </c>
      <c r="Y881" s="49" t="str">
        <f t="shared" si="22"/>
        <v>Ativo</v>
      </c>
      <c r="Z881" s="62"/>
      <c r="AA881" s="62"/>
      <c r="AB881" s="64" t="s">
        <v>269</v>
      </c>
      <c r="AC881" s="79"/>
      <c r="AD881" s="54">
        <v>45058.0</v>
      </c>
      <c r="AE881" s="77">
        <v>4.9075100008965E13</v>
      </c>
      <c r="AF881" s="79"/>
      <c r="AG881" s="79"/>
      <c r="AH881" s="79"/>
      <c r="AI881" s="79"/>
      <c r="AJ881" s="79"/>
      <c r="AK881" s="79"/>
      <c r="AL881" s="65">
        <v>0.0</v>
      </c>
      <c r="AM881" s="65">
        <v>100648.86</v>
      </c>
      <c r="AN881" s="65">
        <v>128229.47</v>
      </c>
      <c r="AO881" s="65">
        <v>134443.75</v>
      </c>
      <c r="AP881" s="65">
        <v>135795.54</v>
      </c>
      <c r="AQ881" s="65">
        <v>138609.77</v>
      </c>
      <c r="AR881" s="65">
        <v>240098.9</v>
      </c>
      <c r="AS881" s="65">
        <v>241952.08</v>
      </c>
      <c r="AT881" s="65">
        <v>256163.08</v>
      </c>
      <c r="AU881" s="65">
        <v>273358.25</v>
      </c>
      <c r="AV881" s="65">
        <v>275768.05</v>
      </c>
      <c r="AW881" s="65">
        <v>323405.42</v>
      </c>
      <c r="AX881" s="65">
        <v>326434.69</v>
      </c>
      <c r="AY881" s="65">
        <v>332681.5</v>
      </c>
      <c r="AZ881" s="65">
        <v>335267.6</v>
      </c>
      <c r="BA881" s="65">
        <v>338213.5</v>
      </c>
      <c r="BB881" s="65">
        <v>339974.39</v>
      </c>
      <c r="BC881" s="65">
        <v>342390.64</v>
      </c>
      <c r="BD881" s="65">
        <v>137530.89</v>
      </c>
      <c r="BE881" s="65">
        <v>238811.98</v>
      </c>
      <c r="BF881" s="65">
        <v>241065.05</v>
      </c>
      <c r="BG881" s="65">
        <v>248563.65</v>
      </c>
      <c r="BH881" s="65">
        <v>251092.08</v>
      </c>
      <c r="BI881" s="65">
        <v>253246.67</v>
      </c>
      <c r="BJ881" s="65">
        <v>256138.98</v>
      </c>
      <c r="BK881" s="65">
        <v>234416.93</v>
      </c>
      <c r="BL881" s="65">
        <v>236793.1</v>
      </c>
      <c r="BM881" s="65">
        <v>239393.59</v>
      </c>
      <c r="BN881" s="65">
        <v>241823.2</v>
      </c>
      <c r="BO881" s="65">
        <v>243813.04</v>
      </c>
      <c r="BP881" s="65">
        <v>245963.2</v>
      </c>
      <c r="BQ881" s="65">
        <v>238155.2</v>
      </c>
      <c r="BR881" s="65">
        <v>219885.6</v>
      </c>
      <c r="BS881" s="65">
        <v>201207.1</v>
      </c>
      <c r="BT881" s="88">
        <v>182662.7</v>
      </c>
      <c r="BU881" s="65">
        <v>159327.2</v>
      </c>
      <c r="BV881" s="65">
        <v>135523.2</v>
      </c>
      <c r="BW881" s="90">
        <v>104449.0</v>
      </c>
      <c r="BX881" s="90">
        <v>81365.59</v>
      </c>
      <c r="BY881" s="90">
        <f t="array" ref="BY881">XLOOKUP(C881,'PL TOTAL D0'!$A$3:$A$1991,'PL TOTAL D0'!$C$3:$C$1991,"")</f>
        <v>67257.83</v>
      </c>
    </row>
    <row r="882" ht="15.75" customHeight="1">
      <c r="A882" s="50" t="s">
        <v>24</v>
      </c>
      <c r="B882" s="50" t="s">
        <v>8677</v>
      </c>
      <c r="C882" s="94" t="s">
        <v>8680</v>
      </c>
      <c r="D882" s="81" t="s">
        <v>120</v>
      </c>
      <c r="E882" s="95" t="s">
        <v>54</v>
      </c>
      <c r="F882" s="81" t="s">
        <v>125</v>
      </c>
      <c r="G882" s="47" t="str">
        <f t="shared" si="37"/>
        <v>David</v>
      </c>
      <c r="H882" s="74" t="s">
        <v>183</v>
      </c>
      <c r="I882" s="74" t="s">
        <v>66</v>
      </c>
      <c r="J882" s="47" t="str">
        <f t="shared" si="38"/>
        <v>Não</v>
      </c>
      <c r="K882" s="97">
        <v>45092.0</v>
      </c>
      <c r="L882" s="62"/>
      <c r="M882" s="62" t="s">
        <v>61</v>
      </c>
      <c r="N882" s="98">
        <v>0.012</v>
      </c>
      <c r="O882" s="47" t="s">
        <v>66</v>
      </c>
      <c r="P882" s="99">
        <v>0.0</v>
      </c>
      <c r="Q882" s="58"/>
      <c r="R882" s="635"/>
      <c r="S882" s="62" t="s">
        <v>194</v>
      </c>
      <c r="T882" s="32" t="s">
        <v>8678</v>
      </c>
      <c r="U882" s="33">
        <v>5.562981430009E12</v>
      </c>
      <c r="V882" s="33" t="s">
        <v>8679</v>
      </c>
      <c r="W882" s="34">
        <v>31275.0</v>
      </c>
      <c r="X882" s="23" t="s">
        <v>54</v>
      </c>
      <c r="Y882" s="49" t="str">
        <f t="shared" si="22"/>
        <v>Ativo</v>
      </c>
      <c r="Z882" s="62"/>
      <c r="AA882" s="62"/>
      <c r="AB882" s="64" t="s">
        <v>269</v>
      </c>
      <c r="AC882" s="79"/>
      <c r="AD882" s="54">
        <v>45092.0</v>
      </c>
      <c r="AE882" s="77">
        <v>4.9075100008401E13</v>
      </c>
      <c r="AF882" s="79"/>
      <c r="AG882" s="79"/>
      <c r="AH882" s="79"/>
      <c r="AI882" s="79"/>
      <c r="AJ882" s="79"/>
      <c r="AK882" s="79"/>
      <c r="AL882" s="79"/>
      <c r="AM882" s="79"/>
      <c r="AN882" s="65">
        <v>28496.71</v>
      </c>
      <c r="AO882" s="65">
        <v>28441.96</v>
      </c>
      <c r="AP882" s="65">
        <v>28233.84</v>
      </c>
      <c r="AQ882" s="65">
        <v>26446.26</v>
      </c>
      <c r="AR882" s="65">
        <v>26423.82</v>
      </c>
      <c r="AS882" s="65">
        <v>26662.78</v>
      </c>
      <c r="AT882" s="65">
        <v>14483.77</v>
      </c>
      <c r="AU882" s="65">
        <v>14559.84</v>
      </c>
      <c r="AV882" s="65">
        <v>14628.68</v>
      </c>
      <c r="AW882" s="65">
        <v>14747.84</v>
      </c>
      <c r="AX882" s="65">
        <v>14871.88</v>
      </c>
      <c r="AY882" s="65">
        <v>14894.8</v>
      </c>
      <c r="AZ882" s="65">
        <v>14906.08</v>
      </c>
      <c r="BA882" s="65">
        <v>14998.15</v>
      </c>
      <c r="BB882" s="65">
        <v>15053.01</v>
      </c>
      <c r="BC882" s="65">
        <v>15114.97</v>
      </c>
      <c r="BD882" s="65">
        <v>15258.45</v>
      </c>
      <c r="BE882" s="65">
        <v>15369.19</v>
      </c>
      <c r="BF882" s="65">
        <v>15490.13</v>
      </c>
      <c r="BG882" s="65">
        <v>10596.19</v>
      </c>
      <c r="BH882" s="65">
        <v>10662.98</v>
      </c>
      <c r="BI882" s="65">
        <v>10775.34</v>
      </c>
      <c r="BJ882" s="65">
        <v>10824.88</v>
      </c>
      <c r="BK882" s="65">
        <v>3725.96</v>
      </c>
      <c r="BL882" s="65">
        <v>3747.09</v>
      </c>
      <c r="BM882" s="65">
        <v>3764.51</v>
      </c>
      <c r="BN882" s="65">
        <v>3627.46</v>
      </c>
      <c r="BO882" s="65">
        <v>3676.1</v>
      </c>
      <c r="BP882" s="65">
        <v>3667.18</v>
      </c>
      <c r="BQ882" s="65">
        <v>3676.51</v>
      </c>
      <c r="BR882" s="65">
        <v>3699.48</v>
      </c>
      <c r="BS882" s="65">
        <v>3695.27</v>
      </c>
      <c r="BT882" s="88">
        <v>3688.94</v>
      </c>
      <c r="BU882" s="65">
        <v>3703.61</v>
      </c>
      <c r="BV882" s="65">
        <v>3610.8</v>
      </c>
      <c r="BW882" s="90">
        <v>151.31</v>
      </c>
      <c r="BX882" s="90">
        <v>143.72</v>
      </c>
      <c r="BY882" s="90" t="str">
        <f t="array" ref="BY882">XLOOKUP(C882,'PL TOTAL D0'!$A$3:$A$1991,'PL TOTAL D0'!$C$3:$C$1991,"")</f>
        <v/>
      </c>
    </row>
    <row r="883" ht="15.75" customHeight="1">
      <c r="A883" s="50" t="s">
        <v>24</v>
      </c>
      <c r="B883" s="43" t="s">
        <v>8681</v>
      </c>
      <c r="C883" s="94" t="s">
        <v>8682</v>
      </c>
      <c r="D883" s="30" t="s">
        <v>120</v>
      </c>
      <c r="E883" s="22" t="s">
        <v>199</v>
      </c>
      <c r="F883" s="30" t="s">
        <v>290</v>
      </c>
      <c r="G883" s="47" t="str">
        <f t="shared" si="37"/>
        <v>David</v>
      </c>
      <c r="H883" s="49" t="s">
        <v>183</v>
      </c>
      <c r="I883" s="49" t="s">
        <v>66</v>
      </c>
      <c r="J883" s="47" t="str">
        <f t="shared" si="38"/>
        <v>Não</v>
      </c>
      <c r="K883" s="54">
        <v>45576.0</v>
      </c>
      <c r="L883" s="62"/>
      <c r="M883" s="32" t="s">
        <v>390</v>
      </c>
      <c r="N883" s="56">
        <v>0.0</v>
      </c>
      <c r="O883" s="23" t="s">
        <v>66</v>
      </c>
      <c r="P883" s="57">
        <v>0.0</v>
      </c>
      <c r="Q883" s="58"/>
      <c r="R883" s="635"/>
      <c r="S883" s="32" t="s">
        <v>194</v>
      </c>
      <c r="T883" s="32" t="s">
        <v>8683</v>
      </c>
      <c r="U883" s="33">
        <v>5.561981212666E12</v>
      </c>
      <c r="V883" s="33" t="s">
        <v>4882</v>
      </c>
      <c r="W883" s="34">
        <v>40683.0</v>
      </c>
      <c r="X883" s="23" t="s">
        <v>199</v>
      </c>
      <c r="Y883" s="49" t="str">
        <f t="shared" si="22"/>
        <v>Ativo</v>
      </c>
      <c r="Z883" s="62"/>
      <c r="AA883" s="32" t="s">
        <v>107</v>
      </c>
      <c r="AB883" s="64"/>
      <c r="AC883" s="79"/>
      <c r="AD883" s="54">
        <v>45576.0</v>
      </c>
      <c r="AE883" s="77">
        <v>4.9075100015899E13</v>
      </c>
      <c r="AF883" s="79"/>
      <c r="AG883" s="79"/>
      <c r="AH883" s="79"/>
      <c r="AI883" s="79"/>
      <c r="AJ883" s="79"/>
      <c r="AK883" s="79"/>
      <c r="AL883" s="79"/>
      <c r="AM883" s="79"/>
      <c r="AN883" s="65"/>
      <c r="AO883" s="65"/>
      <c r="AP883" s="65"/>
      <c r="AQ883" s="65"/>
      <c r="AR883" s="65"/>
      <c r="AS883" s="65"/>
      <c r="AT883" s="65"/>
      <c r="AU883" s="65"/>
      <c r="AV883" s="65"/>
      <c r="AW883" s="65"/>
      <c r="AX883" s="65"/>
      <c r="AY883" s="65"/>
      <c r="AZ883" s="65"/>
      <c r="BA883" s="65"/>
      <c r="BB883" s="65"/>
      <c r="BC883" s="65"/>
      <c r="BD883" s="65">
        <v>727.83</v>
      </c>
      <c r="BE883" s="65">
        <v>885.57</v>
      </c>
      <c r="BF883" s="65">
        <v>905.7</v>
      </c>
      <c r="BG883" s="65">
        <v>1210.29</v>
      </c>
      <c r="BH883" s="65">
        <v>1276.63</v>
      </c>
      <c r="BI883" s="65">
        <v>1254.08</v>
      </c>
      <c r="BJ883" s="65">
        <v>1324.68</v>
      </c>
      <c r="BK883" s="65">
        <v>1375.61</v>
      </c>
      <c r="BL883" s="65">
        <v>1369.96</v>
      </c>
      <c r="BM883" s="65">
        <v>1444.13</v>
      </c>
      <c r="BN883" s="65">
        <v>1410.64</v>
      </c>
      <c r="BO883" s="65">
        <v>1749.52</v>
      </c>
      <c r="BP883" s="65">
        <v>1769.27</v>
      </c>
      <c r="BQ883" s="65">
        <v>1705.22</v>
      </c>
      <c r="BR883" s="65">
        <v>2720.44</v>
      </c>
      <c r="BS883" s="65">
        <v>2691.42</v>
      </c>
      <c r="BT883" s="88">
        <v>2639.71</v>
      </c>
      <c r="BU883" s="65">
        <v>2670.49</v>
      </c>
      <c r="BV883" s="65">
        <v>2761.45</v>
      </c>
      <c r="BW883" s="90">
        <v>2751.65</v>
      </c>
      <c r="BX883" s="90">
        <v>2720.67</v>
      </c>
      <c r="BY883" s="90" t="str">
        <f t="array" ref="BY883">XLOOKUP(C883,'PL TOTAL D0'!$A$3:$A$1991,'PL TOTAL D0'!$C$3:$C$1991,"")</f>
        <v/>
      </c>
    </row>
    <row r="884" ht="15.75" customHeight="1">
      <c r="A884" s="50" t="s">
        <v>24</v>
      </c>
      <c r="B884" s="50" t="s">
        <v>8684</v>
      </c>
      <c r="C884" s="94" t="s">
        <v>8685</v>
      </c>
      <c r="D884" s="81" t="s">
        <v>120</v>
      </c>
      <c r="E884" s="95" t="s">
        <v>54</v>
      </c>
      <c r="F884" s="81" t="s">
        <v>2393</v>
      </c>
      <c r="G884" s="47" t="str">
        <f t="shared" si="37"/>
        <v>David</v>
      </c>
      <c r="H884" s="74" t="s">
        <v>295</v>
      </c>
      <c r="I884" s="74" t="s">
        <v>382</v>
      </c>
      <c r="J884" s="47" t="str">
        <f t="shared" si="38"/>
        <v>Não</v>
      </c>
      <c r="K884" s="97">
        <v>45166.0</v>
      </c>
      <c r="L884" s="189"/>
      <c r="M884" s="62" t="s">
        <v>209</v>
      </c>
      <c r="N884" s="98">
        <v>0.015</v>
      </c>
      <c r="O884" s="47" t="s">
        <v>35</v>
      </c>
      <c r="P884" s="99">
        <v>0.1</v>
      </c>
      <c r="Q884" s="58"/>
      <c r="R884" s="70"/>
      <c r="S884" s="62" t="s">
        <v>194</v>
      </c>
      <c r="T884" s="32" t="s">
        <v>8686</v>
      </c>
      <c r="U884" s="33">
        <v>5.565981283434E12</v>
      </c>
      <c r="V884" s="33" t="s">
        <v>8687</v>
      </c>
      <c r="W884" s="34">
        <v>34564.0</v>
      </c>
      <c r="X884" s="23" t="s">
        <v>1586</v>
      </c>
      <c r="Y884" s="49" t="str">
        <f t="shared" si="22"/>
        <v>Inativo</v>
      </c>
      <c r="Z884" s="62"/>
      <c r="AA884" s="62"/>
      <c r="AB884" s="64" t="s">
        <v>269</v>
      </c>
      <c r="AC884" s="79"/>
      <c r="AD884" s="54">
        <v>45166.0</v>
      </c>
      <c r="AE884" s="77">
        <v>4.9075100011771E13</v>
      </c>
      <c r="AF884" s="79"/>
      <c r="AG884" s="79"/>
      <c r="AH884" s="79"/>
      <c r="AI884" s="79"/>
      <c r="AJ884" s="65">
        <v>0.0</v>
      </c>
      <c r="AK884" s="65">
        <v>0.0</v>
      </c>
      <c r="AL884" s="65">
        <v>0.0</v>
      </c>
      <c r="AM884" s="65">
        <v>0.0</v>
      </c>
      <c r="AN884" s="65">
        <v>0.0</v>
      </c>
      <c r="AO884" s="65">
        <v>0.0</v>
      </c>
      <c r="AP884" s="65">
        <v>0.0</v>
      </c>
      <c r="AQ884" s="65">
        <v>0.0</v>
      </c>
      <c r="AR884" s="65">
        <v>0.0</v>
      </c>
      <c r="AS884" s="65">
        <v>0.0</v>
      </c>
      <c r="AT884" s="65">
        <v>0.0</v>
      </c>
      <c r="AU884" s="65">
        <v>0.0</v>
      </c>
      <c r="AV884" s="65">
        <v>0.0</v>
      </c>
      <c r="AW884" s="65">
        <v>0.0</v>
      </c>
      <c r="AX884" s="65">
        <v>0.0</v>
      </c>
      <c r="AY884" s="65">
        <v>0.0</v>
      </c>
      <c r="AZ884" s="65">
        <v>0.0</v>
      </c>
      <c r="BA884" s="65">
        <v>0.0</v>
      </c>
      <c r="BB884" s="65">
        <v>0.0</v>
      </c>
      <c r="BC884" s="65">
        <v>0.0</v>
      </c>
      <c r="BD884" s="65">
        <v>0.0</v>
      </c>
      <c r="BE884" s="65">
        <v>0.0</v>
      </c>
      <c r="BF884" s="65">
        <v>0.0</v>
      </c>
      <c r="BG884" s="65">
        <v>0.0</v>
      </c>
      <c r="BH884" s="65">
        <v>0.0</v>
      </c>
      <c r="BI884" s="65">
        <v>0.0</v>
      </c>
      <c r="BJ884" s="65">
        <v>0.0</v>
      </c>
      <c r="BK884" s="65">
        <v>0.0</v>
      </c>
      <c r="BL884" s="65">
        <v>0.0</v>
      </c>
      <c r="BM884" s="65">
        <v>0.0</v>
      </c>
      <c r="BN884" s="65">
        <v>0.0</v>
      </c>
      <c r="BO884" s="65">
        <v>0.0</v>
      </c>
      <c r="BP884" s="65">
        <v>0.0</v>
      </c>
      <c r="BQ884" s="65">
        <v>0.0</v>
      </c>
      <c r="BR884" s="65">
        <v>0.0</v>
      </c>
      <c r="BS884" s="65">
        <v>0.0</v>
      </c>
      <c r="BT884" s="88">
        <v>0.0</v>
      </c>
      <c r="BU884" s="65">
        <v>0.0</v>
      </c>
      <c r="BV884" s="65">
        <v>0.0</v>
      </c>
      <c r="BW884" s="90">
        <v>0.0</v>
      </c>
      <c r="BX884" s="90">
        <v>0.0</v>
      </c>
      <c r="BY884" s="90" t="str">
        <f t="array" ref="BY884">XLOOKUP(C884,'PL TOTAL D0'!$A$3:$A$1991,'PL TOTAL D0'!$C$3:$C$1991,"")</f>
        <v/>
      </c>
    </row>
    <row r="885" ht="15.75" customHeight="1">
      <c r="A885" s="50" t="s">
        <v>24</v>
      </c>
      <c r="B885" s="50" t="s">
        <v>8688</v>
      </c>
      <c r="C885" s="94" t="s">
        <v>8689</v>
      </c>
      <c r="D885" s="81" t="s">
        <v>120</v>
      </c>
      <c r="E885" s="95" t="s">
        <v>199</v>
      </c>
      <c r="F885" s="81" t="s">
        <v>212</v>
      </c>
      <c r="G885" s="47" t="str">
        <f t="shared" si="37"/>
        <v>David</v>
      </c>
      <c r="H885" s="49" t="s">
        <v>224</v>
      </c>
      <c r="I885" s="49" t="s">
        <v>66</v>
      </c>
      <c r="J885" s="47" t="str">
        <f t="shared" si="38"/>
        <v>Não</v>
      </c>
      <c r="K885" s="97">
        <v>45007.0</v>
      </c>
      <c r="L885" s="121">
        <v>45980.0</v>
      </c>
      <c r="M885" s="62" t="s">
        <v>61</v>
      </c>
      <c r="N885" s="98">
        <v>0.012</v>
      </c>
      <c r="O885" s="47" t="s">
        <v>66</v>
      </c>
      <c r="P885" s="99">
        <v>0.0</v>
      </c>
      <c r="Q885" s="58"/>
      <c r="R885" s="861" t="s">
        <v>8690</v>
      </c>
      <c r="S885" s="62" t="s">
        <v>194</v>
      </c>
      <c r="T885" s="32" t="s">
        <v>6506</v>
      </c>
      <c r="U885" s="33">
        <v>5.561992759276E12</v>
      </c>
      <c r="V885" s="33" t="s">
        <v>8691</v>
      </c>
      <c r="W885" s="34">
        <v>18351.0</v>
      </c>
      <c r="X885" s="23" t="s">
        <v>199</v>
      </c>
      <c r="Y885" s="49" t="str">
        <f t="shared" si="22"/>
        <v>Encerrado</v>
      </c>
      <c r="Z885" s="62"/>
      <c r="AA885" s="62"/>
      <c r="AB885" s="64" t="s">
        <v>269</v>
      </c>
      <c r="AC885" s="79"/>
      <c r="AD885" s="54">
        <v>45007.0</v>
      </c>
      <c r="AE885" s="77">
        <v>4.9075100004595E13</v>
      </c>
      <c r="AF885" s="79"/>
      <c r="AG885" s="79"/>
      <c r="AH885" s="79"/>
      <c r="AI885" s="79"/>
      <c r="AJ885" s="79"/>
      <c r="AK885" s="65">
        <v>336439.07</v>
      </c>
      <c r="AL885" s="65">
        <v>338334.87</v>
      </c>
      <c r="AM885" s="65">
        <v>341698.42</v>
      </c>
      <c r="AN885" s="65">
        <v>344838.06</v>
      </c>
      <c r="AO885" s="65">
        <v>347340.16</v>
      </c>
      <c r="AP885" s="65">
        <v>349927.23</v>
      </c>
      <c r="AQ885" s="65">
        <v>348939.08</v>
      </c>
      <c r="AR885" s="65">
        <v>351187.59</v>
      </c>
      <c r="AS885" s="65">
        <v>354202.22</v>
      </c>
      <c r="AT885" s="65">
        <v>357151.82</v>
      </c>
      <c r="AU885" s="65">
        <v>217220.42</v>
      </c>
      <c r="AV885" s="65">
        <v>191.05</v>
      </c>
      <c r="AW885" s="65">
        <v>73.59</v>
      </c>
      <c r="AX885" s="65">
        <v>93.87</v>
      </c>
      <c r="AY885" s="65">
        <v>93.87</v>
      </c>
      <c r="AZ885" s="65">
        <v>94.24</v>
      </c>
      <c r="BA885" s="65">
        <v>94.24</v>
      </c>
      <c r="BB885" s="65">
        <v>94.24</v>
      </c>
      <c r="BC885" s="65">
        <v>94.24</v>
      </c>
      <c r="BD885" s="65">
        <v>94.24</v>
      </c>
      <c r="BE885" s="65">
        <v>94.24</v>
      </c>
      <c r="BF885" s="65">
        <v>94.24</v>
      </c>
      <c r="BG885" s="65">
        <v>94.24</v>
      </c>
      <c r="BH885" s="65">
        <v>94.24</v>
      </c>
      <c r="BI885" s="65">
        <v>94.24</v>
      </c>
      <c r="BJ885" s="65">
        <v>0.0</v>
      </c>
      <c r="BK885" s="65">
        <v>0.0</v>
      </c>
      <c r="BL885" s="65">
        <v>0.0</v>
      </c>
      <c r="BM885" s="65">
        <v>0.0</v>
      </c>
      <c r="BN885" s="65">
        <v>0.0</v>
      </c>
      <c r="BO885" s="65">
        <v>0.0</v>
      </c>
      <c r="BP885" s="65">
        <v>0.0</v>
      </c>
      <c r="BQ885" s="65">
        <v>0.0</v>
      </c>
      <c r="BR885" s="65">
        <v>0.0</v>
      </c>
      <c r="BS885" s="65">
        <v>0.0</v>
      </c>
      <c r="BT885" s="88">
        <v>0.0</v>
      </c>
      <c r="BU885" s="65">
        <v>0.0</v>
      </c>
      <c r="BV885" s="65">
        <v>0.0</v>
      </c>
      <c r="BW885" s="90">
        <v>0.0</v>
      </c>
      <c r="BX885" s="90">
        <v>0.0</v>
      </c>
      <c r="BY885" s="90" t="str">
        <f t="array" ref="BY885">XLOOKUP(C885,'PL TOTAL D0'!$A$3:$A$1991,'PL TOTAL D0'!$C$3:$C$1991,"")</f>
        <v/>
      </c>
    </row>
    <row r="886" ht="15.75" customHeight="1">
      <c r="A886" s="50" t="s">
        <v>24</v>
      </c>
      <c r="B886" s="50" t="s">
        <v>8688</v>
      </c>
      <c r="C886" s="94" t="s">
        <v>8692</v>
      </c>
      <c r="D886" s="81" t="s">
        <v>120</v>
      </c>
      <c r="E886" s="95" t="s">
        <v>199</v>
      </c>
      <c r="F886" s="81" t="s">
        <v>212</v>
      </c>
      <c r="G886" s="47" t="str">
        <f t="shared" si="37"/>
        <v>David</v>
      </c>
      <c r="H886" s="49" t="s">
        <v>224</v>
      </c>
      <c r="I886" s="49" t="s">
        <v>66</v>
      </c>
      <c r="J886" s="47" t="str">
        <f t="shared" si="38"/>
        <v>Não</v>
      </c>
      <c r="K886" s="97">
        <v>45163.0</v>
      </c>
      <c r="L886" s="121">
        <v>45980.0</v>
      </c>
      <c r="M886" s="62" t="s">
        <v>231</v>
      </c>
      <c r="N886" s="98">
        <v>0.025</v>
      </c>
      <c r="O886" s="23" t="s">
        <v>233</v>
      </c>
      <c r="P886" s="99">
        <v>0.2</v>
      </c>
      <c r="Q886" s="58"/>
      <c r="R886" s="58"/>
      <c r="S886" s="62" t="s">
        <v>194</v>
      </c>
      <c r="T886" s="32" t="s">
        <v>6506</v>
      </c>
      <c r="U886" s="33">
        <v>5.561992759276E12</v>
      </c>
      <c r="V886" s="33" t="s">
        <v>8691</v>
      </c>
      <c r="W886" s="34">
        <v>18351.0</v>
      </c>
      <c r="X886" s="23" t="s">
        <v>199</v>
      </c>
      <c r="Y886" s="49" t="str">
        <f t="shared" si="22"/>
        <v>Encerrado</v>
      </c>
      <c r="Z886" s="62"/>
      <c r="AA886" s="62"/>
      <c r="AB886" s="64" t="s">
        <v>269</v>
      </c>
      <c r="AC886" s="79"/>
      <c r="AD886" s="54">
        <v>45163.0</v>
      </c>
      <c r="AE886" s="77">
        <v>4.9075100011788E13</v>
      </c>
      <c r="AF886" s="79"/>
      <c r="AG886" s="79"/>
      <c r="AH886" s="79"/>
      <c r="AI886" s="79"/>
      <c r="AJ886" s="79"/>
      <c r="AK886" s="65">
        <v>0.0</v>
      </c>
      <c r="AL886" s="65">
        <v>0.0</v>
      </c>
      <c r="AM886" s="65">
        <v>0.0</v>
      </c>
      <c r="AN886" s="65">
        <v>0.0</v>
      </c>
      <c r="AO886" s="65">
        <v>0.0</v>
      </c>
      <c r="AP886" s="65">
        <v>0.0</v>
      </c>
      <c r="AQ886" s="65">
        <v>0.0</v>
      </c>
      <c r="AR886" s="65">
        <v>0.0</v>
      </c>
      <c r="AS886" s="65">
        <v>0.0</v>
      </c>
      <c r="AT886" s="65">
        <v>0.0</v>
      </c>
      <c r="AU886" s="65">
        <v>0.0</v>
      </c>
      <c r="AV886" s="65">
        <v>0.0</v>
      </c>
      <c r="AW886" s="65">
        <v>0.0</v>
      </c>
      <c r="AX886" s="65">
        <v>0.0</v>
      </c>
      <c r="AY886" s="65">
        <v>0.0</v>
      </c>
      <c r="AZ886" s="65">
        <v>0.0</v>
      </c>
      <c r="BA886" s="65">
        <v>0.0</v>
      </c>
      <c r="BB886" s="65">
        <v>0.0</v>
      </c>
      <c r="BC886" s="65">
        <v>0.0</v>
      </c>
      <c r="BD886" s="65">
        <v>0.0</v>
      </c>
      <c r="BE886" s="65">
        <v>0.0</v>
      </c>
      <c r="BF886" s="65">
        <v>0.0</v>
      </c>
      <c r="BG886" s="65">
        <v>0.0</v>
      </c>
      <c r="BH886" s="65">
        <v>0.0</v>
      </c>
      <c r="BI886" s="65">
        <v>0.0</v>
      </c>
      <c r="BJ886" s="65">
        <v>0.0</v>
      </c>
      <c r="BK886" s="65">
        <v>0.0</v>
      </c>
      <c r="BL886" s="65">
        <v>0.0</v>
      </c>
      <c r="BM886" s="65">
        <v>0.0</v>
      </c>
      <c r="BN886" s="65">
        <v>0.0</v>
      </c>
      <c r="BO886" s="65">
        <v>0.0</v>
      </c>
      <c r="BP886" s="65">
        <v>0.0</v>
      </c>
      <c r="BQ886" s="65">
        <v>0.0</v>
      </c>
      <c r="BR886" s="65">
        <v>0.0</v>
      </c>
      <c r="BS886" s="65">
        <v>0.0</v>
      </c>
      <c r="BT886" s="88">
        <v>0.0</v>
      </c>
      <c r="BU886" s="65">
        <v>0.0</v>
      </c>
      <c r="BV886" s="65">
        <v>0.0</v>
      </c>
      <c r="BW886" s="90">
        <v>0.0</v>
      </c>
      <c r="BX886" s="90">
        <v>0.0</v>
      </c>
      <c r="BY886" s="90" t="str">
        <f t="array" ref="BY886">XLOOKUP(C886,'PL TOTAL D0'!$A$3:$A$1991,'PL TOTAL D0'!$C$3:$C$1991,"")</f>
        <v/>
      </c>
    </row>
    <row r="887" ht="15.75" customHeight="1">
      <c r="A887" s="43" t="s">
        <v>24</v>
      </c>
      <c r="B887" s="43" t="s">
        <v>8693</v>
      </c>
      <c r="C887" s="94" t="s">
        <v>8694</v>
      </c>
      <c r="D887" s="30" t="s">
        <v>255</v>
      </c>
      <c r="E887" s="22" t="s">
        <v>199</v>
      </c>
      <c r="F887" s="30" t="s">
        <v>257</v>
      </c>
      <c r="G887" s="47" t="str">
        <f t="shared" si="37"/>
        <v>David</v>
      </c>
      <c r="H887" s="49" t="s">
        <v>224</v>
      </c>
      <c r="I887" s="49" t="s">
        <v>66</v>
      </c>
      <c r="J887" s="47" t="str">
        <f t="shared" si="38"/>
        <v>Não</v>
      </c>
      <c r="K887" s="54">
        <v>45089.0</v>
      </c>
      <c r="L887" s="186">
        <v>45495.0</v>
      </c>
      <c r="M887" s="32" t="s">
        <v>8695</v>
      </c>
      <c r="N887" s="56">
        <v>0.01</v>
      </c>
      <c r="O887" s="23" t="s">
        <v>35</v>
      </c>
      <c r="P887" s="57">
        <v>0.1</v>
      </c>
      <c r="Q887" s="58"/>
      <c r="R887" s="58" t="s">
        <v>8696</v>
      </c>
      <c r="S887" s="32" t="s">
        <v>194</v>
      </c>
      <c r="T887" s="32" t="s">
        <v>8697</v>
      </c>
      <c r="U887" s="33" t="s">
        <v>268</v>
      </c>
      <c r="V887" s="33"/>
      <c r="W887" s="33" t="s">
        <v>268</v>
      </c>
      <c r="X887" s="23"/>
      <c r="Y887" s="49" t="str">
        <f t="shared" si="22"/>
        <v>Encerrado</v>
      </c>
      <c r="Z887" s="62"/>
      <c r="AA887" s="62"/>
      <c r="AB887" s="64"/>
      <c r="AC887" s="79"/>
      <c r="AD887" s="54">
        <v>45089.0</v>
      </c>
      <c r="AE887" s="77">
        <v>4.9075100013616E13</v>
      </c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65">
        <v>1864495.37</v>
      </c>
      <c r="AV887" s="65">
        <v>1871711.17</v>
      </c>
      <c r="AW887" s="65">
        <v>1890115.85</v>
      </c>
      <c r="AX887" s="65">
        <v>1894486.54</v>
      </c>
      <c r="AY887" s="65">
        <v>1903769.0</v>
      </c>
      <c r="AZ887" s="65">
        <v>1917923.0</v>
      </c>
      <c r="BA887" s="65">
        <v>0.0</v>
      </c>
      <c r="BB887" s="65">
        <v>0.0</v>
      </c>
      <c r="BC887" s="65">
        <v>0.0</v>
      </c>
      <c r="BD887" s="65">
        <v>0.0</v>
      </c>
      <c r="BE887" s="65">
        <v>0.0</v>
      </c>
      <c r="BF887" s="65">
        <v>0.0</v>
      </c>
      <c r="BG887" s="65">
        <v>0.0</v>
      </c>
      <c r="BH887" s="65">
        <v>0.0</v>
      </c>
      <c r="BI887" s="65">
        <v>0.0</v>
      </c>
      <c r="BJ887" s="65">
        <v>0.0</v>
      </c>
      <c r="BK887" s="65">
        <v>0.0</v>
      </c>
      <c r="BL887" s="65">
        <v>0.0</v>
      </c>
      <c r="BM887" s="65">
        <v>0.0</v>
      </c>
      <c r="BN887" s="65">
        <v>0.0</v>
      </c>
      <c r="BO887" s="65">
        <v>0.0</v>
      </c>
      <c r="BP887" s="65">
        <v>0.0</v>
      </c>
      <c r="BQ887" s="65">
        <v>0.0</v>
      </c>
      <c r="BR887" s="65">
        <v>0.0</v>
      </c>
      <c r="BS887" s="65">
        <v>0.0</v>
      </c>
      <c r="BT887" s="88">
        <v>0.0</v>
      </c>
      <c r="BU887" s="65">
        <v>0.0</v>
      </c>
      <c r="BV887" s="65">
        <v>0.0</v>
      </c>
      <c r="BW887" s="90">
        <v>0.0</v>
      </c>
      <c r="BX887" s="90">
        <v>0.0</v>
      </c>
      <c r="BY887" s="90" t="str">
        <f t="array" ref="BY887">XLOOKUP(C887,'PL TOTAL D0'!$A$3:$A$1991,'PL TOTAL D0'!$C$3:$C$1991,"")</f>
        <v/>
      </c>
    </row>
    <row r="888" ht="15.75" customHeight="1">
      <c r="A888" s="43" t="s">
        <v>24</v>
      </c>
      <c r="B888" s="43" t="s">
        <v>8698</v>
      </c>
      <c r="C888" s="53" t="s">
        <v>8699</v>
      </c>
      <c r="D888" s="30" t="s">
        <v>142</v>
      </c>
      <c r="E888" s="22" t="s">
        <v>54</v>
      </c>
      <c r="F888" s="30" t="s">
        <v>158</v>
      </c>
      <c r="G888" s="47" t="str">
        <f t="shared" si="37"/>
        <v>David</v>
      </c>
      <c r="H888" s="49" t="s">
        <v>335</v>
      </c>
      <c r="I888" s="49" t="s">
        <v>66</v>
      </c>
      <c r="J888" s="47" t="str">
        <f t="shared" si="38"/>
        <v>Não</v>
      </c>
      <c r="K888" s="54">
        <v>46205.0</v>
      </c>
      <c r="L888" s="186"/>
      <c r="M888" s="32" t="s">
        <v>61</v>
      </c>
      <c r="N888" s="56">
        <v>0.012</v>
      </c>
      <c r="O888" s="23" t="s">
        <v>66</v>
      </c>
      <c r="P888" s="57">
        <v>0.0</v>
      </c>
      <c r="Q888" s="58"/>
      <c r="R888" s="58"/>
      <c r="S888" s="32" t="s">
        <v>194</v>
      </c>
      <c r="T888" s="32" t="s">
        <v>8700</v>
      </c>
      <c r="U888" s="33" t="s">
        <v>8701</v>
      </c>
      <c r="V888" s="33" t="s">
        <v>8702</v>
      </c>
      <c r="W888" s="48">
        <v>22634.0</v>
      </c>
      <c r="X888" s="23" t="s">
        <v>54</v>
      </c>
      <c r="Y888" s="49" t="str">
        <f t="shared" si="22"/>
        <v>Ativo</v>
      </c>
      <c r="Z888" s="62"/>
      <c r="AA888" s="32" t="s">
        <v>47</v>
      </c>
      <c r="AB888" s="64"/>
      <c r="AC888" s="79"/>
      <c r="AD888" s="54"/>
      <c r="AE888" s="77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65"/>
      <c r="AV888" s="65"/>
      <c r="AW888" s="65"/>
      <c r="AX888" s="65"/>
      <c r="AY888" s="65"/>
      <c r="AZ888" s="65"/>
      <c r="BA888" s="65"/>
      <c r="BB888" s="65"/>
      <c r="BC888" s="65"/>
      <c r="BD888" s="65"/>
      <c r="BE888" s="65"/>
      <c r="BF888" s="65"/>
      <c r="BG888" s="65"/>
      <c r="BH888" s="65"/>
      <c r="BI888" s="65"/>
      <c r="BJ888" s="65"/>
      <c r="BK888" s="65"/>
      <c r="BL888" s="65"/>
      <c r="BM888" s="65"/>
      <c r="BN888" s="65"/>
      <c r="BO888" s="65"/>
      <c r="BP888" s="65"/>
      <c r="BQ888" s="65"/>
      <c r="BR888" s="65"/>
      <c r="BS888" s="65"/>
      <c r="BT888" s="88"/>
      <c r="BU888" s="65"/>
      <c r="BV888" s="65"/>
      <c r="BW888" s="90"/>
      <c r="BX888" s="90">
        <v>0.0</v>
      </c>
      <c r="BY888" s="90" t="str">
        <f t="array" ref="BY888">XLOOKUP(C888,'PL TOTAL D0'!$A$3:$A$1991,'PL TOTAL D0'!$C$3:$C$1991,"")</f>
        <v/>
      </c>
    </row>
    <row r="889" ht="15.75" customHeight="1">
      <c r="A889" s="43" t="s">
        <v>24</v>
      </c>
      <c r="B889" s="43" t="s">
        <v>8703</v>
      </c>
      <c r="C889" s="53" t="s">
        <v>3128</v>
      </c>
      <c r="D889" s="30" t="s">
        <v>120</v>
      </c>
      <c r="E889" s="22" t="s">
        <v>199</v>
      </c>
      <c r="F889" s="30" t="s">
        <v>8704</v>
      </c>
      <c r="G889" s="47" t="str">
        <f t="shared" si="37"/>
        <v>David</v>
      </c>
      <c r="H889" s="49" t="s">
        <v>183</v>
      </c>
      <c r="I889" s="49" t="s">
        <v>66</v>
      </c>
      <c r="J889" s="47" t="str">
        <f t="shared" si="38"/>
        <v>Não</v>
      </c>
      <c r="K889" s="54">
        <v>46220.0</v>
      </c>
      <c r="L889" s="186"/>
      <c r="M889" s="32" t="s">
        <v>1678</v>
      </c>
      <c r="N889" s="56">
        <v>0.015</v>
      </c>
      <c r="O889" s="23" t="s">
        <v>66</v>
      </c>
      <c r="P889" s="57">
        <v>0.0</v>
      </c>
      <c r="Q889" s="58"/>
      <c r="R889" s="58"/>
      <c r="S889" s="32" t="s">
        <v>194</v>
      </c>
      <c r="T889" s="32" t="s">
        <v>8705</v>
      </c>
      <c r="U889" s="33" t="s">
        <v>8706</v>
      </c>
      <c r="V889" s="33" t="s">
        <v>8707</v>
      </c>
      <c r="W889" s="48">
        <v>22873.0</v>
      </c>
      <c r="X889" s="23" t="s">
        <v>1507</v>
      </c>
      <c r="Y889" s="49" t="str">
        <f t="shared" si="22"/>
        <v>Ativo</v>
      </c>
      <c r="Z889" s="62"/>
      <c r="AA889" s="32" t="s">
        <v>47</v>
      </c>
      <c r="AB889" s="64"/>
      <c r="AC889" s="79"/>
      <c r="AD889" s="54"/>
      <c r="AE889" s="77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65"/>
      <c r="AV889" s="65"/>
      <c r="AW889" s="65"/>
      <c r="AX889" s="65"/>
      <c r="AY889" s="65"/>
      <c r="AZ889" s="65"/>
      <c r="BA889" s="65"/>
      <c r="BB889" s="65"/>
      <c r="BC889" s="65"/>
      <c r="BD889" s="65"/>
      <c r="BE889" s="65"/>
      <c r="BF889" s="65"/>
      <c r="BG889" s="65"/>
      <c r="BH889" s="65"/>
      <c r="BI889" s="65"/>
      <c r="BJ889" s="65"/>
      <c r="BK889" s="65"/>
      <c r="BL889" s="65"/>
      <c r="BM889" s="65"/>
      <c r="BN889" s="65"/>
      <c r="BO889" s="65"/>
      <c r="BP889" s="65"/>
      <c r="BQ889" s="65"/>
      <c r="BR889" s="65"/>
      <c r="BS889" s="65"/>
      <c r="BT889" s="88"/>
      <c r="BU889" s="65"/>
      <c r="BV889" s="65"/>
      <c r="BW889" s="90"/>
      <c r="BX889" s="90"/>
      <c r="BY889" s="90"/>
    </row>
    <row r="890" ht="15.75" customHeight="1">
      <c r="A890" s="43" t="s">
        <v>24</v>
      </c>
      <c r="B890" s="43" t="s">
        <v>8708</v>
      </c>
      <c r="C890" s="94" t="s">
        <v>2874</v>
      </c>
      <c r="D890" s="30" t="s">
        <v>142</v>
      </c>
      <c r="E890" s="22" t="s">
        <v>199</v>
      </c>
      <c r="F890" s="30" t="s">
        <v>158</v>
      </c>
      <c r="G890" s="47" t="str">
        <f t="shared" si="37"/>
        <v>David</v>
      </c>
      <c r="H890" s="49" t="s">
        <v>183</v>
      </c>
      <c r="I890" s="49" t="s">
        <v>66</v>
      </c>
      <c r="J890" s="47" t="str">
        <f t="shared" si="38"/>
        <v>Não</v>
      </c>
      <c r="K890" s="54">
        <v>46076.0</v>
      </c>
      <c r="L890" s="186"/>
      <c r="M890" s="32" t="s">
        <v>61</v>
      </c>
      <c r="N890" s="56">
        <v>0.012</v>
      </c>
      <c r="O890" s="23" t="s">
        <v>66</v>
      </c>
      <c r="P890" s="57">
        <v>0.0</v>
      </c>
      <c r="Q890" s="58"/>
      <c r="R890" s="58"/>
      <c r="S890" s="32" t="s">
        <v>194</v>
      </c>
      <c r="T890" s="32" t="s">
        <v>8709</v>
      </c>
      <c r="U890" s="33" t="s">
        <v>8710</v>
      </c>
      <c r="V890" s="33" t="s">
        <v>8711</v>
      </c>
      <c r="W890" s="33">
        <v>28064.0</v>
      </c>
      <c r="X890" s="23" t="s">
        <v>54</v>
      </c>
      <c r="Y890" s="49" t="str">
        <f t="shared" si="22"/>
        <v>Ativo</v>
      </c>
      <c r="Z890" s="62"/>
      <c r="AA890" s="62" t="s">
        <v>47</v>
      </c>
      <c r="AB890" s="64"/>
      <c r="AC890" s="79"/>
      <c r="AD890" s="54">
        <v>46203.0</v>
      </c>
      <c r="AE890" s="77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65"/>
      <c r="AV890" s="65"/>
      <c r="AW890" s="65"/>
      <c r="AX890" s="65"/>
      <c r="AY890" s="65"/>
      <c r="AZ890" s="65"/>
      <c r="BA890" s="65"/>
      <c r="BB890" s="65"/>
      <c r="BC890" s="65"/>
      <c r="BD890" s="65"/>
      <c r="BE890" s="65"/>
      <c r="BF890" s="65"/>
      <c r="BG890" s="65"/>
      <c r="BH890" s="65"/>
      <c r="BI890" s="65"/>
      <c r="BJ890" s="65"/>
      <c r="BK890" s="65"/>
      <c r="BL890" s="65"/>
      <c r="BM890" s="65"/>
      <c r="BN890" s="65"/>
      <c r="BO890" s="65"/>
      <c r="BP890" s="65"/>
      <c r="BQ890" s="65"/>
      <c r="BR890" s="65"/>
      <c r="BS890" s="65"/>
      <c r="BT890" s="88">
        <v>227561.3</v>
      </c>
      <c r="BU890" s="65">
        <v>328808.8</v>
      </c>
      <c r="BV890" s="65">
        <v>464306.5</v>
      </c>
      <c r="BW890" s="90">
        <v>470541.7</v>
      </c>
      <c r="BX890" s="90">
        <v>524517.12</v>
      </c>
      <c r="BY890" s="90">
        <f t="array" ref="BY890">XLOOKUP(C890,'PL TOTAL D0'!$A$3:$A$1991,'PL TOTAL D0'!$C$3:$C$1991,"")</f>
        <v>531402.64</v>
      </c>
    </row>
    <row r="891" ht="15.75" customHeight="1">
      <c r="A891" s="50" t="s">
        <v>24</v>
      </c>
      <c r="B891" s="50" t="s">
        <v>8712</v>
      </c>
      <c r="C891" s="94" t="s">
        <v>8713</v>
      </c>
      <c r="D891" s="81" t="s">
        <v>120</v>
      </c>
      <c r="E891" s="95" t="s">
        <v>199</v>
      </c>
      <c r="F891" s="81" t="s">
        <v>290</v>
      </c>
      <c r="G891" s="47" t="str">
        <f t="shared" si="37"/>
        <v>David</v>
      </c>
      <c r="H891" s="74" t="s">
        <v>224</v>
      </c>
      <c r="I891" s="49" t="s">
        <v>66</v>
      </c>
      <c r="J891" s="47" t="str">
        <f t="shared" si="38"/>
        <v>Não</v>
      </c>
      <c r="K891" s="97">
        <v>45029.0</v>
      </c>
      <c r="L891" s="121">
        <v>45250.0</v>
      </c>
      <c r="M891" s="62" t="s">
        <v>61</v>
      </c>
      <c r="N891" s="98">
        <v>0.01</v>
      </c>
      <c r="O891" s="47" t="s">
        <v>66</v>
      </c>
      <c r="P891" s="99">
        <v>0.0</v>
      </c>
      <c r="Q891" s="58"/>
      <c r="R891" s="635"/>
      <c r="S891" s="62" t="s">
        <v>194</v>
      </c>
      <c r="T891" s="32" t="s">
        <v>1306</v>
      </c>
      <c r="U891" s="33" t="s">
        <v>268</v>
      </c>
      <c r="V891" s="33"/>
      <c r="W891" s="33" t="s">
        <v>268</v>
      </c>
      <c r="X891" s="23" t="s">
        <v>622</v>
      </c>
      <c r="Y891" s="49" t="str">
        <f t="shared" si="22"/>
        <v>Encerrado</v>
      </c>
      <c r="Z891" s="62"/>
      <c r="AA891" s="62"/>
      <c r="AB891" s="64"/>
      <c r="AC891" s="79"/>
      <c r="AD891" s="54">
        <v>45029.0</v>
      </c>
      <c r="AE891" s="77"/>
      <c r="AF891" s="79"/>
      <c r="AG891" s="79"/>
      <c r="AH891" s="79"/>
      <c r="AI891" s="79"/>
      <c r="AJ891" s="65">
        <v>0.0</v>
      </c>
      <c r="AK891" s="65">
        <v>0.0</v>
      </c>
      <c r="AL891" s="65">
        <v>5431.76</v>
      </c>
      <c r="AM891" s="65">
        <v>0.0</v>
      </c>
      <c r="AN891" s="65">
        <v>0.0</v>
      </c>
      <c r="AO891" s="65">
        <v>0.0</v>
      </c>
      <c r="AP891" s="65">
        <v>0.0</v>
      </c>
      <c r="AQ891" s="65">
        <v>0.0</v>
      </c>
      <c r="AR891" s="65">
        <v>0.0</v>
      </c>
      <c r="AS891" s="65">
        <v>0.0</v>
      </c>
      <c r="AT891" s="65">
        <v>0.0</v>
      </c>
      <c r="AU891" s="65">
        <v>0.0</v>
      </c>
      <c r="AV891" s="65">
        <v>0.0</v>
      </c>
      <c r="AW891" s="65">
        <v>0.0</v>
      </c>
      <c r="AX891" s="65">
        <v>0.0</v>
      </c>
      <c r="AY891" s="65">
        <v>0.0</v>
      </c>
      <c r="AZ891" s="65">
        <v>0.0</v>
      </c>
      <c r="BA891" s="65">
        <v>0.0</v>
      </c>
      <c r="BB891" s="65">
        <v>0.0</v>
      </c>
      <c r="BC891" s="65">
        <v>0.0</v>
      </c>
      <c r="BD891" s="65">
        <v>0.0</v>
      </c>
      <c r="BE891" s="65">
        <v>0.0</v>
      </c>
      <c r="BF891" s="65">
        <v>0.0</v>
      </c>
      <c r="BG891" s="65">
        <v>0.0</v>
      </c>
      <c r="BH891" s="65">
        <v>0.0</v>
      </c>
      <c r="BI891" s="65">
        <v>0.0</v>
      </c>
      <c r="BJ891" s="65">
        <v>0.0</v>
      </c>
      <c r="BK891" s="65">
        <v>0.0</v>
      </c>
      <c r="BL891" s="65">
        <v>0.0</v>
      </c>
      <c r="BM891" s="65">
        <v>0.0</v>
      </c>
      <c r="BN891" s="65">
        <v>0.0</v>
      </c>
      <c r="BO891" s="65">
        <v>0.0</v>
      </c>
      <c r="BP891" s="65">
        <v>0.0</v>
      </c>
      <c r="BQ891" s="65">
        <v>0.0</v>
      </c>
      <c r="BR891" s="65">
        <v>0.0</v>
      </c>
      <c r="BS891" s="65">
        <v>0.0</v>
      </c>
      <c r="BT891" s="88">
        <v>0.0</v>
      </c>
      <c r="BU891" s="65">
        <v>0.0</v>
      </c>
      <c r="BV891" s="65">
        <v>0.0</v>
      </c>
      <c r="BW891" s="90">
        <v>0.0</v>
      </c>
      <c r="BX891" s="90">
        <v>0.0</v>
      </c>
      <c r="BY891" s="90" t="str">
        <f t="array" ref="BY891">XLOOKUP(C891,'PL TOTAL D0'!$A$3:$A$1991,'PL TOTAL D0'!$C$3:$C$1991,"")</f>
        <v/>
      </c>
    </row>
    <row r="892" ht="15.75" customHeight="1">
      <c r="A892" s="50" t="s">
        <v>24</v>
      </c>
      <c r="B892" s="50" t="s">
        <v>6553</v>
      </c>
      <c r="C892" s="94" t="s">
        <v>8714</v>
      </c>
      <c r="D892" s="81" t="s">
        <v>120</v>
      </c>
      <c r="E892" s="95" t="s">
        <v>54</v>
      </c>
      <c r="F892" s="81" t="s">
        <v>348</v>
      </c>
      <c r="G892" s="47" t="str">
        <f t="shared" si="37"/>
        <v>David</v>
      </c>
      <c r="H892" s="49" t="s">
        <v>224</v>
      </c>
      <c r="I892" s="49" t="s">
        <v>66</v>
      </c>
      <c r="J892" s="47" t="str">
        <f t="shared" si="38"/>
        <v>Não</v>
      </c>
      <c r="K892" s="97">
        <v>45005.0</v>
      </c>
      <c r="L892" s="121">
        <v>45945.0</v>
      </c>
      <c r="M892" s="62" t="s">
        <v>209</v>
      </c>
      <c r="N892" s="98">
        <v>0.015</v>
      </c>
      <c r="O892" s="47" t="s">
        <v>35</v>
      </c>
      <c r="P892" s="99">
        <v>0.1</v>
      </c>
      <c r="Q892" s="58"/>
      <c r="R892" s="635"/>
      <c r="S892" s="62" t="s">
        <v>194</v>
      </c>
      <c r="T892" s="32" t="s">
        <v>6552</v>
      </c>
      <c r="U892" s="33" t="s">
        <v>268</v>
      </c>
      <c r="V892" s="33"/>
      <c r="W892" s="33" t="s">
        <v>268</v>
      </c>
      <c r="X892" s="23" t="s">
        <v>54</v>
      </c>
      <c r="Y892" s="49" t="str">
        <f t="shared" si="22"/>
        <v>Encerrado</v>
      </c>
      <c r="Z892" s="62"/>
      <c r="AA892" s="62"/>
      <c r="AB892" s="64" t="s">
        <v>269</v>
      </c>
      <c r="AC892" s="79"/>
      <c r="AD892" s="54">
        <v>45005.0</v>
      </c>
      <c r="AE892" s="77">
        <v>4.9075100008264E13</v>
      </c>
      <c r="AF892" s="79"/>
      <c r="AG892" s="79"/>
      <c r="AH892" s="79"/>
      <c r="AI892" s="79"/>
      <c r="AJ892" s="79"/>
      <c r="AK892" s="65">
        <v>108824.42</v>
      </c>
      <c r="AL892" s="65">
        <v>47556.19</v>
      </c>
      <c r="AM892" s="65">
        <v>64503.79</v>
      </c>
      <c r="AN892" s="65">
        <v>66263.15</v>
      </c>
      <c r="AO892" s="65">
        <v>76565.75</v>
      </c>
      <c r="AP892" s="65">
        <v>89589.62</v>
      </c>
      <c r="AQ892" s="65">
        <v>103189.25</v>
      </c>
      <c r="AR892" s="65">
        <v>93072.73</v>
      </c>
      <c r="AS892" s="65">
        <v>389160.11</v>
      </c>
      <c r="AT892" s="65">
        <v>342594.29</v>
      </c>
      <c r="AU892" s="65">
        <v>342970.85</v>
      </c>
      <c r="AV892" s="65">
        <v>324593.25</v>
      </c>
      <c r="AW892" s="65">
        <v>246738.52</v>
      </c>
      <c r="AX892" s="65">
        <v>141034.35</v>
      </c>
      <c r="AY892" s="65">
        <v>35966.39</v>
      </c>
      <c r="AZ892" s="65">
        <v>36072.22</v>
      </c>
      <c r="BA892" s="65">
        <v>21213.19</v>
      </c>
      <c r="BB892" s="65">
        <v>13815.12</v>
      </c>
      <c r="BC892" s="65">
        <v>13853.9</v>
      </c>
      <c r="BD892" s="65">
        <v>13904.99</v>
      </c>
      <c r="BE892" s="65">
        <v>11399.53</v>
      </c>
      <c r="BF892" s="65">
        <v>36527.82</v>
      </c>
      <c r="BG892" s="65">
        <v>33780.94</v>
      </c>
      <c r="BH892" s="65">
        <v>27727.1</v>
      </c>
      <c r="BI892" s="65">
        <v>12695.94</v>
      </c>
      <c r="BJ892" s="65">
        <v>10701.92</v>
      </c>
      <c r="BK892" s="65">
        <v>10722.42</v>
      </c>
      <c r="BL892" s="65">
        <v>10741.69</v>
      </c>
      <c r="BM892" s="65">
        <v>0.0</v>
      </c>
      <c r="BN892" s="65">
        <v>0.0</v>
      </c>
      <c r="BO892" s="65">
        <v>0.0</v>
      </c>
      <c r="BP892" s="65">
        <v>0.0</v>
      </c>
      <c r="BQ892" s="65">
        <v>0.0</v>
      </c>
      <c r="BR892" s="65">
        <v>0.0</v>
      </c>
      <c r="BS892" s="65">
        <v>0.0</v>
      </c>
      <c r="BT892" s="88">
        <v>0.0</v>
      </c>
      <c r="BU892" s="65">
        <v>0.0</v>
      </c>
      <c r="BV892" s="65">
        <v>0.0</v>
      </c>
      <c r="BW892" s="90">
        <v>0.0</v>
      </c>
      <c r="BX892" s="90">
        <v>0.0</v>
      </c>
      <c r="BY892" s="90" t="str">
        <f t="array" ref="BY892">XLOOKUP(C892,'PL TOTAL D0'!$A$3:$A$1991,'PL TOTAL D0'!$C$3:$C$1991,"")</f>
        <v/>
      </c>
    </row>
    <row r="893" ht="15.75" customHeight="1">
      <c r="A893" s="50" t="s">
        <v>24</v>
      </c>
      <c r="B893" s="50" t="s">
        <v>1433</v>
      </c>
      <c r="C893" s="94" t="s">
        <v>3466</v>
      </c>
      <c r="D893" s="81" t="s">
        <v>120</v>
      </c>
      <c r="E893" s="95" t="s">
        <v>54</v>
      </c>
      <c r="F893" s="81" t="s">
        <v>125</v>
      </c>
      <c r="G893" s="47" t="str">
        <f t="shared" si="37"/>
        <v>David</v>
      </c>
      <c r="H893" s="49" t="s">
        <v>183</v>
      </c>
      <c r="I893" s="49" t="s">
        <v>66</v>
      </c>
      <c r="J893" s="47" t="str">
        <f t="shared" si="38"/>
        <v>Não</v>
      </c>
      <c r="K893" s="97">
        <v>45264.0</v>
      </c>
      <c r="L893" s="62"/>
      <c r="M893" s="27" t="s">
        <v>4551</v>
      </c>
      <c r="N893" s="29">
        <v>0.01</v>
      </c>
      <c r="O893" s="23" t="s">
        <v>66</v>
      </c>
      <c r="P893" s="31">
        <v>0.0</v>
      </c>
      <c r="Q893" s="58"/>
      <c r="R893" s="58" t="s">
        <v>711</v>
      </c>
      <c r="S893" s="62" t="s">
        <v>194</v>
      </c>
      <c r="T893" s="32" t="s">
        <v>1434</v>
      </c>
      <c r="U893" s="33">
        <v>5.562999184089E12</v>
      </c>
      <c r="V893" s="33" t="s">
        <v>1436</v>
      </c>
      <c r="W893" s="34">
        <v>33816.0</v>
      </c>
      <c r="X893" s="23" t="s">
        <v>54</v>
      </c>
      <c r="Y893" s="49" t="str">
        <f t="shared" si="22"/>
        <v>Ativo</v>
      </c>
      <c r="Z893" s="62"/>
      <c r="AA893" s="32" t="s">
        <v>47</v>
      </c>
      <c r="AB893" s="64" t="s">
        <v>269</v>
      </c>
      <c r="AC893" s="79"/>
      <c r="AD893" s="54">
        <v>45264.0</v>
      </c>
      <c r="AE893" s="77">
        <v>4.907510001302E13</v>
      </c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65">
        <v>0.0</v>
      </c>
      <c r="AT893" s="65">
        <v>50262.05</v>
      </c>
      <c r="AU893" s="65">
        <v>46968.64</v>
      </c>
      <c r="AV893" s="65">
        <v>47487.64</v>
      </c>
      <c r="AW893" s="65">
        <v>48297.43</v>
      </c>
      <c r="AX893" s="65">
        <v>46293.52</v>
      </c>
      <c r="AY893" s="65">
        <v>45353.05</v>
      </c>
      <c r="AZ893" s="65">
        <v>45254.54</v>
      </c>
      <c r="BA893" s="65">
        <v>46308.2</v>
      </c>
      <c r="BB893" s="65">
        <v>46833.16</v>
      </c>
      <c r="BC893" s="65">
        <v>46175.93</v>
      </c>
      <c r="BD893" s="65">
        <v>44775.83</v>
      </c>
      <c r="BE893" s="65">
        <v>43848.56</v>
      </c>
      <c r="BF893" s="65">
        <v>43272.62</v>
      </c>
      <c r="BG893" s="65">
        <v>43676.7</v>
      </c>
      <c r="BH893" s="65">
        <v>44061.7</v>
      </c>
      <c r="BI893" s="65">
        <v>43864.64</v>
      </c>
      <c r="BJ893" s="65">
        <v>46087.94</v>
      </c>
      <c r="BK893" s="65">
        <v>48259.43</v>
      </c>
      <c r="BL893" s="65">
        <v>48029.5</v>
      </c>
      <c r="BM893" s="65">
        <v>49885.4</v>
      </c>
      <c r="BN893" s="65">
        <v>48911.93</v>
      </c>
      <c r="BO893" s="65">
        <v>49940.93</v>
      </c>
      <c r="BP893" s="65">
        <v>49566.51</v>
      </c>
      <c r="BQ893" s="65">
        <v>46593.81</v>
      </c>
      <c r="BR893" s="65">
        <v>46467.06</v>
      </c>
      <c r="BS893" s="65">
        <v>45914.13</v>
      </c>
      <c r="BT893" s="88">
        <v>42709.62</v>
      </c>
      <c r="BU893" s="65">
        <v>44099.83</v>
      </c>
      <c r="BV893" s="65">
        <v>46249.25</v>
      </c>
      <c r="BW893" s="90">
        <v>44943.32</v>
      </c>
      <c r="BX893" s="90">
        <v>41656.16</v>
      </c>
      <c r="BY893" s="90">
        <f t="array" ref="BY893">XLOOKUP(C893,'PL TOTAL D0'!$A$3:$A$1991,'PL TOTAL D0'!$C$3:$C$1991,"")</f>
        <v>42828.06</v>
      </c>
    </row>
    <row r="894" ht="15.75" customHeight="1">
      <c r="A894" s="50" t="s">
        <v>24</v>
      </c>
      <c r="B894" s="50" t="s">
        <v>1433</v>
      </c>
      <c r="C894" s="94" t="s">
        <v>2635</v>
      </c>
      <c r="D894" s="81" t="s">
        <v>120</v>
      </c>
      <c r="E894" s="95" t="s">
        <v>54</v>
      </c>
      <c r="F894" s="81" t="s">
        <v>125</v>
      </c>
      <c r="G894" s="47" t="str">
        <f t="shared" si="37"/>
        <v>Marcus</v>
      </c>
      <c r="H894" s="74" t="s">
        <v>183</v>
      </c>
      <c r="I894" s="74" t="s">
        <v>66</v>
      </c>
      <c r="J894" s="47" t="str">
        <f t="shared" si="38"/>
        <v>Não</v>
      </c>
      <c r="K894" s="97">
        <v>45103.0</v>
      </c>
      <c r="L894" s="189"/>
      <c r="M894" s="62" t="s">
        <v>61</v>
      </c>
      <c r="N894" s="98">
        <v>0.012</v>
      </c>
      <c r="O894" s="47" t="s">
        <v>66</v>
      </c>
      <c r="P894" s="99">
        <v>0.0</v>
      </c>
      <c r="Q894" s="58"/>
      <c r="R894" s="635"/>
      <c r="S894" s="62" t="s">
        <v>194</v>
      </c>
      <c r="T894" s="32" t="s">
        <v>1434</v>
      </c>
      <c r="U894" s="33">
        <v>5.562999184089E12</v>
      </c>
      <c r="V894" s="33" t="s">
        <v>1436</v>
      </c>
      <c r="W894" s="34">
        <v>33816.0</v>
      </c>
      <c r="X894" s="23" t="s">
        <v>54</v>
      </c>
      <c r="Y894" s="49" t="str">
        <f t="shared" si="22"/>
        <v>Ativo</v>
      </c>
      <c r="Z894" s="62"/>
      <c r="AA894" s="62"/>
      <c r="AB894" s="64" t="s">
        <v>269</v>
      </c>
      <c r="AC894" s="79"/>
      <c r="AD894" s="54">
        <v>45103.0</v>
      </c>
      <c r="AE894" s="77">
        <v>4.9075100007357E13</v>
      </c>
      <c r="AF894" s="79"/>
      <c r="AG894" s="79"/>
      <c r="AH894" s="79"/>
      <c r="AI894" s="79"/>
      <c r="AJ894" s="79"/>
      <c r="AK894" s="79"/>
      <c r="AL894" s="79"/>
      <c r="AM894" s="79"/>
      <c r="AN894" s="65">
        <v>200323.08</v>
      </c>
      <c r="AO894" s="65">
        <v>202185.21</v>
      </c>
      <c r="AP894" s="65">
        <v>254401.12</v>
      </c>
      <c r="AQ894" s="65">
        <v>256470.23</v>
      </c>
      <c r="AR894" s="65">
        <v>258614.98</v>
      </c>
      <c r="AS894" s="65">
        <v>310396.68</v>
      </c>
      <c r="AT894" s="65">
        <v>312685.08</v>
      </c>
      <c r="AU894" s="65">
        <v>315303.3</v>
      </c>
      <c r="AV894" s="65">
        <v>342539.61</v>
      </c>
      <c r="AW894" s="65">
        <v>394597.36</v>
      </c>
      <c r="AX894" s="65">
        <v>396000.75</v>
      </c>
      <c r="AY894" s="65">
        <v>554884.7</v>
      </c>
      <c r="AZ894" s="65">
        <v>566615.4</v>
      </c>
      <c r="BA894" s="65">
        <v>571284.5</v>
      </c>
      <c r="BB894" s="65">
        <v>571108.5</v>
      </c>
      <c r="BC894" s="65">
        <v>574691.35</v>
      </c>
      <c r="BD894" s="65">
        <v>579845.1</v>
      </c>
      <c r="BE894" s="65">
        <v>584114.56</v>
      </c>
      <c r="BF894" s="65">
        <v>663552.99</v>
      </c>
      <c r="BG894" s="65">
        <v>670041.37</v>
      </c>
      <c r="BH894" s="65">
        <v>675792.07</v>
      </c>
      <c r="BI894" s="65">
        <v>681972.85</v>
      </c>
      <c r="BJ894" s="65">
        <v>687492.64</v>
      </c>
      <c r="BK894" s="65">
        <v>743948.81</v>
      </c>
      <c r="BL894" s="65">
        <v>750485.57</v>
      </c>
      <c r="BM894" s="65">
        <v>804183.08</v>
      </c>
      <c r="BN894" s="65">
        <v>1013177.0</v>
      </c>
      <c r="BO894" s="65">
        <v>1022940.6</v>
      </c>
      <c r="BP894" s="65">
        <v>1055365.0</v>
      </c>
      <c r="BQ894" s="65">
        <v>1102408.0</v>
      </c>
      <c r="BR894" s="65">
        <v>1261807.0</v>
      </c>
      <c r="BS894" s="65">
        <v>1276000.42</v>
      </c>
      <c r="BT894" s="88">
        <v>1304286.0</v>
      </c>
      <c r="BU894" s="65">
        <v>1340398.0</v>
      </c>
      <c r="BV894" s="65">
        <v>1395135.0</v>
      </c>
      <c r="BW894" s="90">
        <v>1408949.0</v>
      </c>
      <c r="BX894" s="90">
        <v>1522042.69</v>
      </c>
      <c r="BY894" s="90">
        <f t="array" ref="BY894">XLOOKUP(C894,'PL TOTAL D0'!$A$3:$A$1991,'PL TOTAL D0'!$C$3:$C$1991,"")</f>
        <v>1555560.84</v>
      </c>
    </row>
    <row r="895" ht="15.75" customHeight="1">
      <c r="A895" s="50" t="s">
        <v>24</v>
      </c>
      <c r="B895" s="43" t="s">
        <v>8715</v>
      </c>
      <c r="C895" s="94" t="s">
        <v>3540</v>
      </c>
      <c r="D895" s="30" t="s">
        <v>1257</v>
      </c>
      <c r="E895" s="22" t="s">
        <v>199</v>
      </c>
      <c r="F895" s="30" t="s">
        <v>1257</v>
      </c>
      <c r="G895" s="47" t="str">
        <f t="shared" si="37"/>
        <v>David</v>
      </c>
      <c r="H895" s="49" t="s">
        <v>183</v>
      </c>
      <c r="I895" s="49" t="s">
        <v>66</v>
      </c>
      <c r="J895" s="47" t="str">
        <f t="shared" si="38"/>
        <v>Não</v>
      </c>
      <c r="K895" s="54">
        <v>46139.0</v>
      </c>
      <c r="L895" s="32"/>
      <c r="M895" s="32" t="s">
        <v>1262</v>
      </c>
      <c r="N895" s="56"/>
      <c r="O895" s="23" t="s">
        <v>66</v>
      </c>
      <c r="P895" s="57">
        <v>0.0</v>
      </c>
      <c r="Q895" s="58"/>
      <c r="R895" s="58" t="s">
        <v>8716</v>
      </c>
      <c r="S895" s="32" t="s">
        <v>194</v>
      </c>
      <c r="T895" s="32" t="s">
        <v>8717</v>
      </c>
      <c r="U895" s="33" t="s">
        <v>8718</v>
      </c>
      <c r="V895" s="33" t="s">
        <v>8719</v>
      </c>
      <c r="W895" s="33"/>
      <c r="X895" s="23" t="s">
        <v>8720</v>
      </c>
      <c r="Y895" s="49" t="str">
        <f t="shared" si="22"/>
        <v>Ativo</v>
      </c>
      <c r="Z895" s="32"/>
      <c r="AA895" s="32" t="s">
        <v>47</v>
      </c>
      <c r="AB895" s="64" t="s">
        <v>269</v>
      </c>
      <c r="AC895" s="79"/>
      <c r="AD895" s="54">
        <v>45448.0</v>
      </c>
      <c r="AE895" s="77">
        <v>4.9075100015041E13</v>
      </c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65"/>
      <c r="AW895" s="65"/>
      <c r="AX895" s="65"/>
      <c r="AY895" s="65"/>
      <c r="AZ895" s="65">
        <v>11609.16</v>
      </c>
      <c r="BA895" s="65">
        <v>11725.87</v>
      </c>
      <c r="BB895" s="65">
        <v>0.0</v>
      </c>
      <c r="BC895" s="65">
        <v>0.0</v>
      </c>
      <c r="BD895" s="65">
        <v>0.0</v>
      </c>
      <c r="BE895" s="65">
        <v>0.0</v>
      </c>
      <c r="BF895" s="65">
        <v>0.0</v>
      </c>
      <c r="BG895" s="65">
        <v>0.0</v>
      </c>
      <c r="BH895" s="65">
        <v>0.0</v>
      </c>
      <c r="BI895" s="65">
        <v>0.0</v>
      </c>
      <c r="BJ895" s="65">
        <v>0.0</v>
      </c>
      <c r="BK895" s="65">
        <v>0.0</v>
      </c>
      <c r="BL895" s="65">
        <v>0.0</v>
      </c>
      <c r="BM895" s="65">
        <v>0.0</v>
      </c>
      <c r="BN895" s="65">
        <v>0.0</v>
      </c>
      <c r="BO895" s="65">
        <v>0.0</v>
      </c>
      <c r="BP895" s="65">
        <v>0.0</v>
      </c>
      <c r="BQ895" s="65">
        <v>0.0</v>
      </c>
      <c r="BR895" s="65">
        <v>0.0</v>
      </c>
      <c r="BS895" s="65">
        <v>0.0</v>
      </c>
      <c r="BT895" s="88">
        <v>0.0</v>
      </c>
      <c r="BU895" s="65">
        <v>0.0</v>
      </c>
      <c r="BV895" s="65">
        <v>14671.17</v>
      </c>
      <c r="BW895" s="90">
        <v>14872.27</v>
      </c>
      <c r="BX895" s="90">
        <v>15034.14</v>
      </c>
      <c r="BY895" s="90">
        <f t="array" ref="BY895">XLOOKUP(C895,'PL TOTAL D0'!$A$3:$A$1991,'PL TOTAL D0'!$C$3:$C$1991,"")</f>
        <v>15240.27</v>
      </c>
    </row>
    <row r="896" ht="15.75" customHeight="1">
      <c r="A896" s="50" t="s">
        <v>24</v>
      </c>
      <c r="B896" s="43" t="s">
        <v>8721</v>
      </c>
      <c r="C896" s="53" t="s">
        <v>8722</v>
      </c>
      <c r="D896" s="30" t="s">
        <v>3843</v>
      </c>
      <c r="E896" s="22" t="s">
        <v>54</v>
      </c>
      <c r="F896" s="30" t="s">
        <v>3844</v>
      </c>
      <c r="G896" s="47" t="str">
        <f t="shared" si="37"/>
        <v>David</v>
      </c>
      <c r="H896" s="49" t="s">
        <v>183</v>
      </c>
      <c r="I896" s="49" t="s">
        <v>382</v>
      </c>
      <c r="J896" s="47" t="str">
        <f t="shared" si="38"/>
        <v>Sim</v>
      </c>
      <c r="K896" s="54">
        <v>46146.0</v>
      </c>
      <c r="L896" s="32"/>
      <c r="M896" s="32" t="s">
        <v>61</v>
      </c>
      <c r="N896" s="56">
        <v>0.012</v>
      </c>
      <c r="O896" s="23" t="s">
        <v>66</v>
      </c>
      <c r="P896" s="57">
        <v>0.0</v>
      </c>
      <c r="Q896" s="58" t="s">
        <v>8723</v>
      </c>
      <c r="R896" s="58"/>
      <c r="S896" s="32" t="s">
        <v>194</v>
      </c>
      <c r="T896" s="32" t="s">
        <v>8724</v>
      </c>
      <c r="U896" s="33" t="s">
        <v>4344</v>
      </c>
      <c r="V896" s="33" t="s">
        <v>8725</v>
      </c>
      <c r="W896" s="48">
        <v>35147.0</v>
      </c>
      <c r="X896" s="23" t="s">
        <v>54</v>
      </c>
      <c r="Y896" s="49" t="str">
        <f t="shared" si="22"/>
        <v>Ativo</v>
      </c>
      <c r="Z896" s="32"/>
      <c r="AA896" s="32" t="s">
        <v>165</v>
      </c>
      <c r="AB896" s="64"/>
      <c r="AC896" s="79"/>
      <c r="AD896" s="54"/>
      <c r="AE896" s="77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65"/>
      <c r="AW896" s="65"/>
      <c r="AX896" s="65"/>
      <c r="AY896" s="65"/>
      <c r="AZ896" s="65"/>
      <c r="BA896" s="65"/>
      <c r="BB896" s="65"/>
      <c r="BC896" s="65"/>
      <c r="BD896" s="65"/>
      <c r="BE896" s="65"/>
      <c r="BF896" s="65"/>
      <c r="BG896" s="65"/>
      <c r="BH896" s="65"/>
      <c r="BI896" s="65"/>
      <c r="BJ896" s="65"/>
      <c r="BK896" s="65"/>
      <c r="BL896" s="65"/>
      <c r="BM896" s="65"/>
      <c r="BN896" s="65"/>
      <c r="BO896" s="65"/>
      <c r="BP896" s="65"/>
      <c r="BQ896" s="65"/>
      <c r="BR896" s="65"/>
      <c r="BS896" s="65"/>
      <c r="BT896" s="88"/>
      <c r="BU896" s="65"/>
      <c r="BV896" s="65">
        <v>0.0</v>
      </c>
      <c r="BW896" s="90">
        <v>95910.79</v>
      </c>
      <c r="BX896" s="90">
        <v>0.0</v>
      </c>
      <c r="BY896" s="90" t="str">
        <f t="array" ref="BY896">XLOOKUP(C896,'PL TOTAL D0'!$A$3:$A$1991,'PL TOTAL D0'!$C$3:$C$1991,"")</f>
        <v/>
      </c>
    </row>
    <row r="897" ht="15.75" customHeight="1">
      <c r="A897" s="50" t="s">
        <v>24</v>
      </c>
      <c r="B897" s="43" t="s">
        <v>8726</v>
      </c>
      <c r="C897" s="94" t="s">
        <v>2547</v>
      </c>
      <c r="D897" s="30" t="s">
        <v>89</v>
      </c>
      <c r="E897" s="22" t="s">
        <v>91</v>
      </c>
      <c r="F897" s="30" t="s">
        <v>193</v>
      </c>
      <c r="G897" s="47" t="str">
        <f t="shared" si="37"/>
        <v>Marcus</v>
      </c>
      <c r="H897" s="49" t="s">
        <v>183</v>
      </c>
      <c r="I897" s="49" t="s">
        <v>66</v>
      </c>
      <c r="J897" s="47" t="str">
        <f t="shared" si="38"/>
        <v>Não</v>
      </c>
      <c r="K897" s="54">
        <v>45685.0</v>
      </c>
      <c r="L897" s="189"/>
      <c r="M897" s="32" t="s">
        <v>1349</v>
      </c>
      <c r="N897" s="56">
        <v>0.012</v>
      </c>
      <c r="O897" s="23" t="s">
        <v>66</v>
      </c>
      <c r="P897" s="57">
        <v>0.0</v>
      </c>
      <c r="Q897" s="58"/>
      <c r="R897" s="58"/>
      <c r="S897" s="32" t="s">
        <v>194</v>
      </c>
      <c r="T897" s="32" t="s">
        <v>8727</v>
      </c>
      <c r="U897" s="33">
        <v>4.399993316E10</v>
      </c>
      <c r="V897" s="33" t="s">
        <v>8728</v>
      </c>
      <c r="W897" s="34">
        <v>31827.0</v>
      </c>
      <c r="X897" s="23" t="s">
        <v>221</v>
      </c>
      <c r="Y897" s="49" t="str">
        <f t="shared" si="22"/>
        <v>Ativo</v>
      </c>
      <c r="Z897" s="32"/>
      <c r="AA897" s="32" t="s">
        <v>47</v>
      </c>
      <c r="AB897" s="64"/>
      <c r="AC897" s="79"/>
      <c r="AD897" s="54">
        <v>45685.0</v>
      </c>
      <c r="AE897" s="77">
        <v>4.9075100017638E13</v>
      </c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65"/>
      <c r="AW897" s="65"/>
      <c r="AX897" s="65"/>
      <c r="AY897" s="65"/>
      <c r="AZ897" s="65"/>
      <c r="BA897" s="65"/>
      <c r="BB897" s="65"/>
      <c r="BC897" s="65"/>
      <c r="BD897" s="65"/>
      <c r="BE897" s="65"/>
      <c r="BF897" s="65"/>
      <c r="BG897" s="65">
        <v>0.0</v>
      </c>
      <c r="BH897" s="65">
        <v>1041921.86</v>
      </c>
      <c r="BI897" s="65">
        <v>1108526.66</v>
      </c>
      <c r="BJ897" s="65">
        <v>1128721.49</v>
      </c>
      <c r="BK897" s="65">
        <v>1271940.49</v>
      </c>
      <c r="BL897" s="65">
        <v>1282543.93</v>
      </c>
      <c r="BM897" s="65">
        <v>1368471.98</v>
      </c>
      <c r="BN897" s="65">
        <v>1381765.0</v>
      </c>
      <c r="BO897" s="65">
        <v>1314425.96</v>
      </c>
      <c r="BP897" s="65">
        <v>1420780.0</v>
      </c>
      <c r="BQ897" s="65">
        <v>1432825.0</v>
      </c>
      <c r="BR897" s="65">
        <v>1547001.0</v>
      </c>
      <c r="BS897" s="65">
        <v>2038339.03</v>
      </c>
      <c r="BT897" s="88">
        <v>1899282.0</v>
      </c>
      <c r="BU897" s="65">
        <v>2194201.0</v>
      </c>
      <c r="BV897" s="65">
        <v>2120534.0</v>
      </c>
      <c r="BW897" s="90">
        <v>2395241.0</v>
      </c>
      <c r="BX897" s="90">
        <v>2517876.14</v>
      </c>
      <c r="BY897" s="90">
        <f t="array" ref="BY897">XLOOKUP(C897,'PL TOTAL D0'!$A$3:$A$1991,'PL TOTAL D0'!$C$3:$C$1991,"")</f>
        <v>2542628.67</v>
      </c>
    </row>
    <row r="898" ht="15.75" customHeight="1">
      <c r="A898" s="50" t="s">
        <v>24</v>
      </c>
      <c r="B898" s="43" t="s">
        <v>8729</v>
      </c>
      <c r="C898" s="94" t="s">
        <v>2602</v>
      </c>
      <c r="D898" s="30" t="s">
        <v>120</v>
      </c>
      <c r="E898" s="22" t="s">
        <v>54</v>
      </c>
      <c r="F898" s="30" t="s">
        <v>125</v>
      </c>
      <c r="G898" s="47" t="str">
        <f t="shared" si="37"/>
        <v>Marcus</v>
      </c>
      <c r="H898" s="49" t="s">
        <v>183</v>
      </c>
      <c r="I898" s="49" t="s">
        <v>66</v>
      </c>
      <c r="J898" s="47" t="str">
        <f t="shared" si="38"/>
        <v>Sim</v>
      </c>
      <c r="K898" s="54">
        <v>46057.0</v>
      </c>
      <c r="L898" s="189"/>
      <c r="M898" s="32" t="s">
        <v>61</v>
      </c>
      <c r="N898" s="56">
        <v>0.012</v>
      </c>
      <c r="O898" s="23" t="s">
        <v>66</v>
      </c>
      <c r="P898" s="57">
        <v>0.0</v>
      </c>
      <c r="Q898" s="58" t="s">
        <v>8730</v>
      </c>
      <c r="R898" s="58"/>
      <c r="S898" s="32" t="s">
        <v>194</v>
      </c>
      <c r="T898" s="32" t="s">
        <v>8731</v>
      </c>
      <c r="U898" s="33" t="s">
        <v>8732</v>
      </c>
      <c r="V898" s="33" t="s">
        <v>8733</v>
      </c>
      <c r="W898" s="34">
        <v>35554.0</v>
      </c>
      <c r="X898" s="23" t="s">
        <v>54</v>
      </c>
      <c r="Y898" s="49" t="str">
        <f t="shared" si="22"/>
        <v>Ativo</v>
      </c>
      <c r="Z898" s="32"/>
      <c r="AA898" s="32" t="s">
        <v>47</v>
      </c>
      <c r="AB898" s="64"/>
      <c r="AC898" s="79"/>
      <c r="AD898" s="54">
        <v>46203.0</v>
      </c>
      <c r="AE898" s="77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65"/>
      <c r="AW898" s="65"/>
      <c r="AX898" s="65"/>
      <c r="AY898" s="65"/>
      <c r="AZ898" s="65"/>
      <c r="BA898" s="65"/>
      <c r="BB898" s="65"/>
      <c r="BC898" s="65"/>
      <c r="BD898" s="65"/>
      <c r="BE898" s="65"/>
      <c r="BF898" s="65"/>
      <c r="BG898" s="65"/>
      <c r="BH898" s="65"/>
      <c r="BI898" s="65"/>
      <c r="BJ898" s="65"/>
      <c r="BK898" s="65"/>
      <c r="BL898" s="65"/>
      <c r="BM898" s="65"/>
      <c r="BN898" s="65"/>
      <c r="BO898" s="65"/>
      <c r="BP898" s="65"/>
      <c r="BQ898" s="65"/>
      <c r="BR898" s="65"/>
      <c r="BS898" s="65" t="s">
        <v>1739</v>
      </c>
      <c r="BT898" s="88">
        <v>964072.3</v>
      </c>
      <c r="BU898" s="65">
        <v>1011460.0</v>
      </c>
      <c r="BV898" s="65">
        <v>1005855.0</v>
      </c>
      <c r="BW898" s="90">
        <v>2384797.0</v>
      </c>
      <c r="BX898" s="90">
        <v>1288697.97</v>
      </c>
      <c r="BY898" s="90">
        <f t="array" ref="BY898">XLOOKUP(C898,'PL TOTAL D0'!$A$3:$A$1991,'PL TOTAL D0'!$C$3:$C$1991,"")</f>
        <v>1826227.45</v>
      </c>
    </row>
    <row r="899" ht="15.75" customHeight="1">
      <c r="A899" s="50" t="s">
        <v>24</v>
      </c>
      <c r="B899" s="50" t="s">
        <v>8461</v>
      </c>
      <c r="C899" s="94" t="s">
        <v>8460</v>
      </c>
      <c r="D899" s="81" t="s">
        <v>120</v>
      </c>
      <c r="E899" s="95" t="s">
        <v>54</v>
      </c>
      <c r="F899" s="81" t="s">
        <v>1393</v>
      </c>
      <c r="G899" s="47" t="str">
        <f t="shared" si="37"/>
        <v>David</v>
      </c>
      <c r="H899" s="49" t="s">
        <v>295</v>
      </c>
      <c r="I899" s="74" t="s">
        <v>382</v>
      </c>
      <c r="J899" s="47" t="str">
        <f t="shared" si="38"/>
        <v>Não</v>
      </c>
      <c r="K899" s="97">
        <v>45163.0</v>
      </c>
      <c r="L899" s="189"/>
      <c r="M899" s="62" t="s">
        <v>61</v>
      </c>
      <c r="N899" s="98">
        <v>0.01</v>
      </c>
      <c r="O899" s="47" t="s">
        <v>66</v>
      </c>
      <c r="P899" s="99">
        <v>0.0</v>
      </c>
      <c r="Q899" s="58"/>
      <c r="R899" s="635"/>
      <c r="S899" s="62" t="s">
        <v>194</v>
      </c>
      <c r="T899" s="32" t="s">
        <v>8734</v>
      </c>
      <c r="U899" s="33">
        <v>5.562999009068E12</v>
      </c>
      <c r="V899" s="33" t="s">
        <v>6841</v>
      </c>
      <c r="W899" s="34">
        <v>34902.0</v>
      </c>
      <c r="X899" s="23" t="s">
        <v>54</v>
      </c>
      <c r="Y899" s="49" t="str">
        <f t="shared" si="22"/>
        <v>Inativo</v>
      </c>
      <c r="Z899" s="62"/>
      <c r="AA899" s="62"/>
      <c r="AB899" s="64" t="s">
        <v>244</v>
      </c>
      <c r="AC899" s="79"/>
      <c r="AD899" s="54">
        <v>45163.0</v>
      </c>
      <c r="AE899" s="77">
        <v>4.9075100011801E13</v>
      </c>
      <c r="AF899" s="79"/>
      <c r="AG899" s="79"/>
      <c r="AH899" s="65">
        <v>51295.86</v>
      </c>
      <c r="AI899" s="65">
        <v>0.0</v>
      </c>
      <c r="AJ899" s="65">
        <v>0.0</v>
      </c>
      <c r="AK899" s="65">
        <v>0.0</v>
      </c>
      <c r="AL899" s="65">
        <v>0.0</v>
      </c>
      <c r="AM899" s="65">
        <v>0.0</v>
      </c>
      <c r="AN899" s="65">
        <v>0.0</v>
      </c>
      <c r="AO899" s="65">
        <v>0.0</v>
      </c>
      <c r="AP899" s="65">
        <v>0.0</v>
      </c>
      <c r="AQ899" s="65">
        <v>0.0</v>
      </c>
      <c r="AR899" s="65">
        <v>0.0</v>
      </c>
      <c r="AS899" s="65">
        <v>0.0</v>
      </c>
      <c r="AT899" s="65">
        <v>0.0</v>
      </c>
      <c r="AU899" s="65">
        <v>0.0</v>
      </c>
      <c r="AV899" s="65">
        <v>0.0</v>
      </c>
      <c r="AW899" s="65">
        <v>0.0</v>
      </c>
      <c r="AX899" s="65">
        <v>0.0</v>
      </c>
      <c r="AY899" s="65">
        <v>0.0</v>
      </c>
      <c r="AZ899" s="65">
        <v>0.0</v>
      </c>
      <c r="BA899" s="65">
        <v>0.0</v>
      </c>
      <c r="BB899" s="65">
        <v>0.0</v>
      </c>
      <c r="BC899" s="65">
        <v>0.0</v>
      </c>
      <c r="BD899" s="65">
        <v>0.0</v>
      </c>
      <c r="BE899" s="65">
        <v>0.0</v>
      </c>
      <c r="BF899" s="65">
        <v>0.0</v>
      </c>
      <c r="BG899" s="65">
        <v>0.0</v>
      </c>
      <c r="BH899" s="65">
        <v>0.0</v>
      </c>
      <c r="BI899" s="65">
        <v>0.0</v>
      </c>
      <c r="BJ899" s="65">
        <v>0.0</v>
      </c>
      <c r="BK899" s="65">
        <v>0.0</v>
      </c>
      <c r="BL899" s="65">
        <v>0.0</v>
      </c>
      <c r="BM899" s="65">
        <v>0.0</v>
      </c>
      <c r="BN899" s="65">
        <v>0.0</v>
      </c>
      <c r="BO899" s="65">
        <v>0.0</v>
      </c>
      <c r="BP899" s="65">
        <v>0.0</v>
      </c>
      <c r="BQ899" s="65">
        <v>0.0</v>
      </c>
      <c r="BR899" s="65">
        <v>0.0</v>
      </c>
      <c r="BS899" s="65">
        <v>0.0</v>
      </c>
      <c r="BT899" s="88">
        <v>0.0</v>
      </c>
      <c r="BU899" s="65">
        <v>0.0</v>
      </c>
      <c r="BV899" s="65">
        <v>0.0</v>
      </c>
      <c r="BW899" s="90">
        <v>0.0</v>
      </c>
      <c r="BX899" s="90">
        <v>0.0</v>
      </c>
      <c r="BY899" s="90" t="str">
        <f t="array" ref="BY899">XLOOKUP(C899,'PL TOTAL D0'!$A$3:$A$1991,'PL TOTAL D0'!$C$3:$C$1991,"")</f>
        <v/>
      </c>
    </row>
    <row r="900" ht="15.75" customHeight="1">
      <c r="A900" s="50" t="s">
        <v>24</v>
      </c>
      <c r="B900" s="50" t="s">
        <v>8735</v>
      </c>
      <c r="C900" s="94" t="s">
        <v>8736</v>
      </c>
      <c r="D900" s="81" t="s">
        <v>120</v>
      </c>
      <c r="E900" s="95" t="s">
        <v>54</v>
      </c>
      <c r="F900" s="81" t="s">
        <v>1393</v>
      </c>
      <c r="G900" s="47" t="str">
        <f t="shared" si="37"/>
        <v>David</v>
      </c>
      <c r="H900" s="49" t="s">
        <v>224</v>
      </c>
      <c r="I900" s="74" t="s">
        <v>66</v>
      </c>
      <c r="J900" s="47" t="str">
        <f t="shared" si="38"/>
        <v>Não</v>
      </c>
      <c r="K900" s="97">
        <v>44936.0</v>
      </c>
      <c r="L900" s="55">
        <v>45433.0</v>
      </c>
      <c r="M900" s="62" t="s">
        <v>61</v>
      </c>
      <c r="N900" s="98">
        <v>0.01</v>
      </c>
      <c r="O900" s="47" t="s">
        <v>66</v>
      </c>
      <c r="P900" s="99">
        <v>0.0</v>
      </c>
      <c r="Q900" s="58"/>
      <c r="R900" s="635"/>
      <c r="S900" s="62" t="s">
        <v>194</v>
      </c>
      <c r="T900" s="32" t="s">
        <v>8734</v>
      </c>
      <c r="U900" s="33" t="s">
        <v>268</v>
      </c>
      <c r="V900" s="33"/>
      <c r="W900" s="33" t="s">
        <v>268</v>
      </c>
      <c r="X900" s="23" t="s">
        <v>54</v>
      </c>
      <c r="Y900" s="49" t="str">
        <f t="shared" si="22"/>
        <v>Encerrado</v>
      </c>
      <c r="Z900" s="62"/>
      <c r="AA900" s="62"/>
      <c r="AB900" s="64" t="s">
        <v>244</v>
      </c>
      <c r="AC900" s="79"/>
      <c r="AD900" s="54">
        <v>44936.0</v>
      </c>
      <c r="AE900" s="77">
        <v>4.9075100012687E13</v>
      </c>
      <c r="AF900" s="79"/>
      <c r="AG900" s="79"/>
      <c r="AH900" s="79"/>
      <c r="AI900" s="65">
        <v>172068.9</v>
      </c>
      <c r="AJ900" s="65">
        <v>173538.72</v>
      </c>
      <c r="AK900" s="65">
        <v>120603.37</v>
      </c>
      <c r="AL900" s="65">
        <v>141559.66</v>
      </c>
      <c r="AM900" s="65">
        <v>147998.45</v>
      </c>
      <c r="AN900" s="65">
        <v>149308.13</v>
      </c>
      <c r="AO900" s="65">
        <v>150534.88</v>
      </c>
      <c r="AP900" s="65">
        <v>181945.64</v>
      </c>
      <c r="AQ900" s="65">
        <v>77673.74</v>
      </c>
      <c r="AR900" s="65">
        <v>78274.95</v>
      </c>
      <c r="AS900" s="65">
        <v>78830.87</v>
      </c>
      <c r="AT900" s="65">
        <v>79432.93</v>
      </c>
      <c r="AU900" s="65">
        <v>80159.88</v>
      </c>
      <c r="AV900" s="65">
        <v>29814.84</v>
      </c>
      <c r="AW900" s="65">
        <v>0.0</v>
      </c>
      <c r="AX900" s="65">
        <v>0.0</v>
      </c>
      <c r="AY900" s="65">
        <v>0.0</v>
      </c>
      <c r="AZ900" s="65">
        <v>0.0</v>
      </c>
      <c r="BA900" s="65">
        <v>0.0</v>
      </c>
      <c r="BB900" s="65">
        <v>0.0</v>
      </c>
      <c r="BC900" s="65">
        <v>0.0</v>
      </c>
      <c r="BD900" s="65">
        <v>0.0</v>
      </c>
      <c r="BE900" s="65">
        <v>0.0</v>
      </c>
      <c r="BF900" s="65">
        <v>0.0</v>
      </c>
      <c r="BG900" s="65">
        <v>0.0</v>
      </c>
      <c r="BH900" s="65">
        <v>0.0</v>
      </c>
      <c r="BI900" s="65">
        <v>0.0</v>
      </c>
      <c r="BJ900" s="65">
        <v>0.0</v>
      </c>
      <c r="BK900" s="65">
        <v>0.0</v>
      </c>
      <c r="BL900" s="65">
        <v>0.0</v>
      </c>
      <c r="BM900" s="65">
        <v>0.0</v>
      </c>
      <c r="BN900" s="65">
        <v>0.0</v>
      </c>
      <c r="BO900" s="65">
        <v>0.0</v>
      </c>
      <c r="BP900" s="65">
        <v>0.0</v>
      </c>
      <c r="BQ900" s="65">
        <v>0.0</v>
      </c>
      <c r="BR900" s="65">
        <v>0.0</v>
      </c>
      <c r="BS900" s="65">
        <v>0.0</v>
      </c>
      <c r="BT900" s="88">
        <v>0.0</v>
      </c>
      <c r="BU900" s="65">
        <v>0.0</v>
      </c>
      <c r="BV900" s="65">
        <v>0.0</v>
      </c>
      <c r="BW900" s="90">
        <v>0.0</v>
      </c>
      <c r="BX900" s="90">
        <v>0.0</v>
      </c>
      <c r="BY900" s="90" t="str">
        <f t="array" ref="BY900">XLOOKUP(C900,'PL TOTAL D0'!$A$3:$A$1991,'PL TOTAL D0'!$C$3:$C$1991,"")</f>
        <v/>
      </c>
    </row>
    <row r="901" ht="15.75" customHeight="1">
      <c r="A901" s="43" t="s">
        <v>24</v>
      </c>
      <c r="B901" s="43" t="s">
        <v>8737</v>
      </c>
      <c r="C901" s="94" t="s">
        <v>8738</v>
      </c>
      <c r="D901" s="30" t="s">
        <v>120</v>
      </c>
      <c r="E901" s="22" t="s">
        <v>199</v>
      </c>
      <c r="F901" s="30" t="s">
        <v>6373</v>
      </c>
      <c r="G901" s="47" t="str">
        <f t="shared" si="37"/>
        <v>David</v>
      </c>
      <c r="H901" s="49" t="s">
        <v>183</v>
      </c>
      <c r="I901" s="49" t="s">
        <v>66</v>
      </c>
      <c r="J901" s="47" t="str">
        <f t="shared" si="38"/>
        <v>Não</v>
      </c>
      <c r="K901" s="54">
        <v>46027.0</v>
      </c>
      <c r="L901" s="55"/>
      <c r="M901" s="32" t="s">
        <v>390</v>
      </c>
      <c r="N901" s="56">
        <v>0.005</v>
      </c>
      <c r="O901" s="23" t="s">
        <v>66</v>
      </c>
      <c r="P901" s="57">
        <v>0.0</v>
      </c>
      <c r="Q901" s="58"/>
      <c r="R901" s="635"/>
      <c r="S901" s="32" t="s">
        <v>194</v>
      </c>
      <c r="T901" s="32" t="s">
        <v>8739</v>
      </c>
      <c r="U901" s="33" t="s">
        <v>8740</v>
      </c>
      <c r="V901" s="33" t="s">
        <v>8741</v>
      </c>
      <c r="W901" s="48">
        <v>33354.0</v>
      </c>
      <c r="X901" s="23" t="s">
        <v>199</v>
      </c>
      <c r="Y901" s="49" t="str">
        <f t="shared" si="22"/>
        <v>Ativo</v>
      </c>
      <c r="Z901" s="62"/>
      <c r="AA901" s="32" t="s">
        <v>107</v>
      </c>
      <c r="AB901" s="64"/>
      <c r="AC901" s="79"/>
      <c r="AD901" s="54"/>
      <c r="AE901" s="77"/>
      <c r="AF901" s="79"/>
      <c r="AG901" s="79"/>
      <c r="AH901" s="79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  <c r="AT901" s="65"/>
      <c r="AU901" s="65"/>
      <c r="AV901" s="65"/>
      <c r="AW901" s="65"/>
      <c r="AX901" s="65"/>
      <c r="AY901" s="65"/>
      <c r="AZ901" s="65"/>
      <c r="BA901" s="65"/>
      <c r="BB901" s="65"/>
      <c r="BC901" s="65"/>
      <c r="BD901" s="65"/>
      <c r="BE901" s="65"/>
      <c r="BF901" s="65"/>
      <c r="BG901" s="65"/>
      <c r="BH901" s="65"/>
      <c r="BI901" s="65"/>
      <c r="BJ901" s="65"/>
      <c r="BK901" s="65"/>
      <c r="BL901" s="65"/>
      <c r="BM901" s="65"/>
      <c r="BN901" s="65"/>
      <c r="BO901" s="65"/>
      <c r="BP901" s="65"/>
      <c r="BQ901" s="65"/>
      <c r="BR901" s="65"/>
      <c r="BS901" s="65">
        <v>0.0</v>
      </c>
      <c r="BT901" s="88">
        <v>0.01</v>
      </c>
      <c r="BU901" s="65">
        <v>0.01</v>
      </c>
      <c r="BV901" s="65">
        <v>0.01</v>
      </c>
      <c r="BW901" s="90">
        <v>0.01</v>
      </c>
      <c r="BX901" s="90">
        <v>0.01</v>
      </c>
      <c r="BY901" s="90" t="str">
        <f t="array" ref="BY901">XLOOKUP(C901,'PL TOTAL D0'!$A$3:$A$1991,'PL TOTAL D0'!$C$3:$C$1991,"")</f>
        <v/>
      </c>
    </row>
    <row r="902" ht="15.75" customHeight="1">
      <c r="A902" s="50" t="s">
        <v>24</v>
      </c>
      <c r="B902" s="43" t="s">
        <v>8742</v>
      </c>
      <c r="C902" s="94" t="s">
        <v>3048</v>
      </c>
      <c r="D902" s="30" t="s">
        <v>120</v>
      </c>
      <c r="E902" s="22" t="s">
        <v>54</v>
      </c>
      <c r="F902" s="30" t="s">
        <v>125</v>
      </c>
      <c r="G902" s="47" t="str">
        <f t="shared" si="37"/>
        <v>Gabriel</v>
      </c>
      <c r="H902" s="49" t="s">
        <v>183</v>
      </c>
      <c r="I902" s="49" t="s">
        <v>66</v>
      </c>
      <c r="J902" s="47" t="str">
        <f t="shared" si="38"/>
        <v>Sim</v>
      </c>
      <c r="K902" s="54">
        <v>45460.0</v>
      </c>
      <c r="L902" s="55"/>
      <c r="M902" s="32" t="s">
        <v>61</v>
      </c>
      <c r="N902" s="56">
        <v>0.012</v>
      </c>
      <c r="O902" s="23" t="s">
        <v>66</v>
      </c>
      <c r="P902" s="57">
        <v>0.0</v>
      </c>
      <c r="Q902" s="58" t="s">
        <v>8743</v>
      </c>
      <c r="R902" s="635"/>
      <c r="S902" s="32" t="s">
        <v>194</v>
      </c>
      <c r="T902" s="32" t="s">
        <v>8744</v>
      </c>
      <c r="U902" s="33">
        <v>5.562982285859E12</v>
      </c>
      <c r="V902" s="33" t="s">
        <v>8745</v>
      </c>
      <c r="W902" s="48">
        <v>34992.0</v>
      </c>
      <c r="X902" s="23" t="s">
        <v>54</v>
      </c>
      <c r="Y902" s="49" t="str">
        <f t="shared" si="22"/>
        <v>Ativo</v>
      </c>
      <c r="Z902" s="32"/>
      <c r="AA902" s="32" t="s">
        <v>47</v>
      </c>
      <c r="AB902" s="64" t="s">
        <v>269</v>
      </c>
      <c r="AC902" s="79"/>
      <c r="AD902" s="54">
        <v>45460.0</v>
      </c>
      <c r="AE902" s="77">
        <v>4.9075100015163E13</v>
      </c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65"/>
      <c r="AW902" s="65"/>
      <c r="AX902" s="65"/>
      <c r="AY902" s="65"/>
      <c r="AZ902" s="65">
        <v>147978.2</v>
      </c>
      <c r="BA902" s="65">
        <v>243732.3</v>
      </c>
      <c r="BB902" s="65">
        <v>245865.18</v>
      </c>
      <c r="BC902" s="65">
        <v>247604.43</v>
      </c>
      <c r="BD902" s="65">
        <v>249926.12</v>
      </c>
      <c r="BE902" s="65">
        <v>251550.17</v>
      </c>
      <c r="BF902" s="65">
        <v>253489.7</v>
      </c>
      <c r="BG902" s="65">
        <v>255818.99</v>
      </c>
      <c r="BH902" s="65">
        <v>258253.92</v>
      </c>
      <c r="BI902" s="65">
        <v>261096.34</v>
      </c>
      <c r="BJ902" s="65">
        <v>263746.14</v>
      </c>
      <c r="BK902" s="65">
        <v>272305.92</v>
      </c>
      <c r="BL902" s="65">
        <v>272820.7</v>
      </c>
      <c r="BM902" s="65">
        <v>275732.22</v>
      </c>
      <c r="BN902" s="65">
        <v>280538.2</v>
      </c>
      <c r="BO902" s="65">
        <v>283345.75</v>
      </c>
      <c r="BP902" s="65">
        <v>286763.2</v>
      </c>
      <c r="BQ902" s="65">
        <v>288820.7</v>
      </c>
      <c r="BR902" s="65">
        <v>291439.5</v>
      </c>
      <c r="BS902" s="65">
        <v>294259.25</v>
      </c>
      <c r="BT902" s="88">
        <v>296788.1</v>
      </c>
      <c r="BU902" s="65">
        <v>300347.1</v>
      </c>
      <c r="BV902" s="65">
        <v>303725.5</v>
      </c>
      <c r="BW902" s="90">
        <v>306064.0</v>
      </c>
      <c r="BX902" s="90">
        <v>307256.21</v>
      </c>
      <c r="BY902" s="90">
        <f t="array" ref="BY902">XLOOKUP(C902,'PL TOTAL D0'!$A$3:$A$1991,'PL TOTAL D0'!$C$3:$C$1991,"")</f>
        <v>309695.16</v>
      </c>
    </row>
    <row r="903" ht="15.75" customHeight="1">
      <c r="A903" s="50" t="s">
        <v>24</v>
      </c>
      <c r="B903" s="43" t="s">
        <v>8746</v>
      </c>
      <c r="C903" s="94" t="s">
        <v>3435</v>
      </c>
      <c r="D903" s="30" t="s">
        <v>120</v>
      </c>
      <c r="E903" s="22" t="s">
        <v>54</v>
      </c>
      <c r="F903" s="30" t="s">
        <v>125</v>
      </c>
      <c r="G903" s="47" t="str">
        <f t="shared" si="37"/>
        <v>David</v>
      </c>
      <c r="H903" s="49" t="s">
        <v>183</v>
      </c>
      <c r="I903" s="49" t="s">
        <v>66</v>
      </c>
      <c r="J903" s="47" t="str">
        <f t="shared" si="38"/>
        <v>Não</v>
      </c>
      <c r="K903" s="54">
        <v>45811.0</v>
      </c>
      <c r="L903" s="55"/>
      <c r="M903" s="32" t="s">
        <v>61</v>
      </c>
      <c r="N903" s="56">
        <v>0.012</v>
      </c>
      <c r="O903" s="23" t="s">
        <v>66</v>
      </c>
      <c r="P903" s="57">
        <v>0.0</v>
      </c>
      <c r="Q903" s="58"/>
      <c r="R903" s="635"/>
      <c r="S903" s="32" t="s">
        <v>194</v>
      </c>
      <c r="T903" s="32" t="s">
        <v>8744</v>
      </c>
      <c r="U903" s="33">
        <v>5.562982285859E12</v>
      </c>
      <c r="V903" s="33" t="s">
        <v>8745</v>
      </c>
      <c r="W903" s="48">
        <v>34992.0</v>
      </c>
      <c r="X903" s="23" t="s">
        <v>54</v>
      </c>
      <c r="Y903" s="49" t="str">
        <f t="shared" si="22"/>
        <v>Ativo</v>
      </c>
      <c r="Z903" s="32"/>
      <c r="AA903" s="32" t="s">
        <v>47</v>
      </c>
      <c r="AB903" s="64"/>
      <c r="AC903" s="79"/>
      <c r="AD903" s="54">
        <v>45812.0</v>
      </c>
      <c r="AE903" s="77">
        <v>4.9075100018995E13</v>
      </c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65"/>
      <c r="AW903" s="65"/>
      <c r="AX903" s="65"/>
      <c r="AY903" s="65"/>
      <c r="AZ903" s="65"/>
      <c r="BA903" s="65"/>
      <c r="BB903" s="65"/>
      <c r="BC903" s="65"/>
      <c r="BD903" s="65"/>
      <c r="BE903" s="65"/>
      <c r="BF903" s="65"/>
      <c r="BG903" s="65"/>
      <c r="BH903" s="65"/>
      <c r="BI903" s="65"/>
      <c r="BJ903" s="65"/>
      <c r="BK903" s="65"/>
      <c r="BL903" s="65">
        <v>18820.9</v>
      </c>
      <c r="BM903" s="65">
        <v>29077.48</v>
      </c>
      <c r="BN903" s="65">
        <v>48439.57</v>
      </c>
      <c r="BO903" s="65">
        <v>24147.03</v>
      </c>
      <c r="BP903" s="65">
        <v>25741.67</v>
      </c>
      <c r="BQ903" s="65">
        <v>36026.51</v>
      </c>
      <c r="BR903" s="65">
        <v>46382.33</v>
      </c>
      <c r="BS903" s="65">
        <v>51444.9</v>
      </c>
      <c r="BT903" s="88">
        <v>61879.63</v>
      </c>
      <c r="BU903" s="65">
        <v>73421.12</v>
      </c>
      <c r="BV903" s="65">
        <v>60278.36</v>
      </c>
      <c r="BW903" s="90">
        <v>30434.5</v>
      </c>
      <c r="BX903" s="90">
        <v>46743.56</v>
      </c>
      <c r="BY903" s="90">
        <f t="array" ref="BY903">XLOOKUP(C903,'PL TOTAL D0'!$A$3:$A$1991,'PL TOTAL D0'!$C$3:$C$1991,"")</f>
        <v>54325.44</v>
      </c>
    </row>
    <row r="904" ht="15.75" customHeight="1">
      <c r="A904" s="50" t="s">
        <v>24</v>
      </c>
      <c r="B904" s="43" t="s">
        <v>8747</v>
      </c>
      <c r="C904" s="94" t="s">
        <v>8748</v>
      </c>
      <c r="D904" s="30" t="s">
        <v>120</v>
      </c>
      <c r="E904" s="22" t="s">
        <v>199</v>
      </c>
      <c r="F904" s="30" t="s">
        <v>431</v>
      </c>
      <c r="G904" s="47" t="str">
        <f t="shared" si="37"/>
        <v>David</v>
      </c>
      <c r="H904" s="49" t="s">
        <v>295</v>
      </c>
      <c r="I904" s="49" t="s">
        <v>447</v>
      </c>
      <c r="J904" s="47" t="str">
        <f t="shared" si="38"/>
        <v>Sim</v>
      </c>
      <c r="K904" s="54">
        <v>45733.0</v>
      </c>
      <c r="L904" s="55"/>
      <c r="M904" s="32" t="s">
        <v>201</v>
      </c>
      <c r="N904" s="56">
        <v>0.003</v>
      </c>
      <c r="O904" s="23" t="s">
        <v>66</v>
      </c>
      <c r="P904" s="57">
        <v>0.0</v>
      </c>
      <c r="Q904" s="58" t="s">
        <v>8749</v>
      </c>
      <c r="R904" s="635"/>
      <c r="S904" s="32" t="s">
        <v>194</v>
      </c>
      <c r="T904" s="32" t="s">
        <v>8750</v>
      </c>
      <c r="U904" s="33">
        <v>5.4999172095E10</v>
      </c>
      <c r="V904" s="33" t="s">
        <v>8751</v>
      </c>
      <c r="W904" s="34">
        <v>31934.0</v>
      </c>
      <c r="X904" s="23" t="s">
        <v>1620</v>
      </c>
      <c r="Y904" s="49" t="str">
        <f t="shared" si="22"/>
        <v>Ativo</v>
      </c>
      <c r="Z904" s="32"/>
      <c r="AA904" s="32" t="s">
        <v>47</v>
      </c>
      <c r="AB904" s="64"/>
      <c r="AC904" s="79"/>
      <c r="AD904" s="54"/>
      <c r="AE904" s="77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65"/>
      <c r="AW904" s="65"/>
      <c r="AX904" s="65"/>
      <c r="AY904" s="65"/>
      <c r="AZ904" s="65"/>
      <c r="BA904" s="65"/>
      <c r="BB904" s="65"/>
      <c r="BC904" s="65"/>
      <c r="BD904" s="65"/>
      <c r="BE904" s="65"/>
      <c r="BF904" s="65"/>
      <c r="BG904" s="65"/>
      <c r="BH904" s="65"/>
      <c r="BI904" s="65">
        <v>0.0</v>
      </c>
      <c r="BJ904" s="65">
        <v>0.0</v>
      </c>
      <c r="BK904" s="65">
        <v>0.0</v>
      </c>
      <c r="BL904" s="65">
        <v>0.0</v>
      </c>
      <c r="BM904" s="65">
        <v>0.0</v>
      </c>
      <c r="BN904" s="65">
        <v>0.0</v>
      </c>
      <c r="BO904" s="65">
        <v>0.0</v>
      </c>
      <c r="BP904" s="65">
        <v>0.0</v>
      </c>
      <c r="BQ904" s="65">
        <v>0.0</v>
      </c>
      <c r="BR904" s="65">
        <v>0.0</v>
      </c>
      <c r="BS904" s="65">
        <v>0.0</v>
      </c>
      <c r="BT904" s="88">
        <v>0.0</v>
      </c>
      <c r="BU904" s="65">
        <v>0.0</v>
      </c>
      <c r="BV904" s="65">
        <v>0.0</v>
      </c>
      <c r="BW904" s="90">
        <v>0.0</v>
      </c>
      <c r="BX904" s="90">
        <v>0.29</v>
      </c>
      <c r="BY904" s="90" t="str">
        <f t="array" ref="BY904">XLOOKUP(C904,'PL TOTAL D0'!$A$3:$A$1991,'PL TOTAL D0'!$C$3:$C$1991,"")</f>
        <v/>
      </c>
    </row>
    <row r="905" ht="15.75" customHeight="1">
      <c r="A905" s="50" t="s">
        <v>24</v>
      </c>
      <c r="B905" s="43" t="s">
        <v>1442</v>
      </c>
      <c r="C905" s="94" t="s">
        <v>2576</v>
      </c>
      <c r="D905" s="30" t="s">
        <v>210</v>
      </c>
      <c r="E905" s="22" t="s">
        <v>199</v>
      </c>
      <c r="F905" s="30" t="s">
        <v>275</v>
      </c>
      <c r="G905" s="47" t="str">
        <f t="shared" si="37"/>
        <v>Marcus</v>
      </c>
      <c r="H905" s="49" t="s">
        <v>183</v>
      </c>
      <c r="I905" s="49" t="s">
        <v>66</v>
      </c>
      <c r="J905" s="47" t="str">
        <f t="shared" si="38"/>
        <v>Sim</v>
      </c>
      <c r="K905" s="54">
        <v>45695.0</v>
      </c>
      <c r="L905" s="55"/>
      <c r="M905" s="32" t="s">
        <v>61</v>
      </c>
      <c r="N905" s="56">
        <v>0.008</v>
      </c>
      <c r="O905" s="23" t="s">
        <v>66</v>
      </c>
      <c r="P905" s="57">
        <v>0.0</v>
      </c>
      <c r="Q905" s="58" t="s">
        <v>8752</v>
      </c>
      <c r="R905" s="635"/>
      <c r="S905" s="32" t="s">
        <v>194</v>
      </c>
      <c r="T905" s="32" t="s">
        <v>1445</v>
      </c>
      <c r="U905" s="33">
        <v>6.1981737773E10</v>
      </c>
      <c r="V905" s="33" t="s">
        <v>1447</v>
      </c>
      <c r="W905" s="34">
        <v>29768.0</v>
      </c>
      <c r="X905" s="23" t="s">
        <v>199</v>
      </c>
      <c r="Y905" s="49" t="str">
        <f t="shared" si="22"/>
        <v>Ativo</v>
      </c>
      <c r="Z905" s="32"/>
      <c r="AA905" s="32" t="s">
        <v>107</v>
      </c>
      <c r="AB905" s="64"/>
      <c r="AC905" s="79"/>
      <c r="AD905" s="54">
        <v>45695.0</v>
      </c>
      <c r="AE905" s="77">
        <v>4.9075100018219E13</v>
      </c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65"/>
      <c r="AW905" s="65"/>
      <c r="AX905" s="65"/>
      <c r="AY905" s="65"/>
      <c r="AZ905" s="65"/>
      <c r="BA905" s="65"/>
      <c r="BB905" s="65"/>
      <c r="BC905" s="65"/>
      <c r="BD905" s="65"/>
      <c r="BE905" s="65"/>
      <c r="BF905" s="65"/>
      <c r="BG905" s="65"/>
      <c r="BH905" s="65">
        <v>1007666.36</v>
      </c>
      <c r="BI905" s="65">
        <v>1036284.84</v>
      </c>
      <c r="BJ905" s="65">
        <v>1012718.6</v>
      </c>
      <c r="BK905" s="65">
        <v>1038650.68</v>
      </c>
      <c r="BL905" s="65">
        <v>1065116.82</v>
      </c>
      <c r="BM905" s="65">
        <v>1130065.04</v>
      </c>
      <c r="BN905" s="65">
        <v>1862525.0</v>
      </c>
      <c r="BO905" s="65">
        <v>1898191.6</v>
      </c>
      <c r="BP905" s="65">
        <v>1931927.0</v>
      </c>
      <c r="BQ905" s="65">
        <v>1941741.0</v>
      </c>
      <c r="BR905" s="65">
        <v>1972042.0</v>
      </c>
      <c r="BS905" s="65">
        <v>1966368.4</v>
      </c>
      <c r="BT905" s="88">
        <v>1991419.0</v>
      </c>
      <c r="BU905" s="65">
        <v>2023385.0</v>
      </c>
      <c r="BV905" s="65">
        <v>1954543.0</v>
      </c>
      <c r="BW905" s="90">
        <v>1991916.0</v>
      </c>
      <c r="BX905" s="90">
        <v>2038798.56</v>
      </c>
      <c r="BY905" s="90">
        <f t="array" ref="BY905">XLOOKUP(C905,'PL TOTAL D0'!$A$3:$A$1991,'PL TOTAL D0'!$C$3:$C$1991,"")</f>
        <v>2073714.71</v>
      </c>
    </row>
    <row r="906" ht="15.75" customHeight="1">
      <c r="A906" s="50" t="s">
        <v>24</v>
      </c>
      <c r="B906" s="43" t="s">
        <v>1442</v>
      </c>
      <c r="C906" s="94" t="s">
        <v>2963</v>
      </c>
      <c r="D906" s="30" t="s">
        <v>210</v>
      </c>
      <c r="E906" s="22" t="s">
        <v>199</v>
      </c>
      <c r="F906" s="30" t="s">
        <v>275</v>
      </c>
      <c r="G906" s="47" t="str">
        <f t="shared" si="37"/>
        <v>Gabriel</v>
      </c>
      <c r="H906" s="49" t="s">
        <v>295</v>
      </c>
      <c r="I906" s="49" t="s">
        <v>447</v>
      </c>
      <c r="J906" s="47" t="str">
        <f t="shared" si="38"/>
        <v>Sim</v>
      </c>
      <c r="K906" s="54">
        <v>45741.0</v>
      </c>
      <c r="L906" s="55"/>
      <c r="M906" s="32" t="s">
        <v>1142</v>
      </c>
      <c r="N906" s="56">
        <v>0.0095</v>
      </c>
      <c r="O906" s="23" t="s">
        <v>66</v>
      </c>
      <c r="P906" s="57">
        <v>0.0</v>
      </c>
      <c r="Q906" s="58" t="s">
        <v>8753</v>
      </c>
      <c r="R906" s="635"/>
      <c r="S906" s="32" t="s">
        <v>194</v>
      </c>
      <c r="T906" s="32" t="s">
        <v>1445</v>
      </c>
      <c r="U906" s="33">
        <v>6.1981737773E10</v>
      </c>
      <c r="V906" s="33" t="s">
        <v>1447</v>
      </c>
      <c r="W906" s="34">
        <v>29768.0</v>
      </c>
      <c r="X906" s="23" t="s">
        <v>199</v>
      </c>
      <c r="Y906" s="49" t="str">
        <f t="shared" si="22"/>
        <v>Ativo</v>
      </c>
      <c r="Z906" s="32"/>
      <c r="AA906" s="32" t="s">
        <v>107</v>
      </c>
      <c r="AB906" s="64"/>
      <c r="AC906" s="79"/>
      <c r="AD906" s="54">
        <v>45750.0</v>
      </c>
      <c r="AE906" s="77">
        <v>4.9075100018553E13</v>
      </c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65"/>
      <c r="AW906" s="65"/>
      <c r="AX906" s="65"/>
      <c r="AY906" s="65"/>
      <c r="AZ906" s="65"/>
      <c r="BA906" s="65"/>
      <c r="BB906" s="65"/>
      <c r="BC906" s="65"/>
      <c r="BD906" s="65"/>
      <c r="BE906" s="65"/>
      <c r="BF906" s="65"/>
      <c r="BG906" s="65"/>
      <c r="BH906" s="65"/>
      <c r="BI906" s="65">
        <v>0.0</v>
      </c>
      <c r="BJ906" s="65">
        <v>355839.46</v>
      </c>
      <c r="BK906" s="65">
        <v>369859.81</v>
      </c>
      <c r="BL906" s="65">
        <v>361639.83</v>
      </c>
      <c r="BM906" s="65">
        <v>1034448.19</v>
      </c>
      <c r="BN906" s="65">
        <v>355611.8</v>
      </c>
      <c r="BO906" s="65">
        <v>357020.9</v>
      </c>
      <c r="BP906" s="65">
        <v>356935.7</v>
      </c>
      <c r="BQ906" s="65">
        <v>361330.8</v>
      </c>
      <c r="BR906" s="65">
        <v>373988.5</v>
      </c>
      <c r="BS906" s="65">
        <v>384995.62</v>
      </c>
      <c r="BT906" s="88">
        <v>553107.6</v>
      </c>
      <c r="BU906" s="65">
        <v>550520.2</v>
      </c>
      <c r="BV906" s="65">
        <v>442581.0</v>
      </c>
      <c r="BW906" s="90">
        <v>428412.5</v>
      </c>
      <c r="BX906" s="90">
        <v>420296.33</v>
      </c>
      <c r="BY906" s="90">
        <f t="array" ref="BY906">XLOOKUP(C906,'PL TOTAL D0'!$A$3:$A$1991,'PL TOTAL D0'!$C$3:$C$1991,"")</f>
        <v>418762.85</v>
      </c>
    </row>
    <row r="907" ht="15.75" customHeight="1">
      <c r="A907" s="50" t="s">
        <v>24</v>
      </c>
      <c r="B907" s="176" t="s">
        <v>6619</v>
      </c>
      <c r="C907" s="94" t="s">
        <v>8754</v>
      </c>
      <c r="D907" s="81" t="s">
        <v>120</v>
      </c>
      <c r="E907" s="95" t="s">
        <v>54</v>
      </c>
      <c r="F907" s="81" t="s">
        <v>379</v>
      </c>
      <c r="G907" s="47" t="str">
        <f t="shared" si="37"/>
        <v>David</v>
      </c>
      <c r="H907" s="49" t="s">
        <v>224</v>
      </c>
      <c r="I907" s="49" t="s">
        <v>66</v>
      </c>
      <c r="J907" s="47" t="str">
        <f t="shared" si="38"/>
        <v>Não</v>
      </c>
      <c r="K907" s="97">
        <v>45163.0</v>
      </c>
      <c r="L907" s="186">
        <v>45966.0</v>
      </c>
      <c r="M907" s="62" t="s">
        <v>209</v>
      </c>
      <c r="N907" s="98">
        <v>0.015</v>
      </c>
      <c r="O907" s="47" t="s">
        <v>35</v>
      </c>
      <c r="P907" s="99">
        <v>0.1</v>
      </c>
      <c r="Q907" s="58"/>
      <c r="R907" s="58" t="s">
        <v>610</v>
      </c>
      <c r="S907" s="62" t="s">
        <v>194</v>
      </c>
      <c r="T907" s="32" t="s">
        <v>6618</v>
      </c>
      <c r="U907" s="33">
        <v>5.562991468777E12</v>
      </c>
      <c r="V907" s="33" t="s">
        <v>8755</v>
      </c>
      <c r="W907" s="34">
        <v>19908.0</v>
      </c>
      <c r="X907" s="23" t="s">
        <v>54</v>
      </c>
      <c r="Y907" s="49" t="str">
        <f t="shared" si="22"/>
        <v>Encerrado</v>
      </c>
      <c r="Z907" s="62"/>
      <c r="AA907" s="62"/>
      <c r="AB907" s="64" t="s">
        <v>269</v>
      </c>
      <c r="AC907" s="79"/>
      <c r="AD907" s="54">
        <v>45163.0</v>
      </c>
      <c r="AE907" s="77">
        <v>4.9075100011818E13</v>
      </c>
      <c r="AF907" s="79"/>
      <c r="AG907" s="79"/>
      <c r="AH907" s="79"/>
      <c r="AI907" s="79"/>
      <c r="AJ907" s="79"/>
      <c r="AK907" s="65">
        <v>0.0</v>
      </c>
      <c r="AL907" s="65">
        <v>0.0</v>
      </c>
      <c r="AM907" s="65">
        <v>0.0</v>
      </c>
      <c r="AN907" s="65">
        <v>0.0</v>
      </c>
      <c r="AO907" s="65">
        <v>0.0</v>
      </c>
      <c r="AP907" s="65">
        <v>0.0</v>
      </c>
      <c r="AQ907" s="65">
        <v>0.0</v>
      </c>
      <c r="AR907" s="65">
        <v>0.0</v>
      </c>
      <c r="AS907" s="65">
        <v>0.0</v>
      </c>
      <c r="AT907" s="65">
        <v>0.0</v>
      </c>
      <c r="AU907" s="65">
        <v>0.0</v>
      </c>
      <c r="AV907" s="65">
        <v>0.0</v>
      </c>
      <c r="AW907" s="65">
        <v>0.0</v>
      </c>
      <c r="AX907" s="65">
        <v>0.0</v>
      </c>
      <c r="AY907" s="65">
        <v>0.0</v>
      </c>
      <c r="AZ907" s="65">
        <v>0.0</v>
      </c>
      <c r="BA907" s="65">
        <v>0.0</v>
      </c>
      <c r="BB907" s="65">
        <v>0.0</v>
      </c>
      <c r="BC907" s="65">
        <v>0.0</v>
      </c>
      <c r="BD907" s="65">
        <v>0.0</v>
      </c>
      <c r="BE907" s="65">
        <v>0.0</v>
      </c>
      <c r="BF907" s="65">
        <v>0.0</v>
      </c>
      <c r="BG907" s="65">
        <v>0.0</v>
      </c>
      <c r="BH907" s="65">
        <v>0.0</v>
      </c>
      <c r="BI907" s="65">
        <v>0.0</v>
      </c>
      <c r="BJ907" s="65">
        <v>0.0</v>
      </c>
      <c r="BK907" s="65">
        <v>0.0</v>
      </c>
      <c r="BL907" s="65">
        <v>0.0</v>
      </c>
      <c r="BM907" s="65">
        <v>0.0</v>
      </c>
      <c r="BN907" s="65">
        <v>0.0</v>
      </c>
      <c r="BO907" s="65">
        <v>0.0</v>
      </c>
      <c r="BP907" s="65">
        <v>0.0</v>
      </c>
      <c r="BQ907" s="65">
        <v>0.0</v>
      </c>
      <c r="BR907" s="65">
        <v>0.0</v>
      </c>
      <c r="BS907" s="65">
        <v>0.0</v>
      </c>
      <c r="BT907" s="88">
        <v>0.0</v>
      </c>
      <c r="BU907" s="65">
        <v>0.0</v>
      </c>
      <c r="BV907" s="65">
        <v>0.0</v>
      </c>
      <c r="BW907" s="90">
        <v>0.0</v>
      </c>
      <c r="BX907" s="90">
        <v>0.0</v>
      </c>
      <c r="BY907" s="90" t="str">
        <f t="array" ref="BY907">XLOOKUP(C907,'PL TOTAL D0'!$A$3:$A$1991,'PL TOTAL D0'!$C$3:$C$1991,"")</f>
        <v/>
      </c>
    </row>
    <row r="908" ht="15.75" customHeight="1">
      <c r="A908" s="50" t="s">
        <v>24</v>
      </c>
      <c r="B908" s="50" t="s">
        <v>8756</v>
      </c>
      <c r="C908" s="94" t="s">
        <v>3112</v>
      </c>
      <c r="D908" s="30" t="s">
        <v>89</v>
      </c>
      <c r="E908" s="95" t="s">
        <v>91</v>
      </c>
      <c r="F908" s="81" t="s">
        <v>193</v>
      </c>
      <c r="G908" s="47" t="str">
        <f t="shared" si="37"/>
        <v>David</v>
      </c>
      <c r="H908" s="49" t="s">
        <v>183</v>
      </c>
      <c r="I908" s="49" t="s">
        <v>66</v>
      </c>
      <c r="J908" s="47" t="str">
        <f t="shared" si="38"/>
        <v>Não</v>
      </c>
      <c r="K908" s="97">
        <v>45075.0</v>
      </c>
      <c r="L908" s="62"/>
      <c r="M908" s="32" t="s">
        <v>209</v>
      </c>
      <c r="N908" s="56">
        <v>0.015</v>
      </c>
      <c r="O908" s="23" t="s">
        <v>35</v>
      </c>
      <c r="P908" s="57">
        <v>0.1</v>
      </c>
      <c r="Q908" s="58"/>
      <c r="R908" s="58" t="s">
        <v>8757</v>
      </c>
      <c r="S908" s="62" t="s">
        <v>194</v>
      </c>
      <c r="T908" s="32" t="s">
        <v>8758</v>
      </c>
      <c r="U908" s="33">
        <v>4.3991843215E10</v>
      </c>
      <c r="V908" s="33" t="s">
        <v>8759</v>
      </c>
      <c r="W908" s="34">
        <v>33124.0</v>
      </c>
      <c r="X908" s="23" t="s">
        <v>221</v>
      </c>
      <c r="Y908" s="49" t="str">
        <f t="shared" si="22"/>
        <v>Ativo</v>
      </c>
      <c r="Z908" s="62"/>
      <c r="AA908" s="62"/>
      <c r="AB908" s="64" t="s">
        <v>269</v>
      </c>
      <c r="AC908" s="79"/>
      <c r="AD908" s="54">
        <v>45075.0</v>
      </c>
      <c r="AE908" s="77">
        <v>4.9075100007373E13</v>
      </c>
      <c r="AF908" s="79"/>
      <c r="AG908" s="79"/>
      <c r="AH908" s="79"/>
      <c r="AI908" s="79"/>
      <c r="AJ908" s="79"/>
      <c r="AK908" s="65">
        <v>0.0</v>
      </c>
      <c r="AL908" s="65">
        <v>0.0</v>
      </c>
      <c r="AM908" s="65">
        <v>49931.15</v>
      </c>
      <c r="AN908" s="65">
        <v>51939.1</v>
      </c>
      <c r="AO908" s="65">
        <v>57669.29</v>
      </c>
      <c r="AP908" s="65">
        <v>66902.6</v>
      </c>
      <c r="AQ908" s="65">
        <v>66641.42</v>
      </c>
      <c r="AR908" s="65">
        <v>68617.76</v>
      </c>
      <c r="AS908" s="65">
        <v>73801.62</v>
      </c>
      <c r="AT908" s="65">
        <v>82681.06</v>
      </c>
      <c r="AU908" s="65">
        <v>81896.27</v>
      </c>
      <c r="AV908" s="65">
        <v>83029.07</v>
      </c>
      <c r="AW908" s="65">
        <v>89381.9</v>
      </c>
      <c r="AX908" s="65">
        <v>90768.54</v>
      </c>
      <c r="AY908" s="65">
        <v>94097.87</v>
      </c>
      <c r="AZ908" s="65">
        <v>94153.82</v>
      </c>
      <c r="BA908" s="65">
        <v>101207.6</v>
      </c>
      <c r="BB908" s="65">
        <v>102324.54</v>
      </c>
      <c r="BC908" s="65">
        <v>101169.29</v>
      </c>
      <c r="BD908" s="65">
        <v>98688.81</v>
      </c>
      <c r="BE908" s="65">
        <v>96813.7</v>
      </c>
      <c r="BF908" s="65">
        <v>93792.65</v>
      </c>
      <c r="BG908" s="65">
        <v>96691.83</v>
      </c>
      <c r="BH908" s="65">
        <v>97605.1</v>
      </c>
      <c r="BI908" s="65">
        <v>99700.48</v>
      </c>
      <c r="BJ908" s="65">
        <v>102968.85</v>
      </c>
      <c r="BK908" s="65">
        <v>103886.99</v>
      </c>
      <c r="BL908" s="65">
        <v>105059.35</v>
      </c>
      <c r="BM908" s="65">
        <v>105422.62</v>
      </c>
      <c r="BN908" s="65">
        <v>106590.8</v>
      </c>
      <c r="BO908" s="65">
        <v>107876.44</v>
      </c>
      <c r="BP908" s="65">
        <v>109202.6</v>
      </c>
      <c r="BQ908" s="65">
        <v>111139.8</v>
      </c>
      <c r="BR908" s="65">
        <v>112392.9</v>
      </c>
      <c r="BS908" s="65">
        <v>218040.1</v>
      </c>
      <c r="BT908" s="88">
        <v>220374.2</v>
      </c>
      <c r="BU908" s="65">
        <v>222930.9</v>
      </c>
      <c r="BV908" s="65">
        <v>225466.3</v>
      </c>
      <c r="BW908" s="90">
        <v>225044.5</v>
      </c>
      <c r="BX908" s="90">
        <v>227766.22</v>
      </c>
      <c r="BY908" s="90">
        <f t="array" ref="BY908">XLOOKUP(C908,'PL TOTAL D0'!$A$3:$A$1991,'PL TOTAL D0'!$C$3:$C$1991,"")</f>
        <v>229786.52</v>
      </c>
    </row>
    <row r="909" ht="15.75" customHeight="1">
      <c r="A909" s="50" t="s">
        <v>24</v>
      </c>
      <c r="B909" s="43" t="s">
        <v>8760</v>
      </c>
      <c r="C909" s="94" t="s">
        <v>2870</v>
      </c>
      <c r="D909" s="30" t="s">
        <v>89</v>
      </c>
      <c r="E909" s="22" t="s">
        <v>91</v>
      </c>
      <c r="F909" s="30" t="s">
        <v>1869</v>
      </c>
      <c r="G909" s="47" t="str">
        <f t="shared" si="37"/>
        <v>Marcus</v>
      </c>
      <c r="H909" s="49" t="s">
        <v>183</v>
      </c>
      <c r="I909" s="49" t="s">
        <v>66</v>
      </c>
      <c r="J909" s="47" t="str">
        <f t="shared" si="38"/>
        <v>Não</v>
      </c>
      <c r="K909" s="54">
        <v>46057.0</v>
      </c>
      <c r="L909" s="62"/>
      <c r="M909" s="32" t="s">
        <v>209</v>
      </c>
      <c r="N909" s="56">
        <v>0.015</v>
      </c>
      <c r="O909" s="23" t="s">
        <v>35</v>
      </c>
      <c r="P909" s="57">
        <v>0.1</v>
      </c>
      <c r="Q909" s="58"/>
      <c r="R909" s="58"/>
      <c r="S909" s="32" t="s">
        <v>194</v>
      </c>
      <c r="T909" s="32" t="s">
        <v>8761</v>
      </c>
      <c r="U909" s="33" t="s">
        <v>8762</v>
      </c>
      <c r="V909" s="33" t="s">
        <v>8763</v>
      </c>
      <c r="W909" s="34">
        <v>27527.0</v>
      </c>
      <c r="X909" s="23" t="s">
        <v>221</v>
      </c>
      <c r="Y909" s="49" t="str">
        <f t="shared" si="22"/>
        <v>Ativo</v>
      </c>
      <c r="Z909" s="62"/>
      <c r="AA909" s="32" t="s">
        <v>47</v>
      </c>
      <c r="AB909" s="64"/>
      <c r="AC909" s="79"/>
      <c r="AD909" s="54">
        <v>46203.0</v>
      </c>
      <c r="AE909" s="77"/>
      <c r="AF909" s="79"/>
      <c r="AG909" s="79"/>
      <c r="AH909" s="79"/>
      <c r="AI909" s="79"/>
      <c r="AJ909" s="79"/>
      <c r="AK909" s="65"/>
      <c r="AL909" s="65"/>
      <c r="AM909" s="65"/>
      <c r="AN909" s="65"/>
      <c r="AO909" s="65"/>
      <c r="AP909" s="65"/>
      <c r="AQ909" s="65"/>
      <c r="AR909" s="65"/>
      <c r="AS909" s="65"/>
      <c r="AT909" s="65"/>
      <c r="AU909" s="65"/>
      <c r="AV909" s="65"/>
      <c r="AW909" s="65"/>
      <c r="AX909" s="65"/>
      <c r="AY909" s="65"/>
      <c r="AZ909" s="65"/>
      <c r="BA909" s="65"/>
      <c r="BB909" s="65"/>
      <c r="BC909" s="65"/>
      <c r="BD909" s="65"/>
      <c r="BE909" s="65"/>
      <c r="BF909" s="65"/>
      <c r="BG909" s="65"/>
      <c r="BH909" s="65"/>
      <c r="BI909" s="65"/>
      <c r="BJ909" s="65"/>
      <c r="BK909" s="65"/>
      <c r="BL909" s="65"/>
      <c r="BM909" s="65"/>
      <c r="BN909" s="65"/>
      <c r="BO909" s="65"/>
      <c r="BP909" s="65"/>
      <c r="BQ909" s="65"/>
      <c r="BR909" s="65"/>
      <c r="BS909" s="65" t="s">
        <v>1739</v>
      </c>
      <c r="BT909" s="88">
        <v>503985.2</v>
      </c>
      <c r="BU909" s="65">
        <v>510242.5</v>
      </c>
      <c r="BV909" s="65">
        <v>515262.8</v>
      </c>
      <c r="BW909" s="90">
        <v>520411.0</v>
      </c>
      <c r="BX909" s="90">
        <v>525285.12</v>
      </c>
      <c r="BY909" s="90">
        <f t="array" ref="BY909">XLOOKUP(C909,'PL TOTAL D0'!$A$3:$A$1991,'PL TOTAL D0'!$C$3:$C$1991,"")</f>
        <v>531411.04</v>
      </c>
    </row>
    <row r="910" ht="15.75" customHeight="1">
      <c r="A910" s="50" t="s">
        <v>24</v>
      </c>
      <c r="B910" s="43" t="s">
        <v>8764</v>
      </c>
      <c r="C910" s="94" t="s">
        <v>2690</v>
      </c>
      <c r="D910" s="30" t="s">
        <v>120</v>
      </c>
      <c r="E910" s="22" t="s">
        <v>199</v>
      </c>
      <c r="F910" s="30" t="s">
        <v>290</v>
      </c>
      <c r="G910" s="47" t="str">
        <f t="shared" si="37"/>
        <v>Marcus</v>
      </c>
      <c r="H910" s="49" t="s">
        <v>183</v>
      </c>
      <c r="I910" s="74" t="s">
        <v>66</v>
      </c>
      <c r="J910" s="47" t="str">
        <f t="shared" si="38"/>
        <v>Não</v>
      </c>
      <c r="K910" s="54">
        <v>45743.0</v>
      </c>
      <c r="L910" s="62"/>
      <c r="M910" s="32" t="s">
        <v>61</v>
      </c>
      <c r="N910" s="56">
        <v>0.01</v>
      </c>
      <c r="O910" s="23" t="s">
        <v>66</v>
      </c>
      <c r="P910" s="57">
        <v>0.0</v>
      </c>
      <c r="Q910" s="58"/>
      <c r="R910" s="635"/>
      <c r="S910" s="32" t="s">
        <v>194</v>
      </c>
      <c r="T910" s="32" t="s">
        <v>8765</v>
      </c>
      <c r="U910" s="33">
        <v>5.561998822525E12</v>
      </c>
      <c r="V910" s="33" t="s">
        <v>8766</v>
      </c>
      <c r="W910" s="48">
        <v>34694.0</v>
      </c>
      <c r="X910" s="23" t="s">
        <v>618</v>
      </c>
      <c r="Y910" s="49" t="str">
        <f t="shared" si="22"/>
        <v>Ativo</v>
      </c>
      <c r="Z910" s="62"/>
      <c r="AA910" s="32" t="s">
        <v>47</v>
      </c>
      <c r="AB910" s="64"/>
      <c r="AC910" s="79"/>
      <c r="AD910" s="54">
        <v>45748.0</v>
      </c>
      <c r="AE910" s="77">
        <v>4.9075100018537E13</v>
      </c>
      <c r="AF910" s="79"/>
      <c r="AG910" s="79"/>
      <c r="AH910" s="79"/>
      <c r="AI910" s="79"/>
      <c r="AJ910" s="79"/>
      <c r="AK910" s="65"/>
      <c r="AL910" s="65"/>
      <c r="AM910" s="65"/>
      <c r="AN910" s="65"/>
      <c r="AO910" s="65"/>
      <c r="AP910" s="65"/>
      <c r="AQ910" s="65"/>
      <c r="AR910" s="65"/>
      <c r="AS910" s="65"/>
      <c r="AT910" s="65"/>
      <c r="AU910" s="65"/>
      <c r="AV910" s="65"/>
      <c r="AW910" s="65"/>
      <c r="AX910" s="65"/>
      <c r="AY910" s="65"/>
      <c r="AZ910" s="65"/>
      <c r="BA910" s="65"/>
      <c r="BB910" s="65"/>
      <c r="BC910" s="65"/>
      <c r="BD910" s="65"/>
      <c r="BE910" s="65"/>
      <c r="BF910" s="65"/>
      <c r="BG910" s="65"/>
      <c r="BH910" s="65"/>
      <c r="BI910" s="65">
        <v>0.0</v>
      </c>
      <c r="BJ910" s="65">
        <v>686919.59</v>
      </c>
      <c r="BK910" s="65">
        <v>694420.32</v>
      </c>
      <c r="BL910" s="65">
        <v>981796.51</v>
      </c>
      <c r="BM910" s="65">
        <v>992867.07</v>
      </c>
      <c r="BN910" s="65">
        <v>987482.2</v>
      </c>
      <c r="BO910" s="65">
        <v>996664.02</v>
      </c>
      <c r="BP910" s="65">
        <v>1009534.0</v>
      </c>
      <c r="BQ910" s="65">
        <v>1019277.0</v>
      </c>
      <c r="BR910" s="65">
        <v>1029556.0</v>
      </c>
      <c r="BS910" s="65">
        <v>1041392.17</v>
      </c>
      <c r="BT910" s="88">
        <v>1050317.0</v>
      </c>
      <c r="BU910" s="65">
        <v>1063661.0</v>
      </c>
      <c r="BV910" s="65">
        <v>1071454.0</v>
      </c>
      <c r="BW910" s="90">
        <v>1083417.0</v>
      </c>
      <c r="BX910" s="90">
        <v>1091137.04</v>
      </c>
      <c r="BY910" s="90">
        <f t="array" ref="BY910">XLOOKUP(C910,'PL TOTAL D0'!$A$3:$A$1991,'PL TOTAL D0'!$C$3:$C$1991,"")</f>
        <v>1103932.91</v>
      </c>
    </row>
    <row r="911" ht="15.75" customHeight="1">
      <c r="A911" s="50" t="s">
        <v>24</v>
      </c>
      <c r="B911" s="43" t="s">
        <v>8767</v>
      </c>
      <c r="C911" s="94" t="s">
        <v>3542</v>
      </c>
      <c r="D911" s="30" t="s">
        <v>1257</v>
      </c>
      <c r="E911" s="22" t="s">
        <v>199</v>
      </c>
      <c r="F911" s="30" t="s">
        <v>1257</v>
      </c>
      <c r="G911" s="47" t="str">
        <f t="shared" si="37"/>
        <v>David</v>
      </c>
      <c r="H911" s="49" t="s">
        <v>183</v>
      </c>
      <c r="I911" s="49" t="s">
        <v>66</v>
      </c>
      <c r="J911" s="47" t="str">
        <f t="shared" si="38"/>
        <v>Não</v>
      </c>
      <c r="K911" s="54">
        <v>46139.0</v>
      </c>
      <c r="L911" s="55"/>
      <c r="M911" s="32" t="s">
        <v>1262</v>
      </c>
      <c r="N911" s="56"/>
      <c r="O911" s="23" t="s">
        <v>66</v>
      </c>
      <c r="P911" s="57">
        <v>0.0</v>
      </c>
      <c r="Q911" s="58"/>
      <c r="R911" s="58" t="s">
        <v>8716</v>
      </c>
      <c r="S911" s="32" t="s">
        <v>194</v>
      </c>
      <c r="T911" s="32" t="s">
        <v>8768</v>
      </c>
      <c r="U911" s="33" t="s">
        <v>8718</v>
      </c>
      <c r="V911" s="33" t="s">
        <v>8719</v>
      </c>
      <c r="W911" s="33"/>
      <c r="X911" s="23" t="s">
        <v>199</v>
      </c>
      <c r="Y911" s="49" t="str">
        <f t="shared" si="22"/>
        <v>Ativo</v>
      </c>
      <c r="Z911" s="32"/>
      <c r="AA911" s="32" t="s">
        <v>47</v>
      </c>
      <c r="AB911" s="64" t="s">
        <v>269</v>
      </c>
      <c r="AC911" s="79"/>
      <c r="AD911" s="54">
        <v>45448.0</v>
      </c>
      <c r="AE911" s="77">
        <v>4.9075100015031E13</v>
      </c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65"/>
      <c r="AW911" s="65"/>
      <c r="AX911" s="65"/>
      <c r="AY911" s="65"/>
      <c r="AZ911" s="65">
        <v>11609.16</v>
      </c>
      <c r="BA911" s="65">
        <v>11725.87</v>
      </c>
      <c r="BB911" s="65">
        <v>0.0</v>
      </c>
      <c r="BC911" s="65">
        <v>0.0</v>
      </c>
      <c r="BD911" s="65">
        <v>0.0</v>
      </c>
      <c r="BE911" s="65">
        <v>0.0</v>
      </c>
      <c r="BF911" s="65">
        <v>0.0</v>
      </c>
      <c r="BG911" s="65">
        <v>0.0</v>
      </c>
      <c r="BH911" s="65">
        <v>0.0</v>
      </c>
      <c r="BI911" s="65">
        <v>0.0</v>
      </c>
      <c r="BJ911" s="65">
        <v>0.0</v>
      </c>
      <c r="BK911" s="65">
        <v>0.0</v>
      </c>
      <c r="BL911" s="65">
        <v>0.0</v>
      </c>
      <c r="BM911" s="65">
        <v>0.0</v>
      </c>
      <c r="BN911" s="65">
        <v>0.0</v>
      </c>
      <c r="BO911" s="65">
        <v>0.0</v>
      </c>
      <c r="BP911" s="65">
        <v>0.0</v>
      </c>
      <c r="BQ911" s="65">
        <v>0.0</v>
      </c>
      <c r="BR911" s="65">
        <v>0.0</v>
      </c>
      <c r="BS911" s="65">
        <v>0.0</v>
      </c>
      <c r="BT911" s="88">
        <v>0.0</v>
      </c>
      <c r="BU911" s="65">
        <v>0.0</v>
      </c>
      <c r="BV911" s="65">
        <v>14671.16</v>
      </c>
      <c r="BW911" s="90">
        <v>14872.26</v>
      </c>
      <c r="BX911" s="90">
        <v>15034.13</v>
      </c>
      <c r="BY911" s="90">
        <f t="array" ref="BY911">XLOOKUP(C911,'PL TOTAL D0'!$A$3:$A$1991,'PL TOTAL D0'!$C$3:$C$1991,"")</f>
        <v>15240.26</v>
      </c>
    </row>
    <row r="912" ht="15.75" customHeight="1">
      <c r="A912" s="50" t="s">
        <v>24</v>
      </c>
      <c r="B912" s="43" t="s">
        <v>8769</v>
      </c>
      <c r="C912" s="94" t="s">
        <v>3436</v>
      </c>
      <c r="D912" s="30" t="s">
        <v>120</v>
      </c>
      <c r="E912" s="22" t="s">
        <v>199</v>
      </c>
      <c r="F912" s="30" t="s">
        <v>290</v>
      </c>
      <c r="G912" s="47" t="str">
        <f t="shared" si="37"/>
        <v>David</v>
      </c>
      <c r="H912" s="49" t="s">
        <v>183</v>
      </c>
      <c r="I912" s="49" t="s">
        <v>66</v>
      </c>
      <c r="J912" s="47" t="str">
        <f t="shared" si="38"/>
        <v>Não</v>
      </c>
      <c r="K912" s="54">
        <v>45568.0</v>
      </c>
      <c r="L912" s="62"/>
      <c r="M912" s="32" t="s">
        <v>61</v>
      </c>
      <c r="N912" s="56">
        <v>0.012</v>
      </c>
      <c r="O912" s="23" t="s">
        <v>66</v>
      </c>
      <c r="P912" s="57">
        <v>0.0</v>
      </c>
      <c r="Q912" s="58"/>
      <c r="R912" s="635"/>
      <c r="S912" s="32" t="s">
        <v>194</v>
      </c>
      <c r="T912" s="32" t="s">
        <v>8770</v>
      </c>
      <c r="U912" s="33">
        <v>6.1982597805E10</v>
      </c>
      <c r="V912" s="33" t="s">
        <v>8771</v>
      </c>
      <c r="W912" s="34">
        <v>37138.0</v>
      </c>
      <c r="X912" s="23" t="s">
        <v>199</v>
      </c>
      <c r="Y912" s="49" t="str">
        <f t="shared" si="22"/>
        <v>Ativo</v>
      </c>
      <c r="Z912" s="32"/>
      <c r="AA912" s="32" t="s">
        <v>47</v>
      </c>
      <c r="AB912" s="64"/>
      <c r="AC912" s="79"/>
      <c r="AD912" s="54">
        <v>45568.0</v>
      </c>
      <c r="AE912" s="77">
        <v>4.9075100016062E13</v>
      </c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65"/>
      <c r="AW912" s="65"/>
      <c r="AX912" s="65"/>
      <c r="AY912" s="65"/>
      <c r="AZ912" s="65"/>
      <c r="BA912" s="65"/>
      <c r="BB912" s="65"/>
      <c r="BC912" s="65"/>
      <c r="BD912" s="65">
        <v>145011.34</v>
      </c>
      <c r="BE912" s="65">
        <v>146219.68</v>
      </c>
      <c r="BF912" s="65">
        <v>147608.42</v>
      </c>
      <c r="BG912" s="65">
        <v>149073.36</v>
      </c>
      <c r="BH912" s="65">
        <v>149390.82</v>
      </c>
      <c r="BI912" s="65">
        <v>148691.17</v>
      </c>
      <c r="BJ912" s="65">
        <v>124243.95</v>
      </c>
      <c r="BK912" s="65">
        <v>125460.75</v>
      </c>
      <c r="BL912" s="65">
        <v>119878.75</v>
      </c>
      <c r="BM912" s="65">
        <v>120811.09</v>
      </c>
      <c r="BN912" s="65">
        <v>121285.2</v>
      </c>
      <c r="BO912" s="65">
        <v>121672.03</v>
      </c>
      <c r="BP912" s="65">
        <v>120661.4</v>
      </c>
      <c r="BQ912" s="65">
        <v>116798.7</v>
      </c>
      <c r="BR912" s="65">
        <v>116056.5</v>
      </c>
      <c r="BS912" s="65">
        <v>108357.01</v>
      </c>
      <c r="BT912" s="88">
        <v>107255.6</v>
      </c>
      <c r="BU912" s="65">
        <v>105029.7</v>
      </c>
      <c r="BV912" s="65">
        <v>102096.0</v>
      </c>
      <c r="BW912" s="90">
        <v>88103.6</v>
      </c>
      <c r="BX912" s="90">
        <v>74407.63</v>
      </c>
      <c r="BY912" s="90">
        <f t="array" ref="BY912">XLOOKUP(C912,'PL TOTAL D0'!$A$3:$A$1991,'PL TOTAL D0'!$C$3:$C$1991,"")</f>
        <v>54155.36</v>
      </c>
    </row>
    <row r="913" ht="15.75" customHeight="1">
      <c r="A913" s="50" t="s">
        <v>24</v>
      </c>
      <c r="B913" s="43" t="s">
        <v>8769</v>
      </c>
      <c r="C913" s="94" t="s">
        <v>3489</v>
      </c>
      <c r="D913" s="30" t="s">
        <v>120</v>
      </c>
      <c r="E913" s="22" t="s">
        <v>199</v>
      </c>
      <c r="F913" s="30" t="s">
        <v>290</v>
      </c>
      <c r="G913" s="47" t="str">
        <f t="shared" si="37"/>
        <v>David</v>
      </c>
      <c r="H913" s="49" t="s">
        <v>183</v>
      </c>
      <c r="I913" s="49" t="s">
        <v>66</v>
      </c>
      <c r="J913" s="47" t="str">
        <f t="shared" si="38"/>
        <v>Não</v>
      </c>
      <c r="K913" s="54">
        <v>45755.0</v>
      </c>
      <c r="L913" s="62"/>
      <c r="M913" s="32" t="s">
        <v>4465</v>
      </c>
      <c r="N913" s="56">
        <v>0.02</v>
      </c>
      <c r="O913" s="23" t="s">
        <v>233</v>
      </c>
      <c r="P913" s="57">
        <v>0.2</v>
      </c>
      <c r="Q913" s="58"/>
      <c r="R913" s="635"/>
      <c r="S913" s="32" t="s">
        <v>194</v>
      </c>
      <c r="T913" s="32" t="s">
        <v>8770</v>
      </c>
      <c r="U913" s="33">
        <v>6.1982597805E10</v>
      </c>
      <c r="V913" s="33" t="s">
        <v>8771</v>
      </c>
      <c r="W913" s="34">
        <v>37138.0</v>
      </c>
      <c r="X913" s="23" t="s">
        <v>199</v>
      </c>
      <c r="Y913" s="49" t="str">
        <f t="shared" si="22"/>
        <v>Ativo</v>
      </c>
      <c r="Z913" s="32"/>
      <c r="AA913" s="32" t="s">
        <v>47</v>
      </c>
      <c r="AB913" s="64"/>
      <c r="AC913" s="79"/>
      <c r="AD913" s="54">
        <v>45757.0</v>
      </c>
      <c r="AE913" s="77">
        <v>4.9075100018626E13</v>
      </c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65"/>
      <c r="AW913" s="65"/>
      <c r="AX913" s="65"/>
      <c r="AY913" s="65"/>
      <c r="AZ913" s="65"/>
      <c r="BA913" s="65"/>
      <c r="BB913" s="65"/>
      <c r="BC913" s="65"/>
      <c r="BD913" s="65"/>
      <c r="BE913" s="65"/>
      <c r="BF913" s="65"/>
      <c r="BG913" s="65"/>
      <c r="BH913" s="65"/>
      <c r="BI913" s="65"/>
      <c r="BJ913" s="65">
        <v>21871.83</v>
      </c>
      <c r="BK913" s="65">
        <v>21333.99</v>
      </c>
      <c r="BL913" s="65">
        <v>21530.38</v>
      </c>
      <c r="BM913" s="65">
        <v>21769.7</v>
      </c>
      <c r="BN913" s="65">
        <v>21980.31</v>
      </c>
      <c r="BO913" s="65">
        <v>22197.45</v>
      </c>
      <c r="BP913" s="65">
        <v>22793.07</v>
      </c>
      <c r="BQ913" s="65">
        <v>23780.49</v>
      </c>
      <c r="BR913" s="65">
        <v>23240.58</v>
      </c>
      <c r="BS913" s="65">
        <v>25242.1</v>
      </c>
      <c r="BT913" s="88">
        <v>26619.96</v>
      </c>
      <c r="BU913" s="65">
        <v>26513.45</v>
      </c>
      <c r="BV913" s="65">
        <v>26528.22</v>
      </c>
      <c r="BW913" s="90">
        <v>25089.3</v>
      </c>
      <c r="BX913" s="90">
        <v>26245.09</v>
      </c>
      <c r="BY913" s="90">
        <f t="array" ref="BY913">XLOOKUP(C913,'PL TOTAL D0'!$A$3:$A$1991,'PL TOTAL D0'!$C$3:$C$1991,"")</f>
        <v>34198.54</v>
      </c>
    </row>
    <row r="914" ht="15.75" customHeight="1">
      <c r="A914" s="50" t="s">
        <v>24</v>
      </c>
      <c r="B914" s="43" t="s">
        <v>8772</v>
      </c>
      <c r="C914" s="94" t="s">
        <v>8773</v>
      </c>
      <c r="D914" s="81" t="s">
        <v>120</v>
      </c>
      <c r="E914" s="95" t="s">
        <v>54</v>
      </c>
      <c r="F914" s="81" t="s">
        <v>379</v>
      </c>
      <c r="G914" s="47" t="str">
        <f t="shared" si="37"/>
        <v>David</v>
      </c>
      <c r="H914" s="49" t="s">
        <v>224</v>
      </c>
      <c r="I914" s="49" t="s">
        <v>66</v>
      </c>
      <c r="J914" s="47" t="str">
        <f t="shared" si="38"/>
        <v>Não</v>
      </c>
      <c r="K914" s="97">
        <v>44958.0</v>
      </c>
      <c r="L914" s="121">
        <v>46014.0</v>
      </c>
      <c r="M914" s="62" t="s">
        <v>61</v>
      </c>
      <c r="N914" s="98">
        <v>0.007</v>
      </c>
      <c r="O914" s="47" t="s">
        <v>66</v>
      </c>
      <c r="P914" s="99">
        <v>0.0</v>
      </c>
      <c r="Q914" s="58"/>
      <c r="R914" s="635"/>
      <c r="S914" s="62" t="s">
        <v>234</v>
      </c>
      <c r="T914" s="32" t="s">
        <v>6780</v>
      </c>
      <c r="U914" s="33">
        <v>5.561985316776E12</v>
      </c>
      <c r="V914" s="33" t="s">
        <v>8774</v>
      </c>
      <c r="W914" s="34">
        <v>43649.0</v>
      </c>
      <c r="X914" s="23" t="s">
        <v>54</v>
      </c>
      <c r="Y914" s="49" t="str">
        <f t="shared" si="22"/>
        <v>Encerrado</v>
      </c>
      <c r="Z914" s="62"/>
      <c r="AA914" s="32" t="s">
        <v>47</v>
      </c>
      <c r="AB914" s="64" t="s">
        <v>2099</v>
      </c>
      <c r="AC914" s="79"/>
      <c r="AD914" s="54">
        <v>44958.0</v>
      </c>
      <c r="AE914" s="77">
        <v>4.9075100006628E13</v>
      </c>
      <c r="AF914" s="79"/>
      <c r="AG914" s="79"/>
      <c r="AH914" s="79"/>
      <c r="AI914" s="65">
        <v>0.0</v>
      </c>
      <c r="AJ914" s="65">
        <v>2977311.65</v>
      </c>
      <c r="AK914" s="65">
        <v>1365838.92</v>
      </c>
      <c r="AL914" s="65">
        <v>1374697.27</v>
      </c>
      <c r="AM914" s="65">
        <v>1389671.12</v>
      </c>
      <c r="AN914" s="65">
        <v>1402232.72</v>
      </c>
      <c r="AO914" s="65">
        <v>1409788.24</v>
      </c>
      <c r="AP914" s="65">
        <v>1422979.54</v>
      </c>
      <c r="AQ914" s="65">
        <v>1434733.03</v>
      </c>
      <c r="AR914" s="65">
        <v>1447073.51</v>
      </c>
      <c r="AS914" s="65">
        <v>1458586.15</v>
      </c>
      <c r="AT914" s="65">
        <v>1470626.55</v>
      </c>
      <c r="AU914" s="65">
        <v>1483501.85</v>
      </c>
      <c r="AV914" s="65">
        <v>1790089.98</v>
      </c>
      <c r="AW914" s="65">
        <v>1806232.88</v>
      </c>
      <c r="AX914" s="65">
        <v>1805004.82</v>
      </c>
      <c r="AY914" s="65">
        <v>1819494.0</v>
      </c>
      <c r="AZ914" s="65">
        <v>1834511.0</v>
      </c>
      <c r="BA914" s="65">
        <v>1849257.0</v>
      </c>
      <c r="BB914" s="65">
        <v>1864967.12</v>
      </c>
      <c r="BC914" s="65">
        <v>1724552.06</v>
      </c>
      <c r="BD914" s="65">
        <v>1739516.72</v>
      </c>
      <c r="BE914" s="65">
        <v>1649560.58</v>
      </c>
      <c r="BF914" s="65">
        <v>1612009.45</v>
      </c>
      <c r="BG914" s="65">
        <v>1604865.14</v>
      </c>
      <c r="BH914" s="65">
        <v>1602554.54</v>
      </c>
      <c r="BI914" s="65">
        <v>1611219.38</v>
      </c>
      <c r="BJ914" s="65">
        <v>1622408.8</v>
      </c>
      <c r="BK914" s="65">
        <v>1638811.24</v>
      </c>
      <c r="BL914" s="65">
        <v>1653804.21</v>
      </c>
      <c r="BM914" s="65">
        <v>1624823.59</v>
      </c>
      <c r="BN914" s="65">
        <v>1639408.0</v>
      </c>
      <c r="BO914" s="65">
        <v>1655790.86</v>
      </c>
      <c r="BP914" s="65">
        <v>1676921.0</v>
      </c>
      <c r="BQ914" s="65">
        <v>0.0</v>
      </c>
      <c r="BR914" s="65">
        <v>0.0</v>
      </c>
      <c r="BS914" s="65">
        <v>0.0</v>
      </c>
      <c r="BT914" s="88">
        <v>0.0</v>
      </c>
      <c r="BU914" s="65">
        <v>0.0</v>
      </c>
      <c r="BV914" s="65">
        <v>0.0</v>
      </c>
      <c r="BW914" s="90">
        <v>0.0</v>
      </c>
      <c r="BX914" s="90">
        <v>0.0</v>
      </c>
      <c r="BY914" s="90" t="str">
        <f t="array" ref="BY914">XLOOKUP(C914,'PL TOTAL D0'!$A$3:$A$1991,'PL TOTAL D0'!$C$3:$C$1991,"")</f>
        <v/>
      </c>
    </row>
    <row r="915" ht="15.75" customHeight="1">
      <c r="A915" s="50" t="s">
        <v>24</v>
      </c>
      <c r="B915" s="43" t="s">
        <v>8772</v>
      </c>
      <c r="C915" s="94" t="s">
        <v>8775</v>
      </c>
      <c r="D915" s="81" t="s">
        <v>120</v>
      </c>
      <c r="E915" s="95" t="s">
        <v>54</v>
      </c>
      <c r="F915" s="81" t="s">
        <v>379</v>
      </c>
      <c r="G915" s="47" t="str">
        <f t="shared" si="37"/>
        <v>David</v>
      </c>
      <c r="H915" s="49" t="s">
        <v>224</v>
      </c>
      <c r="I915" s="49" t="s">
        <v>66</v>
      </c>
      <c r="J915" s="47" t="str">
        <f t="shared" si="38"/>
        <v>Não</v>
      </c>
      <c r="K915" s="97">
        <v>44998.0</v>
      </c>
      <c r="L915" s="121">
        <v>46014.0</v>
      </c>
      <c r="M915" s="62" t="s">
        <v>61</v>
      </c>
      <c r="N915" s="98">
        <v>0.007</v>
      </c>
      <c r="O915" s="47" t="s">
        <v>66</v>
      </c>
      <c r="P915" s="99">
        <v>0.0</v>
      </c>
      <c r="Q915" s="58"/>
      <c r="R915" s="635"/>
      <c r="S915" s="62" t="s">
        <v>234</v>
      </c>
      <c r="T915" s="32" t="s">
        <v>6780</v>
      </c>
      <c r="U915" s="33">
        <v>5.561985316776E12</v>
      </c>
      <c r="V915" s="33" t="s">
        <v>8774</v>
      </c>
      <c r="W915" s="34">
        <v>43649.0</v>
      </c>
      <c r="X915" s="23" t="s">
        <v>54</v>
      </c>
      <c r="Y915" s="49" t="str">
        <f t="shared" si="22"/>
        <v>Encerrado</v>
      </c>
      <c r="Z915" s="62"/>
      <c r="AA915" s="32" t="s">
        <v>47</v>
      </c>
      <c r="AB915" s="64" t="s">
        <v>2099</v>
      </c>
      <c r="AC915" s="79"/>
      <c r="AD915" s="54">
        <v>44998.0</v>
      </c>
      <c r="AE915" s="77">
        <v>4.9075100008851E13</v>
      </c>
      <c r="AF915" s="79"/>
      <c r="AG915" s="79"/>
      <c r="AH915" s="79"/>
      <c r="AI915" s="65">
        <v>0.0</v>
      </c>
      <c r="AJ915" s="65">
        <v>0.0</v>
      </c>
      <c r="AK915" s="65">
        <v>1643644.34</v>
      </c>
      <c r="AL915" s="65">
        <v>1653139.89</v>
      </c>
      <c r="AM915" s="65">
        <v>1667434.67</v>
      </c>
      <c r="AN915" s="65">
        <v>1683033.97</v>
      </c>
      <c r="AO915" s="65">
        <v>1694859.99</v>
      </c>
      <c r="AP915" s="65">
        <v>1710534.55</v>
      </c>
      <c r="AQ915" s="65">
        <v>1716725.01</v>
      </c>
      <c r="AR915" s="65">
        <v>1732559.45</v>
      </c>
      <c r="AS915" s="65">
        <v>1744628.66</v>
      </c>
      <c r="AT915" s="65">
        <v>1759607.04</v>
      </c>
      <c r="AU915" s="65">
        <v>1772542.69</v>
      </c>
      <c r="AV915" s="65">
        <v>1786002.2</v>
      </c>
      <c r="AW915" s="65">
        <v>1609197.92</v>
      </c>
      <c r="AX915" s="65">
        <v>1392126.01</v>
      </c>
      <c r="AY915" s="65">
        <v>1397344.0</v>
      </c>
      <c r="AZ915" s="65">
        <v>1409133.0</v>
      </c>
      <c r="BA915" s="65">
        <v>1421580.0</v>
      </c>
      <c r="BB915" s="65">
        <v>1431504.89</v>
      </c>
      <c r="BC915" s="65">
        <v>1442077.92</v>
      </c>
      <c r="BD915" s="65">
        <v>1453611.1</v>
      </c>
      <c r="BE915" s="65">
        <v>1402724.25</v>
      </c>
      <c r="BF915" s="65">
        <v>1412886.02</v>
      </c>
      <c r="BG915" s="65">
        <v>1403982.76</v>
      </c>
      <c r="BH915" s="65">
        <v>1401452.92</v>
      </c>
      <c r="BI915" s="65">
        <v>1377585.44</v>
      </c>
      <c r="BJ915" s="65">
        <v>1389087.15</v>
      </c>
      <c r="BK915" s="65">
        <v>1403506.38</v>
      </c>
      <c r="BL915" s="65">
        <v>1414537.42</v>
      </c>
      <c r="BM915" s="65">
        <v>1376799.04</v>
      </c>
      <c r="BN915" s="65">
        <v>1391496.0</v>
      </c>
      <c r="BO915" s="65">
        <v>1405241.19</v>
      </c>
      <c r="BP915" s="65">
        <v>1382703.0</v>
      </c>
      <c r="BQ915" s="65">
        <v>0.0</v>
      </c>
      <c r="BR915" s="65">
        <v>0.0</v>
      </c>
      <c r="BS915" s="65">
        <v>0.0</v>
      </c>
      <c r="BT915" s="88">
        <v>0.0</v>
      </c>
      <c r="BU915" s="65">
        <v>0.0</v>
      </c>
      <c r="BV915" s="65">
        <v>0.0</v>
      </c>
      <c r="BW915" s="90">
        <v>0.0</v>
      </c>
      <c r="BX915" s="90">
        <v>0.0</v>
      </c>
      <c r="BY915" s="90" t="str">
        <f t="array" ref="BY915">XLOOKUP(C915,'PL TOTAL D0'!$A$3:$A$1991,'PL TOTAL D0'!$C$3:$C$1991,"")</f>
        <v/>
      </c>
    </row>
    <row r="916" ht="15.75" customHeight="1">
      <c r="A916" s="50" t="s">
        <v>24</v>
      </c>
      <c r="B916" s="43" t="s">
        <v>8772</v>
      </c>
      <c r="C916" s="94" t="s">
        <v>8776</v>
      </c>
      <c r="D916" s="30" t="s">
        <v>120</v>
      </c>
      <c r="E916" s="95" t="s">
        <v>54</v>
      </c>
      <c r="F916" s="81" t="s">
        <v>379</v>
      </c>
      <c r="G916" s="47" t="str">
        <f t="shared" si="37"/>
        <v>David</v>
      </c>
      <c r="H916" s="49" t="s">
        <v>224</v>
      </c>
      <c r="I916" s="49" t="s">
        <v>66</v>
      </c>
      <c r="J916" s="47" t="str">
        <f t="shared" si="38"/>
        <v>Não</v>
      </c>
      <c r="K916" s="54">
        <v>45701.0</v>
      </c>
      <c r="L916" s="121">
        <v>46014.0</v>
      </c>
      <c r="M916" s="32" t="s">
        <v>4551</v>
      </c>
      <c r="N916" s="56">
        <v>0.01</v>
      </c>
      <c r="O916" s="23" t="s">
        <v>66</v>
      </c>
      <c r="P916" s="57">
        <v>0.0</v>
      </c>
      <c r="Q916" s="58"/>
      <c r="R916" s="635"/>
      <c r="S916" s="32" t="s">
        <v>234</v>
      </c>
      <c r="T916" s="32" t="s">
        <v>6780</v>
      </c>
      <c r="U916" s="33">
        <v>6.2982114064E10</v>
      </c>
      <c r="V916" s="33" t="s">
        <v>8777</v>
      </c>
      <c r="W916" s="34">
        <v>43649.0</v>
      </c>
      <c r="X916" s="23" t="s">
        <v>54</v>
      </c>
      <c r="Y916" s="49" t="str">
        <f t="shared" si="22"/>
        <v>Encerrado</v>
      </c>
      <c r="Z916" s="62"/>
      <c r="AA916" s="32" t="s">
        <v>47</v>
      </c>
      <c r="AB916" s="64"/>
      <c r="AC916" s="79"/>
      <c r="AD916" s="54">
        <v>45701.0</v>
      </c>
      <c r="AE916" s="77">
        <v>4.9075100018278E13</v>
      </c>
      <c r="AF916" s="79"/>
      <c r="AG916" s="79"/>
      <c r="AH916" s="79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  <c r="AT916" s="65"/>
      <c r="AU916" s="65"/>
      <c r="AV916" s="65"/>
      <c r="AW916" s="65"/>
      <c r="AX916" s="65"/>
      <c r="AY916" s="65"/>
      <c r="AZ916" s="65"/>
      <c r="BA916" s="65"/>
      <c r="BB916" s="65"/>
      <c r="BC916" s="65"/>
      <c r="BD916" s="65"/>
      <c r="BE916" s="65"/>
      <c r="BF916" s="65"/>
      <c r="BG916" s="65"/>
      <c r="BH916" s="65">
        <v>0.0</v>
      </c>
      <c r="BI916" s="65">
        <v>0.0</v>
      </c>
      <c r="BJ916" s="65">
        <v>0.0</v>
      </c>
      <c r="BK916" s="65">
        <v>0.0</v>
      </c>
      <c r="BL916" s="65">
        <v>0.0</v>
      </c>
      <c r="BM916" s="65">
        <v>0.0</v>
      </c>
      <c r="BN916" s="65">
        <v>0.0</v>
      </c>
      <c r="BO916" s="65">
        <v>0.0</v>
      </c>
      <c r="BP916" s="65">
        <v>0.0</v>
      </c>
      <c r="BQ916" s="65">
        <v>0.0</v>
      </c>
      <c r="BR916" s="65">
        <v>0.0</v>
      </c>
      <c r="BS916" s="65">
        <v>0.0</v>
      </c>
      <c r="BT916" s="88">
        <v>0.0</v>
      </c>
      <c r="BU916" s="65">
        <v>0.0</v>
      </c>
      <c r="BV916" s="65">
        <v>0.0</v>
      </c>
      <c r="BW916" s="90">
        <v>0.0</v>
      </c>
      <c r="BX916" s="90">
        <v>0.0</v>
      </c>
      <c r="BY916" s="90" t="str">
        <f t="array" ref="BY916">XLOOKUP(C916,'PL TOTAL D0'!$A$3:$A$1991,'PL TOTAL D0'!$C$3:$C$1991,"")</f>
        <v/>
      </c>
    </row>
    <row r="917" ht="15.75" customHeight="1">
      <c r="A917" s="50" t="s">
        <v>24</v>
      </c>
      <c r="B917" s="431" t="s">
        <v>8778</v>
      </c>
      <c r="C917" s="94" t="s">
        <v>3366</v>
      </c>
      <c r="D917" s="30" t="s">
        <v>120</v>
      </c>
      <c r="E917" s="22" t="s">
        <v>54</v>
      </c>
      <c r="F917" s="30" t="s">
        <v>125</v>
      </c>
      <c r="G917" s="47" t="str">
        <f t="shared" si="37"/>
        <v>David</v>
      </c>
      <c r="H917" s="49" t="s">
        <v>183</v>
      </c>
      <c r="I917" s="49" t="s">
        <v>66</v>
      </c>
      <c r="J917" s="47" t="str">
        <f t="shared" si="38"/>
        <v>Sim</v>
      </c>
      <c r="K917" s="54">
        <v>45495.0</v>
      </c>
      <c r="L917" s="62"/>
      <c r="M917" s="32" t="s">
        <v>61</v>
      </c>
      <c r="N917" s="56">
        <v>0.012</v>
      </c>
      <c r="O917" s="23" t="s">
        <v>66</v>
      </c>
      <c r="P917" s="57">
        <v>0.0</v>
      </c>
      <c r="Q917" s="58" t="s">
        <v>8779</v>
      </c>
      <c r="R917" s="635"/>
      <c r="S917" s="32" t="s">
        <v>194</v>
      </c>
      <c r="T917" s="32" t="s">
        <v>8780</v>
      </c>
      <c r="U917" s="33">
        <v>5.562985415202E12</v>
      </c>
      <c r="V917" s="33" t="s">
        <v>8781</v>
      </c>
      <c r="W917" s="34">
        <v>32721.0</v>
      </c>
      <c r="X917" s="23" t="s">
        <v>54</v>
      </c>
      <c r="Y917" s="49" t="str">
        <f t="shared" si="22"/>
        <v>Ativo</v>
      </c>
      <c r="Z917" s="32"/>
      <c r="AA917" s="32" t="s">
        <v>47</v>
      </c>
      <c r="AB917" s="64" t="s">
        <v>269</v>
      </c>
      <c r="AC917" s="79"/>
      <c r="AD917" s="54">
        <v>45495.0</v>
      </c>
      <c r="AE917" s="77">
        <v>4.9075100015481E13</v>
      </c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65"/>
      <c r="AW917" s="65"/>
      <c r="AX917" s="65"/>
      <c r="AY917" s="65"/>
      <c r="AZ917" s="65"/>
      <c r="BA917" s="65">
        <v>73594.8</v>
      </c>
      <c r="BB917" s="65">
        <v>266372.96</v>
      </c>
      <c r="BC917" s="65">
        <v>268551.98</v>
      </c>
      <c r="BD917" s="65">
        <v>290844.23</v>
      </c>
      <c r="BE917" s="65">
        <v>232954.01</v>
      </c>
      <c r="BF917" s="65">
        <v>234311.66</v>
      </c>
      <c r="BG917" s="65">
        <v>240640.25</v>
      </c>
      <c r="BH917" s="65">
        <v>201926.1</v>
      </c>
      <c r="BI917" s="65">
        <v>180094.73</v>
      </c>
      <c r="BJ917" s="65">
        <v>176413.23</v>
      </c>
      <c r="BK917" s="65">
        <v>177880.35</v>
      </c>
      <c r="BL917" s="65">
        <v>178859.52</v>
      </c>
      <c r="BM917" s="65">
        <v>180978.59</v>
      </c>
      <c r="BN917" s="65">
        <v>183005.1</v>
      </c>
      <c r="BO917" s="65">
        <v>185069.66</v>
      </c>
      <c r="BP917" s="65">
        <v>181841.5</v>
      </c>
      <c r="BQ917" s="65">
        <v>157491.3</v>
      </c>
      <c r="BR917" s="65">
        <v>126538.8</v>
      </c>
      <c r="BS917" s="65">
        <v>125501.92</v>
      </c>
      <c r="BT917" s="88">
        <v>105904.5</v>
      </c>
      <c r="BU917" s="65">
        <v>106744.8</v>
      </c>
      <c r="BV917" s="65">
        <v>107570.1</v>
      </c>
      <c r="BW917" s="90">
        <v>78078.4</v>
      </c>
      <c r="BX917" s="90">
        <v>78999.81</v>
      </c>
      <c r="BY917" s="90">
        <f t="array" ref="BY917">XLOOKUP(C917,'PL TOTAL D0'!$A$3:$A$1991,'PL TOTAL D0'!$C$3:$C$1991,"")</f>
        <v>79885.4</v>
      </c>
    </row>
    <row r="918" ht="15.75" customHeight="1">
      <c r="A918" s="50" t="s">
        <v>24</v>
      </c>
      <c r="B918" s="200" t="s">
        <v>8782</v>
      </c>
      <c r="C918" s="94" t="s">
        <v>3208</v>
      </c>
      <c r="D918" s="30" t="s">
        <v>365</v>
      </c>
      <c r="E918" s="22" t="s">
        <v>199</v>
      </c>
      <c r="F918" s="30" t="s">
        <v>368</v>
      </c>
      <c r="G918" s="47" t="str">
        <f t="shared" si="37"/>
        <v>David</v>
      </c>
      <c r="H918" s="49" t="s">
        <v>183</v>
      </c>
      <c r="I918" s="49" t="s">
        <v>66</v>
      </c>
      <c r="J918" s="47" t="str">
        <f t="shared" si="38"/>
        <v>Não</v>
      </c>
      <c r="K918" s="54">
        <v>45518.0</v>
      </c>
      <c r="L918" s="62"/>
      <c r="M918" s="32" t="s">
        <v>61</v>
      </c>
      <c r="N918" s="56">
        <v>0.012</v>
      </c>
      <c r="O918" s="23" t="s">
        <v>66</v>
      </c>
      <c r="P918" s="57">
        <v>0.0</v>
      </c>
      <c r="Q918" s="58"/>
      <c r="R918" s="635"/>
      <c r="S918" s="32" t="s">
        <v>194</v>
      </c>
      <c r="T918" s="32" t="s">
        <v>8783</v>
      </c>
      <c r="U918" s="33">
        <v>5.561999659057E12</v>
      </c>
      <c r="V918" s="33" t="s">
        <v>8784</v>
      </c>
      <c r="W918" s="34">
        <v>44005.0</v>
      </c>
      <c r="X918" s="23" t="s">
        <v>199</v>
      </c>
      <c r="Y918" s="49" t="str">
        <f t="shared" si="22"/>
        <v>Ativo</v>
      </c>
      <c r="Z918" s="32"/>
      <c r="AA918" s="32" t="s">
        <v>47</v>
      </c>
      <c r="AB918" s="64" t="s">
        <v>269</v>
      </c>
      <c r="AC918" s="79"/>
      <c r="AD918" s="54">
        <v>45518.0</v>
      </c>
      <c r="AE918" s="77">
        <v>4.9075100015627E13</v>
      </c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65"/>
      <c r="AW918" s="65"/>
      <c r="AX918" s="65"/>
      <c r="AY918" s="65"/>
      <c r="AZ918" s="65"/>
      <c r="BA918" s="65"/>
      <c r="BB918" s="65">
        <v>127511.46</v>
      </c>
      <c r="BC918" s="65">
        <v>128338.66</v>
      </c>
      <c r="BD918" s="65">
        <v>129363.43</v>
      </c>
      <c r="BE918" s="65">
        <v>130129.56</v>
      </c>
      <c r="BF918" s="65">
        <v>131241.72</v>
      </c>
      <c r="BG918" s="65">
        <v>132309.8</v>
      </c>
      <c r="BH918" s="65">
        <v>133510.9</v>
      </c>
      <c r="BI918" s="65">
        <v>135038.7</v>
      </c>
      <c r="BJ918" s="65">
        <v>136332.89</v>
      </c>
      <c r="BK918" s="65">
        <v>141410.49</v>
      </c>
      <c r="BL918" s="65">
        <v>142417.2</v>
      </c>
      <c r="BM918" s="65">
        <v>143643.54</v>
      </c>
      <c r="BN918" s="65">
        <v>144638.1</v>
      </c>
      <c r="BO918" s="65">
        <v>145612.18</v>
      </c>
      <c r="BP918" s="65">
        <v>146886.4</v>
      </c>
      <c r="BQ918" s="65">
        <v>147508.3</v>
      </c>
      <c r="BR918" s="65">
        <v>148496.5</v>
      </c>
      <c r="BS918" s="65">
        <v>117801.28</v>
      </c>
      <c r="BT918" s="88">
        <v>148514.5</v>
      </c>
      <c r="BU918" s="65">
        <v>150373.8</v>
      </c>
      <c r="BV918" s="65">
        <v>152138.3</v>
      </c>
      <c r="BW918" s="90">
        <v>153518.0</v>
      </c>
      <c r="BX918" s="90">
        <v>154970.49</v>
      </c>
      <c r="BY918" s="90">
        <f t="array" ref="BY918">XLOOKUP(C918,'PL TOTAL D0'!$A$3:$A$1991,'PL TOTAL D0'!$C$3:$C$1991,"")</f>
        <v>156220.81</v>
      </c>
    </row>
    <row r="919" ht="15.75" customHeight="1">
      <c r="A919" s="50" t="s">
        <v>24</v>
      </c>
      <c r="B919" s="50" t="s">
        <v>8785</v>
      </c>
      <c r="C919" s="94" t="s">
        <v>8786</v>
      </c>
      <c r="D919" s="81" t="s">
        <v>120</v>
      </c>
      <c r="E919" s="95" t="s">
        <v>54</v>
      </c>
      <c r="F919" s="81" t="s">
        <v>1393</v>
      </c>
      <c r="G919" s="47" t="str">
        <f t="shared" si="37"/>
        <v>David</v>
      </c>
      <c r="H919" s="49" t="s">
        <v>295</v>
      </c>
      <c r="I919" s="49" t="s">
        <v>382</v>
      </c>
      <c r="J919" s="47" t="str">
        <f t="shared" si="38"/>
        <v>Não</v>
      </c>
      <c r="K919" s="97">
        <v>45028.0</v>
      </c>
      <c r="L919" s="62"/>
      <c r="M919" s="62" t="s">
        <v>61</v>
      </c>
      <c r="N919" s="98">
        <v>0.012</v>
      </c>
      <c r="O919" s="47" t="s">
        <v>66</v>
      </c>
      <c r="P919" s="99">
        <v>0.0</v>
      </c>
      <c r="Q919" s="58"/>
      <c r="R919" s="635"/>
      <c r="S919" s="62" t="s">
        <v>194</v>
      </c>
      <c r="T919" s="32" t="s">
        <v>6646</v>
      </c>
      <c r="U919" s="33" t="s">
        <v>268</v>
      </c>
      <c r="V919" s="33"/>
      <c r="W919" s="33" t="s">
        <v>268</v>
      </c>
      <c r="X919" s="23" t="s">
        <v>54</v>
      </c>
      <c r="Y919" s="49" t="str">
        <f t="shared" si="22"/>
        <v>Ativo</v>
      </c>
      <c r="Z919" s="62"/>
      <c r="AA919" s="62"/>
      <c r="AB919" s="64" t="s">
        <v>244</v>
      </c>
      <c r="AC919" s="79"/>
      <c r="AD919" s="54">
        <v>45028.0</v>
      </c>
      <c r="AE919" s="77">
        <v>4.9075100010072E13</v>
      </c>
      <c r="AF919" s="79"/>
      <c r="AG919" s="79"/>
      <c r="AH919" s="79"/>
      <c r="AI919" s="79"/>
      <c r="AJ919" s="79"/>
      <c r="AK919" s="79"/>
      <c r="AL919" s="65">
        <v>392253.97</v>
      </c>
      <c r="AM919" s="65">
        <v>396340.75</v>
      </c>
      <c r="AN919" s="65">
        <v>400226.43</v>
      </c>
      <c r="AO919" s="65">
        <v>403716.37</v>
      </c>
      <c r="AP919" s="65">
        <v>407861.72</v>
      </c>
      <c r="AQ919" s="65">
        <v>461695.5</v>
      </c>
      <c r="AR919" s="65">
        <v>566451.91</v>
      </c>
      <c r="AS919" s="65">
        <v>570890.03</v>
      </c>
      <c r="AT919" s="65">
        <v>575596.87</v>
      </c>
      <c r="AU919" s="65">
        <v>578456.36</v>
      </c>
      <c r="AV919" s="65">
        <v>583073.2</v>
      </c>
      <c r="AW919" s="65">
        <v>586787.5</v>
      </c>
      <c r="AX919" s="65">
        <v>591462.15</v>
      </c>
      <c r="AY919" s="65">
        <v>595896.7</v>
      </c>
      <c r="AZ919" s="65">
        <v>600624.9</v>
      </c>
      <c r="BA919" s="65">
        <v>605414.9</v>
      </c>
      <c r="BB919" s="65">
        <v>609530.74</v>
      </c>
      <c r="BC919" s="65">
        <v>612660.23</v>
      </c>
      <c r="BD919" s="65">
        <v>615091.65</v>
      </c>
      <c r="BE919" s="65">
        <v>619745.03</v>
      </c>
      <c r="BF919" s="65">
        <v>623921.03</v>
      </c>
      <c r="BG919" s="65">
        <v>629977.2</v>
      </c>
      <c r="BH919" s="65">
        <v>635048.9</v>
      </c>
      <c r="BI919" s="65">
        <v>641517.01</v>
      </c>
      <c r="BJ919" s="65">
        <v>648423.48</v>
      </c>
      <c r="BK919" s="65">
        <v>29429.29</v>
      </c>
      <c r="BL919" s="65">
        <v>0.0</v>
      </c>
      <c r="BM919" s="65">
        <v>0.0</v>
      </c>
      <c r="BN919" s="65">
        <v>0.0</v>
      </c>
      <c r="BO919" s="65">
        <v>0.0</v>
      </c>
      <c r="BP919" s="65">
        <v>0.0</v>
      </c>
      <c r="BQ919" s="65">
        <v>0.0</v>
      </c>
      <c r="BR919" s="65">
        <v>0.0</v>
      </c>
      <c r="BS919" s="65">
        <v>0.0</v>
      </c>
      <c r="BT919" s="88">
        <v>0.0</v>
      </c>
      <c r="BU919" s="65">
        <v>0.0</v>
      </c>
      <c r="BV919" s="65">
        <v>0.0</v>
      </c>
      <c r="BW919" s="90">
        <v>0.0</v>
      </c>
      <c r="BX919" s="90">
        <v>0.0</v>
      </c>
      <c r="BY919" s="90" t="str">
        <f t="array" ref="BY919">XLOOKUP(C919,'PL TOTAL D0'!$A$3:$A$1991,'PL TOTAL D0'!$C$3:$C$1991,"")</f>
        <v/>
      </c>
    </row>
    <row r="920" ht="15.75" customHeight="1">
      <c r="A920" s="50" t="s">
        <v>24</v>
      </c>
      <c r="B920" s="43" t="s">
        <v>8787</v>
      </c>
      <c r="C920" s="94" t="s">
        <v>8788</v>
      </c>
      <c r="D920" s="30" t="s">
        <v>120</v>
      </c>
      <c r="E920" s="22" t="s">
        <v>54</v>
      </c>
      <c r="F920" s="81" t="s">
        <v>1393</v>
      </c>
      <c r="G920" s="47" t="str">
        <f t="shared" si="37"/>
        <v>David</v>
      </c>
      <c r="H920" s="49" t="s">
        <v>295</v>
      </c>
      <c r="I920" s="49" t="s">
        <v>382</v>
      </c>
      <c r="J920" s="47" t="str">
        <f t="shared" si="38"/>
        <v>Não</v>
      </c>
      <c r="K920" s="54">
        <v>45566.0</v>
      </c>
      <c r="L920" s="62"/>
      <c r="M920" s="32" t="s">
        <v>61</v>
      </c>
      <c r="N920" s="56">
        <v>0.012</v>
      </c>
      <c r="O920" s="23" t="s">
        <v>66</v>
      </c>
      <c r="P920" s="57">
        <v>0.0</v>
      </c>
      <c r="Q920" s="58"/>
      <c r="R920" s="635"/>
      <c r="S920" s="32" t="s">
        <v>234</v>
      </c>
      <c r="T920" s="32" t="s">
        <v>8789</v>
      </c>
      <c r="U920" s="33">
        <v>5.562999216354E12</v>
      </c>
      <c r="V920" s="33" t="s">
        <v>8790</v>
      </c>
      <c r="W920" s="34">
        <v>44251.0</v>
      </c>
      <c r="X920" s="23" t="s">
        <v>54</v>
      </c>
      <c r="Y920" s="49" t="str">
        <f t="shared" si="22"/>
        <v>Ativo</v>
      </c>
      <c r="Z920" s="62"/>
      <c r="AA920" s="32" t="s">
        <v>47</v>
      </c>
      <c r="AB920" s="64"/>
      <c r="AC920" s="79"/>
      <c r="AD920" s="54">
        <v>45566.0</v>
      </c>
      <c r="AE920" s="77">
        <v>4.9075100015848E13</v>
      </c>
      <c r="AF920" s="79"/>
      <c r="AG920" s="79"/>
      <c r="AH920" s="79"/>
      <c r="AI920" s="79"/>
      <c r="AJ920" s="79"/>
      <c r="AK920" s="79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  <c r="AV920" s="65"/>
      <c r="AW920" s="65"/>
      <c r="AX920" s="65"/>
      <c r="AY920" s="65"/>
      <c r="AZ920" s="65"/>
      <c r="BA920" s="65"/>
      <c r="BB920" s="65"/>
      <c r="BC920" s="65"/>
      <c r="BD920" s="65">
        <v>0.0</v>
      </c>
      <c r="BE920" s="65">
        <v>0.0</v>
      </c>
      <c r="BF920" s="65">
        <v>0.0</v>
      </c>
      <c r="BG920" s="65">
        <v>0.0</v>
      </c>
      <c r="BH920" s="65">
        <v>0.0</v>
      </c>
      <c r="BI920" s="65">
        <v>0.0</v>
      </c>
      <c r="BJ920" s="65">
        <v>0.0</v>
      </c>
      <c r="BK920" s="65">
        <v>0.0</v>
      </c>
      <c r="BL920" s="65">
        <v>0.0</v>
      </c>
      <c r="BM920" s="65">
        <v>0.0</v>
      </c>
      <c r="BN920" s="65">
        <v>0.0</v>
      </c>
      <c r="BO920" s="65">
        <v>0.0</v>
      </c>
      <c r="BP920" s="65">
        <v>0.0</v>
      </c>
      <c r="BQ920" s="65">
        <v>0.0</v>
      </c>
      <c r="BR920" s="65">
        <v>0.0</v>
      </c>
      <c r="BS920" s="65">
        <v>0.0</v>
      </c>
      <c r="BT920" s="88">
        <v>0.0</v>
      </c>
      <c r="BU920" s="65">
        <v>0.0</v>
      </c>
      <c r="BV920" s="65">
        <v>0.0</v>
      </c>
      <c r="BW920" s="90">
        <v>0.0</v>
      </c>
      <c r="BX920" s="90">
        <v>0.0</v>
      </c>
      <c r="BY920" s="90" t="str">
        <f t="array" ref="BY920">XLOOKUP(C920,'PL TOTAL D0'!$A$3:$A$1991,'PL TOTAL D0'!$C$3:$C$1991,"")</f>
        <v/>
      </c>
    </row>
    <row r="921" ht="15.75" customHeight="1">
      <c r="A921" s="50" t="s">
        <v>24</v>
      </c>
      <c r="B921" s="513" t="s">
        <v>8791</v>
      </c>
      <c r="C921" s="94" t="s">
        <v>2608</v>
      </c>
      <c r="D921" s="30" t="s">
        <v>89</v>
      </c>
      <c r="E921" s="22" t="s">
        <v>91</v>
      </c>
      <c r="F921" s="30" t="s">
        <v>8792</v>
      </c>
      <c r="G921" s="47" t="str">
        <f t="shared" si="37"/>
        <v>Marcus</v>
      </c>
      <c r="H921" s="49" t="s">
        <v>183</v>
      </c>
      <c r="I921" s="49" t="s">
        <v>66</v>
      </c>
      <c r="J921" s="47" t="str">
        <f t="shared" si="38"/>
        <v>Não</v>
      </c>
      <c r="K921" s="54">
        <v>45513.0</v>
      </c>
      <c r="L921" s="62"/>
      <c r="M921" s="751" t="s">
        <v>209</v>
      </c>
      <c r="N921" s="907">
        <v>0.015</v>
      </c>
      <c r="O921" s="908" t="s">
        <v>35</v>
      </c>
      <c r="P921" s="909">
        <v>0.1</v>
      </c>
      <c r="Q921" s="58"/>
      <c r="R921" s="635"/>
      <c r="S921" s="62" t="s">
        <v>194</v>
      </c>
      <c r="T921" s="177" t="s">
        <v>8793</v>
      </c>
      <c r="U921" s="33">
        <v>5.511961620123E12</v>
      </c>
      <c r="V921" s="33" t="s">
        <v>8794</v>
      </c>
      <c r="W921" s="48">
        <v>32064.0</v>
      </c>
      <c r="X921" s="23" t="s">
        <v>475</v>
      </c>
      <c r="Y921" s="49" t="str">
        <f t="shared" si="22"/>
        <v>Ativo</v>
      </c>
      <c r="Z921" s="32"/>
      <c r="AA921" s="32" t="s">
        <v>165</v>
      </c>
      <c r="AB921" s="64" t="s">
        <v>269</v>
      </c>
      <c r="AC921" s="79"/>
      <c r="AD921" s="54">
        <v>45513.0</v>
      </c>
      <c r="AE921" s="77">
        <v>4.9075100015635E13</v>
      </c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65"/>
      <c r="AW921" s="65"/>
      <c r="AX921" s="65"/>
      <c r="AY921" s="65"/>
      <c r="AZ921" s="65"/>
      <c r="BA921" s="65"/>
      <c r="BB921" s="65">
        <v>1796879.88</v>
      </c>
      <c r="BC921" s="65">
        <v>1787625.67</v>
      </c>
      <c r="BD921" s="65">
        <v>1768907.41</v>
      </c>
      <c r="BE921" s="65">
        <v>1751763.87</v>
      </c>
      <c r="BF921" s="65">
        <v>1748172.09</v>
      </c>
      <c r="BG921" s="65">
        <v>1808620.03</v>
      </c>
      <c r="BH921" s="65">
        <v>1803675.62</v>
      </c>
      <c r="BI921" s="65">
        <v>1814415.64</v>
      </c>
      <c r="BJ921" s="65">
        <v>1796586.88</v>
      </c>
      <c r="BK921" s="65">
        <v>1788050.8</v>
      </c>
      <c r="BL921" s="65">
        <v>1784913.75</v>
      </c>
      <c r="BM921" s="65">
        <v>1765754.62</v>
      </c>
      <c r="BN921" s="65">
        <v>1754148.0</v>
      </c>
      <c r="BO921" s="65">
        <v>1741983.48</v>
      </c>
      <c r="BP921" s="65">
        <v>1722584.0</v>
      </c>
      <c r="BQ921" s="65">
        <v>1742128.0</v>
      </c>
      <c r="BR921" s="65">
        <v>1761367.0</v>
      </c>
      <c r="BS921" s="65">
        <v>1807082.13</v>
      </c>
      <c r="BT921" s="88">
        <v>1802030.0</v>
      </c>
      <c r="BU921" s="65">
        <v>1784058.0</v>
      </c>
      <c r="BV921" s="65">
        <v>1780538.0</v>
      </c>
      <c r="BW921" s="90">
        <v>1745282.0</v>
      </c>
      <c r="BX921" s="90">
        <v>1766736.64</v>
      </c>
      <c r="BY921" s="90">
        <f t="array" ref="BY921">XLOOKUP(C921,'PL TOTAL D0'!$A$3:$A$1991,'PL TOTAL D0'!$C$3:$C$1991,"")</f>
        <v>1738578.01</v>
      </c>
    </row>
    <row r="922" ht="15.75" customHeight="1">
      <c r="A922" s="50" t="s">
        <v>24</v>
      </c>
      <c r="B922" s="513" t="s">
        <v>8791</v>
      </c>
      <c r="C922" s="94" t="s">
        <v>2600</v>
      </c>
      <c r="D922" s="30" t="s">
        <v>89</v>
      </c>
      <c r="E922" s="22" t="s">
        <v>91</v>
      </c>
      <c r="F922" s="30" t="s">
        <v>8792</v>
      </c>
      <c r="G922" s="47" t="str">
        <f t="shared" si="37"/>
        <v>Marcus</v>
      </c>
      <c r="H922" s="49" t="s">
        <v>183</v>
      </c>
      <c r="I922" s="49" t="s">
        <v>66</v>
      </c>
      <c r="J922" s="47" t="str">
        <f t="shared" si="38"/>
        <v>Não</v>
      </c>
      <c r="K922" s="54">
        <v>45513.0</v>
      </c>
      <c r="L922" s="62"/>
      <c r="M922" s="751" t="s">
        <v>209</v>
      </c>
      <c r="N922" s="907">
        <v>0.015</v>
      </c>
      <c r="O922" s="908" t="s">
        <v>35</v>
      </c>
      <c r="P922" s="909">
        <v>0.1</v>
      </c>
      <c r="Q922" s="58"/>
      <c r="R922" s="635"/>
      <c r="S922" s="62" t="s">
        <v>194</v>
      </c>
      <c r="T922" s="177" t="s">
        <v>8793</v>
      </c>
      <c r="U922" s="33">
        <v>5.511961620123E12</v>
      </c>
      <c r="V922" s="33" t="s">
        <v>8794</v>
      </c>
      <c r="W922" s="48">
        <v>32064.0</v>
      </c>
      <c r="X922" s="23" t="s">
        <v>475</v>
      </c>
      <c r="Y922" s="49" t="str">
        <f t="shared" si="22"/>
        <v>Ativo</v>
      </c>
      <c r="Z922" s="32"/>
      <c r="AA922" s="32" t="s">
        <v>165</v>
      </c>
      <c r="AB922" s="64" t="s">
        <v>269</v>
      </c>
      <c r="AC922" s="79"/>
      <c r="AD922" s="54">
        <v>45513.0</v>
      </c>
      <c r="AE922" s="77">
        <v>4.9075100015651E13</v>
      </c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65"/>
      <c r="AW922" s="65"/>
      <c r="AX922" s="65"/>
      <c r="AY922" s="65"/>
      <c r="AZ922" s="65"/>
      <c r="BA922" s="65"/>
      <c r="BB922" s="65">
        <v>1709655.37</v>
      </c>
      <c r="BC922" s="65">
        <v>1695451.33</v>
      </c>
      <c r="BD922" s="65">
        <v>1663130.17</v>
      </c>
      <c r="BE922" s="65">
        <v>1647522.51</v>
      </c>
      <c r="BF922" s="65">
        <v>1635246.75</v>
      </c>
      <c r="BG922" s="65">
        <v>1707128.6</v>
      </c>
      <c r="BH922" s="65">
        <v>1722312.17</v>
      </c>
      <c r="BI922" s="65">
        <v>1741779.81</v>
      </c>
      <c r="BJ922" s="65">
        <v>1764012.29</v>
      </c>
      <c r="BK922" s="65">
        <v>1782517.06</v>
      </c>
      <c r="BL922" s="65">
        <v>1798704.22</v>
      </c>
      <c r="BM922" s="65">
        <v>1810028.59</v>
      </c>
      <c r="BN922" s="65">
        <v>1827936.0</v>
      </c>
      <c r="BO922" s="65">
        <v>1847060.22</v>
      </c>
      <c r="BP922" s="65">
        <v>1866860.0</v>
      </c>
      <c r="BQ922" s="65">
        <v>1834219.0</v>
      </c>
      <c r="BR922" s="65">
        <v>1770381.0</v>
      </c>
      <c r="BS922" s="65">
        <v>1781956.0</v>
      </c>
      <c r="BT922" s="88">
        <v>1797703.0</v>
      </c>
      <c r="BU922" s="65">
        <v>1818466.0</v>
      </c>
      <c r="BV922" s="65">
        <v>1834941.0</v>
      </c>
      <c r="BW922" s="90">
        <v>1828131.0</v>
      </c>
      <c r="BX922" s="90">
        <v>1851147.73</v>
      </c>
      <c r="BY922" s="90">
        <f t="array" ref="BY922">XLOOKUP(C922,'PL TOTAL D0'!$A$3:$A$1991,'PL TOTAL D0'!$C$3:$C$1991,"")</f>
        <v>1857807.34</v>
      </c>
    </row>
    <row r="923" ht="15.75" customHeight="1">
      <c r="A923" s="50" t="s">
        <v>24</v>
      </c>
      <c r="B923" s="513" t="s">
        <v>8795</v>
      </c>
      <c r="C923" s="94" t="s">
        <v>2568</v>
      </c>
      <c r="D923" s="30" t="s">
        <v>89</v>
      </c>
      <c r="E923" s="22" t="s">
        <v>91</v>
      </c>
      <c r="F923" s="30" t="s">
        <v>521</v>
      </c>
      <c r="G923" s="47" t="str">
        <f t="shared" si="37"/>
        <v>Marcus</v>
      </c>
      <c r="H923" s="49" t="s">
        <v>183</v>
      </c>
      <c r="I923" s="49" t="s">
        <v>66</v>
      </c>
      <c r="J923" s="47" t="str">
        <f t="shared" si="38"/>
        <v>Sim</v>
      </c>
      <c r="K923" s="54">
        <v>45519.0</v>
      </c>
      <c r="L923" s="62"/>
      <c r="M923" s="754" t="s">
        <v>1349</v>
      </c>
      <c r="N923" s="910">
        <v>0.012</v>
      </c>
      <c r="O923" s="911" t="s">
        <v>66</v>
      </c>
      <c r="P923" s="912">
        <v>0.0</v>
      </c>
      <c r="Q923" s="58" t="s">
        <v>8796</v>
      </c>
      <c r="R923" s="58" t="s">
        <v>7303</v>
      </c>
      <c r="S923" s="32" t="s">
        <v>194</v>
      </c>
      <c r="T923" s="177" t="s">
        <v>8797</v>
      </c>
      <c r="U923" s="33">
        <v>5.543999351101E12</v>
      </c>
      <c r="V923" s="33" t="s">
        <v>8798</v>
      </c>
      <c r="W923" s="34">
        <v>28946.0</v>
      </c>
      <c r="X923" s="23" t="s">
        <v>221</v>
      </c>
      <c r="Y923" s="49" t="str">
        <f t="shared" si="22"/>
        <v>Ativo</v>
      </c>
      <c r="Z923" s="32"/>
      <c r="AA923" s="32" t="s">
        <v>47</v>
      </c>
      <c r="AB923" s="64" t="s">
        <v>244</v>
      </c>
      <c r="AC923" s="79"/>
      <c r="AD923" s="54">
        <v>45519.0</v>
      </c>
      <c r="AE923" s="77">
        <v>4.90751000156E13</v>
      </c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65"/>
      <c r="AW923" s="65"/>
      <c r="AX923" s="65"/>
      <c r="AY923" s="65"/>
      <c r="AZ923" s="65"/>
      <c r="BA923" s="65"/>
      <c r="BB923" s="65">
        <v>1212106.44</v>
      </c>
      <c r="BC923" s="65">
        <v>1216330.95</v>
      </c>
      <c r="BD923" s="65">
        <v>1203152.0</v>
      </c>
      <c r="BE923" s="65">
        <v>1124146.22</v>
      </c>
      <c r="BF923" s="65">
        <v>1341848.58</v>
      </c>
      <c r="BG923" s="65">
        <v>1636901.43</v>
      </c>
      <c r="BH923" s="65">
        <v>1995903.97</v>
      </c>
      <c r="BI923" s="65">
        <v>1964677.11</v>
      </c>
      <c r="BJ923" s="65">
        <v>1924872.66</v>
      </c>
      <c r="BK923" s="65">
        <v>1894007.14</v>
      </c>
      <c r="BL923" s="65">
        <v>1809241.91</v>
      </c>
      <c r="BM923" s="65">
        <v>1625534.07</v>
      </c>
      <c r="BN923" s="65">
        <v>1638754.0</v>
      </c>
      <c r="BO923" s="65">
        <v>1655333.04</v>
      </c>
      <c r="BP923" s="65">
        <v>1674768.0</v>
      </c>
      <c r="BQ923" s="65">
        <v>1689592.0</v>
      </c>
      <c r="BR923" s="65">
        <v>1396800.0</v>
      </c>
      <c r="BS923" s="65">
        <v>1612285.03</v>
      </c>
      <c r="BT923" s="88">
        <v>1624709.0</v>
      </c>
      <c r="BU923" s="65">
        <v>1477874.0</v>
      </c>
      <c r="BV923" s="65">
        <v>1492404.0</v>
      </c>
      <c r="BW923" s="90">
        <v>1404515.0</v>
      </c>
      <c r="BX923" s="90">
        <v>1416935.33</v>
      </c>
      <c r="BY923" s="90">
        <f t="array" ref="BY923">XLOOKUP(C923,'PL TOTAL D0'!$A$3:$A$1991,'PL TOTAL D0'!$C$3:$C$1991,"")</f>
        <v>2231141.91</v>
      </c>
    </row>
    <row r="924" ht="15.75" customHeight="1">
      <c r="A924" s="50" t="s">
        <v>24</v>
      </c>
      <c r="B924" s="513" t="s">
        <v>8799</v>
      </c>
      <c r="C924" s="94" t="s">
        <v>2930</v>
      </c>
      <c r="D924" s="30" t="s">
        <v>89</v>
      </c>
      <c r="E924" s="22" t="s">
        <v>91</v>
      </c>
      <c r="F924" s="30" t="s">
        <v>1869</v>
      </c>
      <c r="G924" s="47" t="str">
        <f t="shared" si="37"/>
        <v>Gabriel</v>
      </c>
      <c r="H924" s="49" t="s">
        <v>183</v>
      </c>
      <c r="I924" s="49" t="s">
        <v>66</v>
      </c>
      <c r="J924" s="47" t="str">
        <f t="shared" si="38"/>
        <v>Sim</v>
      </c>
      <c r="K924" s="54">
        <v>46042.0</v>
      </c>
      <c r="L924" s="62"/>
      <c r="M924" s="754" t="s">
        <v>34</v>
      </c>
      <c r="N924" s="910">
        <v>0.012</v>
      </c>
      <c r="O924" s="911" t="s">
        <v>35</v>
      </c>
      <c r="P924" s="912">
        <v>0.1</v>
      </c>
      <c r="Q924" s="58" t="s">
        <v>8800</v>
      </c>
      <c r="R924" s="58"/>
      <c r="S924" s="32" t="s">
        <v>194</v>
      </c>
      <c r="T924" s="177" t="s">
        <v>8801</v>
      </c>
      <c r="U924" s="33" t="s">
        <v>8802</v>
      </c>
      <c r="V924" s="33" t="s">
        <v>8803</v>
      </c>
      <c r="W924" s="34">
        <v>28281.0</v>
      </c>
      <c r="X924" s="23" t="s">
        <v>221</v>
      </c>
      <c r="Y924" s="49" t="str">
        <f t="shared" si="22"/>
        <v>Ativo</v>
      </c>
      <c r="Z924" s="32"/>
      <c r="AA924" s="32" t="s">
        <v>47</v>
      </c>
      <c r="AB924" s="64"/>
      <c r="AC924" s="79"/>
      <c r="AD924" s="54">
        <v>46203.0</v>
      </c>
      <c r="AE924" s="77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65"/>
      <c r="AW924" s="65"/>
      <c r="AX924" s="65"/>
      <c r="AY924" s="65"/>
      <c r="AZ924" s="65"/>
      <c r="BA924" s="65"/>
      <c r="BB924" s="65"/>
      <c r="BC924" s="65"/>
      <c r="BD924" s="65"/>
      <c r="BE924" s="65"/>
      <c r="BF924" s="65"/>
      <c r="BG924" s="65"/>
      <c r="BH924" s="65"/>
      <c r="BI924" s="65"/>
      <c r="BJ924" s="65"/>
      <c r="BK924" s="65"/>
      <c r="BL924" s="65"/>
      <c r="BM924" s="65"/>
      <c r="BN924" s="65"/>
      <c r="BO924" s="65"/>
      <c r="BP924" s="65"/>
      <c r="BQ924" s="65"/>
      <c r="BR924" s="65"/>
      <c r="BS924" s="65">
        <v>595218.69</v>
      </c>
      <c r="BT924" s="88">
        <v>746142.5</v>
      </c>
      <c r="BU924" s="65">
        <v>754666.3</v>
      </c>
      <c r="BV924" s="65">
        <v>703674.5</v>
      </c>
      <c r="BW924" s="90">
        <v>643924.7</v>
      </c>
      <c r="BX924" s="90">
        <v>579212.24</v>
      </c>
      <c r="BY924" s="90">
        <f t="array" ref="BY924">XLOOKUP(C924,'PL TOTAL D0'!$A$3:$A$1991,'PL TOTAL D0'!$C$3:$C$1991,"")</f>
        <v>455776.05</v>
      </c>
    </row>
    <row r="925" ht="15.75" customHeight="1">
      <c r="A925" s="50" t="s">
        <v>24</v>
      </c>
      <c r="B925" s="513" t="s">
        <v>8804</v>
      </c>
      <c r="C925" s="94" t="s">
        <v>8805</v>
      </c>
      <c r="D925" s="30" t="s">
        <v>120</v>
      </c>
      <c r="E925" s="22" t="s">
        <v>199</v>
      </c>
      <c r="F925" s="30" t="s">
        <v>290</v>
      </c>
      <c r="G925" s="47" t="str">
        <f t="shared" si="37"/>
        <v>David</v>
      </c>
      <c r="H925" s="49" t="s">
        <v>224</v>
      </c>
      <c r="I925" s="49" t="s">
        <v>66</v>
      </c>
      <c r="J925" s="47" t="str">
        <f t="shared" si="38"/>
        <v>Não</v>
      </c>
      <c r="K925" s="54">
        <v>45572.0</v>
      </c>
      <c r="L925" s="55">
        <v>45888.0</v>
      </c>
      <c r="M925" s="913" t="s">
        <v>213</v>
      </c>
      <c r="N925" s="914">
        <v>0.008</v>
      </c>
      <c r="O925" s="83" t="s">
        <v>66</v>
      </c>
      <c r="P925" s="409">
        <v>0.0</v>
      </c>
      <c r="Q925" s="58"/>
      <c r="R925" s="58" t="s">
        <v>610</v>
      </c>
      <c r="S925" s="32" t="s">
        <v>234</v>
      </c>
      <c r="T925" s="177" t="s">
        <v>8806</v>
      </c>
      <c r="U925" s="33">
        <v>5.56199958182E12</v>
      </c>
      <c r="V925" s="33" t="s">
        <v>8807</v>
      </c>
      <c r="W925" s="34">
        <v>44041.0</v>
      </c>
      <c r="X925" s="23" t="s">
        <v>199</v>
      </c>
      <c r="Y925" s="49" t="str">
        <f t="shared" si="22"/>
        <v>Encerrado</v>
      </c>
      <c r="Z925" s="32"/>
      <c r="AA925" s="32" t="s">
        <v>107</v>
      </c>
      <c r="AB925" s="64"/>
      <c r="AC925" s="79"/>
      <c r="AD925" s="54">
        <v>45572.0</v>
      </c>
      <c r="AE925" s="77">
        <v>4.9075100015856E13</v>
      </c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65"/>
      <c r="AW925" s="65"/>
      <c r="AX925" s="65"/>
      <c r="AY925" s="65"/>
      <c r="AZ925" s="65"/>
      <c r="BA925" s="65"/>
      <c r="BB925" s="65"/>
      <c r="BC925" s="65"/>
      <c r="BD925" s="65">
        <v>0.0</v>
      </c>
      <c r="BE925" s="65">
        <v>90598.78</v>
      </c>
      <c r="BF925" s="65">
        <v>91345.16</v>
      </c>
      <c r="BG925" s="65">
        <v>61714.94</v>
      </c>
      <c r="BH925" s="65">
        <v>21508.31</v>
      </c>
      <c r="BI925" s="65">
        <v>0.44</v>
      </c>
      <c r="BJ925" s="65">
        <v>0.06</v>
      </c>
      <c r="BK925" s="65">
        <v>0.06</v>
      </c>
      <c r="BL925" s="65">
        <v>0.06</v>
      </c>
      <c r="BM925" s="65">
        <v>0.06</v>
      </c>
      <c r="BN925" s="65">
        <v>0.0</v>
      </c>
      <c r="BO925" s="65">
        <v>0.0</v>
      </c>
      <c r="BP925" s="65">
        <v>0.0</v>
      </c>
      <c r="BQ925" s="65">
        <v>0.0</v>
      </c>
      <c r="BR925" s="65">
        <v>0.0</v>
      </c>
      <c r="BS925" s="65">
        <v>0.0</v>
      </c>
      <c r="BT925" s="88">
        <v>0.0</v>
      </c>
      <c r="BU925" s="65">
        <v>0.0</v>
      </c>
      <c r="BV925" s="65">
        <v>0.0</v>
      </c>
      <c r="BW925" s="90">
        <v>0.0</v>
      </c>
      <c r="BX925" s="90">
        <v>0.0</v>
      </c>
      <c r="BY925" s="90" t="str">
        <f t="array" ref="BY925">XLOOKUP(C925,'PL TOTAL D0'!$A$3:$A$1991,'PL TOTAL D0'!$C$3:$C$1991,"")</f>
        <v/>
      </c>
    </row>
    <row r="926" ht="15.75" customHeight="1">
      <c r="A926" s="43" t="s">
        <v>24</v>
      </c>
      <c r="B926" s="43" t="s">
        <v>8808</v>
      </c>
      <c r="C926" s="94" t="s">
        <v>3014</v>
      </c>
      <c r="D926" s="30" t="s">
        <v>120</v>
      </c>
      <c r="E926" s="22" t="s">
        <v>199</v>
      </c>
      <c r="F926" s="30" t="s">
        <v>290</v>
      </c>
      <c r="G926" s="47" t="str">
        <f t="shared" si="37"/>
        <v>David</v>
      </c>
      <c r="H926" s="49" t="s">
        <v>183</v>
      </c>
      <c r="I926" s="49" t="s">
        <v>66</v>
      </c>
      <c r="J926" s="47" t="str">
        <f t="shared" si="38"/>
        <v>Não</v>
      </c>
      <c r="K926" s="54">
        <v>45281.0</v>
      </c>
      <c r="L926" s="62"/>
      <c r="M926" s="602" t="s">
        <v>209</v>
      </c>
      <c r="N926" s="915">
        <v>0.0</v>
      </c>
      <c r="O926" s="916" t="s">
        <v>66</v>
      </c>
      <c r="P926" s="917">
        <v>0.0</v>
      </c>
      <c r="Q926" s="58"/>
      <c r="R926" s="635"/>
      <c r="S926" s="62" t="s">
        <v>194</v>
      </c>
      <c r="T926" s="32" t="s">
        <v>8809</v>
      </c>
      <c r="U926" s="33">
        <v>5.561996767502E12</v>
      </c>
      <c r="V926" s="33" t="s">
        <v>8810</v>
      </c>
      <c r="W926" s="34">
        <v>28521.0</v>
      </c>
      <c r="X926" s="23" t="s">
        <v>199</v>
      </c>
      <c r="Y926" s="49" t="str">
        <f t="shared" si="22"/>
        <v>Ativo</v>
      </c>
      <c r="Z926" s="62"/>
      <c r="AA926" s="62"/>
      <c r="AB926" s="64" t="s">
        <v>269</v>
      </c>
      <c r="AC926" s="79"/>
      <c r="AD926" s="54">
        <v>45281.0</v>
      </c>
      <c r="AE926" s="77">
        <v>4.9075100013039E13</v>
      </c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65">
        <v>85000.0</v>
      </c>
      <c r="AU926" s="65">
        <v>87237.52</v>
      </c>
      <c r="AV926" s="65">
        <v>99231.47</v>
      </c>
      <c r="AW926" s="65">
        <v>102513.19</v>
      </c>
      <c r="AX926" s="65">
        <v>102228.44</v>
      </c>
      <c r="AY926" s="65">
        <v>102910.3</v>
      </c>
      <c r="AZ926" s="65">
        <v>104683.1</v>
      </c>
      <c r="BA926" s="65">
        <v>106018.6</v>
      </c>
      <c r="BB926" s="65">
        <v>129320.46</v>
      </c>
      <c r="BC926" s="65">
        <v>129403.07</v>
      </c>
      <c r="BD926" s="65">
        <v>128597.49</v>
      </c>
      <c r="BE926" s="65">
        <v>107965.23</v>
      </c>
      <c r="BF926" s="65">
        <v>108192.56</v>
      </c>
      <c r="BG926" s="65">
        <v>109020.29</v>
      </c>
      <c r="BH926" s="65">
        <v>109950.45</v>
      </c>
      <c r="BI926" s="65">
        <v>111605.8</v>
      </c>
      <c r="BJ926" s="65">
        <v>112049.78</v>
      </c>
      <c r="BK926" s="65">
        <v>114558.09</v>
      </c>
      <c r="BL926" s="65">
        <v>115785.49</v>
      </c>
      <c r="BM926" s="65">
        <v>116784.23</v>
      </c>
      <c r="BN926" s="65">
        <v>118050.8</v>
      </c>
      <c r="BO926" s="65">
        <v>119461.35</v>
      </c>
      <c r="BP926" s="65">
        <v>120961.4</v>
      </c>
      <c r="BQ926" s="65">
        <v>123036.7</v>
      </c>
      <c r="BR926" s="65">
        <v>124436.2</v>
      </c>
      <c r="BS926" s="65">
        <v>126818.57</v>
      </c>
      <c r="BT926" s="88">
        <v>128283.4</v>
      </c>
      <c r="BU926" s="65">
        <v>130313.6</v>
      </c>
      <c r="BV926" s="65">
        <v>131264.9</v>
      </c>
      <c r="BW926" s="90">
        <v>328488.4</v>
      </c>
      <c r="BX926" s="90">
        <v>331978.73</v>
      </c>
      <c r="BY926" s="90">
        <f t="array" ref="BY926">XLOOKUP(C926,'PL TOTAL D0'!$A$3:$A$1991,'PL TOTAL D0'!$C$3:$C$1991,"")</f>
        <v>335339.05</v>
      </c>
    </row>
    <row r="927" ht="15.75" customHeight="1">
      <c r="A927" s="50" t="s">
        <v>24</v>
      </c>
      <c r="B927" s="50" t="s">
        <v>4382</v>
      </c>
      <c r="C927" s="94" t="s">
        <v>2987</v>
      </c>
      <c r="D927" s="81" t="s">
        <v>120</v>
      </c>
      <c r="E927" s="95" t="s">
        <v>199</v>
      </c>
      <c r="F927" s="81" t="s">
        <v>212</v>
      </c>
      <c r="G927" s="47" t="str">
        <f t="shared" si="37"/>
        <v>Gabriel</v>
      </c>
      <c r="H927" s="74" t="s">
        <v>183</v>
      </c>
      <c r="I927" s="74" t="s">
        <v>66</v>
      </c>
      <c r="J927" s="47" t="str">
        <f t="shared" si="38"/>
        <v>Não</v>
      </c>
      <c r="K927" s="97">
        <v>45148.0</v>
      </c>
      <c r="L927" s="62"/>
      <c r="M927" s="62" t="s">
        <v>231</v>
      </c>
      <c r="N927" s="98">
        <v>0.025</v>
      </c>
      <c r="O927" s="23" t="s">
        <v>233</v>
      </c>
      <c r="P927" s="99">
        <v>0.2</v>
      </c>
      <c r="Q927" s="58"/>
      <c r="R927" s="70"/>
      <c r="S927" s="62" t="s">
        <v>194</v>
      </c>
      <c r="T927" s="32" t="s">
        <v>6665</v>
      </c>
      <c r="U927" s="33">
        <v>6.19922441E10</v>
      </c>
      <c r="V927" s="33" t="s">
        <v>8811</v>
      </c>
      <c r="W927" s="34">
        <v>25216.0</v>
      </c>
      <c r="X927" s="23" t="s">
        <v>199</v>
      </c>
      <c r="Y927" s="49" t="str">
        <f t="shared" si="22"/>
        <v>Ativo</v>
      </c>
      <c r="Z927" s="62"/>
      <c r="AA927" s="32" t="s">
        <v>47</v>
      </c>
      <c r="AB927" s="64" t="s">
        <v>269</v>
      </c>
      <c r="AC927" s="79"/>
      <c r="AD927" s="54">
        <v>45148.0</v>
      </c>
      <c r="AE927" s="77">
        <v>4.9075100012695E13</v>
      </c>
      <c r="AF927" s="79"/>
      <c r="AG927" s="79"/>
      <c r="AH927" s="79"/>
      <c r="AI927" s="79"/>
      <c r="AJ927" s="79"/>
      <c r="AK927" s="79"/>
      <c r="AL927" s="79"/>
      <c r="AM927" s="79"/>
      <c r="AN927" s="65">
        <v>0.0</v>
      </c>
      <c r="AO927" s="65">
        <v>0.0</v>
      </c>
      <c r="AP927" s="65">
        <v>318190.88</v>
      </c>
      <c r="AQ927" s="65">
        <v>310054.35</v>
      </c>
      <c r="AR927" s="65">
        <v>297092.46</v>
      </c>
      <c r="AS927" s="65">
        <v>318723.48</v>
      </c>
      <c r="AT927" s="65">
        <v>334082.16</v>
      </c>
      <c r="AU927" s="65">
        <v>310728.58</v>
      </c>
      <c r="AV927" s="65">
        <v>314827.38</v>
      </c>
      <c r="AW927" s="65">
        <v>320036.63</v>
      </c>
      <c r="AX927" s="65">
        <v>306215.55</v>
      </c>
      <c r="AY927" s="65">
        <v>295815.9</v>
      </c>
      <c r="AZ927" s="65">
        <v>296249.8</v>
      </c>
      <c r="BA927" s="65">
        <v>304374.7</v>
      </c>
      <c r="BB927" s="65">
        <v>310682.96</v>
      </c>
      <c r="BC927" s="65">
        <v>304457.22</v>
      </c>
      <c r="BD927" s="65">
        <v>291430.67</v>
      </c>
      <c r="BE927" s="65">
        <v>281504.6</v>
      </c>
      <c r="BF927" s="65">
        <v>272930.26</v>
      </c>
      <c r="BG927" s="65">
        <v>281372.98</v>
      </c>
      <c r="BH927" s="65">
        <v>284020.04</v>
      </c>
      <c r="BI927" s="65">
        <v>290165.72</v>
      </c>
      <c r="BJ927" s="65">
        <v>300468.26</v>
      </c>
      <c r="BK927" s="65">
        <v>312688.04</v>
      </c>
      <c r="BL927" s="65">
        <v>317618.24</v>
      </c>
      <c r="BM927" s="65">
        <v>310307.85</v>
      </c>
      <c r="BN927" s="65">
        <v>318797.0</v>
      </c>
      <c r="BO927" s="65">
        <v>326970.08</v>
      </c>
      <c r="BP927" s="65">
        <v>331485.8</v>
      </c>
      <c r="BQ927" s="65">
        <v>349189.0</v>
      </c>
      <c r="BR927" s="65">
        <v>358618.3</v>
      </c>
      <c r="BS927" s="65">
        <v>391575.73</v>
      </c>
      <c r="BT927" s="88">
        <v>406255.2</v>
      </c>
      <c r="BU927" s="65">
        <v>403091.2</v>
      </c>
      <c r="BV927" s="65">
        <v>404156.9</v>
      </c>
      <c r="BW927" s="90">
        <v>383501.6</v>
      </c>
      <c r="BX927" s="90">
        <v>389368.47</v>
      </c>
      <c r="BY927" s="90">
        <f t="array" ref="BY927">XLOOKUP(C927,'PL TOTAL D0'!$A$3:$A$1991,'PL TOTAL D0'!$C$3:$C$1991,"")</f>
        <v>388537.72</v>
      </c>
    </row>
    <row r="928" ht="15.75" customHeight="1">
      <c r="A928" s="50" t="s">
        <v>24</v>
      </c>
      <c r="B928" s="50" t="s">
        <v>4382</v>
      </c>
      <c r="C928" s="94" t="s">
        <v>2521</v>
      </c>
      <c r="D928" s="81" t="s">
        <v>120</v>
      </c>
      <c r="E928" s="95" t="s">
        <v>199</v>
      </c>
      <c r="F928" s="81" t="s">
        <v>212</v>
      </c>
      <c r="G928" s="47" t="str">
        <f t="shared" si="37"/>
        <v>Marcus</v>
      </c>
      <c r="H928" s="74" t="s">
        <v>183</v>
      </c>
      <c r="I928" s="74" t="s">
        <v>66</v>
      </c>
      <c r="J928" s="47" t="str">
        <f t="shared" si="38"/>
        <v>Sim</v>
      </c>
      <c r="K928" s="97">
        <v>44986.0</v>
      </c>
      <c r="L928" s="62"/>
      <c r="M928" s="62" t="s">
        <v>61</v>
      </c>
      <c r="N928" s="98">
        <v>0.012</v>
      </c>
      <c r="O928" s="47" t="s">
        <v>66</v>
      </c>
      <c r="P928" s="99">
        <v>0.0</v>
      </c>
      <c r="Q928" s="58" t="s">
        <v>8812</v>
      </c>
      <c r="R928" s="70"/>
      <c r="S928" s="62" t="s">
        <v>194</v>
      </c>
      <c r="T928" s="32" t="s">
        <v>6665</v>
      </c>
      <c r="U928" s="33">
        <v>6.19922441E10</v>
      </c>
      <c r="V928" s="33" t="s">
        <v>8811</v>
      </c>
      <c r="W928" s="34">
        <v>25216.0</v>
      </c>
      <c r="X928" s="23" t="s">
        <v>199</v>
      </c>
      <c r="Y928" s="49" t="str">
        <f t="shared" si="22"/>
        <v>Ativo</v>
      </c>
      <c r="Z928" s="62"/>
      <c r="AA928" s="32" t="s">
        <v>47</v>
      </c>
      <c r="AB928" s="64" t="s">
        <v>269</v>
      </c>
      <c r="AC928" s="79"/>
      <c r="AD928" s="54">
        <v>44986.0</v>
      </c>
      <c r="AE928" s="77">
        <v>4.9075100010201E13</v>
      </c>
      <c r="AF928" s="79"/>
      <c r="AG928" s="79"/>
      <c r="AH928" s="79"/>
      <c r="AI928" s="79"/>
      <c r="AJ928" s="65">
        <v>0.0</v>
      </c>
      <c r="AK928" s="65">
        <v>1309680.34</v>
      </c>
      <c r="AL928" s="65">
        <v>1304279.67</v>
      </c>
      <c r="AM928" s="65">
        <v>1297521.3</v>
      </c>
      <c r="AN928" s="65">
        <v>1306782.92</v>
      </c>
      <c r="AO928" s="65">
        <v>1317426.15</v>
      </c>
      <c r="AP928" s="65">
        <v>1278216.11</v>
      </c>
      <c r="AQ928" s="65">
        <v>1271481.07</v>
      </c>
      <c r="AR928" s="65">
        <v>1265269.88</v>
      </c>
      <c r="AS928" s="65">
        <v>1268143.87</v>
      </c>
      <c r="AT928" s="65">
        <v>1279049.41</v>
      </c>
      <c r="AU928" s="65">
        <v>1280757.5</v>
      </c>
      <c r="AV928" s="65">
        <v>1285143.8</v>
      </c>
      <c r="AW928" s="65">
        <v>1289543.74</v>
      </c>
      <c r="AX928" s="65">
        <v>1297114.63</v>
      </c>
      <c r="AY928" s="65">
        <v>1293053.0</v>
      </c>
      <c r="AZ928" s="65">
        <v>1301626.0</v>
      </c>
      <c r="BA928" s="65">
        <v>1310951.0</v>
      </c>
      <c r="BB928" s="65">
        <v>1312404.8</v>
      </c>
      <c r="BC928" s="65">
        <v>1476230.75</v>
      </c>
      <c r="BD928" s="65">
        <v>1720123.0</v>
      </c>
      <c r="BE928" s="65">
        <v>1398705.2</v>
      </c>
      <c r="BF928" s="65">
        <v>1488650.96</v>
      </c>
      <c r="BG928" s="65">
        <v>1476565.36</v>
      </c>
      <c r="BH928" s="65">
        <v>3714282.23</v>
      </c>
      <c r="BI928" s="65">
        <v>3746709.45</v>
      </c>
      <c r="BJ928" s="65">
        <v>3686600.85</v>
      </c>
      <c r="BK928" s="65">
        <v>3686574.1</v>
      </c>
      <c r="BL928" s="65">
        <v>3708324.09</v>
      </c>
      <c r="BM928" s="65">
        <v>3740647.16</v>
      </c>
      <c r="BN928" s="65">
        <v>3726262.0</v>
      </c>
      <c r="BO928" s="65">
        <v>3760423.59</v>
      </c>
      <c r="BP928" s="65">
        <v>3802454.0</v>
      </c>
      <c r="BQ928" s="65">
        <v>3791578.0</v>
      </c>
      <c r="BR928" s="65">
        <v>3809686.0</v>
      </c>
      <c r="BS928" s="65">
        <v>3798882.77</v>
      </c>
      <c r="BT928" s="88">
        <v>3753382.0</v>
      </c>
      <c r="BU928" s="65">
        <v>4229882.0</v>
      </c>
      <c r="BV928" s="65">
        <v>4226541.0</v>
      </c>
      <c r="BW928" s="90">
        <v>3309542.0</v>
      </c>
      <c r="BX928" s="90">
        <v>3140157.08</v>
      </c>
      <c r="BY928" s="90">
        <f t="array" ref="BY928">XLOOKUP(C928,'PL TOTAL D0'!$A$3:$A$1991,'PL TOTAL D0'!$C$3:$C$1991,"")</f>
        <v>3172881.48</v>
      </c>
    </row>
    <row r="929" ht="15.75" customHeight="1">
      <c r="A929" s="50" t="s">
        <v>24</v>
      </c>
      <c r="B929" s="43" t="s">
        <v>4382</v>
      </c>
      <c r="C929" s="94" t="s">
        <v>3474</v>
      </c>
      <c r="D929" s="81" t="s">
        <v>120</v>
      </c>
      <c r="E929" s="95" t="s">
        <v>199</v>
      </c>
      <c r="F929" s="81" t="s">
        <v>212</v>
      </c>
      <c r="G929" s="47" t="str">
        <f t="shared" si="37"/>
        <v>David</v>
      </c>
      <c r="H929" s="49" t="s">
        <v>183</v>
      </c>
      <c r="I929" s="49" t="s">
        <v>66</v>
      </c>
      <c r="J929" s="47" t="str">
        <f t="shared" si="38"/>
        <v>Não</v>
      </c>
      <c r="K929" s="54">
        <v>45756.0</v>
      </c>
      <c r="L929" s="62"/>
      <c r="M929" s="32" t="s">
        <v>4551</v>
      </c>
      <c r="N929" s="56">
        <v>0.01</v>
      </c>
      <c r="O929" s="23" t="s">
        <v>66</v>
      </c>
      <c r="P929" s="57">
        <v>0.0</v>
      </c>
      <c r="Q929" s="58"/>
      <c r="R929" s="70"/>
      <c r="S929" s="32" t="s">
        <v>194</v>
      </c>
      <c r="T929" s="32" t="s">
        <v>6665</v>
      </c>
      <c r="U929" s="33">
        <v>6.19922441E10</v>
      </c>
      <c r="V929" s="33" t="s">
        <v>8811</v>
      </c>
      <c r="W929" s="34">
        <v>25216.0</v>
      </c>
      <c r="X929" s="23" t="s">
        <v>199</v>
      </c>
      <c r="Y929" s="49" t="str">
        <f t="shared" si="22"/>
        <v>Ativo</v>
      </c>
      <c r="Z929" s="62"/>
      <c r="AA929" s="32" t="s">
        <v>47</v>
      </c>
      <c r="AB929" s="64"/>
      <c r="AC929" s="79"/>
      <c r="AD929" s="54">
        <v>45757.0</v>
      </c>
      <c r="AE929" s="77">
        <v>4.9075100018618E13</v>
      </c>
      <c r="AF929" s="79"/>
      <c r="AG929" s="79"/>
      <c r="AH929" s="79"/>
      <c r="AI929" s="79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  <c r="BD929" s="65"/>
      <c r="BE929" s="65"/>
      <c r="BF929" s="65"/>
      <c r="BG929" s="65"/>
      <c r="BH929" s="65"/>
      <c r="BI929" s="65"/>
      <c r="BJ929" s="65">
        <v>64645.85</v>
      </c>
      <c r="BK929" s="65">
        <v>71387.3</v>
      </c>
      <c r="BL929" s="65">
        <v>68986.87</v>
      </c>
      <c r="BM929" s="65">
        <v>81717.62</v>
      </c>
      <c r="BN929" s="65">
        <v>82812.58</v>
      </c>
      <c r="BO929" s="65">
        <v>81611.45</v>
      </c>
      <c r="BP929" s="65">
        <v>76375.09</v>
      </c>
      <c r="BQ929" s="65">
        <v>62223.68</v>
      </c>
      <c r="BR929" s="65">
        <v>60699.23</v>
      </c>
      <c r="BS929" s="65">
        <v>50693.02</v>
      </c>
      <c r="BT929" s="88">
        <v>42447.85</v>
      </c>
      <c r="BU929" s="65">
        <v>44456.18</v>
      </c>
      <c r="BV929" s="65">
        <v>47457.7</v>
      </c>
      <c r="BW929" s="90">
        <v>45864.05</v>
      </c>
      <c r="BX929" s="90">
        <v>39583.15</v>
      </c>
      <c r="BY929" s="90">
        <f t="array" ref="BY929">XLOOKUP(C929,'PL TOTAL D0'!$A$3:$A$1991,'PL TOTAL D0'!$C$3:$C$1991,"")</f>
        <v>40856.73</v>
      </c>
    </row>
    <row r="930" ht="15.75" customHeight="1">
      <c r="A930" s="50" t="s">
        <v>24</v>
      </c>
      <c r="B930" s="43" t="s">
        <v>8813</v>
      </c>
      <c r="C930" s="53" t="s">
        <v>2908</v>
      </c>
      <c r="D930" s="30" t="s">
        <v>142</v>
      </c>
      <c r="E930" s="22" t="s">
        <v>54</v>
      </c>
      <c r="F930" s="30" t="s">
        <v>158</v>
      </c>
      <c r="G930" s="47" t="str">
        <f t="shared" si="37"/>
        <v>David</v>
      </c>
      <c r="H930" s="49" t="s">
        <v>183</v>
      </c>
      <c r="I930" s="49" t="s">
        <v>66</v>
      </c>
      <c r="J930" s="47" t="str">
        <f t="shared" si="38"/>
        <v>Não</v>
      </c>
      <c r="K930" s="54">
        <v>46134.0</v>
      </c>
      <c r="L930" s="62"/>
      <c r="M930" s="32" t="s">
        <v>61</v>
      </c>
      <c r="N930" s="56">
        <v>0.012</v>
      </c>
      <c r="O930" s="23" t="s">
        <v>66</v>
      </c>
      <c r="P930" s="57">
        <v>0.0</v>
      </c>
      <c r="Q930" s="58"/>
      <c r="R930" s="70"/>
      <c r="S930" s="32" t="s">
        <v>234</v>
      </c>
      <c r="T930" s="32" t="s">
        <v>8814</v>
      </c>
      <c r="U930" s="33" t="s">
        <v>8815</v>
      </c>
      <c r="V930" s="33" t="s">
        <v>8816</v>
      </c>
      <c r="W930" s="34">
        <v>40399.0</v>
      </c>
      <c r="X930" s="23" t="s">
        <v>3693</v>
      </c>
      <c r="Y930" s="49" t="str">
        <f t="shared" si="22"/>
        <v>Ativo</v>
      </c>
      <c r="Z930" s="62"/>
      <c r="AA930" s="32" t="s">
        <v>47</v>
      </c>
      <c r="AB930" s="64"/>
      <c r="AC930" s="79"/>
      <c r="AD930" s="54">
        <v>46203.0</v>
      </c>
      <c r="AE930" s="77"/>
      <c r="AF930" s="79"/>
      <c r="AG930" s="79"/>
      <c r="AH930" s="79"/>
      <c r="AI930" s="79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  <c r="BD930" s="65"/>
      <c r="BE930" s="65"/>
      <c r="BF930" s="65"/>
      <c r="BG930" s="65"/>
      <c r="BH930" s="65"/>
      <c r="BI930" s="65"/>
      <c r="BJ930" s="65"/>
      <c r="BK930" s="65"/>
      <c r="BL930" s="65"/>
      <c r="BM930" s="65"/>
      <c r="BN930" s="65"/>
      <c r="BO930" s="65"/>
      <c r="BP930" s="65"/>
      <c r="BQ930" s="65"/>
      <c r="BR930" s="65"/>
      <c r="BS930" s="65"/>
      <c r="BT930" s="88"/>
      <c r="BU930" s="65"/>
      <c r="BV930" s="65">
        <v>0.0</v>
      </c>
      <c r="BW930" s="90">
        <v>476068.8</v>
      </c>
      <c r="BX930" s="90">
        <v>481266.74</v>
      </c>
      <c r="BY930" s="90">
        <f t="array" ref="BY930">XLOOKUP(C930,'PL TOTAL D0'!$A$3:$A$1991,'PL TOTAL D0'!$C$3:$C$1991,"")</f>
        <v>487473.79</v>
      </c>
    </row>
    <row r="931" ht="15.75" customHeight="1">
      <c r="A931" s="50" t="s">
        <v>24</v>
      </c>
      <c r="B931" s="176" t="s">
        <v>8817</v>
      </c>
      <c r="C931" s="94" t="s">
        <v>8818</v>
      </c>
      <c r="D931" s="81" t="s">
        <v>120</v>
      </c>
      <c r="E931" s="95" t="s">
        <v>54</v>
      </c>
      <c r="F931" s="81" t="s">
        <v>379</v>
      </c>
      <c r="G931" s="47" t="str">
        <f t="shared" si="37"/>
        <v>David</v>
      </c>
      <c r="H931" s="49" t="s">
        <v>224</v>
      </c>
      <c r="I931" s="49" t="s">
        <v>66</v>
      </c>
      <c r="J931" s="47" t="str">
        <f t="shared" si="38"/>
        <v>Não</v>
      </c>
      <c r="K931" s="97">
        <v>45058.0</v>
      </c>
      <c r="L931" s="121">
        <v>45945.0</v>
      </c>
      <c r="M931" s="62" t="s">
        <v>61</v>
      </c>
      <c r="N931" s="98">
        <v>0.008</v>
      </c>
      <c r="O931" s="47" t="s">
        <v>66</v>
      </c>
      <c r="P931" s="99">
        <v>0.0</v>
      </c>
      <c r="Q931" s="58"/>
      <c r="R931" s="635"/>
      <c r="S931" s="62" t="s">
        <v>234</v>
      </c>
      <c r="T931" s="32" t="s">
        <v>6693</v>
      </c>
      <c r="U931" s="33">
        <v>5.561981212666E12</v>
      </c>
      <c r="V931" s="33" t="s">
        <v>4882</v>
      </c>
      <c r="W931" s="48">
        <v>43783.0</v>
      </c>
      <c r="X931" s="23" t="s">
        <v>54</v>
      </c>
      <c r="Y931" s="49" t="str">
        <f t="shared" si="22"/>
        <v>Encerrado</v>
      </c>
      <c r="Z931" s="62"/>
      <c r="AA931" s="62"/>
      <c r="AB931" s="64" t="s">
        <v>244</v>
      </c>
      <c r="AC931" s="79"/>
      <c r="AD931" s="54">
        <v>45058.0</v>
      </c>
      <c r="AE931" s="77">
        <v>4.9075100009066E13</v>
      </c>
      <c r="AF931" s="79"/>
      <c r="AG931" s="79"/>
      <c r="AH931" s="79"/>
      <c r="AI931" s="79"/>
      <c r="AJ931" s="79"/>
      <c r="AK931" s="79"/>
      <c r="AL931" s="65">
        <v>0.0</v>
      </c>
      <c r="AM931" s="65">
        <v>917050.58</v>
      </c>
      <c r="AN931" s="65">
        <v>921849.32</v>
      </c>
      <c r="AO931" s="65">
        <v>925915.22</v>
      </c>
      <c r="AP931" s="65">
        <v>932372.26</v>
      </c>
      <c r="AQ931" s="65">
        <v>938332.24</v>
      </c>
      <c r="AR931" s="65">
        <v>946137.88</v>
      </c>
      <c r="AS931" s="65">
        <v>951998.3</v>
      </c>
      <c r="AT931" s="65">
        <v>959427.1</v>
      </c>
      <c r="AU931" s="65">
        <v>966990.1</v>
      </c>
      <c r="AV931" s="65">
        <v>973392.74</v>
      </c>
      <c r="AW931" s="65">
        <v>977995.99</v>
      </c>
      <c r="AX931" s="65">
        <v>985720.73</v>
      </c>
      <c r="AY931" s="65">
        <v>993183.8</v>
      </c>
      <c r="AZ931" s="65">
        <v>997112.5</v>
      </c>
      <c r="BA931" s="65">
        <v>1102114.0</v>
      </c>
      <c r="BB931" s="65">
        <v>1519351.89</v>
      </c>
      <c r="BC931" s="65">
        <v>1707715.02</v>
      </c>
      <c r="BD931" s="65">
        <v>1723439.14</v>
      </c>
      <c r="BE931" s="65">
        <v>1735057.2</v>
      </c>
      <c r="BF931" s="65">
        <v>1949465.39</v>
      </c>
      <c r="BG931" s="65">
        <v>1966968.38</v>
      </c>
      <c r="BH931" s="65">
        <v>1983215.46</v>
      </c>
      <c r="BI931" s="65">
        <v>2001663.98</v>
      </c>
      <c r="BJ931" s="65">
        <v>2022312.0</v>
      </c>
      <c r="BK931" s="65">
        <v>2040139.67</v>
      </c>
      <c r="BL931" s="65">
        <v>2055885.3</v>
      </c>
      <c r="BM931" s="65">
        <v>1995638.33</v>
      </c>
      <c r="BN931" s="65">
        <v>1848415.0</v>
      </c>
      <c r="BO931" s="65">
        <v>0.0</v>
      </c>
      <c r="BP931" s="65">
        <v>0.0</v>
      </c>
      <c r="BQ931" s="65">
        <v>0.0</v>
      </c>
      <c r="BR931" s="65">
        <v>0.0</v>
      </c>
      <c r="BS931" s="65">
        <v>0.0</v>
      </c>
      <c r="BT931" s="88">
        <v>0.0</v>
      </c>
      <c r="BU931" s="65">
        <v>0.0</v>
      </c>
      <c r="BV931" s="65">
        <v>0.0</v>
      </c>
      <c r="BW931" s="90">
        <v>0.0</v>
      </c>
      <c r="BX931" s="90">
        <v>0.0</v>
      </c>
      <c r="BY931" s="90" t="str">
        <f t="array" ref="BY931">XLOOKUP(C931,'PL TOTAL D0'!$A$3:$A$1991,'PL TOTAL D0'!$C$3:$C$1991,"")</f>
        <v/>
      </c>
    </row>
    <row r="932" ht="15.75" customHeight="1">
      <c r="A932" s="50" t="s">
        <v>24</v>
      </c>
      <c r="B932" s="39" t="s">
        <v>1479</v>
      </c>
      <c r="C932" s="53" t="s">
        <v>3171</v>
      </c>
      <c r="D932" s="30" t="s">
        <v>27</v>
      </c>
      <c r="E932" s="22" t="s">
        <v>28</v>
      </c>
      <c r="F932" s="30" t="s">
        <v>29</v>
      </c>
      <c r="G932" s="47" t="str">
        <f t="shared" si="37"/>
        <v>David</v>
      </c>
      <c r="H932" s="49" t="s">
        <v>183</v>
      </c>
      <c r="I932" s="49" t="s">
        <v>66</v>
      </c>
      <c r="J932" s="47" t="str">
        <f t="shared" si="38"/>
        <v>Não</v>
      </c>
      <c r="K932" s="54">
        <v>46198.0</v>
      </c>
      <c r="L932" s="121"/>
      <c r="M932" s="32" t="s">
        <v>568</v>
      </c>
      <c r="N932" s="56">
        <v>0.013</v>
      </c>
      <c r="O932" s="23" t="s">
        <v>66</v>
      </c>
      <c r="P932" s="57">
        <v>0.0</v>
      </c>
      <c r="Q932" s="58"/>
      <c r="R932" s="635"/>
      <c r="S932" s="32" t="s">
        <v>194</v>
      </c>
      <c r="T932" s="32" t="s">
        <v>1483</v>
      </c>
      <c r="U932" s="33" t="s">
        <v>1484</v>
      </c>
      <c r="V932" s="33" t="s">
        <v>1485</v>
      </c>
      <c r="W932" s="48">
        <v>31541.0</v>
      </c>
      <c r="X932" s="23" t="s">
        <v>28</v>
      </c>
      <c r="Y932" s="49" t="str">
        <f t="shared" si="22"/>
        <v>Ativo</v>
      </c>
      <c r="Z932" s="62"/>
      <c r="AA932" s="32" t="s">
        <v>165</v>
      </c>
      <c r="AB932" s="64"/>
      <c r="AC932" s="79"/>
      <c r="AD932" s="54"/>
      <c r="AE932" s="77"/>
      <c r="AF932" s="79"/>
      <c r="AG932" s="79"/>
      <c r="AH932" s="79"/>
      <c r="AI932" s="79"/>
      <c r="AJ932" s="79"/>
      <c r="AK932" s="79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  <c r="AV932" s="65"/>
      <c r="AW932" s="65"/>
      <c r="AX932" s="65"/>
      <c r="AY932" s="65"/>
      <c r="AZ932" s="65"/>
      <c r="BA932" s="65"/>
      <c r="BB932" s="65"/>
      <c r="BC932" s="65"/>
      <c r="BD932" s="65"/>
      <c r="BE932" s="65"/>
      <c r="BF932" s="65"/>
      <c r="BG932" s="65"/>
      <c r="BH932" s="65"/>
      <c r="BI932" s="65"/>
      <c r="BJ932" s="65"/>
      <c r="BK932" s="65"/>
      <c r="BL932" s="65"/>
      <c r="BM932" s="65"/>
      <c r="BN932" s="65"/>
      <c r="BO932" s="65"/>
      <c r="BP932" s="65"/>
      <c r="BQ932" s="65"/>
      <c r="BR932" s="65"/>
      <c r="BS932" s="65"/>
      <c r="BT932" s="88"/>
      <c r="BU932" s="65"/>
      <c r="BV932" s="65"/>
      <c r="BW932" s="90"/>
      <c r="BX932" s="90">
        <v>0.0</v>
      </c>
      <c r="BY932" s="90">
        <f t="array" ref="BY932">XLOOKUP(C932,'PL TOTAL D0'!$A$3:$A$1991,'PL TOTAL D0'!$C$3:$C$1991,"")</f>
        <v>187536.01</v>
      </c>
    </row>
    <row r="933" ht="15.75" customHeight="1">
      <c r="A933" s="50" t="s">
        <v>24</v>
      </c>
      <c r="B933" s="50" t="s">
        <v>8819</v>
      </c>
      <c r="C933" s="94" t="s">
        <v>8820</v>
      </c>
      <c r="D933" s="81" t="s">
        <v>120</v>
      </c>
      <c r="E933" s="95" t="s">
        <v>54</v>
      </c>
      <c r="F933" s="81" t="s">
        <v>348</v>
      </c>
      <c r="G933" s="47" t="str">
        <f t="shared" si="37"/>
        <v>David</v>
      </c>
      <c r="H933" s="49" t="s">
        <v>295</v>
      </c>
      <c r="I933" s="49" t="s">
        <v>382</v>
      </c>
      <c r="J933" s="47" t="str">
        <f t="shared" si="38"/>
        <v>Não</v>
      </c>
      <c r="K933" s="97">
        <v>44973.0</v>
      </c>
      <c r="L933" s="62"/>
      <c r="M933" s="62" t="s">
        <v>61</v>
      </c>
      <c r="N933" s="98">
        <v>0.01</v>
      </c>
      <c r="O933" s="47" t="s">
        <v>66</v>
      </c>
      <c r="P933" s="99">
        <v>0.0</v>
      </c>
      <c r="Q933" s="58"/>
      <c r="R933" s="70"/>
      <c r="S933" s="62" t="s">
        <v>194</v>
      </c>
      <c r="T933" s="32" t="s">
        <v>8821</v>
      </c>
      <c r="U933" s="33">
        <v>6.2981324545E10</v>
      </c>
      <c r="V933" s="33" t="s">
        <v>8822</v>
      </c>
      <c r="W933" s="34">
        <v>32599.0</v>
      </c>
      <c r="X933" s="23" t="s">
        <v>54</v>
      </c>
      <c r="Y933" s="49" t="str">
        <f t="shared" si="22"/>
        <v>Ativo</v>
      </c>
      <c r="Z933" s="62"/>
      <c r="AA933" s="62"/>
      <c r="AB933" s="64" t="s">
        <v>269</v>
      </c>
      <c r="AC933" s="79"/>
      <c r="AD933" s="54">
        <v>44973.0</v>
      </c>
      <c r="AE933" s="77">
        <v>4.9075100006229E13</v>
      </c>
      <c r="AF933" s="79"/>
      <c r="AG933" s="79"/>
      <c r="AH933" s="79"/>
      <c r="AI933" s="79"/>
      <c r="AJ933" s="65">
        <v>134565.58</v>
      </c>
      <c r="AK933" s="65">
        <v>131030.57</v>
      </c>
      <c r="AL933" s="65">
        <v>131907.25</v>
      </c>
      <c r="AM933" s="65">
        <v>119165.24</v>
      </c>
      <c r="AN933" s="65">
        <v>121226.11</v>
      </c>
      <c r="AO933" s="65">
        <v>117331.38</v>
      </c>
      <c r="AP933" s="65">
        <v>118898.37</v>
      </c>
      <c r="AQ933" s="65">
        <v>119904.59</v>
      </c>
      <c r="AR933" s="65">
        <v>80094.84</v>
      </c>
      <c r="AS933" s="65">
        <v>82181.14</v>
      </c>
      <c r="AT933" s="65">
        <v>100558.79</v>
      </c>
      <c r="AU933" s="65">
        <v>91388.44</v>
      </c>
      <c r="AV933" s="65">
        <v>87542.72</v>
      </c>
      <c r="AW933" s="65">
        <v>83186.65</v>
      </c>
      <c r="AX933" s="65">
        <v>75175.92</v>
      </c>
      <c r="AY933" s="65">
        <v>69892.57</v>
      </c>
      <c r="AZ933" s="65">
        <v>63886.49</v>
      </c>
      <c r="BA933" s="65">
        <v>62723.23</v>
      </c>
      <c r="BB933" s="65">
        <v>6148.7</v>
      </c>
      <c r="BC933" s="65">
        <v>0.0</v>
      </c>
      <c r="BD933" s="65">
        <v>0.0</v>
      </c>
      <c r="BE933" s="65">
        <v>0.0</v>
      </c>
      <c r="BF933" s="65">
        <v>0.38</v>
      </c>
      <c r="BG933" s="65">
        <v>0.38</v>
      </c>
      <c r="BH933" s="65">
        <v>0.38</v>
      </c>
      <c r="BI933" s="65">
        <v>0.38</v>
      </c>
      <c r="BJ933" s="65">
        <v>0.0</v>
      </c>
      <c r="BK933" s="65">
        <v>0.0</v>
      </c>
      <c r="BL933" s="65">
        <v>0.0</v>
      </c>
      <c r="BM933" s="65">
        <v>0.0</v>
      </c>
      <c r="BN933" s="65">
        <v>0.0</v>
      </c>
      <c r="BO933" s="65">
        <v>0.0</v>
      </c>
      <c r="BP933" s="65">
        <v>60.41</v>
      </c>
      <c r="BQ933" s="65">
        <v>0.0</v>
      </c>
      <c r="BR933" s="65">
        <v>0.0</v>
      </c>
      <c r="BS933" s="65">
        <v>0.0</v>
      </c>
      <c r="BT933" s="88">
        <v>0.0</v>
      </c>
      <c r="BU933" s="65">
        <v>0.0</v>
      </c>
      <c r="BV933" s="65">
        <v>0.0</v>
      </c>
      <c r="BW933" s="90">
        <v>0.0</v>
      </c>
      <c r="BX933" s="90">
        <v>0.0</v>
      </c>
      <c r="BY933" s="90" t="str">
        <f t="array" ref="BY933">XLOOKUP(C933,'PL TOTAL D0'!$A$3:$A$1991,'PL TOTAL D0'!$C$3:$C$1991,"")</f>
        <v/>
      </c>
    </row>
    <row r="934" ht="15.75" customHeight="1">
      <c r="A934" s="43" t="s">
        <v>24</v>
      </c>
      <c r="B934" s="167" t="s">
        <v>8823</v>
      </c>
      <c r="C934" s="94" t="s">
        <v>3206</v>
      </c>
      <c r="D934" s="30" t="s">
        <v>142</v>
      </c>
      <c r="E934" s="22" t="s">
        <v>54</v>
      </c>
      <c r="F934" s="30" t="s">
        <v>158</v>
      </c>
      <c r="G934" s="47" t="str">
        <f t="shared" si="37"/>
        <v>David</v>
      </c>
      <c r="H934" s="49" t="s">
        <v>183</v>
      </c>
      <c r="I934" s="49" t="s">
        <v>66</v>
      </c>
      <c r="J934" s="47" t="str">
        <f t="shared" si="38"/>
        <v>Sim</v>
      </c>
      <c r="K934" s="54">
        <v>45337.0</v>
      </c>
      <c r="L934" s="62"/>
      <c r="M934" s="32" t="s">
        <v>61</v>
      </c>
      <c r="N934" s="56">
        <v>0.012</v>
      </c>
      <c r="O934" s="23" t="s">
        <v>66</v>
      </c>
      <c r="P934" s="57">
        <v>0.0</v>
      </c>
      <c r="Q934" s="58" t="s">
        <v>8824</v>
      </c>
      <c r="R934" s="70"/>
      <c r="S934" s="32" t="s">
        <v>234</v>
      </c>
      <c r="T934" s="22" t="s">
        <v>8825</v>
      </c>
      <c r="U934" s="33">
        <v>5.562984426255E12</v>
      </c>
      <c r="V934" s="33" t="s">
        <v>6028</v>
      </c>
      <c r="W934" s="34">
        <v>44347.0</v>
      </c>
      <c r="X934" s="23" t="s">
        <v>54</v>
      </c>
      <c r="Y934" s="49" t="str">
        <f t="shared" si="22"/>
        <v>Ativo</v>
      </c>
      <c r="Z934" s="32"/>
      <c r="AA934" s="32"/>
      <c r="AB934" s="64" t="s">
        <v>269</v>
      </c>
      <c r="AC934" s="79"/>
      <c r="AD934" s="54">
        <v>45337.0</v>
      </c>
      <c r="AE934" s="77">
        <v>4.9075100013421E13</v>
      </c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65">
        <v>0.0</v>
      </c>
      <c r="AW934" s="65">
        <v>663216.71</v>
      </c>
      <c r="AX934" s="65">
        <v>1510011.53</v>
      </c>
      <c r="AY934" s="65">
        <v>1369361.0</v>
      </c>
      <c r="AZ934" s="65">
        <v>1127466.0</v>
      </c>
      <c r="BA934" s="65">
        <v>1137459.0</v>
      </c>
      <c r="BB934" s="65">
        <v>1145593.93</v>
      </c>
      <c r="BC934" s="65">
        <v>744346.61</v>
      </c>
      <c r="BD934" s="65">
        <v>1353938.2</v>
      </c>
      <c r="BE934" s="65">
        <v>1061369.77</v>
      </c>
      <c r="BF934" s="65">
        <v>760860.1</v>
      </c>
      <c r="BG934" s="65">
        <v>767899.91</v>
      </c>
      <c r="BH934" s="65">
        <v>460409.04</v>
      </c>
      <c r="BI934" s="65">
        <v>464511.05</v>
      </c>
      <c r="BJ934" s="65">
        <v>469460.63</v>
      </c>
      <c r="BK934" s="65">
        <v>474007.28</v>
      </c>
      <c r="BL934" s="65">
        <v>3197084.07</v>
      </c>
      <c r="BM934" s="65">
        <v>3234145.2</v>
      </c>
      <c r="BN934" s="65">
        <v>4522164.0</v>
      </c>
      <c r="BO934" s="65">
        <v>4111421.25</v>
      </c>
      <c r="BP934" s="65">
        <v>3650541.0</v>
      </c>
      <c r="BQ934" s="65">
        <v>2662566.0</v>
      </c>
      <c r="BR934" s="65">
        <v>2167426.0</v>
      </c>
      <c r="BS934" s="65">
        <v>149597.93</v>
      </c>
      <c r="BT934" s="88">
        <v>150449.3</v>
      </c>
      <c r="BU934" s="65">
        <v>152152.9</v>
      </c>
      <c r="BV934" s="65">
        <v>153635.2</v>
      </c>
      <c r="BW934" s="90">
        <v>153996.1</v>
      </c>
      <c r="BX934" s="90">
        <v>155470.11</v>
      </c>
      <c r="BY934" s="90">
        <f t="array" ref="BY934">XLOOKUP(C934,'PL TOTAL D0'!$A$3:$A$1991,'PL TOTAL D0'!$C$3:$C$1991,"")</f>
        <v>157188.57</v>
      </c>
    </row>
    <row r="935" ht="15.75" customHeight="1">
      <c r="A935" s="50" t="s">
        <v>24</v>
      </c>
      <c r="B935" s="43" t="s">
        <v>6671</v>
      </c>
      <c r="C935" s="94" t="s">
        <v>2823</v>
      </c>
      <c r="D935" s="30" t="s">
        <v>89</v>
      </c>
      <c r="E935" s="95" t="s">
        <v>91</v>
      </c>
      <c r="F935" s="81" t="s">
        <v>521</v>
      </c>
      <c r="G935" s="47" t="str">
        <f t="shared" si="37"/>
        <v>Gabriel</v>
      </c>
      <c r="H935" s="49" t="s">
        <v>183</v>
      </c>
      <c r="I935" s="74" t="s">
        <v>66</v>
      </c>
      <c r="J935" s="47" t="str">
        <f t="shared" si="38"/>
        <v>Não</v>
      </c>
      <c r="K935" s="97">
        <v>45163.0</v>
      </c>
      <c r="L935" s="189"/>
      <c r="M935" s="32" t="s">
        <v>34</v>
      </c>
      <c r="N935" s="56">
        <v>0.012</v>
      </c>
      <c r="O935" s="47" t="s">
        <v>35</v>
      </c>
      <c r="P935" s="99">
        <v>0.1</v>
      </c>
      <c r="Q935" s="58"/>
      <c r="R935" s="58" t="s">
        <v>8826</v>
      </c>
      <c r="S935" s="62" t="s">
        <v>194</v>
      </c>
      <c r="T935" s="32" t="s">
        <v>6672</v>
      </c>
      <c r="U935" s="33">
        <v>5.543991453577E12</v>
      </c>
      <c r="V935" s="33" t="s">
        <v>8827</v>
      </c>
      <c r="W935" s="34">
        <v>16445.0</v>
      </c>
      <c r="X935" s="23" t="s">
        <v>221</v>
      </c>
      <c r="Y935" s="49" t="str">
        <f t="shared" si="22"/>
        <v>Ativo</v>
      </c>
      <c r="Z935" s="62"/>
      <c r="AA935" s="62"/>
      <c r="AB935" s="64" t="s">
        <v>269</v>
      </c>
      <c r="AC935" s="79"/>
      <c r="AD935" s="54">
        <v>45163.0</v>
      </c>
      <c r="AE935" s="77">
        <v>4.9075100011826E13</v>
      </c>
      <c r="AF935" s="79"/>
      <c r="AG935" s="79"/>
      <c r="AH935" s="79"/>
      <c r="AI935" s="79"/>
      <c r="AJ935" s="79"/>
      <c r="AK935" s="79"/>
      <c r="AL935" s="65">
        <v>0.0</v>
      </c>
      <c r="AM935" s="65">
        <v>0.0</v>
      </c>
      <c r="AN935" s="65">
        <v>0.0</v>
      </c>
      <c r="AO935" s="65">
        <v>0.0</v>
      </c>
      <c r="AP935" s="65">
        <v>0.0</v>
      </c>
      <c r="AQ935" s="65">
        <v>0.0</v>
      </c>
      <c r="AR935" s="65">
        <v>0.0</v>
      </c>
      <c r="AS935" s="65">
        <v>0.0</v>
      </c>
      <c r="AT935" s="65">
        <v>495723.2</v>
      </c>
      <c r="AU935" s="65">
        <v>489036.95</v>
      </c>
      <c r="AV935" s="65">
        <v>492682.44</v>
      </c>
      <c r="AW935" s="65">
        <v>492167.63</v>
      </c>
      <c r="AX935" s="65">
        <v>491926.14</v>
      </c>
      <c r="AY935" s="65">
        <v>491737.7</v>
      </c>
      <c r="AZ935" s="65">
        <v>495131.8</v>
      </c>
      <c r="BA935" s="65">
        <v>500785.7</v>
      </c>
      <c r="BB935" s="65">
        <v>505984.56</v>
      </c>
      <c r="BC935" s="65">
        <v>507348.98</v>
      </c>
      <c r="BD935" s="65">
        <v>508386.76</v>
      </c>
      <c r="BE935" s="65">
        <v>509502.84</v>
      </c>
      <c r="BF935" s="65">
        <v>511315.56</v>
      </c>
      <c r="BG935" s="65">
        <v>516338.69</v>
      </c>
      <c r="BH935" s="65">
        <v>521277.93</v>
      </c>
      <c r="BI935" s="65">
        <v>525208.65</v>
      </c>
      <c r="BJ935" s="65">
        <v>530760.85</v>
      </c>
      <c r="BK935" s="65">
        <v>535406.64</v>
      </c>
      <c r="BL935" s="65">
        <v>538971.13</v>
      </c>
      <c r="BM935" s="65">
        <v>544213.92</v>
      </c>
      <c r="BN935" s="65">
        <v>549206.3</v>
      </c>
      <c r="BO935" s="65">
        <v>554911.18</v>
      </c>
      <c r="BP935" s="65">
        <v>560899.2</v>
      </c>
      <c r="BQ935" s="65">
        <v>565529.6</v>
      </c>
      <c r="BR935" s="65">
        <v>570813.5</v>
      </c>
      <c r="BS935" s="65">
        <v>573051.42</v>
      </c>
      <c r="BT935" s="88">
        <v>577972.7</v>
      </c>
      <c r="BU935" s="65">
        <v>583891.6</v>
      </c>
      <c r="BV935" s="65">
        <v>590061.7</v>
      </c>
      <c r="BW935" s="90">
        <v>592203.2</v>
      </c>
      <c r="BX935" s="90">
        <v>616040.24</v>
      </c>
      <c r="BY935" s="90">
        <f t="array" ref="BY935">XLOOKUP(C935,'PL TOTAL D0'!$A$3:$A$1991,'PL TOTAL D0'!$C$3:$C$1991,"")</f>
        <v>602377.44</v>
      </c>
    </row>
    <row r="936" ht="15.75" customHeight="1">
      <c r="A936" s="50" t="s">
        <v>24</v>
      </c>
      <c r="B936" s="43" t="s">
        <v>8828</v>
      </c>
      <c r="C936" s="53" t="s">
        <v>2745</v>
      </c>
      <c r="D936" s="30" t="s">
        <v>249</v>
      </c>
      <c r="E936" s="22" t="s">
        <v>199</v>
      </c>
      <c r="F936" s="30" t="s">
        <v>251</v>
      </c>
      <c r="G936" s="47" t="str">
        <f t="shared" si="37"/>
        <v>David</v>
      </c>
      <c r="H936" s="49" t="s">
        <v>183</v>
      </c>
      <c r="I936" s="49" t="s">
        <v>66</v>
      </c>
      <c r="J936" s="47" t="str">
        <f t="shared" si="38"/>
        <v>Sim</v>
      </c>
      <c r="K936" s="54">
        <v>46146.0</v>
      </c>
      <c r="L936" s="189"/>
      <c r="M936" s="32" t="s">
        <v>61</v>
      </c>
      <c r="N936" s="290">
        <v>0.012</v>
      </c>
      <c r="O936" s="291" t="s">
        <v>66</v>
      </c>
      <c r="P936" s="292">
        <v>0.0</v>
      </c>
      <c r="Q936" s="58" t="s">
        <v>8829</v>
      </c>
      <c r="R936" s="58"/>
      <c r="S936" s="62" t="s">
        <v>194</v>
      </c>
      <c r="T936" s="32" t="s">
        <v>8830</v>
      </c>
      <c r="U936" s="33" t="s">
        <v>8831</v>
      </c>
      <c r="V936" s="33" t="s">
        <v>8832</v>
      </c>
      <c r="W936" s="34">
        <v>23645.0</v>
      </c>
      <c r="X936" s="23" t="s">
        <v>975</v>
      </c>
      <c r="Y936" s="49" t="str">
        <f t="shared" si="22"/>
        <v>Ativo</v>
      </c>
      <c r="Z936" s="62"/>
      <c r="AA936" s="32" t="s">
        <v>47</v>
      </c>
      <c r="AB936" s="64"/>
      <c r="AC936" s="79"/>
      <c r="AD936" s="54">
        <v>46203.0</v>
      </c>
      <c r="AE936" s="77"/>
      <c r="AF936" s="79"/>
      <c r="AG936" s="79"/>
      <c r="AH936" s="79"/>
      <c r="AI936" s="79"/>
      <c r="AJ936" s="79"/>
      <c r="AK936" s="79"/>
      <c r="AL936" s="65"/>
      <c r="AM936" s="65"/>
      <c r="AN936" s="65"/>
      <c r="AO936" s="65"/>
      <c r="AP936" s="65"/>
      <c r="AQ936" s="65"/>
      <c r="AR936" s="65"/>
      <c r="AS936" s="65"/>
      <c r="AT936" s="65"/>
      <c r="AU936" s="65"/>
      <c r="AV936" s="65"/>
      <c r="AW936" s="65"/>
      <c r="AX936" s="65"/>
      <c r="AY936" s="65"/>
      <c r="AZ936" s="65"/>
      <c r="BA936" s="65"/>
      <c r="BB936" s="65"/>
      <c r="BC936" s="65"/>
      <c r="BD936" s="65"/>
      <c r="BE936" s="65"/>
      <c r="BF936" s="65"/>
      <c r="BG936" s="65"/>
      <c r="BH936" s="65"/>
      <c r="BI936" s="65"/>
      <c r="BJ936" s="65"/>
      <c r="BK936" s="65"/>
      <c r="BL936" s="65"/>
      <c r="BM936" s="65"/>
      <c r="BN936" s="65"/>
      <c r="BO936" s="65"/>
      <c r="BP936" s="65"/>
      <c r="BQ936" s="65"/>
      <c r="BR936" s="65"/>
      <c r="BS936" s="65"/>
      <c r="BT936" s="88"/>
      <c r="BU936" s="65"/>
      <c r="BV936" s="65">
        <v>0.0</v>
      </c>
      <c r="BW936" s="90">
        <v>877869.1</v>
      </c>
      <c r="BX936" s="90">
        <v>887574.44</v>
      </c>
      <c r="BY936" s="90">
        <f t="array" ref="BY936">XLOOKUP(C936,'PL TOTAL D0'!$A$3:$A$1991,'PL TOTAL D0'!$C$3:$C$1991,"")</f>
        <v>898380.17</v>
      </c>
    </row>
    <row r="937" ht="15.75" customHeight="1">
      <c r="A937" s="50" t="s">
        <v>24</v>
      </c>
      <c r="B937" s="50" t="s">
        <v>6687</v>
      </c>
      <c r="C937" s="94" t="s">
        <v>8833</v>
      </c>
      <c r="D937" s="30" t="s">
        <v>89</v>
      </c>
      <c r="E937" s="95" t="s">
        <v>91</v>
      </c>
      <c r="F937" s="81" t="s">
        <v>521</v>
      </c>
      <c r="G937" s="47" t="str">
        <f t="shared" si="37"/>
        <v>David</v>
      </c>
      <c r="H937" s="49" t="s">
        <v>224</v>
      </c>
      <c r="I937" s="49" t="s">
        <v>66</v>
      </c>
      <c r="J937" s="47" t="str">
        <f t="shared" si="38"/>
        <v>Não</v>
      </c>
      <c r="K937" s="97">
        <v>45021.0</v>
      </c>
      <c r="L937" s="55">
        <v>46083.0</v>
      </c>
      <c r="M937" s="32" t="s">
        <v>61</v>
      </c>
      <c r="N937" s="918">
        <v>0.012</v>
      </c>
      <c r="O937" s="919" t="s">
        <v>66</v>
      </c>
      <c r="P937" s="920">
        <v>0.0</v>
      </c>
      <c r="Q937" s="58"/>
      <c r="R937" s="58" t="s">
        <v>8834</v>
      </c>
      <c r="S937" s="62" t="s">
        <v>194</v>
      </c>
      <c r="T937" s="32" t="s">
        <v>6690</v>
      </c>
      <c r="U937" s="33">
        <v>4.3998852222E10</v>
      </c>
      <c r="V937" s="33" t="s">
        <v>8835</v>
      </c>
      <c r="W937" s="34">
        <v>28530.0</v>
      </c>
      <c r="X937" s="23" t="s">
        <v>221</v>
      </c>
      <c r="Y937" s="49" t="str">
        <f t="shared" si="22"/>
        <v>Encerrado</v>
      </c>
      <c r="Z937" s="62"/>
      <c r="AA937" s="62"/>
      <c r="AB937" s="64" t="s">
        <v>269</v>
      </c>
      <c r="AC937" s="79"/>
      <c r="AD937" s="54">
        <v>45021.0</v>
      </c>
      <c r="AE937" s="77">
        <v>4.9075100009929E13</v>
      </c>
      <c r="AF937" s="79"/>
      <c r="AG937" s="79"/>
      <c r="AH937" s="79"/>
      <c r="AI937" s="79"/>
      <c r="AJ937" s="79"/>
      <c r="AK937" s="65">
        <v>0.0</v>
      </c>
      <c r="AL937" s="65">
        <v>177876.97</v>
      </c>
      <c r="AM937" s="65">
        <v>179377.58</v>
      </c>
      <c r="AN937" s="65">
        <v>181097.77</v>
      </c>
      <c r="AO937" s="65">
        <v>131177.81</v>
      </c>
      <c r="AP937" s="65">
        <v>132234.7</v>
      </c>
      <c r="AQ937" s="65">
        <v>132752.76</v>
      </c>
      <c r="AR937" s="65">
        <v>132974.39</v>
      </c>
      <c r="AS937" s="65">
        <v>135260.13</v>
      </c>
      <c r="AT937" s="65">
        <v>137192.65</v>
      </c>
      <c r="AU937" s="65">
        <v>135840.05</v>
      </c>
      <c r="AV937" s="65">
        <v>136829.17</v>
      </c>
      <c r="AW937" s="65">
        <v>137673.4</v>
      </c>
      <c r="AX937" s="65">
        <v>137534.93</v>
      </c>
      <c r="AY937" s="65">
        <v>137446.5</v>
      </c>
      <c r="AZ937" s="65">
        <v>180587.8</v>
      </c>
      <c r="BA937" s="65">
        <v>188128.3</v>
      </c>
      <c r="BB937" s="65">
        <v>190549.05</v>
      </c>
      <c r="BC937" s="65">
        <v>190000.1</v>
      </c>
      <c r="BD937" s="65">
        <v>188218.43</v>
      </c>
      <c r="BE937" s="65">
        <v>186624.99</v>
      </c>
      <c r="BF937" s="65">
        <v>186915.17</v>
      </c>
      <c r="BG937" s="65">
        <v>188899.78</v>
      </c>
      <c r="BH937" s="65">
        <v>190419.31</v>
      </c>
      <c r="BI937" s="65">
        <v>192020.41</v>
      </c>
      <c r="BJ937" s="65">
        <v>194044.85</v>
      </c>
      <c r="BK937" s="65">
        <v>195440.12</v>
      </c>
      <c r="BL937" s="65">
        <v>197252.53</v>
      </c>
      <c r="BM937" s="65">
        <v>199536.75</v>
      </c>
      <c r="BN937" s="65">
        <v>201560.4</v>
      </c>
      <c r="BO937" s="65">
        <v>25635.28</v>
      </c>
      <c r="BP937" s="65">
        <v>25820.77</v>
      </c>
      <c r="BQ937" s="65">
        <v>26070.01</v>
      </c>
      <c r="BR937" s="65">
        <v>26343.53</v>
      </c>
      <c r="BS937" s="65">
        <v>0.0</v>
      </c>
      <c r="BT937" s="88">
        <v>0.04</v>
      </c>
      <c r="BU937" s="65">
        <v>0.0</v>
      </c>
      <c r="BV937" s="65">
        <v>0.0</v>
      </c>
      <c r="BW937" s="90">
        <v>0.0</v>
      </c>
      <c r="BX937" s="90">
        <v>0.0</v>
      </c>
      <c r="BY937" s="90" t="str">
        <f t="array" ref="BY937">XLOOKUP(C937,'PL TOTAL D0'!$A$3:$A$1991,'PL TOTAL D0'!$C$3:$C$1991,"")</f>
        <v/>
      </c>
    </row>
    <row r="938" ht="15.75" customHeight="1">
      <c r="A938" s="50" t="s">
        <v>24</v>
      </c>
      <c r="B938" s="50" t="s">
        <v>6687</v>
      </c>
      <c r="C938" s="94" t="s">
        <v>8836</v>
      </c>
      <c r="D938" s="30" t="s">
        <v>89</v>
      </c>
      <c r="E938" s="95" t="s">
        <v>91</v>
      </c>
      <c r="F938" s="81" t="s">
        <v>521</v>
      </c>
      <c r="G938" s="47" t="str">
        <f t="shared" si="37"/>
        <v>David</v>
      </c>
      <c r="H938" s="49" t="s">
        <v>224</v>
      </c>
      <c r="I938" s="49" t="s">
        <v>66</v>
      </c>
      <c r="J938" s="47" t="str">
        <f t="shared" si="38"/>
        <v>Não</v>
      </c>
      <c r="K938" s="97">
        <v>45127.0</v>
      </c>
      <c r="L938" s="186">
        <v>45966.0</v>
      </c>
      <c r="M938" s="62" t="s">
        <v>231</v>
      </c>
      <c r="N938" s="98">
        <v>0.025</v>
      </c>
      <c r="O938" s="23" t="s">
        <v>233</v>
      </c>
      <c r="P938" s="99">
        <v>0.2</v>
      </c>
      <c r="Q938" s="58"/>
      <c r="R938" s="921" t="s">
        <v>2352</v>
      </c>
      <c r="S938" s="62" t="s">
        <v>194</v>
      </c>
      <c r="T938" s="32" t="s">
        <v>6690</v>
      </c>
      <c r="U938" s="33">
        <v>4.3998852222E10</v>
      </c>
      <c r="V938" s="33" t="s">
        <v>8835</v>
      </c>
      <c r="W938" s="34">
        <v>28530.0</v>
      </c>
      <c r="X938" s="23" t="s">
        <v>221</v>
      </c>
      <c r="Y938" s="49" t="str">
        <f t="shared" si="22"/>
        <v>Encerrado</v>
      </c>
      <c r="Z938" s="62"/>
      <c r="AA938" s="62"/>
      <c r="AB938" s="64" t="s">
        <v>269</v>
      </c>
      <c r="AC938" s="79"/>
      <c r="AD938" s="54">
        <v>45127.0</v>
      </c>
      <c r="AE938" s="77">
        <v>4.9075100008434E13</v>
      </c>
      <c r="AF938" s="79"/>
      <c r="AG938" s="79"/>
      <c r="AH938" s="79"/>
      <c r="AI938" s="79"/>
      <c r="AJ938" s="79"/>
      <c r="AK938" s="79"/>
      <c r="AL938" s="79"/>
      <c r="AM938" s="79"/>
      <c r="AN938" s="65">
        <v>0.0</v>
      </c>
      <c r="AO938" s="65">
        <v>50378.93</v>
      </c>
      <c r="AP938" s="65">
        <v>50509.51</v>
      </c>
      <c r="AQ938" s="65">
        <v>49400.81</v>
      </c>
      <c r="AR938" s="65">
        <v>47181.15</v>
      </c>
      <c r="AS938" s="65">
        <v>50692.58</v>
      </c>
      <c r="AT938" s="65">
        <v>53112.44</v>
      </c>
      <c r="AU938" s="65">
        <v>49430.06</v>
      </c>
      <c r="AV938" s="65">
        <v>50112.37</v>
      </c>
      <c r="AW938" s="65">
        <v>50930.79</v>
      </c>
      <c r="AX938" s="65">
        <v>48747.29</v>
      </c>
      <c r="AY938" s="65">
        <v>47179.05</v>
      </c>
      <c r="AZ938" s="65">
        <v>5077.94</v>
      </c>
      <c r="BA938" s="65">
        <v>271.23</v>
      </c>
      <c r="BB938" s="65">
        <v>273.07</v>
      </c>
      <c r="BC938" s="65">
        <v>273.07</v>
      </c>
      <c r="BD938" s="65">
        <v>273.07</v>
      </c>
      <c r="BE938" s="65">
        <v>273.07</v>
      </c>
      <c r="BF938" s="65">
        <v>273.07</v>
      </c>
      <c r="BG938" s="65">
        <v>55.3</v>
      </c>
      <c r="BH938" s="65">
        <v>55.3</v>
      </c>
      <c r="BI938" s="65">
        <v>55.3</v>
      </c>
      <c r="BJ938" s="65">
        <v>55.3</v>
      </c>
      <c r="BK938" s="65">
        <v>55.3</v>
      </c>
      <c r="BL938" s="65">
        <v>55.3</v>
      </c>
      <c r="BM938" s="65">
        <v>11.71</v>
      </c>
      <c r="BN938" s="65">
        <v>11.71</v>
      </c>
      <c r="BO938" s="65">
        <v>11.71</v>
      </c>
      <c r="BP938" s="65">
        <v>0.0</v>
      </c>
      <c r="BQ938" s="65">
        <v>0.0</v>
      </c>
      <c r="BR938" s="65">
        <v>0.0</v>
      </c>
      <c r="BS938" s="65">
        <v>0.0</v>
      </c>
      <c r="BT938" s="88">
        <v>0.0</v>
      </c>
      <c r="BU938" s="65">
        <v>0.0</v>
      </c>
      <c r="BV938" s="65">
        <v>0.0</v>
      </c>
      <c r="BW938" s="90">
        <v>0.0</v>
      </c>
      <c r="BX938" s="90">
        <v>0.0</v>
      </c>
      <c r="BY938" s="90" t="str">
        <f t="array" ref="BY938">XLOOKUP(C938,'PL TOTAL D0'!$A$3:$A$1991,'PL TOTAL D0'!$C$3:$C$1991,"")</f>
        <v/>
      </c>
    </row>
    <row r="939" ht="15.75" customHeight="1">
      <c r="A939" s="50" t="s">
        <v>24</v>
      </c>
      <c r="B939" s="43" t="s">
        <v>8837</v>
      </c>
      <c r="C939" s="53" t="s">
        <v>3227</v>
      </c>
      <c r="D939" s="30" t="s">
        <v>249</v>
      </c>
      <c r="E939" s="22" t="s">
        <v>199</v>
      </c>
      <c r="F939" s="30" t="s">
        <v>251</v>
      </c>
      <c r="G939" s="47" t="str">
        <f t="shared" si="37"/>
        <v>David</v>
      </c>
      <c r="H939" s="49" t="s">
        <v>183</v>
      </c>
      <c r="I939" s="49" t="s">
        <v>66</v>
      </c>
      <c r="J939" s="47" t="str">
        <f t="shared" si="38"/>
        <v>Não</v>
      </c>
      <c r="K939" s="54">
        <v>46163.0</v>
      </c>
      <c r="L939" s="186"/>
      <c r="M939" s="32" t="s">
        <v>61</v>
      </c>
      <c r="N939" s="56">
        <v>0.0085</v>
      </c>
      <c r="O939" s="23" t="s">
        <v>66</v>
      </c>
      <c r="P939" s="57">
        <v>0.0</v>
      </c>
      <c r="Q939" s="58"/>
      <c r="R939" s="921"/>
      <c r="S939" s="32" t="s">
        <v>194</v>
      </c>
      <c r="T939" s="32" t="s">
        <v>8838</v>
      </c>
      <c r="U939" s="33" t="s">
        <v>8839</v>
      </c>
      <c r="V939" s="33" t="s">
        <v>8840</v>
      </c>
      <c r="W939" s="34">
        <v>29958.0</v>
      </c>
      <c r="X939" s="23" t="s">
        <v>199</v>
      </c>
      <c r="Y939" s="49" t="str">
        <f t="shared" si="22"/>
        <v>Ativo</v>
      </c>
      <c r="Z939" s="62"/>
      <c r="AA939" s="32" t="s">
        <v>47</v>
      </c>
      <c r="AB939" s="64"/>
      <c r="AC939" s="79"/>
      <c r="AD939" s="54">
        <v>46203.0</v>
      </c>
      <c r="AE939" s="77"/>
      <c r="AF939" s="79"/>
      <c r="AG939" s="79"/>
      <c r="AH939" s="79"/>
      <c r="AI939" s="79"/>
      <c r="AJ939" s="79"/>
      <c r="AK939" s="79"/>
      <c r="AL939" s="79"/>
      <c r="AM939" s="79"/>
      <c r="AN939" s="65"/>
      <c r="AO939" s="65"/>
      <c r="AP939" s="65"/>
      <c r="AQ939" s="65"/>
      <c r="AR939" s="65"/>
      <c r="AS939" s="65"/>
      <c r="AT939" s="65"/>
      <c r="AU939" s="65"/>
      <c r="AV939" s="65"/>
      <c r="AW939" s="65"/>
      <c r="AX939" s="65"/>
      <c r="AY939" s="65"/>
      <c r="AZ939" s="65"/>
      <c r="BA939" s="65"/>
      <c r="BB939" s="65"/>
      <c r="BC939" s="65"/>
      <c r="BD939" s="65"/>
      <c r="BE939" s="65"/>
      <c r="BF939" s="65"/>
      <c r="BG939" s="65"/>
      <c r="BH939" s="65"/>
      <c r="BI939" s="65"/>
      <c r="BJ939" s="65"/>
      <c r="BK939" s="65"/>
      <c r="BL939" s="65"/>
      <c r="BM939" s="65"/>
      <c r="BN939" s="65"/>
      <c r="BO939" s="65"/>
      <c r="BP939" s="65"/>
      <c r="BQ939" s="65"/>
      <c r="BR939" s="65"/>
      <c r="BS939" s="65"/>
      <c r="BT939" s="88"/>
      <c r="BU939" s="65"/>
      <c r="BV939" s="65"/>
      <c r="BW939" s="90">
        <v>140636.3</v>
      </c>
      <c r="BX939" s="90">
        <v>142271.23</v>
      </c>
      <c r="BY939" s="90">
        <f t="array" ref="BY939">XLOOKUP(C939,'PL TOTAL D0'!$A$3:$A$1991,'PL TOTAL D0'!$C$3:$C$1991,"")</f>
        <v>144295.08</v>
      </c>
    </row>
    <row r="940" ht="15.75" customHeight="1">
      <c r="A940" s="50" t="s">
        <v>24</v>
      </c>
      <c r="B940" s="43" t="s">
        <v>8841</v>
      </c>
      <c r="C940" s="94" t="s">
        <v>8842</v>
      </c>
      <c r="D940" s="30" t="s">
        <v>120</v>
      </c>
      <c r="E940" s="22" t="s">
        <v>199</v>
      </c>
      <c r="F940" s="30" t="s">
        <v>1914</v>
      </c>
      <c r="G940" s="47" t="str">
        <f t="shared" si="37"/>
        <v>David</v>
      </c>
      <c r="H940" s="49" t="s">
        <v>224</v>
      </c>
      <c r="I940" s="49" t="s">
        <v>66</v>
      </c>
      <c r="J940" s="47" t="str">
        <f t="shared" si="38"/>
        <v>Não</v>
      </c>
      <c r="K940" s="54">
        <v>45449.0</v>
      </c>
      <c r="L940" s="55">
        <v>45562.0</v>
      </c>
      <c r="M940" s="765" t="s">
        <v>8843</v>
      </c>
      <c r="N940" s="922">
        <v>0.011</v>
      </c>
      <c r="O940" s="923" t="s">
        <v>35</v>
      </c>
      <c r="P940" s="924">
        <v>0.1</v>
      </c>
      <c r="Q940" s="58"/>
      <c r="R940" s="635"/>
      <c r="S940" s="32" t="s">
        <v>194</v>
      </c>
      <c r="T940" s="32" t="s">
        <v>8844</v>
      </c>
      <c r="U940" s="33" t="s">
        <v>268</v>
      </c>
      <c r="V940" s="33"/>
      <c r="W940" s="33" t="s">
        <v>268</v>
      </c>
      <c r="X940" s="23" t="s">
        <v>199</v>
      </c>
      <c r="Y940" s="49" t="str">
        <f t="shared" si="22"/>
        <v>Encerrado</v>
      </c>
      <c r="Z940" s="32"/>
      <c r="AA940" s="32" t="s">
        <v>47</v>
      </c>
      <c r="AB940" s="64" t="s">
        <v>269</v>
      </c>
      <c r="AC940" s="79"/>
      <c r="AD940" s="54">
        <v>45449.0</v>
      </c>
      <c r="AE940" s="77">
        <v>4.9075100015082E13</v>
      </c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65"/>
      <c r="AW940" s="65"/>
      <c r="AX940" s="65"/>
      <c r="AY940" s="65"/>
      <c r="AZ940" s="65">
        <v>279722.5</v>
      </c>
      <c r="BA940" s="65">
        <v>287488.0</v>
      </c>
      <c r="BB940" s="65">
        <v>295455.36</v>
      </c>
      <c r="BC940" s="65">
        <v>306779.82</v>
      </c>
      <c r="BD940" s="65">
        <v>0.0</v>
      </c>
      <c r="BE940" s="65">
        <v>0.0</v>
      </c>
      <c r="BF940" s="65">
        <v>0.0</v>
      </c>
      <c r="BG940" s="65">
        <v>0.0</v>
      </c>
      <c r="BH940" s="65">
        <v>0.0</v>
      </c>
      <c r="BI940" s="65">
        <v>0.0</v>
      </c>
      <c r="BJ940" s="65">
        <v>0.0</v>
      </c>
      <c r="BK940" s="65">
        <v>0.0</v>
      </c>
      <c r="BL940" s="65">
        <v>0.0</v>
      </c>
      <c r="BM940" s="65">
        <v>0.0</v>
      </c>
      <c r="BN940" s="65">
        <v>0.0</v>
      </c>
      <c r="BO940" s="65">
        <v>0.0</v>
      </c>
      <c r="BP940" s="65">
        <v>0.0</v>
      </c>
      <c r="BQ940" s="65">
        <v>0.0</v>
      </c>
      <c r="BR940" s="65">
        <v>0.0</v>
      </c>
      <c r="BS940" s="65">
        <v>0.0</v>
      </c>
      <c r="BT940" s="88">
        <v>0.0</v>
      </c>
      <c r="BU940" s="65">
        <v>0.0</v>
      </c>
      <c r="BV940" s="65">
        <v>0.0</v>
      </c>
      <c r="BW940" s="90">
        <v>0.0</v>
      </c>
      <c r="BX940" s="90">
        <v>0.0</v>
      </c>
      <c r="BY940" s="90" t="str">
        <f t="array" ref="BY940">XLOOKUP(C940,'PL TOTAL D0'!$A$3:$A$1991,'PL TOTAL D0'!$C$3:$C$1991,"")</f>
        <v/>
      </c>
    </row>
    <row r="941" ht="15.75" customHeight="1">
      <c r="A941" s="50" t="s">
        <v>24</v>
      </c>
      <c r="B941" s="43" t="s">
        <v>8845</v>
      </c>
      <c r="C941" s="94" t="s">
        <v>3504</v>
      </c>
      <c r="D941" s="30" t="s">
        <v>120</v>
      </c>
      <c r="E941" s="22" t="s">
        <v>199</v>
      </c>
      <c r="F941" s="30" t="s">
        <v>803</v>
      </c>
      <c r="G941" s="47" t="str">
        <f t="shared" si="37"/>
        <v>David</v>
      </c>
      <c r="H941" s="49" t="s">
        <v>183</v>
      </c>
      <c r="I941" s="49" t="s">
        <v>66</v>
      </c>
      <c r="J941" s="47" t="str">
        <f t="shared" si="38"/>
        <v>Não</v>
      </c>
      <c r="K941" s="54">
        <v>46112.0</v>
      </c>
      <c r="L941" s="55"/>
      <c r="M941" s="765" t="s">
        <v>61</v>
      </c>
      <c r="N941" s="922">
        <v>0.012</v>
      </c>
      <c r="O941" s="923" t="s">
        <v>66</v>
      </c>
      <c r="P941" s="924">
        <v>0.0</v>
      </c>
      <c r="Q941" s="58"/>
      <c r="R941" s="635"/>
      <c r="S941" s="32" t="s">
        <v>194</v>
      </c>
      <c r="T941" s="32" t="s">
        <v>8846</v>
      </c>
      <c r="U941" s="33">
        <v>6.1998390302E10</v>
      </c>
      <c r="V941" s="33" t="s">
        <v>8847</v>
      </c>
      <c r="W941" s="33">
        <v>29939.0</v>
      </c>
      <c r="X941" s="23" t="s">
        <v>199</v>
      </c>
      <c r="Y941" s="49" t="str">
        <f t="shared" si="22"/>
        <v>Ativo</v>
      </c>
      <c r="Z941" s="32"/>
      <c r="AA941" s="32" t="s">
        <v>107</v>
      </c>
      <c r="AB941" s="64"/>
      <c r="AC941" s="79"/>
      <c r="AD941" s="54">
        <v>46203.0</v>
      </c>
      <c r="AE941" s="77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65"/>
      <c r="AW941" s="65"/>
      <c r="AX941" s="65"/>
      <c r="AY941" s="65"/>
      <c r="AZ941" s="65"/>
      <c r="BA941" s="65"/>
      <c r="BB941" s="65"/>
      <c r="BC941" s="65"/>
      <c r="BD941" s="65"/>
      <c r="BE941" s="65"/>
      <c r="BF941" s="65"/>
      <c r="BG941" s="65"/>
      <c r="BH941" s="65"/>
      <c r="BI941" s="65"/>
      <c r="BJ941" s="65"/>
      <c r="BK941" s="65"/>
      <c r="BL941" s="65"/>
      <c r="BM941" s="65"/>
      <c r="BN941" s="65"/>
      <c r="BO941" s="65"/>
      <c r="BP941" s="65"/>
      <c r="BQ941" s="65"/>
      <c r="BR941" s="65"/>
      <c r="BS941" s="65"/>
      <c r="BT941" s="88"/>
      <c r="BU941" s="65">
        <v>0.0</v>
      </c>
      <c r="BV941" s="65">
        <v>0.0</v>
      </c>
      <c r="BW941" s="90">
        <v>0.0</v>
      </c>
      <c r="BX941" s="90">
        <v>30101.95</v>
      </c>
      <c r="BY941" s="90">
        <f t="array" ref="BY941">XLOOKUP(C941,'PL TOTAL D0'!$A$3:$A$1991,'PL TOTAL D0'!$C$3:$C$1991,"")</f>
        <v>30438.85</v>
      </c>
    </row>
    <row r="942" ht="15.75" customHeight="1">
      <c r="A942" s="50" t="s">
        <v>24</v>
      </c>
      <c r="B942" s="176" t="s">
        <v>6708</v>
      </c>
      <c r="C942" s="94" t="s">
        <v>8848</v>
      </c>
      <c r="D942" s="81" t="s">
        <v>120</v>
      </c>
      <c r="E942" s="95" t="s">
        <v>54</v>
      </c>
      <c r="F942" s="81" t="s">
        <v>348</v>
      </c>
      <c r="G942" s="47" t="str">
        <f t="shared" si="37"/>
        <v>David</v>
      </c>
      <c r="H942" s="49" t="s">
        <v>224</v>
      </c>
      <c r="I942" s="49" t="s">
        <v>66</v>
      </c>
      <c r="J942" s="47" t="str">
        <f t="shared" si="38"/>
        <v>Não</v>
      </c>
      <c r="K942" s="97">
        <v>45022.0</v>
      </c>
      <c r="L942" s="55">
        <v>45922.0</v>
      </c>
      <c r="M942" s="32" t="s">
        <v>568</v>
      </c>
      <c r="N942" s="98">
        <v>0.012</v>
      </c>
      <c r="O942" s="23" t="s">
        <v>35</v>
      </c>
      <c r="P942" s="57">
        <v>0.1</v>
      </c>
      <c r="Q942" s="58"/>
      <c r="R942" s="925" t="s">
        <v>610</v>
      </c>
      <c r="S942" s="62" t="s">
        <v>194</v>
      </c>
      <c r="T942" s="32" t="s">
        <v>6707</v>
      </c>
      <c r="U942" s="33" t="s">
        <v>268</v>
      </c>
      <c r="V942" s="33"/>
      <c r="W942" s="33" t="s">
        <v>268</v>
      </c>
      <c r="X942" s="23" t="s">
        <v>54</v>
      </c>
      <c r="Y942" s="49" t="str">
        <f t="shared" si="22"/>
        <v>Encerrado</v>
      </c>
      <c r="Z942" s="62"/>
      <c r="AA942" s="62"/>
      <c r="AB942" s="64" t="s">
        <v>269</v>
      </c>
      <c r="AC942" s="79"/>
      <c r="AD942" s="54">
        <v>45022.0</v>
      </c>
      <c r="AE942" s="77">
        <v>4.9075100011834E13</v>
      </c>
      <c r="AF942" s="79"/>
      <c r="AG942" s="79"/>
      <c r="AH942" s="79"/>
      <c r="AI942" s="79"/>
      <c r="AJ942" s="79"/>
      <c r="AK942" s="65">
        <v>601591.75</v>
      </c>
      <c r="AL942" s="65">
        <v>717386.93</v>
      </c>
      <c r="AM942" s="65">
        <v>1048743.06</v>
      </c>
      <c r="AN942" s="65">
        <v>1063288.17</v>
      </c>
      <c r="AO942" s="65">
        <v>1073945.36</v>
      </c>
      <c r="AP942" s="65">
        <v>1083419.33</v>
      </c>
      <c r="AQ942" s="65">
        <v>1082641.95</v>
      </c>
      <c r="AR942" s="65">
        <v>1087386.42</v>
      </c>
      <c r="AS942" s="65">
        <v>1097502.53</v>
      </c>
      <c r="AT942" s="65">
        <v>1194938.98</v>
      </c>
      <c r="AU942" s="65">
        <v>1223884.13</v>
      </c>
      <c r="AV942" s="65">
        <v>1236519.35</v>
      </c>
      <c r="AW942" s="65">
        <v>1242953.36</v>
      </c>
      <c r="AX942" s="65">
        <v>1240124.85</v>
      </c>
      <c r="AY942" s="65">
        <v>1250545.0</v>
      </c>
      <c r="AZ942" s="65">
        <v>1252316.0</v>
      </c>
      <c r="BA942" s="65">
        <v>1267267.0</v>
      </c>
      <c r="BB942" s="65">
        <v>1309542.62</v>
      </c>
      <c r="BC942" s="65">
        <v>1664497.45</v>
      </c>
      <c r="BD942" s="65">
        <v>1656399.28</v>
      </c>
      <c r="BE942" s="65">
        <v>1644770.23</v>
      </c>
      <c r="BF942" s="65">
        <v>1627817.22</v>
      </c>
      <c r="BG942" s="65">
        <v>1628193.25</v>
      </c>
      <c r="BH942" s="65">
        <v>1314173.67</v>
      </c>
      <c r="BI942" s="65">
        <v>1328545.62</v>
      </c>
      <c r="BJ942" s="65">
        <v>1340604.1</v>
      </c>
      <c r="BK942" s="65">
        <v>1353675.33</v>
      </c>
      <c r="BL942" s="65">
        <v>0.0</v>
      </c>
      <c r="BM942" s="65">
        <v>0.0</v>
      </c>
      <c r="BN942" s="65">
        <v>0.0</v>
      </c>
      <c r="BO942" s="65">
        <v>0.0</v>
      </c>
      <c r="BP942" s="65">
        <v>0.0</v>
      </c>
      <c r="BQ942" s="65">
        <v>0.0</v>
      </c>
      <c r="BR942" s="65">
        <v>0.0</v>
      </c>
      <c r="BS942" s="65">
        <v>0.0</v>
      </c>
      <c r="BT942" s="88">
        <v>0.0</v>
      </c>
      <c r="BU942" s="65">
        <v>0.0</v>
      </c>
      <c r="BV942" s="65">
        <v>0.0</v>
      </c>
      <c r="BW942" s="90">
        <v>0.0</v>
      </c>
      <c r="BX942" s="90">
        <v>0.0</v>
      </c>
      <c r="BY942" s="90" t="str">
        <f t="array" ref="BY942">XLOOKUP(C942,'PL TOTAL D0'!$A$3:$A$1991,'PL TOTAL D0'!$C$3:$C$1991,"")</f>
        <v/>
      </c>
    </row>
    <row r="943" ht="15.75" customHeight="1">
      <c r="A943" s="50" t="s">
        <v>24</v>
      </c>
      <c r="B943" s="50" t="s">
        <v>8849</v>
      </c>
      <c r="C943" s="94" t="s">
        <v>8850</v>
      </c>
      <c r="D943" s="81" t="s">
        <v>120</v>
      </c>
      <c r="E943" s="95" t="s">
        <v>199</v>
      </c>
      <c r="F943" s="30" t="s">
        <v>1641</v>
      </c>
      <c r="G943" s="47" t="str">
        <f t="shared" si="37"/>
        <v>David</v>
      </c>
      <c r="H943" s="74" t="s">
        <v>183</v>
      </c>
      <c r="I943" s="74" t="s">
        <v>66</v>
      </c>
      <c r="J943" s="47" t="str">
        <f t="shared" si="38"/>
        <v>Não</v>
      </c>
      <c r="K943" s="97">
        <v>45013.0</v>
      </c>
      <c r="L943" s="62"/>
      <c r="M943" s="62" t="s">
        <v>34</v>
      </c>
      <c r="N943" s="98">
        <v>0.012</v>
      </c>
      <c r="O943" s="47" t="s">
        <v>66</v>
      </c>
      <c r="P943" s="99">
        <v>0.0</v>
      </c>
      <c r="Q943" s="58"/>
      <c r="R943" s="635"/>
      <c r="S943" s="62" t="s">
        <v>194</v>
      </c>
      <c r="T943" s="32" t="s">
        <v>6715</v>
      </c>
      <c r="U943" s="33">
        <v>5.561983600203E12</v>
      </c>
      <c r="V943" s="33" t="s">
        <v>8851</v>
      </c>
      <c r="W943" s="34">
        <v>25039.0</v>
      </c>
      <c r="X943" s="23" t="s">
        <v>199</v>
      </c>
      <c r="Y943" s="49" t="str">
        <f t="shared" si="22"/>
        <v>Ativo</v>
      </c>
      <c r="Z943" s="62"/>
      <c r="AA943" s="62"/>
      <c r="AB943" s="64" t="s">
        <v>269</v>
      </c>
      <c r="AC943" s="79"/>
      <c r="AD943" s="54">
        <v>45013.0</v>
      </c>
      <c r="AE943" s="77">
        <v>4.9075100009988E13</v>
      </c>
      <c r="AF943" s="79"/>
      <c r="AG943" s="79"/>
      <c r="AH943" s="79"/>
      <c r="AI943" s="79"/>
      <c r="AJ943" s="79"/>
      <c r="AK943" s="65">
        <v>155704.76</v>
      </c>
      <c r="AL943" s="65">
        <v>156998.83</v>
      </c>
      <c r="AM943" s="65">
        <v>158275.19</v>
      </c>
      <c r="AN943" s="65">
        <v>139442.52</v>
      </c>
      <c r="AO943" s="65">
        <v>120267.44</v>
      </c>
      <c r="AP943" s="65">
        <v>120707.61</v>
      </c>
      <c r="AQ943" s="65">
        <v>100215.5</v>
      </c>
      <c r="AR943" s="65">
        <v>100240.88</v>
      </c>
      <c r="AS943" s="65">
        <v>81936.87</v>
      </c>
      <c r="AT943" s="65">
        <v>108427.76</v>
      </c>
      <c r="AU943" s="65">
        <v>97226.03</v>
      </c>
      <c r="AV943" s="65">
        <v>97848.96</v>
      </c>
      <c r="AW943" s="65">
        <v>77652.46</v>
      </c>
      <c r="AX943" s="65">
        <v>56959.33</v>
      </c>
      <c r="AY943" s="65">
        <v>46980.76</v>
      </c>
      <c r="AZ943" s="65">
        <v>47248.75</v>
      </c>
      <c r="BA943" s="65">
        <v>47875.74</v>
      </c>
      <c r="BB943" s="65">
        <v>48304.49</v>
      </c>
      <c r="BC943" s="65">
        <v>27944.2</v>
      </c>
      <c r="BD943" s="65">
        <v>27939.79</v>
      </c>
      <c r="BE943" s="65">
        <v>97986.68</v>
      </c>
      <c r="BF943" s="65">
        <v>98581.15</v>
      </c>
      <c r="BG943" s="65">
        <v>99564.77</v>
      </c>
      <c r="BH943" s="65">
        <v>100396.43</v>
      </c>
      <c r="BI943" s="65">
        <v>101398.71</v>
      </c>
      <c r="BJ943" s="65">
        <v>102441.15</v>
      </c>
      <c r="BK943" s="65">
        <v>93147.11</v>
      </c>
      <c r="BL943" s="65">
        <v>83887.9</v>
      </c>
      <c r="BM943" s="65">
        <v>63968.59</v>
      </c>
      <c r="BN943" s="65">
        <v>64562.49</v>
      </c>
      <c r="BO943" s="65">
        <v>65334.57</v>
      </c>
      <c r="BP943" s="65">
        <v>44088.35</v>
      </c>
      <c r="BQ943" s="65">
        <v>34331.98</v>
      </c>
      <c r="BR943" s="65">
        <v>34628.89</v>
      </c>
      <c r="BS943" s="65">
        <v>34996.65</v>
      </c>
      <c r="BT943" s="88">
        <v>3608.64</v>
      </c>
      <c r="BU943" s="65">
        <v>3628.44</v>
      </c>
      <c r="BV943" s="65">
        <v>3666.61</v>
      </c>
      <c r="BW943" s="90">
        <v>3687.81</v>
      </c>
      <c r="BX943" s="90">
        <v>3725.7</v>
      </c>
      <c r="BY943" s="90" t="str">
        <f t="array" ref="BY943">XLOOKUP(C943,'PL TOTAL D0'!$A$3:$A$1991,'PL TOTAL D0'!$C$3:$C$1991,"")</f>
        <v/>
      </c>
    </row>
    <row r="944" ht="15.75" customHeight="1">
      <c r="A944" s="50" t="s">
        <v>24</v>
      </c>
      <c r="B944" s="43" t="s">
        <v>8852</v>
      </c>
      <c r="C944" s="53" t="s">
        <v>8853</v>
      </c>
      <c r="D944" s="30" t="s">
        <v>53</v>
      </c>
      <c r="E944" s="22" t="s">
        <v>54</v>
      </c>
      <c r="F944" s="30" t="s">
        <v>507</v>
      </c>
      <c r="G944" s="47" t="str">
        <f t="shared" si="37"/>
        <v>David</v>
      </c>
      <c r="H944" s="49" t="s">
        <v>183</v>
      </c>
      <c r="I944" s="49" t="s">
        <v>66</v>
      </c>
      <c r="J944" s="47" t="str">
        <f t="shared" si="38"/>
        <v>Não</v>
      </c>
      <c r="K944" s="54">
        <v>46176.0</v>
      </c>
      <c r="L944" s="62"/>
      <c r="M944" s="32" t="s">
        <v>209</v>
      </c>
      <c r="N944" s="56">
        <v>0.015</v>
      </c>
      <c r="O944" s="23" t="s">
        <v>35</v>
      </c>
      <c r="P944" s="57">
        <v>0.1</v>
      </c>
      <c r="Q944" s="58"/>
      <c r="R944" s="635"/>
      <c r="S944" s="32" t="s">
        <v>194</v>
      </c>
      <c r="T944" s="32" t="s">
        <v>8854</v>
      </c>
      <c r="U944" s="33" t="s">
        <v>8855</v>
      </c>
      <c r="V944" s="33" t="s">
        <v>8856</v>
      </c>
      <c r="W944" s="34">
        <v>31809.0</v>
      </c>
      <c r="X944" s="23" t="s">
        <v>54</v>
      </c>
      <c r="Y944" s="49" t="str">
        <f t="shared" si="22"/>
        <v>Ativo</v>
      </c>
      <c r="Z944" s="62"/>
      <c r="AA944" s="32" t="s">
        <v>47</v>
      </c>
      <c r="AB944" s="64"/>
      <c r="AC944" s="79"/>
      <c r="AD944" s="54"/>
      <c r="AE944" s="77"/>
      <c r="AF944" s="79"/>
      <c r="AG944" s="79"/>
      <c r="AH944" s="79"/>
      <c r="AI944" s="79"/>
      <c r="AJ944" s="79"/>
      <c r="AK944" s="65"/>
      <c r="AL944" s="65"/>
      <c r="AM944" s="65"/>
      <c r="AN944" s="65"/>
      <c r="AO944" s="65"/>
      <c r="AP944" s="65"/>
      <c r="AQ944" s="65"/>
      <c r="AR944" s="65"/>
      <c r="AS944" s="65"/>
      <c r="AT944" s="65"/>
      <c r="AU944" s="65"/>
      <c r="AV944" s="65"/>
      <c r="AW944" s="65"/>
      <c r="AX944" s="65"/>
      <c r="AY944" s="65"/>
      <c r="AZ944" s="65"/>
      <c r="BA944" s="65"/>
      <c r="BB944" s="65"/>
      <c r="BC944" s="65"/>
      <c r="BD944" s="65"/>
      <c r="BE944" s="65"/>
      <c r="BF944" s="65"/>
      <c r="BG944" s="65"/>
      <c r="BH944" s="65"/>
      <c r="BI944" s="65"/>
      <c r="BJ944" s="65"/>
      <c r="BK944" s="65"/>
      <c r="BL944" s="65"/>
      <c r="BM944" s="65"/>
      <c r="BN944" s="65"/>
      <c r="BO944" s="65"/>
      <c r="BP944" s="65"/>
      <c r="BQ944" s="65"/>
      <c r="BR944" s="65"/>
      <c r="BS944" s="65"/>
      <c r="BT944" s="88"/>
      <c r="BU944" s="65"/>
      <c r="BV944" s="65"/>
      <c r="BW944" s="90"/>
      <c r="BX944" s="90">
        <v>0.0</v>
      </c>
      <c r="BY944" s="90" t="str">
        <f t="array" ref="BY944">XLOOKUP(C944,'PL TOTAL D0'!$A$3:$A$1991,'PL TOTAL D0'!$C$3:$C$1991,"")</f>
        <v/>
      </c>
    </row>
    <row r="945" ht="15.75" customHeight="1">
      <c r="A945" s="50" t="s">
        <v>24</v>
      </c>
      <c r="B945" s="50" t="s">
        <v>8857</v>
      </c>
      <c r="C945" s="94" t="s">
        <v>8858</v>
      </c>
      <c r="D945" s="81" t="s">
        <v>120</v>
      </c>
      <c r="E945" s="95" t="s">
        <v>54</v>
      </c>
      <c r="F945" s="81" t="s">
        <v>1393</v>
      </c>
      <c r="G945" s="47" t="str">
        <f t="shared" si="37"/>
        <v>David</v>
      </c>
      <c r="H945" s="49" t="s">
        <v>295</v>
      </c>
      <c r="I945" s="49" t="s">
        <v>382</v>
      </c>
      <c r="J945" s="47" t="str">
        <f t="shared" si="38"/>
        <v>Não</v>
      </c>
      <c r="K945" s="97">
        <v>44943.0</v>
      </c>
      <c r="L945" s="62"/>
      <c r="M945" s="62" t="s">
        <v>61</v>
      </c>
      <c r="N945" s="98">
        <v>0.012</v>
      </c>
      <c r="O945" s="47" t="s">
        <v>66</v>
      </c>
      <c r="P945" s="99">
        <v>0.0</v>
      </c>
      <c r="Q945" s="58"/>
      <c r="R945" s="635"/>
      <c r="S945" s="62" t="s">
        <v>194</v>
      </c>
      <c r="T945" s="32" t="s">
        <v>8859</v>
      </c>
      <c r="U945" s="33">
        <v>5.56298437627E12</v>
      </c>
      <c r="V945" s="33" t="s">
        <v>8860</v>
      </c>
      <c r="W945" s="34">
        <v>33502.0</v>
      </c>
      <c r="X945" s="23" t="s">
        <v>54</v>
      </c>
      <c r="Y945" s="49" t="str">
        <f t="shared" si="22"/>
        <v>Ativo</v>
      </c>
      <c r="Z945" s="62"/>
      <c r="AA945" s="62"/>
      <c r="AB945" s="64" t="s">
        <v>269</v>
      </c>
      <c r="AC945" s="79"/>
      <c r="AD945" s="54">
        <v>44943.0</v>
      </c>
      <c r="AE945" s="77">
        <v>4.9075100006237E13</v>
      </c>
      <c r="AF945" s="79"/>
      <c r="AG945" s="79"/>
      <c r="AH945" s="79"/>
      <c r="AI945" s="65">
        <v>501159.49</v>
      </c>
      <c r="AJ945" s="65">
        <v>288794.28</v>
      </c>
      <c r="AK945" s="65">
        <v>285585.79</v>
      </c>
      <c r="AL945" s="65">
        <v>242066.06</v>
      </c>
      <c r="AM945" s="65">
        <v>233418.45</v>
      </c>
      <c r="AN945" s="65">
        <v>221274.76</v>
      </c>
      <c r="AO945" s="65">
        <v>211013.95</v>
      </c>
      <c r="AP945" s="65">
        <v>202631.36</v>
      </c>
      <c r="AQ945" s="65">
        <v>199838.3</v>
      </c>
      <c r="AR945" s="65">
        <v>0.0</v>
      </c>
      <c r="AS945" s="65">
        <v>0.0</v>
      </c>
      <c r="AT945" s="65">
        <v>0.0</v>
      </c>
      <c r="AU945" s="65">
        <v>0.0</v>
      </c>
      <c r="AV945" s="65">
        <v>0.14</v>
      </c>
      <c r="AW945" s="65">
        <v>0.14</v>
      </c>
      <c r="AX945" s="65">
        <v>0.14</v>
      </c>
      <c r="AY945" s="65">
        <v>0.14</v>
      </c>
      <c r="AZ945" s="65">
        <v>0.14</v>
      </c>
      <c r="BA945" s="65">
        <v>0.14</v>
      </c>
      <c r="BB945" s="65">
        <v>0.14</v>
      </c>
      <c r="BC945" s="65">
        <v>0.14</v>
      </c>
      <c r="BD945" s="65">
        <v>0.14</v>
      </c>
      <c r="BE945" s="65">
        <v>0.14</v>
      </c>
      <c r="BF945" s="65">
        <v>0.14</v>
      </c>
      <c r="BG945" s="65">
        <v>0.14</v>
      </c>
      <c r="BH945" s="65">
        <v>0.14</v>
      </c>
      <c r="BI945" s="65">
        <v>0.14</v>
      </c>
      <c r="BJ945" s="65">
        <v>0.0</v>
      </c>
      <c r="BK945" s="65">
        <v>0.0</v>
      </c>
      <c r="BL945" s="65">
        <v>0.0</v>
      </c>
      <c r="BM945" s="65">
        <v>0.0</v>
      </c>
      <c r="BN945" s="65">
        <v>0.0</v>
      </c>
      <c r="BO945" s="65">
        <v>0.0</v>
      </c>
      <c r="BP945" s="65">
        <v>0.0</v>
      </c>
      <c r="BQ945" s="65">
        <v>0.0</v>
      </c>
      <c r="BR945" s="65">
        <v>0.0</v>
      </c>
      <c r="BS945" s="65">
        <v>0.0</v>
      </c>
      <c r="BT945" s="88">
        <v>0.0</v>
      </c>
      <c r="BU945" s="65">
        <v>0.0</v>
      </c>
      <c r="BV945" s="65">
        <v>0.0</v>
      </c>
      <c r="BW945" s="90">
        <v>0.0</v>
      </c>
      <c r="BX945" s="90">
        <v>0.0</v>
      </c>
      <c r="BY945" s="90" t="str">
        <f t="array" ref="BY945">XLOOKUP(C945,'PL TOTAL D0'!$A$3:$A$1991,'PL TOTAL D0'!$C$3:$C$1991,"")</f>
        <v/>
      </c>
    </row>
    <row r="946" ht="15.75" customHeight="1">
      <c r="A946" s="50" t="s">
        <v>24</v>
      </c>
      <c r="B946" s="50" t="s">
        <v>8857</v>
      </c>
      <c r="C946" s="94" t="s">
        <v>8861</v>
      </c>
      <c r="D946" s="81" t="s">
        <v>120</v>
      </c>
      <c r="E946" s="95" t="s">
        <v>54</v>
      </c>
      <c r="F946" s="81" t="s">
        <v>1393</v>
      </c>
      <c r="G946" s="47" t="str">
        <f t="shared" si="37"/>
        <v>David</v>
      </c>
      <c r="H946" s="49" t="s">
        <v>295</v>
      </c>
      <c r="I946" s="74" t="s">
        <v>382</v>
      </c>
      <c r="J946" s="47" t="str">
        <f t="shared" si="38"/>
        <v>Não</v>
      </c>
      <c r="K946" s="97">
        <v>45163.0</v>
      </c>
      <c r="L946" s="189"/>
      <c r="M946" s="62" t="s">
        <v>209</v>
      </c>
      <c r="N946" s="98">
        <v>0.015</v>
      </c>
      <c r="O946" s="47" t="s">
        <v>35</v>
      </c>
      <c r="P946" s="99">
        <v>0.1</v>
      </c>
      <c r="Q946" s="58"/>
      <c r="R946" s="635"/>
      <c r="S946" s="62" t="s">
        <v>194</v>
      </c>
      <c r="T946" s="32" t="s">
        <v>8859</v>
      </c>
      <c r="U946" s="33">
        <v>5.56298437627E12</v>
      </c>
      <c r="V946" s="33" t="s">
        <v>8860</v>
      </c>
      <c r="W946" s="34">
        <v>33502.0</v>
      </c>
      <c r="X946" s="23" t="s">
        <v>54</v>
      </c>
      <c r="Y946" s="49" t="str">
        <f t="shared" si="22"/>
        <v>Inativo</v>
      </c>
      <c r="Z946" s="62"/>
      <c r="AA946" s="62"/>
      <c r="AB946" s="64" t="s">
        <v>269</v>
      </c>
      <c r="AC946" s="79"/>
      <c r="AD946" s="54">
        <v>45163.0</v>
      </c>
      <c r="AE946" s="77">
        <v>4.9075100011842E13</v>
      </c>
      <c r="AF946" s="79"/>
      <c r="AG946" s="79"/>
      <c r="AH946" s="79"/>
      <c r="AI946" s="65">
        <v>0.0</v>
      </c>
      <c r="AJ946" s="65">
        <v>0.0</v>
      </c>
      <c r="AK946" s="65">
        <v>0.0</v>
      </c>
      <c r="AL946" s="65">
        <v>0.0</v>
      </c>
      <c r="AM946" s="65">
        <v>0.0</v>
      </c>
      <c r="AN946" s="65">
        <v>0.0</v>
      </c>
      <c r="AO946" s="65">
        <v>0.0</v>
      </c>
      <c r="AP946" s="65">
        <v>0.0</v>
      </c>
      <c r="AQ946" s="65">
        <v>0.0</v>
      </c>
      <c r="AR946" s="65">
        <v>0.0</v>
      </c>
      <c r="AS946" s="65">
        <v>0.0</v>
      </c>
      <c r="AT946" s="65">
        <v>0.0</v>
      </c>
      <c r="AU946" s="65">
        <v>0.0</v>
      </c>
      <c r="AV946" s="65">
        <v>0.0</v>
      </c>
      <c r="AW946" s="65">
        <v>0.0</v>
      </c>
      <c r="AX946" s="65">
        <v>0.0</v>
      </c>
      <c r="AY946" s="65">
        <v>0.0</v>
      </c>
      <c r="AZ946" s="65">
        <v>0.0</v>
      </c>
      <c r="BA946" s="65">
        <v>0.0</v>
      </c>
      <c r="BB946" s="65">
        <v>0.0</v>
      </c>
      <c r="BC946" s="65">
        <v>0.0</v>
      </c>
      <c r="BD946" s="65">
        <v>0.0</v>
      </c>
      <c r="BE946" s="65">
        <v>0.0</v>
      </c>
      <c r="BF946" s="65">
        <v>0.0</v>
      </c>
      <c r="BG946" s="65">
        <v>0.0</v>
      </c>
      <c r="BH946" s="65">
        <v>0.0</v>
      </c>
      <c r="BI946" s="65">
        <v>0.0</v>
      </c>
      <c r="BJ946" s="65">
        <v>0.0</v>
      </c>
      <c r="BK946" s="65">
        <v>0.0</v>
      </c>
      <c r="BL946" s="65">
        <v>0.0</v>
      </c>
      <c r="BM946" s="65">
        <v>0.0</v>
      </c>
      <c r="BN946" s="65">
        <v>0.0</v>
      </c>
      <c r="BO946" s="65">
        <v>0.0</v>
      </c>
      <c r="BP946" s="65">
        <v>0.0</v>
      </c>
      <c r="BQ946" s="65">
        <v>0.0</v>
      </c>
      <c r="BR946" s="65">
        <v>0.0</v>
      </c>
      <c r="BS946" s="65">
        <v>0.0</v>
      </c>
      <c r="BT946" s="88">
        <v>0.0</v>
      </c>
      <c r="BU946" s="65">
        <v>0.0</v>
      </c>
      <c r="BV946" s="65">
        <v>0.0</v>
      </c>
      <c r="BW946" s="90">
        <v>0.0</v>
      </c>
      <c r="BX946" s="90">
        <v>0.0</v>
      </c>
      <c r="BY946" s="90" t="str">
        <f t="array" ref="BY946">XLOOKUP(C946,'PL TOTAL D0'!$A$3:$A$1991,'PL TOTAL D0'!$C$3:$C$1991,"")</f>
        <v/>
      </c>
    </row>
    <row r="947" ht="15.75" customHeight="1">
      <c r="A947" s="50" t="s">
        <v>24</v>
      </c>
      <c r="B947" s="50" t="s">
        <v>1321</v>
      </c>
      <c r="C947" s="94" t="s">
        <v>2657</v>
      </c>
      <c r="D947" s="30" t="s">
        <v>89</v>
      </c>
      <c r="E947" s="95" t="s">
        <v>91</v>
      </c>
      <c r="F947" s="81" t="s">
        <v>521</v>
      </c>
      <c r="G947" s="47" t="str">
        <f t="shared" si="37"/>
        <v>Marcus</v>
      </c>
      <c r="H947" s="49" t="s">
        <v>183</v>
      </c>
      <c r="I947" s="49" t="s">
        <v>66</v>
      </c>
      <c r="J947" s="47" t="str">
        <f t="shared" si="38"/>
        <v>Não</v>
      </c>
      <c r="K947" s="97">
        <v>45163.0</v>
      </c>
      <c r="L947" s="189"/>
      <c r="M947" s="32" t="s">
        <v>1360</v>
      </c>
      <c r="N947" s="98">
        <v>0.015</v>
      </c>
      <c r="O947" s="23" t="s">
        <v>66</v>
      </c>
      <c r="P947" s="57">
        <v>0.0</v>
      </c>
      <c r="Q947" s="58"/>
      <c r="R947" s="58" t="s">
        <v>8862</v>
      </c>
      <c r="S947" s="62" t="s">
        <v>194</v>
      </c>
      <c r="T947" s="32" t="s">
        <v>1324</v>
      </c>
      <c r="U947" s="33">
        <v>5.54399962311E11</v>
      </c>
      <c r="V947" s="33" t="s">
        <v>8863</v>
      </c>
      <c r="W947" s="34">
        <v>30811.0</v>
      </c>
      <c r="X947" s="23" t="s">
        <v>221</v>
      </c>
      <c r="Y947" s="49" t="str">
        <f t="shared" si="22"/>
        <v>Ativo</v>
      </c>
      <c r="Z947" s="62"/>
      <c r="AA947" s="32" t="s">
        <v>47</v>
      </c>
      <c r="AB947" s="64" t="s">
        <v>269</v>
      </c>
      <c r="AC947" s="79"/>
      <c r="AD947" s="54">
        <v>45163.0</v>
      </c>
      <c r="AE947" s="77">
        <v>4.907510001185E13</v>
      </c>
      <c r="AF947" s="79"/>
      <c r="AG947" s="79"/>
      <c r="AH947" s="79"/>
      <c r="AI947" s="79"/>
      <c r="AJ947" s="79"/>
      <c r="AK947" s="65">
        <v>0.0</v>
      </c>
      <c r="AL947" s="65">
        <v>0.0</v>
      </c>
      <c r="AM947" s="65">
        <v>0.0</v>
      </c>
      <c r="AN947" s="65">
        <v>0.0</v>
      </c>
      <c r="AO947" s="65">
        <v>0.0</v>
      </c>
      <c r="AP947" s="65">
        <v>0.0</v>
      </c>
      <c r="AQ947" s="65">
        <v>0.0</v>
      </c>
      <c r="AR947" s="65">
        <v>0.0</v>
      </c>
      <c r="AS947" s="65">
        <v>0.0</v>
      </c>
      <c r="AT947" s="65">
        <v>708572.32</v>
      </c>
      <c r="AU947" s="65">
        <v>750481.26</v>
      </c>
      <c r="AV947" s="65">
        <v>759696.99</v>
      </c>
      <c r="AW947" s="65">
        <v>830733.73</v>
      </c>
      <c r="AX947" s="65">
        <v>834273.8</v>
      </c>
      <c r="AY947" s="65">
        <v>912080.2</v>
      </c>
      <c r="AZ947" s="65">
        <v>924384.9</v>
      </c>
      <c r="BA947" s="65">
        <v>943396.3</v>
      </c>
      <c r="BB947" s="65">
        <v>957719.25</v>
      </c>
      <c r="BC947" s="65">
        <v>971265.4</v>
      </c>
      <c r="BD947" s="65">
        <v>981498.12</v>
      </c>
      <c r="BE947" s="65">
        <v>988409.43</v>
      </c>
      <c r="BF947" s="65">
        <v>1005696.69</v>
      </c>
      <c r="BG947" s="65">
        <v>1047868.86</v>
      </c>
      <c r="BH947" s="65">
        <v>1084257.41</v>
      </c>
      <c r="BI947" s="65">
        <v>1109633.14</v>
      </c>
      <c r="BJ947" s="65">
        <v>1129933.76</v>
      </c>
      <c r="BK947" s="65">
        <v>1161026.28</v>
      </c>
      <c r="BL947" s="65">
        <v>1175492.66</v>
      </c>
      <c r="BM947" s="65">
        <v>1194073.35</v>
      </c>
      <c r="BN947" s="65">
        <v>1207651.0</v>
      </c>
      <c r="BO947" s="65">
        <v>1229086.19</v>
      </c>
      <c r="BP947" s="65">
        <v>1249952.0</v>
      </c>
      <c r="BQ947" s="65">
        <v>1258944.0</v>
      </c>
      <c r="BR947" s="65">
        <v>1294001.0</v>
      </c>
      <c r="BS947" s="65">
        <v>1312450.21</v>
      </c>
      <c r="BT947" s="88">
        <v>1320261.0</v>
      </c>
      <c r="BU947" s="65">
        <v>1232918.0</v>
      </c>
      <c r="BV947" s="65">
        <v>1249589.0</v>
      </c>
      <c r="BW947" s="90">
        <v>1266077.0</v>
      </c>
      <c r="BX947" s="90">
        <v>1330855.56</v>
      </c>
      <c r="BY947" s="90">
        <f t="array" ref="BY947">XLOOKUP(C947,'PL TOTAL D0'!$A$3:$A$1991,'PL TOTAL D0'!$C$3:$C$1991,"")</f>
        <v>1285463.02</v>
      </c>
    </row>
    <row r="948" ht="15.75" customHeight="1">
      <c r="A948" s="50" t="s">
        <v>24</v>
      </c>
      <c r="B948" s="39" t="s">
        <v>8864</v>
      </c>
      <c r="C948" s="94" t="s">
        <v>8865</v>
      </c>
      <c r="D948" s="30" t="s">
        <v>89</v>
      </c>
      <c r="E948" s="95" t="s">
        <v>91</v>
      </c>
      <c r="F948" s="81" t="s">
        <v>521</v>
      </c>
      <c r="G948" s="47" t="str">
        <f t="shared" si="37"/>
        <v>David</v>
      </c>
      <c r="H948" s="74" t="s">
        <v>224</v>
      </c>
      <c r="I948" s="49" t="s">
        <v>66</v>
      </c>
      <c r="J948" s="47" t="str">
        <f t="shared" si="38"/>
        <v>Não</v>
      </c>
      <c r="K948" s="97">
        <v>45035.0</v>
      </c>
      <c r="L948" s="557">
        <v>45274.0</v>
      </c>
      <c r="M948" s="62" t="s">
        <v>61</v>
      </c>
      <c r="N948" s="98">
        <v>0.012</v>
      </c>
      <c r="O948" s="47" t="s">
        <v>66</v>
      </c>
      <c r="P948" s="99">
        <v>0.0</v>
      </c>
      <c r="Q948" s="58"/>
      <c r="R948" s="70"/>
      <c r="S948" s="62" t="s">
        <v>194</v>
      </c>
      <c r="T948" s="32" t="s">
        <v>1324</v>
      </c>
      <c r="U948" s="33" t="s">
        <v>268</v>
      </c>
      <c r="V948" s="33"/>
      <c r="W948" s="33" t="s">
        <v>268</v>
      </c>
      <c r="X948" s="23" t="s">
        <v>221</v>
      </c>
      <c r="Y948" s="49" t="str">
        <f t="shared" si="22"/>
        <v>Encerrado</v>
      </c>
      <c r="Z948" s="62"/>
      <c r="AA948" s="62"/>
      <c r="AB948" s="64"/>
      <c r="AC948" s="79"/>
      <c r="AD948" s="54">
        <v>45035.0</v>
      </c>
      <c r="AE948" s="77"/>
      <c r="AF948" s="79"/>
      <c r="AG948" s="79"/>
      <c r="AH948" s="79"/>
      <c r="AI948" s="79"/>
      <c r="AJ948" s="79"/>
      <c r="AK948" s="65">
        <v>0.0</v>
      </c>
      <c r="AL948" s="65">
        <v>701658.56</v>
      </c>
      <c r="AM948" s="65">
        <v>709432.98</v>
      </c>
      <c r="AN948" s="65">
        <v>311014.03</v>
      </c>
      <c r="AO948" s="65">
        <v>312644.16</v>
      </c>
      <c r="AP948" s="65">
        <v>315352.28</v>
      </c>
      <c r="AQ948" s="65">
        <v>317999.63</v>
      </c>
      <c r="AR948" s="65">
        <v>0.0</v>
      </c>
      <c r="AS948" s="65">
        <v>0.0</v>
      </c>
      <c r="AT948" s="65">
        <v>0.0</v>
      </c>
      <c r="AU948" s="65">
        <v>0.0</v>
      </c>
      <c r="AV948" s="65">
        <v>0.0</v>
      </c>
      <c r="AW948" s="65">
        <v>0.0</v>
      </c>
      <c r="AX948" s="65">
        <v>0.0</v>
      </c>
      <c r="AY948" s="65">
        <v>0.0</v>
      </c>
      <c r="AZ948" s="65">
        <v>0.0</v>
      </c>
      <c r="BA948" s="65">
        <v>0.0</v>
      </c>
      <c r="BB948" s="65">
        <v>0.0</v>
      </c>
      <c r="BC948" s="65">
        <v>0.0</v>
      </c>
      <c r="BD948" s="65">
        <v>0.0</v>
      </c>
      <c r="BE948" s="65">
        <v>0.0</v>
      </c>
      <c r="BF948" s="65">
        <v>0.0</v>
      </c>
      <c r="BG948" s="65">
        <v>0.0</v>
      </c>
      <c r="BH948" s="65">
        <v>0.0</v>
      </c>
      <c r="BI948" s="65">
        <v>0.0</v>
      </c>
      <c r="BJ948" s="65">
        <v>0.0</v>
      </c>
      <c r="BK948" s="65">
        <v>0.0</v>
      </c>
      <c r="BL948" s="65">
        <v>0.0</v>
      </c>
      <c r="BM948" s="65">
        <v>0.0</v>
      </c>
      <c r="BN948" s="65">
        <v>0.0</v>
      </c>
      <c r="BO948" s="65">
        <v>0.0</v>
      </c>
      <c r="BP948" s="65">
        <v>0.0</v>
      </c>
      <c r="BQ948" s="65">
        <v>0.0</v>
      </c>
      <c r="BR948" s="65">
        <v>0.0</v>
      </c>
      <c r="BS948" s="65">
        <v>0.0</v>
      </c>
      <c r="BT948" s="88">
        <v>0.0</v>
      </c>
      <c r="BU948" s="65">
        <v>0.0</v>
      </c>
      <c r="BV948" s="65">
        <v>0.0</v>
      </c>
      <c r="BW948" s="90">
        <v>0.0</v>
      </c>
      <c r="BX948" s="90">
        <v>0.0</v>
      </c>
      <c r="BY948" s="90" t="str">
        <f t="array" ref="BY948">XLOOKUP(C948,'PL TOTAL D0'!$A$3:$A$1991,'PL TOTAL D0'!$C$3:$C$1991,"")</f>
        <v/>
      </c>
    </row>
    <row r="949" ht="15.75" customHeight="1">
      <c r="A949" s="50" t="s">
        <v>24</v>
      </c>
      <c r="B949" s="39" t="s">
        <v>8866</v>
      </c>
      <c r="C949" s="53" t="s">
        <v>8867</v>
      </c>
      <c r="D949" s="30" t="s">
        <v>3843</v>
      </c>
      <c r="E949" s="22" t="s">
        <v>199</v>
      </c>
      <c r="F949" s="30" t="s">
        <v>3844</v>
      </c>
      <c r="G949" s="47" t="str">
        <f t="shared" si="37"/>
        <v>David</v>
      </c>
      <c r="H949" s="49" t="s">
        <v>183</v>
      </c>
      <c r="I949" s="49" t="s">
        <v>66</v>
      </c>
      <c r="J949" s="47" t="str">
        <f t="shared" si="38"/>
        <v>Não</v>
      </c>
      <c r="K949" s="54">
        <v>46146.0</v>
      </c>
      <c r="L949" s="557"/>
      <c r="M949" s="32" t="s">
        <v>61</v>
      </c>
      <c r="N949" s="56">
        <v>0.012</v>
      </c>
      <c r="O949" s="23" t="s">
        <v>66</v>
      </c>
      <c r="P949" s="57">
        <v>0.0</v>
      </c>
      <c r="Q949" s="58"/>
      <c r="R949" s="70"/>
      <c r="S949" s="62" t="s">
        <v>194</v>
      </c>
      <c r="T949" s="32" t="s">
        <v>8868</v>
      </c>
      <c r="U949" s="33" t="s">
        <v>8869</v>
      </c>
      <c r="V949" s="33" t="s">
        <v>8870</v>
      </c>
      <c r="W949" s="48">
        <v>33281.0</v>
      </c>
      <c r="X949" s="23" t="s">
        <v>54</v>
      </c>
      <c r="Y949" s="49" t="str">
        <f t="shared" si="22"/>
        <v>Ativo</v>
      </c>
      <c r="Z949" s="62"/>
      <c r="AA949" s="32" t="s">
        <v>47</v>
      </c>
      <c r="AB949" s="64"/>
      <c r="AC949" s="79"/>
      <c r="AD949" s="54"/>
      <c r="AE949" s="77"/>
      <c r="AF949" s="79"/>
      <c r="AG949" s="79"/>
      <c r="AH949" s="79"/>
      <c r="AI949" s="79"/>
      <c r="AJ949" s="79"/>
      <c r="AK949" s="65"/>
      <c r="AL949" s="65"/>
      <c r="AM949" s="65"/>
      <c r="AN949" s="65"/>
      <c r="AO949" s="65"/>
      <c r="AP949" s="65"/>
      <c r="AQ949" s="65"/>
      <c r="AR949" s="65"/>
      <c r="AS949" s="65"/>
      <c r="AT949" s="65"/>
      <c r="AU949" s="65"/>
      <c r="AV949" s="65"/>
      <c r="AW949" s="65"/>
      <c r="AX949" s="65"/>
      <c r="AY949" s="65"/>
      <c r="AZ949" s="65"/>
      <c r="BA949" s="65"/>
      <c r="BB949" s="65"/>
      <c r="BC949" s="65"/>
      <c r="BD949" s="65"/>
      <c r="BE949" s="65"/>
      <c r="BF949" s="65"/>
      <c r="BG949" s="65"/>
      <c r="BH949" s="65"/>
      <c r="BI949" s="65"/>
      <c r="BJ949" s="65"/>
      <c r="BK949" s="65"/>
      <c r="BL949" s="65"/>
      <c r="BM949" s="65"/>
      <c r="BN949" s="65"/>
      <c r="BO949" s="65"/>
      <c r="BP949" s="65"/>
      <c r="BQ949" s="65"/>
      <c r="BR949" s="65"/>
      <c r="BS949" s="65"/>
      <c r="BT949" s="88"/>
      <c r="BU949" s="65"/>
      <c r="BV949" s="65">
        <v>0.0</v>
      </c>
      <c r="BW949" s="90">
        <v>0.0</v>
      </c>
      <c r="BX949" s="90">
        <v>0.0</v>
      </c>
      <c r="BY949" s="90" t="str">
        <f t="array" ref="BY949">XLOOKUP(C949,'PL TOTAL D0'!$A$3:$A$1991,'PL TOTAL D0'!$C$3:$C$1991,"")</f>
        <v/>
      </c>
    </row>
    <row r="950" ht="15.75" customHeight="1">
      <c r="A950" s="43" t="s">
        <v>24</v>
      </c>
      <c r="B950" s="39" t="s">
        <v>8871</v>
      </c>
      <c r="C950" s="94" t="s">
        <v>3002</v>
      </c>
      <c r="D950" s="30" t="s">
        <v>142</v>
      </c>
      <c r="E950" s="22" t="s">
        <v>54</v>
      </c>
      <c r="F950" s="30" t="s">
        <v>158</v>
      </c>
      <c r="G950" s="47" t="str">
        <f t="shared" si="37"/>
        <v>Gabriel</v>
      </c>
      <c r="H950" s="49" t="s">
        <v>183</v>
      </c>
      <c r="I950" s="49" t="s">
        <v>66</v>
      </c>
      <c r="J950" s="47" t="str">
        <f t="shared" si="38"/>
        <v>Sim</v>
      </c>
      <c r="K950" s="54">
        <v>46007.0</v>
      </c>
      <c r="L950" s="557"/>
      <c r="M950" s="32" t="s">
        <v>61</v>
      </c>
      <c r="N950" s="56">
        <v>0.012</v>
      </c>
      <c r="O950" s="23" t="s">
        <v>66</v>
      </c>
      <c r="P950" s="57">
        <v>0.0</v>
      </c>
      <c r="Q950" s="58" t="s">
        <v>8872</v>
      </c>
      <c r="R950" s="70"/>
      <c r="S950" s="32" t="s">
        <v>194</v>
      </c>
      <c r="T950" s="32" t="s">
        <v>8873</v>
      </c>
      <c r="U950" s="33" t="s">
        <v>8874</v>
      </c>
      <c r="V950" s="33" t="s">
        <v>8875</v>
      </c>
      <c r="W950" s="48">
        <v>30469.0</v>
      </c>
      <c r="X950" s="23" t="s">
        <v>199</v>
      </c>
      <c r="Y950" s="49" t="str">
        <f t="shared" si="22"/>
        <v>Ativo</v>
      </c>
      <c r="Z950" s="62"/>
      <c r="AA950" s="32" t="s">
        <v>47</v>
      </c>
      <c r="AB950" s="64"/>
      <c r="AC950" s="79"/>
      <c r="AD950" s="54">
        <v>46203.0</v>
      </c>
      <c r="AE950" s="77"/>
      <c r="AF950" s="79"/>
      <c r="AG950" s="79"/>
      <c r="AH950" s="79"/>
      <c r="AI950" s="79"/>
      <c r="AJ950" s="79"/>
      <c r="AK950" s="65"/>
      <c r="AL950" s="65"/>
      <c r="AM950" s="65"/>
      <c r="AN950" s="65"/>
      <c r="AO950" s="65"/>
      <c r="AP950" s="65"/>
      <c r="AQ950" s="65"/>
      <c r="AR950" s="65"/>
      <c r="AS950" s="65"/>
      <c r="AT950" s="65"/>
      <c r="AU950" s="65"/>
      <c r="AV950" s="65"/>
      <c r="AW950" s="65"/>
      <c r="AX950" s="65"/>
      <c r="AY950" s="65"/>
      <c r="AZ950" s="65"/>
      <c r="BA950" s="65"/>
      <c r="BB950" s="65"/>
      <c r="BC950" s="65"/>
      <c r="BD950" s="65"/>
      <c r="BE950" s="65"/>
      <c r="BF950" s="65"/>
      <c r="BG950" s="65"/>
      <c r="BH950" s="65"/>
      <c r="BI950" s="65"/>
      <c r="BJ950" s="65"/>
      <c r="BK950" s="65"/>
      <c r="BL950" s="65"/>
      <c r="BM950" s="65"/>
      <c r="BN950" s="65"/>
      <c r="BO950" s="65"/>
      <c r="BP950" s="65"/>
      <c r="BQ950" s="65"/>
      <c r="BR950" s="65">
        <v>230784.7</v>
      </c>
      <c r="BS950" s="65">
        <v>253692.43</v>
      </c>
      <c r="BT950" s="88">
        <v>270924.4</v>
      </c>
      <c r="BU950" s="65">
        <v>281780.1</v>
      </c>
      <c r="BV950" s="65">
        <v>305023.6</v>
      </c>
      <c r="BW950" s="90">
        <v>327805.0</v>
      </c>
      <c r="BX950" s="90">
        <v>331023.86</v>
      </c>
      <c r="BY950" s="90">
        <f t="array" ref="BY950">XLOOKUP(C950,'PL TOTAL D0'!$A$3:$A$1991,'PL TOTAL D0'!$C$3:$C$1991,"")</f>
        <v>354594.36</v>
      </c>
    </row>
    <row r="951" ht="15.75" customHeight="1">
      <c r="A951" s="50" t="s">
        <v>24</v>
      </c>
      <c r="B951" s="191" t="s">
        <v>8876</v>
      </c>
      <c r="C951" s="94" t="s">
        <v>8877</v>
      </c>
      <c r="D951" s="81" t="s">
        <v>255</v>
      </c>
      <c r="E951" s="95" t="s">
        <v>199</v>
      </c>
      <c r="F951" s="81" t="s">
        <v>257</v>
      </c>
      <c r="G951" s="47" t="str">
        <f t="shared" si="37"/>
        <v>David</v>
      </c>
      <c r="H951" s="49" t="s">
        <v>224</v>
      </c>
      <c r="I951" s="49" t="s">
        <v>66</v>
      </c>
      <c r="J951" s="47" t="str">
        <f t="shared" si="38"/>
        <v>Não</v>
      </c>
      <c r="K951" s="97">
        <v>45230.0</v>
      </c>
      <c r="L951" s="55">
        <v>45527.0</v>
      </c>
      <c r="M951" s="62" t="s">
        <v>34</v>
      </c>
      <c r="N951" s="98">
        <v>0.012</v>
      </c>
      <c r="O951" s="47" t="s">
        <v>35</v>
      </c>
      <c r="P951" s="99">
        <v>0.1</v>
      </c>
      <c r="Q951" s="58"/>
      <c r="R951" s="70"/>
      <c r="S951" s="62" t="s">
        <v>194</v>
      </c>
      <c r="T951" s="32" t="s">
        <v>8878</v>
      </c>
      <c r="U951" s="33" t="s">
        <v>268</v>
      </c>
      <c r="V951" s="33"/>
      <c r="W951" s="33" t="s">
        <v>268</v>
      </c>
      <c r="X951" s="23" t="s">
        <v>199</v>
      </c>
      <c r="Y951" s="49" t="str">
        <f t="shared" si="22"/>
        <v>Encerrado</v>
      </c>
      <c r="Z951" s="62"/>
      <c r="AA951" s="62"/>
      <c r="AB951" s="64" t="s">
        <v>244</v>
      </c>
      <c r="AC951" s="79"/>
      <c r="AD951" s="54">
        <v>45230.0</v>
      </c>
      <c r="AE951" s="77">
        <v>4.9075100012709E13</v>
      </c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65">
        <v>0.0</v>
      </c>
      <c r="AS951" s="65">
        <v>95859.72</v>
      </c>
      <c r="AT951" s="65">
        <v>129859.35</v>
      </c>
      <c r="AU951" s="65">
        <v>129787.32</v>
      </c>
      <c r="AV951" s="65">
        <v>130948.12</v>
      </c>
      <c r="AW951" s="65">
        <v>132130.09</v>
      </c>
      <c r="AX951" s="65">
        <v>136774.62</v>
      </c>
      <c r="AY951" s="65">
        <v>137070.5</v>
      </c>
      <c r="AZ951" s="65">
        <v>140396.4</v>
      </c>
      <c r="BA951" s="65">
        <v>147482.8</v>
      </c>
      <c r="BB951" s="65">
        <v>0.0</v>
      </c>
      <c r="BC951" s="65">
        <v>0.0</v>
      </c>
      <c r="BD951" s="65">
        <v>0.0</v>
      </c>
      <c r="BE951" s="65">
        <v>0.0</v>
      </c>
      <c r="BF951" s="65">
        <v>0.0</v>
      </c>
      <c r="BG951" s="65">
        <v>0.0</v>
      </c>
      <c r="BH951" s="65">
        <v>0.0</v>
      </c>
      <c r="BI951" s="65">
        <v>0.0</v>
      </c>
      <c r="BJ951" s="65">
        <v>0.0</v>
      </c>
      <c r="BK951" s="65">
        <v>0.0</v>
      </c>
      <c r="BL951" s="65">
        <v>0.0</v>
      </c>
      <c r="BM951" s="65">
        <v>0.0</v>
      </c>
      <c r="BN951" s="65">
        <v>0.0</v>
      </c>
      <c r="BO951" s="65">
        <v>0.0</v>
      </c>
      <c r="BP951" s="65">
        <v>0.0</v>
      </c>
      <c r="BQ951" s="65">
        <v>0.0</v>
      </c>
      <c r="BR951" s="65">
        <v>0.0</v>
      </c>
      <c r="BS951" s="65">
        <v>0.0</v>
      </c>
      <c r="BT951" s="88">
        <v>0.0</v>
      </c>
      <c r="BU951" s="65">
        <v>0.0</v>
      </c>
      <c r="BV951" s="65">
        <v>0.0</v>
      </c>
      <c r="BW951" s="90">
        <v>0.0</v>
      </c>
      <c r="BX951" s="90">
        <v>0.0</v>
      </c>
      <c r="BY951" s="90" t="str">
        <f t="array" ref="BY951">XLOOKUP(C951,'PL TOTAL D0'!$A$3:$A$1991,'PL TOTAL D0'!$C$3:$C$1991,"")</f>
        <v/>
      </c>
    </row>
    <row r="952" ht="15.75" customHeight="1">
      <c r="A952" s="50" t="s">
        <v>24</v>
      </c>
      <c r="B952" s="188" t="s">
        <v>8879</v>
      </c>
      <c r="C952" s="94" t="s">
        <v>2717</v>
      </c>
      <c r="D952" s="30" t="s">
        <v>120</v>
      </c>
      <c r="E952" s="22" t="s">
        <v>199</v>
      </c>
      <c r="F952" s="30" t="s">
        <v>290</v>
      </c>
      <c r="G952" s="47" t="str">
        <f t="shared" si="37"/>
        <v>Marcus</v>
      </c>
      <c r="H952" s="49" t="s">
        <v>183</v>
      </c>
      <c r="I952" s="49" t="s">
        <v>66</v>
      </c>
      <c r="J952" s="47" t="str">
        <f t="shared" si="38"/>
        <v>Não</v>
      </c>
      <c r="K952" s="54">
        <v>45407.0</v>
      </c>
      <c r="L952" s="62"/>
      <c r="M952" s="32" t="s">
        <v>61</v>
      </c>
      <c r="N952" s="56">
        <v>0.01</v>
      </c>
      <c r="O952" s="23" t="s">
        <v>66</v>
      </c>
      <c r="P952" s="57">
        <v>0.0</v>
      </c>
      <c r="Q952" s="58"/>
      <c r="R952" s="70"/>
      <c r="S952" s="32" t="s">
        <v>194</v>
      </c>
      <c r="T952" s="32" t="s">
        <v>8880</v>
      </c>
      <c r="U952" s="33">
        <v>6.1998411082E10</v>
      </c>
      <c r="V952" s="33" t="s">
        <v>8881</v>
      </c>
      <c r="W952" s="34">
        <v>31477.0</v>
      </c>
      <c r="X952" s="23" t="s">
        <v>199</v>
      </c>
      <c r="Y952" s="49" t="str">
        <f t="shared" si="22"/>
        <v>Ativo</v>
      </c>
      <c r="Z952" s="32"/>
      <c r="AA952" s="32" t="s">
        <v>165</v>
      </c>
      <c r="AB952" s="64" t="s">
        <v>269</v>
      </c>
      <c r="AC952" s="79"/>
      <c r="AD952" s="54">
        <v>45407.0</v>
      </c>
      <c r="AE952" s="77">
        <v>4.9075100014124E13</v>
      </c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  <c r="AS952" s="79"/>
      <c r="AT952" s="79"/>
      <c r="AU952" s="79"/>
      <c r="AV952" s="65"/>
      <c r="AW952" s="65"/>
      <c r="AX952" s="65">
        <v>0.0</v>
      </c>
      <c r="AY952" s="65">
        <v>571964.7</v>
      </c>
      <c r="AZ952" s="65">
        <v>577020.3</v>
      </c>
      <c r="BA952" s="65">
        <v>583391.9</v>
      </c>
      <c r="BB952" s="65">
        <v>589373.24</v>
      </c>
      <c r="BC952" s="65">
        <v>594320.29</v>
      </c>
      <c r="BD952" s="65">
        <v>600713.05</v>
      </c>
      <c r="BE952" s="65">
        <v>666173.54</v>
      </c>
      <c r="BF952" s="65">
        <v>672426.62</v>
      </c>
      <c r="BG952" s="65">
        <v>830971.7</v>
      </c>
      <c r="BH952" s="65">
        <v>838933.01</v>
      </c>
      <c r="BI952" s="65">
        <v>796965.0</v>
      </c>
      <c r="BJ952" s="65">
        <v>806303.91</v>
      </c>
      <c r="BK952" s="65">
        <v>798454.98</v>
      </c>
      <c r="BL952" s="65">
        <v>775964.08</v>
      </c>
      <c r="BM952" s="65">
        <v>785912.35</v>
      </c>
      <c r="BN952" s="65">
        <v>835065.5</v>
      </c>
      <c r="BO952" s="65">
        <v>843209.93</v>
      </c>
      <c r="BP952" s="65">
        <v>852442.5</v>
      </c>
      <c r="BQ952" s="65">
        <v>859694.2</v>
      </c>
      <c r="BR952" s="65">
        <v>867690.6</v>
      </c>
      <c r="BS952" s="65">
        <v>877238.77</v>
      </c>
      <c r="BT952" s="88">
        <v>885035.7</v>
      </c>
      <c r="BU952" s="65">
        <v>892240.8</v>
      </c>
      <c r="BV952" s="65">
        <v>902035.3</v>
      </c>
      <c r="BW952" s="90">
        <v>911265.4</v>
      </c>
      <c r="BX952" s="90">
        <v>920678.42</v>
      </c>
      <c r="BY952" s="90">
        <f t="array" ref="BY952">XLOOKUP(C952,'PL TOTAL D0'!$A$3:$A$1991,'PL TOTAL D0'!$C$3:$C$1991,"")</f>
        <v>932113.04</v>
      </c>
    </row>
    <row r="953" ht="15.75" customHeight="1">
      <c r="A953" s="50" t="s">
        <v>24</v>
      </c>
      <c r="B953" s="368" t="s">
        <v>8882</v>
      </c>
      <c r="C953" s="94" t="s">
        <v>8883</v>
      </c>
      <c r="D953" s="81" t="s">
        <v>120</v>
      </c>
      <c r="E953" s="95" t="s">
        <v>199</v>
      </c>
      <c r="F953" s="81" t="s">
        <v>431</v>
      </c>
      <c r="G953" s="47" t="str">
        <f t="shared" si="37"/>
        <v>David</v>
      </c>
      <c r="H953" s="49" t="s">
        <v>183</v>
      </c>
      <c r="I953" s="49" t="s">
        <v>66</v>
      </c>
      <c r="J953" s="47" t="str">
        <f t="shared" si="38"/>
        <v>Não</v>
      </c>
      <c r="K953" s="97">
        <v>45240.0</v>
      </c>
      <c r="L953" s="62"/>
      <c r="M953" s="66" t="s">
        <v>390</v>
      </c>
      <c r="N953" s="366">
        <v>0.0</v>
      </c>
      <c r="O953" s="81" t="s">
        <v>66</v>
      </c>
      <c r="P953" s="367">
        <v>0.0</v>
      </c>
      <c r="Q953" s="58"/>
      <c r="R953" s="70"/>
      <c r="S953" s="62" t="s">
        <v>194</v>
      </c>
      <c r="T953" s="32" t="s">
        <v>8884</v>
      </c>
      <c r="U953" s="33">
        <v>6.1986421422E10</v>
      </c>
      <c r="V953" s="33" t="s">
        <v>8885</v>
      </c>
      <c r="W953" s="34">
        <v>33406.0</v>
      </c>
      <c r="X953" s="23" t="s">
        <v>199</v>
      </c>
      <c r="Y953" s="49" t="str">
        <f t="shared" si="22"/>
        <v>Ativo</v>
      </c>
      <c r="Z953" s="62"/>
      <c r="AA953" s="62"/>
      <c r="AB953" s="64" t="s">
        <v>269</v>
      </c>
      <c r="AC953" s="79"/>
      <c r="AD953" s="54">
        <v>45240.0</v>
      </c>
      <c r="AE953" s="77">
        <v>4.9075100012717E13</v>
      </c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  <c r="AS953" s="65">
        <v>502.99</v>
      </c>
      <c r="AT953" s="65">
        <v>1010.44</v>
      </c>
      <c r="AU953" s="65">
        <v>1523.78</v>
      </c>
      <c r="AV953" s="65">
        <v>2030.61</v>
      </c>
      <c r="AW953" s="65">
        <v>2546.54</v>
      </c>
      <c r="AX953" s="65">
        <v>3065.41</v>
      </c>
      <c r="AY953" s="65">
        <v>3084.3</v>
      </c>
      <c r="AZ953" s="65">
        <v>3103.8</v>
      </c>
      <c r="BA953" s="65">
        <v>3736.33</v>
      </c>
      <c r="BB953" s="65">
        <v>3768.48</v>
      </c>
      <c r="BC953" s="65">
        <v>4299.05</v>
      </c>
      <c r="BD953" s="65">
        <v>4339.87</v>
      </c>
      <c r="BE953" s="65">
        <v>3349.62</v>
      </c>
      <c r="BF953" s="65">
        <v>4066.83</v>
      </c>
      <c r="BG953" s="65">
        <v>4815.2</v>
      </c>
      <c r="BH953" s="65">
        <v>4871.55</v>
      </c>
      <c r="BI953" s="65">
        <v>5418.06</v>
      </c>
      <c r="BJ953" s="65">
        <v>5977.25</v>
      </c>
      <c r="BK953" s="65">
        <v>6026.86</v>
      </c>
      <c r="BL953" s="65">
        <v>6564.92</v>
      </c>
      <c r="BM953" s="65">
        <v>6649.34</v>
      </c>
      <c r="BN953" s="65">
        <v>2683.88</v>
      </c>
      <c r="BO953" s="65">
        <v>2711.6</v>
      </c>
      <c r="BP953" s="65">
        <v>2746.97</v>
      </c>
      <c r="BQ953" s="65">
        <v>2769.21</v>
      </c>
      <c r="BR953" s="65">
        <v>2781.85</v>
      </c>
      <c r="BS953" s="65">
        <v>2825.28</v>
      </c>
      <c r="BT953" s="88">
        <v>2841.68</v>
      </c>
      <c r="BU953" s="65">
        <v>2872.93</v>
      </c>
      <c r="BV953" s="65">
        <v>2904.44</v>
      </c>
      <c r="BW953" s="90">
        <v>2923.49</v>
      </c>
      <c r="BX953" s="90">
        <v>2934.75</v>
      </c>
      <c r="BY953" s="90" t="str">
        <f t="array" ref="BY953">XLOOKUP(C953,'PL TOTAL D0'!$A$3:$A$1991,'PL TOTAL D0'!$C$3:$C$1991,"")</f>
        <v/>
      </c>
    </row>
    <row r="954" ht="15.75" customHeight="1">
      <c r="A954" s="50" t="s">
        <v>24</v>
      </c>
      <c r="B954" s="50" t="s">
        <v>8886</v>
      </c>
      <c r="C954" s="94" t="s">
        <v>8887</v>
      </c>
      <c r="D954" s="81" t="s">
        <v>120</v>
      </c>
      <c r="E954" s="95" t="s">
        <v>54</v>
      </c>
      <c r="F954" s="81" t="s">
        <v>125</v>
      </c>
      <c r="G954" s="47" t="str">
        <f t="shared" si="37"/>
        <v>David</v>
      </c>
      <c r="H954" s="49" t="s">
        <v>295</v>
      </c>
      <c r="I954" s="49" t="s">
        <v>382</v>
      </c>
      <c r="J954" s="47" t="str">
        <f t="shared" si="38"/>
        <v>Não</v>
      </c>
      <c r="K954" s="97">
        <v>44960.0</v>
      </c>
      <c r="L954" s="62"/>
      <c r="M954" s="62" t="s">
        <v>61</v>
      </c>
      <c r="N954" s="98">
        <v>0.012</v>
      </c>
      <c r="O954" s="47" t="s">
        <v>66</v>
      </c>
      <c r="P954" s="99">
        <v>0.0</v>
      </c>
      <c r="Q954" s="58"/>
      <c r="R954" s="635"/>
      <c r="S954" s="62" t="s">
        <v>194</v>
      </c>
      <c r="T954" s="32" t="s">
        <v>8888</v>
      </c>
      <c r="U954" s="33">
        <v>6.2996793313E10</v>
      </c>
      <c r="V954" s="33" t="s">
        <v>8889</v>
      </c>
      <c r="W954" s="34">
        <v>21497.0</v>
      </c>
      <c r="X954" s="23" t="s">
        <v>54</v>
      </c>
      <c r="Y954" s="49" t="str">
        <f t="shared" si="22"/>
        <v>Ativo</v>
      </c>
      <c r="Z954" s="62"/>
      <c r="AA954" s="62"/>
      <c r="AB954" s="64" t="s">
        <v>269</v>
      </c>
      <c r="AC954" s="79"/>
      <c r="AD954" s="54">
        <v>44960.0</v>
      </c>
      <c r="AE954" s="77">
        <v>4.9075100010285E13</v>
      </c>
      <c r="AF954" s="79"/>
      <c r="AG954" s="79"/>
      <c r="AH954" s="79"/>
      <c r="AI954" s="65">
        <v>0.0</v>
      </c>
      <c r="AJ954" s="65">
        <v>50312.02</v>
      </c>
      <c r="AK954" s="65">
        <v>50841.72</v>
      </c>
      <c r="AL954" s="65">
        <v>1017.37</v>
      </c>
      <c r="AM954" s="65">
        <v>1027.31</v>
      </c>
      <c r="AN954" s="65">
        <v>1031.59</v>
      </c>
      <c r="AO954" s="65">
        <v>1042.93</v>
      </c>
      <c r="AP954" s="65">
        <v>1055.11</v>
      </c>
      <c r="AQ954" s="65">
        <v>1065.68</v>
      </c>
      <c r="AR954" s="65">
        <v>1077.1</v>
      </c>
      <c r="AS954" s="65">
        <v>1086.71</v>
      </c>
      <c r="AT954" s="65">
        <v>1096.69</v>
      </c>
      <c r="AU954" s="65">
        <v>1107.56</v>
      </c>
      <c r="AV954" s="65">
        <v>1116.81</v>
      </c>
      <c r="AW954" s="65">
        <v>1126.35</v>
      </c>
      <c r="AX954" s="65">
        <v>1136.6</v>
      </c>
      <c r="AY954" s="65">
        <v>1146.31</v>
      </c>
      <c r="AZ954" s="65">
        <v>1130.99</v>
      </c>
      <c r="BA954" s="65">
        <v>1130.99</v>
      </c>
      <c r="BB954" s="65">
        <v>21.52</v>
      </c>
      <c r="BC954" s="65">
        <v>21.52</v>
      </c>
      <c r="BD954" s="65">
        <v>21.52</v>
      </c>
      <c r="BE954" s="65">
        <v>21.52</v>
      </c>
      <c r="BF954" s="65">
        <v>21.52</v>
      </c>
      <c r="BG954" s="65">
        <v>21.52</v>
      </c>
      <c r="BH954" s="65">
        <v>21.52</v>
      </c>
      <c r="BI954" s="65">
        <v>21.52</v>
      </c>
      <c r="BJ954" s="65">
        <v>0.0</v>
      </c>
      <c r="BK954" s="65">
        <v>0.0</v>
      </c>
      <c r="BL954" s="65">
        <v>0.0</v>
      </c>
      <c r="BM954" s="65">
        <v>0.0</v>
      </c>
      <c r="BN954" s="65">
        <v>0.0</v>
      </c>
      <c r="BO954" s="65">
        <v>0.0</v>
      </c>
      <c r="BP954" s="65">
        <v>0.0</v>
      </c>
      <c r="BQ954" s="65">
        <v>0.0</v>
      </c>
      <c r="BR954" s="65">
        <v>0.0</v>
      </c>
      <c r="BS954" s="65">
        <v>0.0</v>
      </c>
      <c r="BT954" s="88">
        <v>0.0</v>
      </c>
      <c r="BU954" s="65">
        <v>0.0</v>
      </c>
      <c r="BV954" s="65">
        <v>0.0</v>
      </c>
      <c r="BW954" s="90">
        <v>0.0</v>
      </c>
      <c r="BX954" s="90">
        <v>0.0</v>
      </c>
      <c r="BY954" s="90" t="str">
        <f t="array" ref="BY954">XLOOKUP(C954,'PL TOTAL D0'!$A$3:$A$1991,'PL TOTAL D0'!$C$3:$C$1991,"")</f>
        <v/>
      </c>
    </row>
    <row r="955" ht="15.75" customHeight="1">
      <c r="A955" s="50" t="s">
        <v>24</v>
      </c>
      <c r="B955" s="43" t="s">
        <v>8890</v>
      </c>
      <c r="C955" s="94" t="s">
        <v>3480</v>
      </c>
      <c r="D955" s="30" t="s">
        <v>142</v>
      </c>
      <c r="E955" s="22" t="s">
        <v>54</v>
      </c>
      <c r="F955" s="30" t="s">
        <v>158</v>
      </c>
      <c r="G955" s="47" t="str">
        <f t="shared" si="37"/>
        <v>David</v>
      </c>
      <c r="H955" s="49" t="s">
        <v>183</v>
      </c>
      <c r="I955" s="49" t="s">
        <v>66</v>
      </c>
      <c r="J955" s="47" t="str">
        <f t="shared" si="38"/>
        <v>Não</v>
      </c>
      <c r="K955" s="54">
        <v>45516.0</v>
      </c>
      <c r="L955" s="62"/>
      <c r="M955" s="32" t="s">
        <v>61</v>
      </c>
      <c r="N955" s="56">
        <v>0.012</v>
      </c>
      <c r="O955" s="23" t="s">
        <v>66</v>
      </c>
      <c r="P955" s="57">
        <v>0.0</v>
      </c>
      <c r="Q955" s="58"/>
      <c r="R955" s="635"/>
      <c r="S955" s="32" t="s">
        <v>194</v>
      </c>
      <c r="T955" s="32" t="s">
        <v>8891</v>
      </c>
      <c r="U955" s="33">
        <v>5.561981810331E12</v>
      </c>
      <c r="V955" s="33" t="s">
        <v>8892</v>
      </c>
      <c r="W955" s="34">
        <v>29097.0</v>
      </c>
      <c r="X955" s="23" t="s">
        <v>54</v>
      </c>
      <c r="Y955" s="49" t="str">
        <f t="shared" si="22"/>
        <v>Ativo</v>
      </c>
      <c r="Z955" s="32"/>
      <c r="AA955" s="32" t="s">
        <v>47</v>
      </c>
      <c r="AB955" s="64" t="s">
        <v>269</v>
      </c>
      <c r="AC955" s="79"/>
      <c r="AD955" s="54">
        <v>45516.0</v>
      </c>
      <c r="AE955" s="77">
        <v>4.907510001557E13</v>
      </c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65"/>
      <c r="AW955" s="65"/>
      <c r="AX955" s="65"/>
      <c r="AY955" s="65"/>
      <c r="AZ955" s="65"/>
      <c r="BA955" s="65"/>
      <c r="BB955" s="65">
        <v>312485.98</v>
      </c>
      <c r="BC955" s="65">
        <v>312363.08</v>
      </c>
      <c r="BD955" s="65">
        <v>313190.24</v>
      </c>
      <c r="BE955" s="65">
        <v>313612.58</v>
      </c>
      <c r="BF955" s="65">
        <v>314869.8</v>
      </c>
      <c r="BG955" s="65">
        <v>90136.53</v>
      </c>
      <c r="BH955" s="65">
        <v>53941.71</v>
      </c>
      <c r="BI955" s="65">
        <v>54805.55</v>
      </c>
      <c r="BJ955" s="65">
        <v>50391.37</v>
      </c>
      <c r="BK955" s="65">
        <v>50601.96</v>
      </c>
      <c r="BL955" s="65">
        <v>50883.55</v>
      </c>
      <c r="BM955" s="65">
        <v>51009.89</v>
      </c>
      <c r="BN955" s="65">
        <v>48729.32</v>
      </c>
      <c r="BO955" s="65">
        <v>49426.3</v>
      </c>
      <c r="BP955" s="65">
        <v>49047.75</v>
      </c>
      <c r="BQ955" s="65">
        <v>49176.48</v>
      </c>
      <c r="BR955" s="65">
        <v>49273.97</v>
      </c>
      <c r="BS955" s="65">
        <v>48774.46</v>
      </c>
      <c r="BT955" s="88">
        <v>48121.26</v>
      </c>
      <c r="BU955" s="65">
        <v>47840.82</v>
      </c>
      <c r="BV955" s="65">
        <v>43630.06</v>
      </c>
      <c r="BW955" s="90">
        <v>43046.28</v>
      </c>
      <c r="BX955" s="90">
        <v>38370.22</v>
      </c>
      <c r="BY955" s="90">
        <f t="array" ref="BY955">XLOOKUP(C955,'PL TOTAL D0'!$A$3:$A$1991,'PL TOTAL D0'!$C$3:$C$1991,"")</f>
        <v>36561.22</v>
      </c>
    </row>
    <row r="956" ht="15.75" customHeight="1">
      <c r="A956" s="50" t="s">
        <v>24</v>
      </c>
      <c r="B956" s="50" t="s">
        <v>8893</v>
      </c>
      <c r="C956" s="94" t="s">
        <v>8894</v>
      </c>
      <c r="D956" s="81" t="s">
        <v>255</v>
      </c>
      <c r="E956" s="95" t="s">
        <v>199</v>
      </c>
      <c r="F956" s="81" t="s">
        <v>257</v>
      </c>
      <c r="G956" s="47" t="str">
        <f t="shared" si="37"/>
        <v>David</v>
      </c>
      <c r="H956" s="49" t="s">
        <v>224</v>
      </c>
      <c r="I956" s="49" t="s">
        <v>66</v>
      </c>
      <c r="J956" s="47" t="str">
        <f t="shared" si="38"/>
        <v>Não</v>
      </c>
      <c r="K956" s="97">
        <v>45117.0</v>
      </c>
      <c r="L956" s="55">
        <v>45504.0</v>
      </c>
      <c r="M956" s="62" t="s">
        <v>557</v>
      </c>
      <c r="N956" s="98">
        <v>0.007</v>
      </c>
      <c r="O956" s="47" t="s">
        <v>66</v>
      </c>
      <c r="P956" s="99">
        <v>0.0</v>
      </c>
      <c r="Q956" s="58"/>
      <c r="R956" s="58" t="s">
        <v>610</v>
      </c>
      <c r="S956" s="62" t="s">
        <v>194</v>
      </c>
      <c r="T956" s="32" t="s">
        <v>8895</v>
      </c>
      <c r="U956" s="33" t="s">
        <v>268</v>
      </c>
      <c r="V956" s="33"/>
      <c r="W956" s="33" t="s">
        <v>268</v>
      </c>
      <c r="X956" s="23" t="s">
        <v>397</v>
      </c>
      <c r="Y956" s="49" t="str">
        <f t="shared" si="22"/>
        <v>Encerrado</v>
      </c>
      <c r="Z956" s="62"/>
      <c r="AA956" s="62"/>
      <c r="AB956" s="64" t="s">
        <v>244</v>
      </c>
      <c r="AC956" s="79"/>
      <c r="AD956" s="54">
        <v>45117.0</v>
      </c>
      <c r="AE956" s="77">
        <v>4.9075100006768E13</v>
      </c>
      <c r="AF956" s="79"/>
      <c r="AG956" s="79"/>
      <c r="AH956" s="79"/>
      <c r="AI956" s="79"/>
      <c r="AJ956" s="79"/>
      <c r="AK956" s="79"/>
      <c r="AL956" s="79"/>
      <c r="AM956" s="79"/>
      <c r="AN956" s="65">
        <v>0.0</v>
      </c>
      <c r="AO956" s="65">
        <v>1504511.49</v>
      </c>
      <c r="AP956" s="65">
        <v>1521108.44</v>
      </c>
      <c r="AQ956" s="65">
        <v>1534401.71</v>
      </c>
      <c r="AR956" s="65">
        <v>1549643.83</v>
      </c>
      <c r="AS956" s="65">
        <v>1562135.99</v>
      </c>
      <c r="AT956" s="65">
        <v>1575438.26</v>
      </c>
      <c r="AU956" s="65">
        <v>1624131.61</v>
      </c>
      <c r="AV956" s="65">
        <v>1636332.85</v>
      </c>
      <c r="AW956" s="65">
        <v>1650026.08</v>
      </c>
      <c r="AX956" s="65">
        <v>1663929.51</v>
      </c>
      <c r="AY956" s="65">
        <v>1676632.0</v>
      </c>
      <c r="AZ956" s="65">
        <v>1689203.0</v>
      </c>
      <c r="BA956" s="65">
        <v>1703125.0</v>
      </c>
      <c r="BB956" s="65">
        <v>0.0</v>
      </c>
      <c r="BC956" s="65">
        <v>0.0</v>
      </c>
      <c r="BD956" s="65">
        <v>0.0</v>
      </c>
      <c r="BE956" s="65">
        <v>0.0</v>
      </c>
      <c r="BF956" s="65">
        <v>0.0</v>
      </c>
      <c r="BG956" s="65">
        <v>0.0</v>
      </c>
      <c r="BH956" s="65">
        <v>0.0</v>
      </c>
      <c r="BI956" s="65">
        <v>0.0</v>
      </c>
      <c r="BJ956" s="65">
        <v>0.0</v>
      </c>
      <c r="BK956" s="65">
        <v>0.0</v>
      </c>
      <c r="BL956" s="65">
        <v>0.0</v>
      </c>
      <c r="BM956" s="65">
        <v>0.0</v>
      </c>
      <c r="BN956" s="65">
        <v>0.0</v>
      </c>
      <c r="BO956" s="65">
        <v>0.0</v>
      </c>
      <c r="BP956" s="65">
        <v>0.0</v>
      </c>
      <c r="BQ956" s="65">
        <v>0.0</v>
      </c>
      <c r="BR956" s="65">
        <v>0.0</v>
      </c>
      <c r="BS956" s="65">
        <v>0.0</v>
      </c>
      <c r="BT956" s="88">
        <v>0.0</v>
      </c>
      <c r="BU956" s="65">
        <v>0.0</v>
      </c>
      <c r="BV956" s="65">
        <v>0.0</v>
      </c>
      <c r="BW956" s="90">
        <v>0.0</v>
      </c>
      <c r="BX956" s="90">
        <v>0.0</v>
      </c>
      <c r="BY956" s="90" t="str">
        <f t="array" ref="BY956">XLOOKUP(C956,'PL TOTAL D0'!$A$3:$A$1991,'PL TOTAL D0'!$C$3:$C$1991,"")</f>
        <v/>
      </c>
    </row>
    <row r="957" ht="15.75" customHeight="1">
      <c r="A957" s="50" t="s">
        <v>24</v>
      </c>
      <c r="B957" s="43" t="s">
        <v>8896</v>
      </c>
      <c r="C957" s="94" t="s">
        <v>8897</v>
      </c>
      <c r="D957" s="30" t="s">
        <v>120</v>
      </c>
      <c r="E957" s="22" t="s">
        <v>54</v>
      </c>
      <c r="F957" s="30" t="s">
        <v>348</v>
      </c>
      <c r="G957" s="47" t="str">
        <f t="shared" si="37"/>
        <v>David</v>
      </c>
      <c r="H957" s="49" t="s">
        <v>224</v>
      </c>
      <c r="I957" s="49" t="s">
        <v>66</v>
      </c>
      <c r="J957" s="47" t="str">
        <f t="shared" si="38"/>
        <v>Não</v>
      </c>
      <c r="K957" s="54">
        <v>45782.0</v>
      </c>
      <c r="L957" s="55">
        <v>45901.0</v>
      </c>
      <c r="M957" s="32" t="s">
        <v>61</v>
      </c>
      <c r="N957" s="56">
        <v>0.012</v>
      </c>
      <c r="O957" s="23" t="s">
        <v>66</v>
      </c>
      <c r="P957" s="57">
        <v>0.0</v>
      </c>
      <c r="Q957" s="58"/>
      <c r="R957" s="58"/>
      <c r="S957" s="32" t="s">
        <v>194</v>
      </c>
      <c r="T957" s="32" t="s">
        <v>8898</v>
      </c>
      <c r="U957" s="33" t="s">
        <v>268</v>
      </c>
      <c r="V957" s="33"/>
      <c r="W957" s="33" t="s">
        <v>268</v>
      </c>
      <c r="X957" s="23" t="s">
        <v>54</v>
      </c>
      <c r="Y957" s="49" t="str">
        <f t="shared" si="22"/>
        <v>Encerrado</v>
      </c>
      <c r="Z957" s="62"/>
      <c r="AA957" s="32" t="s">
        <v>107</v>
      </c>
      <c r="AB957" s="64"/>
      <c r="AC957" s="79"/>
      <c r="AD957" s="54">
        <v>45790.0</v>
      </c>
      <c r="AE957" s="77">
        <v>4.9075100018766E13</v>
      </c>
      <c r="AF957" s="79"/>
      <c r="AG957" s="79"/>
      <c r="AH957" s="79"/>
      <c r="AI957" s="79"/>
      <c r="AJ957" s="79"/>
      <c r="AK957" s="79"/>
      <c r="AL957" s="79"/>
      <c r="AM957" s="79"/>
      <c r="AN957" s="65"/>
      <c r="AO957" s="65"/>
      <c r="AP957" s="65"/>
      <c r="AQ957" s="65"/>
      <c r="AR957" s="65"/>
      <c r="AS957" s="65"/>
      <c r="AT957" s="65"/>
      <c r="AU957" s="65"/>
      <c r="AV957" s="65"/>
      <c r="AW957" s="65"/>
      <c r="AX957" s="65"/>
      <c r="AY957" s="65"/>
      <c r="AZ957" s="65"/>
      <c r="BA957" s="65"/>
      <c r="BB957" s="65"/>
      <c r="BC957" s="65"/>
      <c r="BD957" s="65"/>
      <c r="BE957" s="65"/>
      <c r="BF957" s="65"/>
      <c r="BG957" s="65"/>
      <c r="BH957" s="65"/>
      <c r="BI957" s="65"/>
      <c r="BJ957" s="65"/>
      <c r="BK957" s="65">
        <v>503.03</v>
      </c>
      <c r="BL957" s="65">
        <v>1012.57</v>
      </c>
      <c r="BM957" s="65">
        <v>0.0</v>
      </c>
      <c r="BN957" s="65">
        <v>0.0</v>
      </c>
      <c r="BO957" s="65">
        <v>0.0</v>
      </c>
      <c r="BP957" s="65">
        <v>0.0</v>
      </c>
      <c r="BQ957" s="65">
        <v>0.0</v>
      </c>
      <c r="BR957" s="65">
        <v>0.0</v>
      </c>
      <c r="BS957" s="65">
        <v>0.0</v>
      </c>
      <c r="BT957" s="88">
        <v>0.0</v>
      </c>
      <c r="BU957" s="65">
        <v>0.0</v>
      </c>
      <c r="BV957" s="65">
        <v>0.0</v>
      </c>
      <c r="BW957" s="90">
        <v>0.0</v>
      </c>
      <c r="BX957" s="90">
        <v>0.0</v>
      </c>
      <c r="BY957" s="90" t="str">
        <f t="array" ref="BY957">XLOOKUP(C957,'PL TOTAL D0'!$A$3:$A$1991,'PL TOTAL D0'!$C$3:$C$1991,"")</f>
        <v/>
      </c>
    </row>
    <row r="958" ht="15.75" customHeight="1">
      <c r="A958" s="50" t="s">
        <v>24</v>
      </c>
      <c r="B958" s="43" t="s">
        <v>8899</v>
      </c>
      <c r="C958" s="53" t="s">
        <v>3557</v>
      </c>
      <c r="D958" s="30" t="s">
        <v>53</v>
      </c>
      <c r="E958" s="22" t="s">
        <v>54</v>
      </c>
      <c r="F958" s="30" t="s">
        <v>55</v>
      </c>
      <c r="G958" s="47" t="str">
        <f t="shared" si="37"/>
        <v>David</v>
      </c>
      <c r="H958" s="49" t="s">
        <v>183</v>
      </c>
      <c r="I958" s="49" t="s">
        <v>66</v>
      </c>
      <c r="J958" s="47" t="str">
        <f t="shared" si="38"/>
        <v>Sim</v>
      </c>
      <c r="K958" s="54">
        <v>46223.0</v>
      </c>
      <c r="L958" s="55"/>
      <c r="M958" s="32" t="s">
        <v>61</v>
      </c>
      <c r="N958" s="56">
        <v>0.012</v>
      </c>
      <c r="O958" s="23" t="s">
        <v>66</v>
      </c>
      <c r="P958" s="57">
        <v>0.0</v>
      </c>
      <c r="Q958" s="58" t="s">
        <v>8900</v>
      </c>
      <c r="R958" s="58"/>
      <c r="S958" s="32" t="s">
        <v>194</v>
      </c>
      <c r="T958" s="32" t="s">
        <v>8901</v>
      </c>
      <c r="U958" s="33" t="s">
        <v>8902</v>
      </c>
      <c r="V958" s="33" t="s">
        <v>8903</v>
      </c>
      <c r="W958" s="34">
        <v>22299.0</v>
      </c>
      <c r="X958" s="23" t="s">
        <v>77</v>
      </c>
      <c r="Y958" s="49" t="str">
        <f t="shared" si="22"/>
        <v>Ativo</v>
      </c>
      <c r="Z958" s="62"/>
      <c r="AA958" s="32" t="s">
        <v>107</v>
      </c>
      <c r="AB958" s="64"/>
      <c r="AC958" s="79"/>
      <c r="AD958" s="54"/>
      <c r="AE958" s="77"/>
      <c r="AF958" s="79"/>
      <c r="AG958" s="79"/>
      <c r="AH958" s="79"/>
      <c r="AI958" s="79"/>
      <c r="AJ958" s="79"/>
      <c r="AK958" s="79"/>
      <c r="AL958" s="79"/>
      <c r="AM958" s="79"/>
      <c r="AN958" s="65"/>
      <c r="AO958" s="65"/>
      <c r="AP958" s="65"/>
      <c r="AQ958" s="65"/>
      <c r="AR958" s="65"/>
      <c r="AS958" s="65"/>
      <c r="AT958" s="65"/>
      <c r="AU958" s="65"/>
      <c r="AV958" s="65"/>
      <c r="AW958" s="65"/>
      <c r="AX958" s="65"/>
      <c r="AY958" s="65"/>
      <c r="AZ958" s="65"/>
      <c r="BA958" s="65"/>
      <c r="BB958" s="65"/>
      <c r="BC958" s="65"/>
      <c r="BD958" s="65"/>
      <c r="BE958" s="65"/>
      <c r="BF958" s="65"/>
      <c r="BG958" s="65"/>
      <c r="BH958" s="65"/>
      <c r="BI958" s="65"/>
      <c r="BJ958" s="65"/>
      <c r="BK958" s="65"/>
      <c r="BL958" s="65"/>
      <c r="BM958" s="65"/>
      <c r="BN958" s="65"/>
      <c r="BO958" s="65"/>
      <c r="BP958" s="65"/>
      <c r="BQ958" s="65"/>
      <c r="BR958" s="65"/>
      <c r="BS958" s="65"/>
      <c r="BT958" s="88"/>
      <c r="BU958" s="65"/>
      <c r="BV958" s="65"/>
      <c r="BW958" s="90"/>
      <c r="BX958" s="90"/>
      <c r="BY958" s="90"/>
    </row>
    <row r="959" ht="15.75" customHeight="1">
      <c r="A959" s="50" t="s">
        <v>24</v>
      </c>
      <c r="B959" s="191" t="s">
        <v>6764</v>
      </c>
      <c r="C959" s="94" t="s">
        <v>3130</v>
      </c>
      <c r="D959" s="30" t="s">
        <v>89</v>
      </c>
      <c r="E959" s="95" t="s">
        <v>91</v>
      </c>
      <c r="F959" s="81" t="s">
        <v>193</v>
      </c>
      <c r="G959" s="47" t="str">
        <f t="shared" si="37"/>
        <v>David</v>
      </c>
      <c r="H959" s="49" t="s">
        <v>183</v>
      </c>
      <c r="I959" s="49" t="s">
        <v>66</v>
      </c>
      <c r="J959" s="47" t="str">
        <f t="shared" si="38"/>
        <v>Não</v>
      </c>
      <c r="K959" s="97">
        <v>45226.0</v>
      </c>
      <c r="L959" s="62"/>
      <c r="M959" s="62" t="s">
        <v>61</v>
      </c>
      <c r="N959" s="98">
        <v>0.012</v>
      </c>
      <c r="O959" s="47" t="s">
        <v>66</v>
      </c>
      <c r="P959" s="99">
        <v>0.0</v>
      </c>
      <c r="Q959" s="58"/>
      <c r="R959" s="58" t="s">
        <v>8904</v>
      </c>
      <c r="S959" s="62" t="s">
        <v>234</v>
      </c>
      <c r="T959" s="32" t="s">
        <v>6765</v>
      </c>
      <c r="U959" s="33">
        <v>5.543996721666E12</v>
      </c>
      <c r="V959" s="33" t="s">
        <v>7266</v>
      </c>
      <c r="W959" s="34">
        <v>40660.0</v>
      </c>
      <c r="X959" s="23" t="s">
        <v>221</v>
      </c>
      <c r="Y959" s="49" t="str">
        <f t="shared" si="22"/>
        <v>Ativo</v>
      </c>
      <c r="Z959" s="62"/>
      <c r="AA959" s="62"/>
      <c r="AB959" s="64" t="s">
        <v>269</v>
      </c>
      <c r="AC959" s="79"/>
      <c r="AD959" s="54">
        <v>45226.0</v>
      </c>
      <c r="AE959" s="77">
        <v>4.9075100012725E13</v>
      </c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65">
        <v>0.0</v>
      </c>
      <c r="AS959" s="65">
        <v>0.0</v>
      </c>
      <c r="AT959" s="65">
        <v>218731.4</v>
      </c>
      <c r="AU959" s="65">
        <v>219765.25</v>
      </c>
      <c r="AV959" s="65">
        <v>250522.33</v>
      </c>
      <c r="AW959" s="65">
        <v>252690.67</v>
      </c>
      <c r="AX959" s="65">
        <v>254558.91</v>
      </c>
      <c r="AY959" s="65">
        <v>255256.6</v>
      </c>
      <c r="AZ959" s="65">
        <v>236586.0</v>
      </c>
      <c r="BA959" s="65">
        <v>258790.9</v>
      </c>
      <c r="BB959" s="65">
        <v>158321.78</v>
      </c>
      <c r="BC959" s="65">
        <v>158753.38</v>
      </c>
      <c r="BD959" s="65">
        <v>160267.0</v>
      </c>
      <c r="BE959" s="65">
        <v>161448.31</v>
      </c>
      <c r="BF959" s="65">
        <v>161533.33</v>
      </c>
      <c r="BG959" s="65">
        <v>203416.89</v>
      </c>
      <c r="BH959" s="65">
        <v>205144.61</v>
      </c>
      <c r="BI959" s="65">
        <v>207281.67</v>
      </c>
      <c r="BJ959" s="65">
        <v>208940.56</v>
      </c>
      <c r="BK959" s="65">
        <v>211234.94</v>
      </c>
      <c r="BL959" s="65">
        <v>213100.06</v>
      </c>
      <c r="BM959" s="65">
        <v>215492.55</v>
      </c>
      <c r="BN959" s="65">
        <v>217644.6</v>
      </c>
      <c r="BO959" s="65">
        <v>219702.79</v>
      </c>
      <c r="BP959" s="65">
        <v>222199.3</v>
      </c>
      <c r="BQ959" s="65">
        <v>224148.4</v>
      </c>
      <c r="BR959" s="65">
        <v>226246.0</v>
      </c>
      <c r="BS959" s="65">
        <v>228564.63</v>
      </c>
      <c r="BT959" s="88">
        <v>230131.7</v>
      </c>
      <c r="BU959" s="65">
        <v>201187.5</v>
      </c>
      <c r="BV959" s="65">
        <v>203471.1</v>
      </c>
      <c r="BW959" s="90">
        <v>205748.9</v>
      </c>
      <c r="BX959" s="90">
        <v>207628.01</v>
      </c>
      <c r="BY959" s="90">
        <f t="array" ref="BY959">XLOOKUP(C959,'PL TOTAL D0'!$A$3:$A$1991,'PL TOTAL D0'!$C$3:$C$1991,"")</f>
        <v>210012.02</v>
      </c>
    </row>
    <row r="960" ht="15.75" customHeight="1">
      <c r="A960" s="50" t="s">
        <v>24</v>
      </c>
      <c r="B960" s="322" t="s">
        <v>8905</v>
      </c>
      <c r="C960" s="94" t="s">
        <v>3169</v>
      </c>
      <c r="D960" s="30" t="s">
        <v>89</v>
      </c>
      <c r="E960" s="22" t="s">
        <v>91</v>
      </c>
      <c r="F960" s="30" t="s">
        <v>521</v>
      </c>
      <c r="G960" s="47" t="str">
        <f t="shared" si="37"/>
        <v>David</v>
      </c>
      <c r="H960" s="49" t="s">
        <v>183</v>
      </c>
      <c r="I960" s="49" t="s">
        <v>66</v>
      </c>
      <c r="J960" s="47" t="str">
        <f t="shared" si="38"/>
        <v>Não</v>
      </c>
      <c r="K960" s="54">
        <v>45603.0</v>
      </c>
      <c r="L960" s="62"/>
      <c r="M960" s="32" t="s">
        <v>61</v>
      </c>
      <c r="N960" s="56">
        <v>0.012</v>
      </c>
      <c r="O960" s="23" t="s">
        <v>66</v>
      </c>
      <c r="P960" s="57">
        <v>0.0</v>
      </c>
      <c r="Q960" s="58"/>
      <c r="R960" s="58" t="s">
        <v>8906</v>
      </c>
      <c r="S960" s="32" t="s">
        <v>194</v>
      </c>
      <c r="T960" s="32" t="s">
        <v>8907</v>
      </c>
      <c r="U960" s="33">
        <v>5.543999475076E12</v>
      </c>
      <c r="V960" s="33" t="s">
        <v>8908</v>
      </c>
      <c r="W960" s="34">
        <v>20922.0</v>
      </c>
      <c r="X960" s="23" t="s">
        <v>221</v>
      </c>
      <c r="Y960" s="49" t="str">
        <f t="shared" si="22"/>
        <v>Ativo</v>
      </c>
      <c r="Z960" s="62"/>
      <c r="AA960" s="32" t="s">
        <v>107</v>
      </c>
      <c r="AB960" s="64"/>
      <c r="AC960" s="79"/>
      <c r="AD960" s="54">
        <v>45609.0</v>
      </c>
      <c r="AE960" s="77">
        <v>4.9075100016216E13</v>
      </c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65"/>
      <c r="AS960" s="65"/>
      <c r="AT960" s="65"/>
      <c r="AU960" s="65"/>
      <c r="AV960" s="65"/>
      <c r="AW960" s="65"/>
      <c r="AX960" s="65"/>
      <c r="AY960" s="65"/>
      <c r="AZ960" s="65"/>
      <c r="BA960" s="65"/>
      <c r="BB960" s="65"/>
      <c r="BC960" s="65"/>
      <c r="BD960" s="65"/>
      <c r="BE960" s="65">
        <v>300762.0</v>
      </c>
      <c r="BF960" s="65">
        <v>303436.82</v>
      </c>
      <c r="BG960" s="65">
        <v>306529.58</v>
      </c>
      <c r="BH960" s="65">
        <v>309105.34</v>
      </c>
      <c r="BI960" s="65">
        <v>312780.74</v>
      </c>
      <c r="BJ960" s="65">
        <v>315793.68</v>
      </c>
      <c r="BK960" s="65">
        <v>318786.98</v>
      </c>
      <c r="BL960" s="65">
        <v>321472.01</v>
      </c>
      <c r="BM960" s="65">
        <v>324750.6</v>
      </c>
      <c r="BN960" s="65">
        <v>196191.3</v>
      </c>
      <c r="BO960" s="65">
        <v>197602.78</v>
      </c>
      <c r="BP960" s="65">
        <v>199997.6</v>
      </c>
      <c r="BQ960" s="65">
        <v>199161.1</v>
      </c>
      <c r="BR960" s="65">
        <v>200246.5</v>
      </c>
      <c r="BS960" s="65">
        <v>159789.47</v>
      </c>
      <c r="BT960" s="88">
        <v>198922.6</v>
      </c>
      <c r="BU960" s="65">
        <v>198414.4</v>
      </c>
      <c r="BV960" s="65">
        <v>195695.9</v>
      </c>
      <c r="BW960" s="90">
        <v>197838.5</v>
      </c>
      <c r="BX960" s="90">
        <v>199685.68</v>
      </c>
      <c r="BY960" s="90">
        <f t="array" ref="BY960">XLOOKUP(C960,'PL TOTAL D0'!$A$3:$A$1991,'PL TOTAL D0'!$C$3:$C$1991,"")</f>
        <v>188366.87</v>
      </c>
    </row>
    <row r="961" ht="15.75" customHeight="1">
      <c r="A961" s="50" t="s">
        <v>24</v>
      </c>
      <c r="B961" s="50" t="s">
        <v>6767</v>
      </c>
      <c r="C961" s="94" t="s">
        <v>2763</v>
      </c>
      <c r="D961" s="81" t="s">
        <v>120</v>
      </c>
      <c r="E961" s="95" t="s">
        <v>54</v>
      </c>
      <c r="F961" s="81" t="s">
        <v>125</v>
      </c>
      <c r="G961" s="47" t="str">
        <f t="shared" si="37"/>
        <v>Gabriel</v>
      </c>
      <c r="H961" s="74" t="s">
        <v>183</v>
      </c>
      <c r="I961" s="74" t="s">
        <v>66</v>
      </c>
      <c r="J961" s="47" t="str">
        <f t="shared" si="38"/>
        <v>Sim</v>
      </c>
      <c r="K961" s="97">
        <v>44973.0</v>
      </c>
      <c r="L961" s="62"/>
      <c r="M961" s="62" t="s">
        <v>34</v>
      </c>
      <c r="N961" s="98">
        <v>0.012</v>
      </c>
      <c r="O961" s="47" t="s">
        <v>66</v>
      </c>
      <c r="P961" s="99">
        <v>0.0</v>
      </c>
      <c r="Q961" s="58" t="s">
        <v>8909</v>
      </c>
      <c r="R961" s="635"/>
      <c r="S961" s="62" t="s">
        <v>194</v>
      </c>
      <c r="T961" s="32" t="s">
        <v>6766</v>
      </c>
      <c r="U961" s="33">
        <v>6.2996891417E10</v>
      </c>
      <c r="V961" s="33" t="s">
        <v>8910</v>
      </c>
      <c r="W961" s="34">
        <v>14554.0</v>
      </c>
      <c r="X961" s="23" t="s">
        <v>54</v>
      </c>
      <c r="Y961" s="49" t="str">
        <f t="shared" si="22"/>
        <v>Ativo</v>
      </c>
      <c r="Z961" s="62"/>
      <c r="AA961" s="62"/>
      <c r="AB961" s="64" t="s">
        <v>244</v>
      </c>
      <c r="AC961" s="79"/>
      <c r="AD961" s="54">
        <v>44973.0</v>
      </c>
      <c r="AE961" s="77">
        <v>4.9075100006253E13</v>
      </c>
      <c r="AF961" s="79"/>
      <c r="AG961" s="79"/>
      <c r="AH961" s="79"/>
      <c r="AI961" s="65">
        <v>253551.03</v>
      </c>
      <c r="AJ961" s="65">
        <v>302011.97</v>
      </c>
      <c r="AK961" s="65">
        <v>305056.61</v>
      </c>
      <c r="AL961" s="65">
        <v>307539.42</v>
      </c>
      <c r="AM961" s="65">
        <v>310265.38</v>
      </c>
      <c r="AN961" s="65">
        <v>311135.49</v>
      </c>
      <c r="AO961" s="65">
        <v>313732.45</v>
      </c>
      <c r="AP961" s="65">
        <v>316128.0</v>
      </c>
      <c r="AQ961" s="65">
        <v>317485.3</v>
      </c>
      <c r="AR961" s="65">
        <v>318618.01</v>
      </c>
      <c r="AS961" s="65">
        <v>320679.52</v>
      </c>
      <c r="AT961" s="65">
        <v>323091.99</v>
      </c>
      <c r="AU961" s="65">
        <v>424507.21</v>
      </c>
      <c r="AV961" s="65">
        <v>427282.64</v>
      </c>
      <c r="AW961" s="65">
        <v>430912.15</v>
      </c>
      <c r="AX961" s="65">
        <v>434152.22</v>
      </c>
      <c r="AY961" s="65">
        <v>436724.0</v>
      </c>
      <c r="AZ961" s="65">
        <v>440013.5</v>
      </c>
      <c r="BA961" s="65">
        <v>448539.1</v>
      </c>
      <c r="BB961" s="65">
        <v>451953.35</v>
      </c>
      <c r="BC961" s="65">
        <v>454846.19</v>
      </c>
      <c r="BD961" s="65">
        <v>458694.88</v>
      </c>
      <c r="BE961" s="65">
        <v>461976.98</v>
      </c>
      <c r="BF961" s="65">
        <v>465842.26</v>
      </c>
      <c r="BG961" s="65">
        <v>470370.31</v>
      </c>
      <c r="BH961" s="65">
        <v>473828.7</v>
      </c>
      <c r="BI961" s="65">
        <v>478367.48</v>
      </c>
      <c r="BJ961" s="65">
        <v>483552.27</v>
      </c>
      <c r="BK961" s="65">
        <v>488099.21</v>
      </c>
      <c r="BL961" s="65">
        <v>358330.29</v>
      </c>
      <c r="BM961" s="65">
        <v>432862.42</v>
      </c>
      <c r="BN961" s="65">
        <v>437440.6</v>
      </c>
      <c r="BO961" s="65">
        <v>441926.07</v>
      </c>
      <c r="BP961" s="65">
        <v>444411.4</v>
      </c>
      <c r="BQ961" s="65">
        <v>448339.9</v>
      </c>
      <c r="BR961" s="65">
        <v>439755.1</v>
      </c>
      <c r="BS961" s="65">
        <v>437838.26</v>
      </c>
      <c r="BT961" s="88">
        <v>441416.3</v>
      </c>
      <c r="BU961" s="65">
        <v>446461.0</v>
      </c>
      <c r="BV961" s="65">
        <v>441420.4</v>
      </c>
      <c r="BW961" s="90">
        <v>643874.5</v>
      </c>
      <c r="BX961" s="90">
        <v>801109.8</v>
      </c>
      <c r="BY961" s="90">
        <f t="array" ref="BY961">XLOOKUP(C961,'PL TOTAL D0'!$A$3:$A$1991,'PL TOTAL D0'!$C$3:$C$1991,"")</f>
        <v>809535.57</v>
      </c>
    </row>
    <row r="962" ht="15.75" customHeight="1">
      <c r="A962" s="43" t="s">
        <v>24</v>
      </c>
      <c r="B962" s="43" t="s">
        <v>8911</v>
      </c>
      <c r="C962" s="94" t="s">
        <v>2677</v>
      </c>
      <c r="D962" s="30" t="s">
        <v>142</v>
      </c>
      <c r="E962" s="22" t="s">
        <v>54</v>
      </c>
      <c r="F962" s="30" t="s">
        <v>158</v>
      </c>
      <c r="G962" s="47" t="str">
        <f t="shared" si="37"/>
        <v>Marcus</v>
      </c>
      <c r="H962" s="49" t="s">
        <v>183</v>
      </c>
      <c r="I962" s="49" t="s">
        <v>66</v>
      </c>
      <c r="J962" s="47" t="str">
        <f t="shared" si="38"/>
        <v>Sim</v>
      </c>
      <c r="K962" s="54">
        <v>45344.0</v>
      </c>
      <c r="L962" s="62"/>
      <c r="M962" s="32" t="s">
        <v>61</v>
      </c>
      <c r="N962" s="56">
        <v>0.012</v>
      </c>
      <c r="O962" s="23" t="s">
        <v>66</v>
      </c>
      <c r="P962" s="57">
        <v>0.0</v>
      </c>
      <c r="Q962" s="58" t="s">
        <v>8912</v>
      </c>
      <c r="R962" s="635"/>
      <c r="S962" s="32" t="s">
        <v>194</v>
      </c>
      <c r="T962" s="177" t="s">
        <v>8913</v>
      </c>
      <c r="U962" s="33">
        <v>5.562996146909E12</v>
      </c>
      <c r="V962" s="33" t="s">
        <v>8914</v>
      </c>
      <c r="W962" s="34">
        <v>22418.0</v>
      </c>
      <c r="X962" s="23" t="s">
        <v>54</v>
      </c>
      <c r="Y962" s="49" t="str">
        <f t="shared" si="22"/>
        <v>Ativo</v>
      </c>
      <c r="Z962" s="62"/>
      <c r="AA962" s="62"/>
      <c r="AB962" s="64" t="s">
        <v>269</v>
      </c>
      <c r="AC962" s="79"/>
      <c r="AD962" s="54">
        <v>45344.0</v>
      </c>
      <c r="AE962" s="77">
        <v>4.9075100013438E13</v>
      </c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  <c r="AS962" s="79"/>
      <c r="AT962" s="79"/>
      <c r="AU962" s="79"/>
      <c r="AV962" s="65">
        <v>1353336.36</v>
      </c>
      <c r="AW962" s="65">
        <v>1431243.69</v>
      </c>
      <c r="AX962" s="65">
        <v>1448256.37</v>
      </c>
      <c r="AY962" s="65">
        <v>1488093.0</v>
      </c>
      <c r="AZ962" s="65">
        <v>1489166.0</v>
      </c>
      <c r="BA962" s="65">
        <v>1499859.0</v>
      </c>
      <c r="BB962" s="65">
        <v>1557119.93</v>
      </c>
      <c r="BC962" s="65">
        <v>1610999.32</v>
      </c>
      <c r="BD962" s="65">
        <v>1620904.6</v>
      </c>
      <c r="BE962" s="65">
        <v>1615251.13</v>
      </c>
      <c r="BF962" s="65">
        <v>1590994.08</v>
      </c>
      <c r="BG962" s="65">
        <v>1603968.33</v>
      </c>
      <c r="BH962" s="65">
        <v>1610517.04</v>
      </c>
      <c r="BI962" s="65">
        <v>1616363.29</v>
      </c>
      <c r="BJ962" s="65">
        <v>1619689.19</v>
      </c>
      <c r="BK962" s="65">
        <v>1625219.14</v>
      </c>
      <c r="BL962" s="65">
        <v>1650819.56</v>
      </c>
      <c r="BM962" s="65">
        <v>1670728.9</v>
      </c>
      <c r="BN962" s="65">
        <v>1691404.0</v>
      </c>
      <c r="BO962" s="65">
        <v>1712650.35</v>
      </c>
      <c r="BP962" s="65">
        <v>1729841.0</v>
      </c>
      <c r="BQ962" s="65">
        <v>1737130.0</v>
      </c>
      <c r="BR962" s="65">
        <v>1748404.0</v>
      </c>
      <c r="BS962" s="65">
        <v>2625431.44</v>
      </c>
      <c r="BT962" s="88">
        <v>2627306.0</v>
      </c>
      <c r="BU962" s="65">
        <v>2634156.0</v>
      </c>
      <c r="BV962" s="65">
        <v>2679546.0</v>
      </c>
      <c r="BW962" s="90">
        <v>2699518.0</v>
      </c>
      <c r="BX962" s="90">
        <v>2717659.41</v>
      </c>
      <c r="BY962" s="90">
        <f t="array" ref="BY962">XLOOKUP(C962,'PL TOTAL D0'!$A$3:$A$1991,'PL TOTAL D0'!$C$3:$C$1991,"")</f>
        <v>1200603.49</v>
      </c>
    </row>
    <row r="963" ht="15.75" customHeight="1">
      <c r="A963" s="43" t="s">
        <v>24</v>
      </c>
      <c r="B963" s="43" t="s">
        <v>8915</v>
      </c>
      <c r="C963" s="94" t="s">
        <v>2968</v>
      </c>
      <c r="D963" s="30" t="s">
        <v>1358</v>
      </c>
      <c r="E963" s="22" t="s">
        <v>199</v>
      </c>
      <c r="F963" s="30" t="s">
        <v>8916</v>
      </c>
      <c r="G963" s="47" t="str">
        <f t="shared" si="37"/>
        <v>David</v>
      </c>
      <c r="H963" s="49" t="s">
        <v>183</v>
      </c>
      <c r="I963" s="49" t="s">
        <v>66</v>
      </c>
      <c r="J963" s="47" t="str">
        <f t="shared" si="38"/>
        <v>Não</v>
      </c>
      <c r="K963" s="54">
        <v>46063.0</v>
      </c>
      <c r="L963" s="62"/>
      <c r="M963" s="32" t="s">
        <v>61</v>
      </c>
      <c r="N963" s="56">
        <v>0.012</v>
      </c>
      <c r="O963" s="23" t="s">
        <v>66</v>
      </c>
      <c r="P963" s="57">
        <v>0.0</v>
      </c>
      <c r="Q963" s="58"/>
      <c r="R963" s="635"/>
      <c r="S963" s="32" t="s">
        <v>194</v>
      </c>
      <c r="T963" s="177" t="s">
        <v>8917</v>
      </c>
      <c r="U963" s="33" t="s">
        <v>8918</v>
      </c>
      <c r="V963" s="33" t="s">
        <v>8919</v>
      </c>
      <c r="W963" s="34" t="s">
        <v>8920</v>
      </c>
      <c r="X963" s="23" t="s">
        <v>199</v>
      </c>
      <c r="Y963" s="49" t="str">
        <f t="shared" si="22"/>
        <v>Ativo</v>
      </c>
      <c r="Z963" s="62"/>
      <c r="AA963" s="62" t="s">
        <v>47</v>
      </c>
      <c r="AB963" s="64"/>
      <c r="AC963" s="79"/>
      <c r="AD963" s="54">
        <v>46203.0</v>
      </c>
      <c r="AE963" s="77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  <c r="AS963" s="79"/>
      <c r="AT963" s="79"/>
      <c r="AU963" s="79"/>
      <c r="AV963" s="65"/>
      <c r="AW963" s="65"/>
      <c r="AX963" s="65"/>
      <c r="AY963" s="65"/>
      <c r="AZ963" s="65"/>
      <c r="BA963" s="65"/>
      <c r="BB963" s="65"/>
      <c r="BC963" s="65"/>
      <c r="BD963" s="65"/>
      <c r="BE963" s="65"/>
      <c r="BF963" s="65"/>
      <c r="BG963" s="65"/>
      <c r="BH963" s="65"/>
      <c r="BI963" s="65"/>
      <c r="BJ963" s="65"/>
      <c r="BK963" s="65"/>
      <c r="BL963" s="65"/>
      <c r="BM963" s="65"/>
      <c r="BN963" s="65"/>
      <c r="BO963" s="65"/>
      <c r="BP963" s="65"/>
      <c r="BQ963" s="65"/>
      <c r="BR963" s="65"/>
      <c r="BS963" s="65"/>
      <c r="BT963" s="88">
        <v>381127.3</v>
      </c>
      <c r="BU963" s="65">
        <v>385438.7</v>
      </c>
      <c r="BV963" s="65">
        <v>389587.3</v>
      </c>
      <c r="BW963" s="90">
        <v>393752.3</v>
      </c>
      <c r="BX963" s="90">
        <v>396709.24</v>
      </c>
      <c r="BY963" s="90">
        <f t="array" ref="BY963">XLOOKUP(C963,'PL TOTAL D0'!$A$3:$A$1991,'PL TOTAL D0'!$C$3:$C$1991,"")</f>
        <v>402439.47</v>
      </c>
    </row>
    <row r="964" ht="15.75" customHeight="1">
      <c r="A964" s="50" t="s">
        <v>24</v>
      </c>
      <c r="B964" s="566" t="s">
        <v>8921</v>
      </c>
      <c r="C964" s="94" t="s">
        <v>8922</v>
      </c>
      <c r="D964" s="30" t="s">
        <v>89</v>
      </c>
      <c r="E964" s="95" t="s">
        <v>91</v>
      </c>
      <c r="F964" s="81" t="s">
        <v>193</v>
      </c>
      <c r="G964" s="47" t="str">
        <f t="shared" si="37"/>
        <v>David</v>
      </c>
      <c r="H964" s="49" t="s">
        <v>183</v>
      </c>
      <c r="I964" s="49" t="s">
        <v>382</v>
      </c>
      <c r="J964" s="47" t="str">
        <f t="shared" si="38"/>
        <v>Não</v>
      </c>
      <c r="K964" s="97">
        <v>45217.0</v>
      </c>
      <c r="L964" s="62"/>
      <c r="M964" s="62" t="s">
        <v>209</v>
      </c>
      <c r="N964" s="98">
        <v>0.015</v>
      </c>
      <c r="O964" s="47" t="s">
        <v>35</v>
      </c>
      <c r="P964" s="99">
        <v>0.1</v>
      </c>
      <c r="Q964" s="58"/>
      <c r="R964" s="635"/>
      <c r="S964" s="62" t="s">
        <v>194</v>
      </c>
      <c r="T964" s="32" t="s">
        <v>8923</v>
      </c>
      <c r="U964" s="33">
        <v>5.543991024404E12</v>
      </c>
      <c r="V964" s="33" t="s">
        <v>8924</v>
      </c>
      <c r="W964" s="48">
        <v>31775.0</v>
      </c>
      <c r="X964" s="23" t="s">
        <v>221</v>
      </c>
      <c r="Y964" s="49" t="str">
        <f t="shared" si="22"/>
        <v>Ativo</v>
      </c>
      <c r="Z964" s="62"/>
      <c r="AA964" s="62"/>
      <c r="AB964" s="64" t="s">
        <v>269</v>
      </c>
      <c r="AC964" s="79"/>
      <c r="AD964" s="54">
        <v>45217.0</v>
      </c>
      <c r="AE964" s="77">
        <v>4.9075100012733E13</v>
      </c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65">
        <v>0.0</v>
      </c>
      <c r="AS964" s="65">
        <v>0.0</v>
      </c>
      <c r="AT964" s="65">
        <v>0.0</v>
      </c>
      <c r="AU964" s="65">
        <v>0.0</v>
      </c>
      <c r="AV964" s="65">
        <v>0.0</v>
      </c>
      <c r="AW964" s="65">
        <v>50269.97</v>
      </c>
      <c r="AX964" s="65">
        <v>50015.82</v>
      </c>
      <c r="AY964" s="65">
        <v>49967.44</v>
      </c>
      <c r="AZ964" s="65">
        <v>50246.4</v>
      </c>
      <c r="BA964" s="65">
        <v>50895.81</v>
      </c>
      <c r="BB964" s="65">
        <v>51384.35</v>
      </c>
      <c r="BC964" s="65">
        <v>51429.81</v>
      </c>
      <c r="BD964" s="65">
        <v>51267.25</v>
      </c>
      <c r="BE964" s="65">
        <v>51185.92</v>
      </c>
      <c r="BF964" s="65">
        <v>51210.22</v>
      </c>
      <c r="BG964" s="65">
        <v>51924.1</v>
      </c>
      <c r="BH964" s="65">
        <v>52379.8</v>
      </c>
      <c r="BI964" s="65">
        <v>52230.73</v>
      </c>
      <c r="BJ964" s="65">
        <v>52396.69</v>
      </c>
      <c r="BK964" s="65">
        <v>53525.02</v>
      </c>
      <c r="BL964" s="65">
        <v>54056.63</v>
      </c>
      <c r="BM964" s="65">
        <v>54483.57</v>
      </c>
      <c r="BN964" s="65">
        <v>55008.22</v>
      </c>
      <c r="BO964" s="65">
        <v>55474.48</v>
      </c>
      <c r="BP964" s="65">
        <v>56081.27</v>
      </c>
      <c r="BQ964" s="65">
        <v>57028.24</v>
      </c>
      <c r="BR964" s="65">
        <v>57709.03</v>
      </c>
      <c r="BS964" s="65">
        <v>58482.7</v>
      </c>
      <c r="BT964" s="88">
        <v>59184.4</v>
      </c>
      <c r="BU964" s="65">
        <v>60082.7</v>
      </c>
      <c r="BV964" s="65">
        <v>60297.35</v>
      </c>
      <c r="BW964" s="90">
        <v>59767.95</v>
      </c>
      <c r="BX964" s="90">
        <v>143.58</v>
      </c>
      <c r="BY964" s="90" t="str">
        <f t="array" ref="BY964">XLOOKUP(C964,'PL TOTAL D0'!$A$3:$A$1991,'PL TOTAL D0'!$C$3:$C$1991,"")</f>
        <v/>
      </c>
    </row>
    <row r="965" ht="15.75" customHeight="1">
      <c r="A965" s="50" t="s">
        <v>24</v>
      </c>
      <c r="B965" s="176" t="s">
        <v>8925</v>
      </c>
      <c r="C965" s="94" t="s">
        <v>2621</v>
      </c>
      <c r="D965" s="30" t="s">
        <v>89</v>
      </c>
      <c r="E965" s="95" t="s">
        <v>91</v>
      </c>
      <c r="F965" s="81" t="s">
        <v>521</v>
      </c>
      <c r="G965" s="47" t="str">
        <f t="shared" si="37"/>
        <v>Marcus</v>
      </c>
      <c r="H965" s="49" t="s">
        <v>183</v>
      </c>
      <c r="I965" s="49" t="s">
        <v>66</v>
      </c>
      <c r="J965" s="47" t="str">
        <f t="shared" si="38"/>
        <v>Não</v>
      </c>
      <c r="K965" s="97">
        <v>45155.0</v>
      </c>
      <c r="L965" s="62"/>
      <c r="M965" s="32" t="s">
        <v>1349</v>
      </c>
      <c r="N965" s="98">
        <v>0.012</v>
      </c>
      <c r="O965" s="47" t="s">
        <v>66</v>
      </c>
      <c r="P965" s="99">
        <v>0.0</v>
      </c>
      <c r="Q965" s="58"/>
      <c r="R965" s="195" t="s">
        <v>5534</v>
      </c>
      <c r="S965" s="62" t="s">
        <v>194</v>
      </c>
      <c r="T965" s="32" t="s">
        <v>8926</v>
      </c>
      <c r="U965" s="33">
        <v>5.543984034646E12</v>
      </c>
      <c r="V965" s="33" t="s">
        <v>8927</v>
      </c>
      <c r="W965" s="34">
        <v>27831.0</v>
      </c>
      <c r="X965" s="23" t="s">
        <v>221</v>
      </c>
      <c r="Y965" s="49" t="str">
        <f t="shared" si="22"/>
        <v>Ativo</v>
      </c>
      <c r="Z965" s="62"/>
      <c r="AA965" s="32" t="s">
        <v>47</v>
      </c>
      <c r="AB965" s="64" t="s">
        <v>269</v>
      </c>
      <c r="AC965" s="79"/>
      <c r="AD965" s="54">
        <v>45155.0</v>
      </c>
      <c r="AE965" s="77">
        <v>4.9075100008566E13</v>
      </c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65">
        <v>254727.21</v>
      </c>
      <c r="AQ965" s="65">
        <v>276438.52</v>
      </c>
      <c r="AR965" s="65">
        <v>331459.89</v>
      </c>
      <c r="AS965" s="65">
        <v>336584.66</v>
      </c>
      <c r="AT965" s="65">
        <v>341095.63</v>
      </c>
      <c r="AU965" s="65">
        <v>589795.71</v>
      </c>
      <c r="AV965" s="65">
        <v>634652.05</v>
      </c>
      <c r="AW965" s="65">
        <v>1042902.05</v>
      </c>
      <c r="AX965" s="65">
        <v>1040002.94</v>
      </c>
      <c r="AY965" s="65">
        <v>1043852.0</v>
      </c>
      <c r="AZ965" s="65">
        <v>1050678.0</v>
      </c>
      <c r="BA965" s="65">
        <v>1062019.0</v>
      </c>
      <c r="BB965" s="65">
        <v>1072411.73</v>
      </c>
      <c r="BC965" s="65">
        <v>1076620.77</v>
      </c>
      <c r="BD965" s="65">
        <v>1080058.32</v>
      </c>
      <c r="BE965" s="65">
        <v>1082264.16</v>
      </c>
      <c r="BF965" s="65">
        <v>1087284.61</v>
      </c>
      <c r="BG965" s="65">
        <v>1096719.0</v>
      </c>
      <c r="BH965" s="65">
        <v>1105003.54</v>
      </c>
      <c r="BI965" s="65">
        <v>1116140.8</v>
      </c>
      <c r="BJ965" s="65">
        <v>1121192.32</v>
      </c>
      <c r="BK965" s="65">
        <v>1132025.49</v>
      </c>
      <c r="BL965" s="65">
        <v>1142484.5</v>
      </c>
      <c r="BM965" s="65">
        <v>1154983.92</v>
      </c>
      <c r="BN965" s="65">
        <v>1517585.0</v>
      </c>
      <c r="BO965" s="65">
        <v>1532018.23</v>
      </c>
      <c r="BP965" s="65">
        <v>1548887.0</v>
      </c>
      <c r="BQ965" s="65">
        <v>1562242.0</v>
      </c>
      <c r="BR965" s="65">
        <v>1577285.0</v>
      </c>
      <c r="BS965" s="65">
        <v>1593807.67</v>
      </c>
      <c r="BT965" s="88">
        <v>1572798.0</v>
      </c>
      <c r="BU965" s="65">
        <v>1591005.0</v>
      </c>
      <c r="BV965" s="65">
        <v>1604178.0</v>
      </c>
      <c r="BW965" s="90">
        <v>1621927.0</v>
      </c>
      <c r="BX965" s="90">
        <v>1636995.59</v>
      </c>
      <c r="BY965" s="90">
        <f t="array" ref="BY965">XLOOKUP(C965,'PL TOTAL D0'!$A$3:$A$1991,'PL TOTAL D0'!$C$3:$C$1991,"")</f>
        <v>1656812.02</v>
      </c>
    </row>
    <row r="966" ht="15.75" customHeight="1">
      <c r="A966" s="50" t="s">
        <v>24</v>
      </c>
      <c r="B966" s="39" t="s">
        <v>8928</v>
      </c>
      <c r="C966" s="53" t="s">
        <v>2865</v>
      </c>
      <c r="D966" s="30" t="s">
        <v>89</v>
      </c>
      <c r="E966" s="22" t="s">
        <v>91</v>
      </c>
      <c r="F966" s="30" t="s">
        <v>521</v>
      </c>
      <c r="G966" s="47" t="str">
        <f t="shared" si="37"/>
        <v>David</v>
      </c>
      <c r="H966" s="49" t="s">
        <v>183</v>
      </c>
      <c r="I966" s="49" t="s">
        <v>66</v>
      </c>
      <c r="J966" s="47" t="str">
        <f t="shared" si="38"/>
        <v>Sim</v>
      </c>
      <c r="K966" s="54">
        <v>46146.0</v>
      </c>
      <c r="L966" s="62"/>
      <c r="M966" s="32" t="s">
        <v>61</v>
      </c>
      <c r="N966" s="56">
        <v>0.012</v>
      </c>
      <c r="O966" s="23" t="s">
        <v>66</v>
      </c>
      <c r="P966" s="57">
        <v>0.0</v>
      </c>
      <c r="Q966" s="58" t="s">
        <v>8929</v>
      </c>
      <c r="R966" s="195"/>
      <c r="S966" s="32" t="s">
        <v>234</v>
      </c>
      <c r="T966" s="32" t="s">
        <v>8930</v>
      </c>
      <c r="U966" s="33" t="s">
        <v>8931</v>
      </c>
      <c r="V966" s="33" t="s">
        <v>8927</v>
      </c>
      <c r="W966" s="34">
        <v>40987.0</v>
      </c>
      <c r="X966" s="23" t="s">
        <v>221</v>
      </c>
      <c r="Y966" s="49" t="str">
        <f t="shared" si="22"/>
        <v>Ativo</v>
      </c>
      <c r="Z966" s="62"/>
      <c r="AA966" s="32" t="s">
        <v>165</v>
      </c>
      <c r="AB966" s="64"/>
      <c r="AC966" s="79"/>
      <c r="AD966" s="54">
        <v>46203.0</v>
      </c>
      <c r="AE966" s="77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65"/>
      <c r="AQ966" s="65"/>
      <c r="AR966" s="65"/>
      <c r="AS966" s="65"/>
      <c r="AT966" s="65"/>
      <c r="AU966" s="65"/>
      <c r="AV966" s="65"/>
      <c r="AW966" s="65"/>
      <c r="AX966" s="65"/>
      <c r="AY966" s="65"/>
      <c r="AZ966" s="65"/>
      <c r="BA966" s="65"/>
      <c r="BB966" s="65"/>
      <c r="BC966" s="65"/>
      <c r="BD966" s="65"/>
      <c r="BE966" s="65"/>
      <c r="BF966" s="65"/>
      <c r="BG966" s="65"/>
      <c r="BH966" s="65"/>
      <c r="BI966" s="65"/>
      <c r="BJ966" s="65"/>
      <c r="BK966" s="65"/>
      <c r="BL966" s="65"/>
      <c r="BM966" s="65"/>
      <c r="BN966" s="65"/>
      <c r="BO966" s="65"/>
      <c r="BP966" s="65"/>
      <c r="BQ966" s="65"/>
      <c r="BR966" s="65"/>
      <c r="BS966" s="65"/>
      <c r="BT966" s="88"/>
      <c r="BU966" s="65"/>
      <c r="BV966" s="65">
        <v>0.0</v>
      </c>
      <c r="BW966" s="90">
        <v>252276.2</v>
      </c>
      <c r="BX966" s="90">
        <v>254971.44</v>
      </c>
      <c r="BY966" s="90">
        <f t="array" ref="BY966">XLOOKUP(C966,'PL TOTAL D0'!$A$3:$A$1991,'PL TOTAL D0'!$C$3:$C$1991,"")</f>
        <v>542989.63</v>
      </c>
    </row>
    <row r="967" ht="15.75" customHeight="1">
      <c r="A967" s="50" t="s">
        <v>24</v>
      </c>
      <c r="B967" s="39" t="s">
        <v>8932</v>
      </c>
      <c r="C967" s="94" t="s">
        <v>8933</v>
      </c>
      <c r="D967" s="30" t="s">
        <v>120</v>
      </c>
      <c r="E967" s="22" t="s">
        <v>199</v>
      </c>
      <c r="F967" s="30" t="s">
        <v>803</v>
      </c>
      <c r="G967" s="47" t="str">
        <f t="shared" si="37"/>
        <v>Marcus</v>
      </c>
      <c r="H967" s="49" t="s">
        <v>183</v>
      </c>
      <c r="I967" s="49" t="s">
        <v>66</v>
      </c>
      <c r="J967" s="47" t="str">
        <f t="shared" si="38"/>
        <v>Não</v>
      </c>
      <c r="K967" s="54">
        <v>45548.0</v>
      </c>
      <c r="L967" s="62"/>
      <c r="M967" s="32" t="s">
        <v>61</v>
      </c>
      <c r="N967" s="56">
        <v>0.012</v>
      </c>
      <c r="O967" s="23" t="s">
        <v>66</v>
      </c>
      <c r="P967" s="57">
        <v>0.0</v>
      </c>
      <c r="Q967" s="58"/>
      <c r="R967" s="190"/>
      <c r="S967" s="32" t="s">
        <v>194</v>
      </c>
      <c r="T967" s="32" t="s">
        <v>8934</v>
      </c>
      <c r="U967" s="33">
        <v>5.561998390302E12</v>
      </c>
      <c r="V967" s="33" t="s">
        <v>8935</v>
      </c>
      <c r="W967" s="34">
        <v>21578.0</v>
      </c>
      <c r="X967" s="23" t="s">
        <v>199</v>
      </c>
      <c r="Y967" s="49" t="str">
        <f t="shared" si="22"/>
        <v>Ativo</v>
      </c>
      <c r="Z967" s="62"/>
      <c r="AA967" s="32" t="s">
        <v>107</v>
      </c>
      <c r="AB967" s="64"/>
      <c r="AC967" s="79"/>
      <c r="AD967" s="54">
        <v>45548.0</v>
      </c>
      <c r="AE967" s="77">
        <v>4.9075100015724E13</v>
      </c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65"/>
      <c r="AQ967" s="65"/>
      <c r="AR967" s="65"/>
      <c r="AS967" s="65"/>
      <c r="AT967" s="65"/>
      <c r="AU967" s="65"/>
      <c r="AV967" s="65"/>
      <c r="AW967" s="65"/>
      <c r="AX967" s="65"/>
      <c r="AY967" s="65"/>
      <c r="AZ967" s="65"/>
      <c r="BA967" s="65"/>
      <c r="BB967" s="65"/>
      <c r="BC967" s="65">
        <v>380610.47</v>
      </c>
      <c r="BD967" s="65">
        <v>1018971.38</v>
      </c>
      <c r="BE967" s="65">
        <v>1026227.68</v>
      </c>
      <c r="BF967" s="65">
        <v>1034996.94</v>
      </c>
      <c r="BG967" s="65">
        <v>1045115.88</v>
      </c>
      <c r="BH967" s="65">
        <v>1053740.87</v>
      </c>
      <c r="BI967" s="65">
        <v>1064986.62</v>
      </c>
      <c r="BJ967" s="65">
        <v>1075572.38</v>
      </c>
      <c r="BK967" s="65">
        <v>1085817.81</v>
      </c>
      <c r="BL967" s="65">
        <v>1095504.67</v>
      </c>
      <c r="BM967" s="65">
        <v>1105782.96</v>
      </c>
      <c r="BN967" s="65">
        <v>1117809.0</v>
      </c>
      <c r="BO967" s="65">
        <v>1127198.29</v>
      </c>
      <c r="BP967" s="65">
        <v>1007860.0</v>
      </c>
      <c r="BQ967" s="65">
        <v>1018945.0</v>
      </c>
      <c r="BR967" s="65">
        <v>910930.9</v>
      </c>
      <c r="BS967" s="65">
        <v>920530.84</v>
      </c>
      <c r="BT967" s="88">
        <v>928023.3</v>
      </c>
      <c r="BU967" s="65">
        <v>936142.3</v>
      </c>
      <c r="BV967" s="65">
        <v>106136.2</v>
      </c>
      <c r="BW967" s="90">
        <v>15.92</v>
      </c>
      <c r="BX967" s="90">
        <v>15.92</v>
      </c>
      <c r="BY967" s="90" t="str">
        <f t="array" ref="BY967">XLOOKUP(C967,'PL TOTAL D0'!$A$3:$A$1991,'PL TOTAL D0'!$C$3:$C$1991,"")</f>
        <v/>
      </c>
    </row>
    <row r="968" ht="15.75" customHeight="1">
      <c r="A968" s="50" t="s">
        <v>24</v>
      </c>
      <c r="B968" s="39" t="s">
        <v>8936</v>
      </c>
      <c r="C968" s="94" t="s">
        <v>2739</v>
      </c>
      <c r="D968" s="30" t="s">
        <v>120</v>
      </c>
      <c r="E968" s="22" t="s">
        <v>199</v>
      </c>
      <c r="F968" s="30" t="s">
        <v>803</v>
      </c>
      <c r="G968" s="23" t="s">
        <v>3075</v>
      </c>
      <c r="H968" s="49" t="s">
        <v>183</v>
      </c>
      <c r="I968" s="49" t="s">
        <v>66</v>
      </c>
      <c r="J968" s="47" t="str">
        <f t="shared" si="38"/>
        <v>Sim</v>
      </c>
      <c r="K968" s="54">
        <v>46127.0</v>
      </c>
      <c r="L968" s="62"/>
      <c r="M968" s="32" t="s">
        <v>61</v>
      </c>
      <c r="N968" s="56">
        <v>0.012</v>
      </c>
      <c r="O968" s="23" t="s">
        <v>66</v>
      </c>
      <c r="P968" s="57">
        <v>0.0</v>
      </c>
      <c r="Q968" s="283" t="s">
        <v>8937</v>
      </c>
      <c r="R968" s="190"/>
      <c r="S968" s="32" t="s">
        <v>194</v>
      </c>
      <c r="T968" s="32" t="s">
        <v>8934</v>
      </c>
      <c r="U968" s="33">
        <v>5.561998390302E12</v>
      </c>
      <c r="V968" s="33" t="s">
        <v>8935</v>
      </c>
      <c r="W968" s="34">
        <v>21578.0</v>
      </c>
      <c r="X968" s="23" t="s">
        <v>199</v>
      </c>
      <c r="Y968" s="49" t="str">
        <f t="shared" si="22"/>
        <v>Ativo</v>
      </c>
      <c r="Z968" s="62"/>
      <c r="AA968" s="32" t="s">
        <v>107</v>
      </c>
      <c r="AB968" s="64"/>
      <c r="AC968" s="79"/>
      <c r="AD968" s="54">
        <v>46203.0</v>
      </c>
      <c r="AE968" s="77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65"/>
      <c r="AQ968" s="65"/>
      <c r="AR968" s="65"/>
      <c r="AS968" s="65"/>
      <c r="AT968" s="65"/>
      <c r="AU968" s="65"/>
      <c r="AV968" s="65"/>
      <c r="AW968" s="65"/>
      <c r="AX968" s="65"/>
      <c r="AY968" s="65"/>
      <c r="AZ968" s="65"/>
      <c r="BA968" s="65"/>
      <c r="BB968" s="65"/>
      <c r="BC968" s="65"/>
      <c r="BD968" s="65"/>
      <c r="BE968" s="65"/>
      <c r="BF968" s="65"/>
      <c r="BG968" s="65"/>
      <c r="BH968" s="65"/>
      <c r="BI968" s="65"/>
      <c r="BJ968" s="65"/>
      <c r="BK968" s="65"/>
      <c r="BL968" s="65"/>
      <c r="BM968" s="65"/>
      <c r="BN968" s="65"/>
      <c r="BO968" s="65"/>
      <c r="BP968" s="65"/>
      <c r="BQ968" s="65"/>
      <c r="BR968" s="65"/>
      <c r="BS968" s="65"/>
      <c r="BT968" s="88"/>
      <c r="BU968" s="65"/>
      <c r="BV968" s="65">
        <v>839393.6</v>
      </c>
      <c r="BW968" s="90">
        <v>955477.0</v>
      </c>
      <c r="BX968" s="90">
        <v>895156.56</v>
      </c>
      <c r="BY968" s="90">
        <f t="array" ref="BY968">XLOOKUP(C968,'PL TOTAL D0'!$A$3:$A$1991,'PL TOTAL D0'!$C$3:$C$1991,"")</f>
        <v>907601.49</v>
      </c>
    </row>
    <row r="969" ht="15.75" customHeight="1">
      <c r="A969" s="50" t="s">
        <v>24</v>
      </c>
      <c r="B969" s="50" t="s">
        <v>8938</v>
      </c>
      <c r="C969" s="94" t="s">
        <v>8939</v>
      </c>
      <c r="D969" s="81" t="s">
        <v>120</v>
      </c>
      <c r="E969" s="95" t="s">
        <v>54</v>
      </c>
      <c r="F969" s="81" t="s">
        <v>348</v>
      </c>
      <c r="G969" s="47" t="str">
        <f t="shared" ref="G969:G1004" si="39">IFS($BS$4:$BS$1280&lt;=250000,"David",$BS$4:$BS$1280&lt;=800000,"Gabriel", $BS$4:$BS$1280&gt;800000,"Marcus")</f>
        <v>David</v>
      </c>
      <c r="H969" s="49" t="s">
        <v>295</v>
      </c>
      <c r="I969" s="74" t="s">
        <v>382</v>
      </c>
      <c r="J969" s="47" t="str">
        <f t="shared" si="38"/>
        <v>Não</v>
      </c>
      <c r="K969" s="97">
        <v>45163.0</v>
      </c>
      <c r="L969" s="189"/>
      <c r="M969" s="62" t="s">
        <v>61</v>
      </c>
      <c r="N969" s="98">
        <v>0.01</v>
      </c>
      <c r="O969" s="47" t="s">
        <v>66</v>
      </c>
      <c r="P969" s="99">
        <v>0.0</v>
      </c>
      <c r="Q969" s="58"/>
      <c r="R969" s="635"/>
      <c r="S969" s="62" t="s">
        <v>234</v>
      </c>
      <c r="T969" s="32" t="s">
        <v>8940</v>
      </c>
      <c r="U969" s="33">
        <v>6.4999870605E10</v>
      </c>
      <c r="V969" s="33" t="s">
        <v>8941</v>
      </c>
      <c r="W969" s="48">
        <v>43454.0</v>
      </c>
      <c r="X969" s="23" t="s">
        <v>54</v>
      </c>
      <c r="Y969" s="49" t="str">
        <f t="shared" si="22"/>
        <v>Inativo</v>
      </c>
      <c r="Z969" s="62"/>
      <c r="AA969" s="62"/>
      <c r="AB969" s="64" t="s">
        <v>269</v>
      </c>
      <c r="AC969" s="79"/>
      <c r="AD969" s="54">
        <v>45163.0</v>
      </c>
      <c r="AE969" s="77">
        <v>4.9075100011869E13</v>
      </c>
      <c r="AF969" s="79"/>
      <c r="AG969" s="79"/>
      <c r="AH969" s="79"/>
      <c r="AI969" s="79"/>
      <c r="AJ969" s="79"/>
      <c r="AK969" s="65">
        <v>0.0</v>
      </c>
      <c r="AL969" s="65">
        <v>0.0</v>
      </c>
      <c r="AM969" s="65">
        <v>0.0</v>
      </c>
      <c r="AN969" s="65">
        <v>0.0</v>
      </c>
      <c r="AO969" s="65">
        <v>0.0</v>
      </c>
      <c r="AP969" s="65">
        <v>0.0</v>
      </c>
      <c r="AQ969" s="65">
        <v>0.0</v>
      </c>
      <c r="AR969" s="65">
        <v>0.0</v>
      </c>
      <c r="AS969" s="65">
        <v>0.0</v>
      </c>
      <c r="AT969" s="65">
        <v>0.0</v>
      </c>
      <c r="AU969" s="65">
        <v>0.0</v>
      </c>
      <c r="AV969" s="65">
        <v>0.0</v>
      </c>
      <c r="AW969" s="65">
        <v>0.0</v>
      </c>
      <c r="AX969" s="65">
        <v>0.0</v>
      </c>
      <c r="AY969" s="65">
        <v>0.0</v>
      </c>
      <c r="AZ969" s="65">
        <v>0.0</v>
      </c>
      <c r="BA969" s="65">
        <v>0.0</v>
      </c>
      <c r="BB969" s="65">
        <v>0.0</v>
      </c>
      <c r="BC969" s="65">
        <v>0.0</v>
      </c>
      <c r="BD969" s="65">
        <v>0.0</v>
      </c>
      <c r="BE969" s="65">
        <v>0.0</v>
      </c>
      <c r="BF969" s="65">
        <v>0.0</v>
      </c>
      <c r="BG969" s="65">
        <v>0.0</v>
      </c>
      <c r="BH969" s="65">
        <v>0.0</v>
      </c>
      <c r="BI969" s="65">
        <v>0.0</v>
      </c>
      <c r="BJ969" s="65">
        <v>0.0</v>
      </c>
      <c r="BK969" s="65">
        <v>0.0</v>
      </c>
      <c r="BL969" s="65">
        <v>0.0</v>
      </c>
      <c r="BM969" s="65">
        <v>0.0</v>
      </c>
      <c r="BN969" s="65">
        <v>0.0</v>
      </c>
      <c r="BO969" s="65">
        <v>0.0</v>
      </c>
      <c r="BP969" s="65">
        <v>0.0</v>
      </c>
      <c r="BQ969" s="65">
        <v>0.0</v>
      </c>
      <c r="BR969" s="65">
        <v>0.0</v>
      </c>
      <c r="BS969" s="65">
        <v>0.0</v>
      </c>
      <c r="BT969" s="88">
        <v>0.0</v>
      </c>
      <c r="BU969" s="65">
        <v>0.0</v>
      </c>
      <c r="BV969" s="65">
        <v>0.0</v>
      </c>
      <c r="BW969" s="90">
        <v>0.0</v>
      </c>
      <c r="BX969" s="90">
        <v>0.0</v>
      </c>
      <c r="BY969" s="90" t="str">
        <f t="array" ref="BY969">XLOOKUP(C969,'PL TOTAL D0'!$A$3:$A$1991,'PL TOTAL D0'!$C$3:$C$1991,"")</f>
        <v/>
      </c>
    </row>
    <row r="970" ht="15.75" customHeight="1">
      <c r="A970" s="50" t="s">
        <v>24</v>
      </c>
      <c r="B970" s="43" t="s">
        <v>8942</v>
      </c>
      <c r="C970" s="94" t="s">
        <v>8943</v>
      </c>
      <c r="D970" s="30" t="s">
        <v>7962</v>
      </c>
      <c r="E970" s="22" t="s">
        <v>475</v>
      </c>
      <c r="F970" s="30" t="s">
        <v>7963</v>
      </c>
      <c r="G970" s="47" t="str">
        <f t="shared" si="39"/>
        <v>David</v>
      </c>
      <c r="H970" s="49" t="s">
        <v>295</v>
      </c>
      <c r="I970" s="49" t="s">
        <v>66</v>
      </c>
      <c r="J970" s="47" t="str">
        <f t="shared" si="38"/>
        <v>Não</v>
      </c>
      <c r="K970" s="54">
        <v>45800.0</v>
      </c>
      <c r="L970" s="189"/>
      <c r="M970" s="32" t="s">
        <v>4551</v>
      </c>
      <c r="N970" s="56">
        <v>0.035</v>
      </c>
      <c r="O970" s="23" t="s">
        <v>66</v>
      </c>
      <c r="P970" s="57">
        <v>0.0</v>
      </c>
      <c r="Q970" s="58"/>
      <c r="R970" s="635"/>
      <c r="S970" s="32" t="s">
        <v>234</v>
      </c>
      <c r="T970" s="32" t="s">
        <v>8944</v>
      </c>
      <c r="U970" s="33" t="s">
        <v>268</v>
      </c>
      <c r="V970" s="33"/>
      <c r="W970" s="33" t="s">
        <v>268</v>
      </c>
      <c r="X970" s="23" t="s">
        <v>475</v>
      </c>
      <c r="Y970" s="49" t="str">
        <f t="shared" si="22"/>
        <v>Ativo</v>
      </c>
      <c r="Z970" s="62"/>
      <c r="AA970" s="32" t="s">
        <v>165</v>
      </c>
      <c r="AB970" s="64"/>
      <c r="AC970" s="79"/>
      <c r="AD970" s="54">
        <v>45800.0</v>
      </c>
      <c r="AE970" s="77">
        <v>4.9075100018741E13</v>
      </c>
      <c r="AF970" s="79"/>
      <c r="AG970" s="79"/>
      <c r="AH970" s="79"/>
      <c r="AI970" s="79"/>
      <c r="AJ970" s="79"/>
      <c r="AK970" s="65"/>
      <c r="AL970" s="65"/>
      <c r="AM970" s="65"/>
      <c r="AN970" s="65"/>
      <c r="AO970" s="65"/>
      <c r="AP970" s="65"/>
      <c r="AQ970" s="65"/>
      <c r="AR970" s="65"/>
      <c r="AS970" s="65"/>
      <c r="AT970" s="65"/>
      <c r="AU970" s="65"/>
      <c r="AV970" s="65"/>
      <c r="AW970" s="65"/>
      <c r="AX970" s="65"/>
      <c r="AY970" s="65"/>
      <c r="AZ970" s="65"/>
      <c r="BA970" s="65"/>
      <c r="BB970" s="65"/>
      <c r="BC970" s="65"/>
      <c r="BD970" s="65"/>
      <c r="BE970" s="65"/>
      <c r="BF970" s="65"/>
      <c r="BG970" s="65"/>
      <c r="BH970" s="65"/>
      <c r="BI970" s="65"/>
      <c r="BJ970" s="65"/>
      <c r="BK970" s="65">
        <v>19008.14</v>
      </c>
      <c r="BL970" s="65">
        <v>18361.05</v>
      </c>
      <c r="BM970" s="65">
        <v>0.0</v>
      </c>
      <c r="BN970" s="65">
        <v>0.0</v>
      </c>
      <c r="BO970" s="65">
        <v>0.0</v>
      </c>
      <c r="BP970" s="65">
        <v>0.0</v>
      </c>
      <c r="BQ970" s="65">
        <v>0.0</v>
      </c>
      <c r="BR970" s="65">
        <v>0.0</v>
      </c>
      <c r="BS970" s="65">
        <v>0.0</v>
      </c>
      <c r="BT970" s="88">
        <v>0.0</v>
      </c>
      <c r="BU970" s="65">
        <v>0.0</v>
      </c>
      <c r="BV970" s="65">
        <v>0.0</v>
      </c>
      <c r="BW970" s="90">
        <v>0.0</v>
      </c>
      <c r="BX970" s="90">
        <v>0.0</v>
      </c>
      <c r="BY970" s="90" t="str">
        <f t="array" ref="BY970">XLOOKUP(C970,'PL TOTAL D0'!$A$3:$A$1991,'PL TOTAL D0'!$C$3:$C$1991,"")</f>
        <v/>
      </c>
    </row>
    <row r="971" ht="15.75" customHeight="1">
      <c r="A971" s="50" t="s">
        <v>24</v>
      </c>
      <c r="B971" s="43" t="s">
        <v>8945</v>
      </c>
      <c r="C971" s="94" t="s">
        <v>2991</v>
      </c>
      <c r="D971" s="30" t="s">
        <v>142</v>
      </c>
      <c r="E971" s="95" t="s">
        <v>54</v>
      </c>
      <c r="F971" s="30" t="s">
        <v>158</v>
      </c>
      <c r="G971" s="47" t="str">
        <f t="shared" si="39"/>
        <v>Gabriel</v>
      </c>
      <c r="H971" s="49" t="s">
        <v>183</v>
      </c>
      <c r="I971" s="49" t="s">
        <v>66</v>
      </c>
      <c r="J971" s="47" t="str">
        <f t="shared" si="38"/>
        <v>Não</v>
      </c>
      <c r="K971" s="54">
        <v>45733.0</v>
      </c>
      <c r="L971" s="189"/>
      <c r="M971" s="32" t="s">
        <v>61</v>
      </c>
      <c r="N971" s="56">
        <v>0.012</v>
      </c>
      <c r="O971" s="23" t="s">
        <v>66</v>
      </c>
      <c r="P971" s="57">
        <v>0.0</v>
      </c>
      <c r="Q971" s="58"/>
      <c r="R971" s="635"/>
      <c r="S971" s="32" t="s">
        <v>194</v>
      </c>
      <c r="T971" s="177" t="s">
        <v>8946</v>
      </c>
      <c r="U971" s="33">
        <v>5.561981988844E12</v>
      </c>
      <c r="V971" s="33" t="s">
        <v>8947</v>
      </c>
      <c r="W971" s="34">
        <v>28913.0</v>
      </c>
      <c r="X971" s="23" t="s">
        <v>199</v>
      </c>
      <c r="Y971" s="49" t="str">
        <f t="shared" si="22"/>
        <v>Ativo</v>
      </c>
      <c r="Z971" s="62"/>
      <c r="AA971" s="32" t="s">
        <v>47</v>
      </c>
      <c r="AB971" s="64"/>
      <c r="AC971" s="79"/>
      <c r="AD971" s="54">
        <v>45733.0</v>
      </c>
      <c r="AE971" s="77">
        <v>4.9075100018375E13</v>
      </c>
      <c r="AF971" s="79"/>
      <c r="AG971" s="79"/>
      <c r="AH971" s="79"/>
      <c r="AI971" s="79"/>
      <c r="AJ971" s="79"/>
      <c r="AK971" s="65"/>
      <c r="AL971" s="65"/>
      <c r="AM971" s="65"/>
      <c r="AN971" s="65"/>
      <c r="AO971" s="65"/>
      <c r="AP971" s="65"/>
      <c r="AQ971" s="65"/>
      <c r="AR971" s="65"/>
      <c r="AS971" s="65"/>
      <c r="AT971" s="65"/>
      <c r="AU971" s="65"/>
      <c r="AV971" s="65"/>
      <c r="AW971" s="65"/>
      <c r="AX971" s="65"/>
      <c r="AY971" s="65"/>
      <c r="AZ971" s="65"/>
      <c r="BA971" s="65"/>
      <c r="BB971" s="65"/>
      <c r="BC971" s="65"/>
      <c r="BD971" s="65"/>
      <c r="BE971" s="65"/>
      <c r="BF971" s="65"/>
      <c r="BG971" s="65"/>
      <c r="BH971" s="65"/>
      <c r="BI971" s="65">
        <v>374190.8</v>
      </c>
      <c r="BJ971" s="65">
        <v>391185.88</v>
      </c>
      <c r="BK971" s="65">
        <v>395793.23</v>
      </c>
      <c r="BL971" s="65">
        <v>399996.76</v>
      </c>
      <c r="BM971" s="65">
        <v>373109.21</v>
      </c>
      <c r="BN971" s="65">
        <v>377160.9</v>
      </c>
      <c r="BO971" s="65">
        <v>380946.19</v>
      </c>
      <c r="BP971" s="65">
        <v>384845.7</v>
      </c>
      <c r="BQ971" s="65">
        <v>390493.9</v>
      </c>
      <c r="BR971" s="65">
        <v>394253.7</v>
      </c>
      <c r="BS971" s="65">
        <v>352231.66</v>
      </c>
      <c r="BT971" s="88">
        <v>355480.1</v>
      </c>
      <c r="BU971" s="65">
        <v>359194.7</v>
      </c>
      <c r="BV971" s="65">
        <v>363528.0</v>
      </c>
      <c r="BW971" s="90">
        <v>367466.8</v>
      </c>
      <c r="BX971" s="90">
        <v>371375.17</v>
      </c>
      <c r="BY971" s="90">
        <f t="array" ref="BY971">XLOOKUP(C971,'PL TOTAL D0'!$A$3:$A$1991,'PL TOTAL D0'!$C$3:$C$1991,"")</f>
        <v>375265.99</v>
      </c>
    </row>
    <row r="972" ht="15.75" customHeight="1">
      <c r="A972" s="50" t="s">
        <v>24</v>
      </c>
      <c r="B972" s="43" t="s">
        <v>8945</v>
      </c>
      <c r="C972" s="94" t="s">
        <v>2856</v>
      </c>
      <c r="D972" s="30" t="s">
        <v>142</v>
      </c>
      <c r="E972" s="95" t="s">
        <v>54</v>
      </c>
      <c r="F972" s="30" t="s">
        <v>158</v>
      </c>
      <c r="G972" s="47" t="str">
        <f t="shared" si="39"/>
        <v>Gabriel</v>
      </c>
      <c r="H972" s="49" t="s">
        <v>183</v>
      </c>
      <c r="I972" s="49" t="s">
        <v>66</v>
      </c>
      <c r="J972" s="47" t="str">
        <f t="shared" si="38"/>
        <v>Não</v>
      </c>
      <c r="K972" s="54">
        <v>45733.0</v>
      </c>
      <c r="L972" s="189"/>
      <c r="M972" s="32" t="s">
        <v>61</v>
      </c>
      <c r="N972" s="56">
        <v>0.012</v>
      </c>
      <c r="O972" s="23" t="s">
        <v>66</v>
      </c>
      <c r="P972" s="57">
        <v>0.0</v>
      </c>
      <c r="Q972" s="58"/>
      <c r="R972" s="635"/>
      <c r="S972" s="32" t="s">
        <v>194</v>
      </c>
      <c r="T972" s="177" t="s">
        <v>8946</v>
      </c>
      <c r="U972" s="33">
        <v>5.561981988844E12</v>
      </c>
      <c r="V972" s="33" t="s">
        <v>8947</v>
      </c>
      <c r="W972" s="34">
        <v>28913.0</v>
      </c>
      <c r="X972" s="23" t="s">
        <v>199</v>
      </c>
      <c r="Y972" s="49" t="str">
        <f t="shared" si="22"/>
        <v>Ativo</v>
      </c>
      <c r="Z972" s="62"/>
      <c r="AA972" s="32" t="s">
        <v>47</v>
      </c>
      <c r="AB972" s="64"/>
      <c r="AC972" s="79"/>
      <c r="AD972" s="54">
        <v>45733.0</v>
      </c>
      <c r="AE972" s="77">
        <v>4.9075100018367E13</v>
      </c>
      <c r="AF972" s="79"/>
      <c r="AG972" s="79"/>
      <c r="AH972" s="79"/>
      <c r="AI972" s="79"/>
      <c r="AJ972" s="79"/>
      <c r="AK972" s="65"/>
      <c r="AL972" s="65"/>
      <c r="AM972" s="65"/>
      <c r="AN972" s="65"/>
      <c r="AO972" s="65"/>
      <c r="AP972" s="65"/>
      <c r="AQ972" s="65"/>
      <c r="AR972" s="65"/>
      <c r="AS972" s="65"/>
      <c r="AT972" s="65"/>
      <c r="AU972" s="65"/>
      <c r="AV972" s="65"/>
      <c r="AW972" s="65"/>
      <c r="AX972" s="65"/>
      <c r="AY972" s="65"/>
      <c r="AZ972" s="65"/>
      <c r="BA972" s="65"/>
      <c r="BB972" s="65"/>
      <c r="BC972" s="65"/>
      <c r="BD972" s="65"/>
      <c r="BE972" s="65"/>
      <c r="BF972" s="65"/>
      <c r="BG972" s="65"/>
      <c r="BH972" s="65"/>
      <c r="BI972" s="65">
        <v>606278.65</v>
      </c>
      <c r="BJ972" s="65">
        <v>618884.52</v>
      </c>
      <c r="BK972" s="65">
        <v>476752.93</v>
      </c>
      <c r="BL972" s="65">
        <v>481391.57</v>
      </c>
      <c r="BM972" s="65">
        <v>486925.61</v>
      </c>
      <c r="BN972" s="65">
        <v>491987.2</v>
      </c>
      <c r="BO972" s="65">
        <v>496499.49</v>
      </c>
      <c r="BP972" s="65">
        <v>502948.3</v>
      </c>
      <c r="BQ972" s="65">
        <v>506964.0</v>
      </c>
      <c r="BR972" s="65">
        <v>512130.0</v>
      </c>
      <c r="BS972" s="65">
        <v>522901.31</v>
      </c>
      <c r="BT972" s="88">
        <v>527460.1</v>
      </c>
      <c r="BU972" s="65">
        <v>530241.5</v>
      </c>
      <c r="BV972" s="65">
        <v>536655.8</v>
      </c>
      <c r="BW972" s="90">
        <v>539030.0</v>
      </c>
      <c r="BX972" s="90">
        <v>544206.0</v>
      </c>
      <c r="BY972" s="90">
        <f t="array" ref="BY972">XLOOKUP(C972,'PL TOTAL D0'!$A$3:$A$1991,'PL TOTAL D0'!$C$3:$C$1991,"")</f>
        <v>550454.97</v>
      </c>
    </row>
    <row r="973" ht="15.75" customHeight="1">
      <c r="A973" s="50" t="s">
        <v>24</v>
      </c>
      <c r="B973" s="43" t="s">
        <v>1486</v>
      </c>
      <c r="C973" s="94" t="s">
        <v>8948</v>
      </c>
      <c r="D973" s="30" t="s">
        <v>142</v>
      </c>
      <c r="E973" s="95" t="s">
        <v>54</v>
      </c>
      <c r="F973" s="30" t="s">
        <v>158</v>
      </c>
      <c r="G973" s="47" t="str">
        <f t="shared" si="39"/>
        <v>David</v>
      </c>
      <c r="H973" s="49" t="s">
        <v>183</v>
      </c>
      <c r="I973" s="49" t="s">
        <v>66</v>
      </c>
      <c r="J973" s="47" t="str">
        <f t="shared" si="38"/>
        <v>Não</v>
      </c>
      <c r="K973" s="54">
        <v>46128.0</v>
      </c>
      <c r="L973" s="189"/>
      <c r="M973" s="32" t="s">
        <v>716</v>
      </c>
      <c r="N973" s="56">
        <v>0.012</v>
      </c>
      <c r="O973" s="23" t="s">
        <v>66</v>
      </c>
      <c r="P973" s="57">
        <v>0.0</v>
      </c>
      <c r="Q973" s="58"/>
      <c r="R973" s="635"/>
      <c r="S973" s="32" t="s">
        <v>194</v>
      </c>
      <c r="T973" s="177" t="s">
        <v>8949</v>
      </c>
      <c r="U973" s="33" t="s">
        <v>1492</v>
      </c>
      <c r="V973" s="33" t="s">
        <v>1493</v>
      </c>
      <c r="W973" s="34">
        <v>24704.0</v>
      </c>
      <c r="X973" s="23" t="s">
        <v>54</v>
      </c>
      <c r="Y973" s="49" t="str">
        <f t="shared" si="22"/>
        <v>Ativo</v>
      </c>
      <c r="Z973" s="62"/>
      <c r="AA973" s="32" t="s">
        <v>47</v>
      </c>
      <c r="AB973" s="64"/>
      <c r="AC973" s="79"/>
      <c r="AD973" s="54"/>
      <c r="AE973" s="77"/>
      <c r="AF973" s="79"/>
      <c r="AG973" s="79"/>
      <c r="AH973" s="79"/>
      <c r="AI973" s="79"/>
      <c r="AJ973" s="79"/>
      <c r="AK973" s="65"/>
      <c r="AL973" s="65"/>
      <c r="AM973" s="65"/>
      <c r="AN973" s="65"/>
      <c r="AO973" s="65"/>
      <c r="AP973" s="65"/>
      <c r="AQ973" s="65"/>
      <c r="AR973" s="65"/>
      <c r="AS973" s="65"/>
      <c r="AT973" s="65"/>
      <c r="AU973" s="65"/>
      <c r="AV973" s="65"/>
      <c r="AW973" s="65"/>
      <c r="AX973" s="65"/>
      <c r="AY973" s="65"/>
      <c r="AZ973" s="65"/>
      <c r="BA973" s="65"/>
      <c r="BB973" s="65"/>
      <c r="BC973" s="65"/>
      <c r="BD973" s="65"/>
      <c r="BE973" s="65"/>
      <c r="BF973" s="65"/>
      <c r="BG973" s="65"/>
      <c r="BH973" s="65"/>
      <c r="BI973" s="65"/>
      <c r="BJ973" s="65"/>
      <c r="BK973" s="65"/>
      <c r="BL973" s="65"/>
      <c r="BM973" s="65"/>
      <c r="BN973" s="65"/>
      <c r="BO973" s="65"/>
      <c r="BP973" s="65"/>
      <c r="BQ973" s="65"/>
      <c r="BR973" s="65"/>
      <c r="BS973" s="65"/>
      <c r="BT973" s="88"/>
      <c r="BU973" s="65"/>
      <c r="BV973" s="65">
        <v>0.0</v>
      </c>
      <c r="BW973" s="90">
        <v>0.0</v>
      </c>
      <c r="BX973" s="90">
        <v>0.0</v>
      </c>
      <c r="BY973" s="90" t="str">
        <f t="array" ref="BY973">XLOOKUP(C973,'PL TOTAL D0'!$A$3:$A$1991,'PL TOTAL D0'!$C$3:$C$1991,"")</f>
        <v/>
      </c>
    </row>
    <row r="974" ht="15.75" customHeight="1">
      <c r="A974" s="50" t="s">
        <v>24</v>
      </c>
      <c r="B974" s="50" t="s">
        <v>8950</v>
      </c>
      <c r="C974" s="94" t="s">
        <v>8951</v>
      </c>
      <c r="D974" s="81" t="s">
        <v>255</v>
      </c>
      <c r="E974" s="95" t="s">
        <v>199</v>
      </c>
      <c r="F974" s="81" t="s">
        <v>2328</v>
      </c>
      <c r="G974" s="47" t="str">
        <f t="shared" si="39"/>
        <v>David</v>
      </c>
      <c r="H974" s="49" t="s">
        <v>224</v>
      </c>
      <c r="I974" s="49" t="s">
        <v>66</v>
      </c>
      <c r="J974" s="47" t="str">
        <f t="shared" si="38"/>
        <v>Não</v>
      </c>
      <c r="K974" s="97">
        <v>45097.0</v>
      </c>
      <c r="L974" s="55">
        <v>45513.0</v>
      </c>
      <c r="M974" s="62" t="s">
        <v>8952</v>
      </c>
      <c r="N974" s="98">
        <v>0.01</v>
      </c>
      <c r="O974" s="47" t="s">
        <v>66</v>
      </c>
      <c r="P974" s="99">
        <v>0.0</v>
      </c>
      <c r="Q974" s="58"/>
      <c r="R974" s="195" t="s">
        <v>3969</v>
      </c>
      <c r="S974" s="62" t="s">
        <v>194</v>
      </c>
      <c r="T974" s="32" t="s">
        <v>8953</v>
      </c>
      <c r="U974" s="33" t="s">
        <v>268</v>
      </c>
      <c r="V974" s="33"/>
      <c r="W974" s="33" t="s">
        <v>268</v>
      </c>
      <c r="X974" s="23" t="s">
        <v>475</v>
      </c>
      <c r="Y974" s="49" t="str">
        <f t="shared" si="22"/>
        <v>Encerrado</v>
      </c>
      <c r="Z974" s="62"/>
      <c r="AA974" s="62"/>
      <c r="AB974" s="64" t="s">
        <v>269</v>
      </c>
      <c r="AC974" s="79"/>
      <c r="AD974" s="54">
        <v>45097.0</v>
      </c>
      <c r="AE974" s="77">
        <v>4.9075100008213E13</v>
      </c>
      <c r="AF974" s="79"/>
      <c r="AG974" s="79"/>
      <c r="AH974" s="79"/>
      <c r="AI974" s="79"/>
      <c r="AJ974" s="79"/>
      <c r="AK974" s="79"/>
      <c r="AL974" s="79"/>
      <c r="AM974" s="79"/>
      <c r="AN974" s="79"/>
      <c r="AO974" s="65">
        <v>1162232.12</v>
      </c>
      <c r="AP974" s="65">
        <v>1174050.43</v>
      </c>
      <c r="AQ974" s="65">
        <v>1240505.75</v>
      </c>
      <c r="AR974" s="65">
        <v>1249250.74</v>
      </c>
      <c r="AS974" s="65">
        <v>2179804.13</v>
      </c>
      <c r="AT974" s="65">
        <v>2195792.98</v>
      </c>
      <c r="AU974" s="65">
        <v>2213575.45</v>
      </c>
      <c r="AV974" s="65">
        <v>2229283.49</v>
      </c>
      <c r="AW974" s="65">
        <v>2244094.95</v>
      </c>
      <c r="AX974" s="65">
        <v>2307551.76</v>
      </c>
      <c r="AY974" s="65">
        <v>2323267.0</v>
      </c>
      <c r="AZ974" s="65">
        <v>2337371.0</v>
      </c>
      <c r="BA974" s="65">
        <v>0.0</v>
      </c>
      <c r="BB974" s="65">
        <v>0.0</v>
      </c>
      <c r="BC974" s="65">
        <v>0.0</v>
      </c>
      <c r="BD974" s="65">
        <v>0.0</v>
      </c>
      <c r="BE974" s="65">
        <v>0.0</v>
      </c>
      <c r="BF974" s="65">
        <v>0.0</v>
      </c>
      <c r="BG974" s="65">
        <v>0.0</v>
      </c>
      <c r="BH974" s="65">
        <v>0.0</v>
      </c>
      <c r="BI974" s="65">
        <v>0.0</v>
      </c>
      <c r="BJ974" s="65">
        <v>0.0</v>
      </c>
      <c r="BK974" s="65">
        <v>0.0</v>
      </c>
      <c r="BL974" s="65">
        <v>0.0</v>
      </c>
      <c r="BM974" s="65">
        <v>0.0</v>
      </c>
      <c r="BN974" s="65">
        <v>0.0</v>
      </c>
      <c r="BO974" s="65">
        <v>0.0</v>
      </c>
      <c r="BP974" s="65">
        <v>0.0</v>
      </c>
      <c r="BQ974" s="65">
        <v>0.0</v>
      </c>
      <c r="BR974" s="65">
        <v>0.0</v>
      </c>
      <c r="BS974" s="65">
        <v>0.0</v>
      </c>
      <c r="BT974" s="88">
        <v>0.0</v>
      </c>
      <c r="BU974" s="65">
        <v>0.0</v>
      </c>
      <c r="BV974" s="65">
        <v>0.0</v>
      </c>
      <c r="BW974" s="90">
        <v>0.0</v>
      </c>
      <c r="BX974" s="90">
        <v>0.0</v>
      </c>
      <c r="BY974" s="90" t="str">
        <f t="array" ref="BY974">XLOOKUP(C974,'PL TOTAL D0'!$A$3:$A$1991,'PL TOTAL D0'!$C$3:$C$1991,"")</f>
        <v/>
      </c>
    </row>
    <row r="975" ht="15.75" customHeight="1">
      <c r="A975" s="43" t="s">
        <v>24</v>
      </c>
      <c r="B975" s="43" t="s">
        <v>8954</v>
      </c>
      <c r="C975" s="94" t="s">
        <v>2480</v>
      </c>
      <c r="D975" s="30" t="s">
        <v>120</v>
      </c>
      <c r="E975" s="22" t="s">
        <v>199</v>
      </c>
      <c r="F975" s="30" t="s">
        <v>803</v>
      </c>
      <c r="G975" s="47" t="str">
        <f t="shared" si="39"/>
        <v>Marcus</v>
      </c>
      <c r="H975" s="49" t="s">
        <v>183</v>
      </c>
      <c r="I975" s="49" t="s">
        <v>66</v>
      </c>
      <c r="J975" s="47" t="str">
        <f t="shared" si="38"/>
        <v>Não</v>
      </c>
      <c r="K975" s="54">
        <v>45925.0</v>
      </c>
      <c r="L975" s="62"/>
      <c r="M975" s="32" t="s">
        <v>209</v>
      </c>
      <c r="N975" s="56">
        <v>0.015</v>
      </c>
      <c r="O975" s="23" t="s">
        <v>35</v>
      </c>
      <c r="P975" s="57">
        <v>0.1</v>
      </c>
      <c r="Q975" s="58"/>
      <c r="R975" s="635"/>
      <c r="S975" s="32" t="s">
        <v>194</v>
      </c>
      <c r="T975" s="32" t="s">
        <v>1736</v>
      </c>
      <c r="U975" s="33" t="s">
        <v>8955</v>
      </c>
      <c r="V975" s="33" t="s">
        <v>1738</v>
      </c>
      <c r="W975" s="34">
        <v>29139.0</v>
      </c>
      <c r="X975" s="23" t="s">
        <v>54</v>
      </c>
      <c r="Y975" s="49" t="s">
        <v>183</v>
      </c>
      <c r="Z975" s="62"/>
      <c r="AA975" s="32" t="s">
        <v>47</v>
      </c>
      <c r="AB975" s="64"/>
      <c r="AC975" s="79"/>
      <c r="AD975" s="54">
        <v>45962.0</v>
      </c>
      <c r="AE975" s="148">
        <v>4.9075100019754E13</v>
      </c>
      <c r="AF975" s="79"/>
      <c r="AG975" s="79"/>
      <c r="AH975" s="79"/>
      <c r="AI975" s="79"/>
      <c r="AJ975" s="79"/>
      <c r="AK975" s="65"/>
      <c r="AL975" s="65"/>
      <c r="AM975" s="65"/>
      <c r="AN975" s="65"/>
      <c r="AO975" s="65"/>
      <c r="AP975" s="65"/>
      <c r="AQ975" s="65"/>
      <c r="AR975" s="65"/>
      <c r="AS975" s="65"/>
      <c r="AT975" s="65"/>
      <c r="AU975" s="65"/>
      <c r="AV975" s="65"/>
      <c r="AW975" s="65"/>
      <c r="AX975" s="65"/>
      <c r="AY975" s="65"/>
      <c r="AZ975" s="65"/>
      <c r="BA975" s="65"/>
      <c r="BB975" s="65"/>
      <c r="BC975" s="65"/>
      <c r="BD975" s="65"/>
      <c r="BE975" s="65"/>
      <c r="BF975" s="65"/>
      <c r="BG975" s="65"/>
      <c r="BH975" s="65"/>
      <c r="BI975" s="65"/>
      <c r="BJ975" s="65"/>
      <c r="BK975" s="65"/>
      <c r="BL975" s="65"/>
      <c r="BM975" s="65"/>
      <c r="BN975" s="65"/>
      <c r="BO975" s="65">
        <v>0.0</v>
      </c>
      <c r="BP975" s="65">
        <v>4637111.0</v>
      </c>
      <c r="BQ975" s="65">
        <v>4760766.0</v>
      </c>
      <c r="BR975" s="65">
        <v>4878533.0</v>
      </c>
      <c r="BS975" s="65">
        <v>4949172.75</v>
      </c>
      <c r="BT975" s="88">
        <v>5001458.0</v>
      </c>
      <c r="BU975" s="65">
        <v>5075689.0</v>
      </c>
      <c r="BV975" s="65">
        <v>5120406.0</v>
      </c>
      <c r="BW975" s="90">
        <v>5135578.0</v>
      </c>
      <c r="BX975" s="90">
        <v>5372842.02</v>
      </c>
      <c r="BY975" s="90">
        <f t="array" ref="BY975">XLOOKUP(C975,'PL TOTAL D0'!$A$3:$A$1991,'PL TOTAL D0'!$C$3:$C$1991,"")</f>
        <v>5280856</v>
      </c>
    </row>
    <row r="976" ht="15.75" customHeight="1">
      <c r="A976" s="50" t="s">
        <v>24</v>
      </c>
      <c r="B976" s="50" t="s">
        <v>8956</v>
      </c>
      <c r="C976" s="94" t="s">
        <v>3356</v>
      </c>
      <c r="D976" s="30" t="s">
        <v>89</v>
      </c>
      <c r="E976" s="95" t="s">
        <v>91</v>
      </c>
      <c r="F976" s="81" t="s">
        <v>521</v>
      </c>
      <c r="G976" s="47" t="str">
        <f t="shared" si="39"/>
        <v>David</v>
      </c>
      <c r="H976" s="74" t="s">
        <v>183</v>
      </c>
      <c r="I976" s="74" t="s">
        <v>66</v>
      </c>
      <c r="J976" s="47" t="str">
        <f t="shared" si="38"/>
        <v>Não</v>
      </c>
      <c r="K976" s="97">
        <v>45029.0</v>
      </c>
      <c r="L976" s="62"/>
      <c r="M976" s="62" t="s">
        <v>209</v>
      </c>
      <c r="N976" s="98">
        <v>0.015</v>
      </c>
      <c r="O976" s="47" t="s">
        <v>35</v>
      </c>
      <c r="P976" s="99">
        <v>0.1</v>
      </c>
      <c r="Q976" s="58"/>
      <c r="R976" s="635"/>
      <c r="S976" s="62" t="s">
        <v>194</v>
      </c>
      <c r="T976" s="32" t="s">
        <v>8957</v>
      </c>
      <c r="U976" s="33">
        <v>4.3984527029E10</v>
      </c>
      <c r="V976" s="33" t="s">
        <v>8958</v>
      </c>
      <c r="W976" s="34">
        <v>37049.0</v>
      </c>
      <c r="X976" s="23" t="s">
        <v>221</v>
      </c>
      <c r="Y976" s="49" t="str">
        <f t="shared" ref="Y976:Y1040" si="40">IFS(H:H="Encerrado","Encerrado",COUNTBLANK(AZ976:BK976)&gt;0,"Ativo",SUM(AZ976:BK976)=0,"Inativo",SUM(AZ976:BK976)&gt;0,"Ativo")</f>
        <v>Ativo</v>
      </c>
      <c r="Z976" s="62"/>
      <c r="AA976" s="62"/>
      <c r="AB976" s="64" t="s">
        <v>269</v>
      </c>
      <c r="AC976" s="79"/>
      <c r="AD976" s="54">
        <v>45029.0</v>
      </c>
      <c r="AE976" s="77">
        <v>4.9075100004226E13</v>
      </c>
      <c r="AF976" s="79"/>
      <c r="AG976" s="79"/>
      <c r="AH976" s="79"/>
      <c r="AI976" s="79"/>
      <c r="AJ976" s="79"/>
      <c r="AK976" s="65">
        <v>0.0</v>
      </c>
      <c r="AL976" s="65">
        <v>40121.16</v>
      </c>
      <c r="AM976" s="65">
        <v>40564.96</v>
      </c>
      <c r="AN976" s="65">
        <v>44081.08</v>
      </c>
      <c r="AO976" s="65">
        <v>50609.72</v>
      </c>
      <c r="AP976" s="65">
        <v>54230.36</v>
      </c>
      <c r="AQ976" s="65">
        <v>57397.44</v>
      </c>
      <c r="AR976" s="65">
        <v>60377.08</v>
      </c>
      <c r="AS976" s="65">
        <v>64473.13</v>
      </c>
      <c r="AT976" s="65">
        <v>68654.73</v>
      </c>
      <c r="AU976" s="65">
        <v>69784.91</v>
      </c>
      <c r="AV976" s="65">
        <v>70378.04</v>
      </c>
      <c r="AW976" s="65">
        <v>75125.82</v>
      </c>
      <c r="AX976" s="65">
        <v>112362.01</v>
      </c>
      <c r="AY976" s="65">
        <v>113909.0</v>
      </c>
      <c r="AZ976" s="65">
        <v>117569.0</v>
      </c>
      <c r="BA976" s="65">
        <v>123139.2</v>
      </c>
      <c r="BB976" s="65">
        <v>126611.17</v>
      </c>
      <c r="BC976" s="65">
        <v>129629.34</v>
      </c>
      <c r="BD976" s="65">
        <v>128694.47</v>
      </c>
      <c r="BE976" s="65">
        <v>129967.3</v>
      </c>
      <c r="BF976" s="65">
        <v>129723.07</v>
      </c>
      <c r="BG976" s="65">
        <v>132478.4</v>
      </c>
      <c r="BH976" s="65">
        <v>86424.93</v>
      </c>
      <c r="BI976" s="65">
        <v>88354.21</v>
      </c>
      <c r="BJ976" s="65">
        <v>88666.86</v>
      </c>
      <c r="BK976" s="65">
        <v>92587.96</v>
      </c>
      <c r="BL976" s="65">
        <v>95513.47</v>
      </c>
      <c r="BM976" s="65">
        <v>99653.96</v>
      </c>
      <c r="BN976" s="65">
        <v>102686.2</v>
      </c>
      <c r="BO976" s="65">
        <v>105028.62</v>
      </c>
      <c r="BP976" s="65">
        <v>108322.3</v>
      </c>
      <c r="BQ976" s="65">
        <v>110264.6</v>
      </c>
      <c r="BR976" s="65">
        <v>111411.0</v>
      </c>
      <c r="BS976" s="65">
        <v>113418.05</v>
      </c>
      <c r="BT976" s="88">
        <v>114428.1</v>
      </c>
      <c r="BU976" s="65">
        <v>116072.2</v>
      </c>
      <c r="BV976" s="65">
        <v>85867.68</v>
      </c>
      <c r="BW976" s="90">
        <v>84369.92</v>
      </c>
      <c r="BX976" s="90">
        <v>85416.01</v>
      </c>
      <c r="BY976" s="90">
        <f t="array" ref="BY976">XLOOKUP(C976,'PL TOTAL D0'!$A$3:$A$1991,'PL TOTAL D0'!$C$3:$C$1991,"")</f>
        <v>86414.86</v>
      </c>
    </row>
    <row r="977" ht="15.75" customHeight="1">
      <c r="A977" s="50" t="s">
        <v>24</v>
      </c>
      <c r="B977" s="176" t="s">
        <v>8959</v>
      </c>
      <c r="C977" s="94" t="s">
        <v>8960</v>
      </c>
      <c r="D977" s="81" t="s">
        <v>120</v>
      </c>
      <c r="E977" s="95" t="s">
        <v>199</v>
      </c>
      <c r="F977" s="81" t="s">
        <v>1914</v>
      </c>
      <c r="G977" s="47" t="str">
        <f t="shared" si="39"/>
        <v>David</v>
      </c>
      <c r="H977" s="49" t="s">
        <v>224</v>
      </c>
      <c r="I977" s="49" t="s">
        <v>66</v>
      </c>
      <c r="J977" s="47" t="str">
        <f t="shared" si="38"/>
        <v>Não</v>
      </c>
      <c r="K977" s="97">
        <v>45001.0</v>
      </c>
      <c r="L977" s="121">
        <v>45614.0</v>
      </c>
      <c r="M977" s="62" t="s">
        <v>390</v>
      </c>
      <c r="N977" s="98">
        <v>0.0</v>
      </c>
      <c r="O977" s="47" t="s">
        <v>66</v>
      </c>
      <c r="P977" s="99">
        <v>0.0</v>
      </c>
      <c r="Q977" s="58"/>
      <c r="R977" s="70"/>
      <c r="S977" s="62" t="s">
        <v>194</v>
      </c>
      <c r="T977" s="32" t="s">
        <v>8961</v>
      </c>
      <c r="U977" s="33" t="s">
        <v>268</v>
      </c>
      <c r="V977" s="33"/>
      <c r="W977" s="33" t="s">
        <v>268</v>
      </c>
      <c r="X977" s="23" t="s">
        <v>199</v>
      </c>
      <c r="Y977" s="49" t="str">
        <f t="shared" si="40"/>
        <v>Encerrado</v>
      </c>
      <c r="Z977" s="62"/>
      <c r="AA977" s="62"/>
      <c r="AB977" s="64" t="s">
        <v>269</v>
      </c>
      <c r="AC977" s="79"/>
      <c r="AD977" s="54">
        <v>45001.0</v>
      </c>
      <c r="AE977" s="77">
        <v>4.9075100008612E13</v>
      </c>
      <c r="AF977" s="79"/>
      <c r="AG977" s="79"/>
      <c r="AH977" s="79"/>
      <c r="AI977" s="79"/>
      <c r="AJ977" s="79"/>
      <c r="AK977" s="65">
        <v>240699.04</v>
      </c>
      <c r="AL977" s="65">
        <v>242683.04</v>
      </c>
      <c r="AM977" s="65">
        <v>245715.26</v>
      </c>
      <c r="AN977" s="65">
        <v>255492.88</v>
      </c>
      <c r="AO977" s="65">
        <v>258221.49</v>
      </c>
      <c r="AP977" s="65">
        <v>261151.03</v>
      </c>
      <c r="AQ977" s="65">
        <v>213028.8</v>
      </c>
      <c r="AR977" s="65">
        <v>215140.58</v>
      </c>
      <c r="AS977" s="65">
        <v>161000.5</v>
      </c>
      <c r="AT977" s="65">
        <v>160132.44</v>
      </c>
      <c r="AU977" s="65">
        <v>71056.31</v>
      </c>
      <c r="AV977" s="65">
        <v>0.0</v>
      </c>
      <c r="AW977" s="65">
        <v>0.0</v>
      </c>
      <c r="AX977" s="65">
        <v>0.0</v>
      </c>
      <c r="AY977" s="65">
        <v>0.0</v>
      </c>
      <c r="AZ977" s="65">
        <v>0.0</v>
      </c>
      <c r="BA977" s="65">
        <v>0.0</v>
      </c>
      <c r="BB977" s="65">
        <v>0.0</v>
      </c>
      <c r="BC977" s="65">
        <v>0.0</v>
      </c>
      <c r="BD977" s="65">
        <v>0.0</v>
      </c>
      <c r="BE977" s="65">
        <v>0.0</v>
      </c>
      <c r="BF977" s="65">
        <v>0.0</v>
      </c>
      <c r="BG977" s="65">
        <v>0.0</v>
      </c>
      <c r="BH977" s="65">
        <v>0.0</v>
      </c>
      <c r="BI977" s="65">
        <v>0.0</v>
      </c>
      <c r="BJ977" s="65">
        <v>0.0</v>
      </c>
      <c r="BK977" s="65">
        <v>0.0</v>
      </c>
      <c r="BL977" s="65">
        <v>0.0</v>
      </c>
      <c r="BM977" s="65">
        <v>0.0</v>
      </c>
      <c r="BN977" s="65">
        <v>0.0</v>
      </c>
      <c r="BO977" s="65">
        <v>0.0</v>
      </c>
      <c r="BP977" s="65">
        <v>0.0</v>
      </c>
      <c r="BQ977" s="65">
        <v>0.0</v>
      </c>
      <c r="BR977" s="65">
        <v>0.0</v>
      </c>
      <c r="BS977" s="65">
        <v>0.0</v>
      </c>
      <c r="BT977" s="88">
        <v>0.0</v>
      </c>
      <c r="BU977" s="65">
        <v>0.0</v>
      </c>
      <c r="BV977" s="65">
        <v>0.0</v>
      </c>
      <c r="BW977" s="90">
        <v>0.0</v>
      </c>
      <c r="BX977" s="90">
        <v>0.0</v>
      </c>
      <c r="BY977" s="90" t="str">
        <f t="array" ref="BY977">XLOOKUP(C977,'PL TOTAL D0'!$A$3:$A$1991,'PL TOTAL D0'!$C$3:$C$1991,"")</f>
        <v/>
      </c>
    </row>
    <row r="978" ht="15.75" customHeight="1">
      <c r="A978" s="50" t="s">
        <v>24</v>
      </c>
      <c r="B978" s="39" t="s">
        <v>8962</v>
      </c>
      <c r="C978" s="53" t="s">
        <v>8963</v>
      </c>
      <c r="D978" s="30" t="s">
        <v>120</v>
      </c>
      <c r="E978" s="22" t="s">
        <v>54</v>
      </c>
      <c r="F978" s="30" t="s">
        <v>1883</v>
      </c>
      <c r="G978" s="47" t="str">
        <f t="shared" si="39"/>
        <v>David</v>
      </c>
      <c r="H978" s="49" t="s">
        <v>335</v>
      </c>
      <c r="I978" s="49" t="s">
        <v>66</v>
      </c>
      <c r="J978" s="47" t="str">
        <f t="shared" si="38"/>
        <v>Não</v>
      </c>
      <c r="K978" s="54">
        <v>46198.0</v>
      </c>
      <c r="L978" s="121"/>
      <c r="M978" s="32" t="s">
        <v>61</v>
      </c>
      <c r="N978" s="98">
        <v>0.012</v>
      </c>
      <c r="O978" s="23" t="s">
        <v>66</v>
      </c>
      <c r="P978" s="99">
        <v>0.0</v>
      </c>
      <c r="Q978" s="58"/>
      <c r="R978" s="70"/>
      <c r="S978" s="32" t="s">
        <v>194</v>
      </c>
      <c r="T978" s="32" t="s">
        <v>8964</v>
      </c>
      <c r="U978" s="33" t="s">
        <v>1885</v>
      </c>
      <c r="V978" s="33" t="s">
        <v>1886</v>
      </c>
      <c r="W978" s="34">
        <v>45897.0</v>
      </c>
      <c r="X978" s="23" t="s">
        <v>54</v>
      </c>
      <c r="Y978" s="49" t="str">
        <f t="shared" si="40"/>
        <v>Ativo</v>
      </c>
      <c r="Z978" s="62"/>
      <c r="AA978" s="32" t="s">
        <v>107</v>
      </c>
      <c r="AB978" s="64"/>
      <c r="AC978" s="79"/>
      <c r="AD978" s="54"/>
      <c r="AE978" s="77"/>
      <c r="AF978" s="79"/>
      <c r="AG978" s="79"/>
      <c r="AH978" s="79"/>
      <c r="AI978" s="79"/>
      <c r="AJ978" s="79"/>
      <c r="AK978" s="65"/>
      <c r="AL978" s="65"/>
      <c r="AM978" s="65"/>
      <c r="AN978" s="65"/>
      <c r="AO978" s="65"/>
      <c r="AP978" s="65"/>
      <c r="AQ978" s="65"/>
      <c r="AR978" s="65"/>
      <c r="AS978" s="65"/>
      <c r="AT978" s="65"/>
      <c r="AU978" s="65"/>
      <c r="AV978" s="65"/>
      <c r="AW978" s="65"/>
      <c r="AX978" s="65"/>
      <c r="AY978" s="65"/>
      <c r="AZ978" s="65"/>
      <c r="BA978" s="65"/>
      <c r="BB978" s="65"/>
      <c r="BC978" s="65"/>
      <c r="BD978" s="65"/>
      <c r="BE978" s="65"/>
      <c r="BF978" s="65"/>
      <c r="BG978" s="65"/>
      <c r="BH978" s="65"/>
      <c r="BI978" s="65"/>
      <c r="BJ978" s="65"/>
      <c r="BK978" s="65"/>
      <c r="BL978" s="65"/>
      <c r="BM978" s="65"/>
      <c r="BN978" s="65"/>
      <c r="BO978" s="65"/>
      <c r="BP978" s="65"/>
      <c r="BQ978" s="65"/>
      <c r="BR978" s="65"/>
      <c r="BS978" s="65"/>
      <c r="BT978" s="88"/>
      <c r="BU978" s="65"/>
      <c r="BV978" s="65"/>
      <c r="BW978" s="90"/>
      <c r="BX978" s="90">
        <v>0.0</v>
      </c>
      <c r="BY978" s="90" t="str">
        <f t="array" ref="BY978">XLOOKUP(C978,'PL TOTAL D0'!$A$3:$A$1991,'PL TOTAL D0'!$C$3:$C$1991,"")</f>
        <v/>
      </c>
    </row>
    <row r="979" ht="15.75" customHeight="1">
      <c r="A979" s="50" t="s">
        <v>24</v>
      </c>
      <c r="B979" s="50" t="s">
        <v>8965</v>
      </c>
      <c r="C979" s="94" t="s">
        <v>2929</v>
      </c>
      <c r="D979" s="30" t="s">
        <v>365</v>
      </c>
      <c r="E979" s="95" t="s">
        <v>199</v>
      </c>
      <c r="F979" s="30" t="s">
        <v>891</v>
      </c>
      <c r="G979" s="47" t="str">
        <f t="shared" si="39"/>
        <v>Gabriel</v>
      </c>
      <c r="H979" s="74" t="s">
        <v>183</v>
      </c>
      <c r="I979" s="74" t="s">
        <v>66</v>
      </c>
      <c r="J979" s="47" t="str">
        <f t="shared" si="38"/>
        <v>Não</v>
      </c>
      <c r="K979" s="97">
        <v>44929.0</v>
      </c>
      <c r="L979" s="62"/>
      <c r="M979" s="62" t="s">
        <v>61</v>
      </c>
      <c r="N979" s="98">
        <v>0.012</v>
      </c>
      <c r="O979" s="47" t="s">
        <v>66</v>
      </c>
      <c r="P979" s="99">
        <v>0.0</v>
      </c>
      <c r="Q979" s="58"/>
      <c r="R979" s="635"/>
      <c r="S979" s="62" t="s">
        <v>194</v>
      </c>
      <c r="T979" s="32" t="s">
        <v>6832</v>
      </c>
      <c r="U979" s="33">
        <v>5.581996151546E12</v>
      </c>
      <c r="V979" s="33" t="s">
        <v>8966</v>
      </c>
      <c r="W979" s="34">
        <v>31694.0</v>
      </c>
      <c r="X979" s="23" t="s">
        <v>54</v>
      </c>
      <c r="Y979" s="49" t="str">
        <f t="shared" si="40"/>
        <v>Ativo</v>
      </c>
      <c r="Z979" s="62"/>
      <c r="AA979" s="62"/>
      <c r="AB979" s="64" t="s">
        <v>269</v>
      </c>
      <c r="AC979" s="79"/>
      <c r="AD979" s="54">
        <v>44929.0</v>
      </c>
      <c r="AE979" s="77">
        <v>4.907510001011E13</v>
      </c>
      <c r="AF979" s="79"/>
      <c r="AG979" s="79"/>
      <c r="AH979" s="79"/>
      <c r="AI979" s="65">
        <v>295761.97</v>
      </c>
      <c r="AJ979" s="65">
        <v>297479.42</v>
      </c>
      <c r="AK979" s="65">
        <v>336452.8</v>
      </c>
      <c r="AL979" s="65">
        <v>338756.18</v>
      </c>
      <c r="AM979" s="65">
        <v>342130.28</v>
      </c>
      <c r="AN979" s="65">
        <v>344541.66</v>
      </c>
      <c r="AO979" s="65">
        <v>346952.7</v>
      </c>
      <c r="AP979" s="65">
        <v>349411.89</v>
      </c>
      <c r="AQ979" s="65">
        <v>350929.21</v>
      </c>
      <c r="AR979" s="65">
        <v>353700.83</v>
      </c>
      <c r="AS979" s="65">
        <v>355768.52</v>
      </c>
      <c r="AT979" s="65">
        <v>358487.89</v>
      </c>
      <c r="AU979" s="65">
        <v>361575.81</v>
      </c>
      <c r="AV979" s="65">
        <v>363485.83</v>
      </c>
      <c r="AW979" s="65">
        <v>365697.18</v>
      </c>
      <c r="AX979" s="65">
        <v>368502.72</v>
      </c>
      <c r="AY979" s="65">
        <v>371274.4</v>
      </c>
      <c r="AZ979" s="65">
        <v>373992.1</v>
      </c>
      <c r="BA979" s="65">
        <v>376120.0</v>
      </c>
      <c r="BB979" s="65">
        <v>376766.89</v>
      </c>
      <c r="BC979" s="65">
        <v>378011.47</v>
      </c>
      <c r="BD979" s="65">
        <v>381269.54</v>
      </c>
      <c r="BE979" s="65">
        <v>383981.33</v>
      </c>
      <c r="BF979" s="65">
        <v>386453.62</v>
      </c>
      <c r="BG979" s="65">
        <v>389948.92</v>
      </c>
      <c r="BH979" s="65">
        <v>393130.21</v>
      </c>
      <c r="BI979" s="65">
        <v>396874.73</v>
      </c>
      <c r="BJ979" s="65">
        <v>400802.57</v>
      </c>
      <c r="BK979" s="65">
        <v>404675.54</v>
      </c>
      <c r="BL979" s="65">
        <v>407791.68</v>
      </c>
      <c r="BM979" s="65">
        <v>412047.48</v>
      </c>
      <c r="BN979" s="65">
        <v>415177.1</v>
      </c>
      <c r="BO979" s="65">
        <v>418048.18</v>
      </c>
      <c r="BP979" s="65">
        <v>422572.8</v>
      </c>
      <c r="BQ979" s="65">
        <v>425512.3</v>
      </c>
      <c r="BR979" s="65">
        <v>429426.2</v>
      </c>
      <c r="BS979" s="65">
        <v>433741.93</v>
      </c>
      <c r="BT979" s="88">
        <v>435351.2</v>
      </c>
      <c r="BU979" s="65">
        <v>439704.5</v>
      </c>
      <c r="BV979" s="65">
        <v>443914.4</v>
      </c>
      <c r="BW979" s="90">
        <v>448068.1</v>
      </c>
      <c r="BX979" s="90">
        <v>451989.73</v>
      </c>
      <c r="BY979" s="90">
        <f t="array" ref="BY979">XLOOKUP(C979,'PL TOTAL D0'!$A$3:$A$1991,'PL TOTAL D0'!$C$3:$C$1991,"")</f>
        <v>456692.85</v>
      </c>
    </row>
    <row r="980" ht="15.75" customHeight="1">
      <c r="A980" s="43" t="s">
        <v>24</v>
      </c>
      <c r="B980" s="43" t="s">
        <v>8967</v>
      </c>
      <c r="C980" s="94" t="s">
        <v>8968</v>
      </c>
      <c r="D980" s="30" t="s">
        <v>120</v>
      </c>
      <c r="E980" s="22" t="s">
        <v>199</v>
      </c>
      <c r="F980" s="30" t="s">
        <v>1914</v>
      </c>
      <c r="G980" s="47" t="str">
        <f t="shared" si="39"/>
        <v>David</v>
      </c>
      <c r="H980" s="49" t="s">
        <v>224</v>
      </c>
      <c r="I980" s="49" t="s">
        <v>66</v>
      </c>
      <c r="J980" s="47" t="str">
        <f t="shared" si="38"/>
        <v>Não</v>
      </c>
      <c r="K980" s="54">
        <v>45338.0</v>
      </c>
      <c r="L980" s="55">
        <v>45799.0</v>
      </c>
      <c r="M980" s="32" t="s">
        <v>61</v>
      </c>
      <c r="N980" s="56">
        <v>0.012</v>
      </c>
      <c r="O980" s="23" t="s">
        <v>66</v>
      </c>
      <c r="P980" s="57">
        <v>0.0</v>
      </c>
      <c r="Q980" s="58"/>
      <c r="R980" s="736" t="s">
        <v>610</v>
      </c>
      <c r="S980" s="32" t="s">
        <v>194</v>
      </c>
      <c r="T980" s="22" t="s">
        <v>8969</v>
      </c>
      <c r="U980" s="33" t="s">
        <v>268</v>
      </c>
      <c r="V980" s="33"/>
      <c r="W980" s="33" t="s">
        <v>268</v>
      </c>
      <c r="X980" s="23" t="s">
        <v>199</v>
      </c>
      <c r="Y980" s="49" t="str">
        <f t="shared" si="40"/>
        <v>Encerrado</v>
      </c>
      <c r="Z980" s="62"/>
      <c r="AA980" s="62"/>
      <c r="AB980" s="64" t="s">
        <v>269</v>
      </c>
      <c r="AC980" s="79"/>
      <c r="AD980" s="54">
        <v>45338.0</v>
      </c>
      <c r="AE980" s="77">
        <v>4.9075100013446E13</v>
      </c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/>
      <c r="AS980" s="79"/>
      <c r="AT980" s="79"/>
      <c r="AU980" s="79"/>
      <c r="AV980" s="65">
        <v>422677.5</v>
      </c>
      <c r="AW980" s="65">
        <v>256538.48</v>
      </c>
      <c r="AX980" s="65">
        <v>258707.65</v>
      </c>
      <c r="AY980" s="65">
        <v>248937.5</v>
      </c>
      <c r="AZ980" s="65">
        <v>250924.6</v>
      </c>
      <c r="BA980" s="65">
        <v>242979.2</v>
      </c>
      <c r="BB980" s="65">
        <v>244950.13</v>
      </c>
      <c r="BC980" s="65">
        <v>246250.52</v>
      </c>
      <c r="BD980" s="65">
        <v>248465.65</v>
      </c>
      <c r="BE980" s="65">
        <v>278097.59</v>
      </c>
      <c r="BF980" s="65">
        <v>273889.0</v>
      </c>
      <c r="BG980" s="65">
        <v>0.0</v>
      </c>
      <c r="BH980" s="65">
        <v>0.0</v>
      </c>
      <c r="BI980" s="65">
        <v>0.0</v>
      </c>
      <c r="BJ980" s="65">
        <v>0.0</v>
      </c>
      <c r="BK980" s="65">
        <v>0.0</v>
      </c>
      <c r="BL980" s="65">
        <v>0.0</v>
      </c>
      <c r="BM980" s="65">
        <v>0.0</v>
      </c>
      <c r="BN980" s="65">
        <v>0.0</v>
      </c>
      <c r="BO980" s="65">
        <v>0.0</v>
      </c>
      <c r="BP980" s="65">
        <v>0.0</v>
      </c>
      <c r="BQ980" s="65">
        <v>0.0</v>
      </c>
      <c r="BR980" s="65">
        <v>0.0</v>
      </c>
      <c r="BS980" s="65">
        <v>0.0</v>
      </c>
      <c r="BT980" s="88">
        <v>0.0</v>
      </c>
      <c r="BU980" s="65">
        <v>0.0</v>
      </c>
      <c r="BV980" s="65">
        <v>0.0</v>
      </c>
      <c r="BW980" s="90">
        <v>0.0</v>
      </c>
      <c r="BX980" s="90">
        <v>0.0</v>
      </c>
      <c r="BY980" s="90" t="str">
        <f t="array" ref="BY980">XLOOKUP(C980,'PL TOTAL D0'!$A$3:$A$1991,'PL TOTAL D0'!$C$3:$C$1991,"")</f>
        <v/>
      </c>
    </row>
    <row r="981" ht="15.75" customHeight="1">
      <c r="A981" s="50" t="s">
        <v>24</v>
      </c>
      <c r="B981" s="50" t="s">
        <v>6838</v>
      </c>
      <c r="C981" s="94" t="s">
        <v>3100</v>
      </c>
      <c r="D981" s="81" t="s">
        <v>120</v>
      </c>
      <c r="E981" s="95" t="s">
        <v>199</v>
      </c>
      <c r="F981" s="30" t="s">
        <v>332</v>
      </c>
      <c r="G981" s="47" t="str">
        <f t="shared" si="39"/>
        <v>David</v>
      </c>
      <c r="H981" s="74" t="s">
        <v>183</v>
      </c>
      <c r="I981" s="74" t="s">
        <v>66</v>
      </c>
      <c r="J981" s="47" t="str">
        <f t="shared" si="38"/>
        <v>Não</v>
      </c>
      <c r="K981" s="97">
        <v>44994.0</v>
      </c>
      <c r="L981" s="62"/>
      <c r="M981" s="62" t="s">
        <v>61</v>
      </c>
      <c r="N981" s="98">
        <v>0.012</v>
      </c>
      <c r="O981" s="47" t="s">
        <v>66</v>
      </c>
      <c r="P981" s="99">
        <v>0.0</v>
      </c>
      <c r="Q981" s="58"/>
      <c r="R981" s="635"/>
      <c r="S981" s="62" t="s">
        <v>194</v>
      </c>
      <c r="T981" s="32" t="s">
        <v>6837</v>
      </c>
      <c r="U981" s="33">
        <v>5.561999857284E12</v>
      </c>
      <c r="V981" s="33" t="s">
        <v>8970</v>
      </c>
      <c r="W981" s="34">
        <v>21643.0</v>
      </c>
      <c r="X981" s="23" t="s">
        <v>199</v>
      </c>
      <c r="Y981" s="49" t="str">
        <f t="shared" si="40"/>
        <v>Ativo</v>
      </c>
      <c r="Z981" s="62"/>
      <c r="AA981" s="62"/>
      <c r="AB981" s="64" t="s">
        <v>269</v>
      </c>
      <c r="AC981" s="79"/>
      <c r="AD981" s="54">
        <v>44994.0</v>
      </c>
      <c r="AE981" s="77">
        <v>4.9075100009368E13</v>
      </c>
      <c r="AF981" s="79"/>
      <c r="AG981" s="79"/>
      <c r="AH981" s="79"/>
      <c r="AI981" s="79"/>
      <c r="AJ981" s="65">
        <v>0.0</v>
      </c>
      <c r="AK981" s="65">
        <v>165623.1</v>
      </c>
      <c r="AL981" s="65">
        <v>167201.9</v>
      </c>
      <c r="AM981" s="65">
        <v>168860.19</v>
      </c>
      <c r="AN981" s="65">
        <v>170307.91</v>
      </c>
      <c r="AO981" s="65">
        <v>171767.27</v>
      </c>
      <c r="AP981" s="65">
        <v>152684.86</v>
      </c>
      <c r="AQ981" s="65">
        <v>153125.67</v>
      </c>
      <c r="AR981" s="65">
        <v>153582.35</v>
      </c>
      <c r="AS981" s="65">
        <v>155453.48</v>
      </c>
      <c r="AT981" s="65">
        <v>157002.03</v>
      </c>
      <c r="AU981" s="65">
        <v>158147.74</v>
      </c>
      <c r="AV981" s="65">
        <v>159045.38</v>
      </c>
      <c r="AW981" s="65">
        <v>160214.99</v>
      </c>
      <c r="AX981" s="65">
        <v>160971.11</v>
      </c>
      <c r="AY981" s="65">
        <v>161089.9</v>
      </c>
      <c r="AZ981" s="65">
        <v>162047.9</v>
      </c>
      <c r="BA981" s="65">
        <v>162685.9</v>
      </c>
      <c r="BB981" s="65">
        <v>163341.11</v>
      </c>
      <c r="BC981" s="65">
        <v>164479.69</v>
      </c>
      <c r="BD981" s="65">
        <v>165879.87</v>
      </c>
      <c r="BE981" s="65">
        <v>166731.99</v>
      </c>
      <c r="BF981" s="65">
        <v>165418.76</v>
      </c>
      <c r="BG981" s="65">
        <v>166566.91</v>
      </c>
      <c r="BH981" s="65">
        <v>167630.42</v>
      </c>
      <c r="BI981" s="65">
        <v>169816.31</v>
      </c>
      <c r="BJ981" s="65">
        <v>171522.7</v>
      </c>
      <c r="BK981" s="65">
        <v>172714.57</v>
      </c>
      <c r="BL981" s="65">
        <v>224523.78</v>
      </c>
      <c r="BM981" s="65">
        <v>226992.07</v>
      </c>
      <c r="BN981" s="65">
        <v>229205.3</v>
      </c>
      <c r="BO981" s="65">
        <v>231191.12</v>
      </c>
      <c r="BP981" s="65">
        <v>233987.7</v>
      </c>
      <c r="BQ981" s="65">
        <v>235722.6</v>
      </c>
      <c r="BR981" s="65">
        <v>237960.3</v>
      </c>
      <c r="BS981" s="65">
        <v>240296.47</v>
      </c>
      <c r="BT981" s="88">
        <v>241539.4</v>
      </c>
      <c r="BU981" s="65">
        <v>244304.6</v>
      </c>
      <c r="BV981" s="65">
        <v>247115.2</v>
      </c>
      <c r="BW981" s="90">
        <v>249415.4</v>
      </c>
      <c r="BX981" s="90">
        <v>251672.91</v>
      </c>
      <c r="BY981" s="90">
        <f t="array" ref="BY981">XLOOKUP(C981,'PL TOTAL D0'!$A$3:$A$1991,'PL TOTAL D0'!$C$3:$C$1991,"")</f>
        <v>253528.26</v>
      </c>
    </row>
    <row r="982" ht="15.75" customHeight="1">
      <c r="A982" s="43" t="s">
        <v>24</v>
      </c>
      <c r="B982" s="43" t="s">
        <v>1519</v>
      </c>
      <c r="C982" s="94" t="s">
        <v>2652</v>
      </c>
      <c r="D982" s="30" t="s">
        <v>142</v>
      </c>
      <c r="E982" s="22" t="s">
        <v>54</v>
      </c>
      <c r="F982" s="30" t="s">
        <v>158</v>
      </c>
      <c r="G982" s="47" t="str">
        <f t="shared" si="39"/>
        <v>Marcus</v>
      </c>
      <c r="H982" s="49" t="s">
        <v>183</v>
      </c>
      <c r="I982" s="49" t="s">
        <v>66</v>
      </c>
      <c r="J982" s="47" t="str">
        <f t="shared" si="38"/>
        <v>Não</v>
      </c>
      <c r="K982" s="54">
        <v>45327.0</v>
      </c>
      <c r="L982" s="62"/>
      <c r="M982" s="27" t="s">
        <v>61</v>
      </c>
      <c r="N982" s="29">
        <v>0.012</v>
      </c>
      <c r="O982" s="30" t="s">
        <v>66</v>
      </c>
      <c r="P982" s="31">
        <v>0.0</v>
      </c>
      <c r="Q982" s="58"/>
      <c r="R982" s="195" t="s">
        <v>8971</v>
      </c>
      <c r="S982" s="32" t="s">
        <v>194</v>
      </c>
      <c r="T982" s="32" t="s">
        <v>1521</v>
      </c>
      <c r="U982" s="33">
        <v>6.1983484228E10</v>
      </c>
      <c r="V982" s="33" t="s">
        <v>1523</v>
      </c>
      <c r="W982" s="34">
        <v>28999.0</v>
      </c>
      <c r="X982" s="23" t="s">
        <v>199</v>
      </c>
      <c r="Y982" s="49" t="str">
        <f t="shared" si="40"/>
        <v>Ativo</v>
      </c>
      <c r="Z982" s="62"/>
      <c r="AA982" s="32" t="s">
        <v>47</v>
      </c>
      <c r="AB982" s="64" t="s">
        <v>269</v>
      </c>
      <c r="AC982" s="79"/>
      <c r="AD982" s="54">
        <v>45327.0</v>
      </c>
      <c r="AE982" s="77">
        <v>4.9075100013454E13</v>
      </c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/>
      <c r="AS982" s="79"/>
      <c r="AT982" s="79"/>
      <c r="AU982" s="65">
        <v>0.0</v>
      </c>
      <c r="AV982" s="65">
        <v>600257.94</v>
      </c>
      <c r="AW982" s="65">
        <v>603404.57</v>
      </c>
      <c r="AX982" s="65">
        <v>681852.95</v>
      </c>
      <c r="AY982" s="65">
        <v>681714.3</v>
      </c>
      <c r="AZ982" s="65">
        <v>705913.4</v>
      </c>
      <c r="BA982" s="65">
        <v>713578.3</v>
      </c>
      <c r="BB982" s="65">
        <v>721358.79</v>
      </c>
      <c r="BC982" s="65">
        <v>721303.04</v>
      </c>
      <c r="BD982" s="65">
        <v>722841.27</v>
      </c>
      <c r="BE982" s="65">
        <v>919180.14</v>
      </c>
      <c r="BF982" s="65">
        <v>926719.91</v>
      </c>
      <c r="BG982" s="65">
        <v>945266.46</v>
      </c>
      <c r="BH982" s="65">
        <v>951684.49</v>
      </c>
      <c r="BI982" s="65">
        <v>960409.91</v>
      </c>
      <c r="BJ982" s="65">
        <v>1024622.99</v>
      </c>
      <c r="BK982" s="65">
        <v>1034311.39</v>
      </c>
      <c r="BL982" s="65">
        <v>1076916.77</v>
      </c>
      <c r="BM982" s="65">
        <v>1126162.67</v>
      </c>
      <c r="BN982" s="65">
        <v>1166193.0</v>
      </c>
      <c r="BO982" s="65">
        <v>1214414.84</v>
      </c>
      <c r="BP982" s="65">
        <v>1226719.0</v>
      </c>
      <c r="BQ982" s="65">
        <v>1260115.0</v>
      </c>
      <c r="BR982" s="65">
        <v>1277860.0</v>
      </c>
      <c r="BS982" s="65">
        <v>1765491.03</v>
      </c>
      <c r="BT982" s="88">
        <v>1793539.0</v>
      </c>
      <c r="BU982" s="65">
        <v>1839130.0</v>
      </c>
      <c r="BV982" s="65">
        <v>1699823.0</v>
      </c>
      <c r="BW982" s="90">
        <v>1564856.0</v>
      </c>
      <c r="BX982" s="90">
        <v>1409979.7</v>
      </c>
      <c r="BY982" s="90">
        <f t="array" ref="BY982">XLOOKUP(C982,'PL TOTAL D0'!$A$3:$A$1991,'PL TOTAL D0'!$C$3:$C$1991,"")</f>
        <v>1438507.76</v>
      </c>
    </row>
    <row r="983" ht="15.75" customHeight="1">
      <c r="A983" s="50" t="s">
        <v>24</v>
      </c>
      <c r="B983" s="50" t="s">
        <v>8972</v>
      </c>
      <c r="C983" s="94" t="s">
        <v>8973</v>
      </c>
      <c r="D983" s="81" t="s">
        <v>120</v>
      </c>
      <c r="E983" s="95" t="s">
        <v>54</v>
      </c>
      <c r="F983" s="81" t="s">
        <v>348</v>
      </c>
      <c r="G983" s="47" t="str">
        <f t="shared" si="39"/>
        <v>David</v>
      </c>
      <c r="H983" s="49" t="s">
        <v>295</v>
      </c>
      <c r="I983" s="49" t="s">
        <v>382</v>
      </c>
      <c r="J983" s="47" t="str">
        <f t="shared" si="38"/>
        <v>Não</v>
      </c>
      <c r="K983" s="97">
        <v>45098.0</v>
      </c>
      <c r="L983" s="189"/>
      <c r="M983" s="62" t="s">
        <v>61</v>
      </c>
      <c r="N983" s="98">
        <v>0.012</v>
      </c>
      <c r="O983" s="47" t="s">
        <v>66</v>
      </c>
      <c r="P983" s="99">
        <v>0.0</v>
      </c>
      <c r="Q983" s="58"/>
      <c r="R983" s="70"/>
      <c r="S983" s="62" t="s">
        <v>194</v>
      </c>
      <c r="T983" s="32" t="s">
        <v>8974</v>
      </c>
      <c r="U983" s="33">
        <v>5.562984147449E12</v>
      </c>
      <c r="V983" s="33" t="s">
        <v>8975</v>
      </c>
      <c r="W983" s="34">
        <v>32971.0</v>
      </c>
      <c r="X983" s="23" t="s">
        <v>54</v>
      </c>
      <c r="Y983" s="49" t="str">
        <f t="shared" si="40"/>
        <v>Ativo</v>
      </c>
      <c r="Z983" s="62"/>
      <c r="AA983" s="62"/>
      <c r="AB983" s="64" t="s">
        <v>269</v>
      </c>
      <c r="AC983" s="79"/>
      <c r="AD983" s="54">
        <v>45098.0</v>
      </c>
      <c r="AE983" s="77">
        <v>4.907510000814E13</v>
      </c>
      <c r="AF983" s="79"/>
      <c r="AG983" s="79"/>
      <c r="AH983" s="79"/>
      <c r="AI983" s="79"/>
      <c r="AJ983" s="79"/>
      <c r="AK983" s="79"/>
      <c r="AL983" s="79"/>
      <c r="AM983" s="79"/>
      <c r="AN983" s="65">
        <v>28087.71</v>
      </c>
      <c r="AO983" s="65">
        <v>353259.52</v>
      </c>
      <c r="AP983" s="65">
        <v>356967.54</v>
      </c>
      <c r="AQ983" s="65">
        <v>359380.24</v>
      </c>
      <c r="AR983" s="65">
        <v>362555.21</v>
      </c>
      <c r="AS983" s="65">
        <v>365243.39</v>
      </c>
      <c r="AT983" s="65">
        <v>367695.2</v>
      </c>
      <c r="AU983" s="65">
        <v>370412.66</v>
      </c>
      <c r="AV983" s="65">
        <v>372718.31</v>
      </c>
      <c r="AW983" s="65">
        <v>125398.61</v>
      </c>
      <c r="AX983" s="65">
        <v>126260.57</v>
      </c>
      <c r="AY983" s="65">
        <v>94273.79</v>
      </c>
      <c r="AZ983" s="65">
        <v>95027.58</v>
      </c>
      <c r="BA983" s="65">
        <v>95803.97</v>
      </c>
      <c r="BB983" s="65">
        <v>76251.91</v>
      </c>
      <c r="BC983" s="65">
        <v>45870.21</v>
      </c>
      <c r="BD983" s="65">
        <v>0.0</v>
      </c>
      <c r="BE983" s="65">
        <v>0.0</v>
      </c>
      <c r="BF983" s="65">
        <v>0.45</v>
      </c>
      <c r="BG983" s="65">
        <v>0.45</v>
      </c>
      <c r="BH983" s="65">
        <v>0.45</v>
      </c>
      <c r="BI983" s="65">
        <v>0.45</v>
      </c>
      <c r="BJ983" s="65">
        <v>0.0</v>
      </c>
      <c r="BK983" s="65">
        <v>0.0</v>
      </c>
      <c r="BL983" s="65">
        <v>0.0</v>
      </c>
      <c r="BM983" s="65">
        <v>0.0</v>
      </c>
      <c r="BN983" s="65">
        <v>0.0</v>
      </c>
      <c r="BO983" s="65">
        <v>0.0</v>
      </c>
      <c r="BP983" s="65">
        <v>0.0</v>
      </c>
      <c r="BQ983" s="65">
        <v>0.0</v>
      </c>
      <c r="BR983" s="65">
        <v>0.0</v>
      </c>
      <c r="BS983" s="65">
        <v>0.0</v>
      </c>
      <c r="BT983" s="88">
        <v>0.0</v>
      </c>
      <c r="BU983" s="65">
        <v>0.0</v>
      </c>
      <c r="BV983" s="65">
        <v>0.0</v>
      </c>
      <c r="BW983" s="90">
        <v>0.0</v>
      </c>
      <c r="BX983" s="90">
        <v>0.0</v>
      </c>
      <c r="BY983" s="90" t="str">
        <f t="array" ref="BY983">XLOOKUP(C983,'PL TOTAL D0'!$A$3:$A$1991,'PL TOTAL D0'!$C$3:$C$1991,"")</f>
        <v/>
      </c>
    </row>
    <row r="984" ht="15.75" customHeight="1">
      <c r="A984" s="50" t="s">
        <v>24</v>
      </c>
      <c r="B984" s="50" t="s">
        <v>8976</v>
      </c>
      <c r="C984" s="94" t="s">
        <v>3431</v>
      </c>
      <c r="D984" s="81" t="s">
        <v>120</v>
      </c>
      <c r="E984" s="95" t="s">
        <v>199</v>
      </c>
      <c r="F984" s="81" t="s">
        <v>290</v>
      </c>
      <c r="G984" s="47" t="str">
        <f t="shared" si="39"/>
        <v>David</v>
      </c>
      <c r="H984" s="49" t="s">
        <v>183</v>
      </c>
      <c r="I984" s="49" t="s">
        <v>66</v>
      </c>
      <c r="J984" s="47" t="str">
        <f t="shared" si="38"/>
        <v>Não</v>
      </c>
      <c r="K984" s="97">
        <v>44928.0</v>
      </c>
      <c r="L984" s="62"/>
      <c r="M984" s="32" t="s">
        <v>34</v>
      </c>
      <c r="N984" s="98">
        <v>0.0</v>
      </c>
      <c r="O984" s="47" t="s">
        <v>66</v>
      </c>
      <c r="P984" s="99">
        <v>0.0</v>
      </c>
      <c r="Q984" s="58"/>
      <c r="R984" s="635"/>
      <c r="S984" s="62" t="s">
        <v>194</v>
      </c>
      <c r="T984" s="32" t="s">
        <v>8977</v>
      </c>
      <c r="U984" s="33">
        <v>6.1991293813E10</v>
      </c>
      <c r="V984" s="33" t="s">
        <v>8978</v>
      </c>
      <c r="W984" s="34">
        <v>26305.0</v>
      </c>
      <c r="X984" s="23" t="s">
        <v>199</v>
      </c>
      <c r="Y984" s="49" t="str">
        <f t="shared" si="40"/>
        <v>Ativo</v>
      </c>
      <c r="Z984" s="62"/>
      <c r="AA984" s="32" t="s">
        <v>47</v>
      </c>
      <c r="AB984" s="64" t="s">
        <v>244</v>
      </c>
      <c r="AC984" s="79"/>
      <c r="AD984" s="54">
        <v>44928.0</v>
      </c>
      <c r="AE984" s="77">
        <v>4.9075100006288E13</v>
      </c>
      <c r="AF984" s="79"/>
      <c r="AG984" s="79"/>
      <c r="AH984" s="65">
        <v>64015.93</v>
      </c>
      <c r="AI984" s="65">
        <v>59888.92</v>
      </c>
      <c r="AJ984" s="65">
        <v>44917.04</v>
      </c>
      <c r="AK984" s="65">
        <v>46776.24</v>
      </c>
      <c r="AL984" s="65">
        <v>51910.5</v>
      </c>
      <c r="AM984" s="65">
        <v>56248.95</v>
      </c>
      <c r="AN984" s="65">
        <v>56870.02</v>
      </c>
      <c r="AO984" s="65">
        <v>41471.87</v>
      </c>
      <c r="AP984" s="65">
        <v>46115.8</v>
      </c>
      <c r="AQ984" s="65">
        <v>42232.68</v>
      </c>
      <c r="AR984" s="65">
        <v>39568.06</v>
      </c>
      <c r="AS984" s="65">
        <v>43508.72</v>
      </c>
      <c r="AT984" s="65">
        <v>64045.57</v>
      </c>
      <c r="AU984" s="65">
        <v>66948.91</v>
      </c>
      <c r="AV984" s="65">
        <v>67122.48</v>
      </c>
      <c r="AW984" s="65">
        <v>68171.38</v>
      </c>
      <c r="AX984" s="65">
        <v>68787.96</v>
      </c>
      <c r="AY984" s="65">
        <v>69355.69</v>
      </c>
      <c r="AZ984" s="65">
        <v>65966.85</v>
      </c>
      <c r="BA984" s="65">
        <v>65270.72</v>
      </c>
      <c r="BB984" s="65">
        <v>73265.9</v>
      </c>
      <c r="BC984" s="65">
        <v>73975.41</v>
      </c>
      <c r="BD984" s="65">
        <v>74179.12</v>
      </c>
      <c r="BE984" s="65">
        <v>73975.66</v>
      </c>
      <c r="BF984" s="65">
        <v>92225.65</v>
      </c>
      <c r="BG984" s="65">
        <v>95710.54</v>
      </c>
      <c r="BH984" s="65">
        <v>90825.62</v>
      </c>
      <c r="BI984" s="65">
        <v>92446.63</v>
      </c>
      <c r="BJ984" s="65">
        <v>78318.48</v>
      </c>
      <c r="BK984" s="65">
        <v>85479.11</v>
      </c>
      <c r="BL984" s="65">
        <v>86867.19</v>
      </c>
      <c r="BM984" s="65">
        <v>87930.04</v>
      </c>
      <c r="BN984" s="65">
        <v>83714.72</v>
      </c>
      <c r="BO984" s="65">
        <v>75480.42</v>
      </c>
      <c r="BP984" s="65">
        <v>75368.68</v>
      </c>
      <c r="BQ984" s="65">
        <v>70023.14</v>
      </c>
      <c r="BR984" s="65">
        <v>78842.6</v>
      </c>
      <c r="BS984" s="65">
        <v>68794.67</v>
      </c>
      <c r="BT984" s="88">
        <v>71295.18</v>
      </c>
      <c r="BU984" s="65">
        <v>70877.48</v>
      </c>
      <c r="BV984" s="65">
        <v>56563.4</v>
      </c>
      <c r="BW984" s="90">
        <v>55681.39</v>
      </c>
      <c r="BX984" s="90">
        <v>48583.04</v>
      </c>
      <c r="BY984" s="90">
        <f t="array" ref="BY984">XLOOKUP(C984,'PL TOTAL D0'!$A$3:$A$1991,'PL TOTAL D0'!$C$3:$C$1991,"")</f>
        <v>56821.67</v>
      </c>
    </row>
    <row r="985" ht="15.75" customHeight="1">
      <c r="A985" s="50" t="s">
        <v>24</v>
      </c>
      <c r="B985" s="43" t="s">
        <v>8976</v>
      </c>
      <c r="C985" s="94" t="s">
        <v>8979</v>
      </c>
      <c r="D985" s="81" t="s">
        <v>120</v>
      </c>
      <c r="E985" s="95" t="s">
        <v>199</v>
      </c>
      <c r="F985" s="81" t="s">
        <v>290</v>
      </c>
      <c r="G985" s="47" t="str">
        <f t="shared" si="39"/>
        <v>David</v>
      </c>
      <c r="H985" s="49" t="s">
        <v>183</v>
      </c>
      <c r="I985" s="49" t="s">
        <v>66</v>
      </c>
      <c r="J985" s="47" t="str">
        <f t="shared" si="38"/>
        <v>Não</v>
      </c>
      <c r="K985" s="54">
        <v>45755.0</v>
      </c>
      <c r="L985" s="62"/>
      <c r="M985" s="32" t="s">
        <v>4564</v>
      </c>
      <c r="N985" s="56">
        <v>0.0</v>
      </c>
      <c r="O985" s="23" t="s">
        <v>66</v>
      </c>
      <c r="P985" s="57">
        <v>0.0</v>
      </c>
      <c r="Q985" s="58"/>
      <c r="R985" s="635"/>
      <c r="S985" s="62" t="s">
        <v>194</v>
      </c>
      <c r="T985" s="32" t="s">
        <v>8977</v>
      </c>
      <c r="U985" s="33">
        <v>6.1991293813E10</v>
      </c>
      <c r="V985" s="33" t="s">
        <v>8978</v>
      </c>
      <c r="W985" s="34">
        <v>26305.0</v>
      </c>
      <c r="X985" s="23" t="s">
        <v>199</v>
      </c>
      <c r="Y985" s="49" t="str">
        <f t="shared" si="40"/>
        <v>Ativo</v>
      </c>
      <c r="Z985" s="62"/>
      <c r="AA985" s="32" t="s">
        <v>47</v>
      </c>
      <c r="AB985" s="64"/>
      <c r="AC985" s="79"/>
      <c r="AD985" s="54">
        <v>45757.0</v>
      </c>
      <c r="AE985" s="77">
        <v>4.9075100018634E13</v>
      </c>
      <c r="AF985" s="79"/>
      <c r="AG985" s="79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  <c r="AV985" s="65"/>
      <c r="AW985" s="65"/>
      <c r="AX985" s="65"/>
      <c r="AY985" s="65"/>
      <c r="AZ985" s="65"/>
      <c r="BA985" s="65"/>
      <c r="BB985" s="65"/>
      <c r="BC985" s="65"/>
      <c r="BD985" s="65"/>
      <c r="BE985" s="65"/>
      <c r="BF985" s="65"/>
      <c r="BG985" s="65"/>
      <c r="BH985" s="65"/>
      <c r="BI985" s="65"/>
      <c r="BJ985" s="65">
        <v>21550.04</v>
      </c>
      <c r="BK985" s="65">
        <v>23148.4</v>
      </c>
      <c r="BL985" s="65">
        <v>23617.75</v>
      </c>
      <c r="BM985" s="65">
        <v>25163.49</v>
      </c>
      <c r="BN985" s="65">
        <v>24834.47</v>
      </c>
      <c r="BO985" s="65">
        <v>25167.95</v>
      </c>
      <c r="BP985" s="65">
        <v>26448.03</v>
      </c>
      <c r="BQ985" s="65">
        <v>26262.88</v>
      </c>
      <c r="BR985" s="65">
        <v>37421.33</v>
      </c>
      <c r="BS985" s="65">
        <v>36682.81</v>
      </c>
      <c r="BT985" s="88">
        <v>35456.9</v>
      </c>
      <c r="BU985" s="65">
        <v>35239.94</v>
      </c>
      <c r="BV985" s="65">
        <v>35805.43</v>
      </c>
      <c r="BW985" s="90">
        <v>-3353.53</v>
      </c>
      <c r="BX985" s="90">
        <v>8248.9</v>
      </c>
      <c r="BY985" s="90" t="str">
        <f t="array" ref="BY985">XLOOKUP(C985,'PL TOTAL D0'!$A$3:$A$1991,'PL TOTAL D0'!$C$3:$C$1991,"")</f>
        <v/>
      </c>
    </row>
    <row r="986" ht="15.75" customHeight="1">
      <c r="A986" s="50" t="s">
        <v>24</v>
      </c>
      <c r="B986" s="50" t="s">
        <v>1348</v>
      </c>
      <c r="C986" s="94" t="s">
        <v>3047</v>
      </c>
      <c r="D986" s="30" t="s">
        <v>89</v>
      </c>
      <c r="E986" s="95" t="s">
        <v>91</v>
      </c>
      <c r="F986" s="81" t="s">
        <v>521</v>
      </c>
      <c r="G986" s="47" t="str">
        <f t="shared" si="39"/>
        <v>Gabriel</v>
      </c>
      <c r="H986" s="49" t="s">
        <v>183</v>
      </c>
      <c r="I986" s="49" t="s">
        <v>66</v>
      </c>
      <c r="J986" s="47" t="str">
        <f t="shared" si="38"/>
        <v>Não</v>
      </c>
      <c r="K986" s="97">
        <v>45163.0</v>
      </c>
      <c r="L986" s="189"/>
      <c r="M986" s="32" t="s">
        <v>61</v>
      </c>
      <c r="N986" s="56">
        <v>0.012</v>
      </c>
      <c r="O986" s="23" t="s">
        <v>66</v>
      </c>
      <c r="P986" s="57">
        <v>0.0</v>
      </c>
      <c r="Q986" s="58"/>
      <c r="R986" s="58" t="s">
        <v>8980</v>
      </c>
      <c r="S986" s="62" t="s">
        <v>194</v>
      </c>
      <c r="T986" s="32" t="s">
        <v>1354</v>
      </c>
      <c r="U986" s="33">
        <v>5.543998362425E12</v>
      </c>
      <c r="V986" s="33" t="s">
        <v>8981</v>
      </c>
      <c r="W986" s="34">
        <v>29351.0</v>
      </c>
      <c r="X986" s="23" t="s">
        <v>221</v>
      </c>
      <c r="Y986" s="49" t="str">
        <f t="shared" si="40"/>
        <v>Ativo</v>
      </c>
      <c r="Z986" s="62"/>
      <c r="AA986" s="32" t="s">
        <v>47</v>
      </c>
      <c r="AB986" s="64" t="s">
        <v>269</v>
      </c>
      <c r="AC986" s="79"/>
      <c r="AD986" s="54">
        <v>45163.0</v>
      </c>
      <c r="AE986" s="77">
        <v>4.9075100011877E13</v>
      </c>
      <c r="AF986" s="79"/>
      <c r="AG986" s="79"/>
      <c r="AH986" s="79"/>
      <c r="AI986" s="79"/>
      <c r="AJ986" s="79"/>
      <c r="AK986" s="65">
        <v>0.0</v>
      </c>
      <c r="AL986" s="65">
        <v>0.0</v>
      </c>
      <c r="AM986" s="65">
        <v>0.0</v>
      </c>
      <c r="AN986" s="65">
        <v>0.0</v>
      </c>
      <c r="AO986" s="65">
        <v>0.0</v>
      </c>
      <c r="AP986" s="65">
        <v>0.0</v>
      </c>
      <c r="AQ986" s="65">
        <v>0.0</v>
      </c>
      <c r="AR986" s="65">
        <v>0.0</v>
      </c>
      <c r="AS986" s="65">
        <v>0.0</v>
      </c>
      <c r="AT986" s="65">
        <v>0.0</v>
      </c>
      <c r="AU986" s="65">
        <v>138546.58</v>
      </c>
      <c r="AV986" s="65">
        <v>139562.43</v>
      </c>
      <c r="AW986" s="65">
        <v>140246.64</v>
      </c>
      <c r="AX986" s="65">
        <v>139258.12</v>
      </c>
      <c r="AY986" s="65">
        <v>138801.3</v>
      </c>
      <c r="AZ986" s="65">
        <v>139604.8</v>
      </c>
      <c r="BA986" s="65">
        <v>141253.9</v>
      </c>
      <c r="BB986" s="65">
        <v>142854.74</v>
      </c>
      <c r="BC986" s="65">
        <v>142692.36</v>
      </c>
      <c r="BD986" s="65">
        <v>141830.04</v>
      </c>
      <c r="BE986" s="65">
        <v>141102.26</v>
      </c>
      <c r="BF986" s="65">
        <v>141021.22</v>
      </c>
      <c r="BG986" s="65">
        <v>260907.86</v>
      </c>
      <c r="BH986" s="65">
        <v>263532.47</v>
      </c>
      <c r="BI986" s="65">
        <v>265941.95</v>
      </c>
      <c r="BJ986" s="65">
        <v>268519.1</v>
      </c>
      <c r="BK986" s="65">
        <v>270860.21</v>
      </c>
      <c r="BL986" s="65">
        <v>273039.56</v>
      </c>
      <c r="BM986" s="65">
        <v>276027.8</v>
      </c>
      <c r="BN986" s="65">
        <v>278805.3</v>
      </c>
      <c r="BO986" s="65">
        <v>281371.4</v>
      </c>
      <c r="BP986" s="65">
        <v>284813.0</v>
      </c>
      <c r="BQ986" s="65">
        <v>287135.5</v>
      </c>
      <c r="BR986" s="65">
        <v>289977.4</v>
      </c>
      <c r="BS986" s="65">
        <v>293223.05</v>
      </c>
      <c r="BT986" s="88">
        <v>295721.9</v>
      </c>
      <c r="BU986" s="65">
        <v>299406.2</v>
      </c>
      <c r="BV986" s="65">
        <v>303012.1</v>
      </c>
      <c r="BW986" s="90">
        <v>305482.2</v>
      </c>
      <c r="BX986" s="90">
        <v>308459.71</v>
      </c>
      <c r="BY986" s="90">
        <f t="array" ref="BY986">XLOOKUP(C986,'PL TOTAL D0'!$A$3:$A$1991,'PL TOTAL D0'!$C$3:$C$1991,"")</f>
        <v>310628.04</v>
      </c>
    </row>
    <row r="987" ht="15.75" customHeight="1">
      <c r="A987" s="50" t="s">
        <v>24</v>
      </c>
      <c r="B987" s="39" t="s">
        <v>8982</v>
      </c>
      <c r="C987" s="94" t="s">
        <v>8983</v>
      </c>
      <c r="D987" s="30" t="s">
        <v>89</v>
      </c>
      <c r="E987" s="95" t="s">
        <v>91</v>
      </c>
      <c r="F987" s="81" t="s">
        <v>521</v>
      </c>
      <c r="G987" s="47" t="str">
        <f t="shared" si="39"/>
        <v>David</v>
      </c>
      <c r="H987" s="74" t="s">
        <v>224</v>
      </c>
      <c r="I987" s="49" t="s">
        <v>66</v>
      </c>
      <c r="J987" s="47" t="str">
        <f>IF(#REF!=0,"Não","Sim")</f>
        <v>#REF!</v>
      </c>
      <c r="K987" s="97">
        <v>45035.0</v>
      </c>
      <c r="L987" s="557">
        <v>45273.0</v>
      </c>
      <c r="M987" s="62" t="s">
        <v>61</v>
      </c>
      <c r="N987" s="98">
        <v>0.012</v>
      </c>
      <c r="O987" s="47" t="s">
        <v>66</v>
      </c>
      <c r="P987" s="99">
        <v>0.0</v>
      </c>
      <c r="Q987" s="58"/>
      <c r="R987" s="58"/>
      <c r="S987" s="62" t="s">
        <v>194</v>
      </c>
      <c r="T987" s="32" t="s">
        <v>1354</v>
      </c>
      <c r="U987" s="33" t="s">
        <v>268</v>
      </c>
      <c r="V987" s="33"/>
      <c r="W987" s="33" t="s">
        <v>268</v>
      </c>
      <c r="X987" s="23" t="s">
        <v>221</v>
      </c>
      <c r="Y987" s="49" t="str">
        <f t="shared" si="40"/>
        <v>Encerrado</v>
      </c>
      <c r="Z987" s="62"/>
      <c r="AA987" s="62"/>
      <c r="AB987" s="64"/>
      <c r="AC987" s="79"/>
      <c r="AD987" s="54">
        <v>45035.0</v>
      </c>
      <c r="AE987" s="77"/>
      <c r="AF987" s="79"/>
      <c r="AG987" s="79"/>
      <c r="AH987" s="79"/>
      <c r="AI987" s="79"/>
      <c r="AJ987" s="79"/>
      <c r="AK987" s="65">
        <v>0.0</v>
      </c>
      <c r="AL987" s="65">
        <v>701737.29</v>
      </c>
      <c r="AM987" s="65">
        <v>709516.96</v>
      </c>
      <c r="AN987" s="65">
        <v>311081.44</v>
      </c>
      <c r="AO987" s="65">
        <v>313149.4</v>
      </c>
      <c r="AP987" s="65">
        <v>313634.66</v>
      </c>
      <c r="AQ987" s="65">
        <v>3.86</v>
      </c>
      <c r="AR987" s="65">
        <v>3.86</v>
      </c>
      <c r="AS987" s="65">
        <v>3.86</v>
      </c>
      <c r="AT987" s="65">
        <v>0.0</v>
      </c>
      <c r="AU987" s="65">
        <v>0.0</v>
      </c>
      <c r="AV987" s="65">
        <v>0.0</v>
      </c>
      <c r="AW987" s="65">
        <v>0.0</v>
      </c>
      <c r="AX987" s="65">
        <v>0.0</v>
      </c>
      <c r="AY987" s="65">
        <v>0.0</v>
      </c>
      <c r="AZ987" s="65">
        <v>0.0</v>
      </c>
      <c r="BA987" s="65">
        <v>0.0</v>
      </c>
      <c r="BB987" s="65">
        <v>0.0</v>
      </c>
      <c r="BC987" s="65">
        <v>0.0</v>
      </c>
      <c r="BD987" s="65">
        <v>0.0</v>
      </c>
      <c r="BE987" s="65">
        <v>0.0</v>
      </c>
      <c r="BF987" s="65">
        <v>0.0</v>
      </c>
      <c r="BG987" s="65">
        <v>0.0</v>
      </c>
      <c r="BH987" s="65">
        <v>0.0</v>
      </c>
      <c r="BI987" s="65">
        <v>0.0</v>
      </c>
      <c r="BJ987" s="65">
        <v>0.0</v>
      </c>
      <c r="BK987" s="65">
        <v>0.0</v>
      </c>
      <c r="BL987" s="65">
        <v>0.0</v>
      </c>
      <c r="BM987" s="65">
        <v>0.0</v>
      </c>
      <c r="BN987" s="65">
        <v>0.0</v>
      </c>
      <c r="BO987" s="65">
        <v>0.0</v>
      </c>
      <c r="BP987" s="65">
        <v>0.0</v>
      </c>
      <c r="BQ987" s="65">
        <v>0.0</v>
      </c>
      <c r="BR987" s="65">
        <v>0.0</v>
      </c>
      <c r="BS987" s="65">
        <v>0.0</v>
      </c>
      <c r="BT987" s="88">
        <v>0.0</v>
      </c>
      <c r="BU987" s="65">
        <v>0.0</v>
      </c>
      <c r="BV987" s="65">
        <v>0.0</v>
      </c>
      <c r="BW987" s="90">
        <v>0.0</v>
      </c>
      <c r="BX987" s="90">
        <v>0.0</v>
      </c>
      <c r="BY987" s="90" t="str">
        <f t="array" ref="BY987">XLOOKUP(C987,'PL TOTAL D0'!$A$3:$A$1991,'PL TOTAL D0'!$C$3:$C$1991,"")</f>
        <v/>
      </c>
    </row>
    <row r="988" ht="15.75" customHeight="1">
      <c r="A988" s="43" t="s">
        <v>24</v>
      </c>
      <c r="B988" s="39" t="s">
        <v>8984</v>
      </c>
      <c r="C988" s="94" t="s">
        <v>2806</v>
      </c>
      <c r="D988" s="30" t="s">
        <v>120</v>
      </c>
      <c r="E988" s="22" t="s">
        <v>54</v>
      </c>
      <c r="F988" s="30" t="s">
        <v>125</v>
      </c>
      <c r="G988" s="47" t="str">
        <f t="shared" si="39"/>
        <v>Marcus</v>
      </c>
      <c r="H988" s="49" t="s">
        <v>183</v>
      </c>
      <c r="I988" s="49" t="s">
        <v>66</v>
      </c>
      <c r="J988" s="23" t="s">
        <v>563</v>
      </c>
      <c r="K988" s="54">
        <v>45427.0</v>
      </c>
      <c r="L988" s="557"/>
      <c r="M988" s="32" t="s">
        <v>1443</v>
      </c>
      <c r="N988" s="56">
        <v>0.01</v>
      </c>
      <c r="O988" s="23" t="s">
        <v>35</v>
      </c>
      <c r="P988" s="57">
        <v>0.1</v>
      </c>
      <c r="Q988" s="58" t="s">
        <v>7894</v>
      </c>
      <c r="R988" s="58"/>
      <c r="S988" s="32" t="s">
        <v>194</v>
      </c>
      <c r="T988" s="32" t="s">
        <v>8985</v>
      </c>
      <c r="U988" s="33">
        <v>5.562981375138E12</v>
      </c>
      <c r="V988" s="33" t="s">
        <v>8986</v>
      </c>
      <c r="W988" s="48">
        <v>28852.0</v>
      </c>
      <c r="X988" s="23" t="s">
        <v>54</v>
      </c>
      <c r="Y988" s="49" t="str">
        <f t="shared" si="40"/>
        <v>Ativo</v>
      </c>
      <c r="Z988" s="62"/>
      <c r="AA988" s="62"/>
      <c r="AB988" s="64" t="s">
        <v>269</v>
      </c>
      <c r="AC988" s="79"/>
      <c r="AD988" s="54">
        <v>45427.0</v>
      </c>
      <c r="AE988" s="77">
        <v>4.9075100014681E13</v>
      </c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79"/>
      <c r="AS988" s="79"/>
      <c r="AT988" s="79"/>
      <c r="AU988" s="79"/>
      <c r="AV988" s="65"/>
      <c r="AW988" s="65"/>
      <c r="AX988" s="65"/>
      <c r="AY988" s="65">
        <v>0.0</v>
      </c>
      <c r="AZ988" s="65">
        <v>727143.8</v>
      </c>
      <c r="BA988" s="65">
        <v>1242904.0</v>
      </c>
      <c r="BB988" s="65">
        <v>1252702.46</v>
      </c>
      <c r="BC988" s="65">
        <v>1262225.32</v>
      </c>
      <c r="BD988" s="65">
        <v>1933920.7</v>
      </c>
      <c r="BE988" s="65">
        <v>1642565.29</v>
      </c>
      <c r="BF988" s="65">
        <v>1417116.01</v>
      </c>
      <c r="BG988" s="65">
        <v>1128155.07</v>
      </c>
      <c r="BH988" s="65">
        <v>865366.81</v>
      </c>
      <c r="BI988" s="65">
        <v>747116.6</v>
      </c>
      <c r="BJ988" s="65">
        <v>900465.09</v>
      </c>
      <c r="BK988" s="65">
        <v>706105.19</v>
      </c>
      <c r="BL988" s="65">
        <v>883291.21</v>
      </c>
      <c r="BM988" s="65">
        <v>691782.76</v>
      </c>
      <c r="BN988" s="65">
        <v>547278.6</v>
      </c>
      <c r="BO988" s="65">
        <v>903836.64</v>
      </c>
      <c r="BP988" s="65">
        <v>1095707.0</v>
      </c>
      <c r="BQ988" s="65">
        <v>983986.2</v>
      </c>
      <c r="BR988" s="65">
        <v>898772.8</v>
      </c>
      <c r="BS988" s="65">
        <v>996584.86</v>
      </c>
      <c r="BT988" s="88">
        <v>925784.4</v>
      </c>
      <c r="BU988" s="65">
        <v>877254.5</v>
      </c>
      <c r="BV988" s="65">
        <v>823715.7</v>
      </c>
      <c r="BW988" s="90">
        <v>729707.7</v>
      </c>
      <c r="BX988" s="90">
        <v>642243.48</v>
      </c>
      <c r="BY988" s="90">
        <f t="array" ref="BY988">XLOOKUP(C988,'PL TOTAL D0'!$A$3:$A$1991,'PL TOTAL D0'!$C$3:$C$1991,"")</f>
        <v>649075.29</v>
      </c>
    </row>
    <row r="989" ht="15.75" customHeight="1">
      <c r="A989" s="43" t="s">
        <v>24</v>
      </c>
      <c r="B989" s="39" t="s">
        <v>8984</v>
      </c>
      <c r="C989" s="94" t="s">
        <v>2884</v>
      </c>
      <c r="D989" s="30" t="s">
        <v>120</v>
      </c>
      <c r="E989" s="22" t="s">
        <v>54</v>
      </c>
      <c r="F989" s="30" t="s">
        <v>379</v>
      </c>
      <c r="G989" s="47" t="str">
        <f t="shared" si="39"/>
        <v>Gabriel</v>
      </c>
      <c r="H989" s="49" t="s">
        <v>295</v>
      </c>
      <c r="I989" s="49" t="s">
        <v>447</v>
      </c>
      <c r="J989" s="23" t="s">
        <v>563</v>
      </c>
      <c r="K989" s="54">
        <v>45393.0</v>
      </c>
      <c r="L989" s="557"/>
      <c r="M989" s="32" t="s">
        <v>3669</v>
      </c>
      <c r="N989" s="56">
        <v>0.0</v>
      </c>
      <c r="O989" s="23" t="s">
        <v>66</v>
      </c>
      <c r="P989" s="57">
        <v>0.0</v>
      </c>
      <c r="Q989" s="58"/>
      <c r="R989" s="58"/>
      <c r="S989" s="32" t="s">
        <v>194</v>
      </c>
      <c r="T989" s="32" t="s">
        <v>8985</v>
      </c>
      <c r="U989" s="33">
        <v>5.562981375138E12</v>
      </c>
      <c r="V989" s="33" t="s">
        <v>8986</v>
      </c>
      <c r="W989" s="48">
        <v>28852.0</v>
      </c>
      <c r="X989" s="23" t="s">
        <v>54</v>
      </c>
      <c r="Y989" s="49" t="str">
        <f t="shared" si="40"/>
        <v>Ativo</v>
      </c>
      <c r="Z989" s="62"/>
      <c r="AA989" s="62"/>
      <c r="AB989" s="64" t="s">
        <v>269</v>
      </c>
      <c r="AC989" s="79"/>
      <c r="AD989" s="54">
        <v>45393.0</v>
      </c>
      <c r="AE989" s="77">
        <v>4.9075100014388E13</v>
      </c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  <c r="AR989" s="79"/>
      <c r="AS989" s="79"/>
      <c r="AT989" s="79"/>
      <c r="AU989" s="79"/>
      <c r="AV989" s="65"/>
      <c r="AW989" s="65"/>
      <c r="AX989" s="65">
        <v>3570485.61</v>
      </c>
      <c r="AY989" s="65">
        <v>3592455.0</v>
      </c>
      <c r="AZ989" s="65">
        <v>2607409.0</v>
      </c>
      <c r="BA989" s="65">
        <v>2403584.0</v>
      </c>
      <c r="BB989" s="65">
        <v>2421880.7</v>
      </c>
      <c r="BC989" s="65">
        <v>2403452.77</v>
      </c>
      <c r="BD989" s="65">
        <v>1565462.04</v>
      </c>
      <c r="BE989" s="65">
        <v>1580721.45</v>
      </c>
      <c r="BF989" s="65">
        <v>1421574.63</v>
      </c>
      <c r="BG989" s="65">
        <v>1434011.3</v>
      </c>
      <c r="BH989" s="65">
        <v>1454793.1</v>
      </c>
      <c r="BI989" s="65">
        <v>1464847.57</v>
      </c>
      <c r="BJ989" s="65">
        <v>1314938.76</v>
      </c>
      <c r="BK989" s="65">
        <v>1331617.02</v>
      </c>
      <c r="BL989" s="65">
        <v>907494.78</v>
      </c>
      <c r="BM989" s="65">
        <v>917473.27</v>
      </c>
      <c r="BN989" s="65">
        <v>919170.1</v>
      </c>
      <c r="BO989" s="65">
        <v>925048.87</v>
      </c>
      <c r="BP989" s="65">
        <v>834541.2</v>
      </c>
      <c r="BQ989" s="65">
        <v>823831.6</v>
      </c>
      <c r="BR989" s="65">
        <v>825737.9</v>
      </c>
      <c r="BS989" s="65">
        <v>598254.48</v>
      </c>
      <c r="BT989" s="88">
        <v>591690.2</v>
      </c>
      <c r="BU989" s="65">
        <v>580540.5</v>
      </c>
      <c r="BV989" s="65">
        <v>610526.1</v>
      </c>
      <c r="BW989" s="90">
        <v>620070.2</v>
      </c>
      <c r="BX989" s="90">
        <v>612922.52</v>
      </c>
      <c r="BY989" s="90">
        <f t="array" ref="BY989">XLOOKUP(C989,'PL TOTAL D0'!$A$3:$A$1991,'PL TOTAL D0'!$C$3:$C$1991,"")</f>
        <v>522574.25</v>
      </c>
    </row>
    <row r="990" ht="15.75" customHeight="1">
      <c r="A990" s="50" t="s">
        <v>24</v>
      </c>
      <c r="B990" s="50" t="s">
        <v>8987</v>
      </c>
      <c r="C990" s="94" t="s">
        <v>2612</v>
      </c>
      <c r="D990" s="30" t="s">
        <v>120</v>
      </c>
      <c r="E990" s="95" t="s">
        <v>91</v>
      </c>
      <c r="F990" s="81" t="s">
        <v>884</v>
      </c>
      <c r="G990" s="47" t="str">
        <f t="shared" si="39"/>
        <v>Marcus</v>
      </c>
      <c r="H990" s="49" t="s">
        <v>183</v>
      </c>
      <c r="I990" s="49" t="s">
        <v>66</v>
      </c>
      <c r="J990" s="47" t="str">
        <f t="shared" ref="J990:J1054" si="41">IF(Q990=0,"Não","Sim")</f>
        <v>Não</v>
      </c>
      <c r="K990" s="97">
        <v>45163.0</v>
      </c>
      <c r="L990" s="189"/>
      <c r="M990" s="62" t="s">
        <v>61</v>
      </c>
      <c r="N990" s="98">
        <v>0.007</v>
      </c>
      <c r="O990" s="47" t="s">
        <v>66</v>
      </c>
      <c r="P990" s="99">
        <v>0.0</v>
      </c>
      <c r="Q990" s="58"/>
      <c r="R990" s="70" t="s">
        <v>6109</v>
      </c>
      <c r="S990" s="62" t="s">
        <v>194</v>
      </c>
      <c r="T990" s="32" t="s">
        <v>1363</v>
      </c>
      <c r="U990" s="33">
        <v>5.514997899973E12</v>
      </c>
      <c r="V990" s="33" t="s">
        <v>8988</v>
      </c>
      <c r="W990" s="34">
        <v>30020.0</v>
      </c>
      <c r="X990" s="23" t="s">
        <v>475</v>
      </c>
      <c r="Y990" s="49" t="str">
        <f t="shared" si="40"/>
        <v>Ativo</v>
      </c>
      <c r="Z990" s="62"/>
      <c r="AA990" s="62"/>
      <c r="AB990" s="64" t="s">
        <v>269</v>
      </c>
      <c r="AC990" s="79"/>
      <c r="AD990" s="54">
        <v>45163.0</v>
      </c>
      <c r="AE990" s="77">
        <v>4.9075100011885E13</v>
      </c>
      <c r="AF990" s="79"/>
      <c r="AG990" s="79"/>
      <c r="AH990" s="79"/>
      <c r="AI990" s="79"/>
      <c r="AJ990" s="79"/>
      <c r="AK990" s="79"/>
      <c r="AL990" s="65">
        <v>0.0</v>
      </c>
      <c r="AM990" s="65">
        <v>0.0</v>
      </c>
      <c r="AN990" s="65">
        <v>0.0</v>
      </c>
      <c r="AO990" s="65">
        <v>0.0</v>
      </c>
      <c r="AP990" s="65">
        <v>0.0</v>
      </c>
      <c r="AQ990" s="65">
        <v>0.0</v>
      </c>
      <c r="AR990" s="65">
        <v>0.0</v>
      </c>
      <c r="AS990" s="65">
        <v>0.0</v>
      </c>
      <c r="AT990" s="65">
        <v>0.0</v>
      </c>
      <c r="AU990" s="65">
        <v>0.0</v>
      </c>
      <c r="AV990" s="65">
        <v>0.0</v>
      </c>
      <c r="AW990" s="65">
        <v>0.0</v>
      </c>
      <c r="AX990" s="65">
        <v>0.0</v>
      </c>
      <c r="AY990" s="65">
        <v>0.0</v>
      </c>
      <c r="AZ990" s="65">
        <v>0.0</v>
      </c>
      <c r="BA990" s="65">
        <v>0.0</v>
      </c>
      <c r="BB990" s="65">
        <v>0.0</v>
      </c>
      <c r="BC990" s="65">
        <v>0.0</v>
      </c>
      <c r="BD990" s="65">
        <v>0.0</v>
      </c>
      <c r="BE990" s="65">
        <v>1442617.45</v>
      </c>
      <c r="BF990" s="65">
        <v>1455369.51</v>
      </c>
      <c r="BG990" s="65">
        <v>1468659.31</v>
      </c>
      <c r="BH990" s="65">
        <v>1480638.37</v>
      </c>
      <c r="BI990" s="65">
        <v>1487451.93</v>
      </c>
      <c r="BJ990" s="65">
        <v>1504480.61</v>
      </c>
      <c r="BK990" s="65">
        <v>1520656.45</v>
      </c>
      <c r="BL990" s="65">
        <v>1533818.09</v>
      </c>
      <c r="BM990" s="65">
        <v>1496448.66</v>
      </c>
      <c r="BN990" s="65">
        <v>1512499.0</v>
      </c>
      <c r="BO990" s="65">
        <v>1527865.49</v>
      </c>
      <c r="BP990" s="65">
        <v>1546701.0</v>
      </c>
      <c r="BQ990" s="65">
        <v>1561440.0</v>
      </c>
      <c r="BR990" s="65">
        <v>1574906.0</v>
      </c>
      <c r="BS990" s="65">
        <v>1613217.75</v>
      </c>
      <c r="BT990" s="88">
        <v>1627246.0</v>
      </c>
      <c r="BU990" s="65">
        <v>1645279.0</v>
      </c>
      <c r="BV990" s="65">
        <v>1658220.0</v>
      </c>
      <c r="BW990" s="90">
        <v>1664907.0</v>
      </c>
      <c r="BX990" s="90">
        <v>1681280.52</v>
      </c>
      <c r="BY990" s="90">
        <f t="array" ref="BY990">XLOOKUP(C990,'PL TOTAL D0'!$A$3:$A$1991,'PL TOTAL D0'!$C$3:$C$1991,"")</f>
        <v>1703909.86</v>
      </c>
    </row>
    <row r="991" ht="15.75" customHeight="1">
      <c r="A991" s="50" t="s">
        <v>24</v>
      </c>
      <c r="B991" s="43" t="s">
        <v>8989</v>
      </c>
      <c r="C991" s="94" t="s">
        <v>3265</v>
      </c>
      <c r="D991" s="30" t="s">
        <v>249</v>
      </c>
      <c r="E991" s="22" t="s">
        <v>199</v>
      </c>
      <c r="F991" s="30" t="s">
        <v>251</v>
      </c>
      <c r="G991" s="47" t="str">
        <f t="shared" si="39"/>
        <v>David</v>
      </c>
      <c r="H991" s="49" t="s">
        <v>183</v>
      </c>
      <c r="I991" s="49" t="s">
        <v>66</v>
      </c>
      <c r="J991" s="47" t="str">
        <f t="shared" si="41"/>
        <v>Sim</v>
      </c>
      <c r="K991" s="54">
        <v>45518.0</v>
      </c>
      <c r="L991" s="189"/>
      <c r="M991" s="32" t="s">
        <v>34</v>
      </c>
      <c r="N991" s="56">
        <v>0.012</v>
      </c>
      <c r="O991" s="23" t="s">
        <v>35</v>
      </c>
      <c r="P991" s="57">
        <v>0.1</v>
      </c>
      <c r="Q991" s="58" t="s">
        <v>8990</v>
      </c>
      <c r="R991" s="70"/>
      <c r="S991" s="32" t="s">
        <v>194</v>
      </c>
      <c r="T991" s="32" t="s">
        <v>8991</v>
      </c>
      <c r="U991" s="33">
        <v>5.561981630204E12</v>
      </c>
      <c r="V991" s="33" t="s">
        <v>8992</v>
      </c>
      <c r="W991" s="34">
        <v>29726.0</v>
      </c>
      <c r="X991" s="23" t="s">
        <v>5681</v>
      </c>
      <c r="Y991" s="49" t="str">
        <f t="shared" si="40"/>
        <v>Ativo</v>
      </c>
      <c r="Z991" s="32"/>
      <c r="AA991" s="32" t="s">
        <v>165</v>
      </c>
      <c r="AB991" s="64" t="s">
        <v>244</v>
      </c>
      <c r="AC991" s="79"/>
      <c r="AD991" s="54">
        <v>45518.0</v>
      </c>
      <c r="AE991" s="77">
        <v>4.9075100015597E13</v>
      </c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  <c r="AQ991" s="79"/>
      <c r="AR991" s="79"/>
      <c r="AS991" s="79"/>
      <c r="AT991" s="79"/>
      <c r="AU991" s="79"/>
      <c r="AV991" s="65"/>
      <c r="AW991" s="65"/>
      <c r="AX991" s="65"/>
      <c r="AY991" s="65"/>
      <c r="AZ991" s="65"/>
      <c r="BA991" s="65"/>
      <c r="BB991" s="65">
        <v>312460.33</v>
      </c>
      <c r="BC991" s="65">
        <v>258221.5</v>
      </c>
      <c r="BD991" s="65">
        <v>256914.53</v>
      </c>
      <c r="BE991" s="65">
        <v>253782.95</v>
      </c>
      <c r="BF991" s="65">
        <v>265410.78</v>
      </c>
      <c r="BG991" s="65">
        <v>186864.64</v>
      </c>
      <c r="BH991" s="65">
        <v>190489.75</v>
      </c>
      <c r="BI991" s="65">
        <v>197399.14</v>
      </c>
      <c r="BJ991" s="65">
        <v>201477.98</v>
      </c>
      <c r="BK991" s="65">
        <v>206492.14</v>
      </c>
      <c r="BL991" s="65">
        <v>208055.3</v>
      </c>
      <c r="BM991" s="65">
        <v>210219.2</v>
      </c>
      <c r="BN991" s="65">
        <v>212036.8</v>
      </c>
      <c r="BO991" s="65">
        <v>214329.45</v>
      </c>
      <c r="BP991" s="65">
        <v>216512.9</v>
      </c>
      <c r="BQ991" s="65">
        <v>188442.8</v>
      </c>
      <c r="BR991" s="65">
        <v>230389.3</v>
      </c>
      <c r="BS991" s="65">
        <v>232818.32</v>
      </c>
      <c r="BT991" s="88">
        <v>149588.0</v>
      </c>
      <c r="BU991" s="65">
        <v>130808.8</v>
      </c>
      <c r="BV991" s="65">
        <v>132252.3</v>
      </c>
      <c r="BW991" s="90">
        <v>133677.8</v>
      </c>
      <c r="BX991" s="90">
        <v>124955.67</v>
      </c>
      <c r="BY991" s="90">
        <f t="array" ref="BY991">XLOOKUP(C991,'PL TOTAL D0'!$A$3:$A$1991,'PL TOTAL D0'!$C$3:$C$1991,"")</f>
        <v>126317.16</v>
      </c>
    </row>
    <row r="992" ht="15.75" customHeight="1">
      <c r="A992" s="50" t="s">
        <v>24</v>
      </c>
      <c r="B992" s="50" t="s">
        <v>8993</v>
      </c>
      <c r="C992" s="94" t="s">
        <v>8994</v>
      </c>
      <c r="D992" s="30" t="s">
        <v>89</v>
      </c>
      <c r="E992" s="95" t="s">
        <v>91</v>
      </c>
      <c r="F992" s="81" t="s">
        <v>521</v>
      </c>
      <c r="G992" s="47" t="str">
        <f t="shared" si="39"/>
        <v>David</v>
      </c>
      <c r="H992" s="49" t="s">
        <v>224</v>
      </c>
      <c r="I992" s="49" t="s">
        <v>66</v>
      </c>
      <c r="J992" s="47" t="str">
        <f t="shared" si="41"/>
        <v>Não</v>
      </c>
      <c r="K992" s="97">
        <v>45163.0</v>
      </c>
      <c r="L992" s="186">
        <v>45936.0</v>
      </c>
      <c r="M992" s="62" t="s">
        <v>61</v>
      </c>
      <c r="N992" s="98">
        <v>0.012</v>
      </c>
      <c r="O992" s="47" t="s">
        <v>66</v>
      </c>
      <c r="P992" s="99">
        <v>0.0</v>
      </c>
      <c r="Q992" s="58"/>
      <c r="R992" s="926" t="s">
        <v>8995</v>
      </c>
      <c r="S992" s="62" t="s">
        <v>194</v>
      </c>
      <c r="T992" s="32" t="s">
        <v>8996</v>
      </c>
      <c r="U992" s="33" t="s">
        <v>268</v>
      </c>
      <c r="V992" s="33"/>
      <c r="W992" s="33" t="s">
        <v>268</v>
      </c>
      <c r="X992" s="23" t="s">
        <v>221</v>
      </c>
      <c r="Y992" s="49" t="str">
        <f t="shared" si="40"/>
        <v>Encerrado</v>
      </c>
      <c r="Z992" s="62"/>
      <c r="AA992" s="62"/>
      <c r="AB992" s="64" t="s">
        <v>269</v>
      </c>
      <c r="AC992" s="79"/>
      <c r="AD992" s="54">
        <v>45163.0</v>
      </c>
      <c r="AE992" s="77">
        <v>4.9075100011893E13</v>
      </c>
      <c r="AF992" s="79"/>
      <c r="AG992" s="79"/>
      <c r="AH992" s="79"/>
      <c r="AI992" s="79"/>
      <c r="AJ992" s="79"/>
      <c r="AK992" s="65">
        <v>0.0</v>
      </c>
      <c r="AL992" s="65">
        <v>0.0</v>
      </c>
      <c r="AM992" s="65">
        <v>0.0</v>
      </c>
      <c r="AN992" s="65">
        <v>0.0</v>
      </c>
      <c r="AO992" s="65">
        <v>0.0</v>
      </c>
      <c r="AP992" s="65">
        <v>0.0</v>
      </c>
      <c r="AQ992" s="65">
        <v>0.0</v>
      </c>
      <c r="AR992" s="65">
        <v>0.0</v>
      </c>
      <c r="AS992" s="65">
        <v>0.0</v>
      </c>
      <c r="AT992" s="65">
        <v>0.0</v>
      </c>
      <c r="AU992" s="65">
        <v>0.0</v>
      </c>
      <c r="AV992" s="65">
        <v>0.0</v>
      </c>
      <c r="AW992" s="65">
        <v>0.0</v>
      </c>
      <c r="AX992" s="65">
        <v>0.0</v>
      </c>
      <c r="AY992" s="65">
        <v>0.0</v>
      </c>
      <c r="AZ992" s="65">
        <v>0.0</v>
      </c>
      <c r="BA992" s="65">
        <v>0.0</v>
      </c>
      <c r="BB992" s="65">
        <v>0.0</v>
      </c>
      <c r="BC992" s="65">
        <v>0.0</v>
      </c>
      <c r="BD992" s="65">
        <v>0.0</v>
      </c>
      <c r="BE992" s="65">
        <v>0.0</v>
      </c>
      <c r="BF992" s="65">
        <v>0.0</v>
      </c>
      <c r="BG992" s="65">
        <v>0.0</v>
      </c>
      <c r="BH992" s="65">
        <v>0.0</v>
      </c>
      <c r="BI992" s="65">
        <v>0.0</v>
      </c>
      <c r="BJ992" s="65">
        <v>0.0</v>
      </c>
      <c r="BK992" s="65">
        <v>0.0</v>
      </c>
      <c r="BL992" s="65">
        <v>0.0</v>
      </c>
      <c r="BM992" s="65">
        <v>0.0</v>
      </c>
      <c r="BN992" s="65">
        <v>0.0</v>
      </c>
      <c r="BO992" s="65">
        <v>0.0</v>
      </c>
      <c r="BP992" s="65">
        <v>0.0</v>
      </c>
      <c r="BQ992" s="65">
        <v>0.0</v>
      </c>
      <c r="BR992" s="65">
        <v>0.0</v>
      </c>
      <c r="BS992" s="65">
        <v>0.0</v>
      </c>
      <c r="BT992" s="88">
        <v>0.0</v>
      </c>
      <c r="BU992" s="65">
        <v>0.0</v>
      </c>
      <c r="BV992" s="65">
        <v>0.0</v>
      </c>
      <c r="BW992" s="90">
        <v>0.0</v>
      </c>
      <c r="BX992" s="90">
        <v>0.0</v>
      </c>
      <c r="BY992" s="90" t="str">
        <f t="array" ref="BY992">XLOOKUP(C992,'PL TOTAL D0'!$A$3:$A$1991,'PL TOTAL D0'!$C$3:$C$1991,"")</f>
        <v/>
      </c>
    </row>
    <row r="993" ht="15.75" customHeight="1">
      <c r="A993" s="50" t="s">
        <v>24</v>
      </c>
      <c r="B993" s="50" t="s">
        <v>1838</v>
      </c>
      <c r="C993" s="94" t="s">
        <v>8997</v>
      </c>
      <c r="D993" s="81" t="s">
        <v>255</v>
      </c>
      <c r="E993" s="95" t="s">
        <v>199</v>
      </c>
      <c r="F993" s="81" t="s">
        <v>257</v>
      </c>
      <c r="G993" s="47" t="str">
        <f t="shared" si="39"/>
        <v>David</v>
      </c>
      <c r="H993" s="49" t="s">
        <v>224</v>
      </c>
      <c r="I993" s="49" t="s">
        <v>66</v>
      </c>
      <c r="J993" s="47" t="str">
        <f t="shared" si="41"/>
        <v>Não</v>
      </c>
      <c r="K993" s="97">
        <v>45082.0</v>
      </c>
      <c r="L993" s="186">
        <v>45525.0</v>
      </c>
      <c r="M993" s="62" t="s">
        <v>361</v>
      </c>
      <c r="N993" s="98">
        <v>0.018</v>
      </c>
      <c r="O993" s="47" t="s">
        <v>35</v>
      </c>
      <c r="P993" s="99">
        <v>0.2</v>
      </c>
      <c r="Q993" s="58"/>
      <c r="R993" s="190"/>
      <c r="S993" s="62" t="s">
        <v>194</v>
      </c>
      <c r="T993" s="32" t="s">
        <v>1852</v>
      </c>
      <c r="U993" s="33" t="s">
        <v>268</v>
      </c>
      <c r="V993" s="33"/>
      <c r="W993" s="33" t="s">
        <v>268</v>
      </c>
      <c r="X993" s="23" t="s">
        <v>199</v>
      </c>
      <c r="Y993" s="49" t="str">
        <f t="shared" si="40"/>
        <v>Encerrado</v>
      </c>
      <c r="Z993" s="62"/>
      <c r="AA993" s="62"/>
      <c r="AB993" s="64" t="s">
        <v>269</v>
      </c>
      <c r="AC993" s="79"/>
      <c r="AD993" s="54">
        <v>45082.0</v>
      </c>
      <c r="AE993" s="77">
        <v>4.9075100009279E13</v>
      </c>
      <c r="AF993" s="79"/>
      <c r="AG993" s="79"/>
      <c r="AH993" s="79"/>
      <c r="AI993" s="79"/>
      <c r="AJ993" s="79"/>
      <c r="AK993" s="79"/>
      <c r="AL993" s="65">
        <v>0.0</v>
      </c>
      <c r="AM993" s="65">
        <v>0.0</v>
      </c>
      <c r="AN993" s="65">
        <v>623400.99</v>
      </c>
      <c r="AO993" s="65">
        <v>681159.69</v>
      </c>
      <c r="AP993" s="65">
        <v>701601.4</v>
      </c>
      <c r="AQ993" s="65">
        <v>692743.23</v>
      </c>
      <c r="AR993" s="65">
        <v>688107.42</v>
      </c>
      <c r="AS993" s="65">
        <v>701645.17</v>
      </c>
      <c r="AT993" s="65">
        <v>721860.49</v>
      </c>
      <c r="AU993" s="65">
        <v>688520.55</v>
      </c>
      <c r="AV993" s="65">
        <v>695565.07</v>
      </c>
      <c r="AW993" s="65">
        <v>703252.34</v>
      </c>
      <c r="AX993" s="65">
        <v>688431.26</v>
      </c>
      <c r="AY993" s="65">
        <v>680296.0</v>
      </c>
      <c r="AZ993" s="65">
        <v>681713.6</v>
      </c>
      <c r="BA993" s="65">
        <v>694626.5</v>
      </c>
      <c r="BB993" s="65">
        <v>0.0</v>
      </c>
      <c r="BC993" s="65">
        <v>0.0</v>
      </c>
      <c r="BD993" s="65">
        <v>0.0</v>
      </c>
      <c r="BE993" s="65">
        <v>0.0</v>
      </c>
      <c r="BF993" s="65">
        <v>0.0</v>
      </c>
      <c r="BG993" s="65">
        <v>0.0</v>
      </c>
      <c r="BH993" s="65">
        <v>0.0</v>
      </c>
      <c r="BI993" s="65">
        <v>0.0</v>
      </c>
      <c r="BJ993" s="65">
        <v>0.0</v>
      </c>
      <c r="BK993" s="65">
        <v>0.0</v>
      </c>
      <c r="BL993" s="65">
        <v>0.0</v>
      </c>
      <c r="BM993" s="65">
        <v>0.0</v>
      </c>
      <c r="BN993" s="65">
        <v>0.0</v>
      </c>
      <c r="BO993" s="65">
        <v>0.0</v>
      </c>
      <c r="BP993" s="65">
        <v>0.0</v>
      </c>
      <c r="BQ993" s="65">
        <v>0.0</v>
      </c>
      <c r="BR993" s="65">
        <v>0.0</v>
      </c>
      <c r="BS993" s="65">
        <v>0.0</v>
      </c>
      <c r="BT993" s="88">
        <v>0.0</v>
      </c>
      <c r="BU993" s="65">
        <v>0.0</v>
      </c>
      <c r="BV993" s="65">
        <v>0.0</v>
      </c>
      <c r="BW993" s="90">
        <v>0.0</v>
      </c>
      <c r="BX993" s="90">
        <v>0.0</v>
      </c>
      <c r="BY993" s="90" t="str">
        <f t="array" ref="BY993">XLOOKUP(C993,'PL TOTAL D0'!$A$3:$A$1991,'PL TOTAL D0'!$C$3:$C$1991,"")</f>
        <v/>
      </c>
    </row>
    <row r="994" ht="15.75" customHeight="1">
      <c r="A994" s="50" t="s">
        <v>24</v>
      </c>
      <c r="B994" s="43" t="s">
        <v>8998</v>
      </c>
      <c r="C994" s="94" t="s">
        <v>8999</v>
      </c>
      <c r="D994" s="30" t="s">
        <v>1664</v>
      </c>
      <c r="E994" s="22" t="s">
        <v>54</v>
      </c>
      <c r="F994" s="30" t="s">
        <v>1667</v>
      </c>
      <c r="G994" s="47" t="str">
        <f t="shared" si="39"/>
        <v>David</v>
      </c>
      <c r="H994" s="49" t="s">
        <v>224</v>
      </c>
      <c r="I994" s="49" t="s">
        <v>66</v>
      </c>
      <c r="J994" s="47" t="str">
        <f t="shared" si="41"/>
        <v>Não</v>
      </c>
      <c r="K994" s="54">
        <v>45692.0</v>
      </c>
      <c r="L994" s="186">
        <v>46134.0</v>
      </c>
      <c r="M994" s="32" t="s">
        <v>61</v>
      </c>
      <c r="N994" s="56">
        <v>0.012</v>
      </c>
      <c r="O994" s="23" t="s">
        <v>66</v>
      </c>
      <c r="P994" s="57">
        <v>0.0</v>
      </c>
      <c r="Q994" s="58"/>
      <c r="R994" s="195" t="s">
        <v>2352</v>
      </c>
      <c r="S994" s="32" t="s">
        <v>194</v>
      </c>
      <c r="T994" s="32" t="s">
        <v>9000</v>
      </c>
      <c r="U994" s="33">
        <v>5.511996120024E12</v>
      </c>
      <c r="V994" s="33" t="s">
        <v>9001</v>
      </c>
      <c r="W994" s="34">
        <v>23449.0</v>
      </c>
      <c r="X994" s="23" t="s">
        <v>475</v>
      </c>
      <c r="Y994" s="49" t="str">
        <f t="shared" si="40"/>
        <v>Encerrado</v>
      </c>
      <c r="Z994" s="62"/>
      <c r="AA994" s="32" t="s">
        <v>47</v>
      </c>
      <c r="AB994" s="64"/>
      <c r="AC994" s="79"/>
      <c r="AD994" s="54">
        <v>45692.0</v>
      </c>
      <c r="AE994" s="77">
        <v>4.9075100018286E13</v>
      </c>
      <c r="AF994" s="79"/>
      <c r="AG994" s="79"/>
      <c r="AH994" s="79"/>
      <c r="AI994" s="79"/>
      <c r="AJ994" s="79"/>
      <c r="AK994" s="79"/>
      <c r="AL994" s="65"/>
      <c r="AM994" s="65"/>
      <c r="AN994" s="65"/>
      <c r="AO994" s="65"/>
      <c r="AP994" s="65"/>
      <c r="AQ994" s="65"/>
      <c r="AR994" s="65"/>
      <c r="AS994" s="65"/>
      <c r="AT994" s="65"/>
      <c r="AU994" s="65"/>
      <c r="AV994" s="65"/>
      <c r="AW994" s="65"/>
      <c r="AX994" s="65"/>
      <c r="AY994" s="65"/>
      <c r="AZ994" s="65"/>
      <c r="BA994" s="65"/>
      <c r="BB994" s="65"/>
      <c r="BC994" s="65"/>
      <c r="BD994" s="65"/>
      <c r="BE994" s="65"/>
      <c r="BF994" s="65"/>
      <c r="BG994" s="65"/>
      <c r="BH994" s="65">
        <v>0.0</v>
      </c>
      <c r="BI994" s="65">
        <v>0.0</v>
      </c>
      <c r="BJ994" s="65">
        <v>0.0</v>
      </c>
      <c r="BK994" s="65">
        <v>0.0</v>
      </c>
      <c r="BL994" s="65">
        <v>842004.26</v>
      </c>
      <c r="BM994" s="65">
        <v>853268.64</v>
      </c>
      <c r="BN994" s="65">
        <v>864620.7</v>
      </c>
      <c r="BO994" s="65">
        <v>875001.6</v>
      </c>
      <c r="BP994" s="65">
        <v>886006.0</v>
      </c>
      <c r="BQ994" s="65">
        <v>0.0</v>
      </c>
      <c r="BR994" s="65">
        <v>0.0</v>
      </c>
      <c r="BS994" s="65">
        <v>0.0</v>
      </c>
      <c r="BT994" s="88">
        <v>0.0</v>
      </c>
      <c r="BU994" s="65">
        <v>0.0</v>
      </c>
      <c r="BV994" s="65">
        <v>0.0</v>
      </c>
      <c r="BW994" s="90">
        <v>0.0</v>
      </c>
      <c r="BX994" s="90">
        <v>0.0</v>
      </c>
      <c r="BY994" s="90" t="str">
        <f t="array" ref="BY994">XLOOKUP(C994,'PL TOTAL D0'!$A$3:$A$1991,'PL TOTAL D0'!$C$3:$C$1991,"")</f>
        <v/>
      </c>
    </row>
    <row r="995" ht="15.75" customHeight="1">
      <c r="A995" s="50" t="s">
        <v>24</v>
      </c>
      <c r="B995" s="50" t="s">
        <v>6847</v>
      </c>
      <c r="C995" s="94" t="s">
        <v>9002</v>
      </c>
      <c r="D995" s="81" t="s">
        <v>120</v>
      </c>
      <c r="E995" s="95" t="s">
        <v>54</v>
      </c>
      <c r="F995" s="81" t="s">
        <v>348</v>
      </c>
      <c r="G995" s="47" t="str">
        <f t="shared" si="39"/>
        <v>David</v>
      </c>
      <c r="H995" s="49" t="s">
        <v>295</v>
      </c>
      <c r="I995" s="49" t="s">
        <v>382</v>
      </c>
      <c r="J995" s="47" t="str">
        <f t="shared" si="41"/>
        <v>Não</v>
      </c>
      <c r="K995" s="97">
        <v>44994.0</v>
      </c>
      <c r="L995" s="62"/>
      <c r="M995" s="32" t="s">
        <v>61</v>
      </c>
      <c r="N995" s="56">
        <v>0.012</v>
      </c>
      <c r="O995" s="23" t="s">
        <v>66</v>
      </c>
      <c r="P995" s="57">
        <v>0.0</v>
      </c>
      <c r="Q995" s="58"/>
      <c r="R995" s="195" t="s">
        <v>3909</v>
      </c>
      <c r="S995" s="62" t="s">
        <v>194</v>
      </c>
      <c r="T995" s="32" t="s">
        <v>6846</v>
      </c>
      <c r="U995" s="33">
        <v>6.2991239372E10</v>
      </c>
      <c r="V995" s="33" t="s">
        <v>9003</v>
      </c>
      <c r="W995" s="34">
        <v>28432.0</v>
      </c>
      <c r="X995" s="23" t="s">
        <v>54</v>
      </c>
      <c r="Y995" s="49" t="str">
        <f t="shared" si="40"/>
        <v>Ativo</v>
      </c>
      <c r="Z995" s="62"/>
      <c r="AA995" s="62"/>
      <c r="AB995" s="64" t="s">
        <v>269</v>
      </c>
      <c r="AC995" s="79"/>
      <c r="AD995" s="54">
        <v>44994.0</v>
      </c>
      <c r="AE995" s="77">
        <v>4.9075100009376E13</v>
      </c>
      <c r="AF995" s="79"/>
      <c r="AG995" s="79"/>
      <c r="AH995" s="79"/>
      <c r="AI995" s="79"/>
      <c r="AJ995" s="65">
        <v>0.0</v>
      </c>
      <c r="AK995" s="65">
        <v>104644.9</v>
      </c>
      <c r="AL995" s="65">
        <v>104992.36</v>
      </c>
      <c r="AM995" s="65">
        <v>106366.95</v>
      </c>
      <c r="AN995" s="65">
        <v>107455.17</v>
      </c>
      <c r="AO995" s="65">
        <v>108307.08</v>
      </c>
      <c r="AP995" s="65">
        <v>109381.01</v>
      </c>
      <c r="AQ995" s="65">
        <v>110181.84</v>
      </c>
      <c r="AR995" s="65">
        <v>110541.69</v>
      </c>
      <c r="AS995" s="65">
        <v>111342.3</v>
      </c>
      <c r="AT995" s="65">
        <v>112177.45</v>
      </c>
      <c r="AU995" s="65">
        <v>113123.62</v>
      </c>
      <c r="AV995" s="65">
        <v>113982.99</v>
      </c>
      <c r="AW995" s="65">
        <v>114402.67</v>
      </c>
      <c r="AX995" s="65">
        <v>115227.91</v>
      </c>
      <c r="AY995" s="65">
        <v>115999.5</v>
      </c>
      <c r="AZ995" s="65">
        <v>116865.8</v>
      </c>
      <c r="BA995" s="65">
        <v>116679.1</v>
      </c>
      <c r="BB995" s="65">
        <v>117643.65</v>
      </c>
      <c r="BC995" s="65">
        <v>118132.82</v>
      </c>
      <c r="BD995" s="65">
        <v>5315.5</v>
      </c>
      <c r="BE995" s="65">
        <v>5353.76</v>
      </c>
      <c r="BF995" s="65">
        <v>10.42</v>
      </c>
      <c r="BG995" s="65">
        <v>10.42</v>
      </c>
      <c r="BH995" s="65">
        <v>10.42</v>
      </c>
      <c r="BI995" s="65">
        <v>10.42</v>
      </c>
      <c r="BJ995" s="65">
        <v>0.0</v>
      </c>
      <c r="BK995" s="65">
        <v>0.0</v>
      </c>
      <c r="BL995" s="65">
        <v>0.0</v>
      </c>
      <c r="BM995" s="65">
        <v>0.0</v>
      </c>
      <c r="BN995" s="65">
        <v>0.0</v>
      </c>
      <c r="BO995" s="65">
        <v>0.0</v>
      </c>
      <c r="BP995" s="65">
        <v>0.0</v>
      </c>
      <c r="BQ995" s="65">
        <v>0.0</v>
      </c>
      <c r="BR995" s="65">
        <v>0.0</v>
      </c>
      <c r="BS995" s="65">
        <v>0.0</v>
      </c>
      <c r="BT995" s="88">
        <v>0.0</v>
      </c>
      <c r="BU995" s="65">
        <v>0.0</v>
      </c>
      <c r="BV995" s="65">
        <v>0.0</v>
      </c>
      <c r="BW995" s="90">
        <v>0.0</v>
      </c>
      <c r="BX995" s="90">
        <v>0.0</v>
      </c>
      <c r="BY995" s="90" t="str">
        <f t="array" ref="BY995">XLOOKUP(C995,'PL TOTAL D0'!$A$3:$A$1991,'PL TOTAL D0'!$C$3:$C$1991,"")</f>
        <v/>
      </c>
    </row>
    <row r="996" ht="15.75" customHeight="1">
      <c r="A996" s="50" t="s">
        <v>24</v>
      </c>
      <c r="B996" s="188" t="s">
        <v>1398</v>
      </c>
      <c r="C996" s="94" t="s">
        <v>9004</v>
      </c>
      <c r="D996" s="30" t="s">
        <v>120</v>
      </c>
      <c r="E996" s="22" t="s">
        <v>199</v>
      </c>
      <c r="F996" s="30" t="s">
        <v>1399</v>
      </c>
      <c r="G996" s="47" t="str">
        <f t="shared" si="39"/>
        <v>David</v>
      </c>
      <c r="H996" s="49" t="s">
        <v>224</v>
      </c>
      <c r="I996" s="49" t="s">
        <v>66</v>
      </c>
      <c r="J996" s="47" t="str">
        <f t="shared" si="41"/>
        <v>Não</v>
      </c>
      <c r="K996" s="54">
        <v>45408.0</v>
      </c>
      <c r="L996" s="121">
        <v>45596.0</v>
      </c>
      <c r="M996" s="32" t="s">
        <v>61</v>
      </c>
      <c r="N996" s="56">
        <v>0.012</v>
      </c>
      <c r="O996" s="23" t="s">
        <v>66</v>
      </c>
      <c r="P996" s="57">
        <v>0.0</v>
      </c>
      <c r="Q996" s="58"/>
      <c r="R996" s="195"/>
      <c r="S996" s="32" t="s">
        <v>194</v>
      </c>
      <c r="T996" s="32" t="s">
        <v>1403</v>
      </c>
      <c r="U996" s="33" t="s">
        <v>268</v>
      </c>
      <c r="V996" s="33"/>
      <c r="W996" s="33" t="s">
        <v>268</v>
      </c>
      <c r="X996" s="23" t="s">
        <v>199</v>
      </c>
      <c r="Y996" s="49" t="str">
        <f t="shared" si="40"/>
        <v>Encerrado</v>
      </c>
      <c r="Z996" s="32"/>
      <c r="AA996" s="32" t="s">
        <v>47</v>
      </c>
      <c r="AB996" s="64" t="s">
        <v>269</v>
      </c>
      <c r="AC996" s="79"/>
      <c r="AD996" s="54">
        <v>45408.0</v>
      </c>
      <c r="AE996" s="77">
        <v>4.9075100014132E13</v>
      </c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  <c r="AQ996" s="79"/>
      <c r="AR996" s="79"/>
      <c r="AS996" s="79"/>
      <c r="AT996" s="79"/>
      <c r="AU996" s="79"/>
      <c r="AV996" s="65"/>
      <c r="AW996" s="65"/>
      <c r="AX996" s="65">
        <v>0.0</v>
      </c>
      <c r="AY996" s="65">
        <v>469224.4</v>
      </c>
      <c r="AZ996" s="65">
        <v>472897.3</v>
      </c>
      <c r="BA996" s="65">
        <v>477131.2</v>
      </c>
      <c r="BB996" s="65">
        <v>490578.08</v>
      </c>
      <c r="BC996" s="65">
        <v>492874.05</v>
      </c>
      <c r="BD996" s="65">
        <v>497807.86</v>
      </c>
      <c r="BE996" s="65">
        <v>0.0</v>
      </c>
      <c r="BF996" s="65">
        <v>0.0</v>
      </c>
      <c r="BG996" s="65">
        <v>0.0</v>
      </c>
      <c r="BH996" s="65">
        <v>0.0</v>
      </c>
      <c r="BI996" s="65">
        <v>0.0</v>
      </c>
      <c r="BJ996" s="65">
        <v>0.0</v>
      </c>
      <c r="BK996" s="65">
        <v>0.0</v>
      </c>
      <c r="BL996" s="65">
        <v>0.0</v>
      </c>
      <c r="BM996" s="65">
        <v>0.0</v>
      </c>
      <c r="BN996" s="65">
        <v>0.0</v>
      </c>
      <c r="BO996" s="65">
        <v>0.0</v>
      </c>
      <c r="BP996" s="65">
        <v>0.0</v>
      </c>
      <c r="BQ996" s="65">
        <v>0.0</v>
      </c>
      <c r="BR996" s="65">
        <v>0.0</v>
      </c>
      <c r="BS996" s="65">
        <v>0.0</v>
      </c>
      <c r="BT996" s="88">
        <v>0.0</v>
      </c>
      <c r="BU996" s="65">
        <v>0.0</v>
      </c>
      <c r="BV996" s="65">
        <v>0.0</v>
      </c>
      <c r="BW996" s="90">
        <v>0.0</v>
      </c>
      <c r="BX996" s="90">
        <v>0.0</v>
      </c>
      <c r="BY996" s="90" t="str">
        <f t="array" ref="BY996">XLOOKUP(C996,'PL TOTAL D0'!$A$3:$A$1991,'PL TOTAL D0'!$C$3:$C$1991,"")</f>
        <v/>
      </c>
    </row>
    <row r="997" ht="15.75" customHeight="1">
      <c r="A997" s="50" t="s">
        <v>24</v>
      </c>
      <c r="B997" s="200" t="s">
        <v>9005</v>
      </c>
      <c r="C997" s="94" t="s">
        <v>3120</v>
      </c>
      <c r="D997" s="30" t="s">
        <v>142</v>
      </c>
      <c r="E997" s="22" t="s">
        <v>54</v>
      </c>
      <c r="F997" s="30" t="s">
        <v>158</v>
      </c>
      <c r="G997" s="47" t="str">
        <f t="shared" si="39"/>
        <v>David</v>
      </c>
      <c r="H997" s="49" t="s">
        <v>183</v>
      </c>
      <c r="I997" s="49" t="s">
        <v>66</v>
      </c>
      <c r="J997" s="47" t="str">
        <f t="shared" si="41"/>
        <v>Não</v>
      </c>
      <c r="K997" s="54">
        <v>46083.0</v>
      </c>
      <c r="L997" s="121"/>
      <c r="M997" s="32" t="s">
        <v>61</v>
      </c>
      <c r="N997" s="56">
        <v>0.012</v>
      </c>
      <c r="O997" s="23" t="s">
        <v>66</v>
      </c>
      <c r="P997" s="57">
        <v>0.0</v>
      </c>
      <c r="Q997" s="58"/>
      <c r="R997" s="195"/>
      <c r="S997" s="32" t="s">
        <v>194</v>
      </c>
      <c r="T997" s="32" t="s">
        <v>9006</v>
      </c>
      <c r="U997" s="33" t="s">
        <v>9007</v>
      </c>
      <c r="V997" s="33" t="s">
        <v>9008</v>
      </c>
      <c r="W997" s="48">
        <v>26121.0</v>
      </c>
      <c r="X997" s="23" t="s">
        <v>54</v>
      </c>
      <c r="Y997" s="49" t="str">
        <f t="shared" si="40"/>
        <v>Ativo</v>
      </c>
      <c r="Z997" s="32"/>
      <c r="AA997" s="32" t="s">
        <v>47</v>
      </c>
      <c r="AB997" s="64"/>
      <c r="AC997" s="79"/>
      <c r="AD997" s="54">
        <v>46203.0</v>
      </c>
      <c r="AE997" s="77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  <c r="AP997" s="79"/>
      <c r="AQ997" s="79"/>
      <c r="AR997" s="79"/>
      <c r="AS997" s="79"/>
      <c r="AT997" s="79"/>
      <c r="AU997" s="79"/>
      <c r="AV997" s="65"/>
      <c r="AW997" s="65"/>
      <c r="AX997" s="65"/>
      <c r="AY997" s="65"/>
      <c r="AZ997" s="65"/>
      <c r="BA997" s="65"/>
      <c r="BB997" s="65"/>
      <c r="BC997" s="65"/>
      <c r="BD997" s="65"/>
      <c r="BE997" s="65"/>
      <c r="BF997" s="65"/>
      <c r="BG997" s="65"/>
      <c r="BH997" s="65"/>
      <c r="BI997" s="65"/>
      <c r="BJ997" s="65"/>
      <c r="BK997" s="65"/>
      <c r="BL997" s="65"/>
      <c r="BM997" s="65"/>
      <c r="BN997" s="65"/>
      <c r="BO997" s="65"/>
      <c r="BP997" s="65"/>
      <c r="BQ997" s="65"/>
      <c r="BR997" s="65"/>
      <c r="BS997" s="65"/>
      <c r="BT997" s="88" t="s">
        <v>1739</v>
      </c>
      <c r="BU997" s="65">
        <v>151199.6</v>
      </c>
      <c r="BV997" s="65">
        <v>211438.1</v>
      </c>
      <c r="BW997" s="90">
        <v>213577.5</v>
      </c>
      <c r="BX997" s="90">
        <v>215722.87</v>
      </c>
      <c r="BY997" s="90">
        <f t="array" ref="BY997">XLOOKUP(C997,'PL TOTAL D0'!$A$3:$A$1991,'PL TOTAL D0'!$C$3:$C$1991,"")</f>
        <v>218096.86</v>
      </c>
    </row>
    <row r="998" ht="15.75" customHeight="1">
      <c r="A998" s="50" t="s">
        <v>24</v>
      </c>
      <c r="B998" s="200" t="s">
        <v>9009</v>
      </c>
      <c r="C998" s="94" t="s">
        <v>9010</v>
      </c>
      <c r="D998" s="30" t="s">
        <v>120</v>
      </c>
      <c r="E998" s="22" t="s">
        <v>199</v>
      </c>
      <c r="F998" s="30" t="s">
        <v>1399</v>
      </c>
      <c r="G998" s="47" t="str">
        <f t="shared" si="39"/>
        <v>David</v>
      </c>
      <c r="H998" s="49" t="s">
        <v>224</v>
      </c>
      <c r="I998" s="49" t="s">
        <v>66</v>
      </c>
      <c r="J998" s="47" t="str">
        <f t="shared" si="41"/>
        <v>Não</v>
      </c>
      <c r="K998" s="54">
        <v>45461.0</v>
      </c>
      <c r="L998" s="121">
        <v>45596.0</v>
      </c>
      <c r="M998" s="32" t="s">
        <v>61</v>
      </c>
      <c r="N998" s="56">
        <v>0.012</v>
      </c>
      <c r="O998" s="23" t="s">
        <v>66</v>
      </c>
      <c r="P998" s="57">
        <v>0.0</v>
      </c>
      <c r="Q998" s="58"/>
      <c r="R998" s="195" t="s">
        <v>610</v>
      </c>
      <c r="S998" s="32" t="s">
        <v>194</v>
      </c>
      <c r="T998" s="32" t="s">
        <v>9011</v>
      </c>
      <c r="U998" s="33" t="s">
        <v>268</v>
      </c>
      <c r="V998" s="33"/>
      <c r="W998" s="33" t="s">
        <v>268</v>
      </c>
      <c r="X998" s="23" t="s">
        <v>475</v>
      </c>
      <c r="Y998" s="49" t="str">
        <f t="shared" si="40"/>
        <v>Encerrado</v>
      </c>
      <c r="Z998" s="32"/>
      <c r="AA998" s="32" t="s">
        <v>47</v>
      </c>
      <c r="AB998" s="64" t="s">
        <v>269</v>
      </c>
      <c r="AC998" s="79"/>
      <c r="AD998" s="54">
        <v>45461.0</v>
      </c>
      <c r="AE998" s="77">
        <v>4.9075100014884E13</v>
      </c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  <c r="AP998" s="79"/>
      <c r="AQ998" s="79"/>
      <c r="AR998" s="79"/>
      <c r="AS998" s="79"/>
      <c r="AT998" s="79"/>
      <c r="AU998" s="79"/>
      <c r="AV998" s="65"/>
      <c r="AW998" s="65"/>
      <c r="AX998" s="65"/>
      <c r="AY998" s="65"/>
      <c r="AZ998" s="65">
        <v>0.0</v>
      </c>
      <c r="BA998" s="65">
        <v>38275.94</v>
      </c>
      <c r="BB998" s="65">
        <v>106857.76</v>
      </c>
      <c r="BC998" s="65">
        <v>107707.12</v>
      </c>
      <c r="BD998" s="65">
        <v>108585.66</v>
      </c>
      <c r="BE998" s="65">
        <v>0.0</v>
      </c>
      <c r="BF998" s="65">
        <v>0.0</v>
      </c>
      <c r="BG998" s="65">
        <v>0.0</v>
      </c>
      <c r="BH998" s="65">
        <v>0.0</v>
      </c>
      <c r="BI998" s="65">
        <v>0.0</v>
      </c>
      <c r="BJ998" s="65">
        <v>0.0</v>
      </c>
      <c r="BK998" s="65">
        <v>0.0</v>
      </c>
      <c r="BL998" s="65">
        <v>0.0</v>
      </c>
      <c r="BM998" s="65">
        <v>0.0</v>
      </c>
      <c r="BN998" s="65">
        <v>0.0</v>
      </c>
      <c r="BO998" s="65">
        <v>0.0</v>
      </c>
      <c r="BP998" s="65">
        <v>0.0</v>
      </c>
      <c r="BQ998" s="65">
        <v>0.0</v>
      </c>
      <c r="BR998" s="65">
        <v>0.0</v>
      </c>
      <c r="BS998" s="65">
        <v>0.0</v>
      </c>
      <c r="BT998" s="88">
        <v>0.0</v>
      </c>
      <c r="BU998" s="65">
        <v>0.0</v>
      </c>
      <c r="BV998" s="65">
        <v>0.0</v>
      </c>
      <c r="BW998" s="90">
        <v>0.0</v>
      </c>
      <c r="BX998" s="90">
        <v>0.0</v>
      </c>
      <c r="BY998" s="90" t="str">
        <f t="array" ref="BY998">XLOOKUP(C998,'PL TOTAL D0'!$A$3:$A$1991,'PL TOTAL D0'!$C$3:$C$1991,"")</f>
        <v/>
      </c>
    </row>
    <row r="999" ht="15.75" customHeight="1">
      <c r="A999" s="50" t="s">
        <v>24</v>
      </c>
      <c r="B999" s="50" t="s">
        <v>9012</v>
      </c>
      <c r="C999" s="94" t="s">
        <v>9013</v>
      </c>
      <c r="D999" s="81" t="s">
        <v>255</v>
      </c>
      <c r="E999" s="95" t="s">
        <v>199</v>
      </c>
      <c r="F999" s="81" t="s">
        <v>257</v>
      </c>
      <c r="G999" s="47" t="str">
        <f t="shared" si="39"/>
        <v>David</v>
      </c>
      <c r="H999" s="49" t="s">
        <v>224</v>
      </c>
      <c r="I999" s="74" t="s">
        <v>66</v>
      </c>
      <c r="J999" s="47" t="str">
        <f t="shared" si="41"/>
        <v>Não</v>
      </c>
      <c r="K999" s="97">
        <v>45089.0</v>
      </c>
      <c r="L999" s="55">
        <v>45490.0</v>
      </c>
      <c r="M999" s="62" t="s">
        <v>3975</v>
      </c>
      <c r="N999" s="98">
        <v>0.008</v>
      </c>
      <c r="O999" s="47" t="s">
        <v>66</v>
      </c>
      <c r="P999" s="99">
        <v>0.0</v>
      </c>
      <c r="Q999" s="58"/>
      <c r="R999" s="70"/>
      <c r="S999" s="62" t="s">
        <v>194</v>
      </c>
      <c r="T999" s="32" t="s">
        <v>9014</v>
      </c>
      <c r="U999" s="33" t="s">
        <v>268</v>
      </c>
      <c r="V999" s="33"/>
      <c r="W999" s="33" t="s">
        <v>268</v>
      </c>
      <c r="X999" s="23" t="s">
        <v>199</v>
      </c>
      <c r="Y999" s="49" t="str">
        <f t="shared" si="40"/>
        <v>Encerrado</v>
      </c>
      <c r="Z999" s="62"/>
      <c r="AA999" s="62"/>
      <c r="AB999" s="64" t="s">
        <v>244</v>
      </c>
      <c r="AC999" s="79"/>
      <c r="AD999" s="54">
        <v>45089.0</v>
      </c>
      <c r="AE999" s="77">
        <v>4.9075100008949E13</v>
      </c>
      <c r="AF999" s="79"/>
      <c r="AG999" s="79"/>
      <c r="AH999" s="79"/>
      <c r="AI999" s="79"/>
      <c r="AJ999" s="79"/>
      <c r="AK999" s="79"/>
      <c r="AL999" s="65">
        <v>0.0</v>
      </c>
      <c r="AM999" s="65">
        <v>0.0</v>
      </c>
      <c r="AN999" s="65">
        <v>844672.09</v>
      </c>
      <c r="AO999" s="65">
        <v>1470305.87</v>
      </c>
      <c r="AP999" s="65">
        <v>1550885.26</v>
      </c>
      <c r="AQ999" s="65">
        <v>1818215.96</v>
      </c>
      <c r="AR999" s="65">
        <v>1901777.71</v>
      </c>
      <c r="AS999" s="65">
        <v>1783134.08</v>
      </c>
      <c r="AT999" s="65">
        <v>2044607.24</v>
      </c>
      <c r="AU999" s="65">
        <v>2055002.86</v>
      </c>
      <c r="AV999" s="65">
        <v>2110226.61</v>
      </c>
      <c r="AW999" s="65">
        <v>2137864.26</v>
      </c>
      <c r="AX999" s="65">
        <v>2137697.55</v>
      </c>
      <c r="AY999" s="65">
        <v>2147145.0</v>
      </c>
      <c r="AZ999" s="65">
        <v>2223661.0</v>
      </c>
      <c r="BA999" s="65">
        <v>0.0</v>
      </c>
      <c r="BB999" s="65">
        <v>0.0</v>
      </c>
      <c r="BC999" s="65">
        <v>0.0</v>
      </c>
      <c r="BD999" s="65">
        <v>0.0</v>
      </c>
      <c r="BE999" s="65">
        <v>0.0</v>
      </c>
      <c r="BF999" s="65">
        <v>0.0</v>
      </c>
      <c r="BG999" s="65">
        <v>0.0</v>
      </c>
      <c r="BH999" s="65">
        <v>0.0</v>
      </c>
      <c r="BI999" s="65">
        <v>0.0</v>
      </c>
      <c r="BJ999" s="65">
        <v>0.0</v>
      </c>
      <c r="BK999" s="65">
        <v>0.0</v>
      </c>
      <c r="BL999" s="65">
        <v>0.0</v>
      </c>
      <c r="BM999" s="65">
        <v>0.0</v>
      </c>
      <c r="BN999" s="65">
        <v>0.0</v>
      </c>
      <c r="BO999" s="65">
        <v>0.0</v>
      </c>
      <c r="BP999" s="65">
        <v>0.0</v>
      </c>
      <c r="BQ999" s="65">
        <v>0.0</v>
      </c>
      <c r="BR999" s="65">
        <v>0.0</v>
      </c>
      <c r="BS999" s="65">
        <v>0.0</v>
      </c>
      <c r="BT999" s="88">
        <v>0.0</v>
      </c>
      <c r="BU999" s="65">
        <v>0.0</v>
      </c>
      <c r="BV999" s="65">
        <v>0.0</v>
      </c>
      <c r="BW999" s="90">
        <v>0.0</v>
      </c>
      <c r="BX999" s="90">
        <v>0.0</v>
      </c>
      <c r="BY999" s="90" t="str">
        <f t="array" ref="BY999">XLOOKUP(C999,'PL TOTAL D0'!$A$3:$A$1991,'PL TOTAL D0'!$C$3:$C$1991,"")</f>
        <v/>
      </c>
    </row>
    <row r="1000" ht="15.75" customHeight="1">
      <c r="A1000" s="50" t="s">
        <v>24</v>
      </c>
      <c r="B1000" s="50" t="s">
        <v>9015</v>
      </c>
      <c r="C1000" s="94" t="s">
        <v>2859</v>
      </c>
      <c r="D1000" s="81" t="s">
        <v>120</v>
      </c>
      <c r="E1000" s="95" t="s">
        <v>199</v>
      </c>
      <c r="F1000" s="81" t="s">
        <v>212</v>
      </c>
      <c r="G1000" s="47" t="str">
        <f t="shared" si="39"/>
        <v>Gabriel</v>
      </c>
      <c r="H1000" s="74" t="s">
        <v>183</v>
      </c>
      <c r="I1000" s="74" t="s">
        <v>66</v>
      </c>
      <c r="J1000" s="47" t="str">
        <f t="shared" si="41"/>
        <v>Não</v>
      </c>
      <c r="K1000" s="97">
        <v>44986.0</v>
      </c>
      <c r="L1000" s="62"/>
      <c r="M1000" s="62" t="s">
        <v>61</v>
      </c>
      <c r="N1000" s="98">
        <v>0.012</v>
      </c>
      <c r="O1000" s="47" t="s">
        <v>66</v>
      </c>
      <c r="P1000" s="99">
        <v>0.0</v>
      </c>
      <c r="Q1000" s="58"/>
      <c r="R1000" s="635"/>
      <c r="S1000" s="62" t="s">
        <v>194</v>
      </c>
      <c r="T1000" s="32" t="s">
        <v>9016</v>
      </c>
      <c r="U1000" s="33">
        <v>6.1992678121E10</v>
      </c>
      <c r="V1000" s="33" t="s">
        <v>9017</v>
      </c>
      <c r="W1000" s="34">
        <v>20989.0</v>
      </c>
      <c r="X1000" s="23" t="s">
        <v>199</v>
      </c>
      <c r="Y1000" s="49" t="str">
        <f t="shared" si="40"/>
        <v>Ativo</v>
      </c>
      <c r="Z1000" s="62"/>
      <c r="AA1000" s="62"/>
      <c r="AB1000" s="64" t="s">
        <v>269</v>
      </c>
      <c r="AC1000" s="79"/>
      <c r="AD1000" s="54">
        <v>44986.0</v>
      </c>
      <c r="AE1000" s="77">
        <v>4.907510000411E13</v>
      </c>
      <c r="AF1000" s="79"/>
      <c r="AG1000" s="79"/>
      <c r="AH1000" s="79"/>
      <c r="AI1000" s="79"/>
      <c r="AJ1000" s="65">
        <v>0.0</v>
      </c>
      <c r="AK1000" s="65">
        <v>397131.76</v>
      </c>
      <c r="AL1000" s="65">
        <v>400319.23</v>
      </c>
      <c r="AM1000" s="65">
        <v>403819.67</v>
      </c>
      <c r="AN1000" s="65">
        <v>407595.85</v>
      </c>
      <c r="AO1000" s="65">
        <v>410402.21</v>
      </c>
      <c r="AP1000" s="65">
        <v>413976.63</v>
      </c>
      <c r="AQ1000" s="65">
        <v>416683.62</v>
      </c>
      <c r="AR1000" s="65">
        <v>420357.87</v>
      </c>
      <c r="AS1000" s="65">
        <v>423410.5</v>
      </c>
      <c r="AT1000" s="65">
        <v>426737.93</v>
      </c>
      <c r="AU1000" s="65">
        <v>429986.35</v>
      </c>
      <c r="AV1000" s="65">
        <v>433344.55</v>
      </c>
      <c r="AW1000" s="65">
        <v>436678.49</v>
      </c>
      <c r="AX1000" s="65">
        <v>437700.48</v>
      </c>
      <c r="AY1000" s="65">
        <v>439555.1</v>
      </c>
      <c r="AZ1000" s="65">
        <v>443043.9</v>
      </c>
      <c r="BA1000" s="65">
        <v>446410.6</v>
      </c>
      <c r="BB1000" s="65">
        <v>448415.14</v>
      </c>
      <c r="BC1000" s="65">
        <v>451102.54</v>
      </c>
      <c r="BD1000" s="65">
        <v>454860.49</v>
      </c>
      <c r="BE1000" s="65">
        <v>458047.2</v>
      </c>
      <c r="BF1000" s="65">
        <v>461004.23</v>
      </c>
      <c r="BG1000" s="65">
        <v>464815.93</v>
      </c>
      <c r="BH1000" s="65">
        <v>468948.25</v>
      </c>
      <c r="BI1000" s="65">
        <v>473836.58</v>
      </c>
      <c r="BJ1000" s="65">
        <v>476930.68</v>
      </c>
      <c r="BK1000" s="65">
        <v>481722.67</v>
      </c>
      <c r="BL1000" s="65">
        <v>485814.72</v>
      </c>
      <c r="BM1000" s="65">
        <v>490715.08</v>
      </c>
      <c r="BN1000" s="65">
        <v>494940.7</v>
      </c>
      <c r="BO1000" s="65">
        <v>499706.6</v>
      </c>
      <c r="BP1000" s="65">
        <v>505463.9</v>
      </c>
      <c r="BQ1000" s="65">
        <v>509666.4</v>
      </c>
      <c r="BR1000" s="65">
        <v>514588.1</v>
      </c>
      <c r="BS1000" s="65">
        <v>519375.56</v>
      </c>
      <c r="BT1000" s="88">
        <v>520179.8</v>
      </c>
      <c r="BU1000" s="65">
        <v>526541.4</v>
      </c>
      <c r="BV1000" s="65">
        <v>532522.1</v>
      </c>
      <c r="BW1000" s="90">
        <v>538391.2</v>
      </c>
      <c r="BX1000" s="90">
        <v>543683.34</v>
      </c>
      <c r="BY1000" s="90">
        <f t="array" ref="BY1000">XLOOKUP(C1000,'PL TOTAL D0'!$A$3:$A$1991,'PL TOTAL D0'!$C$3:$C$1991,"")</f>
        <v>550132.66</v>
      </c>
    </row>
    <row r="1001" ht="15.75" customHeight="1">
      <c r="A1001" s="50" t="s">
        <v>24</v>
      </c>
      <c r="B1001" s="43" t="s">
        <v>9018</v>
      </c>
      <c r="C1001" s="53" t="s">
        <v>3104</v>
      </c>
      <c r="D1001" s="30" t="s">
        <v>3843</v>
      </c>
      <c r="E1001" s="22" t="s">
        <v>54</v>
      </c>
      <c r="F1001" s="30" t="s">
        <v>3844</v>
      </c>
      <c r="G1001" s="47" t="str">
        <f t="shared" si="39"/>
        <v>David</v>
      </c>
      <c r="H1001" s="49" t="s">
        <v>183</v>
      </c>
      <c r="I1001" s="49" t="s">
        <v>66</v>
      </c>
      <c r="J1001" s="47" t="str">
        <f t="shared" si="41"/>
        <v>Não</v>
      </c>
      <c r="K1001" s="54">
        <v>46140.0</v>
      </c>
      <c r="L1001" s="62"/>
      <c r="M1001" s="32" t="s">
        <v>209</v>
      </c>
      <c r="N1001" s="56">
        <v>0.015</v>
      </c>
      <c r="O1001" s="23" t="s">
        <v>35</v>
      </c>
      <c r="P1001" s="57">
        <v>0.1</v>
      </c>
      <c r="Q1001" s="58"/>
      <c r="R1001" s="635"/>
      <c r="S1001" s="62" t="s">
        <v>194</v>
      </c>
      <c r="T1001" s="32" t="s">
        <v>9019</v>
      </c>
      <c r="U1001" s="33" t="s">
        <v>9020</v>
      </c>
      <c r="V1001" s="33" t="s">
        <v>9021</v>
      </c>
      <c r="W1001" s="34">
        <v>31199.0</v>
      </c>
      <c r="X1001" s="23" t="s">
        <v>54</v>
      </c>
      <c r="Y1001" s="49" t="str">
        <f t="shared" si="40"/>
        <v>Ativo</v>
      </c>
      <c r="Z1001" s="62"/>
      <c r="AA1001" s="32" t="s">
        <v>47</v>
      </c>
      <c r="AB1001" s="64"/>
      <c r="AC1001" s="79"/>
      <c r="AD1001" s="54">
        <v>46203.0</v>
      </c>
      <c r="AE1001" s="77"/>
      <c r="AF1001" s="79"/>
      <c r="AG1001" s="79"/>
      <c r="AH1001" s="79"/>
      <c r="AI1001" s="79"/>
      <c r="AJ1001" s="65"/>
      <c r="AK1001" s="65"/>
      <c r="AL1001" s="65"/>
      <c r="AM1001" s="65"/>
      <c r="AN1001" s="65"/>
      <c r="AO1001" s="65"/>
      <c r="AP1001" s="65"/>
      <c r="AQ1001" s="65"/>
      <c r="AR1001" s="65"/>
      <c r="AS1001" s="65"/>
      <c r="AT1001" s="65"/>
      <c r="AU1001" s="65"/>
      <c r="AV1001" s="65"/>
      <c r="AW1001" s="65"/>
      <c r="AX1001" s="65"/>
      <c r="AY1001" s="65"/>
      <c r="AZ1001" s="65"/>
      <c r="BA1001" s="65"/>
      <c r="BB1001" s="65"/>
      <c r="BC1001" s="65"/>
      <c r="BD1001" s="65"/>
      <c r="BE1001" s="65"/>
      <c r="BF1001" s="65"/>
      <c r="BG1001" s="65"/>
      <c r="BH1001" s="65"/>
      <c r="BI1001" s="65"/>
      <c r="BJ1001" s="65"/>
      <c r="BK1001" s="65"/>
      <c r="BL1001" s="65"/>
      <c r="BM1001" s="65"/>
      <c r="BN1001" s="65"/>
      <c r="BO1001" s="65"/>
      <c r="BP1001" s="65"/>
      <c r="BQ1001" s="65"/>
      <c r="BR1001" s="65"/>
      <c r="BS1001" s="65"/>
      <c r="BT1001" s="88"/>
      <c r="BU1001" s="65"/>
      <c r="BV1001" s="65">
        <v>0.0</v>
      </c>
      <c r="BW1001" s="90">
        <v>235285.2</v>
      </c>
      <c r="BX1001" s="90">
        <v>237490.15</v>
      </c>
      <c r="BY1001" s="90">
        <f t="array" ref="BY1001">XLOOKUP(C1001,'PL TOTAL D0'!$A$3:$A$1991,'PL TOTAL D0'!$C$3:$C$1991,"")</f>
        <v>239697.01</v>
      </c>
    </row>
    <row r="1002" ht="17.25" customHeight="1">
      <c r="A1002" s="50" t="s">
        <v>24</v>
      </c>
      <c r="B1002" s="50" t="s">
        <v>9022</v>
      </c>
      <c r="C1002" s="94" t="s">
        <v>3329</v>
      </c>
      <c r="D1002" s="81" t="s">
        <v>120</v>
      </c>
      <c r="E1002" s="95" t="s">
        <v>199</v>
      </c>
      <c r="F1002" s="81" t="s">
        <v>212</v>
      </c>
      <c r="G1002" s="47" t="str">
        <f t="shared" si="39"/>
        <v>David</v>
      </c>
      <c r="H1002" s="74" t="s">
        <v>183</v>
      </c>
      <c r="I1002" s="74" t="s">
        <v>66</v>
      </c>
      <c r="J1002" s="47" t="str">
        <f t="shared" si="41"/>
        <v>Sim</v>
      </c>
      <c r="K1002" s="97">
        <v>44973.0</v>
      </c>
      <c r="L1002" s="62"/>
      <c r="M1002" s="62" t="s">
        <v>61</v>
      </c>
      <c r="N1002" s="98">
        <v>0.012</v>
      </c>
      <c r="O1002" s="47" t="s">
        <v>66</v>
      </c>
      <c r="P1002" s="99">
        <v>0.0</v>
      </c>
      <c r="Q1002" s="58" t="s">
        <v>9023</v>
      </c>
      <c r="R1002" s="635"/>
      <c r="S1002" s="62" t="s">
        <v>194</v>
      </c>
      <c r="T1002" s="32" t="s">
        <v>6886</v>
      </c>
      <c r="U1002" s="33">
        <v>6.1992656807E10</v>
      </c>
      <c r="V1002" s="33" t="s">
        <v>9024</v>
      </c>
      <c r="W1002" s="48">
        <v>29525.0</v>
      </c>
      <c r="X1002" s="23" t="s">
        <v>199</v>
      </c>
      <c r="Y1002" s="49" t="str">
        <f t="shared" si="40"/>
        <v>Ativo</v>
      </c>
      <c r="Z1002" s="62"/>
      <c r="AA1002" s="62"/>
      <c r="AB1002" s="64" t="s">
        <v>269</v>
      </c>
      <c r="AC1002" s="79"/>
      <c r="AD1002" s="54">
        <v>44973.0</v>
      </c>
      <c r="AE1002" s="77">
        <v>4.9075100006296E13</v>
      </c>
      <c r="AF1002" s="79"/>
      <c r="AG1002" s="79"/>
      <c r="AH1002" s="79"/>
      <c r="AI1002" s="65">
        <v>0.0</v>
      </c>
      <c r="AJ1002" s="65">
        <v>22406.26</v>
      </c>
      <c r="AK1002" s="65">
        <v>123178.45</v>
      </c>
      <c r="AL1002" s="65">
        <v>125221.88</v>
      </c>
      <c r="AM1002" s="65">
        <v>127766.28</v>
      </c>
      <c r="AN1002" s="65">
        <v>128997.24</v>
      </c>
      <c r="AO1002" s="65">
        <v>129836.83</v>
      </c>
      <c r="AP1002" s="65">
        <v>135579.88</v>
      </c>
      <c r="AQ1002" s="65">
        <v>135977.64</v>
      </c>
      <c r="AR1002" s="65">
        <v>136319.08</v>
      </c>
      <c r="AS1002" s="65">
        <v>142388.81</v>
      </c>
      <c r="AT1002" s="65">
        <v>143984.23</v>
      </c>
      <c r="AU1002" s="65">
        <v>144825.19</v>
      </c>
      <c r="AV1002" s="65">
        <v>145769.92</v>
      </c>
      <c r="AW1002" s="65">
        <v>146841.97</v>
      </c>
      <c r="AX1002" s="65">
        <v>147818.6</v>
      </c>
      <c r="AY1002" s="65">
        <v>147654.4</v>
      </c>
      <c r="AZ1002" s="65">
        <v>127532.7</v>
      </c>
      <c r="BA1002" s="65">
        <v>128224.1</v>
      </c>
      <c r="BB1002" s="65">
        <v>129015.2</v>
      </c>
      <c r="BC1002" s="65">
        <v>129950.27</v>
      </c>
      <c r="BD1002" s="65">
        <v>113459.22</v>
      </c>
      <c r="BE1002" s="65">
        <v>114330.79</v>
      </c>
      <c r="BF1002" s="65">
        <v>115131.96</v>
      </c>
      <c r="BG1002" s="65">
        <v>116172.4</v>
      </c>
      <c r="BH1002" s="65">
        <v>116726.13</v>
      </c>
      <c r="BI1002" s="65">
        <v>117735.89</v>
      </c>
      <c r="BJ1002" s="65">
        <v>118921.76</v>
      </c>
      <c r="BK1002" s="65">
        <v>119340.18</v>
      </c>
      <c r="BL1002" s="65">
        <v>120468.06</v>
      </c>
      <c r="BM1002" s="65">
        <v>121838.73</v>
      </c>
      <c r="BN1002" s="65">
        <v>122741.9</v>
      </c>
      <c r="BO1002" s="65">
        <v>123985.88</v>
      </c>
      <c r="BP1002" s="65">
        <v>125480.7</v>
      </c>
      <c r="BQ1002" s="65">
        <v>126274.7</v>
      </c>
      <c r="BR1002" s="65">
        <v>127533.0</v>
      </c>
      <c r="BS1002" s="65">
        <v>128967.09</v>
      </c>
      <c r="BT1002" s="88">
        <v>130066.9</v>
      </c>
      <c r="BU1002" s="65">
        <v>131417.0</v>
      </c>
      <c r="BV1002" s="65">
        <v>132937.7</v>
      </c>
      <c r="BW1002" s="90">
        <v>133841.8</v>
      </c>
      <c r="BX1002" s="90">
        <v>94755.47</v>
      </c>
      <c r="BY1002" s="90">
        <f t="array" ref="BY1002">XLOOKUP(C1002,'PL TOTAL D0'!$A$3:$A$1991,'PL TOTAL D0'!$C$3:$C$1991,"")</f>
        <v>95768.98</v>
      </c>
    </row>
    <row r="1003" ht="17.25" customHeight="1">
      <c r="A1003" s="50" t="s">
        <v>24</v>
      </c>
      <c r="B1003" s="43" t="s">
        <v>9025</v>
      </c>
      <c r="C1003" s="53" t="s">
        <v>3217</v>
      </c>
      <c r="D1003" s="30" t="s">
        <v>120</v>
      </c>
      <c r="E1003" s="22" t="s">
        <v>199</v>
      </c>
      <c r="F1003" s="30" t="s">
        <v>707</v>
      </c>
      <c r="G1003" s="47" t="str">
        <f t="shared" si="39"/>
        <v>David</v>
      </c>
      <c r="H1003" s="49" t="s">
        <v>183</v>
      </c>
      <c r="I1003" s="49" t="s">
        <v>66</v>
      </c>
      <c r="J1003" s="47" t="str">
        <f t="shared" si="41"/>
        <v>Não</v>
      </c>
      <c r="K1003" s="54">
        <v>46216.0</v>
      </c>
      <c r="L1003" s="62"/>
      <c r="M1003" s="32" t="s">
        <v>390</v>
      </c>
      <c r="N1003" s="56">
        <v>0.005</v>
      </c>
      <c r="O1003" s="23" t="s">
        <v>66</v>
      </c>
      <c r="P1003" s="99">
        <v>0.0</v>
      </c>
      <c r="Q1003" s="58"/>
      <c r="R1003" s="635"/>
      <c r="S1003" s="32" t="s">
        <v>194</v>
      </c>
      <c r="T1003" s="32" t="s">
        <v>9026</v>
      </c>
      <c r="U1003" s="33" t="s">
        <v>9027</v>
      </c>
      <c r="V1003" s="33" t="s">
        <v>9028</v>
      </c>
      <c r="W1003" s="48">
        <v>19088.0</v>
      </c>
      <c r="X1003" s="23" t="s">
        <v>397</v>
      </c>
      <c r="Y1003" s="49" t="str">
        <f t="shared" si="40"/>
        <v>Ativo</v>
      </c>
      <c r="Z1003" s="62"/>
      <c r="AA1003" s="32" t="s">
        <v>47</v>
      </c>
      <c r="AB1003" s="64"/>
      <c r="AC1003" s="79"/>
      <c r="AD1003" s="54"/>
      <c r="AE1003" s="77"/>
      <c r="AF1003" s="79"/>
      <c r="AG1003" s="79"/>
      <c r="AH1003" s="79"/>
      <c r="AI1003" s="65"/>
      <c r="AJ1003" s="65"/>
      <c r="AK1003" s="65"/>
      <c r="AL1003" s="65"/>
      <c r="AM1003" s="65"/>
      <c r="AN1003" s="65"/>
      <c r="AO1003" s="65"/>
      <c r="AP1003" s="65"/>
      <c r="AQ1003" s="65"/>
      <c r="AR1003" s="65"/>
      <c r="AS1003" s="65"/>
      <c r="AT1003" s="65"/>
      <c r="AU1003" s="65"/>
      <c r="AV1003" s="65"/>
      <c r="AW1003" s="65"/>
      <c r="AX1003" s="65"/>
      <c r="AY1003" s="65"/>
      <c r="AZ1003" s="65"/>
      <c r="BA1003" s="65"/>
      <c r="BB1003" s="65"/>
      <c r="BC1003" s="65"/>
      <c r="BD1003" s="65"/>
      <c r="BE1003" s="65"/>
      <c r="BF1003" s="65"/>
      <c r="BG1003" s="65"/>
      <c r="BH1003" s="65"/>
      <c r="BI1003" s="65"/>
      <c r="BJ1003" s="65"/>
      <c r="BK1003" s="65"/>
      <c r="BL1003" s="65"/>
      <c r="BM1003" s="65"/>
      <c r="BN1003" s="65"/>
      <c r="BO1003" s="65"/>
      <c r="BP1003" s="65"/>
      <c r="BQ1003" s="65"/>
      <c r="BR1003" s="65"/>
      <c r="BS1003" s="65"/>
      <c r="BT1003" s="88"/>
      <c r="BU1003" s="65"/>
      <c r="BV1003" s="65"/>
      <c r="BW1003" s="90"/>
      <c r="BX1003" s="90">
        <v>0.0</v>
      </c>
      <c r="BY1003" s="90">
        <f t="array" ref="BY1003">XLOOKUP(C1003,'PL TOTAL D0'!$A$3:$A$1991,'PL TOTAL D0'!$C$3:$C$1991,"")</f>
        <v>150168.94</v>
      </c>
    </row>
    <row r="1004" ht="17.25" customHeight="1">
      <c r="A1004" s="50" t="s">
        <v>24</v>
      </c>
      <c r="B1004" s="368" t="s">
        <v>9029</v>
      </c>
      <c r="C1004" s="94" t="s">
        <v>2850</v>
      </c>
      <c r="D1004" s="81" t="s">
        <v>120</v>
      </c>
      <c r="E1004" s="95" t="s">
        <v>199</v>
      </c>
      <c r="F1004" s="81" t="s">
        <v>431</v>
      </c>
      <c r="G1004" s="47" t="str">
        <f t="shared" si="39"/>
        <v>Gabriel</v>
      </c>
      <c r="H1004" s="74" t="s">
        <v>183</v>
      </c>
      <c r="I1004" s="49" t="s">
        <v>66</v>
      </c>
      <c r="J1004" s="47" t="str">
        <f t="shared" si="41"/>
        <v>Sim</v>
      </c>
      <c r="K1004" s="97">
        <v>45259.0</v>
      </c>
      <c r="L1004" s="62"/>
      <c r="M1004" s="62" t="s">
        <v>61</v>
      </c>
      <c r="N1004" s="366">
        <v>0.012</v>
      </c>
      <c r="O1004" s="81" t="s">
        <v>66</v>
      </c>
      <c r="P1004" s="367">
        <v>0.0</v>
      </c>
      <c r="Q1004" s="58" t="s">
        <v>9030</v>
      </c>
      <c r="R1004" s="736"/>
      <c r="S1004" s="62" t="s">
        <v>194</v>
      </c>
      <c r="T1004" s="32" t="s">
        <v>9031</v>
      </c>
      <c r="U1004" s="33">
        <v>5.561996235394E12</v>
      </c>
      <c r="V1004" s="33" t="s">
        <v>9032</v>
      </c>
      <c r="W1004" s="34">
        <v>24873.0</v>
      </c>
      <c r="X1004" s="23" t="s">
        <v>199</v>
      </c>
      <c r="Y1004" s="49" t="str">
        <f t="shared" si="40"/>
        <v>Ativo</v>
      </c>
      <c r="Z1004" s="62"/>
      <c r="AA1004" s="62"/>
      <c r="AB1004" s="64" t="s">
        <v>269</v>
      </c>
      <c r="AC1004" s="79"/>
      <c r="AD1004" s="54">
        <v>45259.0</v>
      </c>
      <c r="AE1004" s="77">
        <v>4.9075100012741E13</v>
      </c>
      <c r="AF1004" s="79"/>
      <c r="AG1004" s="79"/>
      <c r="AH1004" s="79"/>
      <c r="AI1004" s="79"/>
      <c r="AJ1004" s="79"/>
      <c r="AK1004" s="79"/>
      <c r="AL1004" s="79"/>
      <c r="AM1004" s="79"/>
      <c r="AN1004" s="79"/>
      <c r="AO1004" s="79"/>
      <c r="AP1004" s="79"/>
      <c r="AQ1004" s="79"/>
      <c r="AR1004" s="79"/>
      <c r="AS1004" s="65">
        <v>20010.0</v>
      </c>
      <c r="AT1004" s="65">
        <v>40308.46</v>
      </c>
      <c r="AU1004" s="65">
        <v>40674.87</v>
      </c>
      <c r="AV1004" s="65">
        <v>61072.64</v>
      </c>
      <c r="AW1004" s="65">
        <v>71720.31</v>
      </c>
      <c r="AX1004" s="65">
        <v>72330.27</v>
      </c>
      <c r="AY1004" s="65">
        <v>93021.66</v>
      </c>
      <c r="AZ1004" s="65">
        <v>93785.62</v>
      </c>
      <c r="BA1004" s="65">
        <v>114756.1</v>
      </c>
      <c r="BB1004" s="65">
        <v>130934.69</v>
      </c>
      <c r="BC1004" s="65">
        <v>152089.18</v>
      </c>
      <c r="BD1004" s="65">
        <v>153661.95</v>
      </c>
      <c r="BE1004" s="65">
        <v>185007.16</v>
      </c>
      <c r="BF1004" s="65">
        <v>186234.17</v>
      </c>
      <c r="BG1004" s="65">
        <v>188180.11</v>
      </c>
      <c r="BH1004" s="65">
        <v>190024.14</v>
      </c>
      <c r="BI1004" s="65">
        <v>211944.65</v>
      </c>
      <c r="BJ1004" s="65">
        <v>213632.24</v>
      </c>
      <c r="BK1004" s="65">
        <v>215930.75</v>
      </c>
      <c r="BL1004" s="65">
        <v>237820.86</v>
      </c>
      <c r="BM1004" s="65">
        <v>270749.07</v>
      </c>
      <c r="BN1004" s="65">
        <v>273623.1</v>
      </c>
      <c r="BO1004" s="65">
        <v>276230.17</v>
      </c>
      <c r="BP1004" s="65">
        <v>279777.5</v>
      </c>
      <c r="BQ1004" s="65">
        <v>301695.3</v>
      </c>
      <c r="BR1004" s="65">
        <v>304109.8</v>
      </c>
      <c r="BS1004" s="65">
        <v>336976.66</v>
      </c>
      <c r="BT1004" s="88">
        <v>389515.3</v>
      </c>
      <c r="BU1004" s="65">
        <v>424631.8</v>
      </c>
      <c r="BV1004" s="65">
        <v>539939.2</v>
      </c>
      <c r="BW1004" s="90">
        <v>545754.9</v>
      </c>
      <c r="BX1004" s="90">
        <v>551467.21</v>
      </c>
      <c r="BY1004" s="90">
        <f t="array" ref="BY1004">XLOOKUP(C1004,'PL TOTAL D0'!$A$3:$A$1991,'PL TOTAL D0'!$C$3:$C$1991,"")</f>
        <v>557928.87</v>
      </c>
    </row>
    <row r="1005" ht="17.25" customHeight="1">
      <c r="A1005" s="50" t="s">
        <v>24</v>
      </c>
      <c r="B1005" s="368" t="s">
        <v>9033</v>
      </c>
      <c r="C1005" s="94" t="s">
        <v>3020</v>
      </c>
      <c r="D1005" s="81" t="s">
        <v>89</v>
      </c>
      <c r="E1005" s="95" t="s">
        <v>91</v>
      </c>
      <c r="F1005" s="81" t="s">
        <v>5142</v>
      </c>
      <c r="G1005" s="23" t="s">
        <v>829</v>
      </c>
      <c r="H1005" s="49" t="s">
        <v>183</v>
      </c>
      <c r="I1005" s="49" t="s">
        <v>66</v>
      </c>
      <c r="J1005" s="47" t="str">
        <f t="shared" si="41"/>
        <v>Não</v>
      </c>
      <c r="K1005" s="97">
        <v>46125.0</v>
      </c>
      <c r="L1005" s="62"/>
      <c r="M1005" s="62" t="s">
        <v>34</v>
      </c>
      <c r="N1005" s="366">
        <v>0.012</v>
      </c>
      <c r="O1005" s="81" t="s">
        <v>35</v>
      </c>
      <c r="P1005" s="367">
        <v>0.1</v>
      </c>
      <c r="Q1005" s="58"/>
      <c r="R1005" s="736"/>
      <c r="S1005" s="62" t="s">
        <v>194</v>
      </c>
      <c r="T1005" s="32" t="s">
        <v>9034</v>
      </c>
      <c r="U1005" s="33" t="s">
        <v>9035</v>
      </c>
      <c r="V1005" s="33" t="s">
        <v>9036</v>
      </c>
      <c r="W1005" s="34">
        <v>34241.0</v>
      </c>
      <c r="X1005" s="23" t="s">
        <v>221</v>
      </c>
      <c r="Y1005" s="49" t="str">
        <f t="shared" si="40"/>
        <v>Ativo</v>
      </c>
      <c r="Z1005" s="62"/>
      <c r="AA1005" s="62" t="s">
        <v>47</v>
      </c>
      <c r="AB1005" s="64"/>
      <c r="AC1005" s="79"/>
      <c r="AD1005" s="54">
        <v>46203.0</v>
      </c>
      <c r="AE1005" s="77"/>
      <c r="AF1005" s="79"/>
      <c r="AG1005" s="79"/>
      <c r="AH1005" s="79"/>
      <c r="AI1005" s="79"/>
      <c r="AJ1005" s="79"/>
      <c r="AK1005" s="79"/>
      <c r="AL1005" s="79"/>
      <c r="AM1005" s="79"/>
      <c r="AN1005" s="79"/>
      <c r="AO1005" s="79"/>
      <c r="AP1005" s="79"/>
      <c r="AQ1005" s="79"/>
      <c r="AR1005" s="79"/>
      <c r="AS1005" s="65"/>
      <c r="AT1005" s="65"/>
      <c r="AU1005" s="65"/>
      <c r="AV1005" s="65"/>
      <c r="AW1005" s="65"/>
      <c r="AX1005" s="65"/>
      <c r="AY1005" s="65"/>
      <c r="AZ1005" s="65"/>
      <c r="BA1005" s="65"/>
      <c r="BB1005" s="65"/>
      <c r="BC1005" s="65"/>
      <c r="BD1005" s="65"/>
      <c r="BE1005" s="65"/>
      <c r="BF1005" s="65"/>
      <c r="BG1005" s="65"/>
      <c r="BH1005" s="65"/>
      <c r="BI1005" s="65"/>
      <c r="BJ1005" s="65"/>
      <c r="BK1005" s="65"/>
      <c r="BL1005" s="65"/>
      <c r="BM1005" s="65"/>
      <c r="BN1005" s="65"/>
      <c r="BO1005" s="65"/>
      <c r="BP1005" s="65"/>
      <c r="BQ1005" s="65"/>
      <c r="BR1005" s="65"/>
      <c r="BS1005" s="65"/>
      <c r="BT1005" s="88"/>
      <c r="BU1005" s="65"/>
      <c r="BV1005" s="65">
        <v>233770.5</v>
      </c>
      <c r="BW1005" s="90">
        <v>316676.9</v>
      </c>
      <c r="BX1005" s="90">
        <v>319572.4</v>
      </c>
      <c r="BY1005" s="90">
        <f t="array" ref="BY1005">XLOOKUP(C1005,'PL TOTAL D0'!$A$3:$A$1991,'PL TOTAL D0'!$C$3:$C$1991,"")</f>
        <v>328377.15</v>
      </c>
    </row>
    <row r="1006" ht="15.75" customHeight="1">
      <c r="A1006" s="50" t="s">
        <v>24</v>
      </c>
      <c r="B1006" s="50" t="s">
        <v>1409</v>
      </c>
      <c r="C1006" s="94" t="s">
        <v>9037</v>
      </c>
      <c r="D1006" s="30" t="s">
        <v>89</v>
      </c>
      <c r="E1006" s="95" t="s">
        <v>91</v>
      </c>
      <c r="F1006" s="81" t="s">
        <v>521</v>
      </c>
      <c r="G1006" s="47" t="str">
        <f t="shared" ref="G1006:G1015" si="42">IFS($BS$4:$BS$1280&lt;=250000,"David",$BS$4:$BS$1280&lt;=800000,"Gabriel", $BS$4:$BS$1280&gt;800000,"Marcus")</f>
        <v>David</v>
      </c>
      <c r="H1006" s="49" t="s">
        <v>224</v>
      </c>
      <c r="I1006" s="49" t="s">
        <v>66</v>
      </c>
      <c r="J1006" s="47" t="str">
        <f t="shared" si="41"/>
        <v>Não</v>
      </c>
      <c r="K1006" s="97">
        <v>45111.0</v>
      </c>
      <c r="L1006" s="186">
        <v>45433.0</v>
      </c>
      <c r="M1006" s="62" t="s">
        <v>361</v>
      </c>
      <c r="N1006" s="98">
        <v>0.02</v>
      </c>
      <c r="O1006" s="47" t="s">
        <v>35</v>
      </c>
      <c r="P1006" s="99">
        <v>0.2</v>
      </c>
      <c r="Q1006" s="58"/>
      <c r="R1006" s="635"/>
      <c r="S1006" s="62" t="s">
        <v>194</v>
      </c>
      <c r="T1006" s="32" t="s">
        <v>1412</v>
      </c>
      <c r="U1006" s="33" t="s">
        <v>268</v>
      </c>
      <c r="V1006" s="33"/>
      <c r="W1006" s="33" t="s">
        <v>268</v>
      </c>
      <c r="X1006" s="23" t="s">
        <v>221</v>
      </c>
      <c r="Y1006" s="49" t="str">
        <f t="shared" si="40"/>
        <v>Encerrado</v>
      </c>
      <c r="Z1006" s="62"/>
      <c r="AA1006" s="62"/>
      <c r="AB1006" s="64" t="s">
        <v>269</v>
      </c>
      <c r="AC1006" s="79"/>
      <c r="AD1006" s="54">
        <v>45111.0</v>
      </c>
      <c r="AE1006" s="77">
        <v>4.9075100004358E13</v>
      </c>
      <c r="AF1006" s="79"/>
      <c r="AG1006" s="79"/>
      <c r="AH1006" s="79"/>
      <c r="AI1006" s="79"/>
      <c r="AJ1006" s="79"/>
      <c r="AK1006" s="65">
        <v>0.0</v>
      </c>
      <c r="AL1006" s="65">
        <v>0.0</v>
      </c>
      <c r="AM1006" s="65">
        <v>0.0</v>
      </c>
      <c r="AN1006" s="65">
        <v>0.0</v>
      </c>
      <c r="AO1006" s="65">
        <v>650405.77</v>
      </c>
      <c r="AP1006" s="65">
        <v>679714.54</v>
      </c>
      <c r="AQ1006" s="65">
        <v>776296.78</v>
      </c>
      <c r="AR1006" s="65">
        <v>796616.21</v>
      </c>
      <c r="AS1006" s="65">
        <v>823802.9</v>
      </c>
      <c r="AT1006" s="65">
        <v>945272.34</v>
      </c>
      <c r="AU1006" s="65">
        <v>972610.18</v>
      </c>
      <c r="AV1006" s="65">
        <v>981430.06</v>
      </c>
      <c r="AW1006" s="65">
        <v>0.0</v>
      </c>
      <c r="AX1006" s="65">
        <v>0.0</v>
      </c>
      <c r="AY1006" s="65">
        <v>0.0</v>
      </c>
      <c r="AZ1006" s="65">
        <v>0.0</v>
      </c>
      <c r="BA1006" s="65">
        <v>0.0</v>
      </c>
      <c r="BB1006" s="65">
        <v>0.0</v>
      </c>
      <c r="BC1006" s="65">
        <v>0.0</v>
      </c>
      <c r="BD1006" s="65">
        <v>0.0</v>
      </c>
      <c r="BE1006" s="65">
        <v>0.0</v>
      </c>
      <c r="BF1006" s="65">
        <v>0.0</v>
      </c>
      <c r="BG1006" s="65">
        <v>0.0</v>
      </c>
      <c r="BH1006" s="65">
        <v>0.0</v>
      </c>
      <c r="BI1006" s="65">
        <v>0.0</v>
      </c>
      <c r="BJ1006" s="65">
        <v>0.0</v>
      </c>
      <c r="BK1006" s="65">
        <v>0.0</v>
      </c>
      <c r="BL1006" s="65">
        <v>0.0</v>
      </c>
      <c r="BM1006" s="65">
        <v>0.0</v>
      </c>
      <c r="BN1006" s="65">
        <v>0.0</v>
      </c>
      <c r="BO1006" s="65">
        <v>0.0</v>
      </c>
      <c r="BP1006" s="65">
        <v>0.0</v>
      </c>
      <c r="BQ1006" s="65">
        <v>0.0</v>
      </c>
      <c r="BR1006" s="65">
        <v>0.0</v>
      </c>
      <c r="BS1006" s="65">
        <v>0.0</v>
      </c>
      <c r="BT1006" s="88">
        <v>0.0</v>
      </c>
      <c r="BU1006" s="65">
        <v>0.0</v>
      </c>
      <c r="BV1006" s="65">
        <v>0.0</v>
      </c>
      <c r="BW1006" s="90">
        <v>0.0</v>
      </c>
      <c r="BX1006" s="90">
        <v>0.0</v>
      </c>
      <c r="BY1006" s="90" t="str">
        <f t="array" ref="BY1006">XLOOKUP(C1006,'PL TOTAL D0'!$A$3:$A$1991,'PL TOTAL D0'!$C$3:$C$1991,"")</f>
        <v/>
      </c>
    </row>
    <row r="1007" ht="15.75" customHeight="1">
      <c r="A1007" s="50" t="s">
        <v>24</v>
      </c>
      <c r="B1007" s="50" t="s">
        <v>1409</v>
      </c>
      <c r="C1007" s="94" t="s">
        <v>9038</v>
      </c>
      <c r="D1007" s="30" t="s">
        <v>89</v>
      </c>
      <c r="E1007" s="95" t="s">
        <v>91</v>
      </c>
      <c r="F1007" s="81" t="s">
        <v>521</v>
      </c>
      <c r="G1007" s="47" t="str">
        <f t="shared" si="42"/>
        <v>David</v>
      </c>
      <c r="H1007" s="49" t="s">
        <v>224</v>
      </c>
      <c r="I1007" s="74" t="s">
        <v>66</v>
      </c>
      <c r="J1007" s="47" t="str">
        <f t="shared" si="41"/>
        <v>Não</v>
      </c>
      <c r="K1007" s="97">
        <v>45035.0</v>
      </c>
      <c r="L1007" s="55">
        <v>45433.0</v>
      </c>
      <c r="M1007" s="62" t="s">
        <v>61</v>
      </c>
      <c r="N1007" s="98">
        <v>0.012</v>
      </c>
      <c r="O1007" s="47" t="s">
        <v>66</v>
      </c>
      <c r="P1007" s="99">
        <v>0.0</v>
      </c>
      <c r="Q1007" s="58"/>
      <c r="R1007" s="635"/>
      <c r="S1007" s="62" t="s">
        <v>194</v>
      </c>
      <c r="T1007" s="32" t="s">
        <v>1412</v>
      </c>
      <c r="U1007" s="33" t="s">
        <v>268</v>
      </c>
      <c r="V1007" s="33"/>
      <c r="W1007" s="33" t="s">
        <v>268</v>
      </c>
      <c r="X1007" s="23" t="s">
        <v>221</v>
      </c>
      <c r="Y1007" s="49" t="str">
        <f t="shared" si="40"/>
        <v>Encerrado</v>
      </c>
      <c r="Z1007" s="62"/>
      <c r="AA1007" s="62"/>
      <c r="AB1007" s="64" t="s">
        <v>269</v>
      </c>
      <c r="AC1007" s="79"/>
      <c r="AD1007" s="54">
        <v>45035.0</v>
      </c>
      <c r="AE1007" s="77">
        <v>4.9075100008396E13</v>
      </c>
      <c r="AF1007" s="79"/>
      <c r="AG1007" s="79"/>
      <c r="AH1007" s="79"/>
      <c r="AI1007" s="79"/>
      <c r="AJ1007" s="79"/>
      <c r="AK1007" s="65">
        <v>0.0</v>
      </c>
      <c r="AL1007" s="65">
        <v>3193690.29</v>
      </c>
      <c r="AM1007" s="65">
        <v>3353269.63</v>
      </c>
      <c r="AN1007" s="65">
        <v>3483183.91</v>
      </c>
      <c r="AO1007" s="65">
        <v>2892594.6</v>
      </c>
      <c r="AP1007" s="65">
        <v>2920496.59</v>
      </c>
      <c r="AQ1007" s="65">
        <v>2943857.57</v>
      </c>
      <c r="AR1007" s="65">
        <v>2969879.49</v>
      </c>
      <c r="AS1007" s="65">
        <v>2991246.35</v>
      </c>
      <c r="AT1007" s="65">
        <v>3010215.04</v>
      </c>
      <c r="AU1007" s="65">
        <v>3038251.64</v>
      </c>
      <c r="AV1007" s="65">
        <v>3063154.49</v>
      </c>
      <c r="AW1007" s="65">
        <v>0.0</v>
      </c>
      <c r="AX1007" s="65">
        <v>0.0</v>
      </c>
      <c r="AY1007" s="65">
        <v>0.0</v>
      </c>
      <c r="AZ1007" s="65">
        <v>0.0</v>
      </c>
      <c r="BA1007" s="65">
        <v>0.0</v>
      </c>
      <c r="BB1007" s="65">
        <v>0.0</v>
      </c>
      <c r="BC1007" s="65">
        <v>0.0</v>
      </c>
      <c r="BD1007" s="65">
        <v>0.0</v>
      </c>
      <c r="BE1007" s="65">
        <v>0.0</v>
      </c>
      <c r="BF1007" s="65">
        <v>0.0</v>
      </c>
      <c r="BG1007" s="65">
        <v>0.0</v>
      </c>
      <c r="BH1007" s="65">
        <v>0.0</v>
      </c>
      <c r="BI1007" s="65">
        <v>0.0</v>
      </c>
      <c r="BJ1007" s="65">
        <v>0.0</v>
      </c>
      <c r="BK1007" s="65">
        <v>0.0</v>
      </c>
      <c r="BL1007" s="65">
        <v>0.0</v>
      </c>
      <c r="BM1007" s="65">
        <v>0.0</v>
      </c>
      <c r="BN1007" s="65">
        <v>0.0</v>
      </c>
      <c r="BO1007" s="65">
        <v>0.0</v>
      </c>
      <c r="BP1007" s="65">
        <v>0.0</v>
      </c>
      <c r="BQ1007" s="65">
        <v>0.0</v>
      </c>
      <c r="BR1007" s="65">
        <v>0.0</v>
      </c>
      <c r="BS1007" s="65">
        <v>0.0</v>
      </c>
      <c r="BT1007" s="88">
        <v>0.0</v>
      </c>
      <c r="BU1007" s="65">
        <v>0.0</v>
      </c>
      <c r="BV1007" s="65">
        <v>0.0</v>
      </c>
      <c r="BW1007" s="90">
        <v>0.0</v>
      </c>
      <c r="BX1007" s="90">
        <v>0.0</v>
      </c>
      <c r="BY1007" s="90" t="str">
        <f t="array" ref="BY1007">XLOOKUP(C1007,'PL TOTAL D0'!$A$3:$A$1991,'PL TOTAL D0'!$C$3:$C$1991,"")</f>
        <v/>
      </c>
    </row>
    <row r="1008" ht="15.75" customHeight="1">
      <c r="A1008" s="50" t="s">
        <v>24</v>
      </c>
      <c r="B1008" s="43" t="s">
        <v>9039</v>
      </c>
      <c r="C1008" s="94" t="s">
        <v>9040</v>
      </c>
      <c r="D1008" s="30" t="s">
        <v>249</v>
      </c>
      <c r="E1008" s="22" t="s">
        <v>199</v>
      </c>
      <c r="F1008" s="30" t="s">
        <v>251</v>
      </c>
      <c r="G1008" s="47" t="str">
        <f t="shared" si="42"/>
        <v>David</v>
      </c>
      <c r="H1008" s="49" t="s">
        <v>183</v>
      </c>
      <c r="I1008" s="49" t="s">
        <v>66</v>
      </c>
      <c r="J1008" s="47" t="str">
        <f t="shared" si="41"/>
        <v>Sim</v>
      </c>
      <c r="K1008" s="54">
        <v>45506.0</v>
      </c>
      <c r="L1008" s="55"/>
      <c r="M1008" s="32" t="s">
        <v>61</v>
      </c>
      <c r="N1008" s="56">
        <v>0.012</v>
      </c>
      <c r="O1008" s="23" t="s">
        <v>66</v>
      </c>
      <c r="P1008" s="57">
        <v>0.0</v>
      </c>
      <c r="Q1008" s="58" t="s">
        <v>9041</v>
      </c>
      <c r="R1008" s="635"/>
      <c r="S1008" s="32" t="s">
        <v>194</v>
      </c>
      <c r="T1008" s="32" t="s">
        <v>9042</v>
      </c>
      <c r="U1008" s="33">
        <v>2.1982524E10</v>
      </c>
      <c r="V1008" s="33" t="s">
        <v>9043</v>
      </c>
      <c r="W1008" s="34">
        <v>25328.0</v>
      </c>
      <c r="X1008" s="23" t="s">
        <v>397</v>
      </c>
      <c r="Y1008" s="49" t="str">
        <f t="shared" si="40"/>
        <v>Ativo</v>
      </c>
      <c r="Z1008" s="32"/>
      <c r="AA1008" s="32" t="s">
        <v>47</v>
      </c>
      <c r="AB1008" s="64" t="s">
        <v>269</v>
      </c>
      <c r="AC1008" s="79"/>
      <c r="AD1008" s="54">
        <v>45506.0</v>
      </c>
      <c r="AE1008" s="77">
        <v>4.9075100015661E13</v>
      </c>
      <c r="AF1008" s="79"/>
      <c r="AG1008" s="79"/>
      <c r="AH1008" s="79"/>
      <c r="AI1008" s="79"/>
      <c r="AJ1008" s="79"/>
      <c r="AK1008" s="79"/>
      <c r="AL1008" s="79"/>
      <c r="AM1008" s="79"/>
      <c r="AN1008" s="79"/>
      <c r="AO1008" s="79"/>
      <c r="AP1008" s="79"/>
      <c r="AQ1008" s="79"/>
      <c r="AR1008" s="79"/>
      <c r="AS1008" s="79"/>
      <c r="AT1008" s="79"/>
      <c r="AU1008" s="79"/>
      <c r="AV1008" s="65"/>
      <c r="AW1008" s="65"/>
      <c r="AX1008" s="65"/>
      <c r="AY1008" s="65"/>
      <c r="AZ1008" s="65"/>
      <c r="BA1008" s="65"/>
      <c r="BB1008" s="65">
        <v>392888.74</v>
      </c>
      <c r="BC1008" s="65">
        <v>364910.2</v>
      </c>
      <c r="BD1008" s="65">
        <v>351069.96</v>
      </c>
      <c r="BE1008" s="65">
        <v>323622.67</v>
      </c>
      <c r="BF1008" s="65">
        <v>302588.78</v>
      </c>
      <c r="BG1008" s="65">
        <v>305938.02</v>
      </c>
      <c r="BH1008" s="65">
        <v>308439.01</v>
      </c>
      <c r="BI1008" s="65">
        <v>311072.38</v>
      </c>
      <c r="BJ1008" s="65">
        <v>314510.9</v>
      </c>
      <c r="BK1008" s="65">
        <v>276393.23</v>
      </c>
      <c r="BL1008" s="65">
        <v>248795.6</v>
      </c>
      <c r="BM1008" s="65">
        <v>224242.72</v>
      </c>
      <c r="BN1008" s="65">
        <v>168128.2</v>
      </c>
      <c r="BO1008" s="65">
        <v>169879.39</v>
      </c>
      <c r="BP1008" s="65">
        <v>144941.1</v>
      </c>
      <c r="BQ1008" s="65">
        <v>109820.6</v>
      </c>
      <c r="BR1008" s="65">
        <v>83184.56</v>
      </c>
      <c r="BS1008" s="65">
        <v>51886.15</v>
      </c>
      <c r="BT1008" s="88">
        <v>27076.83</v>
      </c>
      <c r="BU1008" s="65">
        <v>0.0</v>
      </c>
      <c r="BV1008" s="65">
        <v>0.56</v>
      </c>
      <c r="BW1008" s="90">
        <v>0.56</v>
      </c>
      <c r="BX1008" s="90">
        <v>0.56</v>
      </c>
      <c r="BY1008" s="90" t="str">
        <f t="array" ref="BY1008">XLOOKUP(C1008,'PL TOTAL D0'!$A$3:$A$1991,'PL TOTAL D0'!$C$3:$C$1991,"")</f>
        <v/>
      </c>
    </row>
    <row r="1009" ht="15.75" customHeight="1">
      <c r="A1009" s="50" t="s">
        <v>24</v>
      </c>
      <c r="B1009" s="50" t="s">
        <v>9044</v>
      </c>
      <c r="C1009" s="94" t="s">
        <v>9045</v>
      </c>
      <c r="D1009" s="81" t="s">
        <v>120</v>
      </c>
      <c r="E1009" s="95" t="s">
        <v>54</v>
      </c>
      <c r="F1009" s="81" t="s">
        <v>348</v>
      </c>
      <c r="G1009" s="47" t="str">
        <f t="shared" si="42"/>
        <v>David</v>
      </c>
      <c r="H1009" s="49" t="s">
        <v>295</v>
      </c>
      <c r="I1009" s="49" t="s">
        <v>382</v>
      </c>
      <c r="J1009" s="47" t="str">
        <f t="shared" si="41"/>
        <v>Não</v>
      </c>
      <c r="K1009" s="97">
        <v>45100.0</v>
      </c>
      <c r="L1009" s="189"/>
      <c r="M1009" s="32" t="s">
        <v>568</v>
      </c>
      <c r="N1009" s="98">
        <v>0.012</v>
      </c>
      <c r="O1009" s="23" t="s">
        <v>35</v>
      </c>
      <c r="P1009" s="57">
        <v>0.1</v>
      </c>
      <c r="Q1009" s="58"/>
      <c r="R1009" s="635"/>
      <c r="S1009" s="62" t="s">
        <v>194</v>
      </c>
      <c r="T1009" s="32" t="s">
        <v>9046</v>
      </c>
      <c r="U1009" s="33">
        <v>5.57799954041E12</v>
      </c>
      <c r="V1009" s="33" t="s">
        <v>9047</v>
      </c>
      <c r="W1009" s="34">
        <v>38407.0</v>
      </c>
      <c r="X1009" s="23" t="s">
        <v>28</v>
      </c>
      <c r="Y1009" s="49" t="str">
        <f t="shared" si="40"/>
        <v>Ativo</v>
      </c>
      <c r="Z1009" s="62"/>
      <c r="AA1009" s="62"/>
      <c r="AB1009" s="64" t="s">
        <v>269</v>
      </c>
      <c r="AC1009" s="79"/>
      <c r="AD1009" s="54">
        <v>45100.0</v>
      </c>
      <c r="AE1009" s="77">
        <v>4.9075100007985E13</v>
      </c>
      <c r="AF1009" s="79"/>
      <c r="AG1009" s="79"/>
      <c r="AH1009" s="79"/>
      <c r="AI1009" s="79"/>
      <c r="AJ1009" s="79"/>
      <c r="AK1009" s="79"/>
      <c r="AL1009" s="79"/>
      <c r="AM1009" s="79"/>
      <c r="AN1009" s="65">
        <v>30059.16</v>
      </c>
      <c r="AO1009" s="65">
        <v>30326.11</v>
      </c>
      <c r="AP1009" s="65">
        <v>30619.31</v>
      </c>
      <c r="AQ1009" s="65">
        <v>30857.14</v>
      </c>
      <c r="AR1009" s="65">
        <v>31138.01</v>
      </c>
      <c r="AS1009" s="65">
        <v>31371.26</v>
      </c>
      <c r="AT1009" s="65">
        <v>31623.21</v>
      </c>
      <c r="AU1009" s="65">
        <v>31807.61</v>
      </c>
      <c r="AV1009" s="65">
        <v>32038.04</v>
      </c>
      <c r="AW1009" s="65">
        <v>32287.35</v>
      </c>
      <c r="AX1009" s="65">
        <v>32413.05</v>
      </c>
      <c r="AY1009" s="65">
        <v>32572.88</v>
      </c>
      <c r="AZ1009" s="65">
        <v>32652.24</v>
      </c>
      <c r="BA1009" s="65">
        <v>32949.25</v>
      </c>
      <c r="BB1009" s="65">
        <v>33004.7</v>
      </c>
      <c r="BC1009" s="65">
        <v>85.9</v>
      </c>
      <c r="BD1009" s="65">
        <v>85.9</v>
      </c>
      <c r="BE1009" s="65">
        <v>85.9</v>
      </c>
      <c r="BF1009" s="65">
        <v>86.78</v>
      </c>
      <c r="BG1009" s="65">
        <v>86.78</v>
      </c>
      <c r="BH1009" s="65">
        <v>86.78</v>
      </c>
      <c r="BI1009" s="65">
        <v>86.78</v>
      </c>
      <c r="BJ1009" s="65">
        <v>0.0</v>
      </c>
      <c r="BK1009" s="65">
        <v>0.0</v>
      </c>
      <c r="BL1009" s="65">
        <v>0.0</v>
      </c>
      <c r="BM1009" s="65">
        <v>0.0</v>
      </c>
      <c r="BN1009" s="65">
        <v>0.0</v>
      </c>
      <c r="BO1009" s="65">
        <v>0.0</v>
      </c>
      <c r="BP1009" s="65">
        <v>0.0</v>
      </c>
      <c r="BQ1009" s="65">
        <v>0.0</v>
      </c>
      <c r="BR1009" s="65">
        <v>0.0</v>
      </c>
      <c r="BS1009" s="65">
        <v>0.0</v>
      </c>
      <c r="BT1009" s="88">
        <v>0.0</v>
      </c>
      <c r="BU1009" s="65">
        <v>0.0</v>
      </c>
      <c r="BV1009" s="65">
        <v>0.0</v>
      </c>
      <c r="BW1009" s="90">
        <v>0.0</v>
      </c>
      <c r="BX1009" s="90">
        <v>0.0</v>
      </c>
      <c r="BY1009" s="90" t="str">
        <f t="array" ref="BY1009">XLOOKUP(C1009,'PL TOTAL D0'!$A$3:$A$1991,'PL TOTAL D0'!$C$3:$C$1991,"")</f>
        <v/>
      </c>
    </row>
    <row r="1010" ht="15.75" customHeight="1">
      <c r="A1010" s="50" t="s">
        <v>24</v>
      </c>
      <c r="B1010" s="43" t="s">
        <v>9048</v>
      </c>
      <c r="C1010" s="94" t="s">
        <v>3359</v>
      </c>
      <c r="D1010" s="30" t="s">
        <v>120</v>
      </c>
      <c r="E1010" s="22" t="s">
        <v>199</v>
      </c>
      <c r="F1010" s="30" t="s">
        <v>290</v>
      </c>
      <c r="G1010" s="47" t="str">
        <f t="shared" si="42"/>
        <v>David</v>
      </c>
      <c r="H1010" s="49" t="s">
        <v>183</v>
      </c>
      <c r="I1010" s="49" t="s">
        <v>66</v>
      </c>
      <c r="J1010" s="47" t="str">
        <f t="shared" si="41"/>
        <v>Não</v>
      </c>
      <c r="K1010" s="54">
        <v>45315.0</v>
      </c>
      <c r="L1010" s="189"/>
      <c r="M1010" s="32" t="s">
        <v>390</v>
      </c>
      <c r="N1010" s="56">
        <v>0.0</v>
      </c>
      <c r="O1010" s="23" t="s">
        <v>66</v>
      </c>
      <c r="P1010" s="57">
        <v>0.0</v>
      </c>
      <c r="Q1010" s="58"/>
      <c r="R1010" s="635"/>
      <c r="S1010" s="32" t="s">
        <v>194</v>
      </c>
      <c r="T1010" s="32" t="s">
        <v>9049</v>
      </c>
      <c r="U1010" s="33">
        <v>5.562984129992E12</v>
      </c>
      <c r="V1010" s="33" t="s">
        <v>1738</v>
      </c>
      <c r="W1010" s="48">
        <v>43455.0</v>
      </c>
      <c r="X1010" s="23" t="s">
        <v>54</v>
      </c>
      <c r="Y1010" s="49" t="str">
        <f t="shared" si="40"/>
        <v>Ativo</v>
      </c>
      <c r="Z1010" s="62"/>
      <c r="AA1010" s="62"/>
      <c r="AB1010" s="64" t="s">
        <v>269</v>
      </c>
      <c r="AC1010" s="79"/>
      <c r="AD1010" s="54">
        <v>45315.0</v>
      </c>
      <c r="AE1010" s="77">
        <v>4.9075100013225E13</v>
      </c>
      <c r="AF1010" s="79"/>
      <c r="AG1010" s="79"/>
      <c r="AH1010" s="79"/>
      <c r="AI1010" s="79"/>
      <c r="AJ1010" s="79"/>
      <c r="AK1010" s="79"/>
      <c r="AL1010" s="79"/>
      <c r="AM1010" s="79"/>
      <c r="AN1010" s="79"/>
      <c r="AO1010" s="79"/>
      <c r="AP1010" s="79"/>
      <c r="AQ1010" s="79"/>
      <c r="AR1010" s="79"/>
      <c r="AS1010" s="79"/>
      <c r="AT1010" s="79"/>
      <c r="AU1010" s="65">
        <v>0.0</v>
      </c>
      <c r="AV1010" s="65">
        <v>0.0</v>
      </c>
      <c r="AW1010" s="65">
        <v>5028.95</v>
      </c>
      <c r="AX1010" s="65">
        <v>6584.48</v>
      </c>
      <c r="AY1010" s="65">
        <v>8630.3</v>
      </c>
      <c r="AZ1010" s="65">
        <v>10708.81</v>
      </c>
      <c r="BA1010" s="65">
        <v>15844.41</v>
      </c>
      <c r="BB1010" s="65">
        <v>17992.76</v>
      </c>
      <c r="BC1010" s="65">
        <v>21154.02</v>
      </c>
      <c r="BD1010" s="65">
        <v>24377.9</v>
      </c>
      <c r="BE1010" s="65">
        <v>27485.08</v>
      </c>
      <c r="BF1010" s="65">
        <v>30680.11</v>
      </c>
      <c r="BG1010" s="65">
        <v>34028.31</v>
      </c>
      <c r="BH1010" s="65">
        <v>37435.79</v>
      </c>
      <c r="BI1010" s="65">
        <v>40798.99</v>
      </c>
      <c r="BJ1010" s="65">
        <v>44258.08</v>
      </c>
      <c r="BK1010" s="65">
        <v>47617.25</v>
      </c>
      <c r="BL1010" s="65">
        <v>50958.01</v>
      </c>
      <c r="BM1010" s="65">
        <v>54636.19</v>
      </c>
      <c r="BN1010" s="65">
        <v>58312.46</v>
      </c>
      <c r="BO1010" s="65">
        <v>61967.95</v>
      </c>
      <c r="BP1010" s="65">
        <v>65813.69</v>
      </c>
      <c r="BQ1010" s="65">
        <v>68191.61</v>
      </c>
      <c r="BR1010" s="65">
        <v>70733.75</v>
      </c>
      <c r="BS1010" s="65">
        <v>71776.88</v>
      </c>
      <c r="BT1010" s="88">
        <v>73752.18</v>
      </c>
      <c r="BU1010" s="65">
        <v>76094.72</v>
      </c>
      <c r="BV1010" s="65">
        <v>77933.75</v>
      </c>
      <c r="BW1010" s="90">
        <v>80372.75</v>
      </c>
      <c r="BX1010" s="90">
        <v>81789.68</v>
      </c>
      <c r="BY1010" s="90">
        <f t="array" ref="BY1010">XLOOKUP(C1010,'PL TOTAL D0'!$A$3:$A$1991,'PL TOTAL D0'!$C$3:$C$1991,"")</f>
        <v>84853.03</v>
      </c>
    </row>
    <row r="1011" ht="15.75" customHeight="1">
      <c r="A1011" s="50" t="s">
        <v>24</v>
      </c>
      <c r="B1011" s="368" t="s">
        <v>9050</v>
      </c>
      <c r="C1011" s="94" t="s">
        <v>9051</v>
      </c>
      <c r="D1011" s="81" t="s">
        <v>120</v>
      </c>
      <c r="E1011" s="95" t="s">
        <v>54</v>
      </c>
      <c r="F1011" s="30" t="s">
        <v>125</v>
      </c>
      <c r="G1011" s="47" t="str">
        <f t="shared" si="42"/>
        <v>David</v>
      </c>
      <c r="H1011" s="49" t="s">
        <v>183</v>
      </c>
      <c r="I1011" s="49" t="s">
        <v>66</v>
      </c>
      <c r="J1011" s="47" t="str">
        <f t="shared" si="41"/>
        <v>Sim</v>
      </c>
      <c r="K1011" s="97">
        <v>45233.0</v>
      </c>
      <c r="L1011" s="189"/>
      <c r="M1011" s="32" t="s">
        <v>34</v>
      </c>
      <c r="N1011" s="98">
        <v>0.012</v>
      </c>
      <c r="O1011" s="23" t="s">
        <v>35</v>
      </c>
      <c r="P1011" s="57">
        <v>0.1</v>
      </c>
      <c r="Q1011" s="58" t="s">
        <v>9052</v>
      </c>
      <c r="R1011" s="927" t="s">
        <v>9053</v>
      </c>
      <c r="S1011" s="62" t="s">
        <v>194</v>
      </c>
      <c r="T1011" s="32" t="s">
        <v>9054</v>
      </c>
      <c r="U1011" s="33">
        <v>6.2982642828E10</v>
      </c>
      <c r="V1011" s="33" t="s">
        <v>9055</v>
      </c>
      <c r="W1011" s="34">
        <v>21557.0</v>
      </c>
      <c r="X1011" s="23" t="s">
        <v>54</v>
      </c>
      <c r="Y1011" s="49" t="str">
        <f t="shared" si="40"/>
        <v>Ativo</v>
      </c>
      <c r="Z1011" s="62"/>
      <c r="AA1011" s="62"/>
      <c r="AB1011" s="64" t="s">
        <v>269</v>
      </c>
      <c r="AC1011" s="79"/>
      <c r="AD1011" s="54">
        <v>45233.0</v>
      </c>
      <c r="AE1011" s="77">
        <v>4.9075100012751E13</v>
      </c>
      <c r="AF1011" s="79"/>
      <c r="AG1011" s="79"/>
      <c r="AH1011" s="79"/>
      <c r="AI1011" s="79"/>
      <c r="AJ1011" s="79"/>
      <c r="AK1011" s="79"/>
      <c r="AL1011" s="79"/>
      <c r="AM1011" s="79"/>
      <c r="AN1011" s="79"/>
      <c r="AO1011" s="79"/>
      <c r="AP1011" s="79"/>
      <c r="AQ1011" s="79"/>
      <c r="AR1011" s="65">
        <v>2000000.0</v>
      </c>
      <c r="AS1011" s="65">
        <v>2015353.51</v>
      </c>
      <c r="AT1011" s="65">
        <v>2034452.33</v>
      </c>
      <c r="AU1011" s="65">
        <v>2047708.22</v>
      </c>
      <c r="AV1011" s="65">
        <v>1556016.05</v>
      </c>
      <c r="AW1011" s="65">
        <v>1063307.91</v>
      </c>
      <c r="AX1011" s="65">
        <v>755626.29</v>
      </c>
      <c r="AY1011" s="65">
        <v>549567.6</v>
      </c>
      <c r="AZ1011" s="65">
        <v>452228.3</v>
      </c>
      <c r="BA1011" s="65">
        <v>406233.6</v>
      </c>
      <c r="BB1011" s="65">
        <v>329185.58</v>
      </c>
      <c r="BC1011" s="65">
        <v>278975.59</v>
      </c>
      <c r="BD1011" s="65">
        <v>281260.93</v>
      </c>
      <c r="BE1011" s="65">
        <v>279157.33</v>
      </c>
      <c r="BF1011" s="65">
        <v>281480.79</v>
      </c>
      <c r="BG1011" s="65">
        <v>284123.34</v>
      </c>
      <c r="BH1011" s="65">
        <v>256244.77</v>
      </c>
      <c r="BI1011" s="65">
        <v>206365.62</v>
      </c>
      <c r="BJ1011" s="65">
        <v>147869.34</v>
      </c>
      <c r="BK1011" s="65">
        <v>148788.47</v>
      </c>
      <c r="BL1011" s="65">
        <v>11854.43</v>
      </c>
      <c r="BM1011" s="65">
        <v>11956.97</v>
      </c>
      <c r="BN1011" s="65">
        <v>12079.89</v>
      </c>
      <c r="BO1011" s="65">
        <v>12205.43</v>
      </c>
      <c r="BP1011" s="65">
        <v>12350.83</v>
      </c>
      <c r="BQ1011" s="65">
        <v>12339.72</v>
      </c>
      <c r="BR1011" s="65">
        <v>12476.75</v>
      </c>
      <c r="BS1011" s="65">
        <v>12607.0</v>
      </c>
      <c r="BT1011" s="88">
        <v>122.92</v>
      </c>
      <c r="BU1011" s="65">
        <v>124.51</v>
      </c>
      <c r="BV1011" s="65">
        <v>125.85</v>
      </c>
      <c r="BW1011" s="90">
        <v>126.39</v>
      </c>
      <c r="BX1011" s="90">
        <v>127.72</v>
      </c>
      <c r="BY1011" s="90" t="str">
        <f t="array" ref="BY1011">XLOOKUP(C1011,'PL TOTAL D0'!$A$3:$A$1991,'PL TOTAL D0'!$C$3:$C$1991,"")</f>
        <v/>
      </c>
    </row>
    <row r="1012" ht="15.75" customHeight="1">
      <c r="A1012" s="50" t="s">
        <v>24</v>
      </c>
      <c r="B1012" s="167" t="s">
        <v>9056</v>
      </c>
      <c r="C1012" s="94" t="s">
        <v>9057</v>
      </c>
      <c r="D1012" s="30" t="s">
        <v>89</v>
      </c>
      <c r="E1012" s="22" t="s">
        <v>91</v>
      </c>
      <c r="F1012" s="81" t="s">
        <v>521</v>
      </c>
      <c r="G1012" s="47" t="str">
        <f t="shared" si="42"/>
        <v>David</v>
      </c>
      <c r="H1012" s="49" t="s">
        <v>224</v>
      </c>
      <c r="I1012" s="49" t="s">
        <v>66</v>
      </c>
      <c r="J1012" s="47" t="str">
        <f t="shared" si="41"/>
        <v>Não</v>
      </c>
      <c r="K1012" s="54">
        <v>45623.0</v>
      </c>
      <c r="L1012" s="186">
        <v>46083.0</v>
      </c>
      <c r="M1012" s="32" t="s">
        <v>1678</v>
      </c>
      <c r="N1012" s="56">
        <v>0.015</v>
      </c>
      <c r="O1012" s="23" t="s">
        <v>35</v>
      </c>
      <c r="P1012" s="57">
        <v>0.1</v>
      </c>
      <c r="Q1012" s="58"/>
      <c r="R1012" s="927"/>
      <c r="S1012" s="32" t="s">
        <v>194</v>
      </c>
      <c r="T1012" s="32" t="s">
        <v>9058</v>
      </c>
      <c r="U1012" s="33">
        <v>5.519992100291E12</v>
      </c>
      <c r="V1012" s="33" t="s">
        <v>9059</v>
      </c>
      <c r="W1012" s="34">
        <v>28618.0</v>
      </c>
      <c r="X1012" s="23" t="s">
        <v>475</v>
      </c>
      <c r="Y1012" s="49" t="str">
        <f t="shared" si="40"/>
        <v>Encerrado</v>
      </c>
      <c r="Z1012" s="62"/>
      <c r="AA1012" s="32" t="s">
        <v>47</v>
      </c>
      <c r="AB1012" s="64"/>
      <c r="AC1012" s="79"/>
      <c r="AD1012" s="54">
        <v>45642.0</v>
      </c>
      <c r="AE1012" s="77">
        <v>4.9075100016321E13</v>
      </c>
      <c r="AF1012" s="79"/>
      <c r="AG1012" s="79"/>
      <c r="AH1012" s="79"/>
      <c r="AI1012" s="79"/>
      <c r="AJ1012" s="79"/>
      <c r="AK1012" s="79"/>
      <c r="AL1012" s="79"/>
      <c r="AM1012" s="79"/>
      <c r="AN1012" s="79"/>
      <c r="AO1012" s="79"/>
      <c r="AP1012" s="79"/>
      <c r="AQ1012" s="79"/>
      <c r="AR1012" s="65"/>
      <c r="AS1012" s="65"/>
      <c r="AT1012" s="65"/>
      <c r="AU1012" s="65"/>
      <c r="AV1012" s="65"/>
      <c r="AW1012" s="65"/>
      <c r="AX1012" s="65"/>
      <c r="AY1012" s="65"/>
      <c r="AZ1012" s="65"/>
      <c r="BA1012" s="65"/>
      <c r="BB1012" s="65"/>
      <c r="BC1012" s="65"/>
      <c r="BD1012" s="65"/>
      <c r="BE1012" s="65">
        <v>0.0</v>
      </c>
      <c r="BF1012" s="65">
        <v>164027.49</v>
      </c>
      <c r="BG1012" s="65">
        <v>165501.27</v>
      </c>
      <c r="BH1012" s="65">
        <v>168961.4</v>
      </c>
      <c r="BI1012" s="65">
        <v>177058.05</v>
      </c>
      <c r="BJ1012" s="65">
        <v>177427.54</v>
      </c>
      <c r="BK1012" s="65">
        <v>178983.2</v>
      </c>
      <c r="BL1012" s="65">
        <v>180551.07</v>
      </c>
      <c r="BM1012" s="65">
        <v>121538.29</v>
      </c>
      <c r="BN1012" s="65">
        <v>122749.7</v>
      </c>
      <c r="BO1012" s="65">
        <v>124002.66</v>
      </c>
      <c r="BP1012" s="65">
        <v>125201.7</v>
      </c>
      <c r="BQ1012" s="65">
        <v>51398.25</v>
      </c>
      <c r="BR1012" s="65">
        <v>51301.04</v>
      </c>
      <c r="BS1012" s="65">
        <v>1540.52</v>
      </c>
      <c r="BT1012" s="88">
        <v>0.03</v>
      </c>
      <c r="BU1012" s="65">
        <v>0.0</v>
      </c>
      <c r="BV1012" s="65">
        <v>0.0</v>
      </c>
      <c r="BW1012" s="90">
        <v>0.0</v>
      </c>
      <c r="BX1012" s="90">
        <v>0.0</v>
      </c>
      <c r="BY1012" s="90" t="str">
        <f t="array" ref="BY1012">XLOOKUP(C1012,'PL TOTAL D0'!$A$3:$A$1991,'PL TOTAL D0'!$C$3:$C$1991,"")</f>
        <v/>
      </c>
    </row>
    <row r="1013" ht="15.75" customHeight="1">
      <c r="A1013" s="50" t="s">
        <v>24</v>
      </c>
      <c r="B1013" s="176" t="s">
        <v>6152</v>
      </c>
      <c r="C1013" s="94" t="s">
        <v>3244</v>
      </c>
      <c r="D1013" s="30" t="s">
        <v>89</v>
      </c>
      <c r="E1013" s="95" t="s">
        <v>91</v>
      </c>
      <c r="F1013" s="81" t="s">
        <v>521</v>
      </c>
      <c r="G1013" s="47" t="str">
        <f t="shared" si="42"/>
        <v>David</v>
      </c>
      <c r="H1013" s="49" t="s">
        <v>183</v>
      </c>
      <c r="I1013" s="49" t="s">
        <v>66</v>
      </c>
      <c r="J1013" s="47" t="str">
        <f t="shared" si="41"/>
        <v>Não</v>
      </c>
      <c r="K1013" s="97">
        <v>45056.0</v>
      </c>
      <c r="L1013" s="189"/>
      <c r="M1013" s="62" t="s">
        <v>61</v>
      </c>
      <c r="N1013" s="98">
        <v>0.012</v>
      </c>
      <c r="O1013" s="47" t="s">
        <v>66</v>
      </c>
      <c r="P1013" s="99">
        <v>0.0</v>
      </c>
      <c r="Q1013" s="58"/>
      <c r="R1013" s="70" t="s">
        <v>9060</v>
      </c>
      <c r="S1013" s="62" t="s">
        <v>194</v>
      </c>
      <c r="T1013" s="32" t="s">
        <v>6918</v>
      </c>
      <c r="U1013" s="33">
        <v>5.534991521324E12</v>
      </c>
      <c r="V1013" s="33" t="s">
        <v>9061</v>
      </c>
      <c r="W1013" s="34">
        <v>19186.0</v>
      </c>
      <c r="X1013" s="23" t="s">
        <v>618</v>
      </c>
      <c r="Y1013" s="49" t="str">
        <f t="shared" si="40"/>
        <v>Ativo</v>
      </c>
      <c r="Z1013" s="62"/>
      <c r="AA1013" s="62"/>
      <c r="AB1013" s="64" t="s">
        <v>269</v>
      </c>
      <c r="AC1013" s="79"/>
      <c r="AD1013" s="54">
        <v>45056.0</v>
      </c>
      <c r="AE1013" s="77">
        <v>4.9075100012768E13</v>
      </c>
      <c r="AF1013" s="79"/>
      <c r="AG1013" s="79"/>
      <c r="AH1013" s="79"/>
      <c r="AI1013" s="79"/>
      <c r="AJ1013" s="79"/>
      <c r="AK1013" s="65">
        <v>0.0</v>
      </c>
      <c r="AL1013" s="65">
        <v>0.0</v>
      </c>
      <c r="AM1013" s="65">
        <v>0.0</v>
      </c>
      <c r="AN1013" s="65">
        <v>341945.34</v>
      </c>
      <c r="AO1013" s="65">
        <v>345033.68</v>
      </c>
      <c r="AP1013" s="65">
        <v>348396.55</v>
      </c>
      <c r="AQ1013" s="65">
        <v>351124.95</v>
      </c>
      <c r="AR1013" s="65">
        <v>354086.89</v>
      </c>
      <c r="AS1013" s="65">
        <v>356598.26</v>
      </c>
      <c r="AT1013" s="65">
        <v>359308.27</v>
      </c>
      <c r="AU1013" s="65">
        <v>362599.84</v>
      </c>
      <c r="AV1013" s="65">
        <v>365566.08</v>
      </c>
      <c r="AW1013" s="65">
        <v>337962.6</v>
      </c>
      <c r="AX1013" s="65">
        <v>340466.57</v>
      </c>
      <c r="AY1013" s="65">
        <v>326997.2</v>
      </c>
      <c r="AZ1013" s="65">
        <v>313661.8</v>
      </c>
      <c r="BA1013" s="65">
        <v>302197.3</v>
      </c>
      <c r="BB1013" s="65">
        <v>187273.32</v>
      </c>
      <c r="BC1013" s="65">
        <v>0.0</v>
      </c>
      <c r="BD1013" s="65">
        <v>161506.71</v>
      </c>
      <c r="BE1013" s="65">
        <v>116235.79</v>
      </c>
      <c r="BF1013" s="65">
        <v>117356.05</v>
      </c>
      <c r="BG1013" s="65">
        <v>118416.2</v>
      </c>
      <c r="BH1013" s="65">
        <v>119623.45</v>
      </c>
      <c r="BI1013" s="65">
        <v>120749.28</v>
      </c>
      <c r="BJ1013" s="65">
        <v>122008.52</v>
      </c>
      <c r="BK1013" s="65">
        <v>123195.12</v>
      </c>
      <c r="BL1013" s="65">
        <v>124146.03</v>
      </c>
      <c r="BM1013" s="65">
        <v>125550.35</v>
      </c>
      <c r="BN1013" s="65">
        <v>126656.7</v>
      </c>
      <c r="BO1013" s="65">
        <v>127822.81</v>
      </c>
      <c r="BP1013" s="65">
        <v>128805.7</v>
      </c>
      <c r="BQ1013" s="65">
        <v>129885.4</v>
      </c>
      <c r="BR1013" s="65">
        <v>131221.6</v>
      </c>
      <c r="BS1013" s="65">
        <v>132672.75</v>
      </c>
      <c r="BT1013" s="88">
        <v>133802.3</v>
      </c>
      <c r="BU1013" s="65">
        <v>134974.7</v>
      </c>
      <c r="BV1013" s="65">
        <v>136588.8</v>
      </c>
      <c r="BW1013" s="90">
        <v>137790.2</v>
      </c>
      <c r="BX1013" s="90">
        <v>139145.34</v>
      </c>
      <c r="BY1013" s="90">
        <f t="array" ref="BY1013">XLOOKUP(C1013,'PL TOTAL D0'!$A$3:$A$1991,'PL TOTAL D0'!$C$3:$C$1991,"")</f>
        <v>139785.18</v>
      </c>
    </row>
    <row r="1014" ht="15.75" customHeight="1">
      <c r="A1014" s="50" t="s">
        <v>24</v>
      </c>
      <c r="B1014" s="176" t="s">
        <v>6152</v>
      </c>
      <c r="C1014" s="94" t="s">
        <v>2699</v>
      </c>
      <c r="D1014" s="30" t="s">
        <v>89</v>
      </c>
      <c r="E1014" s="95" t="s">
        <v>91</v>
      </c>
      <c r="F1014" s="81" t="s">
        <v>521</v>
      </c>
      <c r="G1014" s="47" t="str">
        <f t="shared" si="42"/>
        <v>Marcus</v>
      </c>
      <c r="H1014" s="49" t="s">
        <v>183</v>
      </c>
      <c r="I1014" s="49" t="s">
        <v>66</v>
      </c>
      <c r="J1014" s="47" t="str">
        <f t="shared" si="41"/>
        <v>Não</v>
      </c>
      <c r="K1014" s="97">
        <v>45034.0</v>
      </c>
      <c r="L1014" s="62"/>
      <c r="M1014" s="32" t="s">
        <v>568</v>
      </c>
      <c r="N1014" s="98">
        <v>0.012</v>
      </c>
      <c r="O1014" s="23" t="s">
        <v>35</v>
      </c>
      <c r="P1014" s="57">
        <v>0.1</v>
      </c>
      <c r="Q1014" s="58"/>
      <c r="R1014" s="195" t="s">
        <v>8971</v>
      </c>
      <c r="S1014" s="62" t="s">
        <v>194</v>
      </c>
      <c r="T1014" s="32" t="s">
        <v>6918</v>
      </c>
      <c r="U1014" s="33">
        <v>5.534991521324E12</v>
      </c>
      <c r="V1014" s="33" t="s">
        <v>9061</v>
      </c>
      <c r="W1014" s="34">
        <v>19186.0</v>
      </c>
      <c r="X1014" s="23" t="s">
        <v>618</v>
      </c>
      <c r="Y1014" s="49" t="str">
        <f t="shared" si="40"/>
        <v>Ativo</v>
      </c>
      <c r="Z1014" s="62"/>
      <c r="AA1014" s="32" t="s">
        <v>47</v>
      </c>
      <c r="AB1014" s="64" t="s">
        <v>269</v>
      </c>
      <c r="AC1014" s="79"/>
      <c r="AD1014" s="54">
        <v>45034.0</v>
      </c>
      <c r="AE1014" s="77">
        <v>4.9075100008541E13</v>
      </c>
      <c r="AF1014" s="79"/>
      <c r="AG1014" s="79"/>
      <c r="AH1014" s="79"/>
      <c r="AI1014" s="79"/>
      <c r="AJ1014" s="79"/>
      <c r="AK1014" s="65">
        <v>0.0</v>
      </c>
      <c r="AL1014" s="65">
        <v>773689.8</v>
      </c>
      <c r="AM1014" s="65">
        <v>959768.12</v>
      </c>
      <c r="AN1014" s="65">
        <v>621659.37</v>
      </c>
      <c r="AO1014" s="65">
        <v>564875.41</v>
      </c>
      <c r="AP1014" s="65">
        <v>570213.32</v>
      </c>
      <c r="AQ1014" s="65">
        <v>566734.95</v>
      </c>
      <c r="AR1014" s="65">
        <v>559509.81</v>
      </c>
      <c r="AS1014" s="65">
        <v>563466.37</v>
      </c>
      <c r="AT1014" s="65">
        <v>567959.82</v>
      </c>
      <c r="AU1014" s="65">
        <v>572510.06</v>
      </c>
      <c r="AV1014" s="65">
        <v>566750.13</v>
      </c>
      <c r="AW1014" s="65">
        <v>554805.92</v>
      </c>
      <c r="AX1014" s="65">
        <v>546484.35</v>
      </c>
      <c r="AY1014" s="65">
        <v>550537.5</v>
      </c>
      <c r="AZ1014" s="65">
        <v>553943.7</v>
      </c>
      <c r="BA1014" s="65">
        <v>558752.4</v>
      </c>
      <c r="BB1014" s="65">
        <v>551289.35</v>
      </c>
      <c r="BC1014" s="65">
        <v>552446.92</v>
      </c>
      <c r="BD1014" s="65">
        <v>1098426.23</v>
      </c>
      <c r="BE1014" s="65">
        <v>1097422.63</v>
      </c>
      <c r="BF1014" s="65">
        <v>1104732.47</v>
      </c>
      <c r="BG1014" s="65">
        <v>1110500.72</v>
      </c>
      <c r="BH1014" s="65">
        <v>1115354.14</v>
      </c>
      <c r="BI1014" s="65">
        <v>1105579.39</v>
      </c>
      <c r="BJ1014" s="65">
        <v>1095998.25</v>
      </c>
      <c r="BK1014" s="65">
        <v>1101527.47</v>
      </c>
      <c r="BL1014" s="65">
        <v>1027249.02</v>
      </c>
      <c r="BM1014" s="65">
        <v>1018924.23</v>
      </c>
      <c r="BN1014" s="65">
        <v>1014539.0</v>
      </c>
      <c r="BO1014" s="65">
        <v>1012616.49</v>
      </c>
      <c r="BP1014" s="65">
        <v>1011947.0</v>
      </c>
      <c r="BQ1014" s="65">
        <v>960275.2</v>
      </c>
      <c r="BR1014" s="65">
        <v>953168.6</v>
      </c>
      <c r="BS1014" s="65">
        <v>1002404.73</v>
      </c>
      <c r="BT1014" s="88">
        <v>1002862.0</v>
      </c>
      <c r="BU1014" s="65">
        <v>1003064.0</v>
      </c>
      <c r="BV1014" s="65">
        <v>1002976.0</v>
      </c>
      <c r="BW1014" s="90">
        <v>1000610.0</v>
      </c>
      <c r="BX1014" s="90">
        <v>999464.3</v>
      </c>
      <c r="BY1014" s="90">
        <f t="array" ref="BY1014">XLOOKUP(C1014,'PL TOTAL D0'!$A$3:$A$1991,'PL TOTAL D0'!$C$3:$C$1991,"")</f>
        <v>1008505.94</v>
      </c>
    </row>
    <row r="1015" ht="15.75" customHeight="1">
      <c r="A1015" s="50" t="s">
        <v>24</v>
      </c>
      <c r="B1015" s="176" t="s">
        <v>6152</v>
      </c>
      <c r="C1015" s="94" t="s">
        <v>9062</v>
      </c>
      <c r="D1015" s="30" t="s">
        <v>89</v>
      </c>
      <c r="E1015" s="95" t="s">
        <v>91</v>
      </c>
      <c r="F1015" s="81" t="s">
        <v>521</v>
      </c>
      <c r="G1015" s="47" t="str">
        <f t="shared" si="42"/>
        <v>David</v>
      </c>
      <c r="H1015" s="49" t="s">
        <v>224</v>
      </c>
      <c r="I1015" s="49" t="s">
        <v>66</v>
      </c>
      <c r="J1015" s="47" t="str">
        <f t="shared" si="41"/>
        <v>Não</v>
      </c>
      <c r="K1015" s="97">
        <v>45034.0</v>
      </c>
      <c r="L1015" s="55">
        <v>45937.0</v>
      </c>
      <c r="M1015" s="62" t="s">
        <v>1142</v>
      </c>
      <c r="N1015" s="98">
        <v>0.008</v>
      </c>
      <c r="O1015" s="47" t="s">
        <v>1143</v>
      </c>
      <c r="P1015" s="99">
        <v>0.1</v>
      </c>
      <c r="Q1015" s="58"/>
      <c r="R1015" s="635"/>
      <c r="S1015" s="62" t="s">
        <v>194</v>
      </c>
      <c r="T1015" s="32" t="s">
        <v>6918</v>
      </c>
      <c r="U1015" s="33">
        <v>5.534991521324E12</v>
      </c>
      <c r="V1015" s="33" t="s">
        <v>9061</v>
      </c>
      <c r="W1015" s="34">
        <v>19186.0</v>
      </c>
      <c r="X1015" s="23" t="s">
        <v>618</v>
      </c>
      <c r="Y1015" s="49" t="str">
        <f t="shared" si="40"/>
        <v>Encerrado</v>
      </c>
      <c r="Z1015" s="62"/>
      <c r="AA1015" s="62"/>
      <c r="AB1015" s="64" t="s">
        <v>269</v>
      </c>
      <c r="AC1015" s="79"/>
      <c r="AD1015" s="54">
        <v>45034.0</v>
      </c>
      <c r="AE1015" s="77">
        <v>4.9075100008531E13</v>
      </c>
      <c r="AF1015" s="79"/>
      <c r="AG1015" s="79"/>
      <c r="AH1015" s="79"/>
      <c r="AI1015" s="79"/>
      <c r="AJ1015" s="79"/>
      <c r="AK1015" s="65">
        <v>0.0</v>
      </c>
      <c r="AL1015" s="65">
        <v>545084.31</v>
      </c>
      <c r="AM1015" s="65">
        <v>579285.01</v>
      </c>
      <c r="AN1015" s="65">
        <v>604195.66</v>
      </c>
      <c r="AO1015" s="65">
        <v>619206.82</v>
      </c>
      <c r="AP1015" s="65">
        <v>624915.15</v>
      </c>
      <c r="AQ1015" s="65">
        <v>629675.94</v>
      </c>
      <c r="AR1015" s="65">
        <v>618554.44</v>
      </c>
      <c r="AS1015" s="65">
        <v>629953.34</v>
      </c>
      <c r="AT1015" s="65">
        <v>645323.53</v>
      </c>
      <c r="AU1015" s="65">
        <v>645658.4</v>
      </c>
      <c r="AV1015" s="65">
        <v>658727.99</v>
      </c>
      <c r="AW1015" s="65">
        <v>663847.98</v>
      </c>
      <c r="AX1015" s="65">
        <v>654171.76</v>
      </c>
      <c r="AY1015" s="65">
        <v>651639.8</v>
      </c>
      <c r="AZ1015" s="65">
        <v>647001.2</v>
      </c>
      <c r="BA1015" s="65">
        <v>654507.8</v>
      </c>
      <c r="BB1015" s="65">
        <v>663136.71</v>
      </c>
      <c r="BC1015" s="65">
        <v>650887.59</v>
      </c>
      <c r="BD1015" s="65">
        <v>0.0</v>
      </c>
      <c r="BE1015" s="65">
        <v>0.0</v>
      </c>
      <c r="BF1015" s="65">
        <v>1.72</v>
      </c>
      <c r="BG1015" s="65">
        <v>1.72</v>
      </c>
      <c r="BH1015" s="65">
        <v>1.72</v>
      </c>
      <c r="BI1015" s="65">
        <v>1.72</v>
      </c>
      <c r="BJ1015" s="65">
        <v>0.0</v>
      </c>
      <c r="BK1015" s="65">
        <v>0.0</v>
      </c>
      <c r="BL1015" s="65">
        <v>0.0</v>
      </c>
      <c r="BM1015" s="65">
        <v>0.0</v>
      </c>
      <c r="BN1015" s="65">
        <v>0.0</v>
      </c>
      <c r="BO1015" s="65">
        <v>0.0</v>
      </c>
      <c r="BP1015" s="65">
        <v>0.0</v>
      </c>
      <c r="BQ1015" s="65">
        <v>0.0</v>
      </c>
      <c r="BR1015" s="65">
        <v>0.0</v>
      </c>
      <c r="BS1015" s="65">
        <v>0.0</v>
      </c>
      <c r="BT1015" s="88">
        <v>0.0</v>
      </c>
      <c r="BU1015" s="65">
        <v>0.0</v>
      </c>
      <c r="BV1015" s="65">
        <v>0.0</v>
      </c>
      <c r="BW1015" s="90">
        <v>0.0</v>
      </c>
      <c r="BX1015" s="90">
        <v>0.0</v>
      </c>
      <c r="BY1015" s="90" t="str">
        <f t="array" ref="BY1015">XLOOKUP(C1015,'PL TOTAL D0'!$A$3:$A$1991,'PL TOTAL D0'!$C$3:$C$1991,"")</f>
        <v/>
      </c>
    </row>
    <row r="1016" ht="15.75" customHeight="1">
      <c r="A1016" s="50" t="s">
        <v>24</v>
      </c>
      <c r="B1016" s="39" t="s">
        <v>9063</v>
      </c>
      <c r="C1016" s="53" t="s">
        <v>2650</v>
      </c>
      <c r="D1016" s="30" t="s">
        <v>1257</v>
      </c>
      <c r="E1016" s="22" t="s">
        <v>199</v>
      </c>
      <c r="F1016" s="30" t="s">
        <v>1257</v>
      </c>
      <c r="G1016" s="23" t="s">
        <v>3075</v>
      </c>
      <c r="H1016" s="49" t="s">
        <v>183</v>
      </c>
      <c r="I1016" s="49" t="s">
        <v>66</v>
      </c>
      <c r="J1016" s="47" t="str">
        <f t="shared" si="41"/>
        <v>Não</v>
      </c>
      <c r="K1016" s="54">
        <v>46139.0</v>
      </c>
      <c r="L1016" s="55"/>
      <c r="M1016" s="32" t="s">
        <v>1262</v>
      </c>
      <c r="N1016" s="98"/>
      <c r="O1016" s="23" t="s">
        <v>66</v>
      </c>
      <c r="P1016" s="57">
        <v>0.0</v>
      </c>
      <c r="Q1016" s="58"/>
      <c r="R1016" s="635"/>
      <c r="S1016" s="32" t="s">
        <v>194</v>
      </c>
      <c r="T1016" s="32" t="s">
        <v>9064</v>
      </c>
      <c r="U1016" s="33" t="s">
        <v>9065</v>
      </c>
      <c r="V1016" s="33" t="s">
        <v>9066</v>
      </c>
      <c r="W1016" s="34">
        <v>31850.0</v>
      </c>
      <c r="X1016" s="23" t="s">
        <v>475</v>
      </c>
      <c r="Y1016" s="49" t="str">
        <f t="shared" si="40"/>
        <v>Ativo</v>
      </c>
      <c r="Z1016" s="62"/>
      <c r="AA1016" s="32" t="s">
        <v>47</v>
      </c>
      <c r="AB1016" s="64"/>
      <c r="AC1016" s="79"/>
      <c r="AD1016" s="54">
        <v>46203.0</v>
      </c>
      <c r="AE1016" s="77"/>
      <c r="AF1016" s="79"/>
      <c r="AG1016" s="79"/>
      <c r="AH1016" s="79"/>
      <c r="AI1016" s="79"/>
      <c r="AJ1016" s="79"/>
      <c r="AK1016" s="65"/>
      <c r="AL1016" s="65"/>
      <c r="AM1016" s="65"/>
      <c r="AN1016" s="65"/>
      <c r="AO1016" s="65"/>
      <c r="AP1016" s="65"/>
      <c r="AQ1016" s="65"/>
      <c r="AR1016" s="65"/>
      <c r="AS1016" s="65"/>
      <c r="AT1016" s="65"/>
      <c r="AU1016" s="65"/>
      <c r="AV1016" s="65"/>
      <c r="AW1016" s="65"/>
      <c r="AX1016" s="65"/>
      <c r="AY1016" s="65"/>
      <c r="AZ1016" s="65"/>
      <c r="BA1016" s="65"/>
      <c r="BB1016" s="65"/>
      <c r="BC1016" s="65"/>
      <c r="BD1016" s="65"/>
      <c r="BE1016" s="65"/>
      <c r="BF1016" s="65"/>
      <c r="BG1016" s="65"/>
      <c r="BH1016" s="65"/>
      <c r="BI1016" s="65"/>
      <c r="BJ1016" s="65"/>
      <c r="BK1016" s="65"/>
      <c r="BL1016" s="65"/>
      <c r="BM1016" s="65"/>
      <c r="BN1016" s="65"/>
      <c r="BO1016" s="65"/>
      <c r="BP1016" s="65"/>
      <c r="BQ1016" s="65"/>
      <c r="BR1016" s="65"/>
      <c r="BS1016" s="65"/>
      <c r="BT1016" s="88"/>
      <c r="BU1016" s="65"/>
      <c r="BV1016" s="65">
        <v>1418163.0</v>
      </c>
      <c r="BW1016" s="90">
        <v>1425162.0</v>
      </c>
      <c r="BX1016" s="90">
        <v>1430580.73</v>
      </c>
      <c r="BY1016" s="90">
        <f t="array" ref="BY1016">XLOOKUP(C1016,'PL TOTAL D0'!$A$3:$A$1991,'PL TOTAL D0'!$C$3:$C$1991,"")</f>
        <v>1442089.84</v>
      </c>
    </row>
    <row r="1017" ht="15.75" customHeight="1">
      <c r="A1017" s="50" t="s">
        <v>24</v>
      </c>
      <c r="B1017" s="513" t="s">
        <v>9067</v>
      </c>
      <c r="C1017" s="94" t="s">
        <v>9068</v>
      </c>
      <c r="D1017" s="30" t="s">
        <v>89</v>
      </c>
      <c r="E1017" s="22" t="s">
        <v>91</v>
      </c>
      <c r="F1017" s="30" t="s">
        <v>193</v>
      </c>
      <c r="G1017" s="47" t="str">
        <f>IFS($BS$4:$BS$1280&lt;=250000,"David",$BS$4:$BS$1280&lt;=800000,"Gabriel", $BS$4:$BS$1280&gt;800000,"Marcus")</f>
        <v>David</v>
      </c>
      <c r="H1017" s="49" t="s">
        <v>295</v>
      </c>
      <c r="I1017" s="49" t="s">
        <v>382</v>
      </c>
      <c r="J1017" s="47" t="str">
        <f t="shared" si="41"/>
        <v>Não</v>
      </c>
      <c r="K1017" s="54">
        <v>45681.0</v>
      </c>
      <c r="L1017" s="189"/>
      <c r="M1017" s="32" t="s">
        <v>390</v>
      </c>
      <c r="N1017" s="56">
        <v>0.0</v>
      </c>
      <c r="O1017" s="23" t="s">
        <v>66</v>
      </c>
      <c r="P1017" s="57">
        <v>0.0</v>
      </c>
      <c r="Q1017" s="58"/>
      <c r="R1017" s="58"/>
      <c r="S1017" s="32" t="s">
        <v>194</v>
      </c>
      <c r="T1017" s="177" t="s">
        <v>9069</v>
      </c>
      <c r="U1017" s="33">
        <v>5.511981994334E12</v>
      </c>
      <c r="V1017" s="33" t="s">
        <v>9070</v>
      </c>
      <c r="W1017" s="34">
        <v>37737.0</v>
      </c>
      <c r="X1017" s="23" t="s">
        <v>475</v>
      </c>
      <c r="Y1017" s="49" t="str">
        <f t="shared" si="40"/>
        <v>Ativo</v>
      </c>
      <c r="Z1017" s="62"/>
      <c r="AA1017" s="32" t="s">
        <v>47</v>
      </c>
      <c r="AB1017" s="64"/>
      <c r="AC1017" s="79"/>
      <c r="AD1017" s="54">
        <v>45681.0</v>
      </c>
      <c r="AE1017" s="77">
        <v>4.9075100017646E13</v>
      </c>
      <c r="AF1017" s="79"/>
      <c r="AG1017" s="79"/>
      <c r="AH1017" s="79"/>
      <c r="AI1017" s="79"/>
      <c r="AJ1017" s="79"/>
      <c r="AK1017" s="79"/>
      <c r="AL1017" s="79"/>
      <c r="AM1017" s="79"/>
      <c r="AN1017" s="79"/>
      <c r="AO1017" s="79"/>
      <c r="AP1017" s="79"/>
      <c r="AQ1017" s="79"/>
      <c r="AR1017" s="79"/>
      <c r="AS1017" s="79"/>
      <c r="AT1017" s="79"/>
      <c r="AU1017" s="79"/>
      <c r="AV1017" s="65"/>
      <c r="AW1017" s="65"/>
      <c r="AX1017" s="65"/>
      <c r="AY1017" s="65"/>
      <c r="AZ1017" s="65"/>
      <c r="BA1017" s="65"/>
      <c r="BB1017" s="65"/>
      <c r="BC1017" s="65"/>
      <c r="BD1017" s="65"/>
      <c r="BE1017" s="65"/>
      <c r="BF1017" s="65"/>
      <c r="BG1017" s="65">
        <v>0.0</v>
      </c>
      <c r="BH1017" s="65">
        <v>15695.08</v>
      </c>
      <c r="BI1017" s="65">
        <v>23990.6</v>
      </c>
      <c r="BJ1017" s="65">
        <v>24246.41</v>
      </c>
      <c r="BK1017" s="65">
        <v>14114.55</v>
      </c>
      <c r="BL1017" s="65">
        <v>2291.38</v>
      </c>
      <c r="BM1017" s="65">
        <v>0.49</v>
      </c>
      <c r="BN1017" s="65">
        <v>0.51</v>
      </c>
      <c r="BO1017" s="65">
        <v>0.51</v>
      </c>
      <c r="BP1017" s="65">
        <v>0.51</v>
      </c>
      <c r="BQ1017" s="65">
        <v>0.51</v>
      </c>
      <c r="BR1017" s="65">
        <v>0.51</v>
      </c>
      <c r="BS1017" s="65">
        <v>0.51</v>
      </c>
      <c r="BT1017" s="88">
        <v>0.51</v>
      </c>
      <c r="BU1017" s="65">
        <v>0.51</v>
      </c>
      <c r="BV1017" s="65">
        <v>0.51</v>
      </c>
      <c r="BW1017" s="90">
        <v>0.51</v>
      </c>
      <c r="BX1017" s="90">
        <v>0.51</v>
      </c>
      <c r="BY1017" s="90" t="str">
        <f t="array" ref="BY1017">XLOOKUP(C1017,'PL TOTAL D0'!$A$3:$A$1991,'PL TOTAL D0'!$C$3:$C$1991,"")</f>
        <v/>
      </c>
    </row>
    <row r="1018" ht="15.75" customHeight="1">
      <c r="A1018" s="50" t="s">
        <v>24</v>
      </c>
      <c r="B1018" s="513" t="s">
        <v>9071</v>
      </c>
      <c r="C1018" s="53" t="s">
        <v>2580</v>
      </c>
      <c r="D1018" s="30" t="s">
        <v>120</v>
      </c>
      <c r="E1018" s="22" t="s">
        <v>199</v>
      </c>
      <c r="F1018" s="30" t="s">
        <v>707</v>
      </c>
      <c r="G1018" s="23" t="s">
        <v>3075</v>
      </c>
      <c r="H1018" s="49" t="s">
        <v>183</v>
      </c>
      <c r="I1018" s="49" t="s">
        <v>66</v>
      </c>
      <c r="J1018" s="47" t="str">
        <f t="shared" si="41"/>
        <v>Sim</v>
      </c>
      <c r="K1018" s="54">
        <v>46121.0</v>
      </c>
      <c r="L1018" s="189"/>
      <c r="M1018" s="32" t="s">
        <v>34</v>
      </c>
      <c r="N1018" s="56">
        <v>0.012</v>
      </c>
      <c r="O1018" s="23" t="s">
        <v>35</v>
      </c>
      <c r="P1018" s="57">
        <v>0.1</v>
      </c>
      <c r="Q1018" s="58" t="s">
        <v>9072</v>
      </c>
      <c r="R1018" s="58"/>
      <c r="S1018" s="32" t="s">
        <v>194</v>
      </c>
      <c r="T1018" s="177" t="s">
        <v>9073</v>
      </c>
      <c r="U1018" s="33" t="s">
        <v>9074</v>
      </c>
      <c r="V1018" s="33" t="s">
        <v>9075</v>
      </c>
      <c r="W1018" s="34">
        <v>22114.0</v>
      </c>
      <c r="X1018" s="23" t="s">
        <v>199</v>
      </c>
      <c r="Y1018" s="49" t="str">
        <f t="shared" si="40"/>
        <v>Ativo</v>
      </c>
      <c r="Z1018" s="62"/>
      <c r="AA1018" s="32" t="s">
        <v>47</v>
      </c>
      <c r="AB1018" s="64"/>
      <c r="AC1018" s="79"/>
      <c r="AD1018" s="54">
        <v>46203.0</v>
      </c>
      <c r="AE1018" s="77"/>
      <c r="AF1018" s="79"/>
      <c r="AG1018" s="79"/>
      <c r="AH1018" s="79"/>
      <c r="AI1018" s="79"/>
      <c r="AJ1018" s="79"/>
      <c r="AK1018" s="79"/>
      <c r="AL1018" s="79"/>
      <c r="AM1018" s="79"/>
      <c r="AN1018" s="79"/>
      <c r="AO1018" s="79"/>
      <c r="AP1018" s="79"/>
      <c r="AQ1018" s="79"/>
      <c r="AR1018" s="79"/>
      <c r="AS1018" s="79"/>
      <c r="AT1018" s="79"/>
      <c r="AU1018" s="79"/>
      <c r="AV1018" s="65"/>
      <c r="AW1018" s="65"/>
      <c r="AX1018" s="65"/>
      <c r="AY1018" s="65"/>
      <c r="AZ1018" s="65"/>
      <c r="BA1018" s="65"/>
      <c r="BB1018" s="65"/>
      <c r="BC1018" s="65"/>
      <c r="BD1018" s="65"/>
      <c r="BE1018" s="65"/>
      <c r="BF1018" s="65"/>
      <c r="BG1018" s="65"/>
      <c r="BH1018" s="65"/>
      <c r="BI1018" s="65"/>
      <c r="BJ1018" s="65"/>
      <c r="BK1018" s="65"/>
      <c r="BL1018" s="65"/>
      <c r="BM1018" s="65"/>
      <c r="BN1018" s="65"/>
      <c r="BO1018" s="65"/>
      <c r="BP1018" s="65"/>
      <c r="BQ1018" s="65"/>
      <c r="BR1018" s="65"/>
      <c r="BS1018" s="65"/>
      <c r="BT1018" s="88"/>
      <c r="BU1018" s="65">
        <v>0.0</v>
      </c>
      <c r="BV1018" s="65">
        <v>1925513.0</v>
      </c>
      <c r="BW1018" s="90">
        <v>1933485.0</v>
      </c>
      <c r="BX1018" s="90">
        <v>1952236.31</v>
      </c>
      <c r="BY1018" s="90">
        <f t="array" ref="BY1018">XLOOKUP(C1018,'PL TOTAL D0'!$A$3:$A$1991,'PL TOTAL D0'!$C$3:$C$1991,"")</f>
        <v>2016287.84</v>
      </c>
    </row>
    <row r="1019" ht="15.75" customHeight="1">
      <c r="A1019" s="50" t="s">
        <v>24</v>
      </c>
      <c r="B1019" s="50" t="s">
        <v>9076</v>
      </c>
      <c r="C1019" s="94" t="s">
        <v>3110</v>
      </c>
      <c r="D1019" s="30" t="s">
        <v>89</v>
      </c>
      <c r="E1019" s="95" t="s">
        <v>91</v>
      </c>
      <c r="F1019" s="81" t="s">
        <v>193</v>
      </c>
      <c r="G1019" s="47" t="str">
        <f t="shared" ref="G1019:G1026" si="43">IFS($BS$4:$BS$1280&lt;=250000,"David",$BS$4:$BS$1280&lt;=800000,"Gabriel", $BS$4:$BS$1280&gt;800000,"Marcus")</f>
        <v>David</v>
      </c>
      <c r="H1019" s="74" t="s">
        <v>183</v>
      </c>
      <c r="I1019" s="74" t="s">
        <v>66</v>
      </c>
      <c r="J1019" s="47" t="str">
        <f t="shared" si="41"/>
        <v>Não</v>
      </c>
      <c r="K1019" s="97">
        <v>45159.0</v>
      </c>
      <c r="L1019" s="189"/>
      <c r="M1019" s="62" t="s">
        <v>209</v>
      </c>
      <c r="N1019" s="98">
        <v>0.015</v>
      </c>
      <c r="O1019" s="47" t="s">
        <v>35</v>
      </c>
      <c r="P1019" s="99">
        <v>0.1</v>
      </c>
      <c r="Q1019" s="58"/>
      <c r="R1019" s="58" t="s">
        <v>9077</v>
      </c>
      <c r="S1019" s="62" t="s">
        <v>194</v>
      </c>
      <c r="T1019" s="32" t="s">
        <v>1437</v>
      </c>
      <c r="U1019" s="33">
        <v>5.521979970024E12</v>
      </c>
      <c r="V1019" s="33" t="s">
        <v>1441</v>
      </c>
      <c r="W1019" s="34">
        <v>23442.0</v>
      </c>
      <c r="X1019" s="23" t="s">
        <v>397</v>
      </c>
      <c r="Y1019" s="49" t="str">
        <f t="shared" si="40"/>
        <v>Ativo</v>
      </c>
      <c r="Z1019" s="62"/>
      <c r="AA1019" s="62"/>
      <c r="AB1019" s="64" t="s">
        <v>269</v>
      </c>
      <c r="AC1019" s="79"/>
      <c r="AD1019" s="54">
        <v>45159.0</v>
      </c>
      <c r="AE1019" s="77">
        <v>4.9075100008681E13</v>
      </c>
      <c r="AF1019" s="79"/>
      <c r="AG1019" s="79"/>
      <c r="AH1019" s="79"/>
      <c r="AI1019" s="65">
        <v>0.0</v>
      </c>
      <c r="AJ1019" s="65">
        <v>0.0</v>
      </c>
      <c r="AK1019" s="65">
        <v>0.0</v>
      </c>
      <c r="AL1019" s="65">
        <v>0.0</v>
      </c>
      <c r="AM1019" s="65">
        <v>0.0</v>
      </c>
      <c r="AN1019" s="65">
        <v>0.0</v>
      </c>
      <c r="AO1019" s="65">
        <v>0.0</v>
      </c>
      <c r="AP1019" s="65">
        <v>169304.0</v>
      </c>
      <c r="AQ1019" s="65">
        <v>178411.71</v>
      </c>
      <c r="AR1019" s="65">
        <v>178119.97</v>
      </c>
      <c r="AS1019" s="65">
        <v>182529.06</v>
      </c>
      <c r="AT1019" s="65">
        <v>186264.3</v>
      </c>
      <c r="AU1019" s="65">
        <v>183385.5</v>
      </c>
      <c r="AV1019" s="65">
        <v>184894.13</v>
      </c>
      <c r="AW1019" s="65">
        <v>185296.17</v>
      </c>
      <c r="AX1019" s="65">
        <v>183844.14</v>
      </c>
      <c r="AY1019" s="65">
        <v>183219.6</v>
      </c>
      <c r="AZ1019" s="65">
        <v>184367.2</v>
      </c>
      <c r="BA1019" s="65">
        <v>186972.7</v>
      </c>
      <c r="BB1019" s="65">
        <v>189200.05</v>
      </c>
      <c r="BC1019" s="65">
        <v>188273.69</v>
      </c>
      <c r="BD1019" s="65">
        <v>187172.68</v>
      </c>
      <c r="BE1019" s="65">
        <v>186302.45</v>
      </c>
      <c r="BF1019" s="65">
        <v>185991.19</v>
      </c>
      <c r="BG1019" s="65">
        <v>188486.94</v>
      </c>
      <c r="BH1019" s="65">
        <v>190318.83</v>
      </c>
      <c r="BI1019" s="65">
        <v>191272.28</v>
      </c>
      <c r="BJ1019" s="65">
        <v>191829.73</v>
      </c>
      <c r="BK1019" s="65">
        <v>196091.74</v>
      </c>
      <c r="BL1019" s="65">
        <v>197935.07</v>
      </c>
      <c r="BM1019" s="65">
        <v>199347.66</v>
      </c>
      <c r="BN1019" s="65">
        <v>202334.2</v>
      </c>
      <c r="BO1019" s="65">
        <v>205811.91</v>
      </c>
      <c r="BP1019" s="65">
        <v>209220.5</v>
      </c>
      <c r="BQ1019" s="65">
        <v>213937.6</v>
      </c>
      <c r="BR1019" s="65">
        <v>217271.6</v>
      </c>
      <c r="BS1019" s="65">
        <v>222018.66</v>
      </c>
      <c r="BT1019" s="88">
        <v>225542.6</v>
      </c>
      <c r="BU1019" s="65">
        <v>228157.9</v>
      </c>
      <c r="BV1019" s="65">
        <v>230095.1</v>
      </c>
      <c r="BW1019" s="90">
        <v>227615.1</v>
      </c>
      <c r="BX1019" s="90">
        <v>237230.95</v>
      </c>
      <c r="BY1019" s="90">
        <f t="array" ref="BY1019">XLOOKUP(C1019,'PL TOTAL D0'!$A$3:$A$1991,'PL TOTAL D0'!$C$3:$C$1991,"")</f>
        <v>232239.28</v>
      </c>
    </row>
    <row r="1020" ht="15.75" customHeight="1">
      <c r="A1020" s="43" t="s">
        <v>24</v>
      </c>
      <c r="B1020" s="513" t="s">
        <v>9078</v>
      </c>
      <c r="C1020" s="94" t="s">
        <v>3151</v>
      </c>
      <c r="D1020" s="30" t="s">
        <v>120</v>
      </c>
      <c r="E1020" s="22" t="s">
        <v>199</v>
      </c>
      <c r="F1020" s="30" t="s">
        <v>431</v>
      </c>
      <c r="G1020" s="47" t="str">
        <f t="shared" si="43"/>
        <v>David</v>
      </c>
      <c r="H1020" s="49" t="s">
        <v>183</v>
      </c>
      <c r="I1020" s="49" t="s">
        <v>66</v>
      </c>
      <c r="J1020" s="47" t="str">
        <f t="shared" si="41"/>
        <v>Sim</v>
      </c>
      <c r="K1020" s="54">
        <v>44996.0</v>
      </c>
      <c r="L1020" s="189"/>
      <c r="M1020" s="32" t="s">
        <v>209</v>
      </c>
      <c r="N1020" s="56">
        <v>0.015</v>
      </c>
      <c r="O1020" s="23" t="s">
        <v>35</v>
      </c>
      <c r="P1020" s="57">
        <v>0.1</v>
      </c>
      <c r="Q1020" s="58" t="s">
        <v>9079</v>
      </c>
      <c r="R1020" s="58"/>
      <c r="S1020" s="32" t="s">
        <v>194</v>
      </c>
      <c r="T1020" s="177" t="s">
        <v>9080</v>
      </c>
      <c r="U1020" s="33">
        <v>5.56198199345E12</v>
      </c>
      <c r="V1020" s="33" t="s">
        <v>9081</v>
      </c>
      <c r="W1020" s="34">
        <v>35508.0</v>
      </c>
      <c r="X1020" s="23" t="s">
        <v>199</v>
      </c>
      <c r="Y1020" s="49" t="str">
        <f t="shared" si="40"/>
        <v>Ativo</v>
      </c>
      <c r="Z1020" s="62"/>
      <c r="AA1020" s="62"/>
      <c r="AB1020" s="64" t="s">
        <v>269</v>
      </c>
      <c r="AC1020" s="79"/>
      <c r="AD1020" s="54">
        <v>44996.0</v>
      </c>
      <c r="AE1020" s="77">
        <v>4.9075100013462E13</v>
      </c>
      <c r="AF1020" s="79"/>
      <c r="AG1020" s="79"/>
      <c r="AH1020" s="79"/>
      <c r="AI1020" s="79"/>
      <c r="AJ1020" s="79"/>
      <c r="AK1020" s="79"/>
      <c r="AL1020" s="79"/>
      <c r="AM1020" s="79"/>
      <c r="AN1020" s="79"/>
      <c r="AO1020" s="79"/>
      <c r="AP1020" s="79"/>
      <c r="AQ1020" s="79"/>
      <c r="AR1020" s="79"/>
      <c r="AS1020" s="79"/>
      <c r="AT1020" s="79"/>
      <c r="AU1020" s="79"/>
      <c r="AV1020" s="65"/>
      <c r="AW1020" s="65">
        <v>0.0</v>
      </c>
      <c r="AX1020" s="65">
        <v>154173.34</v>
      </c>
      <c r="AY1020" s="65">
        <v>157791.6</v>
      </c>
      <c r="AZ1020" s="65">
        <v>163154.2</v>
      </c>
      <c r="BA1020" s="65">
        <v>170043.3</v>
      </c>
      <c r="BB1020" s="65">
        <v>176313.54</v>
      </c>
      <c r="BC1020" s="65">
        <v>205350.19</v>
      </c>
      <c r="BD1020" s="65">
        <v>203926.09</v>
      </c>
      <c r="BE1020" s="65">
        <v>202281.75</v>
      </c>
      <c r="BF1020" s="65">
        <v>172534.43</v>
      </c>
      <c r="BG1020" s="65">
        <v>174216.11</v>
      </c>
      <c r="BH1020" s="65">
        <v>175796.31</v>
      </c>
      <c r="BI1020" s="65">
        <v>176600.11</v>
      </c>
      <c r="BJ1020" s="65">
        <v>178515.77</v>
      </c>
      <c r="BK1020" s="65">
        <v>180463.46</v>
      </c>
      <c r="BL1020" s="65">
        <v>182026.5</v>
      </c>
      <c r="BM1020" s="65">
        <v>254014.67</v>
      </c>
      <c r="BN1020" s="65">
        <v>256618.2</v>
      </c>
      <c r="BO1020" s="65">
        <v>258803.49</v>
      </c>
      <c r="BP1020" s="65">
        <v>272376.7</v>
      </c>
      <c r="BQ1020" s="65">
        <v>274556.2</v>
      </c>
      <c r="BR1020" s="65">
        <v>246509.2</v>
      </c>
      <c r="BS1020" s="65">
        <v>249105.6</v>
      </c>
      <c r="BT1020" s="88">
        <v>251309.2</v>
      </c>
      <c r="BU1020" s="65">
        <v>253468.6</v>
      </c>
      <c r="BV1020" s="65">
        <v>245127.3</v>
      </c>
      <c r="BW1020" s="90">
        <v>196355.6</v>
      </c>
      <c r="BX1020" s="90">
        <v>198500.63</v>
      </c>
      <c r="BY1020" s="90">
        <f t="array" ref="BY1020">XLOOKUP(C1020,'PL TOTAL D0'!$A$3:$A$1991,'PL TOTAL D0'!$C$3:$C$1991,"")</f>
        <v>200501.07</v>
      </c>
    </row>
    <row r="1021" ht="15.75" customHeight="1">
      <c r="A1021" s="50" t="s">
        <v>24</v>
      </c>
      <c r="B1021" s="191" t="s">
        <v>9082</v>
      </c>
      <c r="C1021" s="94" t="s">
        <v>9083</v>
      </c>
      <c r="D1021" s="81" t="s">
        <v>255</v>
      </c>
      <c r="E1021" s="95" t="s">
        <v>199</v>
      </c>
      <c r="F1021" s="81" t="s">
        <v>2328</v>
      </c>
      <c r="G1021" s="47" t="str">
        <f t="shared" si="43"/>
        <v>David</v>
      </c>
      <c r="H1021" s="49" t="s">
        <v>224</v>
      </c>
      <c r="I1021" s="49" t="s">
        <v>66</v>
      </c>
      <c r="J1021" s="47" t="str">
        <f t="shared" si="41"/>
        <v>Não</v>
      </c>
      <c r="K1021" s="97">
        <v>45177.0</v>
      </c>
      <c r="L1021" s="186">
        <v>45449.0</v>
      </c>
      <c r="M1021" s="62" t="s">
        <v>61</v>
      </c>
      <c r="N1021" s="98">
        <v>0.005</v>
      </c>
      <c r="O1021" s="47" t="s">
        <v>66</v>
      </c>
      <c r="P1021" s="99">
        <v>0.0</v>
      </c>
      <c r="Q1021" s="58"/>
      <c r="R1021" s="58" t="s">
        <v>1767</v>
      </c>
      <c r="S1021" s="62" t="s">
        <v>194</v>
      </c>
      <c r="T1021" s="32" t="s">
        <v>9084</v>
      </c>
      <c r="U1021" s="33" t="s">
        <v>268</v>
      </c>
      <c r="V1021" s="33"/>
      <c r="W1021" s="33" t="s">
        <v>268</v>
      </c>
      <c r="X1021" s="23" t="s">
        <v>199</v>
      </c>
      <c r="Y1021" s="49" t="str">
        <f t="shared" si="40"/>
        <v>Encerrado</v>
      </c>
      <c r="Z1021" s="62"/>
      <c r="AA1021" s="62"/>
      <c r="AB1021" s="64" t="s">
        <v>269</v>
      </c>
      <c r="AC1021" s="79"/>
      <c r="AD1021" s="54">
        <v>45177.0</v>
      </c>
      <c r="AE1021" s="77">
        <v>4.9075100007799E13</v>
      </c>
      <c r="AF1021" s="79"/>
      <c r="AG1021" s="79"/>
      <c r="AH1021" s="79"/>
      <c r="AI1021" s="79"/>
      <c r="AJ1021" s="79"/>
      <c r="AK1021" s="79"/>
      <c r="AL1021" s="79"/>
      <c r="AM1021" s="79"/>
      <c r="AN1021" s="79"/>
      <c r="AO1021" s="79"/>
      <c r="AP1021" s="65">
        <v>218126.16</v>
      </c>
      <c r="AQ1021" s="65">
        <v>239118.78</v>
      </c>
      <c r="AR1021" s="65">
        <v>244551.99</v>
      </c>
      <c r="AS1021" s="65">
        <v>0.0</v>
      </c>
      <c r="AT1021" s="65">
        <v>0.0</v>
      </c>
      <c r="AU1021" s="65">
        <v>0.0</v>
      </c>
      <c r="AV1021" s="65">
        <v>0.0</v>
      </c>
      <c r="AW1021" s="65">
        <v>0.0</v>
      </c>
      <c r="AX1021" s="65">
        <v>0.0</v>
      </c>
      <c r="AY1021" s="65">
        <v>0.0</v>
      </c>
      <c r="AZ1021" s="65">
        <v>0.0</v>
      </c>
      <c r="BA1021" s="65">
        <v>0.0</v>
      </c>
      <c r="BB1021" s="65">
        <v>0.0</v>
      </c>
      <c r="BC1021" s="65">
        <v>0.0</v>
      </c>
      <c r="BD1021" s="65">
        <v>0.0</v>
      </c>
      <c r="BE1021" s="65">
        <v>0.0</v>
      </c>
      <c r="BF1021" s="65">
        <v>0.0</v>
      </c>
      <c r="BG1021" s="65">
        <v>0.0</v>
      </c>
      <c r="BH1021" s="65">
        <v>0.0</v>
      </c>
      <c r="BI1021" s="65">
        <v>0.0</v>
      </c>
      <c r="BJ1021" s="65">
        <v>0.0</v>
      </c>
      <c r="BK1021" s="65">
        <v>0.0</v>
      </c>
      <c r="BL1021" s="65">
        <v>0.0</v>
      </c>
      <c r="BM1021" s="65">
        <v>0.0</v>
      </c>
      <c r="BN1021" s="65">
        <v>0.0</v>
      </c>
      <c r="BO1021" s="65">
        <v>0.0</v>
      </c>
      <c r="BP1021" s="65">
        <v>0.0</v>
      </c>
      <c r="BQ1021" s="65">
        <v>0.0</v>
      </c>
      <c r="BR1021" s="65">
        <v>0.0</v>
      </c>
      <c r="BS1021" s="65">
        <v>0.0</v>
      </c>
      <c r="BT1021" s="88">
        <v>0.0</v>
      </c>
      <c r="BU1021" s="65">
        <v>0.0</v>
      </c>
      <c r="BV1021" s="65">
        <v>0.0</v>
      </c>
      <c r="BW1021" s="90">
        <v>0.0</v>
      </c>
      <c r="BX1021" s="90">
        <v>0.0</v>
      </c>
      <c r="BY1021" s="90" t="str">
        <f t="array" ref="BY1021">XLOOKUP(C1021,'PL TOTAL D0'!$A$3:$A$1991,'PL TOTAL D0'!$C$3:$C$1991,"")</f>
        <v/>
      </c>
    </row>
    <row r="1022" ht="15.75" customHeight="1">
      <c r="A1022" s="50" t="s">
        <v>24</v>
      </c>
      <c r="B1022" s="191" t="s">
        <v>9085</v>
      </c>
      <c r="C1022" s="94" t="s">
        <v>9086</v>
      </c>
      <c r="D1022" s="30" t="s">
        <v>1358</v>
      </c>
      <c r="E1022" s="22" t="s">
        <v>199</v>
      </c>
      <c r="F1022" s="30" t="s">
        <v>6001</v>
      </c>
      <c r="G1022" s="47" t="str">
        <f t="shared" si="43"/>
        <v>David</v>
      </c>
      <c r="H1022" s="49" t="s">
        <v>295</v>
      </c>
      <c r="I1022" s="49" t="s">
        <v>382</v>
      </c>
      <c r="J1022" s="47" t="str">
        <f t="shared" si="41"/>
        <v>Não</v>
      </c>
      <c r="K1022" s="97">
        <v>46002.0</v>
      </c>
      <c r="L1022" s="186"/>
      <c r="M1022" s="62" t="s">
        <v>209</v>
      </c>
      <c r="N1022" s="98">
        <v>0.015</v>
      </c>
      <c r="O1022" s="47" t="s">
        <v>35</v>
      </c>
      <c r="P1022" s="99">
        <v>0.1</v>
      </c>
      <c r="Q1022" s="58"/>
      <c r="R1022" s="58"/>
      <c r="S1022" s="62" t="s">
        <v>194</v>
      </c>
      <c r="T1022" s="32" t="s">
        <v>9087</v>
      </c>
      <c r="U1022" s="33" t="s">
        <v>9088</v>
      </c>
      <c r="V1022" s="33" t="s">
        <v>9089</v>
      </c>
      <c r="W1022" s="34">
        <v>30629.0</v>
      </c>
      <c r="X1022" s="23" t="s">
        <v>199</v>
      </c>
      <c r="Y1022" s="49" t="str">
        <f t="shared" si="40"/>
        <v>Ativo</v>
      </c>
      <c r="Z1022" s="62"/>
      <c r="AA1022" s="62" t="s">
        <v>47</v>
      </c>
      <c r="AB1022" s="64"/>
      <c r="AC1022" s="79"/>
      <c r="AD1022" s="54"/>
      <c r="AE1022" s="77"/>
      <c r="AF1022" s="79"/>
      <c r="AG1022" s="79"/>
      <c r="AH1022" s="79"/>
      <c r="AI1022" s="79"/>
      <c r="AJ1022" s="79"/>
      <c r="AK1022" s="79"/>
      <c r="AL1022" s="79"/>
      <c r="AM1022" s="79"/>
      <c r="AN1022" s="79"/>
      <c r="AO1022" s="79"/>
      <c r="AP1022" s="65"/>
      <c r="AQ1022" s="65"/>
      <c r="AR1022" s="65"/>
      <c r="AS1022" s="65"/>
      <c r="AT1022" s="65"/>
      <c r="AU1022" s="65"/>
      <c r="AV1022" s="65"/>
      <c r="AW1022" s="65"/>
      <c r="AX1022" s="65"/>
      <c r="AY1022" s="65"/>
      <c r="AZ1022" s="65"/>
      <c r="BA1022" s="65"/>
      <c r="BB1022" s="65"/>
      <c r="BC1022" s="65"/>
      <c r="BD1022" s="65"/>
      <c r="BE1022" s="65"/>
      <c r="BF1022" s="65"/>
      <c r="BG1022" s="65"/>
      <c r="BH1022" s="65"/>
      <c r="BI1022" s="65"/>
      <c r="BJ1022" s="65"/>
      <c r="BK1022" s="65"/>
      <c r="BL1022" s="65"/>
      <c r="BM1022" s="65"/>
      <c r="BN1022" s="65"/>
      <c r="BO1022" s="65"/>
      <c r="BP1022" s="65"/>
      <c r="BQ1022" s="65"/>
      <c r="BR1022" s="65">
        <v>101442.8</v>
      </c>
      <c r="BS1022" s="65">
        <v>20766.31</v>
      </c>
      <c r="BT1022" s="88">
        <v>8.38</v>
      </c>
      <c r="BU1022" s="65">
        <v>8.79</v>
      </c>
      <c r="BV1022" s="65">
        <v>8.79</v>
      </c>
      <c r="BW1022" s="90">
        <v>8.79</v>
      </c>
      <c r="BX1022" s="90">
        <v>8.79</v>
      </c>
      <c r="BY1022" s="90" t="str">
        <f t="array" ref="BY1022">XLOOKUP(C1022,'PL TOTAL D0'!$A$3:$A$1991,'PL TOTAL D0'!$C$3:$C$1991,"")</f>
        <v/>
      </c>
    </row>
    <row r="1023" ht="15.75" customHeight="1">
      <c r="A1023" s="50" t="s">
        <v>24</v>
      </c>
      <c r="B1023" s="176" t="s">
        <v>9090</v>
      </c>
      <c r="C1023" s="94" t="s">
        <v>9091</v>
      </c>
      <c r="D1023" s="81" t="s">
        <v>255</v>
      </c>
      <c r="E1023" s="95" t="s">
        <v>199</v>
      </c>
      <c r="F1023" s="81" t="s">
        <v>257</v>
      </c>
      <c r="G1023" s="47" t="str">
        <f t="shared" si="43"/>
        <v>David</v>
      </c>
      <c r="H1023" s="49" t="s">
        <v>224</v>
      </c>
      <c r="I1023" s="49" t="s">
        <v>66</v>
      </c>
      <c r="J1023" s="47" t="str">
        <f t="shared" si="41"/>
        <v>Não</v>
      </c>
      <c r="K1023" s="189">
        <v>45105.0</v>
      </c>
      <c r="L1023" s="186">
        <v>45532.0</v>
      </c>
      <c r="M1023" s="62" t="s">
        <v>209</v>
      </c>
      <c r="N1023" s="144">
        <v>0.016</v>
      </c>
      <c r="O1023" s="62" t="s">
        <v>35</v>
      </c>
      <c r="P1023" s="520">
        <v>0.2</v>
      </c>
      <c r="Q1023" s="58"/>
      <c r="R1023" s="70"/>
      <c r="S1023" s="62" t="s">
        <v>234</v>
      </c>
      <c r="T1023" s="32" t="s">
        <v>9092</v>
      </c>
      <c r="U1023" s="33" t="s">
        <v>268</v>
      </c>
      <c r="V1023" s="33"/>
      <c r="W1023" s="33" t="s">
        <v>268</v>
      </c>
      <c r="X1023" s="32" t="s">
        <v>475</v>
      </c>
      <c r="Y1023" s="49" t="str">
        <f t="shared" si="40"/>
        <v>Encerrado</v>
      </c>
      <c r="Z1023" s="62"/>
      <c r="AA1023" s="62"/>
      <c r="AB1023" s="64" t="s">
        <v>244</v>
      </c>
      <c r="AC1023" s="246"/>
      <c r="AD1023" s="54">
        <v>45105.0</v>
      </c>
      <c r="AE1023" s="77">
        <v>4.9075100008043E13</v>
      </c>
      <c r="AF1023" s="246"/>
      <c r="AG1023" s="246"/>
      <c r="AH1023" s="246"/>
      <c r="AI1023" s="246"/>
      <c r="AJ1023" s="246"/>
      <c r="AK1023" s="246"/>
      <c r="AL1023" s="65">
        <v>0.0</v>
      </c>
      <c r="AM1023" s="65">
        <v>0.0</v>
      </c>
      <c r="AN1023" s="65">
        <v>297526.94</v>
      </c>
      <c r="AO1023" s="65">
        <v>483333.15</v>
      </c>
      <c r="AP1023" s="65">
        <v>491270.74</v>
      </c>
      <c r="AQ1023" s="65">
        <v>494652.08</v>
      </c>
      <c r="AR1023" s="65">
        <v>495607.59</v>
      </c>
      <c r="AS1023" s="65">
        <v>506447.09</v>
      </c>
      <c r="AT1023" s="65">
        <v>516749.55</v>
      </c>
      <c r="AU1023" s="65">
        <v>505670.98</v>
      </c>
      <c r="AV1023" s="65">
        <v>459026.09</v>
      </c>
      <c r="AW1023" s="65">
        <v>463317.5</v>
      </c>
      <c r="AX1023" s="65">
        <v>459552.18</v>
      </c>
      <c r="AY1023" s="65">
        <v>456077.4</v>
      </c>
      <c r="AZ1023" s="65">
        <v>458283.0</v>
      </c>
      <c r="BA1023" s="65">
        <v>433883.5</v>
      </c>
      <c r="BB1023" s="65">
        <v>0.0</v>
      </c>
      <c r="BC1023" s="65">
        <v>0.0</v>
      </c>
      <c r="BD1023" s="65">
        <v>0.0</v>
      </c>
      <c r="BE1023" s="65">
        <v>0.0</v>
      </c>
      <c r="BF1023" s="65">
        <v>0.0</v>
      </c>
      <c r="BG1023" s="65">
        <v>0.0</v>
      </c>
      <c r="BH1023" s="65">
        <v>0.0</v>
      </c>
      <c r="BI1023" s="65">
        <v>0.0</v>
      </c>
      <c r="BJ1023" s="65">
        <v>0.0</v>
      </c>
      <c r="BK1023" s="65">
        <v>0.0</v>
      </c>
      <c r="BL1023" s="65">
        <v>0.0</v>
      </c>
      <c r="BM1023" s="65">
        <v>0.0</v>
      </c>
      <c r="BN1023" s="65">
        <v>0.0</v>
      </c>
      <c r="BO1023" s="65">
        <v>0.0</v>
      </c>
      <c r="BP1023" s="65">
        <v>0.0</v>
      </c>
      <c r="BQ1023" s="65">
        <v>0.0</v>
      </c>
      <c r="BR1023" s="65">
        <v>0.0</v>
      </c>
      <c r="BS1023" s="65">
        <v>0.0</v>
      </c>
      <c r="BT1023" s="88">
        <v>0.0</v>
      </c>
      <c r="BU1023" s="65">
        <v>0.0</v>
      </c>
      <c r="BV1023" s="65">
        <v>0.0</v>
      </c>
      <c r="BW1023" s="90">
        <v>0.0</v>
      </c>
      <c r="BX1023" s="90">
        <v>0.0</v>
      </c>
      <c r="BY1023" s="90" t="str">
        <f t="array" ref="BY1023">XLOOKUP(C1023,'PL TOTAL D0'!$A$3:$A$1991,'PL TOTAL D0'!$C$3:$C$1991,"")</f>
        <v/>
      </c>
    </row>
    <row r="1024" ht="15.75" customHeight="1">
      <c r="A1024" s="50" t="s">
        <v>24</v>
      </c>
      <c r="B1024" s="39" t="s">
        <v>9093</v>
      </c>
      <c r="C1024" s="53" t="s">
        <v>9094</v>
      </c>
      <c r="D1024" s="30" t="s">
        <v>120</v>
      </c>
      <c r="E1024" s="22" t="s">
        <v>54</v>
      </c>
      <c r="F1024" s="30" t="s">
        <v>1883</v>
      </c>
      <c r="G1024" s="47" t="str">
        <f t="shared" si="43"/>
        <v>David</v>
      </c>
      <c r="H1024" s="49" t="s">
        <v>183</v>
      </c>
      <c r="I1024" s="49" t="s">
        <v>66</v>
      </c>
      <c r="J1024" s="47" t="str">
        <f t="shared" si="41"/>
        <v>Não</v>
      </c>
      <c r="K1024" s="186">
        <v>46212.0</v>
      </c>
      <c r="L1024" s="186"/>
      <c r="M1024" s="32" t="s">
        <v>61</v>
      </c>
      <c r="N1024" s="199">
        <v>0.012</v>
      </c>
      <c r="O1024" s="32" t="s">
        <v>66</v>
      </c>
      <c r="P1024" s="702">
        <v>0.0</v>
      </c>
      <c r="Q1024" s="58"/>
      <c r="R1024" s="70"/>
      <c r="S1024" s="62" t="s">
        <v>234</v>
      </c>
      <c r="T1024" s="32" t="s">
        <v>9095</v>
      </c>
      <c r="U1024" s="33" t="s">
        <v>301</v>
      </c>
      <c r="V1024" s="33" t="s">
        <v>9096</v>
      </c>
      <c r="W1024" s="34">
        <v>46154.0</v>
      </c>
      <c r="X1024" s="32" t="s">
        <v>54</v>
      </c>
      <c r="Y1024" s="49" t="str">
        <f t="shared" si="40"/>
        <v>Ativo</v>
      </c>
      <c r="Z1024" s="62"/>
      <c r="AA1024" s="32" t="s">
        <v>107</v>
      </c>
      <c r="AB1024" s="64"/>
      <c r="AC1024" s="246"/>
      <c r="AD1024" s="54"/>
      <c r="AE1024" s="77"/>
      <c r="AF1024" s="246"/>
      <c r="AG1024" s="246"/>
      <c r="AH1024" s="246"/>
      <c r="AI1024" s="246"/>
      <c r="AJ1024" s="246"/>
      <c r="AK1024" s="246"/>
      <c r="AL1024" s="65"/>
      <c r="AM1024" s="65"/>
      <c r="AN1024" s="65"/>
      <c r="AO1024" s="65"/>
      <c r="AP1024" s="65"/>
      <c r="AQ1024" s="65"/>
      <c r="AR1024" s="65"/>
      <c r="AS1024" s="65"/>
      <c r="AT1024" s="65"/>
      <c r="AU1024" s="65"/>
      <c r="AV1024" s="65"/>
      <c r="AW1024" s="65"/>
      <c r="AX1024" s="65"/>
      <c r="AY1024" s="65"/>
      <c r="AZ1024" s="65"/>
      <c r="BA1024" s="65"/>
      <c r="BB1024" s="65"/>
      <c r="BC1024" s="65"/>
      <c r="BD1024" s="65"/>
      <c r="BE1024" s="65"/>
      <c r="BF1024" s="65"/>
      <c r="BG1024" s="65"/>
      <c r="BH1024" s="65"/>
      <c r="BI1024" s="65"/>
      <c r="BJ1024" s="65"/>
      <c r="BK1024" s="65"/>
      <c r="BL1024" s="65"/>
      <c r="BM1024" s="65"/>
      <c r="BN1024" s="65"/>
      <c r="BO1024" s="65"/>
      <c r="BP1024" s="65"/>
      <c r="BQ1024" s="65"/>
      <c r="BR1024" s="65"/>
      <c r="BS1024" s="65"/>
      <c r="BT1024" s="88"/>
      <c r="BU1024" s="65"/>
      <c r="BV1024" s="65"/>
      <c r="BW1024" s="90"/>
      <c r="BX1024" s="90">
        <v>0.0</v>
      </c>
      <c r="BY1024" s="90" t="str">
        <f t="array" ref="BY1024">XLOOKUP(C1024,'PL TOTAL D0'!$A$3:$A$1991,'PL TOTAL D0'!$C$3:$C$1991,"")</f>
        <v/>
      </c>
    </row>
    <row r="1025" ht="15.75" customHeight="1">
      <c r="A1025" s="50" t="s">
        <v>24</v>
      </c>
      <c r="B1025" s="50" t="s">
        <v>9097</v>
      </c>
      <c r="C1025" s="94" t="s">
        <v>2564</v>
      </c>
      <c r="D1025" s="81" t="s">
        <v>120</v>
      </c>
      <c r="E1025" s="95" t="s">
        <v>54</v>
      </c>
      <c r="F1025" s="95" t="s">
        <v>1393</v>
      </c>
      <c r="G1025" s="47" t="str">
        <f t="shared" si="43"/>
        <v>Marcus</v>
      </c>
      <c r="H1025" s="74" t="s">
        <v>183</v>
      </c>
      <c r="I1025" s="74" t="s">
        <v>66</v>
      </c>
      <c r="J1025" s="47" t="str">
        <f t="shared" si="41"/>
        <v>Não</v>
      </c>
      <c r="K1025" s="189">
        <v>45162.0</v>
      </c>
      <c r="L1025" s="62"/>
      <c r="M1025" s="62" t="s">
        <v>61</v>
      </c>
      <c r="N1025" s="144">
        <v>0.012</v>
      </c>
      <c r="O1025" s="47" t="s">
        <v>66</v>
      </c>
      <c r="P1025" s="99">
        <v>0.0</v>
      </c>
      <c r="Q1025" s="58"/>
      <c r="R1025" s="190"/>
      <c r="S1025" s="62" t="s">
        <v>234</v>
      </c>
      <c r="T1025" s="32" t="s">
        <v>9098</v>
      </c>
      <c r="U1025" s="33">
        <v>5.561981212666E12</v>
      </c>
      <c r="V1025" s="33" t="s">
        <v>4882</v>
      </c>
      <c r="W1025" s="34">
        <v>37119.0</v>
      </c>
      <c r="X1025" s="32" t="s">
        <v>54</v>
      </c>
      <c r="Y1025" s="49" t="str">
        <f t="shared" si="40"/>
        <v>Ativo</v>
      </c>
      <c r="Z1025" s="62"/>
      <c r="AA1025" s="62"/>
      <c r="AB1025" s="64" t="s">
        <v>269</v>
      </c>
      <c r="AC1025" s="246"/>
      <c r="AD1025" s="54">
        <v>45162.0</v>
      </c>
      <c r="AE1025" s="77">
        <v>4.9075100008698E13</v>
      </c>
      <c r="AF1025" s="246"/>
      <c r="AG1025" s="246"/>
      <c r="AH1025" s="246"/>
      <c r="AI1025" s="246"/>
      <c r="AJ1025" s="246"/>
      <c r="AK1025" s="246"/>
      <c r="AL1025" s="79"/>
      <c r="AM1025" s="79"/>
      <c r="AN1025" s="79"/>
      <c r="AO1025" s="79"/>
      <c r="AP1025" s="65">
        <v>450929.66</v>
      </c>
      <c r="AQ1025" s="65">
        <v>454884.96</v>
      </c>
      <c r="AR1025" s="65">
        <v>459118.81</v>
      </c>
      <c r="AS1025" s="65">
        <v>461300.92</v>
      </c>
      <c r="AT1025" s="65">
        <v>966123.99</v>
      </c>
      <c r="AU1025" s="65">
        <v>975509.87</v>
      </c>
      <c r="AV1025" s="65">
        <v>983112.91</v>
      </c>
      <c r="AW1025" s="65">
        <v>990177.55</v>
      </c>
      <c r="AX1025" s="65">
        <v>996757.63</v>
      </c>
      <c r="AY1025" s="65">
        <v>1004683.0</v>
      </c>
      <c r="AZ1025" s="65">
        <v>1012349.0</v>
      </c>
      <c r="BA1025" s="65">
        <v>1020584.0</v>
      </c>
      <c r="BB1025" s="65">
        <v>1025027.47</v>
      </c>
      <c r="BC1025" s="65">
        <v>1032030.47</v>
      </c>
      <c r="BD1025" s="65">
        <v>1041238.6</v>
      </c>
      <c r="BE1025" s="65">
        <v>1048432.06</v>
      </c>
      <c r="BF1025" s="65">
        <v>1050276.17</v>
      </c>
      <c r="BG1025" s="65">
        <v>1060527.63</v>
      </c>
      <c r="BH1025" s="65">
        <v>2069902.65</v>
      </c>
      <c r="BI1025" s="65">
        <v>2094094.88</v>
      </c>
      <c r="BJ1025" s="65">
        <v>2115481.35</v>
      </c>
      <c r="BK1025" s="65">
        <v>2136879.66</v>
      </c>
      <c r="BL1025" s="65">
        <v>2154919.6</v>
      </c>
      <c r="BM1025" s="65">
        <v>2177669.8</v>
      </c>
      <c r="BN1025" s="65">
        <v>2196241.0</v>
      </c>
      <c r="BO1025" s="65">
        <v>2214705.97</v>
      </c>
      <c r="BP1025" s="65">
        <v>2240733.0</v>
      </c>
      <c r="BQ1025" s="65">
        <v>2256732.0</v>
      </c>
      <c r="BR1025" s="65">
        <v>2224034.0</v>
      </c>
      <c r="BS1025" s="65">
        <v>2144207.29</v>
      </c>
      <c r="BT1025" s="88">
        <v>2151869.0</v>
      </c>
      <c r="BU1025" s="65">
        <v>2174560.0</v>
      </c>
      <c r="BV1025" s="65">
        <v>2199637.0</v>
      </c>
      <c r="BW1025" s="90">
        <v>2223298.0</v>
      </c>
      <c r="BX1025" s="90">
        <v>2243364.71</v>
      </c>
      <c r="BY1025" s="90">
        <f t="array" ref="BY1025">XLOOKUP(C1025,'PL TOTAL D0'!$A$3:$A$1991,'PL TOTAL D0'!$C$3:$C$1991,"")</f>
        <v>2270201.6</v>
      </c>
    </row>
    <row r="1026" ht="15.75" customHeight="1">
      <c r="A1026" s="50" t="s">
        <v>24</v>
      </c>
      <c r="B1026" s="176" t="s">
        <v>9099</v>
      </c>
      <c r="C1026" s="94" t="s">
        <v>9100</v>
      </c>
      <c r="D1026" s="81" t="s">
        <v>120</v>
      </c>
      <c r="E1026" s="95" t="s">
        <v>54</v>
      </c>
      <c r="F1026" s="95" t="s">
        <v>348</v>
      </c>
      <c r="G1026" s="47" t="str">
        <f t="shared" si="43"/>
        <v>David</v>
      </c>
      <c r="H1026" s="49" t="s">
        <v>295</v>
      </c>
      <c r="I1026" s="49" t="s">
        <v>382</v>
      </c>
      <c r="J1026" s="47" t="str">
        <f t="shared" si="41"/>
        <v>Não</v>
      </c>
      <c r="K1026" s="189">
        <v>44998.0</v>
      </c>
      <c r="L1026" s="62"/>
      <c r="M1026" s="32" t="s">
        <v>61</v>
      </c>
      <c r="N1026" s="199">
        <v>0.012</v>
      </c>
      <c r="O1026" s="32" t="s">
        <v>66</v>
      </c>
      <c r="P1026" s="702">
        <v>0.0</v>
      </c>
      <c r="Q1026" s="58"/>
      <c r="R1026" s="195" t="s">
        <v>3909</v>
      </c>
      <c r="S1026" s="62" t="s">
        <v>194</v>
      </c>
      <c r="T1026" s="32" t="s">
        <v>6953</v>
      </c>
      <c r="U1026" s="33">
        <v>6.2991271191E10</v>
      </c>
      <c r="V1026" s="33" t="s">
        <v>9101</v>
      </c>
      <c r="W1026" s="34">
        <v>30413.0</v>
      </c>
      <c r="X1026" s="32" t="s">
        <v>54</v>
      </c>
      <c r="Y1026" s="49" t="str">
        <f t="shared" si="40"/>
        <v>Ativo</v>
      </c>
      <c r="Z1026" s="62"/>
      <c r="AA1026" s="62"/>
      <c r="AB1026" s="64" t="s">
        <v>269</v>
      </c>
      <c r="AC1026" s="246"/>
      <c r="AD1026" s="54">
        <v>44998.0</v>
      </c>
      <c r="AE1026" s="77">
        <v>4.9075100009554E13</v>
      </c>
      <c r="AF1026" s="246"/>
      <c r="AG1026" s="246"/>
      <c r="AH1026" s="246"/>
      <c r="AI1026" s="246"/>
      <c r="AJ1026" s="246"/>
      <c r="AK1026" s="65">
        <v>104644.56</v>
      </c>
      <c r="AL1026" s="65">
        <v>105009.13</v>
      </c>
      <c r="AM1026" s="65">
        <v>106396.79</v>
      </c>
      <c r="AN1026" s="65">
        <v>107496.6</v>
      </c>
      <c r="AO1026" s="65">
        <v>108349.8</v>
      </c>
      <c r="AP1026" s="65">
        <v>109392.57</v>
      </c>
      <c r="AQ1026" s="65">
        <v>110247.12</v>
      </c>
      <c r="AR1026" s="65">
        <v>110627.56</v>
      </c>
      <c r="AS1026" s="65">
        <v>111444.63</v>
      </c>
      <c r="AT1026" s="65">
        <v>112292.46</v>
      </c>
      <c r="AU1026" s="65">
        <v>113253.94</v>
      </c>
      <c r="AV1026" s="65">
        <v>114113.36</v>
      </c>
      <c r="AW1026" s="65">
        <v>114480.81</v>
      </c>
      <c r="AX1026" s="65">
        <v>115185.13</v>
      </c>
      <c r="AY1026" s="65">
        <v>116080.1</v>
      </c>
      <c r="AZ1026" s="65">
        <v>116953.1</v>
      </c>
      <c r="BA1026" s="65">
        <v>116687.6</v>
      </c>
      <c r="BB1026" s="65">
        <v>117533.51</v>
      </c>
      <c r="BC1026" s="65">
        <v>118215.69</v>
      </c>
      <c r="BD1026" s="65">
        <v>3189.3</v>
      </c>
      <c r="BE1026" s="65">
        <v>3212.25</v>
      </c>
      <c r="BF1026" s="65">
        <v>26.0</v>
      </c>
      <c r="BG1026" s="65">
        <v>26.0</v>
      </c>
      <c r="BH1026" s="65">
        <v>26.0</v>
      </c>
      <c r="BI1026" s="65">
        <v>26.0</v>
      </c>
      <c r="BJ1026" s="65">
        <v>0.0</v>
      </c>
      <c r="BK1026" s="65">
        <v>0.0</v>
      </c>
      <c r="BL1026" s="65">
        <v>0.0</v>
      </c>
      <c r="BM1026" s="65">
        <v>0.0</v>
      </c>
      <c r="BN1026" s="65">
        <v>0.0</v>
      </c>
      <c r="BO1026" s="65">
        <v>0.0</v>
      </c>
      <c r="BP1026" s="65">
        <v>0.0</v>
      </c>
      <c r="BQ1026" s="65">
        <v>0.0</v>
      </c>
      <c r="BR1026" s="65">
        <v>0.0</v>
      </c>
      <c r="BS1026" s="65">
        <v>0.0</v>
      </c>
      <c r="BT1026" s="88">
        <v>0.0</v>
      </c>
      <c r="BU1026" s="65">
        <v>0.0</v>
      </c>
      <c r="BV1026" s="65">
        <v>0.0</v>
      </c>
      <c r="BW1026" s="90">
        <v>0.0</v>
      </c>
      <c r="BX1026" s="90">
        <v>0.0</v>
      </c>
      <c r="BY1026" s="90" t="str">
        <f t="array" ref="BY1026">XLOOKUP(C1026,'PL TOTAL D0'!$A$3:$A$1991,'PL TOTAL D0'!$C$3:$C$1991,"")</f>
        <v/>
      </c>
    </row>
    <row r="1027" ht="15.75" customHeight="1">
      <c r="A1027" s="50" t="s">
        <v>24</v>
      </c>
      <c r="B1027" s="39" t="s">
        <v>9102</v>
      </c>
      <c r="C1027" s="53" t="s">
        <v>2516</v>
      </c>
      <c r="D1027" s="30" t="s">
        <v>1257</v>
      </c>
      <c r="E1027" s="22" t="s">
        <v>199</v>
      </c>
      <c r="F1027" s="22" t="s">
        <v>1257</v>
      </c>
      <c r="G1027" s="23" t="s">
        <v>3075</v>
      </c>
      <c r="H1027" s="49" t="s">
        <v>183</v>
      </c>
      <c r="I1027" s="49" t="s">
        <v>66</v>
      </c>
      <c r="J1027" s="47" t="str">
        <f t="shared" si="41"/>
        <v>Não</v>
      </c>
      <c r="K1027" s="186">
        <v>46139.0</v>
      </c>
      <c r="L1027" s="62"/>
      <c r="M1027" s="32" t="s">
        <v>1262</v>
      </c>
      <c r="N1027" s="199"/>
      <c r="O1027" s="32" t="s">
        <v>66</v>
      </c>
      <c r="P1027" s="702">
        <v>0.0</v>
      </c>
      <c r="Q1027" s="58"/>
      <c r="R1027" s="195"/>
      <c r="S1027" s="62" t="s">
        <v>194</v>
      </c>
      <c r="T1027" s="32" t="s">
        <v>9103</v>
      </c>
      <c r="U1027" s="33" t="s">
        <v>9104</v>
      </c>
      <c r="V1027" s="33" t="s">
        <v>9105</v>
      </c>
      <c r="W1027" s="34">
        <v>32799.0</v>
      </c>
      <c r="X1027" s="32" t="s">
        <v>475</v>
      </c>
      <c r="Y1027" s="49" t="str">
        <f t="shared" si="40"/>
        <v>Ativo</v>
      </c>
      <c r="Z1027" s="62"/>
      <c r="AA1027" s="32" t="s">
        <v>47</v>
      </c>
      <c r="AB1027" s="64"/>
      <c r="AC1027" s="246"/>
      <c r="AD1027" s="54">
        <v>46203.0</v>
      </c>
      <c r="AE1027" s="77"/>
      <c r="AF1027" s="246"/>
      <c r="AG1027" s="246"/>
      <c r="AH1027" s="246"/>
      <c r="AI1027" s="246"/>
      <c r="AJ1027" s="246"/>
      <c r="AK1027" s="65"/>
      <c r="AL1027" s="65"/>
      <c r="AM1027" s="65"/>
      <c r="AN1027" s="65"/>
      <c r="AO1027" s="65"/>
      <c r="AP1027" s="65"/>
      <c r="AQ1027" s="65"/>
      <c r="AR1027" s="65"/>
      <c r="AS1027" s="65"/>
      <c r="AT1027" s="65"/>
      <c r="AU1027" s="65"/>
      <c r="AV1027" s="65"/>
      <c r="AW1027" s="65"/>
      <c r="AX1027" s="65"/>
      <c r="AY1027" s="65"/>
      <c r="AZ1027" s="65"/>
      <c r="BA1027" s="65"/>
      <c r="BB1027" s="65"/>
      <c r="BC1027" s="65"/>
      <c r="BD1027" s="65"/>
      <c r="BE1027" s="65"/>
      <c r="BF1027" s="65"/>
      <c r="BG1027" s="65"/>
      <c r="BH1027" s="65"/>
      <c r="BI1027" s="65"/>
      <c r="BJ1027" s="65"/>
      <c r="BK1027" s="65"/>
      <c r="BL1027" s="65"/>
      <c r="BM1027" s="65"/>
      <c r="BN1027" s="65"/>
      <c r="BO1027" s="65"/>
      <c r="BP1027" s="65"/>
      <c r="BQ1027" s="65"/>
      <c r="BR1027" s="65"/>
      <c r="BS1027" s="65"/>
      <c r="BT1027" s="88"/>
      <c r="BU1027" s="65"/>
      <c r="BV1027" s="65">
        <v>3331661.0</v>
      </c>
      <c r="BW1027" s="90">
        <v>3350622.0</v>
      </c>
      <c r="BX1027" s="90">
        <v>3374205.47</v>
      </c>
      <c r="BY1027" s="90">
        <f t="array" ref="BY1027">XLOOKUP(C1027,'PL TOTAL D0'!$A$3:$A$1991,'PL TOTAL D0'!$C$3:$C$1991,"")</f>
        <v>3552587.14</v>
      </c>
    </row>
    <row r="1028" ht="15.75" customHeight="1">
      <c r="A1028" s="50" t="s">
        <v>24</v>
      </c>
      <c r="B1028" s="50" t="s">
        <v>9106</v>
      </c>
      <c r="C1028" s="94" t="s">
        <v>9107</v>
      </c>
      <c r="D1028" s="81" t="s">
        <v>255</v>
      </c>
      <c r="E1028" s="95" t="s">
        <v>199</v>
      </c>
      <c r="F1028" s="81" t="s">
        <v>9108</v>
      </c>
      <c r="G1028" s="47" t="str">
        <f t="shared" ref="G1028:G1184" si="44">IFS($BS$4:$BS$1280&lt;=250000,"David",$BS$4:$BS$1280&lt;=800000,"Gabriel", $BS$4:$BS$1280&gt;800000,"Marcus")</f>
        <v>David</v>
      </c>
      <c r="H1028" s="74" t="s">
        <v>224</v>
      </c>
      <c r="I1028" s="74" t="s">
        <v>66</v>
      </c>
      <c r="J1028" s="47" t="str">
        <f t="shared" si="41"/>
        <v>Não</v>
      </c>
      <c r="K1028" s="97">
        <v>44932.0</v>
      </c>
      <c r="L1028" s="557">
        <v>45259.0</v>
      </c>
      <c r="M1028" s="62" t="s">
        <v>61</v>
      </c>
      <c r="N1028" s="98">
        <v>0.012</v>
      </c>
      <c r="O1028" s="47" t="s">
        <v>66</v>
      </c>
      <c r="P1028" s="99">
        <v>0.0</v>
      </c>
      <c r="Q1028" s="58"/>
      <c r="R1028" s="635"/>
      <c r="S1028" s="62" t="s">
        <v>194</v>
      </c>
      <c r="T1028" s="32" t="s">
        <v>9109</v>
      </c>
      <c r="U1028" s="33" t="s">
        <v>268</v>
      </c>
      <c r="V1028" s="33"/>
      <c r="W1028" s="33" t="s">
        <v>268</v>
      </c>
      <c r="X1028" s="23" t="s">
        <v>475</v>
      </c>
      <c r="Y1028" s="49" t="str">
        <f t="shared" si="40"/>
        <v>Encerrado</v>
      </c>
      <c r="Z1028" s="62"/>
      <c r="AA1028" s="62"/>
      <c r="AB1028" s="64"/>
      <c r="AC1028" s="79"/>
      <c r="AD1028" s="54">
        <v>44932.0</v>
      </c>
      <c r="AE1028" s="77"/>
      <c r="AF1028" s="79"/>
      <c r="AG1028" s="79"/>
      <c r="AH1028" s="79"/>
      <c r="AI1028" s="79"/>
      <c r="AJ1028" s="65">
        <v>802748.34</v>
      </c>
      <c r="AK1028" s="65">
        <v>913671.31</v>
      </c>
      <c r="AL1028" s="65">
        <v>918724.54</v>
      </c>
      <c r="AM1028" s="65">
        <v>579356.6</v>
      </c>
      <c r="AN1028" s="65">
        <v>583264.52</v>
      </c>
      <c r="AO1028" s="65">
        <v>584594.91</v>
      </c>
      <c r="AP1028" s="65">
        <v>585634.41</v>
      </c>
      <c r="AQ1028" s="65">
        <v>587784.24</v>
      </c>
      <c r="AR1028" s="65">
        <v>588943.46</v>
      </c>
      <c r="AS1028" s="65">
        <v>0.0</v>
      </c>
      <c r="AT1028" s="65">
        <v>0.0</v>
      </c>
      <c r="AU1028" s="65">
        <v>0.0</v>
      </c>
      <c r="AV1028" s="65">
        <v>0.0</v>
      </c>
      <c r="AW1028" s="65">
        <v>0.0</v>
      </c>
      <c r="AX1028" s="65">
        <v>0.0</v>
      </c>
      <c r="AY1028" s="65">
        <v>0.0</v>
      </c>
      <c r="AZ1028" s="65">
        <v>0.0</v>
      </c>
      <c r="BA1028" s="65">
        <v>0.0</v>
      </c>
      <c r="BB1028" s="65">
        <v>0.0</v>
      </c>
      <c r="BC1028" s="65">
        <v>0.0</v>
      </c>
      <c r="BD1028" s="65">
        <v>0.0</v>
      </c>
      <c r="BE1028" s="65">
        <v>0.0</v>
      </c>
      <c r="BF1028" s="65">
        <v>0.0</v>
      </c>
      <c r="BG1028" s="65">
        <v>0.0</v>
      </c>
      <c r="BH1028" s="65">
        <v>0.0</v>
      </c>
      <c r="BI1028" s="65">
        <v>0.0</v>
      </c>
      <c r="BJ1028" s="65">
        <v>0.0</v>
      </c>
      <c r="BK1028" s="65">
        <v>0.0</v>
      </c>
      <c r="BL1028" s="65">
        <v>0.0</v>
      </c>
      <c r="BM1028" s="65">
        <v>0.0</v>
      </c>
      <c r="BN1028" s="65">
        <v>0.0</v>
      </c>
      <c r="BO1028" s="65">
        <v>0.0</v>
      </c>
      <c r="BP1028" s="65">
        <v>0.0</v>
      </c>
      <c r="BQ1028" s="65">
        <v>0.0</v>
      </c>
      <c r="BR1028" s="65">
        <v>0.0</v>
      </c>
      <c r="BS1028" s="65">
        <v>0.0</v>
      </c>
      <c r="BT1028" s="88">
        <v>0.0</v>
      </c>
      <c r="BU1028" s="65">
        <v>0.0</v>
      </c>
      <c r="BV1028" s="65">
        <v>0.0</v>
      </c>
      <c r="BW1028" s="90">
        <v>0.0</v>
      </c>
      <c r="BX1028" s="90">
        <v>0.0</v>
      </c>
      <c r="BY1028" s="90" t="str">
        <f t="array" ref="BY1028">XLOOKUP(C1028,'PL TOTAL D0'!$A$3:$A$1991,'PL TOTAL D0'!$C$3:$C$1991,"")</f>
        <v/>
      </c>
    </row>
    <row r="1029" ht="15.75" customHeight="1">
      <c r="A1029" s="50" t="s">
        <v>24</v>
      </c>
      <c r="B1029" s="50" t="s">
        <v>6964</v>
      </c>
      <c r="C1029" s="94" t="s">
        <v>2706</v>
      </c>
      <c r="D1029" s="81" t="s">
        <v>120</v>
      </c>
      <c r="E1029" s="95" t="s">
        <v>54</v>
      </c>
      <c r="F1029" s="81" t="s">
        <v>125</v>
      </c>
      <c r="G1029" s="47" t="str">
        <f t="shared" si="44"/>
        <v>Marcus</v>
      </c>
      <c r="H1029" s="74" t="s">
        <v>183</v>
      </c>
      <c r="I1029" s="74" t="s">
        <v>66</v>
      </c>
      <c r="J1029" s="47" t="str">
        <f t="shared" si="41"/>
        <v>Não</v>
      </c>
      <c r="K1029" s="97">
        <v>44946.0</v>
      </c>
      <c r="L1029" s="62"/>
      <c r="M1029" s="62" t="s">
        <v>61</v>
      </c>
      <c r="N1029" s="98">
        <v>0.007</v>
      </c>
      <c r="O1029" s="47" t="s">
        <v>66</v>
      </c>
      <c r="P1029" s="99">
        <v>0.0</v>
      </c>
      <c r="Q1029" s="58"/>
      <c r="R1029" s="635"/>
      <c r="S1029" s="62" t="s">
        <v>194</v>
      </c>
      <c r="T1029" s="32" t="s">
        <v>6963</v>
      </c>
      <c r="U1029" s="33">
        <v>5.562998318181E12</v>
      </c>
      <c r="V1029" s="33" t="s">
        <v>9110</v>
      </c>
      <c r="W1029" s="34">
        <v>29598.0</v>
      </c>
      <c r="X1029" s="23" t="s">
        <v>54</v>
      </c>
      <c r="Y1029" s="49" t="str">
        <f t="shared" si="40"/>
        <v>Ativo</v>
      </c>
      <c r="Z1029" s="62"/>
      <c r="AA1029" s="62"/>
      <c r="AB1029" s="64" t="s">
        <v>269</v>
      </c>
      <c r="AC1029" s="79"/>
      <c r="AD1029" s="54">
        <v>44946.0</v>
      </c>
      <c r="AE1029" s="77">
        <v>4.9075100006318E13</v>
      </c>
      <c r="AF1029" s="79"/>
      <c r="AG1029" s="79"/>
      <c r="AH1029" s="79"/>
      <c r="AI1029" s="65">
        <v>849130.06</v>
      </c>
      <c r="AJ1029" s="65">
        <v>876298.99</v>
      </c>
      <c r="AK1029" s="65">
        <v>877861.49</v>
      </c>
      <c r="AL1029" s="65">
        <v>883858.74</v>
      </c>
      <c r="AM1029" s="65">
        <v>890507.37</v>
      </c>
      <c r="AN1029" s="65">
        <v>896950.17</v>
      </c>
      <c r="AO1029" s="65">
        <v>904259.97</v>
      </c>
      <c r="AP1029" s="65">
        <v>912107.56</v>
      </c>
      <c r="AQ1029" s="65">
        <v>929489.91</v>
      </c>
      <c r="AR1029" s="65">
        <v>937853.27</v>
      </c>
      <c r="AS1029" s="65">
        <v>969637.0</v>
      </c>
      <c r="AT1029" s="65">
        <v>987498.22</v>
      </c>
      <c r="AU1029" s="65">
        <v>895831.28</v>
      </c>
      <c r="AV1029" s="65">
        <v>1000404.98</v>
      </c>
      <c r="AW1029" s="65">
        <v>1153441.88</v>
      </c>
      <c r="AX1029" s="65">
        <v>1296844.74</v>
      </c>
      <c r="AY1029" s="65">
        <v>1307658.0</v>
      </c>
      <c r="AZ1029" s="65">
        <v>1302396.0</v>
      </c>
      <c r="BA1029" s="65">
        <v>1270676.0</v>
      </c>
      <c r="BB1029" s="65">
        <v>1278749.14</v>
      </c>
      <c r="BC1029" s="65">
        <v>1286402.8</v>
      </c>
      <c r="BD1029" s="65">
        <v>1266814.98</v>
      </c>
      <c r="BE1029" s="65">
        <v>1245823.24</v>
      </c>
      <c r="BF1029" s="65">
        <v>1235576.39</v>
      </c>
      <c r="BG1029" s="65">
        <v>1232529.33</v>
      </c>
      <c r="BH1029" s="65">
        <v>1200149.22</v>
      </c>
      <c r="BI1029" s="65">
        <v>1212141.14</v>
      </c>
      <c r="BJ1029" s="65">
        <v>1214895.35</v>
      </c>
      <c r="BK1029" s="65">
        <v>1201480.78</v>
      </c>
      <c r="BL1029" s="65">
        <v>1186300.74</v>
      </c>
      <c r="BM1029" s="65">
        <v>1165917.52</v>
      </c>
      <c r="BN1029" s="65">
        <v>1145279.0</v>
      </c>
      <c r="BO1029" s="65">
        <v>1130125.98</v>
      </c>
      <c r="BP1029" s="65">
        <v>1111823.0</v>
      </c>
      <c r="BQ1029" s="65">
        <v>1100892.0</v>
      </c>
      <c r="BR1029" s="65">
        <v>1080346.0</v>
      </c>
      <c r="BS1029" s="65">
        <v>1066072.27</v>
      </c>
      <c r="BT1029" s="88">
        <v>1048754.0</v>
      </c>
      <c r="BU1029" s="65">
        <v>1031136.0</v>
      </c>
      <c r="BV1029" s="65">
        <v>1015654.0</v>
      </c>
      <c r="BW1029" s="90">
        <v>1002247.0</v>
      </c>
      <c r="BX1029" s="90">
        <v>991692.14</v>
      </c>
      <c r="BY1029" s="90">
        <f t="array" ref="BY1029">XLOOKUP(C1029,'PL TOTAL D0'!$A$3:$A$1991,'PL TOTAL D0'!$C$3:$C$1991,"")</f>
        <v>978449.02</v>
      </c>
    </row>
    <row r="1030" ht="15.75" customHeight="1">
      <c r="A1030" s="50" t="s">
        <v>24</v>
      </c>
      <c r="B1030" s="50" t="s">
        <v>9111</v>
      </c>
      <c r="C1030" s="94" t="s">
        <v>3243</v>
      </c>
      <c r="D1030" s="81" t="s">
        <v>120</v>
      </c>
      <c r="E1030" s="95" t="s">
        <v>54</v>
      </c>
      <c r="F1030" s="81" t="s">
        <v>125</v>
      </c>
      <c r="G1030" s="47" t="str">
        <f t="shared" si="44"/>
        <v>David</v>
      </c>
      <c r="H1030" s="74" t="s">
        <v>183</v>
      </c>
      <c r="I1030" s="74" t="s">
        <v>66</v>
      </c>
      <c r="J1030" s="47" t="str">
        <f t="shared" si="41"/>
        <v>Sim</v>
      </c>
      <c r="K1030" s="97">
        <v>45030.0</v>
      </c>
      <c r="L1030" s="62"/>
      <c r="M1030" s="62" t="s">
        <v>61</v>
      </c>
      <c r="N1030" s="98">
        <v>0.012</v>
      </c>
      <c r="O1030" s="47" t="s">
        <v>66</v>
      </c>
      <c r="P1030" s="99">
        <v>0.0</v>
      </c>
      <c r="Q1030" s="58" t="s">
        <v>9112</v>
      </c>
      <c r="R1030" s="635"/>
      <c r="S1030" s="62" t="s">
        <v>194</v>
      </c>
      <c r="T1030" s="32" t="s">
        <v>6963</v>
      </c>
      <c r="U1030" s="33">
        <v>5.562998318181E12</v>
      </c>
      <c r="V1030" s="33" t="s">
        <v>9110</v>
      </c>
      <c r="W1030" s="34">
        <v>29598.0</v>
      </c>
      <c r="X1030" s="23" t="s">
        <v>54</v>
      </c>
      <c r="Y1030" s="49" t="str">
        <f t="shared" si="40"/>
        <v>Ativo</v>
      </c>
      <c r="Z1030" s="62"/>
      <c r="AA1030" s="62"/>
      <c r="AB1030" s="64" t="s">
        <v>269</v>
      </c>
      <c r="AC1030" s="79"/>
      <c r="AD1030" s="54">
        <v>45030.0</v>
      </c>
      <c r="AE1030" s="77">
        <v>4.9075100008809E13</v>
      </c>
      <c r="AF1030" s="79"/>
      <c r="AG1030" s="79"/>
      <c r="AH1030" s="79"/>
      <c r="AI1030" s="79"/>
      <c r="AJ1030" s="79"/>
      <c r="AK1030" s="65">
        <v>0.0</v>
      </c>
      <c r="AL1030" s="65">
        <v>49866.06</v>
      </c>
      <c r="AM1030" s="65">
        <v>50389.96</v>
      </c>
      <c r="AN1030" s="65">
        <v>50830.05</v>
      </c>
      <c r="AO1030" s="65">
        <v>51225.61</v>
      </c>
      <c r="AP1030" s="65">
        <v>51722.59</v>
      </c>
      <c r="AQ1030" s="65">
        <v>52143.83</v>
      </c>
      <c r="AR1030" s="65">
        <v>52450.33</v>
      </c>
      <c r="AS1030" s="65">
        <v>52839.24</v>
      </c>
      <c r="AT1030" s="65">
        <v>53233.35</v>
      </c>
      <c r="AU1030" s="65">
        <v>53566.67</v>
      </c>
      <c r="AV1030" s="65">
        <v>53987.41</v>
      </c>
      <c r="AW1030" s="65">
        <v>154454.13</v>
      </c>
      <c r="AX1030" s="65">
        <v>205889.6</v>
      </c>
      <c r="AY1030" s="65">
        <v>207476.4</v>
      </c>
      <c r="AZ1030" s="65">
        <v>209130.0</v>
      </c>
      <c r="BA1030" s="65">
        <v>210907.1</v>
      </c>
      <c r="BB1030" s="65">
        <v>212644.44</v>
      </c>
      <c r="BC1030" s="65">
        <v>213939.12</v>
      </c>
      <c r="BD1030" s="65">
        <v>215564.97</v>
      </c>
      <c r="BE1030" s="65">
        <v>217091.07</v>
      </c>
      <c r="BF1030" s="65">
        <v>218624.21</v>
      </c>
      <c r="BG1030" s="65">
        <v>220479.36</v>
      </c>
      <c r="BH1030" s="65">
        <v>222265.01</v>
      </c>
      <c r="BI1030" s="65">
        <v>220474.15</v>
      </c>
      <c r="BJ1030" s="65">
        <v>218746.78</v>
      </c>
      <c r="BK1030" s="65">
        <v>181412.6</v>
      </c>
      <c r="BL1030" s="65">
        <v>180244.76</v>
      </c>
      <c r="BM1030" s="65">
        <v>179342.66</v>
      </c>
      <c r="BN1030" s="65">
        <v>176145.7</v>
      </c>
      <c r="BO1030" s="65">
        <v>172911.75</v>
      </c>
      <c r="BP1030" s="65">
        <v>169635.1</v>
      </c>
      <c r="BQ1030" s="65">
        <v>165777.3</v>
      </c>
      <c r="BR1030" s="65">
        <v>162515.8</v>
      </c>
      <c r="BS1030" s="65">
        <v>164225.19</v>
      </c>
      <c r="BT1030" s="88">
        <v>160768.8</v>
      </c>
      <c r="BU1030" s="65">
        <v>157064.9</v>
      </c>
      <c r="BV1030" s="65">
        <v>153135.5</v>
      </c>
      <c r="BW1030" s="90">
        <v>150799.7</v>
      </c>
      <c r="BX1030" s="90">
        <v>148366.55</v>
      </c>
      <c r="BY1030" s="90">
        <f t="array" ref="BY1030">XLOOKUP(C1030,'PL TOTAL D0'!$A$3:$A$1991,'PL TOTAL D0'!$C$3:$C$1991,"")</f>
        <v>140039.29</v>
      </c>
    </row>
    <row r="1031" ht="15.75" customHeight="1">
      <c r="A1031" s="50" t="s">
        <v>24</v>
      </c>
      <c r="B1031" s="43" t="s">
        <v>9113</v>
      </c>
      <c r="C1031" s="94" t="s">
        <v>3514</v>
      </c>
      <c r="D1031" s="81" t="s">
        <v>120</v>
      </c>
      <c r="E1031" s="22" t="s">
        <v>199</v>
      </c>
      <c r="F1031" s="30" t="s">
        <v>431</v>
      </c>
      <c r="G1031" s="47" t="str">
        <f t="shared" si="44"/>
        <v>David</v>
      </c>
      <c r="H1031" s="49" t="s">
        <v>183</v>
      </c>
      <c r="I1031" s="49" t="s">
        <v>66</v>
      </c>
      <c r="J1031" s="47" t="str">
        <f t="shared" si="41"/>
        <v>Não</v>
      </c>
      <c r="K1031" s="54">
        <v>45771.0</v>
      </c>
      <c r="L1031" s="62"/>
      <c r="M1031" s="32" t="s">
        <v>390</v>
      </c>
      <c r="N1031" s="56">
        <v>0.0</v>
      </c>
      <c r="O1031" s="23" t="s">
        <v>66</v>
      </c>
      <c r="P1031" s="57">
        <v>0.0</v>
      </c>
      <c r="Q1031" s="58"/>
      <c r="R1031" s="635"/>
      <c r="S1031" s="32" t="s">
        <v>194</v>
      </c>
      <c r="T1031" s="32" t="s">
        <v>9114</v>
      </c>
      <c r="U1031" s="33">
        <v>6.1998018382E10</v>
      </c>
      <c r="V1031" s="33" t="s">
        <v>9115</v>
      </c>
      <c r="W1031" s="34">
        <v>33491.0</v>
      </c>
      <c r="X1031" s="23" t="s">
        <v>199</v>
      </c>
      <c r="Y1031" s="49" t="str">
        <f t="shared" si="40"/>
        <v>Ativo</v>
      </c>
      <c r="Z1031" s="62"/>
      <c r="AA1031" s="32" t="s">
        <v>107</v>
      </c>
      <c r="AB1031" s="64"/>
      <c r="AC1031" s="79"/>
      <c r="AD1031" s="54">
        <v>45771.0</v>
      </c>
      <c r="AE1031" s="77">
        <v>4.9075100018669E13</v>
      </c>
      <c r="AF1031" s="79"/>
      <c r="AG1031" s="79"/>
      <c r="AH1031" s="79"/>
      <c r="AI1031" s="79"/>
      <c r="AJ1031" s="79"/>
      <c r="AK1031" s="65"/>
      <c r="AL1031" s="65"/>
      <c r="AM1031" s="65"/>
      <c r="AN1031" s="65"/>
      <c r="AO1031" s="65"/>
      <c r="AP1031" s="65"/>
      <c r="AQ1031" s="65"/>
      <c r="AR1031" s="65"/>
      <c r="AS1031" s="65"/>
      <c r="AT1031" s="65"/>
      <c r="AU1031" s="65"/>
      <c r="AV1031" s="65"/>
      <c r="AW1031" s="65"/>
      <c r="AX1031" s="65"/>
      <c r="AY1031" s="65"/>
      <c r="AZ1031" s="65"/>
      <c r="BA1031" s="65"/>
      <c r="BB1031" s="65"/>
      <c r="BC1031" s="65"/>
      <c r="BD1031" s="65"/>
      <c r="BE1031" s="65"/>
      <c r="BF1031" s="65"/>
      <c r="BG1031" s="65"/>
      <c r="BH1031" s="65"/>
      <c r="BI1031" s="65"/>
      <c r="BJ1031" s="65">
        <v>6450.62</v>
      </c>
      <c r="BK1031" s="65">
        <v>7515.24</v>
      </c>
      <c r="BL1031" s="65">
        <v>24876.46</v>
      </c>
      <c r="BM1031" s="65">
        <v>45435.18</v>
      </c>
      <c r="BN1031" s="65">
        <v>46002.66</v>
      </c>
      <c r="BO1031" s="65">
        <v>46524.27</v>
      </c>
      <c r="BP1031" s="65">
        <v>45642.91</v>
      </c>
      <c r="BQ1031" s="65">
        <v>45769.07</v>
      </c>
      <c r="BR1031" s="65">
        <v>31052.45</v>
      </c>
      <c r="BS1031" s="65">
        <v>31420.37</v>
      </c>
      <c r="BT1031" s="88">
        <v>31645.63</v>
      </c>
      <c r="BU1031" s="65">
        <v>32022.15</v>
      </c>
      <c r="BV1031" s="65">
        <v>32400.73</v>
      </c>
      <c r="BW1031" s="90">
        <v>29462.67</v>
      </c>
      <c r="BX1031" s="90">
        <v>29798.65</v>
      </c>
      <c r="BY1031" s="90">
        <f t="array" ref="BY1031">XLOOKUP(C1031,'PL TOTAL D0'!$A$3:$A$1991,'PL TOTAL D0'!$C$3:$C$1991,"")</f>
        <v>26040.33</v>
      </c>
    </row>
    <row r="1032" ht="15.75" customHeight="1">
      <c r="A1032" s="50" t="s">
        <v>24</v>
      </c>
      <c r="B1032" s="477" t="s">
        <v>9116</v>
      </c>
      <c r="C1032" s="94" t="s">
        <v>3537</v>
      </c>
      <c r="D1032" s="81" t="s">
        <v>120</v>
      </c>
      <c r="E1032" s="95" t="s">
        <v>54</v>
      </c>
      <c r="F1032" s="81" t="s">
        <v>1393</v>
      </c>
      <c r="G1032" s="47" t="str">
        <f t="shared" si="44"/>
        <v>Gabriel</v>
      </c>
      <c r="H1032" s="74" t="s">
        <v>183</v>
      </c>
      <c r="I1032" s="74" t="s">
        <v>66</v>
      </c>
      <c r="J1032" s="47" t="str">
        <f t="shared" si="41"/>
        <v>Não</v>
      </c>
      <c r="K1032" s="97">
        <v>45086.0</v>
      </c>
      <c r="L1032" s="62"/>
      <c r="M1032" s="62" t="s">
        <v>61</v>
      </c>
      <c r="N1032" s="98">
        <v>0.012</v>
      </c>
      <c r="O1032" s="47" t="s">
        <v>66</v>
      </c>
      <c r="P1032" s="99">
        <v>0.0</v>
      </c>
      <c r="Q1032" s="58"/>
      <c r="R1032" s="635"/>
      <c r="S1032" s="62" t="s">
        <v>194</v>
      </c>
      <c r="T1032" s="32" t="s">
        <v>6971</v>
      </c>
      <c r="U1032" s="33">
        <v>5.562981360075E12</v>
      </c>
      <c r="V1032" s="33" t="s">
        <v>9117</v>
      </c>
      <c r="W1032" s="34">
        <v>26461.0</v>
      </c>
      <c r="X1032" s="23" t="s">
        <v>54</v>
      </c>
      <c r="Y1032" s="49" t="str">
        <f t="shared" si="40"/>
        <v>Ativo</v>
      </c>
      <c r="Z1032" s="62"/>
      <c r="AA1032" s="62"/>
      <c r="AB1032" s="64" t="s">
        <v>269</v>
      </c>
      <c r="AC1032" s="79"/>
      <c r="AD1032" s="54">
        <v>45086.0</v>
      </c>
      <c r="AE1032" s="77">
        <v>4.9075100009856E13</v>
      </c>
      <c r="AF1032" s="79"/>
      <c r="AG1032" s="79"/>
      <c r="AH1032" s="79"/>
      <c r="AI1032" s="79"/>
      <c r="AJ1032" s="79"/>
      <c r="AK1032" s="79"/>
      <c r="AL1032" s="65">
        <v>0.0</v>
      </c>
      <c r="AM1032" s="65">
        <v>0.0</v>
      </c>
      <c r="AN1032" s="65">
        <v>449191.02</v>
      </c>
      <c r="AO1032" s="65">
        <v>451876.08</v>
      </c>
      <c r="AP1032" s="65">
        <v>454771.05</v>
      </c>
      <c r="AQ1032" s="65">
        <v>454815.67</v>
      </c>
      <c r="AR1032" s="65">
        <v>455268.96</v>
      </c>
      <c r="AS1032" s="65">
        <v>459331.33</v>
      </c>
      <c r="AT1032" s="65">
        <v>463926.66</v>
      </c>
      <c r="AU1032" s="65">
        <v>467515.65</v>
      </c>
      <c r="AV1032" s="65">
        <v>470343.37</v>
      </c>
      <c r="AW1032" s="65">
        <v>473331.37</v>
      </c>
      <c r="AX1032" s="65">
        <v>471690.24</v>
      </c>
      <c r="AY1032" s="65">
        <v>474405.0</v>
      </c>
      <c r="AZ1032" s="65">
        <v>475544.0</v>
      </c>
      <c r="BA1032" s="65">
        <v>479360.8</v>
      </c>
      <c r="BB1032" s="65">
        <v>482041.75</v>
      </c>
      <c r="BC1032" s="65">
        <v>482934.06</v>
      </c>
      <c r="BD1032" s="65">
        <v>487207.78</v>
      </c>
      <c r="BE1032" s="65">
        <v>491076.11</v>
      </c>
      <c r="BF1032" s="65">
        <v>495197.22</v>
      </c>
      <c r="BG1032" s="65">
        <v>500145.97</v>
      </c>
      <c r="BH1032" s="65">
        <v>504378.4</v>
      </c>
      <c r="BI1032" s="65">
        <v>509473.45</v>
      </c>
      <c r="BJ1032" s="65">
        <v>511284.13</v>
      </c>
      <c r="BK1032" s="65">
        <v>516562.47</v>
      </c>
      <c r="BL1032" s="65">
        <v>521166.44</v>
      </c>
      <c r="BM1032" s="65">
        <v>525144.87</v>
      </c>
      <c r="BN1032" s="65">
        <v>530614.9</v>
      </c>
      <c r="BO1032" s="65">
        <v>535981.56</v>
      </c>
      <c r="BP1032" s="65">
        <v>541652.4</v>
      </c>
      <c r="BQ1032" s="65">
        <v>545206.3</v>
      </c>
      <c r="BR1032" s="65">
        <v>550158.1</v>
      </c>
      <c r="BS1032" s="65">
        <v>555491.17</v>
      </c>
      <c r="BT1032" s="88">
        <v>15515.51</v>
      </c>
      <c r="BU1032" s="65">
        <v>15713.52</v>
      </c>
      <c r="BV1032" s="65">
        <v>15937.32</v>
      </c>
      <c r="BW1032" s="90">
        <v>16163.62</v>
      </c>
      <c r="BX1032" s="90">
        <v>16256.58</v>
      </c>
      <c r="BY1032" s="90">
        <f t="array" ref="BY1032">XLOOKUP(C1032,'PL TOTAL D0'!$A$3:$A$1991,'PL TOTAL D0'!$C$3:$C$1991,"")</f>
        <v>16489.08</v>
      </c>
    </row>
    <row r="1033" ht="15.75" customHeight="1">
      <c r="A1033" s="50" t="s">
        <v>24</v>
      </c>
      <c r="B1033" s="584" t="s">
        <v>9118</v>
      </c>
      <c r="C1033" s="94" t="s">
        <v>3160</v>
      </c>
      <c r="D1033" s="30" t="s">
        <v>120</v>
      </c>
      <c r="E1033" s="22" t="s">
        <v>199</v>
      </c>
      <c r="F1033" s="30" t="s">
        <v>707</v>
      </c>
      <c r="G1033" s="47" t="str">
        <f t="shared" si="44"/>
        <v>Gabriel</v>
      </c>
      <c r="H1033" s="49" t="s">
        <v>183</v>
      </c>
      <c r="I1033" s="49" t="s">
        <v>66</v>
      </c>
      <c r="J1033" s="47" t="str">
        <f t="shared" si="41"/>
        <v>Não</v>
      </c>
      <c r="K1033" s="54">
        <v>45504.0</v>
      </c>
      <c r="L1033" s="62"/>
      <c r="M1033" s="32" t="s">
        <v>61</v>
      </c>
      <c r="N1033" s="56">
        <v>0.012</v>
      </c>
      <c r="O1033" s="23" t="s">
        <v>66</v>
      </c>
      <c r="P1033" s="57">
        <v>0.0</v>
      </c>
      <c r="Q1033" s="58"/>
      <c r="R1033" s="635"/>
      <c r="S1033" s="32" t="s">
        <v>194</v>
      </c>
      <c r="T1033" s="32" t="s">
        <v>9119</v>
      </c>
      <c r="U1033" s="33">
        <v>5.561999651411E12</v>
      </c>
      <c r="V1033" s="33" t="s">
        <v>9120</v>
      </c>
      <c r="W1033" s="34">
        <v>31079.0</v>
      </c>
      <c r="X1033" s="23" t="s">
        <v>199</v>
      </c>
      <c r="Y1033" s="49" t="str">
        <f t="shared" si="40"/>
        <v>Ativo</v>
      </c>
      <c r="Z1033" s="32"/>
      <c r="AA1033" s="32" t="s">
        <v>47</v>
      </c>
      <c r="AB1033" s="64" t="s">
        <v>269</v>
      </c>
      <c r="AC1033" s="79"/>
      <c r="AD1033" s="54">
        <v>45504.0</v>
      </c>
      <c r="AE1033" s="77">
        <v>4.9075100015414E13</v>
      </c>
      <c r="AF1033" s="79"/>
      <c r="AG1033" s="79"/>
      <c r="AH1033" s="79"/>
      <c r="AI1033" s="79"/>
      <c r="AJ1033" s="79"/>
      <c r="AK1033" s="79"/>
      <c r="AL1033" s="79"/>
      <c r="AM1033" s="79"/>
      <c r="AN1033" s="79"/>
      <c r="AO1033" s="79"/>
      <c r="AP1033" s="79"/>
      <c r="AQ1033" s="79"/>
      <c r="AR1033" s="79"/>
      <c r="AS1033" s="79"/>
      <c r="AT1033" s="79"/>
      <c r="AU1033" s="79"/>
      <c r="AV1033" s="65"/>
      <c r="AW1033" s="65"/>
      <c r="AX1033" s="65"/>
      <c r="AY1033" s="65"/>
      <c r="AZ1033" s="65"/>
      <c r="BA1033" s="65">
        <v>326915.3</v>
      </c>
      <c r="BB1033" s="65">
        <v>146594.4</v>
      </c>
      <c r="BC1033" s="65">
        <v>70434.56</v>
      </c>
      <c r="BD1033" s="65">
        <v>78423.87</v>
      </c>
      <c r="BE1033" s="65">
        <v>33326.37</v>
      </c>
      <c r="BF1033" s="65">
        <v>0.0</v>
      </c>
      <c r="BG1033" s="65">
        <v>0.39</v>
      </c>
      <c r="BH1033" s="65">
        <v>226709.7</v>
      </c>
      <c r="BI1033" s="65">
        <v>136296.8</v>
      </c>
      <c r="BJ1033" s="65">
        <v>7.63</v>
      </c>
      <c r="BK1033" s="65">
        <v>1016.87</v>
      </c>
      <c r="BL1033" s="65">
        <v>504066.28</v>
      </c>
      <c r="BM1033" s="65">
        <v>510373.89</v>
      </c>
      <c r="BN1033" s="65">
        <v>480045.8</v>
      </c>
      <c r="BO1033" s="65">
        <v>460044.83</v>
      </c>
      <c r="BP1033" s="65">
        <v>376087.8</v>
      </c>
      <c r="BQ1033" s="65">
        <v>354494.9</v>
      </c>
      <c r="BR1033" s="65">
        <v>317042.0</v>
      </c>
      <c r="BS1033" s="65">
        <v>289355.81</v>
      </c>
      <c r="BT1033" s="88">
        <v>271144.4</v>
      </c>
      <c r="BU1033" s="65">
        <v>245433.6</v>
      </c>
      <c r="BV1033" s="65">
        <v>214653.5</v>
      </c>
      <c r="BW1033" s="90">
        <v>204820.1</v>
      </c>
      <c r="BX1033" s="90">
        <v>206775.02</v>
      </c>
      <c r="BY1033" s="90">
        <f t="array" ref="BY1033">XLOOKUP(C1033,'PL TOTAL D0'!$A$3:$A$1991,'PL TOTAL D0'!$C$3:$C$1991,"")</f>
        <v>195251.16</v>
      </c>
    </row>
    <row r="1034" ht="15.75" customHeight="1">
      <c r="A1034" s="50" t="s">
        <v>24</v>
      </c>
      <c r="B1034" s="584" t="s">
        <v>9121</v>
      </c>
      <c r="C1034" s="53" t="s">
        <v>2525</v>
      </c>
      <c r="D1034" s="30" t="s">
        <v>89</v>
      </c>
      <c r="E1034" s="22" t="s">
        <v>91</v>
      </c>
      <c r="F1034" s="30" t="s">
        <v>193</v>
      </c>
      <c r="G1034" s="47" t="str">
        <f t="shared" si="44"/>
        <v>David</v>
      </c>
      <c r="H1034" s="49" t="s">
        <v>183</v>
      </c>
      <c r="I1034" s="49" t="s">
        <v>66</v>
      </c>
      <c r="J1034" s="47" t="str">
        <f t="shared" si="41"/>
        <v>Não</v>
      </c>
      <c r="K1034" s="54">
        <v>46216.0</v>
      </c>
      <c r="L1034" s="62"/>
      <c r="M1034" s="32" t="s">
        <v>209</v>
      </c>
      <c r="N1034" s="56">
        <v>0.015</v>
      </c>
      <c r="O1034" s="23" t="s">
        <v>35</v>
      </c>
      <c r="P1034" s="57">
        <v>0.1</v>
      </c>
      <c r="Q1034" s="58"/>
      <c r="R1034" s="635"/>
      <c r="S1034" s="32" t="s">
        <v>194</v>
      </c>
      <c r="T1034" s="32" t="s">
        <v>9122</v>
      </c>
      <c r="U1034" s="33" t="s">
        <v>9123</v>
      </c>
      <c r="V1034" s="33" t="s">
        <v>9124</v>
      </c>
      <c r="W1034" s="34">
        <v>30247.0</v>
      </c>
      <c r="X1034" s="23" t="s">
        <v>221</v>
      </c>
      <c r="Y1034" s="49" t="str">
        <f t="shared" si="40"/>
        <v>Ativo</v>
      </c>
      <c r="Z1034" s="32"/>
      <c r="AA1034" s="32" t="s">
        <v>47</v>
      </c>
      <c r="AB1034" s="64"/>
      <c r="AC1034" s="79"/>
      <c r="AD1034" s="54"/>
      <c r="AE1034" s="77"/>
      <c r="AF1034" s="79"/>
      <c r="AG1034" s="79"/>
      <c r="AH1034" s="79"/>
      <c r="AI1034" s="79"/>
      <c r="AJ1034" s="79"/>
      <c r="AK1034" s="79"/>
      <c r="AL1034" s="79"/>
      <c r="AM1034" s="79"/>
      <c r="AN1034" s="79"/>
      <c r="AO1034" s="79"/>
      <c r="AP1034" s="79"/>
      <c r="AQ1034" s="79"/>
      <c r="AR1034" s="79"/>
      <c r="AS1034" s="79"/>
      <c r="AT1034" s="79"/>
      <c r="AU1034" s="79"/>
      <c r="AV1034" s="65"/>
      <c r="AW1034" s="65"/>
      <c r="AX1034" s="65"/>
      <c r="AY1034" s="65"/>
      <c r="AZ1034" s="65"/>
      <c r="BA1034" s="65"/>
      <c r="BB1034" s="65"/>
      <c r="BC1034" s="65"/>
      <c r="BD1034" s="65"/>
      <c r="BE1034" s="65"/>
      <c r="BF1034" s="65"/>
      <c r="BG1034" s="65"/>
      <c r="BH1034" s="65"/>
      <c r="BI1034" s="65"/>
      <c r="BJ1034" s="65"/>
      <c r="BK1034" s="65"/>
      <c r="BL1034" s="65"/>
      <c r="BM1034" s="65"/>
      <c r="BN1034" s="65"/>
      <c r="BO1034" s="65"/>
      <c r="BP1034" s="65"/>
      <c r="BQ1034" s="65"/>
      <c r="BR1034" s="65"/>
      <c r="BS1034" s="65"/>
      <c r="BT1034" s="88"/>
      <c r="BU1034" s="65"/>
      <c r="BV1034" s="65"/>
      <c r="BW1034" s="90"/>
      <c r="BX1034" s="90">
        <v>0.0</v>
      </c>
      <c r="BY1034" s="90">
        <f t="array" ref="BY1034">XLOOKUP(C1034,'PL TOTAL D0'!$A$3:$A$1991,'PL TOTAL D0'!$C$3:$C$1991,"")</f>
        <v>3120154.18</v>
      </c>
    </row>
    <row r="1035" ht="15.75" customHeight="1">
      <c r="A1035" s="50" t="s">
        <v>24</v>
      </c>
      <c r="B1035" s="584" t="s">
        <v>9125</v>
      </c>
      <c r="C1035" s="94" t="s">
        <v>9126</v>
      </c>
      <c r="D1035" s="30" t="s">
        <v>120</v>
      </c>
      <c r="E1035" s="22" t="s">
        <v>199</v>
      </c>
      <c r="F1035" s="30" t="s">
        <v>431</v>
      </c>
      <c r="G1035" s="47" t="str">
        <f t="shared" si="44"/>
        <v>David</v>
      </c>
      <c r="H1035" s="49" t="s">
        <v>295</v>
      </c>
      <c r="I1035" s="49" t="s">
        <v>447</v>
      </c>
      <c r="J1035" s="47" t="str">
        <f t="shared" si="41"/>
        <v>Sim</v>
      </c>
      <c r="K1035" s="54">
        <v>45730.0</v>
      </c>
      <c r="L1035" s="62"/>
      <c r="M1035" s="32" t="s">
        <v>201</v>
      </c>
      <c r="N1035" s="56">
        <v>0.003</v>
      </c>
      <c r="O1035" s="23" t="s">
        <v>66</v>
      </c>
      <c r="P1035" s="57">
        <v>0.0</v>
      </c>
      <c r="Q1035" s="58" t="s">
        <v>9127</v>
      </c>
      <c r="R1035" s="635"/>
      <c r="S1035" s="32" t="s">
        <v>194</v>
      </c>
      <c r="T1035" s="32" t="s">
        <v>9128</v>
      </c>
      <c r="U1035" s="33">
        <v>5.554999054957E12</v>
      </c>
      <c r="V1035" s="33" t="s">
        <v>9129</v>
      </c>
      <c r="W1035" s="34">
        <v>33415.0</v>
      </c>
      <c r="X1035" s="23" t="s">
        <v>1620</v>
      </c>
      <c r="Y1035" s="49" t="str">
        <f t="shared" si="40"/>
        <v>Ativo</v>
      </c>
      <c r="Z1035" s="32"/>
      <c r="AA1035" s="32" t="s">
        <v>47</v>
      </c>
      <c r="AB1035" s="64"/>
      <c r="AC1035" s="79"/>
      <c r="AD1035" s="54"/>
      <c r="AE1035" s="77"/>
      <c r="AF1035" s="79"/>
      <c r="AG1035" s="79"/>
      <c r="AH1035" s="79"/>
      <c r="AI1035" s="79"/>
      <c r="AJ1035" s="79"/>
      <c r="AK1035" s="79"/>
      <c r="AL1035" s="79"/>
      <c r="AM1035" s="79"/>
      <c r="AN1035" s="79"/>
      <c r="AO1035" s="79"/>
      <c r="AP1035" s="79"/>
      <c r="AQ1035" s="79"/>
      <c r="AR1035" s="79"/>
      <c r="AS1035" s="79"/>
      <c r="AT1035" s="79"/>
      <c r="AU1035" s="79"/>
      <c r="AV1035" s="65"/>
      <c r="AW1035" s="65"/>
      <c r="AX1035" s="65"/>
      <c r="AY1035" s="65"/>
      <c r="AZ1035" s="65"/>
      <c r="BA1035" s="65"/>
      <c r="BB1035" s="65"/>
      <c r="BC1035" s="65"/>
      <c r="BD1035" s="65"/>
      <c r="BE1035" s="65"/>
      <c r="BF1035" s="65"/>
      <c r="BG1035" s="65"/>
      <c r="BH1035" s="65"/>
      <c r="BI1035" s="65">
        <v>0.0</v>
      </c>
      <c r="BJ1035" s="65">
        <v>0.0</v>
      </c>
      <c r="BK1035" s="65">
        <v>0.0</v>
      </c>
      <c r="BL1035" s="65">
        <v>0.0</v>
      </c>
      <c r="BM1035" s="65">
        <v>0.0</v>
      </c>
      <c r="BN1035" s="65">
        <v>0.0</v>
      </c>
      <c r="BO1035" s="65">
        <v>0.0</v>
      </c>
      <c r="BP1035" s="65">
        <v>0.0</v>
      </c>
      <c r="BQ1035" s="65">
        <v>0.0</v>
      </c>
      <c r="BR1035" s="65">
        <v>0.0</v>
      </c>
      <c r="BS1035" s="65">
        <v>0.0</v>
      </c>
      <c r="BT1035" s="88">
        <v>0.0</v>
      </c>
      <c r="BU1035" s="65">
        <v>0.0</v>
      </c>
      <c r="BV1035" s="65">
        <v>0.0</v>
      </c>
      <c r="BW1035" s="90">
        <v>0.0</v>
      </c>
      <c r="BX1035" s="90">
        <v>0.0</v>
      </c>
      <c r="BY1035" s="90" t="str">
        <f t="array" ref="BY1035">XLOOKUP(C1035,'PL TOTAL D0'!$A$3:$A$1991,'PL TOTAL D0'!$C$3:$C$1991,"")</f>
        <v/>
      </c>
    </row>
    <row r="1036" ht="15.75" customHeight="1">
      <c r="A1036" s="50" t="s">
        <v>24</v>
      </c>
      <c r="B1036" s="43" t="s">
        <v>9130</v>
      </c>
      <c r="C1036" s="94" t="s">
        <v>2493</v>
      </c>
      <c r="D1036" s="81" t="s">
        <v>120</v>
      </c>
      <c r="E1036" s="95" t="s">
        <v>199</v>
      </c>
      <c r="F1036" s="81" t="s">
        <v>290</v>
      </c>
      <c r="G1036" s="47" t="str">
        <f t="shared" si="44"/>
        <v>Marcus</v>
      </c>
      <c r="H1036" s="74" t="s">
        <v>183</v>
      </c>
      <c r="I1036" s="74" t="s">
        <v>66</v>
      </c>
      <c r="J1036" s="47" t="str">
        <f t="shared" si="41"/>
        <v>Não</v>
      </c>
      <c r="K1036" s="97">
        <v>44992.0</v>
      </c>
      <c r="L1036" s="62"/>
      <c r="M1036" s="62" t="s">
        <v>61</v>
      </c>
      <c r="N1036" s="98">
        <v>0.008</v>
      </c>
      <c r="O1036" s="47" t="s">
        <v>66</v>
      </c>
      <c r="P1036" s="99">
        <v>0.0</v>
      </c>
      <c r="Q1036" s="58"/>
      <c r="R1036" s="635"/>
      <c r="S1036" s="62" t="s">
        <v>194</v>
      </c>
      <c r="T1036" s="32" t="s">
        <v>2309</v>
      </c>
      <c r="U1036" s="33">
        <v>5.56199801019E12</v>
      </c>
      <c r="V1036" s="33" t="s">
        <v>9131</v>
      </c>
      <c r="W1036" s="48">
        <v>27348.0</v>
      </c>
      <c r="X1036" s="23" t="s">
        <v>199</v>
      </c>
      <c r="Y1036" s="49" t="str">
        <f t="shared" si="40"/>
        <v>Ativo</v>
      </c>
      <c r="Z1036" s="62"/>
      <c r="AA1036" s="62"/>
      <c r="AB1036" s="64" t="s">
        <v>269</v>
      </c>
      <c r="AC1036" s="79"/>
      <c r="AD1036" s="54">
        <v>44992.0</v>
      </c>
      <c r="AE1036" s="77">
        <v>4.9075100010218E13</v>
      </c>
      <c r="AF1036" s="79"/>
      <c r="AG1036" s="79"/>
      <c r="AH1036" s="79"/>
      <c r="AI1036" s="79"/>
      <c r="AJ1036" s="65">
        <v>0.0</v>
      </c>
      <c r="AK1036" s="65">
        <v>1893864.24</v>
      </c>
      <c r="AL1036" s="65">
        <v>2000594.47</v>
      </c>
      <c r="AM1036" s="65">
        <v>2168757.62</v>
      </c>
      <c r="AN1036" s="65">
        <v>2206209.9</v>
      </c>
      <c r="AO1036" s="65">
        <v>2223135.83</v>
      </c>
      <c r="AP1036" s="65">
        <v>2249409.44</v>
      </c>
      <c r="AQ1036" s="65">
        <v>2268957.8</v>
      </c>
      <c r="AR1036" s="65">
        <v>2277468.78</v>
      </c>
      <c r="AS1036" s="65">
        <v>2351206.03</v>
      </c>
      <c r="AT1036" s="65">
        <v>2493194.17</v>
      </c>
      <c r="AU1036" s="65">
        <v>2548688.83</v>
      </c>
      <c r="AV1036" s="65">
        <v>2571543.79</v>
      </c>
      <c r="AW1036" s="65">
        <v>2795806.8</v>
      </c>
      <c r="AX1036" s="65">
        <v>2804842.65</v>
      </c>
      <c r="AY1036" s="65">
        <v>2877093.0</v>
      </c>
      <c r="AZ1036" s="65">
        <v>2894067.0</v>
      </c>
      <c r="BA1036" s="65">
        <v>3012925.0</v>
      </c>
      <c r="BB1036" s="65">
        <v>3361939.86</v>
      </c>
      <c r="BC1036" s="65">
        <v>3380002.9</v>
      </c>
      <c r="BD1036" s="65">
        <v>3408409.97</v>
      </c>
      <c r="BE1036" s="65">
        <v>3424399.86</v>
      </c>
      <c r="BF1036" s="65">
        <v>3434337.01</v>
      </c>
      <c r="BG1036" s="65">
        <v>3474709.33</v>
      </c>
      <c r="BH1036" s="65">
        <v>3506338.05</v>
      </c>
      <c r="BI1036" s="65">
        <v>3539487.17</v>
      </c>
      <c r="BJ1036" s="65">
        <v>3577590.06</v>
      </c>
      <c r="BK1036" s="65">
        <v>3611672.56</v>
      </c>
      <c r="BL1036" s="65">
        <v>3643852.26</v>
      </c>
      <c r="BM1036" s="65">
        <v>3680468.42</v>
      </c>
      <c r="BN1036" s="65">
        <v>3712640.0</v>
      </c>
      <c r="BO1036" s="65">
        <v>3747232.78</v>
      </c>
      <c r="BP1036" s="65">
        <v>3777966.0</v>
      </c>
      <c r="BQ1036" s="65">
        <v>3804669.0</v>
      </c>
      <c r="BR1036" s="65">
        <v>3831234.0</v>
      </c>
      <c r="BS1036" s="65">
        <v>3849973.83</v>
      </c>
      <c r="BT1036" s="88">
        <v>3878086.0</v>
      </c>
      <c r="BU1036" s="65">
        <v>3920332.0</v>
      </c>
      <c r="BV1036" s="65">
        <v>3960374.0</v>
      </c>
      <c r="BW1036" s="90">
        <v>4015507.0</v>
      </c>
      <c r="BX1036" s="90">
        <v>4049283.9</v>
      </c>
      <c r="BY1036" s="90">
        <f t="array" ref="BY1036">XLOOKUP(C1036,'PL TOTAL D0'!$A$3:$A$1991,'PL TOTAL D0'!$C$3:$C$1991,"")</f>
        <v>4119803.24</v>
      </c>
    </row>
    <row r="1037" ht="15.75" customHeight="1">
      <c r="A1037" s="50" t="s">
        <v>24</v>
      </c>
      <c r="B1037" s="43" t="s">
        <v>9132</v>
      </c>
      <c r="C1037" s="94" t="s">
        <v>9133</v>
      </c>
      <c r="D1037" s="30" t="s">
        <v>120</v>
      </c>
      <c r="E1037" s="22" t="s">
        <v>199</v>
      </c>
      <c r="F1037" s="30" t="s">
        <v>803</v>
      </c>
      <c r="G1037" s="47" t="str">
        <f t="shared" si="44"/>
        <v>David</v>
      </c>
      <c r="H1037" s="49" t="s">
        <v>295</v>
      </c>
      <c r="I1037" s="49" t="s">
        <v>756</v>
      </c>
      <c r="J1037" s="47" t="str">
        <f t="shared" si="41"/>
        <v>Não</v>
      </c>
      <c r="K1037" s="54">
        <v>45544.0</v>
      </c>
      <c r="L1037" s="62"/>
      <c r="M1037" s="32" t="s">
        <v>61</v>
      </c>
      <c r="N1037" s="56">
        <v>0.012</v>
      </c>
      <c r="O1037" s="23" t="s">
        <v>66</v>
      </c>
      <c r="P1037" s="57">
        <v>0.0</v>
      </c>
      <c r="Q1037" s="58"/>
      <c r="R1037" s="635"/>
      <c r="S1037" s="32" t="s">
        <v>194</v>
      </c>
      <c r="T1037" s="32" t="s">
        <v>9134</v>
      </c>
      <c r="U1037" s="33">
        <v>6.1984082E10</v>
      </c>
      <c r="V1037" s="33" t="s">
        <v>9135</v>
      </c>
      <c r="W1037" s="34">
        <v>29241.0</v>
      </c>
      <c r="X1037" s="23" t="s">
        <v>199</v>
      </c>
      <c r="Y1037" s="49" t="str">
        <f t="shared" si="40"/>
        <v>Ativo</v>
      </c>
      <c r="Z1037" s="62"/>
      <c r="AA1037" s="32" t="s">
        <v>107</v>
      </c>
      <c r="AB1037" s="64"/>
      <c r="AC1037" s="79"/>
      <c r="AD1037" s="54">
        <v>45544.0</v>
      </c>
      <c r="AE1037" s="77">
        <v>4.9075100016143E13</v>
      </c>
      <c r="AF1037" s="79"/>
      <c r="AG1037" s="79"/>
      <c r="AH1037" s="79"/>
      <c r="AI1037" s="79"/>
      <c r="AJ1037" s="65"/>
      <c r="AK1037" s="65"/>
      <c r="AL1037" s="65"/>
      <c r="AM1037" s="65"/>
      <c r="AN1037" s="65"/>
      <c r="AO1037" s="65"/>
      <c r="AP1037" s="65"/>
      <c r="AQ1037" s="65"/>
      <c r="AR1037" s="65"/>
      <c r="AS1037" s="65"/>
      <c r="AT1037" s="65"/>
      <c r="AU1037" s="65"/>
      <c r="AV1037" s="65"/>
      <c r="AW1037" s="65"/>
      <c r="AX1037" s="65"/>
      <c r="AY1037" s="65"/>
      <c r="AZ1037" s="65"/>
      <c r="BA1037" s="65"/>
      <c r="BB1037" s="65"/>
      <c r="BC1037" s="65">
        <v>0.0</v>
      </c>
      <c r="BD1037" s="65">
        <v>0.0</v>
      </c>
      <c r="BE1037" s="65">
        <v>0.0</v>
      </c>
      <c r="BF1037" s="65">
        <v>0.0</v>
      </c>
      <c r="BG1037" s="65">
        <v>0.0</v>
      </c>
      <c r="BH1037" s="65">
        <v>0.0</v>
      </c>
      <c r="BI1037" s="65">
        <v>0.0</v>
      </c>
      <c r="BJ1037" s="65">
        <v>0.0</v>
      </c>
      <c r="BK1037" s="65">
        <v>0.0</v>
      </c>
      <c r="BL1037" s="65">
        <v>0.0</v>
      </c>
      <c r="BM1037" s="65">
        <v>0.0</v>
      </c>
      <c r="BN1037" s="65">
        <v>0.0</v>
      </c>
      <c r="BO1037" s="65">
        <v>0.0</v>
      </c>
      <c r="BP1037" s="65">
        <v>0.0</v>
      </c>
      <c r="BQ1037" s="65">
        <v>0.0</v>
      </c>
      <c r="BR1037" s="65">
        <v>0.0</v>
      </c>
      <c r="BS1037" s="65">
        <v>0.0</v>
      </c>
      <c r="BT1037" s="88">
        <v>0.0</v>
      </c>
      <c r="BU1037" s="65">
        <v>0.0</v>
      </c>
      <c r="BV1037" s="65">
        <v>0.0</v>
      </c>
      <c r="BW1037" s="90">
        <v>0.0</v>
      </c>
      <c r="BX1037" s="90">
        <v>0.0</v>
      </c>
      <c r="BY1037" s="90" t="str">
        <f t="array" ref="BY1037">XLOOKUP(C1037,'PL TOTAL D0'!$A$3:$A$1991,'PL TOTAL D0'!$C$3:$C$1991,"")</f>
        <v/>
      </c>
    </row>
    <row r="1038" ht="15.75" customHeight="1">
      <c r="A1038" s="50" t="s">
        <v>24</v>
      </c>
      <c r="B1038" s="43" t="s">
        <v>9136</v>
      </c>
      <c r="C1038" s="94" t="s">
        <v>2928</v>
      </c>
      <c r="D1038" s="30" t="s">
        <v>120</v>
      </c>
      <c r="E1038" s="22" t="s">
        <v>199</v>
      </c>
      <c r="F1038" s="30" t="s">
        <v>431</v>
      </c>
      <c r="G1038" s="47" t="str">
        <f t="shared" si="44"/>
        <v>David</v>
      </c>
      <c r="H1038" s="49" t="s">
        <v>295</v>
      </c>
      <c r="I1038" s="49" t="s">
        <v>447</v>
      </c>
      <c r="J1038" s="47" t="str">
        <f t="shared" si="41"/>
        <v>Sim</v>
      </c>
      <c r="K1038" s="54">
        <v>45455.0</v>
      </c>
      <c r="L1038" s="62"/>
      <c r="M1038" s="32" t="s">
        <v>201</v>
      </c>
      <c r="N1038" s="56">
        <v>0.003</v>
      </c>
      <c r="O1038" s="23" t="s">
        <v>66</v>
      </c>
      <c r="P1038" s="57">
        <v>0.0</v>
      </c>
      <c r="Q1038" s="58" t="s">
        <v>656</v>
      </c>
      <c r="R1038" s="635"/>
      <c r="S1038" s="32" t="s">
        <v>194</v>
      </c>
      <c r="T1038" s="32" t="s">
        <v>9137</v>
      </c>
      <c r="U1038" s="33">
        <v>3.198775771E10</v>
      </c>
      <c r="V1038" s="33" t="s">
        <v>9138</v>
      </c>
      <c r="W1038" s="34">
        <v>35534.0</v>
      </c>
      <c r="X1038" s="23" t="s">
        <v>618</v>
      </c>
      <c r="Y1038" s="49" t="str">
        <f t="shared" si="40"/>
        <v>Ativo</v>
      </c>
      <c r="Z1038" s="32"/>
      <c r="AA1038" s="32" t="s">
        <v>47</v>
      </c>
      <c r="AB1038" s="64" t="s">
        <v>269</v>
      </c>
      <c r="AC1038" s="79"/>
      <c r="AD1038" s="54">
        <v>45455.0</v>
      </c>
      <c r="AE1038" s="77">
        <v>4.9075100014876E13</v>
      </c>
      <c r="AF1038" s="79"/>
      <c r="AG1038" s="79"/>
      <c r="AH1038" s="79"/>
      <c r="AI1038" s="79"/>
      <c r="AJ1038" s="79"/>
      <c r="AK1038" s="79"/>
      <c r="AL1038" s="79"/>
      <c r="AM1038" s="79"/>
      <c r="AN1038" s="79"/>
      <c r="AO1038" s="79"/>
      <c r="AP1038" s="79"/>
      <c r="AQ1038" s="79"/>
      <c r="AR1038" s="79"/>
      <c r="AS1038" s="79"/>
      <c r="AT1038" s="79"/>
      <c r="AU1038" s="79"/>
      <c r="AV1038" s="65"/>
      <c r="AW1038" s="65"/>
      <c r="AX1038" s="65"/>
      <c r="AY1038" s="65"/>
      <c r="AZ1038" s="65">
        <v>0.0</v>
      </c>
      <c r="BA1038" s="65">
        <v>0.0</v>
      </c>
      <c r="BB1038" s="65">
        <v>0.0</v>
      </c>
      <c r="BC1038" s="65">
        <v>0.0</v>
      </c>
      <c r="BD1038" s="65">
        <v>0.0</v>
      </c>
      <c r="BE1038" s="65">
        <v>0.0</v>
      </c>
      <c r="BF1038" s="65">
        <v>0.0</v>
      </c>
      <c r="BG1038" s="65">
        <v>0.0</v>
      </c>
      <c r="BH1038" s="65">
        <v>9912.0</v>
      </c>
      <c r="BI1038" s="65">
        <v>0.0</v>
      </c>
      <c r="BJ1038" s="65">
        <v>0.0</v>
      </c>
      <c r="BK1038" s="65">
        <v>0.0</v>
      </c>
      <c r="BL1038" s="65">
        <v>0.0</v>
      </c>
      <c r="BM1038" s="65">
        <v>0.0</v>
      </c>
      <c r="BN1038" s="65">
        <v>0.0</v>
      </c>
      <c r="BO1038" s="65">
        <v>0.0</v>
      </c>
      <c r="BP1038" s="65">
        <v>0.0</v>
      </c>
      <c r="BQ1038" s="65">
        <v>0.0</v>
      </c>
      <c r="BR1038" s="65">
        <v>0.0</v>
      </c>
      <c r="BS1038" s="65">
        <v>0.0</v>
      </c>
      <c r="BT1038" s="88">
        <v>0.0</v>
      </c>
      <c r="BU1038" s="65">
        <v>0.0</v>
      </c>
      <c r="BV1038" s="65">
        <v>0.0</v>
      </c>
      <c r="BW1038" s="90">
        <v>0.0</v>
      </c>
      <c r="BX1038" s="90">
        <v>124148.05</v>
      </c>
      <c r="BY1038" s="90">
        <f t="array" ref="BY1038">XLOOKUP(C1038,'PL TOTAL D0'!$A$3:$A$1991,'PL TOTAL D0'!$C$3:$C$1991,"")</f>
        <v>465856.6</v>
      </c>
    </row>
    <row r="1039" ht="15.75" customHeight="1">
      <c r="A1039" s="50" t="s">
        <v>24</v>
      </c>
      <c r="B1039" s="50" t="s">
        <v>6951</v>
      </c>
      <c r="C1039" s="94" t="s">
        <v>3395</v>
      </c>
      <c r="D1039" s="30" t="s">
        <v>89</v>
      </c>
      <c r="E1039" s="95" t="s">
        <v>91</v>
      </c>
      <c r="F1039" s="81" t="s">
        <v>521</v>
      </c>
      <c r="G1039" s="47" t="str">
        <f t="shared" si="44"/>
        <v>David</v>
      </c>
      <c r="H1039" s="49" t="s">
        <v>183</v>
      </c>
      <c r="I1039" s="49" t="s">
        <v>66</v>
      </c>
      <c r="J1039" s="47" t="str">
        <f t="shared" si="41"/>
        <v>Não</v>
      </c>
      <c r="K1039" s="97">
        <v>45260.0</v>
      </c>
      <c r="L1039" s="62"/>
      <c r="M1039" s="32" t="s">
        <v>4465</v>
      </c>
      <c r="N1039" s="56">
        <v>0.02</v>
      </c>
      <c r="O1039" s="23" t="s">
        <v>233</v>
      </c>
      <c r="P1039" s="99">
        <v>0.2</v>
      </c>
      <c r="Q1039" s="58"/>
      <c r="R1039" s="70"/>
      <c r="S1039" s="62" t="s">
        <v>194</v>
      </c>
      <c r="T1039" s="32" t="s">
        <v>6952</v>
      </c>
      <c r="U1039" s="33">
        <v>5.543999572927E12</v>
      </c>
      <c r="V1039" s="33" t="s">
        <v>9139</v>
      </c>
      <c r="W1039" s="34">
        <v>29380.0</v>
      </c>
      <c r="X1039" s="23" t="s">
        <v>221</v>
      </c>
      <c r="Y1039" s="49" t="str">
        <f t="shared" si="40"/>
        <v>Ativo</v>
      </c>
      <c r="Z1039" s="62"/>
      <c r="AA1039" s="32" t="s">
        <v>47</v>
      </c>
      <c r="AB1039" s="64" t="s">
        <v>269</v>
      </c>
      <c r="AC1039" s="79"/>
      <c r="AD1039" s="54">
        <v>45260.0</v>
      </c>
      <c r="AE1039" s="77">
        <v>4.9075100012776E13</v>
      </c>
      <c r="AF1039" s="79"/>
      <c r="AG1039" s="79"/>
      <c r="AH1039" s="79"/>
      <c r="AI1039" s="79"/>
      <c r="AJ1039" s="79"/>
      <c r="AK1039" s="79"/>
      <c r="AL1039" s="79"/>
      <c r="AM1039" s="79"/>
      <c r="AN1039" s="79"/>
      <c r="AO1039" s="79"/>
      <c r="AP1039" s="79"/>
      <c r="AQ1039" s="79"/>
      <c r="AR1039" s="79"/>
      <c r="AS1039" s="65">
        <v>0.0</v>
      </c>
      <c r="AT1039" s="65">
        <v>36835.9</v>
      </c>
      <c r="AU1039" s="65">
        <v>36047.55</v>
      </c>
      <c r="AV1039" s="65">
        <v>38109.64</v>
      </c>
      <c r="AW1039" s="65">
        <v>40194.98</v>
      </c>
      <c r="AX1039" s="65">
        <v>40411.36</v>
      </c>
      <c r="AY1039" s="65">
        <v>40485.71</v>
      </c>
      <c r="AZ1039" s="65">
        <v>42057.79</v>
      </c>
      <c r="BA1039" s="65">
        <v>44682.2</v>
      </c>
      <c r="BB1039" s="65">
        <v>47011.6</v>
      </c>
      <c r="BC1039" s="65">
        <v>47642.84</v>
      </c>
      <c r="BD1039" s="65">
        <v>47009.81</v>
      </c>
      <c r="BE1039" s="65">
        <v>46815.96</v>
      </c>
      <c r="BF1039" s="65">
        <v>46905.88</v>
      </c>
      <c r="BG1039" s="65">
        <v>49824.14</v>
      </c>
      <c r="BH1039" s="65">
        <v>51326.98</v>
      </c>
      <c r="BI1039" s="65">
        <v>54677.64</v>
      </c>
      <c r="BJ1039" s="65">
        <v>38056.27</v>
      </c>
      <c r="BK1039" s="65">
        <v>39082.37</v>
      </c>
      <c r="BL1039" s="65">
        <v>39384.35</v>
      </c>
      <c r="BM1039" s="65">
        <v>40345.18</v>
      </c>
      <c r="BN1039" s="65">
        <v>43808.56</v>
      </c>
      <c r="BO1039" s="65">
        <v>46567.96</v>
      </c>
      <c r="BP1039" s="65">
        <v>49237.06</v>
      </c>
      <c r="BQ1039" s="65">
        <v>51387.98</v>
      </c>
      <c r="BR1039" s="65">
        <v>52380.62</v>
      </c>
      <c r="BS1039" s="65">
        <v>57445.41</v>
      </c>
      <c r="BT1039" s="88">
        <v>60435.96</v>
      </c>
      <c r="BU1039" s="65">
        <v>62252.01</v>
      </c>
      <c r="BV1039" s="65">
        <v>64370.33</v>
      </c>
      <c r="BW1039" s="90">
        <v>63394.81</v>
      </c>
      <c r="BX1039" s="90">
        <v>68276.19</v>
      </c>
      <c r="BY1039" s="90">
        <f t="array" ref="BY1039">XLOOKUP(C1039,'PL TOTAL D0'!$A$3:$A$1991,'PL TOTAL D0'!$C$3:$C$1991,"")</f>
        <v>69690.12</v>
      </c>
    </row>
    <row r="1040" ht="15.75" customHeight="1">
      <c r="A1040" s="50" t="s">
        <v>24</v>
      </c>
      <c r="B1040" s="50" t="s">
        <v>6951</v>
      </c>
      <c r="C1040" s="94" t="s">
        <v>9140</v>
      </c>
      <c r="D1040" s="30" t="s">
        <v>89</v>
      </c>
      <c r="E1040" s="95" t="s">
        <v>91</v>
      </c>
      <c r="F1040" s="81" t="s">
        <v>521</v>
      </c>
      <c r="G1040" s="47" t="str">
        <f t="shared" si="44"/>
        <v>David</v>
      </c>
      <c r="H1040" s="49" t="s">
        <v>295</v>
      </c>
      <c r="I1040" s="49" t="s">
        <v>382</v>
      </c>
      <c r="J1040" s="47" t="str">
        <f t="shared" si="41"/>
        <v>Não</v>
      </c>
      <c r="K1040" s="97">
        <v>45071.0</v>
      </c>
      <c r="L1040" s="62"/>
      <c r="M1040" s="62" t="s">
        <v>34</v>
      </c>
      <c r="N1040" s="98">
        <v>0.012</v>
      </c>
      <c r="O1040" s="47" t="s">
        <v>66</v>
      </c>
      <c r="P1040" s="99">
        <v>0.0</v>
      </c>
      <c r="Q1040" s="58"/>
      <c r="R1040" s="58" t="s">
        <v>9141</v>
      </c>
      <c r="S1040" s="62" t="s">
        <v>194</v>
      </c>
      <c r="T1040" s="32" t="s">
        <v>6952</v>
      </c>
      <c r="U1040" s="33">
        <v>5.543999572927E12</v>
      </c>
      <c r="V1040" s="33" t="s">
        <v>9139</v>
      </c>
      <c r="W1040" s="34">
        <v>29380.0</v>
      </c>
      <c r="X1040" s="23" t="s">
        <v>221</v>
      </c>
      <c r="Y1040" s="49" t="str">
        <f t="shared" si="40"/>
        <v>Ativo</v>
      </c>
      <c r="Z1040" s="62"/>
      <c r="AA1040" s="32" t="s">
        <v>47</v>
      </c>
      <c r="AB1040" s="64" t="s">
        <v>269</v>
      </c>
      <c r="AC1040" s="79"/>
      <c r="AD1040" s="54">
        <v>45071.0</v>
      </c>
      <c r="AE1040" s="77">
        <v>4.9075100007411E13</v>
      </c>
      <c r="AF1040" s="79"/>
      <c r="AG1040" s="79"/>
      <c r="AH1040" s="79"/>
      <c r="AI1040" s="79"/>
      <c r="AJ1040" s="79"/>
      <c r="AK1040" s="65">
        <v>0.0</v>
      </c>
      <c r="AL1040" s="65">
        <v>4494.36</v>
      </c>
      <c r="AM1040" s="65">
        <v>9048.26</v>
      </c>
      <c r="AN1040" s="65">
        <v>59569.73</v>
      </c>
      <c r="AO1040" s="65">
        <v>64630.92</v>
      </c>
      <c r="AP1040" s="65">
        <v>69593.19</v>
      </c>
      <c r="AQ1040" s="65">
        <v>73684.92</v>
      </c>
      <c r="AR1040" s="65">
        <v>78381.66</v>
      </c>
      <c r="AS1040" s="65">
        <v>83617.39</v>
      </c>
      <c r="AT1040" s="65">
        <v>89160.8</v>
      </c>
      <c r="AU1040" s="65">
        <v>93530.33</v>
      </c>
      <c r="AV1040" s="65">
        <v>98857.87</v>
      </c>
      <c r="AW1040" s="65">
        <v>104300.0</v>
      </c>
      <c r="AX1040" s="65">
        <v>108339.94</v>
      </c>
      <c r="AY1040" s="65">
        <v>113573.9</v>
      </c>
      <c r="AZ1040" s="65">
        <v>119364.1</v>
      </c>
      <c r="BA1040" s="65">
        <v>120568.2</v>
      </c>
      <c r="BB1040" s="65">
        <v>131829.78</v>
      </c>
      <c r="BC1040" s="65">
        <v>137282.44</v>
      </c>
      <c r="BD1040" s="65">
        <v>142399.06</v>
      </c>
      <c r="BE1040" s="65">
        <v>147401.25</v>
      </c>
      <c r="BF1040" s="65">
        <v>152949.43</v>
      </c>
      <c r="BG1040" s="65">
        <v>159289.0</v>
      </c>
      <c r="BH1040" s="65">
        <v>165725.19</v>
      </c>
      <c r="BI1040" s="65">
        <v>172046.28</v>
      </c>
      <c r="BJ1040" s="65">
        <v>178863.22</v>
      </c>
      <c r="BK1040" s="65">
        <v>185723.79</v>
      </c>
      <c r="BL1040" s="65">
        <v>192269.62</v>
      </c>
      <c r="BM1040" s="65">
        <v>11235.56</v>
      </c>
      <c r="BN1040" s="65">
        <v>11352.95</v>
      </c>
      <c r="BO1040" s="65">
        <v>11470.73</v>
      </c>
      <c r="BP1040" s="65">
        <v>11606.84</v>
      </c>
      <c r="BQ1040" s="65">
        <v>11715.73</v>
      </c>
      <c r="BR1040" s="65">
        <v>34.33</v>
      </c>
      <c r="BS1040" s="65">
        <v>34.33</v>
      </c>
      <c r="BT1040" s="88">
        <v>34.33</v>
      </c>
      <c r="BU1040" s="65">
        <v>34.33</v>
      </c>
      <c r="BV1040" s="65">
        <v>34.33</v>
      </c>
      <c r="BW1040" s="90">
        <v>34.33</v>
      </c>
      <c r="BX1040" s="90">
        <v>34.33</v>
      </c>
      <c r="BY1040" s="90" t="str">
        <f t="array" ref="BY1040">XLOOKUP(C1040,'PL TOTAL D0'!$A$3:$A$1991,'PL TOTAL D0'!$C$3:$C$1991,"")</f>
        <v/>
      </c>
    </row>
    <row r="1041" ht="15.75" customHeight="1">
      <c r="A1041" s="50" t="s">
        <v>24</v>
      </c>
      <c r="B1041" s="50" t="s">
        <v>9142</v>
      </c>
      <c r="C1041" s="94" t="s">
        <v>3418</v>
      </c>
      <c r="D1041" s="30" t="s">
        <v>120</v>
      </c>
      <c r="E1041" s="95" t="s">
        <v>199</v>
      </c>
      <c r="F1041" s="30" t="s">
        <v>1641</v>
      </c>
      <c r="G1041" s="47" t="str">
        <f t="shared" si="44"/>
        <v>David</v>
      </c>
      <c r="H1041" s="49" t="s">
        <v>183</v>
      </c>
      <c r="I1041" s="49" t="s">
        <v>66</v>
      </c>
      <c r="J1041" s="47" t="str">
        <f t="shared" si="41"/>
        <v>Não</v>
      </c>
      <c r="K1041" s="97">
        <v>45925.0</v>
      </c>
      <c r="L1041" s="62"/>
      <c r="M1041" s="62" t="s">
        <v>61</v>
      </c>
      <c r="N1041" s="98">
        <v>0.012</v>
      </c>
      <c r="O1041" s="47" t="s">
        <v>66</v>
      </c>
      <c r="P1041" s="99">
        <v>0.0</v>
      </c>
      <c r="Q1041" s="58"/>
      <c r="R1041" s="58"/>
      <c r="S1041" s="62" t="s">
        <v>194</v>
      </c>
      <c r="T1041" s="32" t="s">
        <v>9143</v>
      </c>
      <c r="U1041" s="33" t="s">
        <v>9144</v>
      </c>
      <c r="V1041" s="33" t="s">
        <v>9145</v>
      </c>
      <c r="W1041" s="34">
        <v>30489.0</v>
      </c>
      <c r="X1041" s="23" t="s">
        <v>199</v>
      </c>
      <c r="Y1041" s="49" t="s">
        <v>183</v>
      </c>
      <c r="Z1041" s="62"/>
      <c r="AA1041" s="32" t="s">
        <v>47</v>
      </c>
      <c r="AB1041" s="64"/>
      <c r="AC1041" s="79"/>
      <c r="AD1041" s="54">
        <v>45929.0</v>
      </c>
      <c r="AE1041" s="77">
        <v>4.9075100019551E13</v>
      </c>
      <c r="AF1041" s="79"/>
      <c r="AG1041" s="79"/>
      <c r="AH1041" s="79"/>
      <c r="AI1041" s="79"/>
      <c r="AJ1041" s="79"/>
      <c r="AK1041" s="65"/>
      <c r="AL1041" s="65"/>
      <c r="AM1041" s="65"/>
      <c r="AN1041" s="65"/>
      <c r="AO1041" s="65"/>
      <c r="AP1041" s="65"/>
      <c r="AQ1041" s="65"/>
      <c r="AR1041" s="65"/>
      <c r="AS1041" s="65"/>
      <c r="AT1041" s="65"/>
      <c r="AU1041" s="65"/>
      <c r="AV1041" s="65"/>
      <c r="AW1041" s="65"/>
      <c r="AX1041" s="65"/>
      <c r="AY1041" s="65"/>
      <c r="AZ1041" s="65"/>
      <c r="BA1041" s="65"/>
      <c r="BB1041" s="65"/>
      <c r="BC1041" s="65"/>
      <c r="BD1041" s="65"/>
      <c r="BE1041" s="65"/>
      <c r="BF1041" s="65"/>
      <c r="BG1041" s="65"/>
      <c r="BH1041" s="65"/>
      <c r="BI1041" s="65"/>
      <c r="BJ1041" s="65"/>
      <c r="BK1041" s="65"/>
      <c r="BL1041" s="65"/>
      <c r="BM1041" s="65"/>
      <c r="BN1041" s="65"/>
      <c r="BO1041" s="65">
        <v>5000.0</v>
      </c>
      <c r="BP1041" s="65">
        <v>5057.43</v>
      </c>
      <c r="BQ1041" s="65">
        <v>32145.03</v>
      </c>
      <c r="BR1041" s="65">
        <v>34526.14</v>
      </c>
      <c r="BS1041" s="65">
        <v>38905.98</v>
      </c>
      <c r="BT1041" s="88">
        <v>43268.37</v>
      </c>
      <c r="BU1041" s="65">
        <v>47788.36</v>
      </c>
      <c r="BV1041" s="65">
        <v>53256.88</v>
      </c>
      <c r="BW1041" s="90">
        <v>53364.56</v>
      </c>
      <c r="BX1041" s="90">
        <v>59919.61</v>
      </c>
      <c r="BY1041" s="90">
        <f t="array" ref="BY1041">XLOOKUP(C1041,'PL TOTAL D0'!$A$3:$A$1991,'PL TOTAL D0'!$C$3:$C$1991,"")</f>
        <v>61411.18</v>
      </c>
    </row>
    <row r="1042" ht="15.75" customHeight="1">
      <c r="A1042" s="50" t="s">
        <v>24</v>
      </c>
      <c r="B1042" s="50" t="s">
        <v>9146</v>
      </c>
      <c r="C1042" s="94" t="s">
        <v>9147</v>
      </c>
      <c r="D1042" s="81" t="s">
        <v>120</v>
      </c>
      <c r="E1042" s="95" t="s">
        <v>54</v>
      </c>
      <c r="F1042" s="81" t="s">
        <v>379</v>
      </c>
      <c r="G1042" s="47" t="str">
        <f t="shared" si="44"/>
        <v>David</v>
      </c>
      <c r="H1042" s="49" t="s">
        <v>224</v>
      </c>
      <c r="I1042" s="49" t="s">
        <v>66</v>
      </c>
      <c r="J1042" s="47" t="str">
        <f t="shared" si="41"/>
        <v>Não</v>
      </c>
      <c r="K1042" s="97">
        <v>44951.0</v>
      </c>
      <c r="L1042" s="557">
        <v>45957.0</v>
      </c>
      <c r="M1042" s="62" t="s">
        <v>361</v>
      </c>
      <c r="N1042" s="98">
        <v>0.025</v>
      </c>
      <c r="O1042" s="47" t="s">
        <v>35</v>
      </c>
      <c r="P1042" s="99">
        <v>0.2</v>
      </c>
      <c r="Q1042" s="58"/>
      <c r="R1042" s="635"/>
      <c r="S1042" s="62" t="s">
        <v>194</v>
      </c>
      <c r="T1042" s="32" t="s">
        <v>7014</v>
      </c>
      <c r="U1042" s="33">
        <v>5.561999510989E12</v>
      </c>
      <c r="V1042" s="33" t="s">
        <v>9148</v>
      </c>
      <c r="W1042" s="34">
        <v>31308.0</v>
      </c>
      <c r="X1042" s="23" t="s">
        <v>199</v>
      </c>
      <c r="Y1042" s="49" t="str">
        <f t="shared" ref="Y1042:Y1050" si="45">IFS(H:H="Encerrado","Encerrado",COUNTBLANK(AZ1042:BK1042)&gt;0,"Ativo",SUM(AZ1042:BK1042)=0,"Inativo",SUM(AZ1042:BK1042)&gt;0,"Ativo")</f>
        <v>Encerrado</v>
      </c>
      <c r="Z1042" s="62"/>
      <c r="AA1042" s="62"/>
      <c r="AB1042" s="64" t="s">
        <v>244</v>
      </c>
      <c r="AC1042" s="79"/>
      <c r="AD1042" s="54">
        <v>44951.0</v>
      </c>
      <c r="AE1042" s="77">
        <v>4.9075100006326E13</v>
      </c>
      <c r="AF1042" s="79"/>
      <c r="AG1042" s="79"/>
      <c r="AH1042" s="65">
        <v>0.5</v>
      </c>
      <c r="AI1042" s="65">
        <v>129462.59</v>
      </c>
      <c r="AJ1042" s="65">
        <v>144797.29</v>
      </c>
      <c r="AK1042" s="65">
        <v>145316.61</v>
      </c>
      <c r="AL1042" s="65">
        <v>145842.39</v>
      </c>
      <c r="AM1042" s="65">
        <v>147938.64</v>
      </c>
      <c r="AN1042" s="65">
        <v>152357.62</v>
      </c>
      <c r="AO1042" s="65">
        <v>156012.55</v>
      </c>
      <c r="AP1042" s="65">
        <v>154568.8</v>
      </c>
      <c r="AQ1042" s="65">
        <v>194407.84</v>
      </c>
      <c r="AR1042" s="65">
        <v>193488.64</v>
      </c>
      <c r="AS1042" s="65">
        <v>200174.42</v>
      </c>
      <c r="AT1042" s="65">
        <v>205376.18</v>
      </c>
      <c r="AU1042" s="65">
        <v>197933.0</v>
      </c>
      <c r="AV1042" s="65">
        <v>199573.02</v>
      </c>
      <c r="AW1042" s="65">
        <v>216644.68</v>
      </c>
      <c r="AX1042" s="65">
        <v>213157.32</v>
      </c>
      <c r="AY1042" s="65">
        <v>210811.6</v>
      </c>
      <c r="AZ1042" s="65">
        <v>211610.3</v>
      </c>
      <c r="BA1042" s="65">
        <v>214411.1</v>
      </c>
      <c r="BB1042" s="65">
        <v>217437.52</v>
      </c>
      <c r="BC1042" s="65">
        <v>226060.94</v>
      </c>
      <c r="BD1042" s="65">
        <v>221610.92</v>
      </c>
      <c r="BE1042" s="65">
        <v>218123.39</v>
      </c>
      <c r="BF1042" s="65">
        <v>213650.3</v>
      </c>
      <c r="BG1042" s="65">
        <v>212364.35</v>
      </c>
      <c r="BH1042" s="65">
        <v>206711.67</v>
      </c>
      <c r="BI1042" s="65">
        <v>203581.91</v>
      </c>
      <c r="BJ1042" s="65">
        <v>207272.92</v>
      </c>
      <c r="BK1042" s="65">
        <v>213695.4</v>
      </c>
      <c r="BL1042" s="65">
        <v>213946.1</v>
      </c>
      <c r="BM1042" s="65">
        <v>223591.19</v>
      </c>
      <c r="BN1042" s="65">
        <v>226711.0</v>
      </c>
      <c r="BO1042" s="65">
        <v>227951.62</v>
      </c>
      <c r="BP1042" s="65">
        <v>0.0</v>
      </c>
      <c r="BQ1042" s="65">
        <v>0.0</v>
      </c>
      <c r="BR1042" s="65">
        <v>0.0</v>
      </c>
      <c r="BS1042" s="65">
        <v>0.0</v>
      </c>
      <c r="BT1042" s="88">
        <v>0.0</v>
      </c>
      <c r="BU1042" s="65">
        <v>0.0</v>
      </c>
      <c r="BV1042" s="65">
        <v>0.0</v>
      </c>
      <c r="BW1042" s="90">
        <v>0.0</v>
      </c>
      <c r="BX1042" s="90">
        <v>0.0</v>
      </c>
      <c r="BY1042" s="90" t="str">
        <f t="array" ref="BY1042">XLOOKUP(C1042,'PL TOTAL D0'!$A$3:$A$1991,'PL TOTAL D0'!$C$3:$C$1991,"")</f>
        <v/>
      </c>
    </row>
    <row r="1043" ht="15.75" customHeight="1">
      <c r="A1043" s="50" t="s">
        <v>24</v>
      </c>
      <c r="B1043" s="50" t="s">
        <v>9149</v>
      </c>
      <c r="C1043" s="94" t="s">
        <v>9150</v>
      </c>
      <c r="D1043" s="81" t="s">
        <v>120</v>
      </c>
      <c r="E1043" s="95" t="s">
        <v>199</v>
      </c>
      <c r="F1043" s="30" t="s">
        <v>290</v>
      </c>
      <c r="G1043" s="47" t="str">
        <f t="shared" si="44"/>
        <v>David</v>
      </c>
      <c r="H1043" s="49" t="s">
        <v>295</v>
      </c>
      <c r="I1043" s="49" t="s">
        <v>382</v>
      </c>
      <c r="J1043" s="47" t="str">
        <f t="shared" si="41"/>
        <v>Não</v>
      </c>
      <c r="K1043" s="97">
        <v>45042.0</v>
      </c>
      <c r="L1043" s="62"/>
      <c r="M1043" s="62" t="s">
        <v>361</v>
      </c>
      <c r="N1043" s="98">
        <v>0.02</v>
      </c>
      <c r="O1043" s="47" t="s">
        <v>35</v>
      </c>
      <c r="P1043" s="99">
        <v>0.2</v>
      </c>
      <c r="Q1043" s="58"/>
      <c r="R1043" s="192" t="s">
        <v>9151</v>
      </c>
      <c r="S1043" s="62" t="s">
        <v>194</v>
      </c>
      <c r="T1043" s="32" t="s">
        <v>7028</v>
      </c>
      <c r="U1043" s="33">
        <v>6.1991044004E10</v>
      </c>
      <c r="V1043" s="33" t="s">
        <v>9152</v>
      </c>
      <c r="W1043" s="48">
        <v>32076.0</v>
      </c>
      <c r="X1043" s="23" t="s">
        <v>199</v>
      </c>
      <c r="Y1043" s="49" t="str">
        <f t="shared" si="45"/>
        <v>Ativo</v>
      </c>
      <c r="Z1043" s="62"/>
      <c r="AA1043" s="62"/>
      <c r="AB1043" s="64" t="s">
        <v>269</v>
      </c>
      <c r="AC1043" s="79"/>
      <c r="AD1043" s="54">
        <v>45042.0</v>
      </c>
      <c r="AE1043" s="77">
        <v>4.9075100008E13</v>
      </c>
      <c r="AF1043" s="79"/>
      <c r="AG1043" s="79"/>
      <c r="AH1043" s="79"/>
      <c r="AI1043" s="79"/>
      <c r="AJ1043" s="79"/>
      <c r="AK1043" s="79"/>
      <c r="AL1043" s="65">
        <v>504162.28</v>
      </c>
      <c r="AM1043" s="65">
        <v>618853.27</v>
      </c>
      <c r="AN1043" s="65">
        <v>636897.62</v>
      </c>
      <c r="AO1043" s="65">
        <v>652844.08</v>
      </c>
      <c r="AP1043" s="65">
        <v>641406.1</v>
      </c>
      <c r="AQ1043" s="65">
        <v>642259.74</v>
      </c>
      <c r="AR1043" s="65">
        <v>635116.45</v>
      </c>
      <c r="AS1043" s="65">
        <v>657145.17</v>
      </c>
      <c r="AT1043" s="65">
        <v>674875.78</v>
      </c>
      <c r="AU1043" s="65">
        <v>651865.15</v>
      </c>
      <c r="AV1043" s="65">
        <v>575384.85</v>
      </c>
      <c r="AW1043" s="65">
        <v>582727.07</v>
      </c>
      <c r="AX1043" s="65">
        <v>918.37</v>
      </c>
      <c r="AY1043" s="65">
        <v>918.37</v>
      </c>
      <c r="AZ1043" s="65">
        <v>967.08</v>
      </c>
      <c r="BA1043" s="65">
        <v>967.08</v>
      </c>
      <c r="BB1043" s="65">
        <v>967.08</v>
      </c>
      <c r="BC1043" s="65">
        <v>967.44</v>
      </c>
      <c r="BD1043" s="65">
        <v>968.83</v>
      </c>
      <c r="BE1043" s="65">
        <v>969.66</v>
      </c>
      <c r="BF1043" s="65">
        <v>972.59</v>
      </c>
      <c r="BG1043" s="65">
        <v>214.05</v>
      </c>
      <c r="BH1043" s="65">
        <v>214.05</v>
      </c>
      <c r="BI1043" s="65">
        <v>214.05</v>
      </c>
      <c r="BJ1043" s="65">
        <v>214.05</v>
      </c>
      <c r="BK1043" s="65">
        <v>214.05</v>
      </c>
      <c r="BL1043" s="65">
        <v>214.05</v>
      </c>
      <c r="BM1043" s="65">
        <v>214.05</v>
      </c>
      <c r="BN1043" s="65">
        <v>214.05</v>
      </c>
      <c r="BO1043" s="65">
        <v>214.05</v>
      </c>
      <c r="BP1043" s="65">
        <v>214.05</v>
      </c>
      <c r="BQ1043" s="65">
        <v>214.05</v>
      </c>
      <c r="BR1043" s="65">
        <v>214.05</v>
      </c>
      <c r="BS1043" s="65">
        <v>215.46</v>
      </c>
      <c r="BT1043" s="88">
        <v>217.6</v>
      </c>
      <c r="BU1043" s="65">
        <v>218.77</v>
      </c>
      <c r="BV1043" s="65">
        <v>0.01</v>
      </c>
      <c r="BW1043" s="90">
        <v>0.01</v>
      </c>
      <c r="BX1043" s="90">
        <v>0.01</v>
      </c>
      <c r="BY1043" s="90" t="str">
        <f t="array" ref="BY1043">XLOOKUP(C1043,'PL TOTAL D0'!$A$3:$A$1991,'PL TOTAL D0'!$C$3:$C$1991,"")</f>
        <v/>
      </c>
    </row>
    <row r="1044" ht="15.75" customHeight="1">
      <c r="A1044" s="50" t="s">
        <v>24</v>
      </c>
      <c r="B1044" s="176" t="s">
        <v>9153</v>
      </c>
      <c r="C1044" s="94" t="s">
        <v>9154</v>
      </c>
      <c r="D1044" s="81" t="s">
        <v>255</v>
      </c>
      <c r="E1044" s="95" t="s">
        <v>199</v>
      </c>
      <c r="F1044" s="81" t="s">
        <v>9155</v>
      </c>
      <c r="G1044" s="47" t="str">
        <f t="shared" si="44"/>
        <v>David</v>
      </c>
      <c r="H1044" s="49" t="s">
        <v>295</v>
      </c>
      <c r="I1044" s="49" t="s">
        <v>382</v>
      </c>
      <c r="J1044" s="47" t="str">
        <f t="shared" si="41"/>
        <v>Não</v>
      </c>
      <c r="K1044" s="97">
        <v>45012.0</v>
      </c>
      <c r="L1044" s="62"/>
      <c r="M1044" s="62" t="s">
        <v>209</v>
      </c>
      <c r="N1044" s="98">
        <v>0.015</v>
      </c>
      <c r="O1044" s="47" t="s">
        <v>35</v>
      </c>
      <c r="P1044" s="99">
        <v>0.1</v>
      </c>
      <c r="Q1044" s="58"/>
      <c r="R1044" s="635"/>
      <c r="S1044" s="62" t="s">
        <v>194</v>
      </c>
      <c r="T1044" s="32" t="s">
        <v>9156</v>
      </c>
      <c r="U1044" s="33">
        <v>5.561999618819E12</v>
      </c>
      <c r="V1044" s="33" t="s">
        <v>9157</v>
      </c>
      <c r="W1044" s="48">
        <v>28489.0</v>
      </c>
      <c r="X1044" s="23" t="s">
        <v>199</v>
      </c>
      <c r="Y1044" s="49" t="str">
        <f t="shared" si="45"/>
        <v>Ativo</v>
      </c>
      <c r="Z1044" s="62"/>
      <c r="AA1044" s="62"/>
      <c r="AB1044" s="64" t="s">
        <v>269</v>
      </c>
      <c r="AC1044" s="79"/>
      <c r="AD1044" s="54">
        <v>45012.0</v>
      </c>
      <c r="AE1044" s="77">
        <v>4.9075100007934E13</v>
      </c>
      <c r="AF1044" s="79"/>
      <c r="AG1044" s="79"/>
      <c r="AH1044" s="79"/>
      <c r="AI1044" s="79"/>
      <c r="AJ1044" s="79"/>
      <c r="AK1044" s="65">
        <v>350337.58</v>
      </c>
      <c r="AL1044" s="65">
        <v>351903.67</v>
      </c>
      <c r="AM1044" s="65">
        <v>340102.23</v>
      </c>
      <c r="AN1044" s="65">
        <v>332995.49</v>
      </c>
      <c r="AO1044" s="65">
        <v>314336.41</v>
      </c>
      <c r="AP1044" s="65">
        <v>242316.62</v>
      </c>
      <c r="AQ1044" s="65">
        <v>213072.17</v>
      </c>
      <c r="AR1044" s="65">
        <v>172288.07</v>
      </c>
      <c r="AS1044" s="65">
        <v>135635.54</v>
      </c>
      <c r="AT1044" s="65">
        <v>82464.94</v>
      </c>
      <c r="AU1044" s="65">
        <v>50275.19</v>
      </c>
      <c r="AV1044" s="65">
        <v>16773.51</v>
      </c>
      <c r="AW1044" s="65">
        <v>16731.64</v>
      </c>
      <c r="AX1044" s="65">
        <v>16735.57</v>
      </c>
      <c r="AY1044" s="65">
        <v>16733.84</v>
      </c>
      <c r="AZ1044" s="65">
        <v>16736.52</v>
      </c>
      <c r="BA1044" s="65">
        <v>16742.1</v>
      </c>
      <c r="BB1044" s="65">
        <v>2188.8</v>
      </c>
      <c r="BC1044" s="65">
        <v>2192.42</v>
      </c>
      <c r="BD1044" s="65">
        <v>2210.22</v>
      </c>
      <c r="BE1044" s="65">
        <v>2225.52</v>
      </c>
      <c r="BF1044" s="65">
        <v>56.35</v>
      </c>
      <c r="BG1044" s="65">
        <v>56.35</v>
      </c>
      <c r="BH1044" s="65">
        <v>56.35</v>
      </c>
      <c r="BI1044" s="65">
        <v>56.35</v>
      </c>
      <c r="BJ1044" s="65">
        <v>56.35</v>
      </c>
      <c r="BK1044" s="65">
        <v>56.35</v>
      </c>
      <c r="BL1044" s="65">
        <v>56.35</v>
      </c>
      <c r="BM1044" s="65">
        <v>56.35</v>
      </c>
      <c r="BN1044" s="65">
        <v>56.35</v>
      </c>
      <c r="BO1044" s="65">
        <v>56.35</v>
      </c>
      <c r="BP1044" s="65">
        <v>56.35</v>
      </c>
      <c r="BQ1044" s="65">
        <v>56.35</v>
      </c>
      <c r="BR1044" s="65">
        <v>56.35</v>
      </c>
      <c r="BS1044" s="65">
        <v>56.35</v>
      </c>
      <c r="BT1044" s="88">
        <v>56.35</v>
      </c>
      <c r="BU1044" s="65">
        <v>56.35</v>
      </c>
      <c r="BV1044" s="65">
        <v>56.35</v>
      </c>
      <c r="BW1044" s="90">
        <v>56.35</v>
      </c>
      <c r="BX1044" s="90">
        <v>56.35</v>
      </c>
      <c r="BY1044" s="90" t="str">
        <f t="array" ref="BY1044">XLOOKUP(C1044,'PL TOTAL D0'!$A$3:$A$1991,'PL TOTAL D0'!$C$3:$C$1991,"")</f>
        <v/>
      </c>
    </row>
    <row r="1045" ht="15.75" customHeight="1">
      <c r="A1045" s="50" t="s">
        <v>24</v>
      </c>
      <c r="B1045" s="39" t="s">
        <v>9158</v>
      </c>
      <c r="C1045" s="94" t="s">
        <v>9159</v>
      </c>
      <c r="D1045" s="30" t="s">
        <v>255</v>
      </c>
      <c r="E1045" s="22" t="s">
        <v>199</v>
      </c>
      <c r="F1045" s="30" t="s">
        <v>9160</v>
      </c>
      <c r="G1045" s="47" t="str">
        <f t="shared" si="44"/>
        <v>David</v>
      </c>
      <c r="H1045" s="49" t="s">
        <v>224</v>
      </c>
      <c r="I1045" s="49" t="s">
        <v>66</v>
      </c>
      <c r="J1045" s="47" t="str">
        <f t="shared" si="41"/>
        <v>Não</v>
      </c>
      <c r="K1045" s="54">
        <v>45469.0</v>
      </c>
      <c r="L1045" s="55">
        <v>45513.0</v>
      </c>
      <c r="M1045" s="32" t="s">
        <v>209</v>
      </c>
      <c r="N1045" s="56">
        <v>0.01</v>
      </c>
      <c r="O1045" s="23" t="s">
        <v>35</v>
      </c>
      <c r="P1045" s="57">
        <v>0.1</v>
      </c>
      <c r="Q1045" s="58"/>
      <c r="R1045" s="58" t="s">
        <v>1449</v>
      </c>
      <c r="S1045" s="32" t="s">
        <v>194</v>
      </c>
      <c r="T1045" s="32" t="s">
        <v>9161</v>
      </c>
      <c r="U1045" s="33" t="s">
        <v>268</v>
      </c>
      <c r="V1045" s="33"/>
      <c r="W1045" s="33" t="s">
        <v>268</v>
      </c>
      <c r="X1045" s="23" t="s">
        <v>199</v>
      </c>
      <c r="Y1045" s="49" t="str">
        <f t="shared" si="45"/>
        <v>Encerrado</v>
      </c>
      <c r="Z1045" s="32"/>
      <c r="AA1045" s="32" t="s">
        <v>47</v>
      </c>
      <c r="AB1045" s="64"/>
      <c r="AC1045" s="79"/>
      <c r="AD1045" s="54">
        <v>45469.0</v>
      </c>
      <c r="AE1045" s="77">
        <v>4.9075100014965E13</v>
      </c>
      <c r="AF1045" s="79"/>
      <c r="AG1045" s="79"/>
      <c r="AH1045" s="79"/>
      <c r="AI1045" s="79"/>
      <c r="AJ1045" s="79"/>
      <c r="AK1045" s="79"/>
      <c r="AL1045" s="79"/>
      <c r="AM1045" s="79"/>
      <c r="AN1045" s="79"/>
      <c r="AO1045" s="79"/>
      <c r="AP1045" s="79"/>
      <c r="AQ1045" s="79"/>
      <c r="AR1045" s="79"/>
      <c r="AS1045" s="79"/>
      <c r="AT1045" s="79"/>
      <c r="AU1045" s="79"/>
      <c r="AV1045" s="65"/>
      <c r="AW1045" s="65"/>
      <c r="AX1045" s="65"/>
      <c r="AY1045" s="65"/>
      <c r="AZ1045" s="65">
        <v>1026925.0</v>
      </c>
      <c r="BA1045" s="65">
        <v>0.0</v>
      </c>
      <c r="BB1045" s="65">
        <v>0.0</v>
      </c>
      <c r="BC1045" s="65">
        <v>0.0</v>
      </c>
      <c r="BD1045" s="65">
        <v>0.0</v>
      </c>
      <c r="BE1045" s="65">
        <v>0.0</v>
      </c>
      <c r="BF1045" s="65">
        <v>0.0</v>
      </c>
      <c r="BG1045" s="65">
        <v>0.0</v>
      </c>
      <c r="BH1045" s="65">
        <v>0.0</v>
      </c>
      <c r="BI1045" s="65">
        <v>0.0</v>
      </c>
      <c r="BJ1045" s="65">
        <v>0.0</v>
      </c>
      <c r="BK1045" s="65">
        <v>0.0</v>
      </c>
      <c r="BL1045" s="65">
        <v>0.0</v>
      </c>
      <c r="BM1045" s="65">
        <v>0.0</v>
      </c>
      <c r="BN1045" s="65">
        <v>0.0</v>
      </c>
      <c r="BO1045" s="65">
        <v>0.0</v>
      </c>
      <c r="BP1045" s="65">
        <v>0.0</v>
      </c>
      <c r="BQ1045" s="65">
        <v>0.0</v>
      </c>
      <c r="BR1045" s="65">
        <v>0.0</v>
      </c>
      <c r="BS1045" s="65">
        <v>0.0</v>
      </c>
      <c r="BT1045" s="88">
        <v>0.0</v>
      </c>
      <c r="BU1045" s="65">
        <v>0.0</v>
      </c>
      <c r="BV1045" s="65">
        <v>0.0</v>
      </c>
      <c r="BW1045" s="90">
        <v>0.0</v>
      </c>
      <c r="BX1045" s="90">
        <v>0.0</v>
      </c>
      <c r="BY1045" s="90" t="str">
        <f t="array" ref="BY1045">XLOOKUP(C1045,'PL TOTAL D0'!$A$3:$A$1991,'PL TOTAL D0'!$C$3:$C$1991,"")</f>
        <v/>
      </c>
    </row>
    <row r="1046" ht="15.75" customHeight="1">
      <c r="A1046" s="43" t="s">
        <v>24</v>
      </c>
      <c r="B1046" s="43" t="s">
        <v>9162</v>
      </c>
      <c r="C1046" s="94" t="s">
        <v>3453</v>
      </c>
      <c r="D1046" s="30" t="s">
        <v>120</v>
      </c>
      <c r="E1046" s="22" t="s">
        <v>199</v>
      </c>
      <c r="F1046" s="30" t="s">
        <v>431</v>
      </c>
      <c r="G1046" s="47" t="str">
        <f t="shared" si="44"/>
        <v>Gabriel</v>
      </c>
      <c r="H1046" s="49" t="s">
        <v>183</v>
      </c>
      <c r="I1046" s="49" t="s">
        <v>66</v>
      </c>
      <c r="J1046" s="47" t="str">
        <f t="shared" si="41"/>
        <v>Sim</v>
      </c>
      <c r="K1046" s="54">
        <v>45341.0</v>
      </c>
      <c r="L1046" s="62"/>
      <c r="M1046" s="32" t="s">
        <v>568</v>
      </c>
      <c r="N1046" s="56">
        <v>0.01</v>
      </c>
      <c r="O1046" s="23" t="s">
        <v>66</v>
      </c>
      <c r="P1046" s="57">
        <v>0.0</v>
      </c>
      <c r="Q1046" s="58" t="s">
        <v>9163</v>
      </c>
      <c r="R1046" s="635"/>
      <c r="S1046" s="32" t="s">
        <v>194</v>
      </c>
      <c r="T1046" s="32" t="s">
        <v>9164</v>
      </c>
      <c r="U1046" s="33">
        <v>6.1992499636E10</v>
      </c>
      <c r="V1046" s="33" t="s">
        <v>9165</v>
      </c>
      <c r="W1046" s="34">
        <v>34499.0</v>
      </c>
      <c r="X1046" s="23" t="s">
        <v>199</v>
      </c>
      <c r="Y1046" s="49" t="str">
        <f t="shared" si="45"/>
        <v>Ativo</v>
      </c>
      <c r="Z1046" s="62"/>
      <c r="AA1046" s="62"/>
      <c r="AB1046" s="64" t="s">
        <v>269</v>
      </c>
      <c r="AC1046" s="79"/>
      <c r="AD1046" s="54">
        <v>45341.0</v>
      </c>
      <c r="AE1046" s="77">
        <v>4.907510001347E13</v>
      </c>
      <c r="AF1046" s="79"/>
      <c r="AG1046" s="79"/>
      <c r="AH1046" s="79"/>
      <c r="AI1046" s="79"/>
      <c r="AJ1046" s="79"/>
      <c r="AK1046" s="79"/>
      <c r="AL1046" s="79"/>
      <c r="AM1046" s="79"/>
      <c r="AN1046" s="79"/>
      <c r="AO1046" s="79"/>
      <c r="AP1046" s="79"/>
      <c r="AQ1046" s="79"/>
      <c r="AR1046" s="79"/>
      <c r="AS1046" s="79"/>
      <c r="AT1046" s="79"/>
      <c r="AU1046" s="79"/>
      <c r="AV1046" s="65">
        <v>35089.67</v>
      </c>
      <c r="AW1046" s="65">
        <v>54451.84</v>
      </c>
      <c r="AX1046" s="65">
        <v>54735.12</v>
      </c>
      <c r="AY1046" s="65">
        <v>40428.39</v>
      </c>
      <c r="AZ1046" s="65">
        <v>0.0</v>
      </c>
      <c r="BA1046" s="65">
        <v>0.0</v>
      </c>
      <c r="BB1046" s="65">
        <v>0.04</v>
      </c>
      <c r="BC1046" s="65">
        <v>0.04</v>
      </c>
      <c r="BD1046" s="65">
        <v>0.04</v>
      </c>
      <c r="BE1046" s="65">
        <v>0.04</v>
      </c>
      <c r="BF1046" s="65">
        <v>0.04</v>
      </c>
      <c r="BG1046" s="65">
        <v>0.04</v>
      </c>
      <c r="BH1046" s="65">
        <v>0.04</v>
      </c>
      <c r="BI1046" s="65">
        <v>0.04</v>
      </c>
      <c r="BJ1046" s="65">
        <v>0.0</v>
      </c>
      <c r="BK1046" s="65">
        <v>0.0</v>
      </c>
      <c r="BL1046" s="65">
        <v>0.0</v>
      </c>
      <c r="BM1046" s="65">
        <v>20000.0</v>
      </c>
      <c r="BN1046" s="65">
        <v>426404.9</v>
      </c>
      <c r="BO1046" s="65">
        <v>404402.68</v>
      </c>
      <c r="BP1046" s="65">
        <v>380392.2</v>
      </c>
      <c r="BQ1046" s="65">
        <v>366842.7</v>
      </c>
      <c r="BR1046" s="65">
        <v>361026.5</v>
      </c>
      <c r="BS1046" s="65">
        <v>350397.01</v>
      </c>
      <c r="BT1046" s="88">
        <v>245277.9</v>
      </c>
      <c r="BU1046" s="65">
        <v>48250.43</v>
      </c>
      <c r="BV1046" s="65">
        <v>48600.81</v>
      </c>
      <c r="BW1046" s="90">
        <v>48921.27</v>
      </c>
      <c r="BX1046" s="90">
        <v>49093.98</v>
      </c>
      <c r="BY1046" s="90">
        <f t="array" ref="BY1046">XLOOKUP(C1046,'PL TOTAL D0'!$A$3:$A$1991,'PL TOTAL D0'!$C$3:$C$1991,"")</f>
        <v>49653.58</v>
      </c>
    </row>
    <row r="1047" ht="15.75" customHeight="1">
      <c r="A1047" s="43" t="s">
        <v>24</v>
      </c>
      <c r="B1047" s="43" t="s">
        <v>9166</v>
      </c>
      <c r="C1047" s="94" t="s">
        <v>9167</v>
      </c>
      <c r="D1047" s="30" t="s">
        <v>120</v>
      </c>
      <c r="E1047" s="22" t="s">
        <v>199</v>
      </c>
      <c r="F1047" s="30" t="s">
        <v>707</v>
      </c>
      <c r="G1047" s="47" t="str">
        <f t="shared" si="44"/>
        <v>David</v>
      </c>
      <c r="H1047" s="49" t="s">
        <v>183</v>
      </c>
      <c r="I1047" s="49" t="s">
        <v>66</v>
      </c>
      <c r="J1047" s="47" t="str">
        <f t="shared" si="41"/>
        <v>Sim</v>
      </c>
      <c r="K1047" s="54">
        <v>45708.0</v>
      </c>
      <c r="L1047" s="62"/>
      <c r="M1047" s="32" t="s">
        <v>34</v>
      </c>
      <c r="N1047" s="56">
        <v>0.012</v>
      </c>
      <c r="O1047" s="23" t="s">
        <v>35</v>
      </c>
      <c r="P1047" s="57">
        <v>0.1</v>
      </c>
      <c r="Q1047" s="58" t="s">
        <v>9168</v>
      </c>
      <c r="R1047" s="635"/>
      <c r="S1047" s="32" t="s">
        <v>194</v>
      </c>
      <c r="T1047" s="32" t="s">
        <v>9169</v>
      </c>
      <c r="U1047" s="33">
        <v>5.598981494285E12</v>
      </c>
      <c r="V1047" s="33" t="s">
        <v>9170</v>
      </c>
      <c r="W1047" s="34">
        <v>30351.0</v>
      </c>
      <c r="X1047" s="23" t="s">
        <v>1158</v>
      </c>
      <c r="Y1047" s="49" t="str">
        <f t="shared" si="45"/>
        <v>Ativo</v>
      </c>
      <c r="Z1047" s="62"/>
      <c r="AA1047" s="32" t="s">
        <v>47</v>
      </c>
      <c r="AB1047" s="64"/>
      <c r="AC1047" s="79"/>
      <c r="AD1047" s="54">
        <v>45712.0</v>
      </c>
      <c r="AE1047" s="77">
        <v>4.9075100018359E13</v>
      </c>
      <c r="AF1047" s="79"/>
      <c r="AG1047" s="79"/>
      <c r="AH1047" s="79"/>
      <c r="AI1047" s="79"/>
      <c r="AJ1047" s="79"/>
      <c r="AK1047" s="79"/>
      <c r="AL1047" s="79"/>
      <c r="AM1047" s="79"/>
      <c r="AN1047" s="79"/>
      <c r="AO1047" s="79"/>
      <c r="AP1047" s="79"/>
      <c r="AQ1047" s="79"/>
      <c r="AR1047" s="79"/>
      <c r="AS1047" s="79"/>
      <c r="AT1047" s="79"/>
      <c r="AU1047" s="79"/>
      <c r="AV1047" s="65"/>
      <c r="AW1047" s="65"/>
      <c r="AX1047" s="65"/>
      <c r="AY1047" s="65"/>
      <c r="AZ1047" s="65"/>
      <c r="BA1047" s="65"/>
      <c r="BB1047" s="65"/>
      <c r="BC1047" s="65"/>
      <c r="BD1047" s="65"/>
      <c r="BE1047" s="65"/>
      <c r="BF1047" s="65"/>
      <c r="BG1047" s="65"/>
      <c r="BH1047" s="65">
        <v>185268.75</v>
      </c>
      <c r="BI1047" s="65">
        <v>187795.49</v>
      </c>
      <c r="BJ1047" s="65">
        <v>189718.61</v>
      </c>
      <c r="BK1047" s="65">
        <v>191424.4</v>
      </c>
      <c r="BL1047" s="65">
        <v>136116.95</v>
      </c>
      <c r="BM1047" s="65">
        <v>73492.55</v>
      </c>
      <c r="BN1047" s="65">
        <v>74194.34</v>
      </c>
      <c r="BO1047" s="65">
        <v>69251.05</v>
      </c>
      <c r="BP1047" s="65">
        <v>66866.99</v>
      </c>
      <c r="BQ1047" s="65">
        <v>67629.37</v>
      </c>
      <c r="BR1047" s="65">
        <v>169088.8</v>
      </c>
      <c r="BS1047" s="65">
        <v>203602.55</v>
      </c>
      <c r="BT1047" s="88">
        <v>197856.8</v>
      </c>
      <c r="BU1047" s="65">
        <v>91518.69</v>
      </c>
      <c r="BV1047" s="65">
        <v>71588.84</v>
      </c>
      <c r="BW1047" s="90">
        <v>6429.52</v>
      </c>
      <c r="BX1047" s="90">
        <v>6468.24</v>
      </c>
      <c r="BY1047" s="90" t="str">
        <f t="array" ref="BY1047">XLOOKUP(C1047,'PL TOTAL D0'!$A$3:$A$1991,'PL TOTAL D0'!$C$3:$C$1991,"")</f>
        <v/>
      </c>
    </row>
    <row r="1048" ht="15.75" customHeight="1">
      <c r="A1048" s="43" t="s">
        <v>24</v>
      </c>
      <c r="B1048" s="43" t="s">
        <v>9171</v>
      </c>
      <c r="C1048" s="94" t="s">
        <v>9172</v>
      </c>
      <c r="D1048" s="30" t="s">
        <v>120</v>
      </c>
      <c r="E1048" s="22" t="s">
        <v>54</v>
      </c>
      <c r="F1048" s="30" t="s">
        <v>379</v>
      </c>
      <c r="G1048" s="47" t="str">
        <f t="shared" si="44"/>
        <v>David</v>
      </c>
      <c r="H1048" s="49" t="s">
        <v>224</v>
      </c>
      <c r="I1048" s="49" t="s">
        <v>66</v>
      </c>
      <c r="J1048" s="47" t="str">
        <f t="shared" si="41"/>
        <v>Sim</v>
      </c>
      <c r="K1048" s="54">
        <v>45560.0</v>
      </c>
      <c r="L1048" s="55">
        <v>45909.0</v>
      </c>
      <c r="M1048" s="32" t="s">
        <v>61</v>
      </c>
      <c r="N1048" s="56">
        <v>0.012</v>
      </c>
      <c r="O1048" s="23" t="s">
        <v>66</v>
      </c>
      <c r="P1048" s="57">
        <v>0.0</v>
      </c>
      <c r="Q1048" s="58" t="s">
        <v>9173</v>
      </c>
      <c r="R1048" s="635"/>
      <c r="S1048" s="32" t="s">
        <v>194</v>
      </c>
      <c r="T1048" s="32" t="s">
        <v>9174</v>
      </c>
      <c r="U1048" s="33">
        <v>5.561999231524E12</v>
      </c>
      <c r="V1048" s="33" t="s">
        <v>9175</v>
      </c>
      <c r="W1048" s="34">
        <v>32738.0</v>
      </c>
      <c r="X1048" s="23" t="s">
        <v>54</v>
      </c>
      <c r="Y1048" s="49" t="str">
        <f t="shared" si="45"/>
        <v>Encerrado</v>
      </c>
      <c r="Z1048" s="62"/>
      <c r="AA1048" s="32" t="s">
        <v>165</v>
      </c>
      <c r="AB1048" s="64"/>
      <c r="AC1048" s="79"/>
      <c r="AD1048" s="54">
        <v>45560.0</v>
      </c>
      <c r="AE1048" s="77">
        <v>4.9075100016021E13</v>
      </c>
      <c r="AF1048" s="79"/>
      <c r="AG1048" s="79"/>
      <c r="AH1048" s="79"/>
      <c r="AI1048" s="79"/>
      <c r="AJ1048" s="79"/>
      <c r="AK1048" s="79"/>
      <c r="AL1048" s="79"/>
      <c r="AM1048" s="79"/>
      <c r="AN1048" s="79"/>
      <c r="AO1048" s="79"/>
      <c r="AP1048" s="79"/>
      <c r="AQ1048" s="79"/>
      <c r="AR1048" s="79"/>
      <c r="AS1048" s="79"/>
      <c r="AT1048" s="79"/>
      <c r="AU1048" s="79"/>
      <c r="AV1048" s="65"/>
      <c r="AW1048" s="65"/>
      <c r="AX1048" s="65"/>
      <c r="AY1048" s="65"/>
      <c r="AZ1048" s="65"/>
      <c r="BA1048" s="65"/>
      <c r="BB1048" s="65"/>
      <c r="BC1048" s="65">
        <v>0.0</v>
      </c>
      <c r="BD1048" s="65">
        <v>622805.57</v>
      </c>
      <c r="BE1048" s="65">
        <v>651185.01</v>
      </c>
      <c r="BF1048" s="65">
        <v>655147.89</v>
      </c>
      <c r="BG1048" s="65">
        <v>650245.9</v>
      </c>
      <c r="BH1048" s="65">
        <v>635573.3</v>
      </c>
      <c r="BI1048" s="65">
        <v>631598.9</v>
      </c>
      <c r="BJ1048" s="65">
        <v>642969.0</v>
      </c>
      <c r="BK1048" s="65">
        <v>658992.23</v>
      </c>
      <c r="BL1048" s="65">
        <v>660578.96</v>
      </c>
      <c r="BM1048" s="65">
        <v>666722.67</v>
      </c>
      <c r="BN1048" s="65">
        <v>0.0</v>
      </c>
      <c r="BO1048" s="65">
        <v>0.0</v>
      </c>
      <c r="BP1048" s="65">
        <v>0.0</v>
      </c>
      <c r="BQ1048" s="65">
        <v>0.0</v>
      </c>
      <c r="BR1048" s="65">
        <v>0.0</v>
      </c>
      <c r="BS1048" s="65">
        <v>0.0</v>
      </c>
      <c r="BT1048" s="88">
        <v>0.0</v>
      </c>
      <c r="BU1048" s="65">
        <v>0.0</v>
      </c>
      <c r="BV1048" s="65">
        <v>0.0</v>
      </c>
      <c r="BW1048" s="90">
        <v>0.0</v>
      </c>
      <c r="BX1048" s="90">
        <v>0.0</v>
      </c>
      <c r="BY1048" s="90" t="str">
        <f t="array" ref="BY1048">XLOOKUP(C1048,'PL TOTAL D0'!$A$3:$A$1991,'PL TOTAL D0'!$C$3:$C$1991,"")</f>
        <v/>
      </c>
    </row>
    <row r="1049" ht="15.75" customHeight="1">
      <c r="A1049" s="50" t="s">
        <v>24</v>
      </c>
      <c r="B1049" s="50" t="s">
        <v>9176</v>
      </c>
      <c r="C1049" s="94" t="s">
        <v>3277</v>
      </c>
      <c r="D1049" s="81" t="s">
        <v>120</v>
      </c>
      <c r="E1049" s="95" t="s">
        <v>199</v>
      </c>
      <c r="F1049" s="81" t="s">
        <v>290</v>
      </c>
      <c r="G1049" s="47" t="str">
        <f t="shared" si="44"/>
        <v>David</v>
      </c>
      <c r="H1049" s="49" t="s">
        <v>183</v>
      </c>
      <c r="I1049" s="49" t="s">
        <v>66</v>
      </c>
      <c r="J1049" s="47" t="str">
        <f t="shared" si="41"/>
        <v>Não</v>
      </c>
      <c r="K1049" s="97">
        <v>45041.0</v>
      </c>
      <c r="L1049" s="62"/>
      <c r="M1049" s="62" t="s">
        <v>61</v>
      </c>
      <c r="N1049" s="98">
        <v>0.007</v>
      </c>
      <c r="O1049" s="47" t="s">
        <v>66</v>
      </c>
      <c r="P1049" s="99">
        <v>0.0</v>
      </c>
      <c r="Q1049" s="58"/>
      <c r="R1049" s="635"/>
      <c r="S1049" s="62" t="s">
        <v>194</v>
      </c>
      <c r="T1049" s="32" t="s">
        <v>7032</v>
      </c>
      <c r="U1049" s="33">
        <v>5.561993339999E12</v>
      </c>
      <c r="V1049" s="33" t="s">
        <v>9177</v>
      </c>
      <c r="W1049" s="34">
        <v>36367.0</v>
      </c>
      <c r="X1049" s="23" t="s">
        <v>199</v>
      </c>
      <c r="Y1049" s="49" t="str">
        <f t="shared" si="45"/>
        <v>Ativo</v>
      </c>
      <c r="Z1049" s="62"/>
      <c r="AA1049" s="62"/>
      <c r="AB1049" s="64" t="s">
        <v>269</v>
      </c>
      <c r="AC1049" s="79"/>
      <c r="AD1049" s="54">
        <v>45041.0</v>
      </c>
      <c r="AE1049" s="148">
        <v>4.9075100019703E13</v>
      </c>
      <c r="AF1049" s="79"/>
      <c r="AG1049" s="79"/>
      <c r="AH1049" s="79"/>
      <c r="AI1049" s="79"/>
      <c r="AJ1049" s="79"/>
      <c r="AK1049" s="65">
        <v>0.0</v>
      </c>
      <c r="AL1049" s="65">
        <v>107406.13</v>
      </c>
      <c r="AM1049" s="65">
        <v>108108.28</v>
      </c>
      <c r="AN1049" s="65">
        <v>107124.87</v>
      </c>
      <c r="AO1049" s="65">
        <v>107989.96</v>
      </c>
      <c r="AP1049" s="65">
        <v>108656.69</v>
      </c>
      <c r="AQ1049" s="65">
        <v>109097.2</v>
      </c>
      <c r="AR1049" s="65">
        <v>107631.81</v>
      </c>
      <c r="AS1049" s="65">
        <v>109898.82</v>
      </c>
      <c r="AT1049" s="65">
        <v>122192.3</v>
      </c>
      <c r="AU1049" s="65">
        <v>138269.42</v>
      </c>
      <c r="AV1049" s="65">
        <v>139093.12</v>
      </c>
      <c r="AW1049" s="65">
        <v>140285.0</v>
      </c>
      <c r="AX1049" s="65">
        <v>155862.91</v>
      </c>
      <c r="AY1049" s="65">
        <v>140794.6</v>
      </c>
      <c r="AZ1049" s="65">
        <v>141707.2</v>
      </c>
      <c r="BA1049" s="65">
        <v>138895.0</v>
      </c>
      <c r="BB1049" s="65">
        <v>145957.24</v>
      </c>
      <c r="BC1049" s="65">
        <v>147072.6</v>
      </c>
      <c r="BD1049" s="65">
        <v>144649.96</v>
      </c>
      <c r="BE1049" s="65">
        <v>145510.79</v>
      </c>
      <c r="BF1049" s="65">
        <v>146527.28</v>
      </c>
      <c r="BG1049" s="65">
        <v>147740.27</v>
      </c>
      <c r="BH1049" s="65">
        <v>148639.83</v>
      </c>
      <c r="BI1049" s="65">
        <v>111210.33</v>
      </c>
      <c r="BJ1049" s="65">
        <v>112433.67</v>
      </c>
      <c r="BK1049" s="65">
        <v>113715.18</v>
      </c>
      <c r="BL1049" s="65">
        <v>116591.11</v>
      </c>
      <c r="BM1049" s="65">
        <v>119970.39</v>
      </c>
      <c r="BN1049" s="65">
        <v>128135.3</v>
      </c>
      <c r="BO1049" s="65">
        <v>127403.56</v>
      </c>
      <c r="BP1049" s="65">
        <v>128963.4</v>
      </c>
      <c r="BQ1049" s="65">
        <v>128094.4</v>
      </c>
      <c r="BR1049" s="65">
        <v>133841.8</v>
      </c>
      <c r="BS1049" s="65">
        <v>139169.98</v>
      </c>
      <c r="BT1049" s="88">
        <v>114700.8</v>
      </c>
      <c r="BU1049" s="65">
        <v>116069.4</v>
      </c>
      <c r="BV1049" s="65">
        <v>115415.3</v>
      </c>
      <c r="BW1049" s="90">
        <v>114617.1</v>
      </c>
      <c r="BX1049" s="90">
        <v>115663.33</v>
      </c>
      <c r="BY1049" s="90">
        <f t="array" ref="BY1049">XLOOKUP(C1049,'PL TOTAL D0'!$A$3:$A$1991,'PL TOTAL D0'!$C$3:$C$1991,"")</f>
        <v>117084.14</v>
      </c>
    </row>
    <row r="1050" ht="15.75" customHeight="1">
      <c r="A1050" s="50" t="s">
        <v>24</v>
      </c>
      <c r="B1050" s="43" t="s">
        <v>9178</v>
      </c>
      <c r="C1050" s="94" t="s">
        <v>3517</v>
      </c>
      <c r="D1050" s="30" t="s">
        <v>210</v>
      </c>
      <c r="E1050" s="22" t="s">
        <v>199</v>
      </c>
      <c r="F1050" s="30" t="s">
        <v>275</v>
      </c>
      <c r="G1050" s="47" t="str">
        <f t="shared" si="44"/>
        <v>David</v>
      </c>
      <c r="H1050" s="49" t="s">
        <v>183</v>
      </c>
      <c r="I1050" s="49" t="s">
        <v>66</v>
      </c>
      <c r="J1050" s="47" t="str">
        <f t="shared" si="41"/>
        <v>Não</v>
      </c>
      <c r="K1050" s="54">
        <v>45909.0</v>
      </c>
      <c r="L1050" s="62"/>
      <c r="M1050" s="32" t="s">
        <v>213</v>
      </c>
      <c r="N1050" s="56">
        <v>0.01</v>
      </c>
      <c r="O1050" s="23" t="s">
        <v>66</v>
      </c>
      <c r="P1050" s="57">
        <v>0.0</v>
      </c>
      <c r="Q1050" s="58"/>
      <c r="R1050" s="635"/>
      <c r="S1050" s="32" t="s">
        <v>194</v>
      </c>
      <c r="T1050" s="32" t="s">
        <v>9179</v>
      </c>
      <c r="U1050" s="33" t="s">
        <v>5660</v>
      </c>
      <c r="V1050" s="33" t="s">
        <v>5661</v>
      </c>
      <c r="W1050" s="34">
        <v>28638.0</v>
      </c>
      <c r="X1050" s="23" t="s">
        <v>199</v>
      </c>
      <c r="Y1050" s="49" t="str">
        <f t="shared" si="45"/>
        <v>Ativo</v>
      </c>
      <c r="Z1050" s="62"/>
      <c r="AA1050" s="32" t="s">
        <v>107</v>
      </c>
      <c r="AB1050" s="64"/>
      <c r="AC1050" s="79"/>
      <c r="AD1050" s="54">
        <v>45966.0</v>
      </c>
      <c r="AF1050" s="79"/>
      <c r="AG1050" s="79"/>
      <c r="AH1050" s="79"/>
      <c r="AI1050" s="79"/>
      <c r="AJ1050" s="79"/>
      <c r="AK1050" s="65"/>
      <c r="AL1050" s="65"/>
      <c r="AM1050" s="65"/>
      <c r="AN1050" s="65"/>
      <c r="AO1050" s="65"/>
      <c r="AP1050" s="65"/>
      <c r="AQ1050" s="65"/>
      <c r="AR1050" s="65"/>
      <c r="AS1050" s="65"/>
      <c r="AT1050" s="65"/>
      <c r="AU1050" s="65"/>
      <c r="AV1050" s="65"/>
      <c r="AW1050" s="65"/>
      <c r="AX1050" s="65"/>
      <c r="AY1050" s="65"/>
      <c r="AZ1050" s="65"/>
      <c r="BA1050" s="65"/>
      <c r="BB1050" s="65"/>
      <c r="BC1050" s="65"/>
      <c r="BD1050" s="65"/>
      <c r="BE1050" s="65"/>
      <c r="BF1050" s="65"/>
      <c r="BG1050" s="65"/>
      <c r="BH1050" s="65"/>
      <c r="BI1050" s="65"/>
      <c r="BJ1050" s="65"/>
      <c r="BK1050" s="65"/>
      <c r="BL1050" s="65"/>
      <c r="BM1050" s="65"/>
      <c r="BN1050" s="65">
        <v>0.0</v>
      </c>
      <c r="BO1050" s="65">
        <v>0.0</v>
      </c>
      <c r="BP1050" s="65">
        <v>4643.89</v>
      </c>
      <c r="BQ1050" s="65">
        <v>21459.71</v>
      </c>
      <c r="BR1050" s="65">
        <v>21760.94</v>
      </c>
      <c r="BS1050" s="65">
        <v>22835.33</v>
      </c>
      <c r="BT1050" s="88">
        <v>23113.92</v>
      </c>
      <c r="BU1050" s="65">
        <v>23948.19</v>
      </c>
      <c r="BV1050" s="65">
        <v>24177.45</v>
      </c>
      <c r="BW1050" s="90">
        <v>23457.38</v>
      </c>
      <c r="BX1050" s="90">
        <v>23361.68</v>
      </c>
      <c r="BY1050" s="90">
        <f t="array" ref="BY1050">XLOOKUP(C1050,'PL TOTAL D0'!$A$3:$A$1991,'PL TOTAL D0'!$C$3:$C$1991,"")</f>
        <v>24112.78</v>
      </c>
    </row>
    <row r="1051" ht="15.75" customHeight="1">
      <c r="A1051" s="43" t="s">
        <v>24</v>
      </c>
      <c r="B1051" s="43" t="s">
        <v>1566</v>
      </c>
      <c r="C1051" s="94" t="s">
        <v>9180</v>
      </c>
      <c r="D1051" s="30" t="s">
        <v>120</v>
      </c>
      <c r="E1051" s="22" t="s">
        <v>199</v>
      </c>
      <c r="F1051" s="30" t="s">
        <v>1567</v>
      </c>
      <c r="G1051" s="47" t="str">
        <f t="shared" si="44"/>
        <v>David</v>
      </c>
      <c r="H1051" s="49" t="s">
        <v>295</v>
      </c>
      <c r="I1051" s="49" t="s">
        <v>447</v>
      </c>
      <c r="J1051" s="47" t="str">
        <f t="shared" si="41"/>
        <v>Não</v>
      </c>
      <c r="K1051" s="54">
        <v>45925.0</v>
      </c>
      <c r="L1051" s="62"/>
      <c r="M1051" s="32" t="s">
        <v>201</v>
      </c>
      <c r="N1051" s="56">
        <v>0.0</v>
      </c>
      <c r="O1051" s="23" t="s">
        <v>66</v>
      </c>
      <c r="P1051" s="57">
        <v>0.0</v>
      </c>
      <c r="Q1051" s="58"/>
      <c r="R1051" s="635"/>
      <c r="S1051" s="32" t="s">
        <v>194</v>
      </c>
      <c r="T1051" s="32" t="s">
        <v>1569</v>
      </c>
      <c r="U1051" s="33" t="s">
        <v>9181</v>
      </c>
      <c r="V1051" s="33" t="s">
        <v>9182</v>
      </c>
      <c r="W1051" s="34">
        <v>36185.0</v>
      </c>
      <c r="X1051" s="23" t="s">
        <v>199</v>
      </c>
      <c r="Y1051" s="49" t="s">
        <v>183</v>
      </c>
      <c r="Z1051" s="62"/>
      <c r="AA1051" s="32" t="s">
        <v>107</v>
      </c>
      <c r="AB1051" s="64"/>
      <c r="AC1051" s="79"/>
      <c r="AD1051" s="54"/>
      <c r="AE1051" s="77"/>
      <c r="AF1051" s="79"/>
      <c r="AG1051" s="79"/>
      <c r="AH1051" s="79"/>
      <c r="AI1051" s="79"/>
      <c r="AJ1051" s="79"/>
      <c r="AK1051" s="65"/>
      <c r="AL1051" s="65"/>
      <c r="AM1051" s="65"/>
      <c r="AN1051" s="65"/>
      <c r="AO1051" s="65"/>
      <c r="AP1051" s="65"/>
      <c r="AQ1051" s="65"/>
      <c r="AR1051" s="65"/>
      <c r="AS1051" s="65"/>
      <c r="AT1051" s="65"/>
      <c r="AU1051" s="65"/>
      <c r="AV1051" s="65"/>
      <c r="AW1051" s="65"/>
      <c r="AX1051" s="65"/>
      <c r="AY1051" s="65"/>
      <c r="AZ1051" s="65"/>
      <c r="BA1051" s="65"/>
      <c r="BB1051" s="65"/>
      <c r="BC1051" s="65"/>
      <c r="BD1051" s="65"/>
      <c r="BE1051" s="65"/>
      <c r="BF1051" s="65"/>
      <c r="BG1051" s="65"/>
      <c r="BH1051" s="65"/>
      <c r="BI1051" s="65"/>
      <c r="BJ1051" s="65"/>
      <c r="BK1051" s="65"/>
      <c r="BL1051" s="65"/>
      <c r="BM1051" s="65"/>
      <c r="BN1051" s="65"/>
      <c r="BO1051" s="65">
        <v>0.0</v>
      </c>
      <c r="BP1051" s="65">
        <v>0.0</v>
      </c>
      <c r="BQ1051" s="65">
        <v>0.0</v>
      </c>
      <c r="BR1051" s="65">
        <v>0.0</v>
      </c>
      <c r="BS1051" s="65">
        <v>0.0</v>
      </c>
      <c r="BT1051" s="88">
        <v>0.0</v>
      </c>
      <c r="BU1051" s="65">
        <v>0.0</v>
      </c>
      <c r="BV1051" s="65">
        <v>0.0</v>
      </c>
      <c r="BW1051" s="90">
        <v>0.0</v>
      </c>
      <c r="BX1051" s="90">
        <v>0.0</v>
      </c>
      <c r="BY1051" s="90" t="str">
        <f t="array" ref="BY1051">XLOOKUP(C1051,'PL TOTAL D0'!$A$3:$A$1991,'PL TOTAL D0'!$C$3:$C$1991,"")</f>
        <v/>
      </c>
    </row>
    <row r="1052" ht="15.75" customHeight="1">
      <c r="A1052" s="50" t="s">
        <v>24</v>
      </c>
      <c r="B1052" s="43" t="s">
        <v>9183</v>
      </c>
      <c r="C1052" s="94" t="s">
        <v>3214</v>
      </c>
      <c r="D1052" s="30" t="s">
        <v>249</v>
      </c>
      <c r="E1052" s="22" t="s">
        <v>199</v>
      </c>
      <c r="F1052" s="30" t="s">
        <v>251</v>
      </c>
      <c r="G1052" s="47" t="str">
        <f t="shared" si="44"/>
        <v>David</v>
      </c>
      <c r="H1052" s="49" t="s">
        <v>183</v>
      </c>
      <c r="I1052" s="49" t="s">
        <v>66</v>
      </c>
      <c r="J1052" s="47" t="str">
        <f t="shared" si="41"/>
        <v>Não</v>
      </c>
      <c r="K1052" s="54">
        <v>45916.0</v>
      </c>
      <c r="L1052" s="62"/>
      <c r="M1052" s="32" t="s">
        <v>34</v>
      </c>
      <c r="N1052" s="56">
        <v>0.012</v>
      </c>
      <c r="O1052" s="23" t="s">
        <v>35</v>
      </c>
      <c r="P1052" s="57">
        <v>0.1</v>
      </c>
      <c r="Q1052" s="58"/>
      <c r="R1052" s="635"/>
      <c r="S1052" s="32" t="s">
        <v>194</v>
      </c>
      <c r="T1052" s="32" t="s">
        <v>9184</v>
      </c>
      <c r="U1052" s="33" t="s">
        <v>9185</v>
      </c>
      <c r="V1052" s="33" t="s">
        <v>9186</v>
      </c>
      <c r="W1052" s="34">
        <v>32307.0</v>
      </c>
      <c r="X1052" s="23" t="s">
        <v>618</v>
      </c>
      <c r="Y1052" s="49" t="str">
        <f t="shared" ref="Y1052:Y1280" si="46">IFS(H:H="Encerrado","Encerrado",COUNTBLANK(AZ1052:BK1052)&gt;0,"Ativo",SUM(AZ1052:BK1052)=0,"Inativo",SUM(AZ1052:BK1052)&gt;0,"Ativo")</f>
        <v>Ativo</v>
      </c>
      <c r="Z1052" s="62"/>
      <c r="AA1052" s="32" t="s">
        <v>47</v>
      </c>
      <c r="AB1052" s="64"/>
      <c r="AC1052" s="79"/>
      <c r="AD1052" s="54">
        <v>45916.0</v>
      </c>
      <c r="AE1052" s="148">
        <v>4.9075100019525E13</v>
      </c>
      <c r="AF1052" s="79"/>
      <c r="AG1052" s="79"/>
      <c r="AH1052" s="79"/>
      <c r="AI1052" s="79"/>
      <c r="AJ1052" s="79"/>
      <c r="AK1052" s="65"/>
      <c r="AL1052" s="65"/>
      <c r="AM1052" s="65"/>
      <c r="AN1052" s="65"/>
      <c r="AO1052" s="65"/>
      <c r="AP1052" s="65"/>
      <c r="AQ1052" s="65"/>
      <c r="AR1052" s="65"/>
      <c r="AS1052" s="65"/>
      <c r="AT1052" s="65"/>
      <c r="AU1052" s="65"/>
      <c r="AV1052" s="65"/>
      <c r="AW1052" s="65"/>
      <c r="AX1052" s="65"/>
      <c r="AY1052" s="65"/>
      <c r="AZ1052" s="65"/>
      <c r="BA1052" s="65"/>
      <c r="BB1052" s="65"/>
      <c r="BC1052" s="65"/>
      <c r="BD1052" s="65"/>
      <c r="BE1052" s="65"/>
      <c r="BF1052" s="65"/>
      <c r="BG1052" s="65"/>
      <c r="BH1052" s="65"/>
      <c r="BI1052" s="65"/>
      <c r="BJ1052" s="65"/>
      <c r="BK1052" s="65"/>
      <c r="BL1052" s="65"/>
      <c r="BM1052" s="65"/>
      <c r="BN1052" s="65">
        <v>0.0</v>
      </c>
      <c r="BO1052" s="65">
        <v>135406.55</v>
      </c>
      <c r="BP1052" s="65">
        <v>137086.1</v>
      </c>
      <c r="BQ1052" s="65">
        <v>138489.5</v>
      </c>
      <c r="BR1052" s="65">
        <v>139952.0</v>
      </c>
      <c r="BS1052" s="65">
        <v>141596.45</v>
      </c>
      <c r="BT1052" s="88">
        <v>142750.7</v>
      </c>
      <c r="BU1052" s="65">
        <v>144433.6</v>
      </c>
      <c r="BV1052" s="65">
        <v>148182.1</v>
      </c>
      <c r="BW1052" s="90">
        <v>147833.4</v>
      </c>
      <c r="BX1052" s="90">
        <v>150212.09</v>
      </c>
      <c r="BY1052" s="90">
        <f t="array" ref="BY1052">XLOOKUP(C1052,'PL TOTAL D0'!$A$3:$A$1991,'PL TOTAL D0'!$C$3:$C$1991,"")</f>
        <v>151923.82</v>
      </c>
    </row>
    <row r="1053" ht="15.75" customHeight="1">
      <c r="A1053" s="50" t="s">
        <v>24</v>
      </c>
      <c r="B1053" s="43" t="s">
        <v>9187</v>
      </c>
      <c r="C1053" s="94" t="s">
        <v>3357</v>
      </c>
      <c r="D1053" s="30" t="s">
        <v>89</v>
      </c>
      <c r="E1053" s="22" t="s">
        <v>91</v>
      </c>
      <c r="F1053" s="30" t="s">
        <v>193</v>
      </c>
      <c r="G1053" s="47" t="str">
        <f t="shared" si="44"/>
        <v>David</v>
      </c>
      <c r="H1053" s="49" t="s">
        <v>183</v>
      </c>
      <c r="I1053" s="49" t="s">
        <v>66</v>
      </c>
      <c r="J1053" s="47" t="str">
        <f t="shared" si="41"/>
        <v>Não</v>
      </c>
      <c r="K1053" s="54">
        <v>45828.0</v>
      </c>
      <c r="L1053" s="62"/>
      <c r="M1053" s="32" t="s">
        <v>34</v>
      </c>
      <c r="N1053" s="56">
        <v>0.012</v>
      </c>
      <c r="O1053" s="23" t="s">
        <v>35</v>
      </c>
      <c r="P1053" s="57">
        <v>0.1</v>
      </c>
      <c r="Q1053" s="58"/>
      <c r="R1053" s="635"/>
      <c r="S1053" s="32" t="s">
        <v>194</v>
      </c>
      <c r="T1053" s="32" t="s">
        <v>9188</v>
      </c>
      <c r="U1053" s="33">
        <v>5.545991020267E12</v>
      </c>
      <c r="V1053" s="33" t="s">
        <v>9189</v>
      </c>
      <c r="W1053" s="48">
        <v>21895.0</v>
      </c>
      <c r="X1053" s="23" t="s">
        <v>221</v>
      </c>
      <c r="Y1053" s="49" t="str">
        <f t="shared" si="46"/>
        <v>Ativo</v>
      </c>
      <c r="Z1053" s="62"/>
      <c r="AA1053" s="32" t="s">
        <v>107</v>
      </c>
      <c r="AB1053" s="64"/>
      <c r="AC1053" s="79"/>
      <c r="AD1053" s="54">
        <v>45841.0</v>
      </c>
      <c r="AE1053" s="77">
        <v>4.9075100019142E13</v>
      </c>
      <c r="AF1053" s="79"/>
      <c r="AG1053" s="79"/>
      <c r="AH1053" s="79"/>
      <c r="AI1053" s="79"/>
      <c r="AJ1053" s="79"/>
      <c r="AK1053" s="65"/>
      <c r="AL1053" s="65"/>
      <c r="AM1053" s="65"/>
      <c r="AN1053" s="65"/>
      <c r="AO1053" s="65"/>
      <c r="AP1053" s="65"/>
      <c r="AQ1053" s="65"/>
      <c r="AR1053" s="65"/>
      <c r="AS1053" s="65"/>
      <c r="AT1053" s="65"/>
      <c r="AU1053" s="65"/>
      <c r="AV1053" s="65"/>
      <c r="AW1053" s="65"/>
      <c r="AX1053" s="65"/>
      <c r="AY1053" s="65"/>
      <c r="AZ1053" s="65"/>
      <c r="BA1053" s="65"/>
      <c r="BB1053" s="65"/>
      <c r="BC1053" s="65"/>
      <c r="BD1053" s="65"/>
      <c r="BE1053" s="65"/>
      <c r="BF1053" s="65"/>
      <c r="BG1053" s="65"/>
      <c r="BH1053" s="65"/>
      <c r="BI1053" s="65"/>
      <c r="BJ1053" s="65"/>
      <c r="BK1053" s="65"/>
      <c r="BL1053" s="65">
        <v>0.0</v>
      </c>
      <c r="BM1053" s="65">
        <v>75942.58</v>
      </c>
      <c r="BN1053" s="65">
        <v>76726.92</v>
      </c>
      <c r="BO1053" s="65">
        <v>77571.49</v>
      </c>
      <c r="BP1053" s="65">
        <v>78533.08</v>
      </c>
      <c r="BQ1053" s="65">
        <v>79488.63</v>
      </c>
      <c r="BR1053" s="65">
        <v>80343.96</v>
      </c>
      <c r="BS1053" s="65">
        <v>81097.32</v>
      </c>
      <c r="BT1053" s="88">
        <v>82095.97</v>
      </c>
      <c r="BU1053" s="65">
        <v>82979.07</v>
      </c>
      <c r="BV1053" s="65">
        <v>83807.68</v>
      </c>
      <c r="BW1053" s="90">
        <v>84048.92</v>
      </c>
      <c r="BX1053" s="90">
        <v>84811.17</v>
      </c>
      <c r="BY1053" s="90">
        <f t="array" ref="BY1053">XLOOKUP(C1053,'PL TOTAL D0'!$A$3:$A$1991,'PL TOTAL D0'!$C$3:$C$1991,"")</f>
        <v>85760.24</v>
      </c>
    </row>
    <row r="1054" ht="15.75" customHeight="1">
      <c r="A1054" s="50" t="s">
        <v>24</v>
      </c>
      <c r="B1054" s="191" t="s">
        <v>9190</v>
      </c>
      <c r="C1054" s="94" t="s">
        <v>9191</v>
      </c>
      <c r="D1054" s="81" t="s">
        <v>120</v>
      </c>
      <c r="E1054" s="95" t="s">
        <v>199</v>
      </c>
      <c r="F1054" s="30" t="s">
        <v>332</v>
      </c>
      <c r="G1054" s="47" t="str">
        <f t="shared" si="44"/>
        <v>David</v>
      </c>
      <c r="H1054" s="49" t="s">
        <v>295</v>
      </c>
      <c r="I1054" s="74" t="s">
        <v>756</v>
      </c>
      <c r="J1054" s="47" t="str">
        <f t="shared" si="41"/>
        <v>Não</v>
      </c>
      <c r="K1054" s="97">
        <v>45218.0</v>
      </c>
      <c r="L1054" s="62"/>
      <c r="M1054" s="62" t="s">
        <v>390</v>
      </c>
      <c r="N1054" s="98">
        <v>0.0</v>
      </c>
      <c r="O1054" s="47" t="s">
        <v>66</v>
      </c>
      <c r="P1054" s="99">
        <v>0.0</v>
      </c>
      <c r="Q1054" s="58"/>
      <c r="R1054" s="635"/>
      <c r="S1054" s="62" t="s">
        <v>234</v>
      </c>
      <c r="T1054" s="32" t="s">
        <v>9192</v>
      </c>
      <c r="U1054" s="33">
        <v>5.561991215809E12</v>
      </c>
      <c r="V1054" s="33" t="s">
        <v>9193</v>
      </c>
      <c r="W1054" s="34">
        <v>41078.0</v>
      </c>
      <c r="X1054" s="23" t="s">
        <v>199</v>
      </c>
      <c r="Y1054" s="49" t="str">
        <f t="shared" si="46"/>
        <v>Inativo</v>
      </c>
      <c r="Z1054" s="62"/>
      <c r="AA1054" s="62"/>
      <c r="AB1054" s="64" t="s">
        <v>269</v>
      </c>
      <c r="AC1054" s="79"/>
      <c r="AD1054" s="54">
        <v>45218.0</v>
      </c>
      <c r="AE1054" s="77">
        <v>4.9075100012784E13</v>
      </c>
      <c r="AF1054" s="79"/>
      <c r="AG1054" s="79"/>
      <c r="AH1054" s="79"/>
      <c r="AI1054" s="79"/>
      <c r="AJ1054" s="79"/>
      <c r="AK1054" s="79"/>
      <c r="AL1054" s="79"/>
      <c r="AM1054" s="79"/>
      <c r="AN1054" s="79"/>
      <c r="AO1054" s="79"/>
      <c r="AP1054" s="79"/>
      <c r="AQ1054" s="79"/>
      <c r="AR1054" s="65">
        <v>0.0</v>
      </c>
      <c r="AS1054" s="65">
        <v>0.0</v>
      </c>
      <c r="AT1054" s="65">
        <v>0.0</v>
      </c>
      <c r="AU1054" s="65">
        <v>0.0</v>
      </c>
      <c r="AV1054" s="65">
        <v>0.0</v>
      </c>
      <c r="AW1054" s="65">
        <v>0.0</v>
      </c>
      <c r="AX1054" s="65">
        <v>0.0</v>
      </c>
      <c r="AY1054" s="65">
        <v>0.0</v>
      </c>
      <c r="AZ1054" s="65">
        <v>0.0</v>
      </c>
      <c r="BA1054" s="65">
        <v>0.0</v>
      </c>
      <c r="BB1054" s="65">
        <v>0.0</v>
      </c>
      <c r="BC1054" s="65">
        <v>0.0</v>
      </c>
      <c r="BD1054" s="65">
        <v>0.0</v>
      </c>
      <c r="BE1054" s="65">
        <v>0.0</v>
      </c>
      <c r="BF1054" s="65">
        <v>0.0</v>
      </c>
      <c r="BG1054" s="65">
        <v>0.0</v>
      </c>
      <c r="BH1054" s="65">
        <v>0.0</v>
      </c>
      <c r="BI1054" s="65">
        <v>0.0</v>
      </c>
      <c r="BJ1054" s="65">
        <v>0.0</v>
      </c>
      <c r="BK1054" s="65">
        <v>0.0</v>
      </c>
      <c r="BL1054" s="65">
        <v>0.0</v>
      </c>
      <c r="BM1054" s="65">
        <v>0.0</v>
      </c>
      <c r="BN1054" s="65">
        <v>0.0</v>
      </c>
      <c r="BO1054" s="65">
        <v>0.0</v>
      </c>
      <c r="BP1054" s="65">
        <v>0.0</v>
      </c>
      <c r="BQ1054" s="65">
        <v>0.0</v>
      </c>
      <c r="BR1054" s="65">
        <v>0.0</v>
      </c>
      <c r="BS1054" s="65">
        <v>0.0</v>
      </c>
      <c r="BT1054" s="88">
        <v>0.0</v>
      </c>
      <c r="BU1054" s="65">
        <v>0.0</v>
      </c>
      <c r="BV1054" s="65">
        <v>0.0</v>
      </c>
      <c r="BW1054" s="90">
        <v>0.0</v>
      </c>
      <c r="BX1054" s="90">
        <v>0.0</v>
      </c>
      <c r="BY1054" s="90" t="str">
        <f t="array" ref="BY1054">XLOOKUP(C1054,'PL TOTAL D0'!$A$3:$A$1991,'PL TOTAL D0'!$C$3:$C$1991,"")</f>
        <v/>
      </c>
    </row>
    <row r="1055" ht="15.75" customHeight="1">
      <c r="A1055" s="43" t="s">
        <v>24</v>
      </c>
      <c r="B1055" s="188" t="s">
        <v>9194</v>
      </c>
      <c r="C1055" s="94" t="s">
        <v>9195</v>
      </c>
      <c r="D1055" s="30" t="s">
        <v>120</v>
      </c>
      <c r="E1055" s="22" t="s">
        <v>199</v>
      </c>
      <c r="F1055" s="30" t="s">
        <v>1399</v>
      </c>
      <c r="G1055" s="47" t="str">
        <f t="shared" si="44"/>
        <v>David</v>
      </c>
      <c r="H1055" s="49" t="s">
        <v>224</v>
      </c>
      <c r="I1055" s="49" t="s">
        <v>66</v>
      </c>
      <c r="J1055" s="47" t="str">
        <f>IF(Q1054=0,"Não","Sim")</f>
        <v>Não</v>
      </c>
      <c r="K1055" s="54">
        <v>45385.0</v>
      </c>
      <c r="L1055" s="121">
        <v>45614.0</v>
      </c>
      <c r="M1055" s="32" t="s">
        <v>61</v>
      </c>
      <c r="N1055" s="56">
        <v>0.012</v>
      </c>
      <c r="O1055" s="23" t="s">
        <v>66</v>
      </c>
      <c r="P1055" s="57">
        <v>0.0</v>
      </c>
      <c r="Q1055" s="58"/>
      <c r="R1055" s="635"/>
      <c r="S1055" s="32" t="s">
        <v>194</v>
      </c>
      <c r="T1055" s="22" t="s">
        <v>9196</v>
      </c>
      <c r="U1055" s="33" t="s">
        <v>268</v>
      </c>
      <c r="V1055" s="33"/>
      <c r="W1055" s="33" t="s">
        <v>268</v>
      </c>
      <c r="X1055" s="23" t="s">
        <v>199</v>
      </c>
      <c r="Y1055" s="49" t="str">
        <f t="shared" si="46"/>
        <v>Encerrado</v>
      </c>
      <c r="Z1055" s="62"/>
      <c r="AA1055" s="62"/>
      <c r="AB1055" s="64" t="s">
        <v>269</v>
      </c>
      <c r="AC1055" s="79"/>
      <c r="AD1055" s="54">
        <v>45385.0</v>
      </c>
      <c r="AE1055" s="77">
        <v>4.907510001414E13</v>
      </c>
      <c r="AF1055" s="79"/>
      <c r="AG1055" s="79"/>
      <c r="AH1055" s="79"/>
      <c r="AI1055" s="79"/>
      <c r="AJ1055" s="79"/>
      <c r="AK1055" s="79"/>
      <c r="AL1055" s="79"/>
      <c r="AM1055" s="79"/>
      <c r="AN1055" s="79"/>
      <c r="AO1055" s="79"/>
      <c r="AP1055" s="79"/>
      <c r="AQ1055" s="79"/>
      <c r="AR1055" s="79"/>
      <c r="AS1055" s="79"/>
      <c r="AT1055" s="79"/>
      <c r="AU1055" s="79"/>
      <c r="AV1055" s="65"/>
      <c r="AW1055" s="65"/>
      <c r="AX1055" s="65">
        <v>148083.84</v>
      </c>
      <c r="AY1055" s="65">
        <v>213173.1</v>
      </c>
      <c r="AZ1055" s="65">
        <v>241077.5</v>
      </c>
      <c r="BA1055" s="65">
        <v>247624.0</v>
      </c>
      <c r="BB1055" s="65">
        <v>275685.43</v>
      </c>
      <c r="BC1055" s="65">
        <v>288307.49</v>
      </c>
      <c r="BD1055" s="65">
        <v>0.0</v>
      </c>
      <c r="BE1055" s="65">
        <v>0.0</v>
      </c>
      <c r="BF1055" s="65">
        <v>0.0</v>
      </c>
      <c r="BG1055" s="65">
        <v>0.0</v>
      </c>
      <c r="BH1055" s="65">
        <v>0.0</v>
      </c>
      <c r="BI1055" s="65">
        <v>0.0</v>
      </c>
      <c r="BJ1055" s="65">
        <v>0.0</v>
      </c>
      <c r="BK1055" s="65">
        <v>0.0</v>
      </c>
      <c r="BL1055" s="65">
        <v>0.0</v>
      </c>
      <c r="BM1055" s="65">
        <v>0.0</v>
      </c>
      <c r="BN1055" s="65">
        <v>0.0</v>
      </c>
      <c r="BO1055" s="65">
        <v>0.0</v>
      </c>
      <c r="BP1055" s="65">
        <v>0.0</v>
      </c>
      <c r="BQ1055" s="65">
        <v>0.0</v>
      </c>
      <c r="BR1055" s="65">
        <v>0.0</v>
      </c>
      <c r="BS1055" s="65">
        <v>0.0</v>
      </c>
      <c r="BT1055" s="88">
        <v>0.0</v>
      </c>
      <c r="BU1055" s="65">
        <v>0.0</v>
      </c>
      <c r="BV1055" s="65">
        <v>0.0</v>
      </c>
      <c r="BW1055" s="90">
        <v>0.0</v>
      </c>
      <c r="BX1055" s="90">
        <v>0.0</v>
      </c>
      <c r="BY1055" s="90" t="str">
        <f t="array" ref="BY1055">XLOOKUP(C1055,'PL TOTAL D0'!$A$3:$A$1991,'PL TOTAL D0'!$C$3:$C$1991,"")</f>
        <v/>
      </c>
    </row>
    <row r="1056" ht="15.75" customHeight="1">
      <c r="A1056" s="50" t="s">
        <v>24</v>
      </c>
      <c r="B1056" s="50" t="s">
        <v>7013</v>
      </c>
      <c r="C1056" s="94" t="s">
        <v>9197</v>
      </c>
      <c r="D1056" s="30" t="s">
        <v>89</v>
      </c>
      <c r="E1056" s="95" t="s">
        <v>91</v>
      </c>
      <c r="F1056" s="81" t="s">
        <v>521</v>
      </c>
      <c r="G1056" s="47" t="str">
        <f t="shared" si="44"/>
        <v>David</v>
      </c>
      <c r="H1056" s="49" t="s">
        <v>183</v>
      </c>
      <c r="I1056" s="49" t="s">
        <v>382</v>
      </c>
      <c r="J1056" s="47" t="str">
        <f t="shared" ref="J1056:J1082" si="47">IF(Q1056=0,"Não","Sim")</f>
        <v>Não</v>
      </c>
      <c r="K1056" s="97">
        <v>45159.0</v>
      </c>
      <c r="L1056" s="189"/>
      <c r="M1056" s="62" t="s">
        <v>61</v>
      </c>
      <c r="N1056" s="98">
        <v>0.012</v>
      </c>
      <c r="O1056" s="47" t="s">
        <v>66</v>
      </c>
      <c r="P1056" s="99">
        <v>0.0</v>
      </c>
      <c r="Q1056" s="58"/>
      <c r="R1056" s="928" t="s">
        <v>9198</v>
      </c>
      <c r="S1056" s="62" t="s">
        <v>194</v>
      </c>
      <c r="T1056" s="32" t="s">
        <v>7016</v>
      </c>
      <c r="U1056" s="33">
        <v>4.3991801858E10</v>
      </c>
      <c r="V1056" s="33" t="s">
        <v>9199</v>
      </c>
      <c r="W1056" s="34">
        <v>29498.0</v>
      </c>
      <c r="X1056" s="23" t="s">
        <v>221</v>
      </c>
      <c r="Y1056" s="49" t="str">
        <f t="shared" si="46"/>
        <v>Ativo</v>
      </c>
      <c r="Z1056" s="62"/>
      <c r="AA1056" s="62"/>
      <c r="AB1056" s="64" t="s">
        <v>269</v>
      </c>
      <c r="AC1056" s="79"/>
      <c r="AD1056" s="54">
        <v>45159.0</v>
      </c>
      <c r="AE1056" s="77">
        <v>4.9075100003343E13</v>
      </c>
      <c r="AF1056" s="79"/>
      <c r="AG1056" s="79"/>
      <c r="AH1056" s="79"/>
      <c r="AI1056" s="79"/>
      <c r="AJ1056" s="79"/>
      <c r="AK1056" s="65">
        <v>0.0</v>
      </c>
      <c r="AL1056" s="65">
        <v>0.0</v>
      </c>
      <c r="AM1056" s="65">
        <v>0.0</v>
      </c>
      <c r="AN1056" s="65">
        <v>0.0</v>
      </c>
      <c r="AO1056" s="65">
        <v>0.0</v>
      </c>
      <c r="AP1056" s="65">
        <v>48613.69</v>
      </c>
      <c r="AQ1056" s="65">
        <v>38676.69</v>
      </c>
      <c r="AR1056" s="65">
        <v>0.05</v>
      </c>
      <c r="AS1056" s="65">
        <v>0.05</v>
      </c>
      <c r="AT1056" s="65">
        <v>0.05</v>
      </c>
      <c r="AU1056" s="65">
        <v>0.05</v>
      </c>
      <c r="AV1056" s="65">
        <v>0.16</v>
      </c>
      <c r="AW1056" s="65">
        <v>0.16</v>
      </c>
      <c r="AX1056" s="65">
        <v>0.16</v>
      </c>
      <c r="AY1056" s="65">
        <v>0.16</v>
      </c>
      <c r="AZ1056" s="65">
        <v>0.16</v>
      </c>
      <c r="BA1056" s="65">
        <v>0.16</v>
      </c>
      <c r="BB1056" s="65">
        <v>0.16</v>
      </c>
      <c r="BC1056" s="65">
        <v>6306.29</v>
      </c>
      <c r="BD1056" s="65">
        <v>6364.88</v>
      </c>
      <c r="BE1056" s="65">
        <v>6387.77</v>
      </c>
      <c r="BF1056" s="65">
        <v>6438.96</v>
      </c>
      <c r="BG1056" s="65">
        <v>0.33</v>
      </c>
      <c r="BH1056" s="65">
        <v>0.39</v>
      </c>
      <c r="BI1056" s="65">
        <v>0.39</v>
      </c>
      <c r="BJ1056" s="65">
        <v>0.0</v>
      </c>
      <c r="BK1056" s="65">
        <v>0.0</v>
      </c>
      <c r="BL1056" s="65">
        <v>0.0</v>
      </c>
      <c r="BM1056" s="65">
        <v>0.0</v>
      </c>
      <c r="BN1056" s="65">
        <v>0.0</v>
      </c>
      <c r="BO1056" s="65">
        <v>0.0</v>
      </c>
      <c r="BP1056" s="65">
        <v>0.0</v>
      </c>
      <c r="BQ1056" s="65">
        <v>0.0</v>
      </c>
      <c r="BR1056" s="65">
        <v>0.0</v>
      </c>
      <c r="BS1056" s="65">
        <v>0.0</v>
      </c>
      <c r="BT1056" s="88">
        <v>0.0</v>
      </c>
      <c r="BU1056" s="65">
        <v>0.0</v>
      </c>
      <c r="BV1056" s="65">
        <v>0.0</v>
      </c>
      <c r="BW1056" s="90">
        <v>0.0</v>
      </c>
      <c r="BX1056" s="90">
        <v>0.0</v>
      </c>
      <c r="BY1056" s="90" t="str">
        <f t="array" ref="BY1056">XLOOKUP(C1056,'PL TOTAL D0'!$A$3:$A$1991,'PL TOTAL D0'!$C$3:$C$1991,"")</f>
        <v/>
      </c>
    </row>
    <row r="1057" ht="15.75" customHeight="1">
      <c r="A1057" s="50" t="s">
        <v>24</v>
      </c>
      <c r="B1057" s="50" t="s">
        <v>9200</v>
      </c>
      <c r="C1057" s="94" t="s">
        <v>9201</v>
      </c>
      <c r="D1057" s="81" t="s">
        <v>120</v>
      </c>
      <c r="E1057" s="95" t="s">
        <v>199</v>
      </c>
      <c r="F1057" s="30" t="s">
        <v>332</v>
      </c>
      <c r="G1057" s="47" t="str">
        <f t="shared" si="44"/>
        <v>David</v>
      </c>
      <c r="H1057" s="74" t="s">
        <v>295</v>
      </c>
      <c r="I1057" s="49" t="s">
        <v>756</v>
      </c>
      <c r="J1057" s="47" t="str">
        <f t="shared" si="47"/>
        <v>Não</v>
      </c>
      <c r="K1057" s="97">
        <v>45159.0</v>
      </c>
      <c r="L1057" s="189"/>
      <c r="M1057" s="62" t="s">
        <v>390</v>
      </c>
      <c r="N1057" s="98">
        <v>0.0</v>
      </c>
      <c r="O1057" s="47" t="s">
        <v>66</v>
      </c>
      <c r="P1057" s="99">
        <v>0.0</v>
      </c>
      <c r="Q1057" s="58"/>
      <c r="R1057" s="929" t="s">
        <v>9202</v>
      </c>
      <c r="S1057" s="62" t="s">
        <v>234</v>
      </c>
      <c r="T1057" s="32" t="s">
        <v>9203</v>
      </c>
      <c r="U1057" s="33">
        <v>5.561981212666E12</v>
      </c>
      <c r="V1057" s="33" t="s">
        <v>4882</v>
      </c>
      <c r="W1057" s="34">
        <v>44313.0</v>
      </c>
      <c r="X1057" s="23" t="s">
        <v>199</v>
      </c>
      <c r="Y1057" s="49" t="str">
        <f t="shared" si="46"/>
        <v>Inativo</v>
      </c>
      <c r="Z1057" s="62"/>
      <c r="AA1057" s="62"/>
      <c r="AB1057" s="64" t="s">
        <v>269</v>
      </c>
      <c r="AC1057" s="79"/>
      <c r="AD1057" s="54">
        <v>45159.0</v>
      </c>
      <c r="AE1057" s="77">
        <v>4.9075100011907E13</v>
      </c>
      <c r="AF1057" s="79"/>
      <c r="AG1057" s="79"/>
      <c r="AH1057" s="79"/>
      <c r="AI1057" s="79"/>
      <c r="AJ1057" s="79"/>
      <c r="AK1057" s="79"/>
      <c r="AL1057" s="79"/>
      <c r="AM1057" s="79"/>
      <c r="AN1057" s="79"/>
      <c r="AO1057" s="65">
        <v>0.0</v>
      </c>
      <c r="AP1057" s="65">
        <v>0.0</v>
      </c>
      <c r="AQ1057" s="65">
        <v>0.0</v>
      </c>
      <c r="AR1057" s="65">
        <v>0.0</v>
      </c>
      <c r="AS1057" s="65">
        <v>0.0</v>
      </c>
      <c r="AT1057" s="65">
        <v>0.0</v>
      </c>
      <c r="AU1057" s="65">
        <v>0.0</v>
      </c>
      <c r="AV1057" s="65">
        <v>0.0</v>
      </c>
      <c r="AW1057" s="65">
        <v>0.0</v>
      </c>
      <c r="AX1057" s="65">
        <v>0.0</v>
      </c>
      <c r="AY1057" s="65">
        <v>0.0</v>
      </c>
      <c r="AZ1057" s="65">
        <v>0.0</v>
      </c>
      <c r="BA1057" s="65">
        <v>0.0</v>
      </c>
      <c r="BB1057" s="65">
        <v>0.0</v>
      </c>
      <c r="BC1057" s="65">
        <v>0.0</v>
      </c>
      <c r="BD1057" s="65">
        <v>0.0</v>
      </c>
      <c r="BE1057" s="65">
        <v>0.0</v>
      </c>
      <c r="BF1057" s="65">
        <v>0.0</v>
      </c>
      <c r="BG1057" s="65">
        <v>0.0</v>
      </c>
      <c r="BH1057" s="65">
        <v>0.0</v>
      </c>
      <c r="BI1057" s="65">
        <v>0.0</v>
      </c>
      <c r="BJ1057" s="65">
        <v>0.0</v>
      </c>
      <c r="BK1057" s="65">
        <v>0.0</v>
      </c>
      <c r="BL1057" s="65">
        <v>0.0</v>
      </c>
      <c r="BM1057" s="65">
        <v>0.0</v>
      </c>
      <c r="BN1057" s="65">
        <v>0.0</v>
      </c>
      <c r="BO1057" s="65">
        <v>0.0</v>
      </c>
      <c r="BP1057" s="65">
        <v>0.0</v>
      </c>
      <c r="BQ1057" s="65">
        <v>0.0</v>
      </c>
      <c r="BR1057" s="65">
        <v>0.0</v>
      </c>
      <c r="BS1057" s="65">
        <v>0.0</v>
      </c>
      <c r="BT1057" s="88">
        <v>0.0</v>
      </c>
      <c r="BU1057" s="65">
        <v>0.0</v>
      </c>
      <c r="BV1057" s="65">
        <v>0.0</v>
      </c>
      <c r="BW1057" s="90">
        <v>0.0</v>
      </c>
      <c r="BX1057" s="90">
        <v>0.0</v>
      </c>
      <c r="BY1057" s="90" t="str">
        <f t="array" ref="BY1057">XLOOKUP(C1057,'PL TOTAL D0'!$A$3:$A$1991,'PL TOTAL D0'!$C$3:$C$1991,"")</f>
        <v/>
      </c>
    </row>
    <row r="1058" ht="15.75" customHeight="1">
      <c r="A1058" s="50" t="s">
        <v>24</v>
      </c>
      <c r="B1058" s="43" t="s">
        <v>9204</v>
      </c>
      <c r="C1058" s="94" t="s">
        <v>9205</v>
      </c>
      <c r="D1058" s="30" t="s">
        <v>1664</v>
      </c>
      <c r="E1058" s="22" t="s">
        <v>54</v>
      </c>
      <c r="F1058" s="30" t="s">
        <v>1667</v>
      </c>
      <c r="G1058" s="47" t="str">
        <f t="shared" si="44"/>
        <v>David</v>
      </c>
      <c r="H1058" s="49" t="s">
        <v>224</v>
      </c>
      <c r="I1058" s="49" t="s">
        <v>66</v>
      </c>
      <c r="J1058" s="47" t="str">
        <f t="shared" si="47"/>
        <v>Não</v>
      </c>
      <c r="K1058" s="54">
        <v>45551.0</v>
      </c>
      <c r="L1058" s="186">
        <v>45980.0</v>
      </c>
      <c r="M1058" s="32" t="s">
        <v>61</v>
      </c>
      <c r="N1058" s="56">
        <v>0.012</v>
      </c>
      <c r="O1058" s="23" t="s">
        <v>66</v>
      </c>
      <c r="P1058" s="57">
        <v>0.0</v>
      </c>
      <c r="Q1058" s="58"/>
      <c r="R1058" s="195" t="s">
        <v>9206</v>
      </c>
      <c r="S1058" s="32" t="s">
        <v>234</v>
      </c>
      <c r="T1058" s="32" t="s">
        <v>9207</v>
      </c>
      <c r="U1058" s="33" t="s">
        <v>268</v>
      </c>
      <c r="V1058" s="33"/>
      <c r="W1058" s="33" t="s">
        <v>268</v>
      </c>
      <c r="X1058" s="23" t="s">
        <v>475</v>
      </c>
      <c r="Y1058" s="49" t="str">
        <f t="shared" si="46"/>
        <v>Encerrado</v>
      </c>
      <c r="Z1058" s="62"/>
      <c r="AA1058" s="32" t="s">
        <v>107</v>
      </c>
      <c r="AB1058" s="64"/>
      <c r="AC1058" s="79"/>
      <c r="AD1058" s="54">
        <v>45551.0</v>
      </c>
      <c r="AE1058" s="77">
        <v>4.9075100015805E13</v>
      </c>
      <c r="AF1058" s="79"/>
      <c r="AG1058" s="79"/>
      <c r="AH1058" s="79"/>
      <c r="AI1058" s="79"/>
      <c r="AJ1058" s="79"/>
      <c r="AK1058" s="79"/>
      <c r="AL1058" s="79"/>
      <c r="AM1058" s="79"/>
      <c r="AN1058" s="79"/>
      <c r="AO1058" s="65"/>
      <c r="AP1058" s="65"/>
      <c r="AQ1058" s="65"/>
      <c r="AR1058" s="65"/>
      <c r="AS1058" s="65"/>
      <c r="AT1058" s="65"/>
      <c r="AU1058" s="65"/>
      <c r="AV1058" s="65"/>
      <c r="AW1058" s="65"/>
      <c r="AX1058" s="65"/>
      <c r="AY1058" s="65"/>
      <c r="AZ1058" s="65"/>
      <c r="BA1058" s="65"/>
      <c r="BB1058" s="65"/>
      <c r="BC1058" s="65">
        <v>133067.92</v>
      </c>
      <c r="BD1058" s="65">
        <v>206870.52</v>
      </c>
      <c r="BE1058" s="65">
        <v>208071.75</v>
      </c>
      <c r="BF1058" s="65">
        <v>208408.78</v>
      </c>
      <c r="BG1058" s="65">
        <v>209655.35</v>
      </c>
      <c r="BH1058" s="65">
        <v>211504.25</v>
      </c>
      <c r="BI1058" s="65">
        <v>213527.5</v>
      </c>
      <c r="BJ1058" s="65">
        <v>215470.91</v>
      </c>
      <c r="BK1058" s="65">
        <v>217202.96</v>
      </c>
      <c r="BL1058" s="65">
        <v>218735.79</v>
      </c>
      <c r="BM1058" s="65">
        <v>0.0</v>
      </c>
      <c r="BN1058" s="65">
        <v>0.0</v>
      </c>
      <c r="BO1058" s="65">
        <v>0.0</v>
      </c>
      <c r="BP1058" s="65">
        <v>0.0</v>
      </c>
      <c r="BQ1058" s="65">
        <v>0.0</v>
      </c>
      <c r="BR1058" s="65">
        <v>0.0</v>
      </c>
      <c r="BS1058" s="65">
        <v>0.0</v>
      </c>
      <c r="BT1058" s="88">
        <v>0.0</v>
      </c>
      <c r="BU1058" s="65">
        <v>0.0</v>
      </c>
      <c r="BV1058" s="65">
        <v>0.0</v>
      </c>
      <c r="BW1058" s="90">
        <v>0.0</v>
      </c>
      <c r="BX1058" s="90">
        <v>0.0</v>
      </c>
      <c r="BY1058" s="90" t="str">
        <f t="array" ref="BY1058">XLOOKUP(C1058,'PL TOTAL D0'!$A$3:$A$1991,'PL TOTAL D0'!$C$3:$C$1991,"")</f>
        <v/>
      </c>
    </row>
    <row r="1059" ht="15.75" customHeight="1">
      <c r="A1059" s="50" t="s">
        <v>24</v>
      </c>
      <c r="B1059" s="43" t="s">
        <v>9208</v>
      </c>
      <c r="C1059" s="94" t="s">
        <v>9209</v>
      </c>
      <c r="D1059" s="81" t="s">
        <v>120</v>
      </c>
      <c r="E1059" s="95" t="s">
        <v>54</v>
      </c>
      <c r="F1059" s="81" t="s">
        <v>348</v>
      </c>
      <c r="G1059" s="47" t="str">
        <f t="shared" si="44"/>
        <v>David</v>
      </c>
      <c r="H1059" s="49" t="s">
        <v>224</v>
      </c>
      <c r="I1059" s="49" t="s">
        <v>66</v>
      </c>
      <c r="J1059" s="47" t="str">
        <f t="shared" si="47"/>
        <v>Não</v>
      </c>
      <c r="K1059" s="97">
        <v>44951.0</v>
      </c>
      <c r="L1059" s="55">
        <v>45937.0</v>
      </c>
      <c r="M1059" s="62" t="s">
        <v>61</v>
      </c>
      <c r="N1059" s="98">
        <v>0.012</v>
      </c>
      <c r="O1059" s="47" t="s">
        <v>66</v>
      </c>
      <c r="P1059" s="99">
        <v>0.0</v>
      </c>
      <c r="Q1059" s="58"/>
      <c r="R1059" s="58" t="s">
        <v>9210</v>
      </c>
      <c r="S1059" s="62" t="s">
        <v>194</v>
      </c>
      <c r="T1059" s="32" t="s">
        <v>7127</v>
      </c>
      <c r="U1059" s="33" t="s">
        <v>268</v>
      </c>
      <c r="V1059" s="33"/>
      <c r="W1059" s="33" t="s">
        <v>268</v>
      </c>
      <c r="X1059" s="23" t="s">
        <v>54</v>
      </c>
      <c r="Y1059" s="49" t="str">
        <f t="shared" si="46"/>
        <v>Encerrado</v>
      </c>
      <c r="Z1059" s="62"/>
      <c r="AA1059" s="62"/>
      <c r="AB1059" s="64" t="s">
        <v>269</v>
      </c>
      <c r="AC1059" s="79"/>
      <c r="AD1059" s="54">
        <v>44951.0</v>
      </c>
      <c r="AE1059" s="77">
        <v>4.9075100006334E13</v>
      </c>
      <c r="AF1059" s="79"/>
      <c r="AG1059" s="79"/>
      <c r="AH1059" s="79"/>
      <c r="AI1059" s="65">
        <v>640201.03</v>
      </c>
      <c r="AJ1059" s="65">
        <v>841947.6</v>
      </c>
      <c r="AK1059" s="65">
        <v>851371.63</v>
      </c>
      <c r="AL1059" s="65">
        <v>857106.85</v>
      </c>
      <c r="AM1059" s="65">
        <v>820233.94</v>
      </c>
      <c r="AN1059" s="65">
        <v>782725.41</v>
      </c>
      <c r="AO1059" s="65">
        <v>788355.82</v>
      </c>
      <c r="AP1059" s="65">
        <v>815467.53</v>
      </c>
      <c r="AQ1059" s="65">
        <v>821280.09</v>
      </c>
      <c r="AR1059" s="65">
        <v>827608.99</v>
      </c>
      <c r="AS1059" s="65">
        <v>833741.49</v>
      </c>
      <c r="AT1059" s="65">
        <v>855396.58</v>
      </c>
      <c r="AU1059" s="65">
        <v>862753.85</v>
      </c>
      <c r="AV1059" s="65">
        <v>969583.34</v>
      </c>
      <c r="AW1059" s="65">
        <v>978638.13</v>
      </c>
      <c r="AX1059" s="65">
        <v>986443.11</v>
      </c>
      <c r="AY1059" s="65">
        <v>989632.5</v>
      </c>
      <c r="AZ1059" s="65">
        <v>1067985.0</v>
      </c>
      <c r="BA1059" s="65">
        <v>1072986.0</v>
      </c>
      <c r="BB1059" s="65">
        <v>1049223.49</v>
      </c>
      <c r="BC1059" s="65">
        <v>1054587.16</v>
      </c>
      <c r="BD1059" s="65">
        <v>1043824.94</v>
      </c>
      <c r="BE1059" s="65">
        <v>1051708.63</v>
      </c>
      <c r="BF1059" s="65">
        <v>1058165.63</v>
      </c>
      <c r="BG1059" s="65">
        <v>1068443.1</v>
      </c>
      <c r="BH1059" s="65">
        <v>1078034.77</v>
      </c>
      <c r="BI1059" s="65">
        <v>1078768.57</v>
      </c>
      <c r="BJ1059" s="65">
        <v>1450204.7</v>
      </c>
      <c r="BK1059" s="65">
        <v>1462990.16</v>
      </c>
      <c r="BL1059" s="65">
        <v>1458308.82</v>
      </c>
      <c r="BM1059" s="65">
        <v>0.0</v>
      </c>
      <c r="BN1059" s="65">
        <v>0.0</v>
      </c>
      <c r="BO1059" s="65">
        <v>0.0</v>
      </c>
      <c r="BP1059" s="65">
        <v>0.0</v>
      </c>
      <c r="BQ1059" s="65">
        <v>0.0</v>
      </c>
      <c r="BR1059" s="65">
        <v>0.0</v>
      </c>
      <c r="BS1059" s="65">
        <v>0.0</v>
      </c>
      <c r="BT1059" s="88">
        <v>0.0</v>
      </c>
      <c r="BU1059" s="65">
        <v>0.0</v>
      </c>
      <c r="BV1059" s="65">
        <v>0.0</v>
      </c>
      <c r="BW1059" s="90">
        <v>0.0</v>
      </c>
      <c r="BX1059" s="90">
        <v>0.0</v>
      </c>
      <c r="BY1059" s="90" t="str">
        <f t="array" ref="BY1059">XLOOKUP(C1059,'PL TOTAL D0'!$A$3:$A$1991,'PL TOTAL D0'!$C$3:$C$1991,"")</f>
        <v/>
      </c>
    </row>
    <row r="1060" ht="15.75" customHeight="1">
      <c r="A1060" s="50" t="s">
        <v>24</v>
      </c>
      <c r="B1060" s="457" t="s">
        <v>9211</v>
      </c>
      <c r="C1060" s="94" t="s">
        <v>9212</v>
      </c>
      <c r="D1060" s="30" t="s">
        <v>89</v>
      </c>
      <c r="E1060" s="95" t="s">
        <v>91</v>
      </c>
      <c r="F1060" s="81" t="s">
        <v>193</v>
      </c>
      <c r="G1060" s="47" t="str">
        <f t="shared" si="44"/>
        <v>David</v>
      </c>
      <c r="H1060" s="74" t="s">
        <v>183</v>
      </c>
      <c r="I1060" s="74" t="s">
        <v>66</v>
      </c>
      <c r="J1060" s="47" t="str">
        <f t="shared" si="47"/>
        <v>Sim</v>
      </c>
      <c r="K1060" s="97">
        <v>45075.0</v>
      </c>
      <c r="L1060" s="62"/>
      <c r="M1060" s="62" t="s">
        <v>61</v>
      </c>
      <c r="N1060" s="98">
        <v>0.012</v>
      </c>
      <c r="O1060" s="47" t="s">
        <v>66</v>
      </c>
      <c r="P1060" s="99">
        <v>0.0</v>
      </c>
      <c r="Q1060" s="58" t="s">
        <v>9213</v>
      </c>
      <c r="R1060" s="635"/>
      <c r="S1060" s="62" t="s">
        <v>194</v>
      </c>
      <c r="T1060" s="32" t="s">
        <v>1495</v>
      </c>
      <c r="U1060" s="33">
        <v>5.543991617307E12</v>
      </c>
      <c r="V1060" s="33" t="s">
        <v>8402</v>
      </c>
      <c r="W1060" s="34">
        <v>19139.0</v>
      </c>
      <c r="X1060" s="23" t="s">
        <v>221</v>
      </c>
      <c r="Y1060" s="49" t="str">
        <f t="shared" si="46"/>
        <v>Ativo</v>
      </c>
      <c r="Z1060" s="62"/>
      <c r="AA1060" s="62"/>
      <c r="AB1060" s="64" t="s">
        <v>269</v>
      </c>
      <c r="AC1060" s="79"/>
      <c r="AD1060" s="54">
        <v>45075.0</v>
      </c>
      <c r="AE1060" s="77">
        <v>4.9075100007896E13</v>
      </c>
      <c r="AF1060" s="79"/>
      <c r="AG1060" s="79"/>
      <c r="AH1060" s="79"/>
      <c r="AI1060" s="79"/>
      <c r="AJ1060" s="79"/>
      <c r="AK1060" s="65">
        <v>0.0</v>
      </c>
      <c r="AL1060" s="65">
        <v>0.0</v>
      </c>
      <c r="AM1060" s="65">
        <v>357473.9</v>
      </c>
      <c r="AN1060" s="65">
        <v>352698.01</v>
      </c>
      <c r="AO1060" s="65">
        <v>342580.44</v>
      </c>
      <c r="AP1060" s="65">
        <v>333648.49</v>
      </c>
      <c r="AQ1060" s="65">
        <v>323131.19</v>
      </c>
      <c r="AR1060" s="65">
        <v>312639.69</v>
      </c>
      <c r="AS1060" s="65">
        <v>315737.75</v>
      </c>
      <c r="AT1060" s="65">
        <v>306187.49</v>
      </c>
      <c r="AU1060" s="65">
        <v>292129.58</v>
      </c>
      <c r="AV1060" s="65">
        <v>283839.87</v>
      </c>
      <c r="AW1060" s="65">
        <v>273707.75</v>
      </c>
      <c r="AX1060" s="65">
        <v>250411.36</v>
      </c>
      <c r="AY1060" s="65">
        <v>240760.1</v>
      </c>
      <c r="AZ1060" s="65">
        <v>231413.5</v>
      </c>
      <c r="BA1060" s="65">
        <v>221732.7</v>
      </c>
      <c r="BB1060" s="65">
        <v>202187.39</v>
      </c>
      <c r="BC1060" s="65">
        <v>189981.73</v>
      </c>
      <c r="BD1060" s="65">
        <v>180637.11</v>
      </c>
      <c r="BE1060" s="65">
        <v>170706.28</v>
      </c>
      <c r="BF1060" s="65">
        <v>144784.67</v>
      </c>
      <c r="BG1060" s="65">
        <v>134837.37</v>
      </c>
      <c r="BH1060" s="65">
        <v>123919.79</v>
      </c>
      <c r="BI1060" s="65">
        <v>112991.54</v>
      </c>
      <c r="BJ1060" s="65">
        <v>101469.66</v>
      </c>
      <c r="BK1060" s="65">
        <v>79861.85</v>
      </c>
      <c r="BL1060" s="65">
        <v>122163.25</v>
      </c>
      <c r="BM1060" s="65">
        <v>58774.02</v>
      </c>
      <c r="BN1060" s="65">
        <v>50020.92</v>
      </c>
      <c r="BO1060" s="65">
        <v>32266.31</v>
      </c>
      <c r="BP1060" s="65">
        <v>84757.85</v>
      </c>
      <c r="BQ1060" s="65">
        <v>66149.08</v>
      </c>
      <c r="BR1060" s="65">
        <v>50384.62</v>
      </c>
      <c r="BS1060" s="65">
        <v>40270.82</v>
      </c>
      <c r="BT1060" s="88">
        <v>30297.54</v>
      </c>
      <c r="BU1060" s="65">
        <v>19853.63</v>
      </c>
      <c r="BV1060" s="65">
        <v>10026.5</v>
      </c>
      <c r="BW1060" s="90">
        <v>4807.77</v>
      </c>
      <c r="BX1060" s="90">
        <v>530.65</v>
      </c>
      <c r="BY1060" s="90" t="str">
        <f t="array" ref="BY1060">XLOOKUP(C1060,'PL TOTAL D0'!$A$3:$A$1991,'PL TOTAL D0'!$C$3:$C$1991,"")</f>
        <v/>
      </c>
    </row>
    <row r="1061" ht="15.75" customHeight="1">
      <c r="A1061" s="43" t="s">
        <v>24</v>
      </c>
      <c r="B1061" s="43" t="s">
        <v>9214</v>
      </c>
      <c r="C1061" s="94" t="s">
        <v>9215</v>
      </c>
      <c r="D1061" s="30" t="s">
        <v>120</v>
      </c>
      <c r="E1061" s="22" t="s">
        <v>199</v>
      </c>
      <c r="F1061" s="30" t="s">
        <v>290</v>
      </c>
      <c r="G1061" s="47" t="str">
        <f t="shared" si="44"/>
        <v>David</v>
      </c>
      <c r="H1061" s="49" t="s">
        <v>183</v>
      </c>
      <c r="I1061" s="49" t="s">
        <v>66</v>
      </c>
      <c r="J1061" s="47" t="str">
        <f t="shared" si="47"/>
        <v>Não</v>
      </c>
      <c r="K1061" s="54">
        <v>45308.0</v>
      </c>
      <c r="L1061" s="62"/>
      <c r="M1061" s="32" t="s">
        <v>390</v>
      </c>
      <c r="N1061" s="56">
        <v>0.0</v>
      </c>
      <c r="O1061" s="23" t="s">
        <v>66</v>
      </c>
      <c r="P1061" s="57">
        <v>0.0</v>
      </c>
      <c r="Q1061" s="58"/>
      <c r="R1061" s="635"/>
      <c r="S1061" s="32" t="s">
        <v>194</v>
      </c>
      <c r="T1061" s="32" t="s">
        <v>9216</v>
      </c>
      <c r="U1061" s="33">
        <v>5.561999889668E12</v>
      </c>
      <c r="V1061" s="33" t="s">
        <v>9217</v>
      </c>
      <c r="W1061" s="48">
        <v>39372.0</v>
      </c>
      <c r="X1061" s="23" t="s">
        <v>199</v>
      </c>
      <c r="Y1061" s="49" t="str">
        <f t="shared" si="46"/>
        <v>Ativo</v>
      </c>
      <c r="Z1061" s="62"/>
      <c r="AA1061" s="62"/>
      <c r="AB1061" s="64" t="s">
        <v>269</v>
      </c>
      <c r="AC1061" s="79"/>
      <c r="AD1061" s="54">
        <v>45308.0</v>
      </c>
      <c r="AE1061" s="77">
        <v>4.9075100013233E13</v>
      </c>
      <c r="AF1061" s="79"/>
      <c r="AG1061" s="79"/>
      <c r="AH1061" s="79"/>
      <c r="AI1061" s="79"/>
      <c r="AJ1061" s="79"/>
      <c r="AK1061" s="79"/>
      <c r="AL1061" s="79"/>
      <c r="AM1061" s="79"/>
      <c r="AN1061" s="79"/>
      <c r="AO1061" s="79"/>
      <c r="AP1061" s="79"/>
      <c r="AQ1061" s="79"/>
      <c r="AR1061" s="79"/>
      <c r="AS1061" s="79"/>
      <c r="AT1061" s="79"/>
      <c r="AU1061" s="65">
        <v>995.42</v>
      </c>
      <c r="AV1061" s="65">
        <v>1299.02</v>
      </c>
      <c r="AW1061" s="65">
        <v>1301.52</v>
      </c>
      <c r="AX1061" s="65">
        <v>1296.73</v>
      </c>
      <c r="AY1061" s="65">
        <v>1303.74</v>
      </c>
      <c r="AZ1061" s="65">
        <v>1300.2</v>
      </c>
      <c r="BA1061" s="65">
        <v>1318.89</v>
      </c>
      <c r="BB1061" s="65">
        <v>1336.02</v>
      </c>
      <c r="BC1061" s="65">
        <v>1347.13</v>
      </c>
      <c r="BD1061" s="65">
        <v>1359.65</v>
      </c>
      <c r="BE1061" s="65">
        <v>1362.77</v>
      </c>
      <c r="BF1061" s="65">
        <v>1375.17</v>
      </c>
      <c r="BG1061" s="65">
        <v>1389.3</v>
      </c>
      <c r="BH1061" s="65">
        <v>1402.86</v>
      </c>
      <c r="BI1061" s="65">
        <v>1416.2</v>
      </c>
      <c r="BJ1061" s="65">
        <v>1430.96</v>
      </c>
      <c r="BK1061" s="65">
        <v>1434.59</v>
      </c>
      <c r="BL1061" s="65">
        <v>1450.21</v>
      </c>
      <c r="BM1061" s="65">
        <v>1468.63</v>
      </c>
      <c r="BN1061" s="65">
        <v>1485.58</v>
      </c>
      <c r="BO1061" s="65">
        <v>1502.75</v>
      </c>
      <c r="BP1061" s="65">
        <v>1710.88</v>
      </c>
      <c r="BQ1061" s="65">
        <v>1713.66</v>
      </c>
      <c r="BR1061" s="65">
        <v>1731.67</v>
      </c>
      <c r="BS1061" s="65">
        <v>1751.72</v>
      </c>
      <c r="BT1061" s="88">
        <v>2304.64</v>
      </c>
      <c r="BU1061" s="65">
        <v>2242.66</v>
      </c>
      <c r="BV1061" s="65">
        <v>3894.29</v>
      </c>
      <c r="BW1061" s="90">
        <v>3114.91</v>
      </c>
      <c r="BX1061" s="90">
        <v>3254.84</v>
      </c>
      <c r="BY1061" s="90" t="str">
        <f t="array" ref="BY1061">XLOOKUP(C1061,'PL TOTAL D0'!$A$3:$A$1991,'PL TOTAL D0'!$C$3:$C$1991,"")</f>
        <v/>
      </c>
    </row>
    <row r="1062" ht="15.75" customHeight="1">
      <c r="A1062" s="50" t="s">
        <v>24</v>
      </c>
      <c r="B1062" s="249" t="s">
        <v>7038</v>
      </c>
      <c r="C1062" s="94" t="s">
        <v>3375</v>
      </c>
      <c r="D1062" s="30" t="s">
        <v>89</v>
      </c>
      <c r="E1062" s="95" t="s">
        <v>91</v>
      </c>
      <c r="F1062" s="81" t="s">
        <v>193</v>
      </c>
      <c r="G1062" s="47" t="str">
        <f t="shared" si="44"/>
        <v>David</v>
      </c>
      <c r="H1062" s="74" t="s">
        <v>183</v>
      </c>
      <c r="I1062" s="74" t="s">
        <v>66</v>
      </c>
      <c r="J1062" s="47" t="str">
        <f t="shared" si="47"/>
        <v>Sim</v>
      </c>
      <c r="K1062" s="97">
        <v>44928.0</v>
      </c>
      <c r="L1062" s="62"/>
      <c r="M1062" s="62" t="s">
        <v>231</v>
      </c>
      <c r="N1062" s="98">
        <v>0.025</v>
      </c>
      <c r="O1062" s="23" t="s">
        <v>233</v>
      </c>
      <c r="P1062" s="99">
        <v>0.2</v>
      </c>
      <c r="Q1062" s="58" t="s">
        <v>9218</v>
      </c>
      <c r="R1062" s="635"/>
      <c r="S1062" s="62" t="s">
        <v>194</v>
      </c>
      <c r="T1062" s="32" t="s">
        <v>7040</v>
      </c>
      <c r="U1062" s="33">
        <v>6.9999363277E10</v>
      </c>
      <c r="V1062" s="33" t="s">
        <v>9219</v>
      </c>
      <c r="W1062" s="34">
        <v>34789.0</v>
      </c>
      <c r="X1062" s="23" t="s">
        <v>516</v>
      </c>
      <c r="Y1062" s="49" t="str">
        <f t="shared" si="46"/>
        <v>Ativo</v>
      </c>
      <c r="Z1062" s="62"/>
      <c r="AA1062" s="62"/>
      <c r="AB1062" s="64" t="s">
        <v>269</v>
      </c>
      <c r="AC1062" s="79"/>
      <c r="AD1062" s="54">
        <v>44928.0</v>
      </c>
      <c r="AE1062" s="77">
        <v>4.9075100006342E13</v>
      </c>
      <c r="AF1062" s="79"/>
      <c r="AG1062" s="79"/>
      <c r="AH1062" s="79"/>
      <c r="AI1062" s="65">
        <v>2.06</v>
      </c>
      <c r="AJ1062" s="65">
        <v>2.06</v>
      </c>
      <c r="AK1062" s="65">
        <v>4226.53</v>
      </c>
      <c r="AL1062" s="65">
        <v>38153.64</v>
      </c>
      <c r="AM1062" s="65">
        <v>125151.44</v>
      </c>
      <c r="AN1062" s="65">
        <v>123140.07</v>
      </c>
      <c r="AO1062" s="65">
        <v>119855.66</v>
      </c>
      <c r="AP1062" s="65">
        <v>125631.62</v>
      </c>
      <c r="AQ1062" s="65">
        <v>130795.52</v>
      </c>
      <c r="AR1062" s="65">
        <v>122488.33</v>
      </c>
      <c r="AS1062" s="65">
        <v>131490.15</v>
      </c>
      <c r="AT1062" s="65">
        <v>137780.79</v>
      </c>
      <c r="AU1062" s="65">
        <v>111871.11</v>
      </c>
      <c r="AV1062" s="65">
        <v>107340.63</v>
      </c>
      <c r="AW1062" s="65">
        <v>109137.66</v>
      </c>
      <c r="AX1062" s="65">
        <v>104504.09</v>
      </c>
      <c r="AY1062" s="65">
        <v>101336.4</v>
      </c>
      <c r="AZ1062" s="65">
        <v>101500.5</v>
      </c>
      <c r="BA1062" s="65">
        <v>104235.5</v>
      </c>
      <c r="BB1062" s="65">
        <v>106412.59</v>
      </c>
      <c r="BC1062" s="65">
        <v>100223.84</v>
      </c>
      <c r="BD1062" s="65">
        <v>95713.36</v>
      </c>
      <c r="BE1062" s="65">
        <v>92271.71</v>
      </c>
      <c r="BF1062" s="65">
        <v>70396.15</v>
      </c>
      <c r="BG1062" s="65">
        <v>72414.97</v>
      </c>
      <c r="BH1062" s="65">
        <v>73095.77</v>
      </c>
      <c r="BI1062" s="65">
        <v>74664.46</v>
      </c>
      <c r="BJ1062" s="65">
        <v>77970.05</v>
      </c>
      <c r="BK1062" s="65">
        <v>81276.55</v>
      </c>
      <c r="BL1062" s="65">
        <v>82509.58</v>
      </c>
      <c r="BM1062" s="65">
        <v>80704.19</v>
      </c>
      <c r="BN1062" s="65">
        <v>82904.77</v>
      </c>
      <c r="BO1062" s="65">
        <v>85027.28</v>
      </c>
      <c r="BP1062" s="65">
        <v>86523.36</v>
      </c>
      <c r="BQ1062" s="65">
        <v>90889.6</v>
      </c>
      <c r="BR1062" s="65">
        <v>89220.19</v>
      </c>
      <c r="BS1062" s="65">
        <v>231231.06</v>
      </c>
      <c r="BT1062" s="88">
        <v>213654.1</v>
      </c>
      <c r="BU1062" s="65">
        <v>139997.9</v>
      </c>
      <c r="BV1062" s="65">
        <v>120004.3</v>
      </c>
      <c r="BW1062" s="90">
        <v>104787.5</v>
      </c>
      <c r="BX1062" s="90">
        <v>82803.49</v>
      </c>
      <c r="BY1062" s="90">
        <f t="array" ref="BY1062">XLOOKUP(C1062,'PL TOTAL D0'!$A$3:$A$1991,'PL TOTAL D0'!$C$3:$C$1991,"")</f>
        <v>77906.31</v>
      </c>
    </row>
    <row r="1063" ht="15.75" customHeight="1">
      <c r="A1063" s="50" t="s">
        <v>24</v>
      </c>
      <c r="B1063" s="678" t="s">
        <v>7038</v>
      </c>
      <c r="C1063" s="94" t="s">
        <v>9220</v>
      </c>
      <c r="D1063" s="30" t="s">
        <v>89</v>
      </c>
      <c r="E1063" s="95" t="s">
        <v>91</v>
      </c>
      <c r="F1063" s="81" t="s">
        <v>193</v>
      </c>
      <c r="G1063" s="47" t="str">
        <f t="shared" si="44"/>
        <v>David</v>
      </c>
      <c r="H1063" s="74" t="s">
        <v>295</v>
      </c>
      <c r="I1063" s="49" t="s">
        <v>382</v>
      </c>
      <c r="J1063" s="47" t="str">
        <f t="shared" si="47"/>
        <v>Não</v>
      </c>
      <c r="K1063" s="97">
        <v>45043.0</v>
      </c>
      <c r="L1063" s="62"/>
      <c r="M1063" s="62" t="s">
        <v>1142</v>
      </c>
      <c r="N1063" s="98">
        <v>0.008</v>
      </c>
      <c r="O1063" s="47" t="s">
        <v>1143</v>
      </c>
      <c r="P1063" s="99">
        <v>0.1</v>
      </c>
      <c r="Q1063" s="58"/>
      <c r="R1063" s="510" t="s">
        <v>9221</v>
      </c>
      <c r="S1063" s="62" t="s">
        <v>194</v>
      </c>
      <c r="T1063" s="32" t="s">
        <v>7040</v>
      </c>
      <c r="U1063" s="33">
        <v>6.9999363277E10</v>
      </c>
      <c r="V1063" s="33" t="s">
        <v>9219</v>
      </c>
      <c r="W1063" s="34">
        <v>34789.0</v>
      </c>
      <c r="X1063" s="23" t="s">
        <v>516</v>
      </c>
      <c r="Y1063" s="49" t="str">
        <f t="shared" si="46"/>
        <v>Ativo</v>
      </c>
      <c r="Z1063" s="62"/>
      <c r="AA1063" s="62"/>
      <c r="AB1063" s="64" t="s">
        <v>269</v>
      </c>
      <c r="AC1063" s="79"/>
      <c r="AD1063" s="54">
        <v>45043.0</v>
      </c>
      <c r="AE1063" s="77">
        <v>4.9075100004099E13</v>
      </c>
      <c r="AF1063" s="79"/>
      <c r="AG1063" s="79"/>
      <c r="AH1063" s="79"/>
      <c r="AI1063" s="65">
        <v>0.0</v>
      </c>
      <c r="AJ1063" s="65">
        <v>0.0</v>
      </c>
      <c r="AK1063" s="65">
        <v>0.0</v>
      </c>
      <c r="AL1063" s="65">
        <v>79248.86</v>
      </c>
      <c r="AM1063" s="65">
        <v>712.78</v>
      </c>
      <c r="AN1063" s="65">
        <v>712.78</v>
      </c>
      <c r="AO1063" s="65">
        <v>729.09</v>
      </c>
      <c r="AP1063" s="65">
        <v>729.09</v>
      </c>
      <c r="AQ1063" s="65">
        <v>729.09</v>
      </c>
      <c r="AR1063" s="65">
        <v>731.42</v>
      </c>
      <c r="AS1063" s="65">
        <v>736.8</v>
      </c>
      <c r="AT1063" s="65">
        <v>742.4</v>
      </c>
      <c r="AU1063" s="65">
        <v>748.49</v>
      </c>
      <c r="AV1063" s="65">
        <v>753.66</v>
      </c>
      <c r="AW1063" s="65">
        <v>759.0</v>
      </c>
      <c r="AX1063" s="65">
        <v>764.74</v>
      </c>
      <c r="AY1063" s="65">
        <v>770.18</v>
      </c>
      <c r="AZ1063" s="65">
        <v>775.45</v>
      </c>
      <c r="BA1063" s="65">
        <v>781.47</v>
      </c>
      <c r="BB1063" s="65">
        <v>787.32</v>
      </c>
      <c r="BC1063" s="65">
        <v>792.95</v>
      </c>
      <c r="BD1063" s="65">
        <v>787.38</v>
      </c>
      <c r="BE1063" s="65">
        <v>792.1</v>
      </c>
      <c r="BF1063" s="65">
        <v>798.89</v>
      </c>
      <c r="BG1063" s="65">
        <v>806.66</v>
      </c>
      <c r="BH1063" s="65">
        <v>813.62</v>
      </c>
      <c r="BI1063" s="65">
        <v>821.37</v>
      </c>
      <c r="BJ1063" s="65">
        <v>0.04</v>
      </c>
      <c r="BK1063" s="65">
        <v>0.06</v>
      </c>
      <c r="BL1063" s="65">
        <v>0.06</v>
      </c>
      <c r="BM1063" s="65">
        <v>0.06</v>
      </c>
      <c r="BN1063" s="65">
        <v>0.06</v>
      </c>
      <c r="BO1063" s="65">
        <v>0.06</v>
      </c>
      <c r="BP1063" s="65">
        <v>0.06</v>
      </c>
      <c r="BQ1063" s="65">
        <v>0.06</v>
      </c>
      <c r="BR1063" s="65">
        <v>0.06</v>
      </c>
      <c r="BS1063" s="65">
        <v>0.06</v>
      </c>
      <c r="BT1063" s="88">
        <v>0.06</v>
      </c>
      <c r="BU1063" s="65">
        <v>0.0</v>
      </c>
      <c r="BV1063" s="65">
        <v>0.0</v>
      </c>
      <c r="BW1063" s="90">
        <v>0.0</v>
      </c>
      <c r="BX1063" s="90">
        <v>0.0</v>
      </c>
      <c r="BY1063" s="90" t="str">
        <f t="array" ref="BY1063">XLOOKUP(C1063,'PL TOTAL D0'!$A$3:$A$1991,'PL TOTAL D0'!$C$3:$C$1991,"")</f>
        <v/>
      </c>
    </row>
    <row r="1064" ht="15.75" customHeight="1">
      <c r="A1064" s="50" t="s">
        <v>24</v>
      </c>
      <c r="B1064" s="50" t="s">
        <v>9222</v>
      </c>
      <c r="C1064" s="94" t="s">
        <v>9223</v>
      </c>
      <c r="D1064" s="81" t="s">
        <v>120</v>
      </c>
      <c r="E1064" s="95" t="s">
        <v>199</v>
      </c>
      <c r="F1064" s="81" t="s">
        <v>1914</v>
      </c>
      <c r="G1064" s="47" t="str">
        <f t="shared" si="44"/>
        <v>David</v>
      </c>
      <c r="H1064" s="49" t="s">
        <v>224</v>
      </c>
      <c r="I1064" s="49" t="s">
        <v>66</v>
      </c>
      <c r="J1064" s="47" t="str">
        <f t="shared" si="47"/>
        <v>Não</v>
      </c>
      <c r="K1064" s="97">
        <v>45163.0</v>
      </c>
      <c r="L1064" s="186">
        <v>45799.0</v>
      </c>
      <c r="M1064" s="62" t="s">
        <v>209</v>
      </c>
      <c r="N1064" s="98">
        <v>0.015</v>
      </c>
      <c r="O1064" s="47" t="s">
        <v>35</v>
      </c>
      <c r="P1064" s="99">
        <v>0.1</v>
      </c>
      <c r="Q1064" s="58"/>
      <c r="R1064" s="736" t="s">
        <v>610</v>
      </c>
      <c r="S1064" s="62" t="s">
        <v>194</v>
      </c>
      <c r="T1064" s="32" t="s">
        <v>9224</v>
      </c>
      <c r="U1064" s="33" t="s">
        <v>268</v>
      </c>
      <c r="V1064" s="33"/>
      <c r="W1064" s="33" t="s">
        <v>268</v>
      </c>
      <c r="X1064" s="23" t="s">
        <v>199</v>
      </c>
      <c r="Y1064" s="49" t="str">
        <f t="shared" si="46"/>
        <v>Encerrado</v>
      </c>
      <c r="Z1064" s="62"/>
      <c r="AA1064" s="62"/>
      <c r="AB1064" s="64" t="s">
        <v>269</v>
      </c>
      <c r="AC1064" s="79"/>
      <c r="AD1064" s="54">
        <v>45163.0</v>
      </c>
      <c r="AE1064" s="77">
        <v>4.9075100011915E13</v>
      </c>
      <c r="AF1064" s="79"/>
      <c r="AG1064" s="79"/>
      <c r="AH1064" s="79"/>
      <c r="AI1064" s="65">
        <v>0.0</v>
      </c>
      <c r="AJ1064" s="65">
        <v>0.0</v>
      </c>
      <c r="AK1064" s="65">
        <v>0.0</v>
      </c>
      <c r="AL1064" s="65">
        <v>0.0</v>
      </c>
      <c r="AM1064" s="65">
        <v>0.0</v>
      </c>
      <c r="AN1064" s="65">
        <v>0.0</v>
      </c>
      <c r="AO1064" s="65">
        <v>0.0</v>
      </c>
      <c r="AP1064" s="65">
        <v>0.0</v>
      </c>
      <c r="AQ1064" s="65">
        <v>0.0</v>
      </c>
      <c r="AR1064" s="65">
        <v>34032.59</v>
      </c>
      <c r="AS1064" s="65">
        <v>34332.67</v>
      </c>
      <c r="AT1064" s="65">
        <v>34603.74</v>
      </c>
      <c r="AU1064" s="65">
        <v>20766.33</v>
      </c>
      <c r="AV1064" s="65">
        <v>20899.85</v>
      </c>
      <c r="AW1064" s="65">
        <v>21052.45</v>
      </c>
      <c r="AX1064" s="65">
        <v>21216.61</v>
      </c>
      <c r="AY1064" s="65">
        <v>21367.48</v>
      </c>
      <c r="AZ1064" s="65">
        <v>21246.88</v>
      </c>
      <c r="BA1064" s="65">
        <v>21412.62</v>
      </c>
      <c r="BB1064" s="65">
        <v>21568.63</v>
      </c>
      <c r="BC1064" s="65">
        <v>21718.86</v>
      </c>
      <c r="BD1064" s="65">
        <v>21893.13</v>
      </c>
      <c r="BE1064" s="65">
        <v>21875.91</v>
      </c>
      <c r="BF1064" s="65">
        <v>0.0</v>
      </c>
      <c r="BG1064" s="65">
        <v>0.0</v>
      </c>
      <c r="BH1064" s="65">
        <v>0.0</v>
      </c>
      <c r="BI1064" s="65">
        <v>0.0</v>
      </c>
      <c r="BJ1064" s="65">
        <v>0.0</v>
      </c>
      <c r="BK1064" s="65">
        <v>0.0</v>
      </c>
      <c r="BL1064" s="65">
        <v>0.0</v>
      </c>
      <c r="BM1064" s="65">
        <v>0.0</v>
      </c>
      <c r="BN1064" s="65">
        <v>0.0</v>
      </c>
      <c r="BO1064" s="65">
        <v>0.0</v>
      </c>
      <c r="BP1064" s="65">
        <v>0.0</v>
      </c>
      <c r="BQ1064" s="65">
        <v>0.0</v>
      </c>
      <c r="BR1064" s="65">
        <v>0.0</v>
      </c>
      <c r="BS1064" s="65">
        <v>0.0</v>
      </c>
      <c r="BT1064" s="88">
        <v>0.0</v>
      </c>
      <c r="BU1064" s="65">
        <v>0.0</v>
      </c>
      <c r="BV1064" s="65">
        <v>0.0</v>
      </c>
      <c r="BW1064" s="90">
        <v>0.0</v>
      </c>
      <c r="BX1064" s="90">
        <v>0.0</v>
      </c>
      <c r="BY1064" s="90" t="str">
        <f t="array" ref="BY1064">XLOOKUP(C1064,'PL TOTAL D0'!$A$3:$A$1991,'PL TOTAL D0'!$C$3:$C$1991,"")</f>
        <v/>
      </c>
    </row>
    <row r="1065" ht="15.75" customHeight="1">
      <c r="A1065" s="50" t="s">
        <v>24</v>
      </c>
      <c r="B1065" s="43" t="s">
        <v>9225</v>
      </c>
      <c r="C1065" s="94" t="s">
        <v>9226</v>
      </c>
      <c r="D1065" s="30" t="s">
        <v>120</v>
      </c>
      <c r="E1065" s="22" t="s">
        <v>199</v>
      </c>
      <c r="F1065" s="30" t="s">
        <v>431</v>
      </c>
      <c r="G1065" s="47" t="str">
        <f t="shared" si="44"/>
        <v>David</v>
      </c>
      <c r="H1065" s="49" t="s">
        <v>295</v>
      </c>
      <c r="I1065" s="49" t="s">
        <v>447</v>
      </c>
      <c r="J1065" s="47" t="str">
        <f t="shared" si="47"/>
        <v>Sim</v>
      </c>
      <c r="K1065" s="54">
        <v>45625.0</v>
      </c>
      <c r="L1065" s="189"/>
      <c r="M1065" s="32" t="s">
        <v>201</v>
      </c>
      <c r="N1065" s="56">
        <v>0.003</v>
      </c>
      <c r="O1065" s="23" t="s">
        <v>66</v>
      </c>
      <c r="P1065" s="57">
        <v>0.0</v>
      </c>
      <c r="Q1065" s="58" t="s">
        <v>1779</v>
      </c>
      <c r="R1065" s="635"/>
      <c r="S1065" s="32" t="s">
        <v>194</v>
      </c>
      <c r="T1065" s="32" t="s">
        <v>9227</v>
      </c>
      <c r="U1065" s="33">
        <v>5.531984586676E12</v>
      </c>
      <c r="V1065" s="33" t="s">
        <v>9228</v>
      </c>
      <c r="W1065" s="34">
        <v>25907.0</v>
      </c>
      <c r="X1065" s="23" t="s">
        <v>618</v>
      </c>
      <c r="Y1065" s="49" t="str">
        <f t="shared" si="46"/>
        <v>Ativo</v>
      </c>
      <c r="Z1065" s="62"/>
      <c r="AA1065" s="32" t="s">
        <v>47</v>
      </c>
      <c r="AB1065" s="64"/>
      <c r="AC1065" s="79"/>
      <c r="AD1065" s="54">
        <v>45625.0</v>
      </c>
      <c r="AE1065" s="77">
        <v>4.9075100016331E13</v>
      </c>
      <c r="AF1065" s="79"/>
      <c r="AG1065" s="79"/>
      <c r="AH1065" s="79"/>
      <c r="AI1065" s="65"/>
      <c r="AJ1065" s="65"/>
      <c r="AK1065" s="65"/>
      <c r="AL1065" s="65"/>
      <c r="AM1065" s="65"/>
      <c r="AN1065" s="65"/>
      <c r="AO1065" s="65"/>
      <c r="AP1065" s="65"/>
      <c r="AQ1065" s="65"/>
      <c r="AR1065" s="65"/>
      <c r="AS1065" s="65"/>
      <c r="AT1065" s="65"/>
      <c r="AU1065" s="65"/>
      <c r="AV1065" s="65"/>
      <c r="AW1065" s="65"/>
      <c r="AX1065" s="65"/>
      <c r="AY1065" s="65"/>
      <c r="AZ1065" s="65"/>
      <c r="BA1065" s="65"/>
      <c r="BB1065" s="65"/>
      <c r="BC1065" s="65"/>
      <c r="BD1065" s="65"/>
      <c r="BE1065" s="65">
        <v>0.0</v>
      </c>
      <c r="BF1065" s="65">
        <v>0.0</v>
      </c>
      <c r="BG1065" s="65">
        <v>0.0</v>
      </c>
      <c r="BH1065" s="65">
        <v>0.0</v>
      </c>
      <c r="BI1065" s="65">
        <v>0.0</v>
      </c>
      <c r="BJ1065" s="65">
        <v>0.0</v>
      </c>
      <c r="BK1065" s="65">
        <v>0.0</v>
      </c>
      <c r="BL1065" s="65">
        <v>0.0</v>
      </c>
      <c r="BM1065" s="65">
        <v>0.0</v>
      </c>
      <c r="BN1065" s="65">
        <v>0.0</v>
      </c>
      <c r="BO1065" s="65">
        <v>0.0</v>
      </c>
      <c r="BP1065" s="65">
        <v>0.0</v>
      </c>
      <c r="BQ1065" s="65">
        <v>0.0</v>
      </c>
      <c r="BR1065" s="65">
        <v>0.0</v>
      </c>
      <c r="BS1065" s="65">
        <v>0.0</v>
      </c>
      <c r="BT1065" s="88">
        <v>0.0</v>
      </c>
      <c r="BU1065" s="65">
        <v>0.0</v>
      </c>
      <c r="BV1065" s="65">
        <v>0.0</v>
      </c>
      <c r="BW1065" s="90">
        <v>0.0</v>
      </c>
      <c r="BX1065" s="90">
        <v>0.0</v>
      </c>
      <c r="BY1065" s="90" t="str">
        <f t="array" ref="BY1065">XLOOKUP(C1065,'PL TOTAL D0'!$A$3:$A$1991,'PL TOTAL D0'!$C$3:$C$1991,"")</f>
        <v/>
      </c>
    </row>
    <row r="1066" ht="15.75" customHeight="1">
      <c r="A1066" s="50" t="s">
        <v>24</v>
      </c>
      <c r="B1066" s="50" t="s">
        <v>9229</v>
      </c>
      <c r="C1066" s="94" t="s">
        <v>9230</v>
      </c>
      <c r="D1066" s="81" t="s">
        <v>255</v>
      </c>
      <c r="E1066" s="95" t="s">
        <v>199</v>
      </c>
      <c r="F1066" s="81" t="s">
        <v>2328</v>
      </c>
      <c r="G1066" s="47" t="str">
        <f t="shared" si="44"/>
        <v>David</v>
      </c>
      <c r="H1066" s="49" t="s">
        <v>224</v>
      </c>
      <c r="I1066" s="49" t="s">
        <v>66</v>
      </c>
      <c r="J1066" s="47" t="str">
        <f t="shared" si="47"/>
        <v>Não</v>
      </c>
      <c r="K1066" s="97">
        <v>45168.0</v>
      </c>
      <c r="L1066" s="186">
        <v>45505.0</v>
      </c>
      <c r="M1066" s="62" t="s">
        <v>61</v>
      </c>
      <c r="N1066" s="98">
        <v>0.005</v>
      </c>
      <c r="O1066" s="47" t="s">
        <v>66</v>
      </c>
      <c r="P1066" s="99">
        <v>0.0</v>
      </c>
      <c r="Q1066" s="58"/>
      <c r="R1066" s="58" t="s">
        <v>610</v>
      </c>
      <c r="S1066" s="62" t="s">
        <v>194</v>
      </c>
      <c r="T1066" s="32" t="s">
        <v>9231</v>
      </c>
      <c r="U1066" s="33" t="s">
        <v>268</v>
      </c>
      <c r="V1066" s="33"/>
      <c r="W1066" s="33" t="s">
        <v>268</v>
      </c>
      <c r="X1066" s="23" t="s">
        <v>199</v>
      </c>
      <c r="Y1066" s="49" t="str">
        <f t="shared" si="46"/>
        <v>Encerrado</v>
      </c>
      <c r="Z1066" s="62"/>
      <c r="AA1066" s="62"/>
      <c r="AB1066" s="64" t="s">
        <v>269</v>
      </c>
      <c r="AC1066" s="79"/>
      <c r="AD1066" s="54">
        <v>45168.0</v>
      </c>
      <c r="AE1066" s="77">
        <v>4.9075100005524E13</v>
      </c>
      <c r="AF1066" s="79"/>
      <c r="AG1066" s="79"/>
      <c r="AH1066" s="79"/>
      <c r="AI1066" s="79"/>
      <c r="AJ1066" s="79"/>
      <c r="AK1066" s="79"/>
      <c r="AL1066" s="79"/>
      <c r="AM1066" s="79"/>
      <c r="AN1066" s="79"/>
      <c r="AO1066" s="79"/>
      <c r="AP1066" s="65">
        <v>686313.07</v>
      </c>
      <c r="AQ1066" s="65">
        <v>695559.77</v>
      </c>
      <c r="AR1066" s="65">
        <v>701272.22</v>
      </c>
      <c r="AS1066" s="65">
        <v>546580.13</v>
      </c>
      <c r="AT1066" s="65">
        <v>533184.53</v>
      </c>
      <c r="AU1066" s="65">
        <v>618511.71</v>
      </c>
      <c r="AV1066" s="65">
        <v>674920.46</v>
      </c>
      <c r="AW1066" s="65">
        <v>676174.01</v>
      </c>
      <c r="AX1066" s="65">
        <v>677461.23</v>
      </c>
      <c r="AY1066" s="65">
        <v>680717.2</v>
      </c>
      <c r="AZ1066" s="65">
        <v>674844.0</v>
      </c>
      <c r="BA1066" s="65">
        <v>0.0</v>
      </c>
      <c r="BB1066" s="65">
        <v>0.0</v>
      </c>
      <c r="BC1066" s="65">
        <v>0.0</v>
      </c>
      <c r="BD1066" s="65">
        <v>0.0</v>
      </c>
      <c r="BE1066" s="65">
        <v>0.0</v>
      </c>
      <c r="BF1066" s="65">
        <v>0.0</v>
      </c>
      <c r="BG1066" s="65">
        <v>0.0</v>
      </c>
      <c r="BH1066" s="65">
        <v>0.0</v>
      </c>
      <c r="BI1066" s="65">
        <v>0.0</v>
      </c>
      <c r="BJ1066" s="65">
        <v>0.0</v>
      </c>
      <c r="BK1066" s="65">
        <v>0.0</v>
      </c>
      <c r="BL1066" s="65">
        <v>0.0</v>
      </c>
      <c r="BM1066" s="65">
        <v>0.0</v>
      </c>
      <c r="BN1066" s="65">
        <v>0.0</v>
      </c>
      <c r="BO1066" s="65">
        <v>0.0</v>
      </c>
      <c r="BP1066" s="65">
        <v>0.0</v>
      </c>
      <c r="BQ1066" s="65">
        <v>0.0</v>
      </c>
      <c r="BR1066" s="65">
        <v>0.0</v>
      </c>
      <c r="BS1066" s="65">
        <v>0.0</v>
      </c>
      <c r="BT1066" s="88">
        <v>0.0</v>
      </c>
      <c r="BU1066" s="65">
        <v>0.0</v>
      </c>
      <c r="BV1066" s="65">
        <v>0.0</v>
      </c>
      <c r="BW1066" s="90">
        <v>0.0</v>
      </c>
      <c r="BX1066" s="90">
        <v>0.0</v>
      </c>
      <c r="BY1066" s="90" t="str">
        <f t="array" ref="BY1066">XLOOKUP(C1066,'PL TOTAL D0'!$A$3:$A$1991,'PL TOTAL D0'!$C$3:$C$1991,"")</f>
        <v/>
      </c>
    </row>
    <row r="1067" ht="13.5" customHeight="1">
      <c r="A1067" s="50" t="s">
        <v>24</v>
      </c>
      <c r="B1067" s="50" t="s">
        <v>9232</v>
      </c>
      <c r="C1067" s="94" t="s">
        <v>9233</v>
      </c>
      <c r="D1067" s="81" t="s">
        <v>120</v>
      </c>
      <c r="E1067" s="95" t="s">
        <v>199</v>
      </c>
      <c r="F1067" s="81" t="s">
        <v>1914</v>
      </c>
      <c r="G1067" s="47" t="str">
        <f t="shared" si="44"/>
        <v>David</v>
      </c>
      <c r="H1067" s="49" t="s">
        <v>224</v>
      </c>
      <c r="I1067" s="49" t="s">
        <v>66</v>
      </c>
      <c r="J1067" s="47" t="str">
        <f t="shared" si="47"/>
        <v>Não</v>
      </c>
      <c r="K1067" s="97">
        <v>45117.0</v>
      </c>
      <c r="L1067" s="186">
        <v>45450.0</v>
      </c>
      <c r="M1067" s="62" t="s">
        <v>61</v>
      </c>
      <c r="N1067" s="98">
        <v>0.011</v>
      </c>
      <c r="O1067" s="47" t="s">
        <v>66</v>
      </c>
      <c r="P1067" s="99">
        <v>0.0</v>
      </c>
      <c r="Q1067" s="58"/>
      <c r="R1067" s="635"/>
      <c r="S1067" s="62" t="s">
        <v>194</v>
      </c>
      <c r="T1067" s="32" t="s">
        <v>9234</v>
      </c>
      <c r="U1067" s="33" t="s">
        <v>268</v>
      </c>
      <c r="V1067" s="33"/>
      <c r="W1067" s="33" t="s">
        <v>268</v>
      </c>
      <c r="X1067" s="23" t="s">
        <v>199</v>
      </c>
      <c r="Y1067" s="49" t="str">
        <f t="shared" si="46"/>
        <v>Encerrado</v>
      </c>
      <c r="Z1067" s="62"/>
      <c r="AA1067" s="62"/>
      <c r="AB1067" s="64" t="s">
        <v>244</v>
      </c>
      <c r="AC1067" s="79"/>
      <c r="AD1067" s="54">
        <v>45117.0</v>
      </c>
      <c r="AE1067" s="77">
        <v>4.9075100012792E13</v>
      </c>
      <c r="AF1067" s="79"/>
      <c r="AG1067" s="79"/>
      <c r="AH1067" s="79"/>
      <c r="AI1067" s="79"/>
      <c r="AJ1067" s="79"/>
      <c r="AK1067" s="79"/>
      <c r="AL1067" s="79"/>
      <c r="AM1067" s="79"/>
      <c r="AN1067" s="79"/>
      <c r="AO1067" s="65">
        <v>266116.93</v>
      </c>
      <c r="AP1067" s="65">
        <v>313.8</v>
      </c>
      <c r="AQ1067" s="65">
        <v>277.3</v>
      </c>
      <c r="AR1067" s="65">
        <v>277.3</v>
      </c>
      <c r="AS1067" s="65">
        <v>277.3</v>
      </c>
      <c r="AT1067" s="65">
        <v>277.66</v>
      </c>
      <c r="AU1067" s="65">
        <v>280.32</v>
      </c>
      <c r="AV1067" s="65">
        <v>282.55</v>
      </c>
      <c r="AW1067" s="65">
        <v>284.91</v>
      </c>
      <c r="AX1067" s="65">
        <v>287.41</v>
      </c>
      <c r="AY1067" s="65">
        <v>0.0</v>
      </c>
      <c r="AZ1067" s="65">
        <v>0.0</v>
      </c>
      <c r="BA1067" s="65">
        <v>0.0</v>
      </c>
      <c r="BB1067" s="65">
        <v>0.0</v>
      </c>
      <c r="BC1067" s="65">
        <v>0.0</v>
      </c>
      <c r="BD1067" s="65">
        <v>0.0</v>
      </c>
      <c r="BE1067" s="65">
        <v>0.0</v>
      </c>
      <c r="BF1067" s="65">
        <v>0.0</v>
      </c>
      <c r="BG1067" s="65">
        <v>0.0</v>
      </c>
      <c r="BH1067" s="65">
        <v>0.0</v>
      </c>
      <c r="BI1067" s="65">
        <v>0.0</v>
      </c>
      <c r="BJ1067" s="65">
        <v>0.0</v>
      </c>
      <c r="BK1067" s="65">
        <v>0.0</v>
      </c>
      <c r="BL1067" s="65">
        <v>0.0</v>
      </c>
      <c r="BM1067" s="65">
        <v>0.0</v>
      </c>
      <c r="BN1067" s="65">
        <v>0.0</v>
      </c>
      <c r="BO1067" s="65">
        <v>0.0</v>
      </c>
      <c r="BP1067" s="65">
        <v>0.0</v>
      </c>
      <c r="BQ1067" s="65">
        <v>0.0</v>
      </c>
      <c r="BR1067" s="65">
        <v>0.0</v>
      </c>
      <c r="BS1067" s="65">
        <v>0.0</v>
      </c>
      <c r="BT1067" s="88">
        <v>0.0</v>
      </c>
      <c r="BU1067" s="65">
        <v>0.0</v>
      </c>
      <c r="BV1067" s="65">
        <v>0.0</v>
      </c>
      <c r="BW1067" s="90">
        <v>0.0</v>
      </c>
      <c r="BX1067" s="90">
        <v>0.0</v>
      </c>
      <c r="BY1067" s="90" t="str">
        <f t="array" ref="BY1067">XLOOKUP(C1067,'PL TOTAL D0'!$A$3:$A$1991,'PL TOTAL D0'!$C$3:$C$1991,"")</f>
        <v/>
      </c>
    </row>
    <row r="1068" ht="15.75" customHeight="1">
      <c r="A1068" s="50" t="s">
        <v>24</v>
      </c>
      <c r="B1068" s="555" t="s">
        <v>9235</v>
      </c>
      <c r="C1068" s="94" t="s">
        <v>9236</v>
      </c>
      <c r="D1068" s="81" t="s">
        <v>120</v>
      </c>
      <c r="E1068" s="95" t="s">
        <v>199</v>
      </c>
      <c r="F1068" s="81" t="s">
        <v>1914</v>
      </c>
      <c r="G1068" s="47" t="str">
        <f t="shared" si="44"/>
        <v>David</v>
      </c>
      <c r="H1068" s="49" t="s">
        <v>224</v>
      </c>
      <c r="I1068" s="49" t="s">
        <v>66</v>
      </c>
      <c r="J1068" s="47" t="str">
        <f t="shared" si="47"/>
        <v>Não</v>
      </c>
      <c r="K1068" s="97">
        <v>45155.0</v>
      </c>
      <c r="L1068" s="186">
        <v>45574.0</v>
      </c>
      <c r="M1068" s="62" t="s">
        <v>231</v>
      </c>
      <c r="N1068" s="98">
        <v>0.02</v>
      </c>
      <c r="O1068" s="23" t="s">
        <v>233</v>
      </c>
      <c r="P1068" s="99">
        <v>0.2</v>
      </c>
      <c r="Q1068" s="58"/>
      <c r="R1068" s="635"/>
      <c r="S1068" s="62" t="s">
        <v>194</v>
      </c>
      <c r="T1068" s="32" t="s">
        <v>9237</v>
      </c>
      <c r="U1068" s="33" t="s">
        <v>268</v>
      </c>
      <c r="V1068" s="33"/>
      <c r="W1068" s="33" t="s">
        <v>268</v>
      </c>
      <c r="X1068" s="23" t="s">
        <v>199</v>
      </c>
      <c r="Y1068" s="49" t="str">
        <f t="shared" si="46"/>
        <v>Encerrado</v>
      </c>
      <c r="Z1068" s="62"/>
      <c r="AA1068" s="62"/>
      <c r="AB1068" s="64" t="s">
        <v>269</v>
      </c>
      <c r="AC1068" s="79"/>
      <c r="AD1068" s="54">
        <v>45155.0</v>
      </c>
      <c r="AE1068" s="77">
        <v>4.9075100007306E13</v>
      </c>
      <c r="AF1068" s="79"/>
      <c r="AG1068" s="79"/>
      <c r="AH1068" s="79"/>
      <c r="AI1068" s="79"/>
      <c r="AJ1068" s="79"/>
      <c r="AK1068" s="79"/>
      <c r="AL1068" s="79"/>
      <c r="AM1068" s="79"/>
      <c r="AN1068" s="79"/>
      <c r="AO1068" s="65">
        <v>413199.93</v>
      </c>
      <c r="AP1068" s="65">
        <v>100505.12</v>
      </c>
      <c r="AQ1068" s="65">
        <v>2.57</v>
      </c>
      <c r="AR1068" s="65">
        <v>0.0</v>
      </c>
      <c r="AS1068" s="65">
        <v>0.0</v>
      </c>
      <c r="AT1068" s="65">
        <v>0.0</v>
      </c>
      <c r="AU1068" s="65">
        <v>0.0</v>
      </c>
      <c r="AV1068" s="65">
        <v>0.43</v>
      </c>
      <c r="AW1068" s="65">
        <v>112663.48</v>
      </c>
      <c r="AX1068" s="65">
        <v>109084.5</v>
      </c>
      <c r="AY1068" s="65">
        <v>106510.3</v>
      </c>
      <c r="AZ1068" s="65">
        <v>107853.0</v>
      </c>
      <c r="BA1068" s="65">
        <v>111152.2</v>
      </c>
      <c r="BB1068" s="65">
        <v>113489.92</v>
      </c>
      <c r="BC1068" s="65">
        <v>111314.37</v>
      </c>
      <c r="BD1068" s="65">
        <v>0.0</v>
      </c>
      <c r="BE1068" s="65">
        <v>0.0</v>
      </c>
      <c r="BF1068" s="65">
        <v>0.0</v>
      </c>
      <c r="BG1068" s="65">
        <v>0.0</v>
      </c>
      <c r="BH1068" s="65">
        <v>0.0</v>
      </c>
      <c r="BI1068" s="65">
        <v>0.0</v>
      </c>
      <c r="BJ1068" s="65">
        <v>0.0</v>
      </c>
      <c r="BK1068" s="65">
        <v>0.0</v>
      </c>
      <c r="BL1068" s="65">
        <v>0.0</v>
      </c>
      <c r="BM1068" s="65">
        <v>0.0</v>
      </c>
      <c r="BN1068" s="65">
        <v>0.0</v>
      </c>
      <c r="BO1068" s="65">
        <v>0.0</v>
      </c>
      <c r="BP1068" s="65">
        <v>0.0</v>
      </c>
      <c r="BQ1068" s="65">
        <v>0.0</v>
      </c>
      <c r="BR1068" s="65">
        <v>0.0</v>
      </c>
      <c r="BS1068" s="65">
        <v>0.0</v>
      </c>
      <c r="BT1068" s="88">
        <v>0.0</v>
      </c>
      <c r="BU1068" s="65">
        <v>0.0</v>
      </c>
      <c r="BV1068" s="65">
        <v>0.0</v>
      </c>
      <c r="BW1068" s="90">
        <v>0.0</v>
      </c>
      <c r="BX1068" s="90">
        <v>0.0</v>
      </c>
      <c r="BY1068" s="90" t="str">
        <f t="array" ref="BY1068">XLOOKUP(C1068,'PL TOTAL D0'!$A$3:$A$1991,'PL TOTAL D0'!$C$3:$C$1991,"")</f>
        <v/>
      </c>
    </row>
    <row r="1069" ht="15.75" customHeight="1">
      <c r="A1069" s="50" t="s">
        <v>24</v>
      </c>
      <c r="B1069" s="555" t="s">
        <v>9235</v>
      </c>
      <c r="C1069" s="94" t="s">
        <v>9238</v>
      </c>
      <c r="D1069" s="81" t="s">
        <v>120</v>
      </c>
      <c r="E1069" s="95" t="s">
        <v>199</v>
      </c>
      <c r="F1069" s="81" t="s">
        <v>1914</v>
      </c>
      <c r="G1069" s="47" t="str">
        <f t="shared" si="44"/>
        <v>David</v>
      </c>
      <c r="H1069" s="49" t="s">
        <v>224</v>
      </c>
      <c r="I1069" s="49" t="s">
        <v>66</v>
      </c>
      <c r="J1069" s="47" t="str">
        <f t="shared" si="47"/>
        <v>Não</v>
      </c>
      <c r="K1069" s="97">
        <v>45121.0</v>
      </c>
      <c r="L1069" s="186">
        <v>45574.0</v>
      </c>
      <c r="M1069" s="62" t="s">
        <v>61</v>
      </c>
      <c r="N1069" s="98">
        <v>0.01</v>
      </c>
      <c r="O1069" s="47" t="s">
        <v>66</v>
      </c>
      <c r="P1069" s="99">
        <v>0.0</v>
      </c>
      <c r="Q1069" s="58"/>
      <c r="R1069" s="635"/>
      <c r="S1069" s="62" t="s">
        <v>194</v>
      </c>
      <c r="T1069" s="32" t="s">
        <v>9234</v>
      </c>
      <c r="U1069" s="33" t="s">
        <v>268</v>
      </c>
      <c r="V1069" s="33"/>
      <c r="W1069" s="33" t="s">
        <v>268</v>
      </c>
      <c r="X1069" s="23" t="s">
        <v>199</v>
      </c>
      <c r="Y1069" s="49" t="str">
        <f t="shared" si="46"/>
        <v>Encerrado</v>
      </c>
      <c r="Z1069" s="62"/>
      <c r="AA1069" s="62"/>
      <c r="AB1069" s="64" t="s">
        <v>269</v>
      </c>
      <c r="AC1069" s="79"/>
      <c r="AD1069" s="54">
        <v>45121.0</v>
      </c>
      <c r="AE1069" s="77">
        <v>4.9075100008779E13</v>
      </c>
      <c r="AF1069" s="79"/>
      <c r="AG1069" s="79"/>
      <c r="AH1069" s="79"/>
      <c r="AI1069" s="79"/>
      <c r="AJ1069" s="79"/>
      <c r="AK1069" s="79"/>
      <c r="AL1069" s="79"/>
      <c r="AM1069" s="79"/>
      <c r="AN1069" s="79"/>
      <c r="AO1069" s="65">
        <v>74859.75</v>
      </c>
      <c r="AP1069" s="65">
        <v>761838.54</v>
      </c>
      <c r="AQ1069" s="65">
        <v>1069740.49</v>
      </c>
      <c r="AR1069" s="65">
        <v>1078972.63</v>
      </c>
      <c r="AS1069" s="65">
        <v>1313535.01</v>
      </c>
      <c r="AT1069" s="65">
        <v>1325726.86</v>
      </c>
      <c r="AU1069" s="65">
        <v>1547689.79</v>
      </c>
      <c r="AV1069" s="65">
        <v>1561784.18</v>
      </c>
      <c r="AW1069" s="65">
        <v>1563469.43</v>
      </c>
      <c r="AX1069" s="65">
        <v>1578160.53</v>
      </c>
      <c r="AY1069" s="65">
        <v>1844207.0</v>
      </c>
      <c r="AZ1069" s="65">
        <v>1859652.0</v>
      </c>
      <c r="BA1069" s="65">
        <v>1876207.0</v>
      </c>
      <c r="BB1069" s="65">
        <v>1887818.45</v>
      </c>
      <c r="BC1069" s="65">
        <v>1902320.58</v>
      </c>
      <c r="BD1069" s="65">
        <v>0.0</v>
      </c>
      <c r="BE1069" s="65">
        <v>0.0</v>
      </c>
      <c r="BF1069" s="65">
        <v>0.0</v>
      </c>
      <c r="BG1069" s="65">
        <v>0.0</v>
      </c>
      <c r="BH1069" s="65">
        <v>0.0</v>
      </c>
      <c r="BI1069" s="65">
        <v>0.0</v>
      </c>
      <c r="BJ1069" s="65">
        <v>0.0</v>
      </c>
      <c r="BK1069" s="65">
        <v>0.0</v>
      </c>
      <c r="BL1069" s="65">
        <v>0.0</v>
      </c>
      <c r="BM1069" s="65">
        <v>0.0</v>
      </c>
      <c r="BN1069" s="65">
        <v>0.0</v>
      </c>
      <c r="BO1069" s="65">
        <v>0.0</v>
      </c>
      <c r="BP1069" s="65">
        <v>0.0</v>
      </c>
      <c r="BQ1069" s="65">
        <v>0.0</v>
      </c>
      <c r="BR1069" s="65">
        <v>0.0</v>
      </c>
      <c r="BS1069" s="65">
        <v>0.0</v>
      </c>
      <c r="BT1069" s="88">
        <v>0.0</v>
      </c>
      <c r="BU1069" s="65">
        <v>0.0</v>
      </c>
      <c r="BV1069" s="65">
        <v>0.0</v>
      </c>
      <c r="BW1069" s="90">
        <v>0.0</v>
      </c>
      <c r="BX1069" s="90">
        <v>0.0</v>
      </c>
      <c r="BY1069" s="90" t="str">
        <f t="array" ref="BY1069">XLOOKUP(C1069,'PL TOTAL D0'!$A$3:$A$1991,'PL TOTAL D0'!$C$3:$C$1991,"")</f>
        <v/>
      </c>
    </row>
    <row r="1070" ht="15.75" customHeight="1">
      <c r="A1070" s="50" t="s">
        <v>24</v>
      </c>
      <c r="B1070" s="50" t="s">
        <v>9239</v>
      </c>
      <c r="C1070" s="94" t="s">
        <v>3072</v>
      </c>
      <c r="D1070" s="30" t="s">
        <v>89</v>
      </c>
      <c r="E1070" s="95" t="s">
        <v>91</v>
      </c>
      <c r="F1070" s="81" t="s">
        <v>884</v>
      </c>
      <c r="G1070" s="47" t="str">
        <f t="shared" si="44"/>
        <v>Gabriel</v>
      </c>
      <c r="H1070" s="74" t="s">
        <v>183</v>
      </c>
      <c r="I1070" s="74" t="s">
        <v>66</v>
      </c>
      <c r="J1070" s="47" t="str">
        <f t="shared" si="47"/>
        <v>Não</v>
      </c>
      <c r="K1070" s="97">
        <v>45133.0</v>
      </c>
      <c r="L1070" s="189"/>
      <c r="M1070" s="62" t="s">
        <v>61</v>
      </c>
      <c r="N1070" s="98">
        <v>0.012</v>
      </c>
      <c r="O1070" s="47" t="s">
        <v>66</v>
      </c>
      <c r="P1070" s="99">
        <v>0.0</v>
      </c>
      <c r="Q1070" s="58"/>
      <c r="R1070" s="635"/>
      <c r="S1070" s="62" t="s">
        <v>194</v>
      </c>
      <c r="T1070" s="32" t="s">
        <v>9240</v>
      </c>
      <c r="U1070" s="33">
        <v>5.514971171881E12</v>
      </c>
      <c r="V1070" s="33" t="s">
        <v>9241</v>
      </c>
      <c r="W1070" s="34">
        <v>24119.0</v>
      </c>
      <c r="X1070" s="23" t="s">
        <v>475</v>
      </c>
      <c r="Y1070" s="49" t="str">
        <f t="shared" si="46"/>
        <v>Ativo</v>
      </c>
      <c r="Z1070" s="62"/>
      <c r="AA1070" s="62"/>
      <c r="AB1070" s="64" t="s">
        <v>269</v>
      </c>
      <c r="AC1070" s="79"/>
      <c r="AD1070" s="54">
        <v>45133.0</v>
      </c>
      <c r="AE1070" s="77">
        <v>4.9075100007772E13</v>
      </c>
      <c r="AF1070" s="79"/>
      <c r="AG1070" s="79"/>
      <c r="AH1070" s="79"/>
      <c r="AI1070" s="79"/>
      <c r="AJ1070" s="79"/>
      <c r="AK1070" s="79"/>
      <c r="AL1070" s="79"/>
      <c r="AM1070" s="79"/>
      <c r="AN1070" s="79"/>
      <c r="AO1070" s="65">
        <v>100133.79</v>
      </c>
      <c r="AP1070" s="65">
        <v>151456.37</v>
      </c>
      <c r="AQ1070" s="65">
        <v>152699.95</v>
      </c>
      <c r="AR1070" s="65">
        <v>154046.65</v>
      </c>
      <c r="AS1070" s="65">
        <v>155203.75</v>
      </c>
      <c r="AT1070" s="65">
        <v>156461.77</v>
      </c>
      <c r="AU1070" s="65">
        <v>157315.28</v>
      </c>
      <c r="AV1070" s="65">
        <v>158558.25</v>
      </c>
      <c r="AW1070" s="65">
        <v>159902.35</v>
      </c>
      <c r="AX1070" s="65">
        <v>161099.12</v>
      </c>
      <c r="AY1070" s="65">
        <v>162353.1</v>
      </c>
      <c r="AZ1070" s="65">
        <v>163642.0</v>
      </c>
      <c r="BA1070" s="65">
        <v>164653.2</v>
      </c>
      <c r="BB1070" s="65">
        <v>165421.86</v>
      </c>
      <c r="BC1070" s="65">
        <v>166556.74</v>
      </c>
      <c r="BD1070" s="65">
        <v>167676.99</v>
      </c>
      <c r="BE1070" s="65">
        <v>168693.34</v>
      </c>
      <c r="BF1070" s="65">
        <v>270037.08</v>
      </c>
      <c r="BG1070" s="65">
        <v>272525.54</v>
      </c>
      <c r="BH1070" s="65">
        <v>274918.45</v>
      </c>
      <c r="BI1070" s="65">
        <v>278060.33</v>
      </c>
      <c r="BJ1070" s="65">
        <v>280285.65</v>
      </c>
      <c r="BK1070" s="65">
        <v>283167.38</v>
      </c>
      <c r="BL1070" s="65">
        <v>285577.4</v>
      </c>
      <c r="BM1070" s="65">
        <v>288648.37</v>
      </c>
      <c r="BN1070" s="65">
        <v>291445.2</v>
      </c>
      <c r="BO1070" s="65">
        <v>293977.15</v>
      </c>
      <c r="BP1070" s="65">
        <v>296797.0</v>
      </c>
      <c r="BQ1070" s="65">
        <v>298975.1</v>
      </c>
      <c r="BR1070" s="65">
        <v>301750.2</v>
      </c>
      <c r="BS1070" s="65">
        <v>304336.6</v>
      </c>
      <c r="BT1070" s="88">
        <v>305703.5</v>
      </c>
      <c r="BU1070" s="65">
        <v>279147.6</v>
      </c>
      <c r="BV1070" s="65">
        <v>282342.3</v>
      </c>
      <c r="BW1070" s="90">
        <v>285295.8</v>
      </c>
      <c r="BX1070" s="90">
        <v>287968.69</v>
      </c>
      <c r="BY1070" s="90">
        <f t="array" ref="BY1070">XLOOKUP(C1070,'PL TOTAL D0'!$A$3:$A$1991,'PL TOTAL D0'!$C$3:$C$1991,"")</f>
        <v>289671.19</v>
      </c>
    </row>
    <row r="1071" ht="15.75" customHeight="1">
      <c r="A1071" s="50" t="s">
        <v>24</v>
      </c>
      <c r="B1071" s="43" t="s">
        <v>9242</v>
      </c>
      <c r="C1071" s="53" t="s">
        <v>3191</v>
      </c>
      <c r="D1071" s="30" t="s">
        <v>53</v>
      </c>
      <c r="E1071" s="22" t="s">
        <v>54</v>
      </c>
      <c r="F1071" s="30" t="s">
        <v>55</v>
      </c>
      <c r="G1071" s="47" t="str">
        <f t="shared" si="44"/>
        <v>David</v>
      </c>
      <c r="H1071" s="49" t="s">
        <v>183</v>
      </c>
      <c r="I1071" s="49" t="s">
        <v>66</v>
      </c>
      <c r="J1071" s="47" t="str">
        <f t="shared" si="47"/>
        <v>Não</v>
      </c>
      <c r="K1071" s="54">
        <v>46218.0</v>
      </c>
      <c r="L1071" s="189"/>
      <c r="M1071" s="32" t="s">
        <v>61</v>
      </c>
      <c r="N1071" s="56">
        <v>0.012</v>
      </c>
      <c r="O1071" s="23" t="s">
        <v>66</v>
      </c>
      <c r="P1071" s="57">
        <v>0.0</v>
      </c>
      <c r="Q1071" s="58"/>
      <c r="R1071" s="635"/>
      <c r="S1071" s="32" t="s">
        <v>194</v>
      </c>
      <c r="T1071" s="32" t="s">
        <v>9243</v>
      </c>
      <c r="U1071" s="33" t="s">
        <v>9244</v>
      </c>
      <c r="V1071" s="33" t="s">
        <v>9245</v>
      </c>
      <c r="W1071" s="34">
        <v>28041.0</v>
      </c>
      <c r="X1071" s="23" t="s">
        <v>77</v>
      </c>
      <c r="Y1071" s="49" t="str">
        <f t="shared" si="46"/>
        <v>Ativo</v>
      </c>
      <c r="Z1071" s="62"/>
      <c r="AA1071" s="32" t="s">
        <v>47</v>
      </c>
      <c r="AB1071" s="64"/>
      <c r="AC1071" s="79"/>
      <c r="AD1071" s="54"/>
      <c r="AE1071" s="77"/>
      <c r="AF1071" s="79"/>
      <c r="AG1071" s="79"/>
      <c r="AH1071" s="79"/>
      <c r="AI1071" s="79"/>
      <c r="AJ1071" s="79"/>
      <c r="AK1071" s="79"/>
      <c r="AL1071" s="79"/>
      <c r="AM1071" s="79"/>
      <c r="AN1071" s="79"/>
      <c r="AO1071" s="65"/>
      <c r="AP1071" s="65"/>
      <c r="AQ1071" s="65"/>
      <c r="AR1071" s="65"/>
      <c r="AS1071" s="65"/>
      <c r="AT1071" s="65"/>
      <c r="AU1071" s="65"/>
      <c r="AV1071" s="65"/>
      <c r="AW1071" s="65"/>
      <c r="AX1071" s="65"/>
      <c r="AY1071" s="65"/>
      <c r="AZ1071" s="65"/>
      <c r="BA1071" s="65"/>
      <c r="BB1071" s="65"/>
      <c r="BC1071" s="65"/>
      <c r="BD1071" s="65"/>
      <c r="BE1071" s="65"/>
      <c r="BF1071" s="65"/>
      <c r="BG1071" s="65"/>
      <c r="BH1071" s="65"/>
      <c r="BI1071" s="65"/>
      <c r="BJ1071" s="65"/>
      <c r="BK1071" s="65"/>
      <c r="BL1071" s="65"/>
      <c r="BM1071" s="65"/>
      <c r="BN1071" s="65"/>
      <c r="BO1071" s="65"/>
      <c r="BP1071" s="65"/>
      <c r="BQ1071" s="65"/>
      <c r="BR1071" s="65"/>
      <c r="BS1071" s="65"/>
      <c r="BT1071" s="88"/>
      <c r="BU1071" s="65"/>
      <c r="BV1071" s="65"/>
      <c r="BW1071" s="90"/>
      <c r="BX1071" s="90">
        <v>0.0</v>
      </c>
      <c r="BY1071" s="90">
        <f t="array" ref="BY1071">XLOOKUP(C1071,'PL TOTAL D0'!$A$3:$A$1991,'PL TOTAL D0'!$C$3:$C$1991,"")</f>
        <v>172164.78</v>
      </c>
    </row>
    <row r="1072" ht="15.75" customHeight="1">
      <c r="A1072" s="50" t="s">
        <v>24</v>
      </c>
      <c r="B1072" s="50" t="s">
        <v>9246</v>
      </c>
      <c r="C1072" s="94" t="s">
        <v>9247</v>
      </c>
      <c r="D1072" s="30" t="s">
        <v>120</v>
      </c>
      <c r="E1072" s="95" t="s">
        <v>199</v>
      </c>
      <c r="F1072" s="81" t="s">
        <v>8137</v>
      </c>
      <c r="G1072" s="47" t="str">
        <f t="shared" si="44"/>
        <v>David</v>
      </c>
      <c r="H1072" s="49" t="s">
        <v>183</v>
      </c>
      <c r="I1072" s="74" t="s">
        <v>66</v>
      </c>
      <c r="J1072" s="47" t="str">
        <f t="shared" si="47"/>
        <v>Não</v>
      </c>
      <c r="K1072" s="97">
        <v>46111.0</v>
      </c>
      <c r="L1072" s="189"/>
      <c r="M1072" s="62" t="s">
        <v>61</v>
      </c>
      <c r="N1072" s="98">
        <v>0.012</v>
      </c>
      <c r="O1072" s="47" t="s">
        <v>66</v>
      </c>
      <c r="P1072" s="99">
        <v>0.0</v>
      </c>
      <c r="Q1072" s="58"/>
      <c r="R1072" s="635"/>
      <c r="S1072" s="62" t="s">
        <v>194</v>
      </c>
      <c r="T1072" s="32" t="s">
        <v>9248</v>
      </c>
      <c r="U1072" s="33" t="s">
        <v>9249</v>
      </c>
      <c r="V1072" s="33" t="s">
        <v>9250</v>
      </c>
      <c r="W1072" s="34">
        <v>25474.0</v>
      </c>
      <c r="X1072" s="23" t="s">
        <v>54</v>
      </c>
      <c r="Y1072" s="49" t="str">
        <f t="shared" si="46"/>
        <v>Ativo</v>
      </c>
      <c r="Z1072" s="62"/>
      <c r="AA1072" s="62" t="s">
        <v>47</v>
      </c>
      <c r="AB1072" s="64"/>
      <c r="AC1072" s="79"/>
      <c r="AD1072" s="54"/>
      <c r="AE1072" s="77"/>
      <c r="AF1072" s="79"/>
      <c r="AG1072" s="79"/>
      <c r="AH1072" s="79"/>
      <c r="AI1072" s="79"/>
      <c r="AJ1072" s="79"/>
      <c r="AK1072" s="79"/>
      <c r="AL1072" s="79"/>
      <c r="AM1072" s="79"/>
      <c r="AN1072" s="79"/>
      <c r="AO1072" s="65"/>
      <c r="AP1072" s="65"/>
      <c r="AQ1072" s="65"/>
      <c r="AR1072" s="65"/>
      <c r="AS1072" s="65"/>
      <c r="AT1072" s="65"/>
      <c r="AU1072" s="65"/>
      <c r="AV1072" s="65"/>
      <c r="AW1072" s="65"/>
      <c r="AX1072" s="65"/>
      <c r="AY1072" s="65"/>
      <c r="AZ1072" s="65"/>
      <c r="BA1072" s="65"/>
      <c r="BB1072" s="65"/>
      <c r="BC1072" s="65"/>
      <c r="BD1072" s="65"/>
      <c r="BE1072" s="65"/>
      <c r="BF1072" s="65"/>
      <c r="BG1072" s="65"/>
      <c r="BH1072" s="65"/>
      <c r="BI1072" s="65"/>
      <c r="BJ1072" s="65"/>
      <c r="BK1072" s="65"/>
      <c r="BL1072" s="65"/>
      <c r="BM1072" s="65"/>
      <c r="BN1072" s="65"/>
      <c r="BO1072" s="65"/>
      <c r="BP1072" s="65"/>
      <c r="BQ1072" s="65"/>
      <c r="BR1072" s="65"/>
      <c r="BS1072" s="65"/>
      <c r="BT1072" s="88"/>
      <c r="BU1072" s="65">
        <v>0.0</v>
      </c>
      <c r="BV1072" s="65">
        <v>0.0</v>
      </c>
      <c r="BW1072" s="90">
        <v>0.0</v>
      </c>
      <c r="BX1072" s="90">
        <v>0.0</v>
      </c>
      <c r="BY1072" s="90" t="str">
        <f t="array" ref="BY1072">XLOOKUP(C1072,'PL TOTAL D0'!$A$3:$A$1991,'PL TOTAL D0'!$C$3:$C$1991,"")</f>
        <v/>
      </c>
    </row>
    <row r="1073" ht="15.75" customHeight="1">
      <c r="A1073" s="50" t="s">
        <v>24</v>
      </c>
      <c r="B1073" s="43" t="s">
        <v>9251</v>
      </c>
      <c r="C1073" s="94" t="s">
        <v>3040</v>
      </c>
      <c r="D1073" s="30" t="s">
        <v>89</v>
      </c>
      <c r="E1073" s="22" t="s">
        <v>91</v>
      </c>
      <c r="F1073" s="30" t="s">
        <v>521</v>
      </c>
      <c r="G1073" s="47" t="str">
        <f t="shared" si="44"/>
        <v>Gabriel</v>
      </c>
      <c r="H1073" s="49" t="s">
        <v>183</v>
      </c>
      <c r="I1073" s="49" t="s">
        <v>66</v>
      </c>
      <c r="J1073" s="47" t="str">
        <f t="shared" si="47"/>
        <v>Não</v>
      </c>
      <c r="K1073" s="54">
        <v>45573.0</v>
      </c>
      <c r="L1073" s="189"/>
      <c r="M1073" s="32" t="s">
        <v>209</v>
      </c>
      <c r="N1073" s="56">
        <v>0.015</v>
      </c>
      <c r="O1073" s="23" t="s">
        <v>35</v>
      </c>
      <c r="P1073" s="57">
        <v>0.1</v>
      </c>
      <c r="Q1073" s="58"/>
      <c r="R1073" s="635"/>
      <c r="S1073" s="32" t="s">
        <v>194</v>
      </c>
      <c r="T1073" s="32" t="s">
        <v>9252</v>
      </c>
      <c r="U1073" s="33">
        <v>4.3998165432E10</v>
      </c>
      <c r="V1073" s="33" t="s">
        <v>9253</v>
      </c>
      <c r="W1073" s="34">
        <v>37324.0</v>
      </c>
      <c r="X1073" s="23" t="s">
        <v>475</v>
      </c>
      <c r="Y1073" s="49" t="str">
        <f t="shared" si="46"/>
        <v>Ativo</v>
      </c>
      <c r="Z1073" s="62"/>
      <c r="AA1073" s="32" t="s">
        <v>47</v>
      </c>
      <c r="AB1073" s="64"/>
      <c r="AC1073" s="79"/>
      <c r="AD1073" s="54">
        <v>45573.0</v>
      </c>
      <c r="AE1073" s="77">
        <v>4.9075100016038E13</v>
      </c>
      <c r="AF1073" s="79"/>
      <c r="AG1073" s="79"/>
      <c r="AH1073" s="79"/>
      <c r="AI1073" s="79"/>
      <c r="AJ1073" s="79"/>
      <c r="AK1073" s="79"/>
      <c r="AL1073" s="79"/>
      <c r="AM1073" s="79"/>
      <c r="AN1073" s="79"/>
      <c r="AO1073" s="65"/>
      <c r="AP1073" s="65"/>
      <c r="AQ1073" s="65"/>
      <c r="AR1073" s="65"/>
      <c r="AS1073" s="65"/>
      <c r="AT1073" s="65"/>
      <c r="AU1073" s="65"/>
      <c r="AV1073" s="65"/>
      <c r="AW1073" s="65"/>
      <c r="AX1073" s="65"/>
      <c r="AY1073" s="65"/>
      <c r="AZ1073" s="65"/>
      <c r="BA1073" s="65"/>
      <c r="BB1073" s="65"/>
      <c r="BC1073" s="65"/>
      <c r="BD1073" s="65">
        <v>99450.05</v>
      </c>
      <c r="BE1073" s="65">
        <v>104195.0</v>
      </c>
      <c r="BF1073" s="65">
        <v>104291.03</v>
      </c>
      <c r="BG1073" s="65">
        <v>108336.86</v>
      </c>
      <c r="BH1073" s="65">
        <v>111786.82</v>
      </c>
      <c r="BI1073" s="65">
        <v>118809.16</v>
      </c>
      <c r="BJ1073" s="65">
        <v>126766.6</v>
      </c>
      <c r="BK1073" s="65">
        <v>234279.64</v>
      </c>
      <c r="BL1073" s="65">
        <v>236704.14</v>
      </c>
      <c r="BM1073" s="65">
        <v>243402.82</v>
      </c>
      <c r="BN1073" s="65">
        <v>250134.5</v>
      </c>
      <c r="BO1073" s="65">
        <v>258169.17</v>
      </c>
      <c r="BP1073" s="65">
        <v>265558.1</v>
      </c>
      <c r="BQ1073" s="65">
        <v>275144.5</v>
      </c>
      <c r="BR1073" s="65">
        <v>282453.0</v>
      </c>
      <c r="BS1073" s="65">
        <v>290603.5</v>
      </c>
      <c r="BT1073" s="88">
        <v>293931.2</v>
      </c>
      <c r="BU1073" s="65">
        <v>302825.9</v>
      </c>
      <c r="BV1073" s="65">
        <v>307959.6</v>
      </c>
      <c r="BW1073" s="90">
        <v>308870.7</v>
      </c>
      <c r="BX1073" s="90">
        <v>325250.94</v>
      </c>
      <c r="BY1073" s="90">
        <f t="array" ref="BY1073">XLOOKUP(C1073,'PL TOTAL D0'!$A$3:$A$1991,'PL TOTAL D0'!$C$3:$C$1991,"")</f>
        <v>319463.48</v>
      </c>
    </row>
    <row r="1074" ht="15.75" customHeight="1">
      <c r="A1074" s="50" t="s">
        <v>24</v>
      </c>
      <c r="B1074" s="513" t="s">
        <v>9254</v>
      </c>
      <c r="C1074" s="94" t="s">
        <v>2869</v>
      </c>
      <c r="D1074" s="30" t="s">
        <v>142</v>
      </c>
      <c r="E1074" s="22" t="s">
        <v>54</v>
      </c>
      <c r="F1074" s="30" t="s">
        <v>158</v>
      </c>
      <c r="G1074" s="47" t="str">
        <f t="shared" si="44"/>
        <v>Gabriel</v>
      </c>
      <c r="H1074" s="49" t="s">
        <v>183</v>
      </c>
      <c r="I1074" s="49" t="s">
        <v>66</v>
      </c>
      <c r="J1074" s="47" t="str">
        <f t="shared" si="47"/>
        <v>Não</v>
      </c>
      <c r="K1074" s="54">
        <v>45385.0</v>
      </c>
      <c r="L1074" s="189"/>
      <c r="M1074" s="32" t="s">
        <v>61</v>
      </c>
      <c r="N1074" s="56">
        <v>0.01</v>
      </c>
      <c r="O1074" s="23" t="s">
        <v>66</v>
      </c>
      <c r="P1074" s="57">
        <v>0.0</v>
      </c>
      <c r="Q1074" s="58"/>
      <c r="R1074" s="635"/>
      <c r="S1074" s="32" t="s">
        <v>194</v>
      </c>
      <c r="T1074" s="177" t="s">
        <v>9255</v>
      </c>
      <c r="U1074" s="33">
        <v>5.561999395922E12</v>
      </c>
      <c r="V1074" s="33" t="s">
        <v>9256</v>
      </c>
      <c r="W1074" s="34">
        <v>22314.0</v>
      </c>
      <c r="X1074" s="23" t="s">
        <v>199</v>
      </c>
      <c r="Y1074" s="49" t="str">
        <f t="shared" si="46"/>
        <v>Ativo</v>
      </c>
      <c r="Z1074" s="62"/>
      <c r="AA1074" s="62"/>
      <c r="AB1074" s="64" t="s">
        <v>269</v>
      </c>
      <c r="AC1074" s="79"/>
      <c r="AD1074" s="54">
        <v>45385.0</v>
      </c>
      <c r="AE1074" s="77">
        <v>4.9075100014159E13</v>
      </c>
      <c r="AF1074" s="79"/>
      <c r="AG1074" s="79"/>
      <c r="AH1074" s="79"/>
      <c r="AI1074" s="79"/>
      <c r="AJ1074" s="79"/>
      <c r="AK1074" s="79"/>
      <c r="AL1074" s="79"/>
      <c r="AM1074" s="79"/>
      <c r="AN1074" s="79"/>
      <c r="AO1074" s="79"/>
      <c r="AP1074" s="79"/>
      <c r="AQ1074" s="79"/>
      <c r="AR1074" s="79"/>
      <c r="AS1074" s="79"/>
      <c r="AT1074" s="79"/>
      <c r="AU1074" s="79"/>
      <c r="AV1074" s="65"/>
      <c r="AW1074" s="65"/>
      <c r="AX1074" s="65">
        <v>273459.23</v>
      </c>
      <c r="AY1074" s="65">
        <v>275837.8</v>
      </c>
      <c r="AZ1074" s="65">
        <v>278257.3</v>
      </c>
      <c r="BA1074" s="65">
        <v>431821.2</v>
      </c>
      <c r="BB1074" s="65">
        <v>436011.94</v>
      </c>
      <c r="BC1074" s="65">
        <v>438066.44</v>
      </c>
      <c r="BD1074" s="65">
        <v>442434.9</v>
      </c>
      <c r="BE1074" s="65">
        <v>445622.37</v>
      </c>
      <c r="BF1074" s="65">
        <v>449511.75</v>
      </c>
      <c r="BG1074" s="65">
        <v>453379.65</v>
      </c>
      <c r="BH1074" s="65">
        <v>456569.61</v>
      </c>
      <c r="BI1074" s="65">
        <v>460691.77</v>
      </c>
      <c r="BJ1074" s="65">
        <v>465730.57</v>
      </c>
      <c r="BK1074" s="65">
        <v>470557.06</v>
      </c>
      <c r="BL1074" s="65">
        <v>474862.8</v>
      </c>
      <c r="BM1074" s="65">
        <v>480110.15</v>
      </c>
      <c r="BN1074" s="65">
        <v>485120.1</v>
      </c>
      <c r="BO1074" s="65">
        <v>489518.07</v>
      </c>
      <c r="BP1074" s="65">
        <v>495442.5</v>
      </c>
      <c r="BQ1074" s="65">
        <v>499627.7</v>
      </c>
      <c r="BR1074" s="65">
        <v>504324.6</v>
      </c>
      <c r="BS1074" s="65">
        <v>509599.9</v>
      </c>
      <c r="BT1074" s="88">
        <v>512780.0</v>
      </c>
      <c r="BU1074" s="65">
        <v>517577.0</v>
      </c>
      <c r="BV1074" s="65">
        <v>523527.4</v>
      </c>
      <c r="BW1074" s="90">
        <v>524857.7</v>
      </c>
      <c r="BX1074" s="90">
        <v>529819.52</v>
      </c>
      <c r="BY1074" s="90">
        <f t="array" ref="BY1074">XLOOKUP(C1074,'PL TOTAL D0'!$A$3:$A$1991,'PL TOTAL D0'!$C$3:$C$1991,"")</f>
        <v>532278.96</v>
      </c>
    </row>
    <row r="1075" ht="15.75" customHeight="1">
      <c r="A1075" s="50" t="s">
        <v>24</v>
      </c>
      <c r="B1075" s="513" t="s">
        <v>9257</v>
      </c>
      <c r="C1075" s="53" t="s">
        <v>2487</v>
      </c>
      <c r="D1075" s="30" t="s">
        <v>142</v>
      </c>
      <c r="E1075" s="22" t="s">
        <v>54</v>
      </c>
      <c r="F1075" s="30" t="s">
        <v>158</v>
      </c>
      <c r="G1075" s="47" t="str">
        <f t="shared" si="44"/>
        <v>David</v>
      </c>
      <c r="H1075" s="49" t="s">
        <v>183</v>
      </c>
      <c r="I1075" s="49" t="s">
        <v>66</v>
      </c>
      <c r="J1075" s="47" t="str">
        <f t="shared" si="47"/>
        <v>Não</v>
      </c>
      <c r="K1075" s="54">
        <v>46232.0</v>
      </c>
      <c r="L1075" s="189"/>
      <c r="M1075" s="32" t="s">
        <v>61</v>
      </c>
      <c r="N1075" s="56">
        <v>0.012</v>
      </c>
      <c r="O1075" s="23" t="s">
        <v>66</v>
      </c>
      <c r="P1075" s="57">
        <v>0.0</v>
      </c>
      <c r="Q1075" s="58"/>
      <c r="R1075" s="635"/>
      <c r="S1075" s="32" t="s">
        <v>194</v>
      </c>
      <c r="T1075" s="177" t="s">
        <v>9258</v>
      </c>
      <c r="U1075" s="33" t="s">
        <v>9259</v>
      </c>
      <c r="V1075" s="33" t="s">
        <v>9260</v>
      </c>
      <c r="W1075" s="34">
        <v>24314.0</v>
      </c>
      <c r="X1075" s="23" t="s">
        <v>54</v>
      </c>
      <c r="Y1075" s="49" t="str">
        <f t="shared" si="46"/>
        <v>Ativo</v>
      </c>
      <c r="Z1075" s="62"/>
      <c r="AA1075" s="32" t="s">
        <v>47</v>
      </c>
      <c r="AB1075" s="64"/>
      <c r="AC1075" s="79"/>
      <c r="AD1075" s="54"/>
      <c r="AE1075" s="77"/>
      <c r="AF1075" s="79"/>
      <c r="AG1075" s="79"/>
      <c r="AH1075" s="79"/>
      <c r="AI1075" s="79"/>
      <c r="AJ1075" s="79"/>
      <c r="AK1075" s="79"/>
      <c r="AL1075" s="79"/>
      <c r="AM1075" s="79"/>
      <c r="AN1075" s="79"/>
      <c r="AO1075" s="79"/>
      <c r="AP1075" s="79"/>
      <c r="AQ1075" s="79"/>
      <c r="AR1075" s="79"/>
      <c r="AS1075" s="79"/>
      <c r="AT1075" s="79"/>
      <c r="AU1075" s="79"/>
      <c r="AV1075" s="65"/>
      <c r="AW1075" s="65"/>
      <c r="AX1075" s="65"/>
      <c r="AY1075" s="65"/>
      <c r="AZ1075" s="65"/>
      <c r="BA1075" s="65"/>
      <c r="BB1075" s="65"/>
      <c r="BC1075" s="65"/>
      <c r="BD1075" s="65"/>
      <c r="BE1075" s="65"/>
      <c r="BF1075" s="65"/>
      <c r="BG1075" s="65"/>
      <c r="BH1075" s="65"/>
      <c r="BI1075" s="65"/>
      <c r="BJ1075" s="65"/>
      <c r="BK1075" s="65"/>
      <c r="BL1075" s="65"/>
      <c r="BM1075" s="65"/>
      <c r="BN1075" s="65"/>
      <c r="BO1075" s="65"/>
      <c r="BP1075" s="65"/>
      <c r="BQ1075" s="65"/>
      <c r="BR1075" s="65"/>
      <c r="BS1075" s="65"/>
      <c r="BT1075" s="88"/>
      <c r="BU1075" s="65"/>
      <c r="BV1075" s="65"/>
      <c r="BW1075" s="90"/>
      <c r="BX1075" s="90"/>
      <c r="BY1075" s="90"/>
    </row>
    <row r="1076" ht="15.75" customHeight="1">
      <c r="A1076" s="50" t="s">
        <v>24</v>
      </c>
      <c r="B1076" s="513" t="s">
        <v>9261</v>
      </c>
      <c r="C1076" s="94" t="s">
        <v>3340</v>
      </c>
      <c r="D1076" s="30" t="s">
        <v>89</v>
      </c>
      <c r="E1076" s="22" t="s">
        <v>91</v>
      </c>
      <c r="F1076" s="30" t="s">
        <v>1869</v>
      </c>
      <c r="G1076" s="47" t="str">
        <f t="shared" si="44"/>
        <v>Marcus</v>
      </c>
      <c r="H1076" s="49" t="s">
        <v>183</v>
      </c>
      <c r="I1076" s="49" t="s">
        <v>66</v>
      </c>
      <c r="J1076" s="47" t="str">
        <f t="shared" si="47"/>
        <v>Não</v>
      </c>
      <c r="K1076" s="54">
        <v>46057.0</v>
      </c>
      <c r="L1076" s="189"/>
      <c r="M1076" s="32" t="s">
        <v>61</v>
      </c>
      <c r="N1076" s="56">
        <v>0.012</v>
      </c>
      <c r="O1076" s="23" t="s">
        <v>66</v>
      </c>
      <c r="P1076" s="57">
        <v>0.0</v>
      </c>
      <c r="Q1076" s="58"/>
      <c r="R1076" s="635"/>
      <c r="S1076" s="32" t="s">
        <v>194</v>
      </c>
      <c r="T1076" s="177" t="s">
        <v>9262</v>
      </c>
      <c r="U1076" s="33" t="s">
        <v>9263</v>
      </c>
      <c r="V1076" s="33" t="s">
        <v>9264</v>
      </c>
      <c r="W1076" s="34">
        <v>36366.0</v>
      </c>
      <c r="X1076" s="23" t="s">
        <v>221</v>
      </c>
      <c r="Y1076" s="49" t="str">
        <f t="shared" si="46"/>
        <v>Ativo</v>
      </c>
      <c r="Z1076" s="62"/>
      <c r="AA1076" s="32" t="s">
        <v>47</v>
      </c>
      <c r="AB1076" s="64"/>
      <c r="AC1076" s="79"/>
      <c r="AD1076" s="54">
        <v>46203.0</v>
      </c>
      <c r="AE1076" s="77"/>
      <c r="AF1076" s="79"/>
      <c r="AG1076" s="79"/>
      <c r="AH1076" s="79"/>
      <c r="AI1076" s="79"/>
      <c r="AJ1076" s="79"/>
      <c r="AK1076" s="79"/>
      <c r="AL1076" s="79"/>
      <c r="AM1076" s="79"/>
      <c r="AN1076" s="79"/>
      <c r="AO1076" s="79"/>
      <c r="AP1076" s="79"/>
      <c r="AQ1076" s="79"/>
      <c r="AR1076" s="79"/>
      <c r="AS1076" s="79"/>
      <c r="AT1076" s="79"/>
      <c r="AU1076" s="79"/>
      <c r="AV1076" s="65"/>
      <c r="AW1076" s="65"/>
      <c r="AX1076" s="65"/>
      <c r="AY1076" s="65"/>
      <c r="AZ1076" s="65"/>
      <c r="BA1076" s="65"/>
      <c r="BB1076" s="65"/>
      <c r="BC1076" s="65"/>
      <c r="BD1076" s="65"/>
      <c r="BE1076" s="65"/>
      <c r="BF1076" s="65"/>
      <c r="BG1076" s="65"/>
      <c r="BH1076" s="65"/>
      <c r="BI1076" s="65"/>
      <c r="BJ1076" s="65"/>
      <c r="BK1076" s="65"/>
      <c r="BL1076" s="65"/>
      <c r="BM1076" s="65"/>
      <c r="BN1076" s="65"/>
      <c r="BO1076" s="65"/>
      <c r="BP1076" s="65"/>
      <c r="BQ1076" s="65"/>
      <c r="BR1076" s="65"/>
      <c r="BS1076" s="65" t="s">
        <v>1739</v>
      </c>
      <c r="BT1076" s="88">
        <v>56620.29</v>
      </c>
      <c r="BU1076" s="65">
        <v>57331.81</v>
      </c>
      <c r="BV1076" s="65">
        <v>57951.5</v>
      </c>
      <c r="BW1076" s="90">
        <v>68814.98</v>
      </c>
      <c r="BX1076" s="90">
        <v>69456.4</v>
      </c>
      <c r="BY1076" s="90">
        <f t="array" ref="BY1076">XLOOKUP(C1076,'PL TOTAL D0'!$A$3:$A$1991,'PL TOTAL D0'!$C$3:$C$1991,"")</f>
        <v>90694.98</v>
      </c>
    </row>
    <row r="1077" ht="15.75" customHeight="1">
      <c r="A1077" s="50" t="s">
        <v>24</v>
      </c>
      <c r="B1077" s="513" t="s">
        <v>1500</v>
      </c>
      <c r="C1077" s="94" t="s">
        <v>2704</v>
      </c>
      <c r="D1077" s="30" t="s">
        <v>89</v>
      </c>
      <c r="E1077" s="22" t="s">
        <v>91</v>
      </c>
      <c r="F1077" s="30" t="s">
        <v>521</v>
      </c>
      <c r="G1077" s="47" t="str">
        <f t="shared" si="44"/>
        <v>Marcus</v>
      </c>
      <c r="H1077" s="49" t="s">
        <v>183</v>
      </c>
      <c r="I1077" s="49" t="s">
        <v>66</v>
      </c>
      <c r="J1077" s="47" t="str">
        <f t="shared" si="47"/>
        <v>Não</v>
      </c>
      <c r="K1077" s="54">
        <v>45617.0</v>
      </c>
      <c r="L1077" s="189"/>
      <c r="M1077" s="32" t="s">
        <v>1360</v>
      </c>
      <c r="N1077" s="56">
        <v>0.015</v>
      </c>
      <c r="O1077" s="23" t="s">
        <v>66</v>
      </c>
      <c r="P1077" s="57">
        <v>0.0</v>
      </c>
      <c r="Q1077" s="58"/>
      <c r="R1077" s="635"/>
      <c r="S1077" s="32" t="s">
        <v>194</v>
      </c>
      <c r="T1077" s="177" t="s">
        <v>1502</v>
      </c>
      <c r="U1077" s="33">
        <v>5.543999952035E12</v>
      </c>
      <c r="V1077" s="33" t="s">
        <v>9265</v>
      </c>
      <c r="W1077" s="34">
        <v>27338.0</v>
      </c>
      <c r="X1077" s="23" t="s">
        <v>221</v>
      </c>
      <c r="Y1077" s="49" t="str">
        <f t="shared" si="46"/>
        <v>Ativo</v>
      </c>
      <c r="Z1077" s="62"/>
      <c r="AA1077" s="32" t="s">
        <v>47</v>
      </c>
      <c r="AB1077" s="64"/>
      <c r="AC1077" s="79"/>
      <c r="AD1077" s="54">
        <v>45621.0</v>
      </c>
      <c r="AE1077" s="77">
        <v>4.9075100016194E13</v>
      </c>
      <c r="AF1077" s="79"/>
      <c r="AG1077" s="79"/>
      <c r="AH1077" s="79"/>
      <c r="AI1077" s="79"/>
      <c r="AJ1077" s="79"/>
      <c r="AK1077" s="79"/>
      <c r="AL1077" s="79"/>
      <c r="AM1077" s="79"/>
      <c r="AN1077" s="79"/>
      <c r="AO1077" s="79"/>
      <c r="AP1077" s="79"/>
      <c r="AQ1077" s="79"/>
      <c r="AR1077" s="79"/>
      <c r="AS1077" s="79"/>
      <c r="AT1077" s="79"/>
      <c r="AU1077" s="79"/>
      <c r="AV1077" s="65"/>
      <c r="AW1077" s="65"/>
      <c r="AX1077" s="65"/>
      <c r="AY1077" s="65"/>
      <c r="AZ1077" s="65"/>
      <c r="BA1077" s="65"/>
      <c r="BB1077" s="65"/>
      <c r="BC1077" s="65"/>
      <c r="BD1077" s="65"/>
      <c r="BE1077" s="65">
        <v>716894.11</v>
      </c>
      <c r="BF1077" s="65">
        <v>738216.33</v>
      </c>
      <c r="BG1077" s="65">
        <v>757325.87</v>
      </c>
      <c r="BH1077" s="65">
        <v>773527.63</v>
      </c>
      <c r="BI1077" s="65">
        <v>805999.59</v>
      </c>
      <c r="BJ1077" s="65">
        <v>818534.2</v>
      </c>
      <c r="BK1077" s="65">
        <v>864255.16</v>
      </c>
      <c r="BL1077" s="65">
        <v>853984.67</v>
      </c>
      <c r="BM1077" s="65">
        <v>870959.19</v>
      </c>
      <c r="BN1077" s="65">
        <v>878521.6</v>
      </c>
      <c r="BO1077" s="65">
        <v>889685.05</v>
      </c>
      <c r="BP1077" s="65">
        <v>905944.7</v>
      </c>
      <c r="BQ1077" s="65">
        <v>912638.6</v>
      </c>
      <c r="BR1077" s="65">
        <v>922360.4</v>
      </c>
      <c r="BS1077" s="65">
        <v>928142.99</v>
      </c>
      <c r="BT1077" s="88">
        <v>933448.0</v>
      </c>
      <c r="BU1077" s="65">
        <v>943035.5</v>
      </c>
      <c r="BV1077" s="65">
        <v>954443.5</v>
      </c>
      <c r="BW1077" s="90">
        <v>967512.9</v>
      </c>
      <c r="BX1077" s="90">
        <v>1009705.85</v>
      </c>
      <c r="BY1077" s="90">
        <f t="array" ref="BY1077">XLOOKUP(C1077,'PL TOTAL D0'!$A$3:$A$1991,'PL TOTAL D0'!$C$3:$C$1991,"")</f>
        <v>992283.08</v>
      </c>
    </row>
    <row r="1078" ht="15.75" customHeight="1">
      <c r="A1078" s="43" t="s">
        <v>24</v>
      </c>
      <c r="B1078" s="43" t="s">
        <v>9266</v>
      </c>
      <c r="C1078" s="94" t="s">
        <v>9267</v>
      </c>
      <c r="D1078" s="30" t="s">
        <v>120</v>
      </c>
      <c r="E1078" s="22" t="s">
        <v>199</v>
      </c>
      <c r="F1078" s="30" t="s">
        <v>1312</v>
      </c>
      <c r="G1078" s="47" t="str">
        <f t="shared" si="44"/>
        <v>David</v>
      </c>
      <c r="H1078" s="49" t="s">
        <v>224</v>
      </c>
      <c r="I1078" s="49" t="s">
        <v>66</v>
      </c>
      <c r="J1078" s="47" t="str">
        <f t="shared" si="47"/>
        <v>Não</v>
      </c>
      <c r="K1078" s="54">
        <v>45369.0</v>
      </c>
      <c r="L1078" s="186">
        <v>45545.0</v>
      </c>
      <c r="M1078" s="32" t="s">
        <v>209</v>
      </c>
      <c r="N1078" s="56">
        <v>0.015</v>
      </c>
      <c r="O1078" s="23" t="s">
        <v>35</v>
      </c>
      <c r="P1078" s="57">
        <v>0.2</v>
      </c>
      <c r="Q1078" s="58"/>
      <c r="R1078" s="58" t="s">
        <v>610</v>
      </c>
      <c r="S1078" s="32" t="s">
        <v>194</v>
      </c>
      <c r="T1078" s="32" t="s">
        <v>9268</v>
      </c>
      <c r="U1078" s="33" t="s">
        <v>268</v>
      </c>
      <c r="V1078" s="33"/>
      <c r="W1078" s="33" t="s">
        <v>268</v>
      </c>
      <c r="X1078" s="23" t="s">
        <v>199</v>
      </c>
      <c r="Y1078" s="49" t="str">
        <f t="shared" si="46"/>
        <v>Encerrado</v>
      </c>
      <c r="Z1078" s="32"/>
      <c r="AA1078" s="32" t="s">
        <v>47</v>
      </c>
      <c r="AB1078" s="64" t="s">
        <v>269</v>
      </c>
      <c r="AC1078" s="79"/>
      <c r="AD1078" s="54">
        <v>45369.0</v>
      </c>
      <c r="AE1078" s="77">
        <v>4.9075100013888E13</v>
      </c>
      <c r="AF1078" s="79"/>
      <c r="AG1078" s="79"/>
      <c r="AH1078" s="79"/>
      <c r="AI1078" s="79"/>
      <c r="AJ1078" s="79"/>
      <c r="AK1078" s="79"/>
      <c r="AL1078" s="79"/>
      <c r="AM1078" s="79"/>
      <c r="AN1078" s="79"/>
      <c r="AO1078" s="79"/>
      <c r="AP1078" s="79"/>
      <c r="AQ1078" s="79"/>
      <c r="AR1078" s="79"/>
      <c r="AS1078" s="79"/>
      <c r="AT1078" s="79"/>
      <c r="AU1078" s="79"/>
      <c r="AV1078" s="65"/>
      <c r="AW1078" s="65">
        <v>150736.95</v>
      </c>
      <c r="AX1078" s="65">
        <v>149844.48</v>
      </c>
      <c r="AY1078" s="65">
        <v>149396.4</v>
      </c>
      <c r="AZ1078" s="65">
        <v>257557.2</v>
      </c>
      <c r="BA1078" s="65">
        <v>381648.1</v>
      </c>
      <c r="BB1078" s="65">
        <v>400364.99</v>
      </c>
      <c r="BC1078" s="65">
        <v>0.0</v>
      </c>
      <c r="BD1078" s="65">
        <v>0.0</v>
      </c>
      <c r="BE1078" s="65">
        <v>0.0</v>
      </c>
      <c r="BF1078" s="65">
        <v>0.0</v>
      </c>
      <c r="BG1078" s="65">
        <v>0.0</v>
      </c>
      <c r="BH1078" s="65">
        <v>0.0</v>
      </c>
      <c r="BI1078" s="65">
        <v>0.0</v>
      </c>
      <c r="BJ1078" s="65">
        <v>0.0</v>
      </c>
      <c r="BK1078" s="65">
        <v>0.0</v>
      </c>
      <c r="BL1078" s="65">
        <v>0.0</v>
      </c>
      <c r="BM1078" s="65">
        <v>0.0</v>
      </c>
      <c r="BN1078" s="65">
        <v>0.0</v>
      </c>
      <c r="BO1078" s="65">
        <v>0.0</v>
      </c>
      <c r="BP1078" s="65">
        <v>0.0</v>
      </c>
      <c r="BQ1078" s="65">
        <v>0.0</v>
      </c>
      <c r="BR1078" s="65">
        <v>0.0</v>
      </c>
      <c r="BS1078" s="65">
        <v>0.0</v>
      </c>
      <c r="BT1078" s="88">
        <v>0.0</v>
      </c>
      <c r="BU1078" s="65">
        <v>0.0</v>
      </c>
      <c r="BV1078" s="65">
        <v>0.0</v>
      </c>
      <c r="BW1078" s="90">
        <v>0.0</v>
      </c>
      <c r="BX1078" s="90">
        <v>0.0</v>
      </c>
      <c r="BY1078" s="90" t="str">
        <f t="array" ref="BY1078">XLOOKUP(C1078,'PL TOTAL D0'!$A$3:$A$1991,'PL TOTAL D0'!$C$3:$C$1991,"")</f>
        <v/>
      </c>
    </row>
    <row r="1079" ht="15.75" customHeight="1">
      <c r="A1079" s="43" t="s">
        <v>24</v>
      </c>
      <c r="B1079" s="43" t="s">
        <v>9266</v>
      </c>
      <c r="C1079" s="94" t="s">
        <v>9269</v>
      </c>
      <c r="D1079" s="30" t="s">
        <v>120</v>
      </c>
      <c r="E1079" s="22" t="s">
        <v>199</v>
      </c>
      <c r="F1079" s="30" t="s">
        <v>1312</v>
      </c>
      <c r="G1079" s="47" t="str">
        <f t="shared" si="44"/>
        <v>David</v>
      </c>
      <c r="H1079" s="49" t="s">
        <v>224</v>
      </c>
      <c r="I1079" s="49" t="s">
        <v>66</v>
      </c>
      <c r="J1079" s="47" t="str">
        <f t="shared" si="47"/>
        <v>Não</v>
      </c>
      <c r="K1079" s="54">
        <v>45463.0</v>
      </c>
      <c r="L1079" s="186">
        <v>45545.0</v>
      </c>
      <c r="M1079" s="32" t="s">
        <v>201</v>
      </c>
      <c r="N1079" s="56">
        <v>0.0</v>
      </c>
      <c r="O1079" s="23" t="s">
        <v>66</v>
      </c>
      <c r="P1079" s="57">
        <v>0.0</v>
      </c>
      <c r="Q1079" s="58"/>
      <c r="R1079" s="58" t="s">
        <v>610</v>
      </c>
      <c r="S1079" s="32" t="s">
        <v>194</v>
      </c>
      <c r="T1079" s="32" t="s">
        <v>9268</v>
      </c>
      <c r="U1079" s="33" t="s">
        <v>268</v>
      </c>
      <c r="V1079" s="33"/>
      <c r="W1079" s="33" t="s">
        <v>268</v>
      </c>
      <c r="X1079" s="23" t="s">
        <v>199</v>
      </c>
      <c r="Y1079" s="49" t="str">
        <f t="shared" si="46"/>
        <v>Encerrado</v>
      </c>
      <c r="Z1079" s="32"/>
      <c r="AA1079" s="32" t="s">
        <v>47</v>
      </c>
      <c r="AB1079" s="64" t="s">
        <v>269</v>
      </c>
      <c r="AC1079" s="79"/>
      <c r="AD1079" s="54">
        <v>45463.0</v>
      </c>
      <c r="AE1079" s="77">
        <v>4.9075100014892E13</v>
      </c>
      <c r="AF1079" s="79"/>
      <c r="AG1079" s="79"/>
      <c r="AH1079" s="79"/>
      <c r="AI1079" s="79"/>
      <c r="AJ1079" s="79"/>
      <c r="AK1079" s="79"/>
      <c r="AL1079" s="79"/>
      <c r="AM1079" s="79"/>
      <c r="AN1079" s="79"/>
      <c r="AO1079" s="79"/>
      <c r="AP1079" s="79"/>
      <c r="AQ1079" s="79"/>
      <c r="AR1079" s="79"/>
      <c r="AS1079" s="79"/>
      <c r="AT1079" s="79"/>
      <c r="AU1079" s="79"/>
      <c r="AV1079" s="65"/>
      <c r="AW1079" s="65"/>
      <c r="AX1079" s="65"/>
      <c r="AY1079" s="65"/>
      <c r="AZ1079" s="65">
        <v>0.0</v>
      </c>
      <c r="BA1079" s="65">
        <v>1407426.0</v>
      </c>
      <c r="BB1079" s="65">
        <v>1417853.46</v>
      </c>
      <c r="BC1079" s="65">
        <v>0.0</v>
      </c>
      <c r="BD1079" s="65">
        <v>0.0</v>
      </c>
      <c r="BE1079" s="65">
        <v>0.0</v>
      </c>
      <c r="BF1079" s="65">
        <v>0.0</v>
      </c>
      <c r="BG1079" s="65">
        <v>0.0</v>
      </c>
      <c r="BH1079" s="65">
        <v>0.0</v>
      </c>
      <c r="BI1079" s="65">
        <v>0.0</v>
      </c>
      <c r="BJ1079" s="65">
        <v>0.0</v>
      </c>
      <c r="BK1079" s="65">
        <v>0.0</v>
      </c>
      <c r="BL1079" s="65">
        <v>0.0</v>
      </c>
      <c r="BM1079" s="65">
        <v>0.0</v>
      </c>
      <c r="BN1079" s="65">
        <v>0.0</v>
      </c>
      <c r="BO1079" s="65">
        <v>0.0</v>
      </c>
      <c r="BP1079" s="65">
        <v>0.0</v>
      </c>
      <c r="BQ1079" s="65">
        <v>0.0</v>
      </c>
      <c r="BR1079" s="65">
        <v>0.0</v>
      </c>
      <c r="BS1079" s="65">
        <v>0.0</v>
      </c>
      <c r="BT1079" s="88">
        <v>0.0</v>
      </c>
      <c r="BU1079" s="65">
        <v>0.0</v>
      </c>
      <c r="BV1079" s="65">
        <v>0.0</v>
      </c>
      <c r="BW1079" s="90">
        <v>0.0</v>
      </c>
      <c r="BX1079" s="90">
        <v>0.0</v>
      </c>
      <c r="BY1079" s="90" t="str">
        <f t="array" ref="BY1079">XLOOKUP(C1079,'PL TOTAL D0'!$A$3:$A$1991,'PL TOTAL D0'!$C$3:$C$1991,"")</f>
        <v/>
      </c>
    </row>
    <row r="1080" ht="15.75" customHeight="1">
      <c r="A1080" s="43" t="s">
        <v>24</v>
      </c>
      <c r="B1080" s="43" t="s">
        <v>2234</v>
      </c>
      <c r="C1080" s="94" t="s">
        <v>2715</v>
      </c>
      <c r="D1080" s="30" t="s">
        <v>89</v>
      </c>
      <c r="E1080" s="22" t="s">
        <v>91</v>
      </c>
      <c r="F1080" s="30" t="s">
        <v>521</v>
      </c>
      <c r="G1080" s="47" t="str">
        <f t="shared" si="44"/>
        <v>Gabriel</v>
      </c>
      <c r="H1080" s="49" t="s">
        <v>183</v>
      </c>
      <c r="I1080" s="49" t="s">
        <v>66</v>
      </c>
      <c r="J1080" s="47" t="str">
        <f t="shared" si="47"/>
        <v>Não</v>
      </c>
      <c r="K1080" s="54">
        <v>45784.0</v>
      </c>
      <c r="L1080" s="186"/>
      <c r="M1080" s="32" t="s">
        <v>34</v>
      </c>
      <c r="N1080" s="56">
        <v>0.012</v>
      </c>
      <c r="O1080" s="23" t="s">
        <v>35</v>
      </c>
      <c r="P1080" s="57">
        <v>0.1</v>
      </c>
      <c r="Q1080" s="58"/>
      <c r="R1080" s="58"/>
      <c r="S1080" s="32" t="s">
        <v>194</v>
      </c>
      <c r="T1080" s="32" t="s">
        <v>2240</v>
      </c>
      <c r="U1080" s="33">
        <v>5.543999125571E12</v>
      </c>
      <c r="V1080" s="33" t="s">
        <v>2242</v>
      </c>
      <c r="W1080" s="34">
        <v>28963.0</v>
      </c>
      <c r="X1080" s="23" t="s">
        <v>221</v>
      </c>
      <c r="Y1080" s="49" t="str">
        <f t="shared" si="46"/>
        <v>Ativo</v>
      </c>
      <c r="Z1080" s="32"/>
      <c r="AA1080" s="32" t="s">
        <v>47</v>
      </c>
      <c r="AB1080" s="64"/>
      <c r="AC1080" s="79"/>
      <c r="AD1080" s="54">
        <v>45791.0</v>
      </c>
      <c r="AE1080" s="77">
        <v>4.9075100018839E13</v>
      </c>
      <c r="AF1080" s="79"/>
      <c r="AG1080" s="79"/>
      <c r="AH1080" s="79"/>
      <c r="AI1080" s="79"/>
      <c r="AJ1080" s="79"/>
      <c r="AK1080" s="79"/>
      <c r="AL1080" s="79"/>
      <c r="AM1080" s="79"/>
      <c r="AN1080" s="79"/>
      <c r="AO1080" s="79"/>
      <c r="AP1080" s="79"/>
      <c r="AQ1080" s="79"/>
      <c r="AR1080" s="79"/>
      <c r="AS1080" s="79"/>
      <c r="AT1080" s="79"/>
      <c r="AU1080" s="79"/>
      <c r="AV1080" s="65"/>
      <c r="AW1080" s="65"/>
      <c r="AX1080" s="65"/>
      <c r="AY1080" s="65"/>
      <c r="AZ1080" s="65"/>
      <c r="BA1080" s="65"/>
      <c r="BB1080" s="65"/>
      <c r="BC1080" s="65"/>
      <c r="BD1080" s="65"/>
      <c r="BE1080" s="65"/>
      <c r="BF1080" s="65"/>
      <c r="BG1080" s="65"/>
      <c r="BH1080" s="65"/>
      <c r="BI1080" s="65"/>
      <c r="BJ1080" s="65"/>
      <c r="BK1080" s="65">
        <v>307128.71</v>
      </c>
      <c r="BL1080" s="65">
        <v>365837.45</v>
      </c>
      <c r="BM1080" s="65">
        <v>380139.16</v>
      </c>
      <c r="BN1080" s="65">
        <v>503736.6</v>
      </c>
      <c r="BO1080" s="65">
        <v>548326.96</v>
      </c>
      <c r="BP1080" s="65">
        <v>600640.0</v>
      </c>
      <c r="BQ1080" s="65">
        <v>655378.4</v>
      </c>
      <c r="BR1080" s="65">
        <v>717728.9</v>
      </c>
      <c r="BS1080" s="65">
        <v>759418.24</v>
      </c>
      <c r="BT1080" s="88">
        <v>787487.7</v>
      </c>
      <c r="BU1080" s="65">
        <v>823036.5</v>
      </c>
      <c r="BV1080" s="65">
        <v>907208.3</v>
      </c>
      <c r="BW1080" s="90">
        <v>916030.7</v>
      </c>
      <c r="BX1080" s="90">
        <v>926463.21</v>
      </c>
      <c r="BY1080" s="90">
        <f t="array" ref="BY1080">XLOOKUP(C1080,'PL TOTAL D0'!$A$3:$A$1991,'PL TOTAL D0'!$C$3:$C$1991,"")</f>
        <v>936735.44</v>
      </c>
    </row>
    <row r="1081" ht="15.75" customHeight="1">
      <c r="A1081" s="43" t="s">
        <v>24</v>
      </c>
      <c r="B1081" s="43" t="s">
        <v>2234</v>
      </c>
      <c r="C1081" s="94" t="s">
        <v>9270</v>
      </c>
      <c r="D1081" s="30" t="s">
        <v>89</v>
      </c>
      <c r="E1081" s="22" t="s">
        <v>91</v>
      </c>
      <c r="F1081" s="30" t="s">
        <v>521</v>
      </c>
      <c r="G1081" s="47" t="str">
        <f t="shared" si="44"/>
        <v>David</v>
      </c>
      <c r="H1081" s="49" t="s">
        <v>183</v>
      </c>
      <c r="I1081" s="49" t="s">
        <v>66</v>
      </c>
      <c r="J1081" s="47" t="str">
        <f t="shared" si="47"/>
        <v>Não</v>
      </c>
      <c r="K1081" s="54">
        <v>46014.0</v>
      </c>
      <c r="L1081" s="186"/>
      <c r="M1081" s="32" t="s">
        <v>4551</v>
      </c>
      <c r="N1081" s="56">
        <v>0.01</v>
      </c>
      <c r="O1081" s="23" t="s">
        <v>66</v>
      </c>
      <c r="P1081" s="57">
        <v>0.0</v>
      </c>
      <c r="Q1081" s="58"/>
      <c r="R1081" s="58"/>
      <c r="S1081" s="32" t="s">
        <v>194</v>
      </c>
      <c r="T1081" s="32" t="s">
        <v>2240</v>
      </c>
      <c r="U1081" s="33">
        <v>5.543999125571E12</v>
      </c>
      <c r="V1081" s="33" t="s">
        <v>2242</v>
      </c>
      <c r="W1081" s="34">
        <v>28963.0</v>
      </c>
      <c r="X1081" s="23" t="s">
        <v>221</v>
      </c>
      <c r="Y1081" s="49" t="str">
        <f t="shared" si="46"/>
        <v>Ativo</v>
      </c>
      <c r="Z1081" s="32"/>
      <c r="AA1081" s="32" t="s">
        <v>47</v>
      </c>
      <c r="AB1081" s="64"/>
      <c r="AC1081" s="79"/>
      <c r="AD1081" s="54">
        <v>46203.0</v>
      </c>
      <c r="AE1081" s="77"/>
      <c r="AF1081" s="79"/>
      <c r="AG1081" s="79"/>
      <c r="AH1081" s="79"/>
      <c r="AI1081" s="79"/>
      <c r="AJ1081" s="79"/>
      <c r="AK1081" s="79"/>
      <c r="AL1081" s="79"/>
      <c r="AM1081" s="79"/>
      <c r="AN1081" s="79"/>
      <c r="AO1081" s="79"/>
      <c r="AP1081" s="79"/>
      <c r="AQ1081" s="79"/>
      <c r="AR1081" s="79"/>
      <c r="AS1081" s="79"/>
      <c r="AT1081" s="79"/>
      <c r="AU1081" s="79"/>
      <c r="AV1081" s="65"/>
      <c r="AW1081" s="65"/>
      <c r="AX1081" s="65"/>
      <c r="AY1081" s="65"/>
      <c r="AZ1081" s="65"/>
      <c r="BA1081" s="65"/>
      <c r="BB1081" s="65"/>
      <c r="BC1081" s="65"/>
      <c r="BD1081" s="65"/>
      <c r="BE1081" s="65"/>
      <c r="BF1081" s="65"/>
      <c r="BG1081" s="65"/>
      <c r="BH1081" s="65"/>
      <c r="BI1081" s="65"/>
      <c r="BJ1081" s="65"/>
      <c r="BK1081" s="65"/>
      <c r="BL1081" s="65"/>
      <c r="BM1081" s="65"/>
      <c r="BN1081" s="65"/>
      <c r="BO1081" s="65"/>
      <c r="BP1081" s="65"/>
      <c r="BQ1081" s="65"/>
      <c r="BR1081" s="65">
        <v>4572.24</v>
      </c>
      <c r="BS1081" s="65">
        <v>3677.14</v>
      </c>
      <c r="BT1081" s="88">
        <v>5872.7</v>
      </c>
      <c r="BU1081" s="65">
        <v>6207.6</v>
      </c>
      <c r="BV1081" s="65">
        <v>6615.57</v>
      </c>
      <c r="BW1081" s="90">
        <v>6241.25</v>
      </c>
      <c r="BX1081" s="90">
        <v>5332.15</v>
      </c>
      <c r="BY1081" s="90" t="str">
        <f t="array" ref="BY1081">XLOOKUP(C1081,'PL TOTAL D0'!$A$3:$A$1991,'PL TOTAL D0'!$C$3:$C$1991,"")</f>
        <v/>
      </c>
    </row>
    <row r="1082" ht="15.75" customHeight="1">
      <c r="A1082" s="43" t="s">
        <v>24</v>
      </c>
      <c r="B1082" s="43" t="s">
        <v>9271</v>
      </c>
      <c r="C1082" s="53" t="s">
        <v>3362</v>
      </c>
      <c r="D1082" s="30" t="s">
        <v>142</v>
      </c>
      <c r="E1082" s="22" t="s">
        <v>54</v>
      </c>
      <c r="F1082" s="30" t="s">
        <v>158</v>
      </c>
      <c r="G1082" s="47" t="str">
        <f t="shared" si="44"/>
        <v>David</v>
      </c>
      <c r="H1082" s="49" t="s">
        <v>183</v>
      </c>
      <c r="I1082" s="49" t="s">
        <v>66</v>
      </c>
      <c r="J1082" s="47" t="str">
        <f t="shared" si="47"/>
        <v>Sim</v>
      </c>
      <c r="K1082" s="54">
        <v>46225.0</v>
      </c>
      <c r="L1082" s="186"/>
      <c r="M1082" s="32" t="s">
        <v>61</v>
      </c>
      <c r="N1082" s="56">
        <v>0.012</v>
      </c>
      <c r="O1082" s="23" t="s">
        <v>66</v>
      </c>
      <c r="P1082" s="57">
        <v>0.0</v>
      </c>
      <c r="Q1082" s="58" t="s">
        <v>9272</v>
      </c>
      <c r="R1082" s="58"/>
      <c r="S1082" s="32" t="s">
        <v>194</v>
      </c>
      <c r="T1082" s="32" t="s">
        <v>9273</v>
      </c>
      <c r="U1082" s="33" t="s">
        <v>9274</v>
      </c>
      <c r="V1082" s="33" t="s">
        <v>9275</v>
      </c>
      <c r="W1082" s="34">
        <v>26690.0</v>
      </c>
      <c r="X1082" s="23" t="s">
        <v>199</v>
      </c>
      <c r="Y1082" s="49" t="str">
        <f t="shared" si="46"/>
        <v>Ativo</v>
      </c>
      <c r="Z1082" s="32"/>
      <c r="AA1082" s="32" t="s">
        <v>47</v>
      </c>
      <c r="AB1082" s="64"/>
      <c r="AC1082" s="79"/>
      <c r="AD1082" s="54"/>
      <c r="AE1082" s="77"/>
      <c r="AF1082" s="79"/>
      <c r="AG1082" s="79"/>
      <c r="AH1082" s="79"/>
      <c r="AI1082" s="79"/>
      <c r="AJ1082" s="79"/>
      <c r="AK1082" s="79"/>
      <c r="AL1082" s="79"/>
      <c r="AM1082" s="79"/>
      <c r="AN1082" s="79"/>
      <c r="AO1082" s="79"/>
      <c r="AP1082" s="79"/>
      <c r="AQ1082" s="79"/>
      <c r="AR1082" s="79"/>
      <c r="AS1082" s="79"/>
      <c r="AT1082" s="79"/>
      <c r="AU1082" s="79"/>
      <c r="AV1082" s="65"/>
      <c r="AW1082" s="65"/>
      <c r="AX1082" s="65"/>
      <c r="AY1082" s="65"/>
      <c r="AZ1082" s="65"/>
      <c r="BA1082" s="65"/>
      <c r="BB1082" s="65"/>
      <c r="BC1082" s="65"/>
      <c r="BD1082" s="65"/>
      <c r="BE1082" s="65"/>
      <c r="BF1082" s="65"/>
      <c r="BG1082" s="65"/>
      <c r="BH1082" s="65"/>
      <c r="BI1082" s="65"/>
      <c r="BJ1082" s="65"/>
      <c r="BK1082" s="65"/>
      <c r="BL1082" s="65"/>
      <c r="BM1082" s="65"/>
      <c r="BN1082" s="65"/>
      <c r="BO1082" s="65"/>
      <c r="BP1082" s="65"/>
      <c r="BQ1082" s="65"/>
      <c r="BR1082" s="65"/>
      <c r="BS1082" s="65"/>
      <c r="BT1082" s="88"/>
      <c r="BU1082" s="65"/>
      <c r="BV1082" s="65"/>
      <c r="BW1082" s="90"/>
      <c r="BX1082" s="90"/>
      <c r="BY1082" s="90"/>
    </row>
    <row r="1083" ht="15.75" customHeight="1">
      <c r="A1083" s="43" t="s">
        <v>24</v>
      </c>
      <c r="B1083" s="43" t="s">
        <v>9276</v>
      </c>
      <c r="C1083" s="94" t="s">
        <v>9277</v>
      </c>
      <c r="D1083" s="30" t="s">
        <v>255</v>
      </c>
      <c r="E1083" s="22" t="s">
        <v>199</v>
      </c>
      <c r="F1083" s="30" t="s">
        <v>2328</v>
      </c>
      <c r="G1083" s="47" t="str">
        <f t="shared" si="44"/>
        <v>David</v>
      </c>
      <c r="H1083" s="49" t="s">
        <v>224</v>
      </c>
      <c r="I1083" s="49" t="s">
        <v>66</v>
      </c>
      <c r="J1083" s="23" t="s">
        <v>563</v>
      </c>
      <c r="K1083" s="54">
        <v>45359.0</v>
      </c>
      <c r="L1083" s="186">
        <v>45517.0</v>
      </c>
      <c r="M1083" s="32" t="s">
        <v>716</v>
      </c>
      <c r="N1083" s="56">
        <v>0.008</v>
      </c>
      <c r="O1083" s="23" t="s">
        <v>66</v>
      </c>
      <c r="P1083" s="57">
        <v>0.0</v>
      </c>
      <c r="Q1083" s="58"/>
      <c r="R1083" s="58" t="s">
        <v>3969</v>
      </c>
      <c r="S1083" s="32" t="s">
        <v>194</v>
      </c>
      <c r="T1083" s="32" t="s">
        <v>9278</v>
      </c>
      <c r="U1083" s="33" t="s">
        <v>268</v>
      </c>
      <c r="V1083" s="33"/>
      <c r="W1083" s="33" t="s">
        <v>268</v>
      </c>
      <c r="X1083" s="23"/>
      <c r="Y1083" s="49" t="str">
        <f t="shared" si="46"/>
        <v>Encerrado</v>
      </c>
      <c r="Z1083" s="32"/>
      <c r="AA1083" s="32"/>
      <c r="AB1083" s="64"/>
      <c r="AC1083" s="79"/>
      <c r="AD1083" s="54">
        <v>45359.0</v>
      </c>
      <c r="AE1083" s="77">
        <v>4.907510001395E13</v>
      </c>
      <c r="AF1083" s="79"/>
      <c r="AG1083" s="79"/>
      <c r="AH1083" s="79"/>
      <c r="AI1083" s="79"/>
      <c r="AJ1083" s="79"/>
      <c r="AK1083" s="79"/>
      <c r="AL1083" s="79"/>
      <c r="AM1083" s="79"/>
      <c r="AN1083" s="79"/>
      <c r="AO1083" s="79"/>
      <c r="AP1083" s="79"/>
      <c r="AQ1083" s="79"/>
      <c r="AR1083" s="79"/>
      <c r="AS1083" s="79"/>
      <c r="AT1083" s="79"/>
      <c r="AU1083" s="79"/>
      <c r="AV1083" s="65"/>
      <c r="AW1083" s="65">
        <v>1047159.73</v>
      </c>
      <c r="AX1083" s="65">
        <v>1247593.5</v>
      </c>
      <c r="AY1083" s="65">
        <v>2000171.0</v>
      </c>
      <c r="AZ1083" s="65">
        <v>1983042.0</v>
      </c>
      <c r="BA1083" s="65">
        <v>0.0</v>
      </c>
      <c r="BB1083" s="65">
        <v>0.0</v>
      </c>
      <c r="BC1083" s="65">
        <v>0.0</v>
      </c>
      <c r="BD1083" s="65">
        <v>0.0</v>
      </c>
      <c r="BE1083" s="65">
        <v>0.0</v>
      </c>
      <c r="BF1083" s="65">
        <v>0.0</v>
      </c>
      <c r="BG1083" s="65">
        <v>0.0</v>
      </c>
      <c r="BH1083" s="65">
        <v>0.0</v>
      </c>
      <c r="BI1083" s="65">
        <v>0.0</v>
      </c>
      <c r="BJ1083" s="65">
        <v>0.0</v>
      </c>
      <c r="BK1083" s="65">
        <v>0.0</v>
      </c>
      <c r="BL1083" s="65">
        <v>0.0</v>
      </c>
      <c r="BM1083" s="65">
        <v>0.0</v>
      </c>
      <c r="BN1083" s="65">
        <v>0.0</v>
      </c>
      <c r="BO1083" s="65">
        <v>0.0</v>
      </c>
      <c r="BP1083" s="65">
        <v>0.0</v>
      </c>
      <c r="BQ1083" s="65">
        <v>0.0</v>
      </c>
      <c r="BR1083" s="65">
        <v>0.0</v>
      </c>
      <c r="BS1083" s="65">
        <v>0.0</v>
      </c>
      <c r="BT1083" s="88">
        <v>0.0</v>
      </c>
      <c r="BU1083" s="65">
        <v>0.0</v>
      </c>
      <c r="BV1083" s="65">
        <v>0.0</v>
      </c>
      <c r="BW1083" s="90">
        <v>0.0</v>
      </c>
      <c r="BX1083" s="90">
        <v>0.0</v>
      </c>
      <c r="BY1083" s="90" t="str">
        <f t="array" ref="BY1083">XLOOKUP(C1083,'PL TOTAL D0'!$A$3:$A$1991,'PL TOTAL D0'!$C$3:$C$1991,"")</f>
        <v/>
      </c>
    </row>
    <row r="1084" ht="15.75" customHeight="1">
      <c r="A1084" s="43" t="s">
        <v>24</v>
      </c>
      <c r="B1084" s="50" t="s">
        <v>9279</v>
      </c>
      <c r="C1084" s="94" t="s">
        <v>9280</v>
      </c>
      <c r="D1084" s="81" t="s">
        <v>120</v>
      </c>
      <c r="E1084" s="95" t="s">
        <v>54</v>
      </c>
      <c r="F1084" s="81" t="s">
        <v>348</v>
      </c>
      <c r="G1084" s="47" t="str">
        <f t="shared" si="44"/>
        <v>David</v>
      </c>
      <c r="H1084" s="49" t="s">
        <v>224</v>
      </c>
      <c r="I1084" s="49" t="s">
        <v>66</v>
      </c>
      <c r="J1084" s="47" t="str">
        <f t="shared" ref="J1084:J1130" si="48">IF(Q1084=0,"Não","Sim")</f>
        <v>Não</v>
      </c>
      <c r="K1084" s="97">
        <v>44949.0</v>
      </c>
      <c r="L1084" s="55">
        <v>45966.0</v>
      </c>
      <c r="M1084" s="32" t="s">
        <v>1678</v>
      </c>
      <c r="N1084" s="98">
        <v>0.015</v>
      </c>
      <c r="O1084" s="47" t="s">
        <v>35</v>
      </c>
      <c r="P1084" s="99">
        <v>0.1</v>
      </c>
      <c r="Q1084" s="58"/>
      <c r="R1084" s="930" t="s">
        <v>610</v>
      </c>
      <c r="S1084" s="62" t="s">
        <v>194</v>
      </c>
      <c r="T1084" s="32" t="s">
        <v>7231</v>
      </c>
      <c r="U1084" s="33" t="s">
        <v>268</v>
      </c>
      <c r="V1084" s="33"/>
      <c r="W1084" s="33" t="s">
        <v>268</v>
      </c>
      <c r="X1084" s="23" t="s">
        <v>1586</v>
      </c>
      <c r="Y1084" s="49" t="str">
        <f t="shared" si="46"/>
        <v>Encerrado</v>
      </c>
      <c r="Z1084" s="62"/>
      <c r="AA1084" s="62"/>
      <c r="AB1084" s="64" t="s">
        <v>244</v>
      </c>
      <c r="AC1084" s="79"/>
      <c r="AD1084" s="54">
        <v>44949.0</v>
      </c>
      <c r="AE1084" s="77">
        <v>4.907510000635E13</v>
      </c>
      <c r="AF1084" s="79"/>
      <c r="AG1084" s="79"/>
      <c r="AH1084" s="79"/>
      <c r="AI1084" s="65">
        <v>518746.89</v>
      </c>
      <c r="AJ1084" s="65">
        <v>522921.32</v>
      </c>
      <c r="AK1084" s="65">
        <v>266412.32</v>
      </c>
      <c r="AL1084" s="65">
        <v>404393.62</v>
      </c>
      <c r="AM1084" s="65">
        <v>408190.6</v>
      </c>
      <c r="AN1084" s="65">
        <v>412192.57</v>
      </c>
      <c r="AO1084" s="65">
        <v>483870.82</v>
      </c>
      <c r="AP1084" s="65">
        <v>487362.75</v>
      </c>
      <c r="AQ1084" s="65">
        <v>506159.39</v>
      </c>
      <c r="AR1084" s="65">
        <v>526109.95</v>
      </c>
      <c r="AS1084" s="65">
        <v>532554.44</v>
      </c>
      <c r="AT1084" s="65">
        <v>536225.61</v>
      </c>
      <c r="AU1084" s="65">
        <v>550339.08</v>
      </c>
      <c r="AV1084" s="65">
        <v>603676.81</v>
      </c>
      <c r="AW1084" s="65">
        <v>608996.41</v>
      </c>
      <c r="AX1084" s="65">
        <v>607133.75</v>
      </c>
      <c r="AY1084" s="65">
        <v>624243.9</v>
      </c>
      <c r="AZ1084" s="65">
        <v>626972.7</v>
      </c>
      <c r="BA1084" s="65">
        <v>632638.6</v>
      </c>
      <c r="BB1084" s="65">
        <v>537441.1</v>
      </c>
      <c r="BC1084" s="65">
        <v>578581.23</v>
      </c>
      <c r="BD1084" s="65">
        <v>633781.43</v>
      </c>
      <c r="BE1084" s="65">
        <v>634500.71</v>
      </c>
      <c r="BF1084" s="65">
        <v>690305.37</v>
      </c>
      <c r="BG1084" s="65">
        <v>695425.94</v>
      </c>
      <c r="BH1084" s="65">
        <v>700814.11</v>
      </c>
      <c r="BI1084" s="65">
        <v>710084.75</v>
      </c>
      <c r="BJ1084" s="65">
        <v>712987.37</v>
      </c>
      <c r="BK1084" s="65">
        <v>744697.87</v>
      </c>
      <c r="BL1084" s="65">
        <v>750539.11</v>
      </c>
      <c r="BM1084" s="65">
        <v>0.0</v>
      </c>
      <c r="BN1084" s="65">
        <v>0.0</v>
      </c>
      <c r="BO1084" s="65">
        <v>0.0</v>
      </c>
      <c r="BP1084" s="65">
        <v>0.0</v>
      </c>
      <c r="BQ1084" s="65">
        <v>0.0</v>
      </c>
      <c r="BR1084" s="65">
        <v>0.0</v>
      </c>
      <c r="BS1084" s="65">
        <v>0.0</v>
      </c>
      <c r="BT1084" s="88">
        <v>0.0</v>
      </c>
      <c r="BU1084" s="65">
        <v>0.0</v>
      </c>
      <c r="BV1084" s="65">
        <v>0.0</v>
      </c>
      <c r="BW1084" s="90">
        <v>0.0</v>
      </c>
      <c r="BX1084" s="90">
        <v>0.0</v>
      </c>
      <c r="BY1084" s="90" t="str">
        <f t="array" ref="BY1084">XLOOKUP(C1084,'PL TOTAL D0'!$A$3:$A$1991,'PL TOTAL D0'!$C$3:$C$1991,"")</f>
        <v/>
      </c>
    </row>
    <row r="1085" ht="15.75" customHeight="1">
      <c r="A1085" s="50" t="s">
        <v>24</v>
      </c>
      <c r="B1085" s="50" t="s">
        <v>7111</v>
      </c>
      <c r="C1085" s="94" t="s">
        <v>3384</v>
      </c>
      <c r="D1085" s="30" t="s">
        <v>89</v>
      </c>
      <c r="E1085" s="95" t="s">
        <v>91</v>
      </c>
      <c r="F1085" s="81" t="s">
        <v>193</v>
      </c>
      <c r="G1085" s="47" t="str">
        <f t="shared" si="44"/>
        <v>David</v>
      </c>
      <c r="H1085" s="49" t="s">
        <v>183</v>
      </c>
      <c r="I1085" s="49" t="s">
        <v>66</v>
      </c>
      <c r="J1085" s="47" t="str">
        <f t="shared" si="48"/>
        <v>Não</v>
      </c>
      <c r="K1085" s="97">
        <v>45127.0</v>
      </c>
      <c r="L1085" s="189"/>
      <c r="M1085" s="32" t="s">
        <v>209</v>
      </c>
      <c r="N1085" s="56">
        <v>0.015</v>
      </c>
      <c r="O1085" s="23" t="s">
        <v>35</v>
      </c>
      <c r="P1085" s="57">
        <v>0.1</v>
      </c>
      <c r="Q1085" s="58"/>
      <c r="R1085" s="58" t="s">
        <v>9281</v>
      </c>
      <c r="S1085" s="62" t="s">
        <v>194</v>
      </c>
      <c r="T1085" s="32" t="s">
        <v>7117</v>
      </c>
      <c r="U1085" s="33">
        <v>5.543999916886E12</v>
      </c>
      <c r="V1085" s="33" t="s">
        <v>9282</v>
      </c>
      <c r="W1085" s="34">
        <v>22295.0</v>
      </c>
      <c r="X1085" s="23" t="s">
        <v>221</v>
      </c>
      <c r="Y1085" s="49" t="str">
        <f t="shared" si="46"/>
        <v>Ativo</v>
      </c>
      <c r="Z1085" s="62"/>
      <c r="AA1085" s="62"/>
      <c r="AB1085" s="64" t="s">
        <v>269</v>
      </c>
      <c r="AC1085" s="79"/>
      <c r="AD1085" s="54">
        <v>45127.0</v>
      </c>
      <c r="AE1085" s="77">
        <v>4.9075100008906E13</v>
      </c>
      <c r="AF1085" s="79"/>
      <c r="AG1085" s="79"/>
      <c r="AH1085" s="79"/>
      <c r="AI1085" s="79"/>
      <c r="AJ1085" s="79"/>
      <c r="AK1085" s="79"/>
      <c r="AL1085" s="65">
        <v>0.0</v>
      </c>
      <c r="AM1085" s="65">
        <v>0.0</v>
      </c>
      <c r="AN1085" s="65">
        <v>0.0</v>
      </c>
      <c r="AO1085" s="65">
        <v>90215.35</v>
      </c>
      <c r="AP1085" s="65">
        <v>88981.6</v>
      </c>
      <c r="AQ1085" s="65">
        <v>86715.3</v>
      </c>
      <c r="AR1085" s="65">
        <v>82767.94</v>
      </c>
      <c r="AS1085" s="65">
        <v>88841.29</v>
      </c>
      <c r="AT1085" s="65">
        <v>93152.33</v>
      </c>
      <c r="AU1085" s="65">
        <v>86866.71</v>
      </c>
      <c r="AV1085" s="65">
        <v>87808.38</v>
      </c>
      <c r="AW1085" s="65">
        <v>89216.53</v>
      </c>
      <c r="AX1085" s="65">
        <v>85486.3</v>
      </c>
      <c r="AY1085" s="65">
        <v>83722.07</v>
      </c>
      <c r="AZ1085" s="65">
        <v>83708.3</v>
      </c>
      <c r="BA1085" s="65">
        <v>145554.3</v>
      </c>
      <c r="BB1085" s="65">
        <v>147045.14</v>
      </c>
      <c r="BC1085" s="65">
        <v>146061.66</v>
      </c>
      <c r="BD1085" s="65">
        <v>143895.94</v>
      </c>
      <c r="BE1085" s="65">
        <v>142261.71</v>
      </c>
      <c r="BF1085" s="65">
        <v>137778.19</v>
      </c>
      <c r="BG1085" s="65">
        <v>142050.35</v>
      </c>
      <c r="BH1085" s="65">
        <v>143390.44</v>
      </c>
      <c r="BI1085" s="65">
        <v>146503.16</v>
      </c>
      <c r="BJ1085" s="65">
        <v>151545.21</v>
      </c>
      <c r="BK1085" s="65">
        <v>166155.66</v>
      </c>
      <c r="BL1085" s="65">
        <v>168633.67</v>
      </c>
      <c r="BM1085" s="65">
        <v>164812.7</v>
      </c>
      <c r="BN1085" s="65">
        <v>169231.6</v>
      </c>
      <c r="BO1085" s="65">
        <v>173317.77</v>
      </c>
      <c r="BP1085" s="65">
        <v>172277.3</v>
      </c>
      <c r="BQ1085" s="65">
        <v>175218.6</v>
      </c>
      <c r="BR1085" s="65">
        <v>177145.8</v>
      </c>
      <c r="BS1085" s="65">
        <v>180478.36</v>
      </c>
      <c r="BT1085" s="88">
        <v>182510.9</v>
      </c>
      <c r="BU1085" s="65">
        <v>307166.2</v>
      </c>
      <c r="BV1085" s="65">
        <v>207400.2</v>
      </c>
      <c r="BW1085" s="90">
        <v>73798.2</v>
      </c>
      <c r="BX1085" s="90">
        <v>74448.33</v>
      </c>
      <c r="BY1085" s="90">
        <f t="array" ref="BY1085">XLOOKUP(C1085,'PL TOTAL D0'!$A$3:$A$1991,'PL TOTAL D0'!$C$3:$C$1991,"")</f>
        <v>75217.45</v>
      </c>
    </row>
    <row r="1086" ht="15.75" customHeight="1">
      <c r="A1086" s="50" t="s">
        <v>24</v>
      </c>
      <c r="B1086" s="50" t="s">
        <v>7238</v>
      </c>
      <c r="C1086" s="94" t="s">
        <v>9283</v>
      </c>
      <c r="D1086" s="81" t="s">
        <v>120</v>
      </c>
      <c r="E1086" s="95" t="s">
        <v>199</v>
      </c>
      <c r="F1086" s="81" t="s">
        <v>290</v>
      </c>
      <c r="G1086" s="47" t="str">
        <f t="shared" si="44"/>
        <v>David</v>
      </c>
      <c r="H1086" s="49" t="s">
        <v>295</v>
      </c>
      <c r="I1086" s="49" t="s">
        <v>382</v>
      </c>
      <c r="J1086" s="47" t="str">
        <f t="shared" si="48"/>
        <v>Não</v>
      </c>
      <c r="K1086" s="97">
        <v>45042.0</v>
      </c>
      <c r="L1086" s="62"/>
      <c r="M1086" s="62" t="s">
        <v>209</v>
      </c>
      <c r="N1086" s="98">
        <v>0.015</v>
      </c>
      <c r="O1086" s="47" t="s">
        <v>35</v>
      </c>
      <c r="P1086" s="99">
        <v>0.1</v>
      </c>
      <c r="Q1086" s="58"/>
      <c r="R1086" s="635"/>
      <c r="S1086" s="62" t="s">
        <v>194</v>
      </c>
      <c r="T1086" s="32" t="s">
        <v>7237</v>
      </c>
      <c r="U1086" s="33">
        <v>6.1999991194E10</v>
      </c>
      <c r="V1086" s="33" t="s">
        <v>9284</v>
      </c>
      <c r="W1086" s="34">
        <v>30160.0</v>
      </c>
      <c r="X1086" s="23" t="s">
        <v>199</v>
      </c>
      <c r="Y1086" s="49" t="str">
        <f t="shared" si="46"/>
        <v>Ativo</v>
      </c>
      <c r="Z1086" s="62"/>
      <c r="AA1086" s="62"/>
      <c r="AB1086" s="64" t="s">
        <v>269</v>
      </c>
      <c r="AC1086" s="79"/>
      <c r="AD1086" s="54">
        <v>45042.0</v>
      </c>
      <c r="AE1086" s="77">
        <v>4.9075100007926E13</v>
      </c>
      <c r="AF1086" s="79"/>
      <c r="AG1086" s="79"/>
      <c r="AH1086" s="79"/>
      <c r="AI1086" s="79"/>
      <c r="AJ1086" s="79"/>
      <c r="AK1086" s="79"/>
      <c r="AL1086" s="65">
        <v>138047.59</v>
      </c>
      <c r="AM1086" s="65">
        <v>139372.91</v>
      </c>
      <c r="AN1086" s="65">
        <v>143006.24</v>
      </c>
      <c r="AO1086" s="65">
        <v>146285.25</v>
      </c>
      <c r="AP1086" s="65">
        <v>145052.98</v>
      </c>
      <c r="AQ1086" s="65">
        <v>145422.56</v>
      </c>
      <c r="AR1086" s="65">
        <v>145078.47</v>
      </c>
      <c r="AS1086" s="65">
        <v>148501.52</v>
      </c>
      <c r="AT1086" s="65">
        <v>151527.69</v>
      </c>
      <c r="AU1086" s="65">
        <v>148221.34</v>
      </c>
      <c r="AV1086" s="65">
        <v>149227.1</v>
      </c>
      <c r="AW1086" s="65">
        <v>150464.07</v>
      </c>
      <c r="AX1086" s="65">
        <v>148686.62</v>
      </c>
      <c r="AY1086" s="65">
        <v>359.35</v>
      </c>
      <c r="AZ1086" s="65">
        <v>367.42</v>
      </c>
      <c r="BA1086" s="65">
        <v>293.08</v>
      </c>
      <c r="BB1086" s="65">
        <v>216.74</v>
      </c>
      <c r="BC1086" s="65">
        <v>181.89</v>
      </c>
      <c r="BD1086" s="65">
        <v>181.89</v>
      </c>
      <c r="BE1086" s="65">
        <v>174.43</v>
      </c>
      <c r="BF1086" s="65">
        <v>48.51</v>
      </c>
      <c r="BG1086" s="65">
        <v>48.51</v>
      </c>
      <c r="BH1086" s="65">
        <v>48.51</v>
      </c>
      <c r="BI1086" s="65">
        <v>48.51</v>
      </c>
      <c r="BJ1086" s="65">
        <v>36.8</v>
      </c>
      <c r="BK1086" s="65">
        <v>36.8</v>
      </c>
      <c r="BL1086" s="65">
        <v>36.8</v>
      </c>
      <c r="BM1086" s="65">
        <v>36.8</v>
      </c>
      <c r="BN1086" s="65">
        <v>36.8</v>
      </c>
      <c r="BO1086" s="65">
        <v>36.8</v>
      </c>
      <c r="BP1086" s="65">
        <v>36.8</v>
      </c>
      <c r="BQ1086" s="65">
        <v>36.8</v>
      </c>
      <c r="BR1086" s="65">
        <v>36.8</v>
      </c>
      <c r="BS1086" s="65">
        <v>0.0</v>
      </c>
      <c r="BT1086" s="88">
        <v>0.0</v>
      </c>
      <c r="BU1086" s="65">
        <v>0.0</v>
      </c>
      <c r="BV1086" s="65">
        <v>0.0</v>
      </c>
      <c r="BW1086" s="90">
        <v>0.0</v>
      </c>
      <c r="BX1086" s="90">
        <v>0.0</v>
      </c>
      <c r="BY1086" s="90" t="str">
        <f t="array" ref="BY1086">XLOOKUP(C1086,'PL TOTAL D0'!$A$3:$A$1991,'PL TOTAL D0'!$C$3:$C$1991,"")</f>
        <v/>
      </c>
    </row>
    <row r="1087" ht="15.75" customHeight="1">
      <c r="A1087" s="50" t="s">
        <v>24</v>
      </c>
      <c r="B1087" s="50" t="s">
        <v>9285</v>
      </c>
      <c r="C1087" s="94" t="s">
        <v>9286</v>
      </c>
      <c r="D1087" s="81" t="s">
        <v>120</v>
      </c>
      <c r="E1087" s="95" t="s">
        <v>54</v>
      </c>
      <c r="F1087" s="81" t="s">
        <v>379</v>
      </c>
      <c r="G1087" s="47" t="str">
        <f t="shared" si="44"/>
        <v>David</v>
      </c>
      <c r="H1087" s="49" t="s">
        <v>295</v>
      </c>
      <c r="I1087" s="74" t="s">
        <v>382</v>
      </c>
      <c r="J1087" s="47" t="str">
        <f t="shared" si="48"/>
        <v>Não</v>
      </c>
      <c r="K1087" s="97">
        <v>45163.0</v>
      </c>
      <c r="L1087" s="189"/>
      <c r="M1087" s="62" t="s">
        <v>61</v>
      </c>
      <c r="N1087" s="98">
        <v>0.012</v>
      </c>
      <c r="O1087" s="47" t="s">
        <v>66</v>
      </c>
      <c r="P1087" s="99">
        <v>0.0</v>
      </c>
      <c r="Q1087" s="58"/>
      <c r="R1087" s="58" t="s">
        <v>7391</v>
      </c>
      <c r="S1087" s="62" t="s">
        <v>194</v>
      </c>
      <c r="T1087" s="32" t="s">
        <v>9287</v>
      </c>
      <c r="U1087" s="33">
        <v>5.561984892798E12</v>
      </c>
      <c r="V1087" s="33" t="s">
        <v>9288</v>
      </c>
      <c r="W1087" s="34">
        <v>29063.0</v>
      </c>
      <c r="X1087" s="23" t="s">
        <v>199</v>
      </c>
      <c r="Y1087" s="49" t="str">
        <f t="shared" si="46"/>
        <v>Inativo</v>
      </c>
      <c r="Z1087" s="62"/>
      <c r="AA1087" s="62"/>
      <c r="AB1087" s="64" t="s">
        <v>269</v>
      </c>
      <c r="AC1087" s="79"/>
      <c r="AD1087" s="54">
        <v>45163.0</v>
      </c>
      <c r="AE1087" s="77">
        <v>4.9075100011923E13</v>
      </c>
      <c r="AF1087" s="79"/>
      <c r="AG1087" s="79"/>
      <c r="AH1087" s="79"/>
      <c r="AI1087" s="79"/>
      <c r="AJ1087" s="79"/>
      <c r="AK1087" s="65">
        <v>0.0</v>
      </c>
      <c r="AL1087" s="65">
        <v>0.0</v>
      </c>
      <c r="AM1087" s="65">
        <v>0.0</v>
      </c>
      <c r="AN1087" s="65">
        <v>0.0</v>
      </c>
      <c r="AO1087" s="65">
        <v>0.0</v>
      </c>
      <c r="AP1087" s="65">
        <v>0.0</v>
      </c>
      <c r="AQ1087" s="65">
        <v>0.0</v>
      </c>
      <c r="AR1087" s="65">
        <v>0.0</v>
      </c>
      <c r="AS1087" s="65">
        <v>0.0</v>
      </c>
      <c r="AT1087" s="65">
        <v>0.0</v>
      </c>
      <c r="AU1087" s="65">
        <v>0.0</v>
      </c>
      <c r="AV1087" s="65">
        <v>0.0</v>
      </c>
      <c r="AW1087" s="65">
        <v>0.0</v>
      </c>
      <c r="AX1087" s="65">
        <v>0.0</v>
      </c>
      <c r="AY1087" s="65">
        <v>0.0</v>
      </c>
      <c r="AZ1087" s="65">
        <v>0.0</v>
      </c>
      <c r="BA1087" s="65">
        <v>0.0</v>
      </c>
      <c r="BB1087" s="65">
        <v>0.0</v>
      </c>
      <c r="BC1087" s="65">
        <v>0.0</v>
      </c>
      <c r="BD1087" s="65">
        <v>0.0</v>
      </c>
      <c r="BE1087" s="65">
        <v>0.0</v>
      </c>
      <c r="BF1087" s="65">
        <v>0.0</v>
      </c>
      <c r="BG1087" s="65">
        <v>0.0</v>
      </c>
      <c r="BH1087" s="65">
        <v>0.0</v>
      </c>
      <c r="BI1087" s="65">
        <v>0.0</v>
      </c>
      <c r="BJ1087" s="65">
        <v>0.0</v>
      </c>
      <c r="BK1087" s="65">
        <v>0.0</v>
      </c>
      <c r="BL1087" s="65">
        <v>0.0</v>
      </c>
      <c r="BM1087" s="65">
        <v>0.0</v>
      </c>
      <c r="BN1087" s="65">
        <v>0.0</v>
      </c>
      <c r="BO1087" s="65">
        <v>0.0</v>
      </c>
      <c r="BP1087" s="65">
        <v>0.0</v>
      </c>
      <c r="BQ1087" s="65">
        <v>0.0</v>
      </c>
      <c r="BR1087" s="65">
        <v>0.0</v>
      </c>
      <c r="BS1087" s="65">
        <v>0.0</v>
      </c>
      <c r="BT1087" s="88">
        <v>0.0</v>
      </c>
      <c r="BU1087" s="65">
        <v>0.0</v>
      </c>
      <c r="BV1087" s="65">
        <v>0.0</v>
      </c>
      <c r="BW1087" s="90">
        <v>0.0</v>
      </c>
      <c r="BX1087" s="90">
        <v>0.0</v>
      </c>
      <c r="BY1087" s="90" t="str">
        <f t="array" ref="BY1087">XLOOKUP(C1087,'PL TOTAL D0'!$A$3:$A$1991,'PL TOTAL D0'!$C$3:$C$1991,"")</f>
        <v/>
      </c>
    </row>
    <row r="1088" ht="15.75" customHeight="1">
      <c r="A1088" s="50" t="s">
        <v>24</v>
      </c>
      <c r="B1088" s="43" t="s">
        <v>9289</v>
      </c>
      <c r="C1088" s="94" t="s">
        <v>9290</v>
      </c>
      <c r="D1088" s="30" t="s">
        <v>255</v>
      </c>
      <c r="E1088" s="22" t="s">
        <v>199</v>
      </c>
      <c r="F1088" s="30" t="s">
        <v>1538</v>
      </c>
      <c r="G1088" s="47" t="str">
        <f t="shared" si="44"/>
        <v>David</v>
      </c>
      <c r="H1088" s="49" t="s">
        <v>224</v>
      </c>
      <c r="I1088" s="49" t="s">
        <v>66</v>
      </c>
      <c r="J1088" s="47" t="str">
        <f t="shared" si="48"/>
        <v>Não</v>
      </c>
      <c r="K1088" s="54">
        <v>45464.0</v>
      </c>
      <c r="L1088" s="186">
        <v>45592.0</v>
      </c>
      <c r="M1088" s="32" t="s">
        <v>61</v>
      </c>
      <c r="N1088" s="56">
        <v>0.012</v>
      </c>
      <c r="O1088" s="23" t="s">
        <v>66</v>
      </c>
      <c r="P1088" s="57">
        <v>0.0</v>
      </c>
      <c r="Q1088" s="58"/>
      <c r="R1088" s="58" t="s">
        <v>610</v>
      </c>
      <c r="S1088" s="32" t="s">
        <v>194</v>
      </c>
      <c r="T1088" s="32" t="s">
        <v>9291</v>
      </c>
      <c r="U1088" s="33" t="s">
        <v>268</v>
      </c>
      <c r="V1088" s="33"/>
      <c r="W1088" s="33" t="s">
        <v>268</v>
      </c>
      <c r="X1088" s="23" t="s">
        <v>199</v>
      </c>
      <c r="Y1088" s="49" t="str">
        <f t="shared" si="46"/>
        <v>Encerrado</v>
      </c>
      <c r="Z1088" s="32"/>
      <c r="AA1088" s="32" t="s">
        <v>47</v>
      </c>
      <c r="AB1088" s="64"/>
      <c r="AC1088" s="79"/>
      <c r="AD1088" s="54">
        <v>45464.0</v>
      </c>
      <c r="AE1088" s="77">
        <v>4.9075100015228E13</v>
      </c>
      <c r="AF1088" s="79"/>
      <c r="AG1088" s="79"/>
      <c r="AH1088" s="79"/>
      <c r="AI1088" s="79"/>
      <c r="AJ1088" s="79"/>
      <c r="AK1088" s="79"/>
      <c r="AL1088" s="79"/>
      <c r="AM1088" s="79"/>
      <c r="AN1088" s="79"/>
      <c r="AO1088" s="79"/>
      <c r="AP1088" s="79"/>
      <c r="AQ1088" s="79"/>
      <c r="AR1088" s="79"/>
      <c r="AS1088" s="79"/>
      <c r="AT1088" s="79"/>
      <c r="AU1088" s="79"/>
      <c r="AV1088" s="65"/>
      <c r="AW1088" s="65"/>
      <c r="AX1088" s="65"/>
      <c r="AY1088" s="65"/>
      <c r="AZ1088" s="65">
        <v>880804.3</v>
      </c>
      <c r="BA1088" s="65">
        <v>888970.8</v>
      </c>
      <c r="BB1088" s="65">
        <v>0.0</v>
      </c>
      <c r="BC1088" s="65">
        <v>0.0</v>
      </c>
      <c r="BD1088" s="65">
        <v>0.0</v>
      </c>
      <c r="BE1088" s="65">
        <v>0.0</v>
      </c>
      <c r="BF1088" s="65">
        <v>0.0</v>
      </c>
      <c r="BG1088" s="65">
        <v>0.0</v>
      </c>
      <c r="BH1088" s="65">
        <v>0.0</v>
      </c>
      <c r="BI1088" s="65">
        <v>0.0</v>
      </c>
      <c r="BJ1088" s="65">
        <v>0.0</v>
      </c>
      <c r="BK1088" s="65">
        <v>0.0</v>
      </c>
      <c r="BL1088" s="65">
        <v>0.0</v>
      </c>
      <c r="BM1088" s="65">
        <v>0.0</v>
      </c>
      <c r="BN1088" s="65">
        <v>0.0</v>
      </c>
      <c r="BO1088" s="65">
        <v>0.0</v>
      </c>
      <c r="BP1088" s="65">
        <v>0.0</v>
      </c>
      <c r="BQ1088" s="65">
        <v>0.0</v>
      </c>
      <c r="BR1088" s="65">
        <v>0.0</v>
      </c>
      <c r="BS1088" s="65">
        <v>0.0</v>
      </c>
      <c r="BT1088" s="88">
        <v>0.0</v>
      </c>
      <c r="BU1088" s="65">
        <v>0.0</v>
      </c>
      <c r="BV1088" s="65">
        <v>0.0</v>
      </c>
      <c r="BW1088" s="90">
        <v>0.0</v>
      </c>
      <c r="BX1088" s="90">
        <v>0.0</v>
      </c>
      <c r="BY1088" s="90" t="str">
        <f t="array" ref="BY1088">XLOOKUP(C1088,'PL TOTAL D0'!$A$3:$A$1991,'PL TOTAL D0'!$C$3:$C$1991,"")</f>
        <v/>
      </c>
    </row>
    <row r="1089" ht="15.75" customHeight="1">
      <c r="A1089" s="50" t="s">
        <v>24</v>
      </c>
      <c r="B1089" s="39" t="s">
        <v>9292</v>
      </c>
      <c r="C1089" s="94" t="s">
        <v>9293</v>
      </c>
      <c r="D1089" s="81" t="s">
        <v>120</v>
      </c>
      <c r="E1089" s="95" t="s">
        <v>54</v>
      </c>
      <c r="F1089" s="81" t="s">
        <v>348</v>
      </c>
      <c r="G1089" s="47" t="str">
        <f t="shared" si="44"/>
        <v>David</v>
      </c>
      <c r="H1089" s="49" t="s">
        <v>224</v>
      </c>
      <c r="I1089" s="49" t="s">
        <v>66</v>
      </c>
      <c r="J1089" s="47" t="str">
        <f t="shared" si="48"/>
        <v>Não</v>
      </c>
      <c r="K1089" s="97">
        <v>45027.0</v>
      </c>
      <c r="L1089" s="55">
        <v>45966.0</v>
      </c>
      <c r="M1089" s="62" t="s">
        <v>61</v>
      </c>
      <c r="N1089" s="98">
        <v>0.012</v>
      </c>
      <c r="O1089" s="47" t="s">
        <v>66</v>
      </c>
      <c r="P1089" s="99">
        <v>0.0</v>
      </c>
      <c r="Q1089" s="58"/>
      <c r="R1089" s="58" t="s">
        <v>610</v>
      </c>
      <c r="S1089" s="62" t="s">
        <v>194</v>
      </c>
      <c r="T1089" s="32" t="s">
        <v>9294</v>
      </c>
      <c r="U1089" s="33" t="s">
        <v>268</v>
      </c>
      <c r="V1089" s="33"/>
      <c r="W1089" s="33" t="s">
        <v>268</v>
      </c>
      <c r="X1089" s="23" t="s">
        <v>1586</v>
      </c>
      <c r="Y1089" s="49" t="str">
        <f t="shared" si="46"/>
        <v>Encerrado</v>
      </c>
      <c r="Z1089" s="62"/>
      <c r="AA1089" s="62"/>
      <c r="AB1089" s="64" t="s">
        <v>269</v>
      </c>
      <c r="AC1089" s="79"/>
      <c r="AD1089" s="54">
        <v>45027.0</v>
      </c>
      <c r="AE1089" s="77">
        <v>4.9075100012806E13</v>
      </c>
      <c r="AF1089" s="79"/>
      <c r="AG1089" s="79"/>
      <c r="AH1089" s="79"/>
      <c r="AI1089" s="79"/>
      <c r="AJ1089" s="79"/>
      <c r="AK1089" s="65">
        <v>0.0</v>
      </c>
      <c r="AL1089" s="65">
        <v>215468.62</v>
      </c>
      <c r="AM1089" s="65">
        <v>217477.55</v>
      </c>
      <c r="AN1089" s="65">
        <v>219227.81</v>
      </c>
      <c r="AO1089" s="65">
        <v>320715.33</v>
      </c>
      <c r="AP1089" s="65">
        <v>349171.08</v>
      </c>
      <c r="AQ1089" s="65">
        <v>351580.87</v>
      </c>
      <c r="AR1089" s="65">
        <v>354443.63</v>
      </c>
      <c r="AS1089" s="65">
        <v>356843.49</v>
      </c>
      <c r="AT1089" s="65">
        <v>359473.07</v>
      </c>
      <c r="AU1089" s="65">
        <v>362690.15</v>
      </c>
      <c r="AV1089" s="65">
        <v>365407.73</v>
      </c>
      <c r="AW1089" s="65">
        <v>368641.85</v>
      </c>
      <c r="AX1089" s="65">
        <v>371454.71</v>
      </c>
      <c r="AY1089" s="65">
        <v>374341.3</v>
      </c>
      <c r="AZ1089" s="65">
        <v>377216.4</v>
      </c>
      <c r="BA1089" s="65">
        <v>378065.5</v>
      </c>
      <c r="BB1089" s="65">
        <v>378629.62</v>
      </c>
      <c r="BC1089" s="65">
        <v>378209.97</v>
      </c>
      <c r="BD1089" s="65">
        <v>381677.6</v>
      </c>
      <c r="BE1089" s="65">
        <v>384625.75</v>
      </c>
      <c r="BF1089" s="65">
        <v>387713.0</v>
      </c>
      <c r="BG1089" s="65">
        <v>391456.38</v>
      </c>
      <c r="BH1089" s="65">
        <v>395124.7</v>
      </c>
      <c r="BI1089" s="65">
        <v>398922.43</v>
      </c>
      <c r="BJ1089" s="65">
        <v>403087.74</v>
      </c>
      <c r="BK1089" s="65">
        <v>407218.5</v>
      </c>
      <c r="BL1089" s="65">
        <v>0.0</v>
      </c>
      <c r="BM1089" s="65">
        <v>0.0</v>
      </c>
      <c r="BN1089" s="65">
        <v>0.0</v>
      </c>
      <c r="BO1089" s="65">
        <v>0.0</v>
      </c>
      <c r="BP1089" s="65">
        <v>0.0</v>
      </c>
      <c r="BQ1089" s="65">
        <v>0.0</v>
      </c>
      <c r="BR1089" s="65">
        <v>0.0</v>
      </c>
      <c r="BS1089" s="65">
        <v>0.0</v>
      </c>
      <c r="BT1089" s="88">
        <v>0.0</v>
      </c>
      <c r="BU1089" s="65">
        <v>0.0</v>
      </c>
      <c r="BV1089" s="65">
        <v>0.0</v>
      </c>
      <c r="BW1089" s="90">
        <v>0.0</v>
      </c>
      <c r="BX1089" s="90">
        <v>0.0</v>
      </c>
      <c r="BY1089" s="90" t="str">
        <f t="array" ref="BY1089">XLOOKUP(C1089,'PL TOTAL D0'!$A$3:$A$1991,'PL TOTAL D0'!$C$3:$C$1991,"")</f>
        <v/>
      </c>
    </row>
    <row r="1090" ht="15.75" customHeight="1">
      <c r="A1090" s="50" t="s">
        <v>24</v>
      </c>
      <c r="B1090" s="39" t="s">
        <v>9295</v>
      </c>
      <c r="C1090" s="94" t="s">
        <v>9296</v>
      </c>
      <c r="D1090" s="30" t="s">
        <v>120</v>
      </c>
      <c r="E1090" s="22" t="s">
        <v>475</v>
      </c>
      <c r="F1090" s="30" t="s">
        <v>502</v>
      </c>
      <c r="G1090" s="47" t="str">
        <f t="shared" si="44"/>
        <v>David</v>
      </c>
      <c r="H1090" s="49" t="s">
        <v>295</v>
      </c>
      <c r="I1090" s="49" t="s">
        <v>756</v>
      </c>
      <c r="J1090" s="47" t="str">
        <f t="shared" si="48"/>
        <v>Não</v>
      </c>
      <c r="K1090" s="362">
        <v>45754.0</v>
      </c>
      <c r="L1090" s="62"/>
      <c r="M1090" s="32" t="s">
        <v>201</v>
      </c>
      <c r="N1090" s="56">
        <v>0.0</v>
      </c>
      <c r="O1090" s="23" t="s">
        <v>66</v>
      </c>
      <c r="P1090" s="57">
        <v>0.0</v>
      </c>
      <c r="Q1090" s="58"/>
      <c r="R1090" s="635"/>
      <c r="S1090" s="32" t="s">
        <v>194</v>
      </c>
      <c r="T1090" s="32" t="s">
        <v>9297</v>
      </c>
      <c r="U1090" s="33">
        <v>8.899713554E10</v>
      </c>
      <c r="V1090" s="33" t="s">
        <v>9298</v>
      </c>
      <c r="W1090" s="34">
        <v>32636.0</v>
      </c>
      <c r="X1090" s="23" t="s">
        <v>475</v>
      </c>
      <c r="Y1090" s="49" t="str">
        <f t="shared" si="46"/>
        <v>Ativo</v>
      </c>
      <c r="Z1090" s="62"/>
      <c r="AA1090" s="32" t="s">
        <v>107</v>
      </c>
      <c r="AB1090" s="64"/>
      <c r="AC1090" s="79"/>
      <c r="AD1090" s="54"/>
      <c r="AE1090" s="77"/>
      <c r="AF1090" s="79"/>
      <c r="AG1090" s="79"/>
      <c r="AH1090" s="79"/>
      <c r="AI1090" s="79"/>
      <c r="AJ1090" s="79"/>
      <c r="AK1090" s="65"/>
      <c r="AL1090" s="65"/>
      <c r="AM1090" s="65"/>
      <c r="AN1090" s="65"/>
      <c r="AO1090" s="65"/>
      <c r="AP1090" s="65"/>
      <c r="AQ1090" s="65"/>
      <c r="AR1090" s="65"/>
      <c r="AS1090" s="65"/>
      <c r="AT1090" s="65"/>
      <c r="AU1090" s="65"/>
      <c r="AV1090" s="65"/>
      <c r="AW1090" s="65"/>
      <c r="AX1090" s="65"/>
      <c r="AY1090" s="65"/>
      <c r="AZ1090" s="65"/>
      <c r="BA1090" s="65"/>
      <c r="BB1090" s="65"/>
      <c r="BC1090" s="65"/>
      <c r="BD1090" s="65"/>
      <c r="BE1090" s="65"/>
      <c r="BF1090" s="65"/>
      <c r="BG1090" s="65"/>
      <c r="BH1090" s="65"/>
      <c r="BI1090" s="65"/>
      <c r="BJ1090" s="65">
        <v>0.0</v>
      </c>
      <c r="BK1090" s="65">
        <v>0.0</v>
      </c>
      <c r="BL1090" s="65">
        <v>0.0</v>
      </c>
      <c r="BM1090" s="65">
        <v>0.0</v>
      </c>
      <c r="BN1090" s="65">
        <v>0.0</v>
      </c>
      <c r="BO1090" s="65">
        <v>0.0</v>
      </c>
      <c r="BP1090" s="65">
        <v>0.0</v>
      </c>
      <c r="BQ1090" s="65">
        <v>0.0</v>
      </c>
      <c r="BR1090" s="65">
        <v>0.0</v>
      </c>
      <c r="BS1090" s="65">
        <v>0.0</v>
      </c>
      <c r="BT1090" s="88">
        <v>0.0</v>
      </c>
      <c r="BU1090" s="65">
        <v>0.0</v>
      </c>
      <c r="BV1090" s="65">
        <v>0.0</v>
      </c>
      <c r="BW1090" s="90">
        <v>0.0</v>
      </c>
      <c r="BX1090" s="90">
        <v>0.0</v>
      </c>
      <c r="BY1090" s="90" t="str">
        <f t="array" ref="BY1090">XLOOKUP(C1090,'PL TOTAL D0'!$A$3:$A$1991,'PL TOTAL D0'!$C$3:$C$1991,"")</f>
        <v/>
      </c>
    </row>
    <row r="1091" ht="15.75" customHeight="1">
      <c r="A1091" s="50" t="s">
        <v>24</v>
      </c>
      <c r="B1091" s="50" t="s">
        <v>9299</v>
      </c>
      <c r="C1091" s="94" t="s">
        <v>9300</v>
      </c>
      <c r="D1091" s="81" t="s">
        <v>255</v>
      </c>
      <c r="E1091" s="95" t="s">
        <v>199</v>
      </c>
      <c r="F1091" s="81" t="s">
        <v>257</v>
      </c>
      <c r="G1091" s="47" t="str">
        <f t="shared" si="44"/>
        <v>David</v>
      </c>
      <c r="H1091" s="49" t="s">
        <v>224</v>
      </c>
      <c r="I1091" s="49" t="s">
        <v>66</v>
      </c>
      <c r="J1091" s="47" t="str">
        <f t="shared" si="48"/>
        <v>Não</v>
      </c>
      <c r="K1091" s="97">
        <v>45124.0</v>
      </c>
      <c r="L1091" s="186">
        <v>45513.0</v>
      </c>
      <c r="M1091" s="62" t="s">
        <v>9301</v>
      </c>
      <c r="N1091" s="98">
        <v>0.014</v>
      </c>
      <c r="O1091" s="47" t="s">
        <v>35</v>
      </c>
      <c r="P1091" s="99">
        <v>0.1</v>
      </c>
      <c r="Q1091" s="58"/>
      <c r="R1091" s="195" t="s">
        <v>1767</v>
      </c>
      <c r="S1091" s="62" t="s">
        <v>194</v>
      </c>
      <c r="T1091" s="32" t="s">
        <v>9302</v>
      </c>
      <c r="U1091" s="33" t="s">
        <v>268</v>
      </c>
      <c r="V1091" s="33"/>
      <c r="W1091" s="33" t="s">
        <v>268</v>
      </c>
      <c r="X1091" s="23" t="s">
        <v>199</v>
      </c>
      <c r="Y1091" s="49" t="str">
        <f t="shared" si="46"/>
        <v>Encerrado</v>
      </c>
      <c r="Z1091" s="62"/>
      <c r="AA1091" s="62"/>
      <c r="AB1091" s="64" t="s">
        <v>244</v>
      </c>
      <c r="AC1091" s="79"/>
      <c r="AD1091" s="54">
        <v>45124.0</v>
      </c>
      <c r="AE1091" s="77">
        <v>4.9075100005834E13</v>
      </c>
      <c r="AF1091" s="79"/>
      <c r="AG1091" s="79"/>
      <c r="AH1091" s="79"/>
      <c r="AI1091" s="79"/>
      <c r="AJ1091" s="79"/>
      <c r="AK1091" s="79"/>
      <c r="AL1091" s="79"/>
      <c r="AM1091" s="79"/>
      <c r="AN1091" s="65">
        <v>0.0</v>
      </c>
      <c r="AO1091" s="65">
        <v>401081.8</v>
      </c>
      <c r="AP1091" s="65">
        <v>546504.0</v>
      </c>
      <c r="AQ1091" s="65">
        <v>608060.78</v>
      </c>
      <c r="AR1091" s="65">
        <v>622970.52</v>
      </c>
      <c r="AS1091" s="65">
        <v>647615.82</v>
      </c>
      <c r="AT1091" s="65">
        <v>706869.86</v>
      </c>
      <c r="AU1091" s="65">
        <v>713532.19</v>
      </c>
      <c r="AV1091" s="65">
        <v>675253.15</v>
      </c>
      <c r="AW1091" s="65">
        <v>686867.99</v>
      </c>
      <c r="AX1091" s="65">
        <v>701714.16</v>
      </c>
      <c r="AY1091" s="65">
        <v>723802.8</v>
      </c>
      <c r="AZ1091" s="65">
        <v>733123.7</v>
      </c>
      <c r="BA1091" s="65">
        <v>0.0</v>
      </c>
      <c r="BB1091" s="65">
        <v>0.0</v>
      </c>
      <c r="BC1091" s="65">
        <v>0.0</v>
      </c>
      <c r="BD1091" s="65">
        <v>0.0</v>
      </c>
      <c r="BE1091" s="65">
        <v>0.0</v>
      </c>
      <c r="BF1091" s="65">
        <v>0.0</v>
      </c>
      <c r="BG1091" s="65">
        <v>0.0</v>
      </c>
      <c r="BH1091" s="65">
        <v>0.0</v>
      </c>
      <c r="BI1091" s="65">
        <v>0.0</v>
      </c>
      <c r="BJ1091" s="65">
        <v>0.0</v>
      </c>
      <c r="BK1091" s="65">
        <v>0.0</v>
      </c>
      <c r="BL1091" s="65">
        <v>0.0</v>
      </c>
      <c r="BM1091" s="65">
        <v>0.0</v>
      </c>
      <c r="BN1091" s="65">
        <v>0.0</v>
      </c>
      <c r="BO1091" s="65">
        <v>0.0</v>
      </c>
      <c r="BP1091" s="65">
        <v>0.0</v>
      </c>
      <c r="BQ1091" s="65">
        <v>0.0</v>
      </c>
      <c r="BR1091" s="65">
        <v>0.0</v>
      </c>
      <c r="BS1091" s="65">
        <v>0.0</v>
      </c>
      <c r="BT1091" s="88">
        <v>0.0</v>
      </c>
      <c r="BU1091" s="65">
        <v>0.0</v>
      </c>
      <c r="BV1091" s="65">
        <v>0.0</v>
      </c>
      <c r="BW1091" s="90">
        <v>0.0</v>
      </c>
      <c r="BX1091" s="90">
        <v>0.0</v>
      </c>
      <c r="BY1091" s="90" t="str">
        <f t="array" ref="BY1091">XLOOKUP(C1091,'PL TOTAL D0'!$A$3:$A$1991,'PL TOTAL D0'!$C$3:$C$1991,"")</f>
        <v/>
      </c>
    </row>
    <row r="1092" ht="15.75" customHeight="1">
      <c r="A1092" s="50" t="s">
        <v>24</v>
      </c>
      <c r="B1092" s="43" t="s">
        <v>9303</v>
      </c>
      <c r="C1092" s="53" t="s">
        <v>3413</v>
      </c>
      <c r="D1092" s="30" t="s">
        <v>249</v>
      </c>
      <c r="E1092" s="22" t="s">
        <v>199</v>
      </c>
      <c r="F1092" s="30" t="s">
        <v>251</v>
      </c>
      <c r="G1092" s="47" t="str">
        <f t="shared" si="44"/>
        <v>David</v>
      </c>
      <c r="H1092" s="49" t="s">
        <v>183</v>
      </c>
      <c r="I1092" s="49" t="s">
        <v>66</v>
      </c>
      <c r="J1092" s="47" t="str">
        <f t="shared" si="48"/>
        <v>Sim</v>
      </c>
      <c r="K1092" s="54">
        <v>46184.0</v>
      </c>
      <c r="L1092" s="186"/>
      <c r="M1092" s="32" t="s">
        <v>61</v>
      </c>
      <c r="N1092" s="56">
        <v>0.012</v>
      </c>
      <c r="O1092" s="23" t="s">
        <v>66</v>
      </c>
      <c r="P1092" s="57">
        <v>0.0</v>
      </c>
      <c r="Q1092" s="58" t="s">
        <v>9304</v>
      </c>
      <c r="R1092" s="195"/>
      <c r="S1092" s="32" t="s">
        <v>194</v>
      </c>
      <c r="T1092" s="32" t="s">
        <v>9305</v>
      </c>
      <c r="U1092" s="33" t="s">
        <v>9306</v>
      </c>
      <c r="V1092" s="33" t="s">
        <v>9307</v>
      </c>
      <c r="W1092" s="34">
        <v>29679.0</v>
      </c>
      <c r="X1092" s="23" t="s">
        <v>475</v>
      </c>
      <c r="Y1092" s="49" t="str">
        <f t="shared" si="46"/>
        <v>Ativo</v>
      </c>
      <c r="Z1092" s="62"/>
      <c r="AA1092" s="32" t="s">
        <v>47</v>
      </c>
      <c r="AB1092" s="64"/>
      <c r="AC1092" s="79"/>
      <c r="AD1092" s="54">
        <v>46203.0</v>
      </c>
      <c r="AE1092" s="77"/>
      <c r="AF1092" s="79"/>
      <c r="AG1092" s="79"/>
      <c r="AH1092" s="79"/>
      <c r="AI1092" s="79"/>
      <c r="AJ1092" s="79"/>
      <c r="AK1092" s="79"/>
      <c r="AL1092" s="79"/>
      <c r="AM1092" s="79"/>
      <c r="AN1092" s="65"/>
      <c r="AO1092" s="65"/>
      <c r="AP1092" s="65"/>
      <c r="AQ1092" s="65"/>
      <c r="AR1092" s="65"/>
      <c r="AS1092" s="65"/>
      <c r="AT1092" s="65"/>
      <c r="AU1092" s="65"/>
      <c r="AV1092" s="65"/>
      <c r="AW1092" s="65"/>
      <c r="AX1092" s="65"/>
      <c r="AY1092" s="65"/>
      <c r="AZ1092" s="65"/>
      <c r="BA1092" s="65"/>
      <c r="BB1092" s="65"/>
      <c r="BC1092" s="65"/>
      <c r="BD1092" s="65"/>
      <c r="BE1092" s="65"/>
      <c r="BF1092" s="65"/>
      <c r="BG1092" s="65"/>
      <c r="BH1092" s="65"/>
      <c r="BI1092" s="65"/>
      <c r="BJ1092" s="65"/>
      <c r="BK1092" s="65"/>
      <c r="BL1092" s="65"/>
      <c r="BM1092" s="65"/>
      <c r="BN1092" s="65"/>
      <c r="BO1092" s="65"/>
      <c r="BP1092" s="65"/>
      <c r="BQ1092" s="65"/>
      <c r="BR1092" s="65"/>
      <c r="BS1092" s="65"/>
      <c r="BT1092" s="88"/>
      <c r="BU1092" s="65"/>
      <c r="BV1092" s="65"/>
      <c r="BW1092" s="90"/>
      <c r="BX1092" s="90">
        <v>61579.15</v>
      </c>
      <c r="BY1092" s="90">
        <f t="array" ref="BY1092">XLOOKUP(C1092,'PL TOTAL D0'!$A$3:$A$1991,'PL TOTAL D0'!$C$3:$C$1991,"")</f>
        <v>63739.45</v>
      </c>
    </row>
    <row r="1093" ht="15.75" customHeight="1">
      <c r="A1093" s="50" t="s">
        <v>24</v>
      </c>
      <c r="B1093" s="43" t="s">
        <v>9308</v>
      </c>
      <c r="C1093" s="94" t="s">
        <v>3461</v>
      </c>
      <c r="D1093" s="30" t="s">
        <v>142</v>
      </c>
      <c r="E1093" s="22" t="s">
        <v>54</v>
      </c>
      <c r="F1093" s="30" t="s">
        <v>4568</v>
      </c>
      <c r="G1093" s="47" t="str">
        <f t="shared" si="44"/>
        <v>David</v>
      </c>
      <c r="H1093" s="49" t="s">
        <v>183</v>
      </c>
      <c r="I1093" s="49" t="s">
        <v>66</v>
      </c>
      <c r="J1093" s="47" t="str">
        <f t="shared" si="48"/>
        <v>Não</v>
      </c>
      <c r="K1093" s="54">
        <v>45810.0</v>
      </c>
      <c r="L1093" s="186"/>
      <c r="M1093" s="32" t="s">
        <v>61</v>
      </c>
      <c r="N1093" s="56">
        <v>0.012</v>
      </c>
      <c r="O1093" s="23" t="s">
        <v>66</v>
      </c>
      <c r="P1093" s="57">
        <v>0.0</v>
      </c>
      <c r="Q1093" s="58"/>
      <c r="R1093" s="195"/>
      <c r="S1093" s="32" t="s">
        <v>194</v>
      </c>
      <c r="T1093" s="32" t="s">
        <v>9309</v>
      </c>
      <c r="U1093" s="33">
        <v>5.567998469342E12</v>
      </c>
      <c r="V1093" s="33" t="s">
        <v>9310</v>
      </c>
      <c r="W1093" s="34">
        <v>37290.0</v>
      </c>
      <c r="X1093" s="23" t="s">
        <v>475</v>
      </c>
      <c r="Y1093" s="49" t="str">
        <f t="shared" si="46"/>
        <v>Ativo</v>
      </c>
      <c r="Z1093" s="62"/>
      <c r="AA1093" s="32" t="s">
        <v>47</v>
      </c>
      <c r="AB1093" s="64"/>
      <c r="AC1093" s="79"/>
      <c r="AD1093" s="54">
        <v>45810.0</v>
      </c>
      <c r="AE1093" s="77">
        <v>4.907510001896E13</v>
      </c>
      <c r="AF1093" s="79"/>
      <c r="AG1093" s="79"/>
      <c r="AH1093" s="79"/>
      <c r="AI1093" s="79"/>
      <c r="AJ1093" s="79"/>
      <c r="AK1093" s="79"/>
      <c r="AL1093" s="79"/>
      <c r="AM1093" s="79"/>
      <c r="AN1093" s="65"/>
      <c r="AO1093" s="65"/>
      <c r="AP1093" s="65"/>
      <c r="AQ1093" s="65"/>
      <c r="AR1093" s="65"/>
      <c r="AS1093" s="65"/>
      <c r="AT1093" s="65"/>
      <c r="AU1093" s="65"/>
      <c r="AV1093" s="65"/>
      <c r="AW1093" s="65"/>
      <c r="AX1093" s="65"/>
      <c r="AY1093" s="65"/>
      <c r="AZ1093" s="65"/>
      <c r="BA1093" s="65"/>
      <c r="BB1093" s="65"/>
      <c r="BC1093" s="65"/>
      <c r="BD1093" s="65"/>
      <c r="BE1093" s="65"/>
      <c r="BF1093" s="65"/>
      <c r="BG1093" s="65"/>
      <c r="BH1093" s="65"/>
      <c r="BI1093" s="65"/>
      <c r="BJ1093" s="65"/>
      <c r="BK1093" s="65"/>
      <c r="BL1093" s="65">
        <v>15300.57</v>
      </c>
      <c r="BM1093" s="65">
        <v>24083.02</v>
      </c>
      <c r="BN1093" s="65">
        <v>27366.14</v>
      </c>
      <c r="BO1093" s="65">
        <v>30686.33</v>
      </c>
      <c r="BP1093" s="65">
        <v>32811.61</v>
      </c>
      <c r="BQ1093" s="65">
        <v>36580.95</v>
      </c>
      <c r="BR1093" s="65">
        <v>41020.85</v>
      </c>
      <c r="BS1093" s="65">
        <v>41472.27</v>
      </c>
      <c r="BT1093" s="88">
        <v>43846.39</v>
      </c>
      <c r="BU1093" s="65">
        <v>44384.8</v>
      </c>
      <c r="BV1093" s="65">
        <v>44881.8</v>
      </c>
      <c r="BW1093" s="90">
        <v>57366.12</v>
      </c>
      <c r="BX1093" s="90">
        <v>56927.32</v>
      </c>
      <c r="BY1093" s="90">
        <f t="array" ref="BY1093">XLOOKUP(C1093,'PL TOTAL D0'!$A$3:$A$1991,'PL TOTAL D0'!$C$3:$C$1991,"")</f>
        <v>45868.9</v>
      </c>
    </row>
    <row r="1094" ht="15.75" customHeight="1">
      <c r="A1094" s="50" t="s">
        <v>24</v>
      </c>
      <c r="B1094" s="43" t="s">
        <v>1654</v>
      </c>
      <c r="C1094" s="53" t="s">
        <v>9311</v>
      </c>
      <c r="D1094" s="30" t="s">
        <v>27</v>
      </c>
      <c r="E1094" s="22" t="s">
        <v>28</v>
      </c>
      <c r="F1094" s="30" t="s">
        <v>908</v>
      </c>
      <c r="G1094" s="47" t="str">
        <f t="shared" si="44"/>
        <v>David</v>
      </c>
      <c r="H1094" s="49" t="s">
        <v>183</v>
      </c>
      <c r="I1094" s="49" t="s">
        <v>66</v>
      </c>
      <c r="J1094" s="47" t="str">
        <f t="shared" si="48"/>
        <v>Não</v>
      </c>
      <c r="K1094" s="54">
        <v>46198.0</v>
      </c>
      <c r="L1094" s="186"/>
      <c r="M1094" s="32" t="s">
        <v>34</v>
      </c>
      <c r="N1094" s="56">
        <v>0.012</v>
      </c>
      <c r="O1094" s="23" t="s">
        <v>66</v>
      </c>
      <c r="P1094" s="57">
        <v>0.0</v>
      </c>
      <c r="Q1094" s="58"/>
      <c r="R1094" s="195"/>
      <c r="S1094" s="32" t="s">
        <v>194</v>
      </c>
      <c r="T1094" s="32" t="s">
        <v>1656</v>
      </c>
      <c r="U1094" s="33" t="s">
        <v>9312</v>
      </c>
      <c r="V1094" s="33" t="s">
        <v>1659</v>
      </c>
      <c r="W1094" s="34">
        <v>29531.0</v>
      </c>
      <c r="X1094" s="23" t="s">
        <v>28</v>
      </c>
      <c r="Y1094" s="49" t="str">
        <f t="shared" si="46"/>
        <v>Ativo</v>
      </c>
      <c r="Z1094" s="62"/>
      <c r="AA1094" s="32" t="s">
        <v>47</v>
      </c>
      <c r="AB1094" s="64"/>
      <c r="AC1094" s="79"/>
      <c r="AD1094" s="54"/>
      <c r="AE1094" s="77"/>
      <c r="AF1094" s="79"/>
      <c r="AG1094" s="79"/>
      <c r="AH1094" s="79"/>
      <c r="AI1094" s="79"/>
      <c r="AJ1094" s="79"/>
      <c r="AK1094" s="79"/>
      <c r="AL1094" s="79"/>
      <c r="AM1094" s="79"/>
      <c r="AN1094" s="65"/>
      <c r="AO1094" s="65"/>
      <c r="AP1094" s="65"/>
      <c r="AQ1094" s="65"/>
      <c r="AR1094" s="65"/>
      <c r="AS1094" s="65"/>
      <c r="AT1094" s="65"/>
      <c r="AU1094" s="65"/>
      <c r="AV1094" s="65"/>
      <c r="AW1094" s="65"/>
      <c r="AX1094" s="65"/>
      <c r="AY1094" s="65"/>
      <c r="AZ1094" s="65"/>
      <c r="BA1094" s="65"/>
      <c r="BB1094" s="65"/>
      <c r="BC1094" s="65"/>
      <c r="BD1094" s="65"/>
      <c r="BE1094" s="65"/>
      <c r="BF1094" s="65"/>
      <c r="BG1094" s="65"/>
      <c r="BH1094" s="65"/>
      <c r="BI1094" s="65"/>
      <c r="BJ1094" s="65"/>
      <c r="BK1094" s="65"/>
      <c r="BL1094" s="65"/>
      <c r="BM1094" s="65"/>
      <c r="BN1094" s="65"/>
      <c r="BO1094" s="65"/>
      <c r="BP1094" s="65"/>
      <c r="BQ1094" s="65"/>
      <c r="BR1094" s="65"/>
      <c r="BS1094" s="65"/>
      <c r="BT1094" s="88"/>
      <c r="BU1094" s="65"/>
      <c r="BV1094" s="65"/>
      <c r="BW1094" s="90"/>
      <c r="BX1094" s="90">
        <v>0.0</v>
      </c>
      <c r="BY1094" s="90" t="str">
        <f t="array" ref="BY1094">XLOOKUP(C1094,'PL TOTAL D0'!$A$3:$A$1991,'PL TOTAL D0'!$C$3:$C$1991,"")</f>
        <v/>
      </c>
    </row>
    <row r="1095" ht="15.75" customHeight="1">
      <c r="A1095" s="50" t="s">
        <v>24</v>
      </c>
      <c r="B1095" s="50" t="s">
        <v>9313</v>
      </c>
      <c r="C1095" s="94" t="s">
        <v>9314</v>
      </c>
      <c r="D1095" s="81" t="s">
        <v>120</v>
      </c>
      <c r="E1095" s="95" t="s">
        <v>54</v>
      </c>
      <c r="F1095" s="81" t="s">
        <v>379</v>
      </c>
      <c r="G1095" s="47" t="str">
        <f t="shared" si="44"/>
        <v>David</v>
      </c>
      <c r="H1095" s="49" t="s">
        <v>224</v>
      </c>
      <c r="I1095" s="49" t="s">
        <v>66</v>
      </c>
      <c r="J1095" s="47" t="str">
        <f t="shared" si="48"/>
        <v>Não</v>
      </c>
      <c r="K1095" s="97">
        <v>45140.0</v>
      </c>
      <c r="L1095" s="186">
        <v>45957.0</v>
      </c>
      <c r="M1095" s="62" t="s">
        <v>61</v>
      </c>
      <c r="N1095" s="98">
        <v>0.01</v>
      </c>
      <c r="O1095" s="47" t="s">
        <v>66</v>
      </c>
      <c r="P1095" s="99">
        <v>0.0</v>
      </c>
      <c r="Q1095" s="58"/>
      <c r="R1095" s="58" t="s">
        <v>610</v>
      </c>
      <c r="S1095" s="62" t="s">
        <v>194</v>
      </c>
      <c r="T1095" s="32" t="s">
        <v>9315</v>
      </c>
      <c r="U1095" s="33">
        <v>5.561985316776E12</v>
      </c>
      <c r="V1095" s="33" t="s">
        <v>8774</v>
      </c>
      <c r="W1095" s="34">
        <v>32733.0</v>
      </c>
      <c r="X1095" s="23" t="s">
        <v>54</v>
      </c>
      <c r="Y1095" s="49" t="str">
        <f t="shared" si="46"/>
        <v>Encerrado</v>
      </c>
      <c r="Z1095" s="62"/>
      <c r="AA1095" s="62"/>
      <c r="AB1095" s="64" t="s">
        <v>244</v>
      </c>
      <c r="AC1095" s="79"/>
      <c r="AD1095" s="54">
        <v>45140.0</v>
      </c>
      <c r="AE1095" s="77">
        <v>4.9075100006016E13</v>
      </c>
      <c r="AF1095" s="79"/>
      <c r="AG1095" s="79"/>
      <c r="AH1095" s="79"/>
      <c r="AI1095" s="65">
        <v>0.0</v>
      </c>
      <c r="AJ1095" s="65">
        <v>0.0</v>
      </c>
      <c r="AK1095" s="65">
        <v>0.0</v>
      </c>
      <c r="AL1095" s="65">
        <v>0.0</v>
      </c>
      <c r="AM1095" s="65">
        <v>0.0</v>
      </c>
      <c r="AN1095" s="65">
        <v>0.0</v>
      </c>
      <c r="AO1095" s="65">
        <v>0.0</v>
      </c>
      <c r="AP1095" s="65">
        <v>201716.4</v>
      </c>
      <c r="AQ1095" s="65">
        <v>203447.67</v>
      </c>
      <c r="AR1095" s="65">
        <v>205220.16</v>
      </c>
      <c r="AS1095" s="65">
        <v>206722.52</v>
      </c>
      <c r="AT1095" s="65">
        <v>208336.6</v>
      </c>
      <c r="AU1095" s="65">
        <v>210172.99</v>
      </c>
      <c r="AV1095" s="65">
        <v>186046.01</v>
      </c>
      <c r="AW1095" s="65">
        <v>187596.72</v>
      </c>
      <c r="AX1095" s="65">
        <v>188257.1</v>
      </c>
      <c r="AY1095" s="65">
        <v>189796.5</v>
      </c>
      <c r="AZ1095" s="65">
        <v>191336.6</v>
      </c>
      <c r="BA1095" s="65">
        <v>193029.6</v>
      </c>
      <c r="BB1095" s="65">
        <v>192759.99</v>
      </c>
      <c r="BC1095" s="65">
        <v>194177.21</v>
      </c>
      <c r="BD1095" s="65">
        <v>195896.75</v>
      </c>
      <c r="BE1095" s="65">
        <v>197447.62</v>
      </c>
      <c r="BF1095" s="65">
        <v>199026.67</v>
      </c>
      <c r="BG1095" s="65">
        <v>200932.62</v>
      </c>
      <c r="BH1095" s="65">
        <v>202305.37</v>
      </c>
      <c r="BI1095" s="65">
        <v>171178.49</v>
      </c>
      <c r="BJ1095" s="65">
        <v>141310.19</v>
      </c>
      <c r="BK1095" s="65">
        <v>142303.3</v>
      </c>
      <c r="BL1095" s="65">
        <v>143541.96</v>
      </c>
      <c r="BM1095" s="65">
        <v>99507.55</v>
      </c>
      <c r="BN1095" s="65">
        <v>100473.4</v>
      </c>
      <c r="BO1095" s="65">
        <v>0.0</v>
      </c>
      <c r="BP1095" s="65">
        <v>0.0</v>
      </c>
      <c r="BQ1095" s="65">
        <v>0.0</v>
      </c>
      <c r="BR1095" s="65">
        <v>0.0</v>
      </c>
      <c r="BS1095" s="65">
        <v>0.0</v>
      </c>
      <c r="BT1095" s="88">
        <v>0.0</v>
      </c>
      <c r="BU1095" s="65">
        <v>0.0</v>
      </c>
      <c r="BV1095" s="65">
        <v>0.0</v>
      </c>
      <c r="BW1095" s="90">
        <v>0.0</v>
      </c>
      <c r="BX1095" s="90">
        <v>0.0</v>
      </c>
      <c r="BY1095" s="90" t="str">
        <f t="array" ref="BY1095">XLOOKUP(C1095,'PL TOTAL D0'!$A$3:$A$1991,'PL TOTAL D0'!$C$3:$C$1991,"")</f>
        <v/>
      </c>
    </row>
    <row r="1096" ht="15.75" customHeight="1">
      <c r="A1096" s="50" t="s">
        <v>24</v>
      </c>
      <c r="B1096" s="176" t="s">
        <v>6228</v>
      </c>
      <c r="C1096" s="94" t="s">
        <v>9316</v>
      </c>
      <c r="D1096" s="30" t="s">
        <v>89</v>
      </c>
      <c r="E1096" s="95" t="s">
        <v>91</v>
      </c>
      <c r="F1096" s="81" t="s">
        <v>521</v>
      </c>
      <c r="G1096" s="47" t="str">
        <f t="shared" si="44"/>
        <v>David</v>
      </c>
      <c r="H1096" s="74" t="s">
        <v>183</v>
      </c>
      <c r="I1096" s="74" t="s">
        <v>66</v>
      </c>
      <c r="J1096" s="47" t="str">
        <f t="shared" si="48"/>
        <v>Não</v>
      </c>
      <c r="K1096" s="97">
        <v>45029.0</v>
      </c>
      <c r="L1096" s="62"/>
      <c r="M1096" s="62" t="s">
        <v>209</v>
      </c>
      <c r="N1096" s="98">
        <v>0.015</v>
      </c>
      <c r="O1096" s="47" t="s">
        <v>35</v>
      </c>
      <c r="P1096" s="99">
        <v>0.1</v>
      </c>
      <c r="Q1096" s="58"/>
      <c r="R1096" s="635"/>
      <c r="S1096" s="62" t="s">
        <v>194</v>
      </c>
      <c r="T1096" s="32" t="s">
        <v>7147</v>
      </c>
      <c r="U1096" s="33">
        <v>1.198112019E10</v>
      </c>
      <c r="V1096" s="33" t="s">
        <v>655</v>
      </c>
      <c r="W1096" s="34">
        <v>28918.0</v>
      </c>
      <c r="X1096" s="23" t="s">
        <v>475</v>
      </c>
      <c r="Y1096" s="49" t="str">
        <f t="shared" si="46"/>
        <v>Ativo</v>
      </c>
      <c r="Z1096" s="62"/>
      <c r="AA1096" s="62"/>
      <c r="AB1096" s="64" t="s">
        <v>269</v>
      </c>
      <c r="AC1096" s="79"/>
      <c r="AD1096" s="54">
        <v>45029.0</v>
      </c>
      <c r="AE1096" s="77">
        <v>4.9075100009015E13</v>
      </c>
      <c r="AF1096" s="79"/>
      <c r="AG1096" s="79"/>
      <c r="AH1096" s="79"/>
      <c r="AI1096" s="79"/>
      <c r="AJ1096" s="79"/>
      <c r="AK1096" s="65">
        <v>0.0</v>
      </c>
      <c r="AL1096" s="65">
        <v>71165.0</v>
      </c>
      <c r="AM1096" s="65">
        <v>71927.97</v>
      </c>
      <c r="AN1096" s="65">
        <v>74121.42</v>
      </c>
      <c r="AO1096" s="65">
        <v>75419.21</v>
      </c>
      <c r="AP1096" s="65">
        <v>74772.62</v>
      </c>
      <c r="AQ1096" s="65">
        <v>74160.17</v>
      </c>
      <c r="AR1096" s="65">
        <v>74366.7</v>
      </c>
      <c r="AS1096" s="65">
        <v>75449.28</v>
      </c>
      <c r="AT1096" s="65">
        <v>76863.18</v>
      </c>
      <c r="AU1096" s="65">
        <v>75769.16</v>
      </c>
      <c r="AV1096" s="65">
        <v>76380.91</v>
      </c>
      <c r="AW1096" s="65">
        <v>77206.92</v>
      </c>
      <c r="AX1096" s="65">
        <v>76735.03</v>
      </c>
      <c r="AY1096" s="65">
        <v>76733.32</v>
      </c>
      <c r="AZ1096" s="65">
        <v>77164.11</v>
      </c>
      <c r="BA1096" s="65">
        <v>78160.29</v>
      </c>
      <c r="BB1096" s="65">
        <v>78902.5</v>
      </c>
      <c r="BC1096" s="65">
        <v>78924.76</v>
      </c>
      <c r="BD1096" s="65">
        <v>78710.63</v>
      </c>
      <c r="BE1096" s="65">
        <v>78565.67</v>
      </c>
      <c r="BF1096" s="65">
        <v>78386.31</v>
      </c>
      <c r="BG1096" s="65">
        <v>79469.23</v>
      </c>
      <c r="BH1096" s="65">
        <v>162.03</v>
      </c>
      <c r="BI1096" s="65">
        <v>162.32</v>
      </c>
      <c r="BJ1096" s="65">
        <v>162.33</v>
      </c>
      <c r="BK1096" s="65">
        <v>162.33</v>
      </c>
      <c r="BL1096" s="65">
        <v>162.33</v>
      </c>
      <c r="BM1096" s="65">
        <v>163.7</v>
      </c>
      <c r="BN1096" s="65">
        <v>164.96</v>
      </c>
      <c r="BO1096" s="65">
        <v>166.25</v>
      </c>
      <c r="BP1096" s="65">
        <v>167.71</v>
      </c>
      <c r="BQ1096" s="65">
        <v>167.69</v>
      </c>
      <c r="BR1096" s="65">
        <v>169.07</v>
      </c>
      <c r="BS1096" s="65">
        <v>170.41</v>
      </c>
      <c r="BT1096" s="88">
        <v>171.57</v>
      </c>
      <c r="BU1096" s="65">
        <v>173.0</v>
      </c>
      <c r="BV1096" s="65">
        <v>174.29</v>
      </c>
      <c r="BW1096" s="90">
        <v>174.4</v>
      </c>
      <c r="BX1096" s="90">
        <v>175.67</v>
      </c>
      <c r="BY1096" s="90" t="str">
        <f t="array" ref="BY1096">XLOOKUP(C1096,'PL TOTAL D0'!$A$3:$A$1991,'PL TOTAL D0'!$C$3:$C$1991,"")</f>
        <v/>
      </c>
    </row>
    <row r="1097" ht="15.75" customHeight="1">
      <c r="A1097" s="50" t="s">
        <v>24</v>
      </c>
      <c r="B1097" s="176" t="s">
        <v>1520</v>
      </c>
      <c r="C1097" s="94" t="s">
        <v>9317</v>
      </c>
      <c r="D1097" s="30" t="s">
        <v>89</v>
      </c>
      <c r="E1097" s="95" t="s">
        <v>91</v>
      </c>
      <c r="F1097" s="81" t="s">
        <v>193</v>
      </c>
      <c r="G1097" s="47" t="str">
        <f t="shared" si="44"/>
        <v>David</v>
      </c>
      <c r="H1097" s="49" t="s">
        <v>224</v>
      </c>
      <c r="I1097" s="49" t="s">
        <v>66</v>
      </c>
      <c r="J1097" s="47" t="str">
        <f t="shared" si="48"/>
        <v>Não</v>
      </c>
      <c r="K1097" s="97">
        <v>45163.0</v>
      </c>
      <c r="L1097" s="186">
        <v>45799.0</v>
      </c>
      <c r="M1097" s="62" t="s">
        <v>61</v>
      </c>
      <c r="N1097" s="98">
        <v>0.012</v>
      </c>
      <c r="O1097" s="47" t="s">
        <v>66</v>
      </c>
      <c r="P1097" s="99">
        <v>0.0</v>
      </c>
      <c r="Q1097" s="58"/>
      <c r="R1097" s="58" t="s">
        <v>610</v>
      </c>
      <c r="S1097" s="62" t="s">
        <v>194</v>
      </c>
      <c r="T1097" s="32" t="s">
        <v>1524</v>
      </c>
      <c r="U1097" s="33" t="s">
        <v>268</v>
      </c>
      <c r="V1097" s="33"/>
      <c r="W1097" s="33" t="s">
        <v>268</v>
      </c>
      <c r="X1097" s="23" t="s">
        <v>475</v>
      </c>
      <c r="Y1097" s="49" t="str">
        <f t="shared" si="46"/>
        <v>Encerrado</v>
      </c>
      <c r="Z1097" s="62"/>
      <c r="AA1097" s="62"/>
      <c r="AB1097" s="64" t="s">
        <v>2158</v>
      </c>
      <c r="AC1097" s="79"/>
      <c r="AD1097" s="54">
        <v>45163.0</v>
      </c>
      <c r="AE1097" s="77">
        <v>4.9075100007683E13</v>
      </c>
      <c r="AF1097" s="79"/>
      <c r="AG1097" s="79"/>
      <c r="AH1097" s="79"/>
      <c r="AI1097" s="79"/>
      <c r="AJ1097" s="79"/>
      <c r="AK1097" s="65">
        <v>0.0</v>
      </c>
      <c r="AL1097" s="65">
        <v>0.0</v>
      </c>
      <c r="AM1097" s="65">
        <v>0.0</v>
      </c>
      <c r="AN1097" s="65">
        <v>0.0</v>
      </c>
      <c r="AO1097" s="65">
        <v>0.0</v>
      </c>
      <c r="AP1097" s="65">
        <v>0.0</v>
      </c>
      <c r="AQ1097" s="65">
        <v>36758.0</v>
      </c>
      <c r="AR1097" s="65">
        <v>30221.63</v>
      </c>
      <c r="AS1097" s="65">
        <v>30342.95</v>
      </c>
      <c r="AT1097" s="65">
        <v>30573.89</v>
      </c>
      <c r="AU1097" s="65">
        <v>30875.75</v>
      </c>
      <c r="AV1097" s="65">
        <v>31157.0</v>
      </c>
      <c r="AW1097" s="65">
        <v>31477.15</v>
      </c>
      <c r="AX1097" s="65">
        <v>31753.35</v>
      </c>
      <c r="AY1097" s="65">
        <v>773.03</v>
      </c>
      <c r="AZ1097" s="65">
        <v>33.7</v>
      </c>
      <c r="BA1097" s="65">
        <v>0.0</v>
      </c>
      <c r="BB1097" s="65">
        <v>0.0</v>
      </c>
      <c r="BC1097" s="65">
        <v>0.0</v>
      </c>
      <c r="BD1097" s="65">
        <v>0.0</v>
      </c>
      <c r="BE1097" s="65">
        <v>0.0</v>
      </c>
      <c r="BF1097" s="65">
        <v>0.0</v>
      </c>
      <c r="BG1097" s="65">
        <v>0.0</v>
      </c>
      <c r="BH1097" s="65">
        <v>0.0</v>
      </c>
      <c r="BI1097" s="65">
        <v>0.0</v>
      </c>
      <c r="BJ1097" s="65">
        <v>0.0</v>
      </c>
      <c r="BK1097" s="65">
        <v>0.0</v>
      </c>
      <c r="BL1097" s="65">
        <v>0.0</v>
      </c>
      <c r="BM1097" s="65">
        <v>0.0</v>
      </c>
      <c r="BN1097" s="65">
        <v>0.0</v>
      </c>
      <c r="BO1097" s="65">
        <v>0.0</v>
      </c>
      <c r="BP1097" s="65">
        <v>0.0</v>
      </c>
      <c r="BQ1097" s="65">
        <v>0.0</v>
      </c>
      <c r="BR1097" s="65">
        <v>0.0</v>
      </c>
      <c r="BS1097" s="65">
        <v>0.0</v>
      </c>
      <c r="BT1097" s="88">
        <v>0.0</v>
      </c>
      <c r="BU1097" s="65">
        <v>0.0</v>
      </c>
      <c r="BV1097" s="65">
        <v>0.0</v>
      </c>
      <c r="BW1097" s="90">
        <v>0.0</v>
      </c>
      <c r="BX1097" s="90">
        <v>0.0</v>
      </c>
      <c r="BY1097" s="90" t="str">
        <f t="array" ref="BY1097">XLOOKUP(C1097,'PL TOTAL D0'!$A$3:$A$1991,'PL TOTAL D0'!$C$3:$C$1991,"")</f>
        <v/>
      </c>
    </row>
    <row r="1098" ht="15.75" customHeight="1">
      <c r="A1098" s="50" t="s">
        <v>24</v>
      </c>
      <c r="B1098" s="176" t="s">
        <v>1520</v>
      </c>
      <c r="C1098" s="94" t="s">
        <v>9318</v>
      </c>
      <c r="D1098" s="30" t="s">
        <v>89</v>
      </c>
      <c r="E1098" s="95" t="s">
        <v>91</v>
      </c>
      <c r="F1098" s="81" t="s">
        <v>193</v>
      </c>
      <c r="G1098" s="47" t="str">
        <f t="shared" si="44"/>
        <v>David</v>
      </c>
      <c r="H1098" s="49" t="s">
        <v>224</v>
      </c>
      <c r="I1098" s="49" t="s">
        <v>66</v>
      </c>
      <c r="J1098" s="47" t="str">
        <f t="shared" si="48"/>
        <v>Não</v>
      </c>
      <c r="K1098" s="97">
        <v>45163.0</v>
      </c>
      <c r="L1098" s="186">
        <v>46101.0</v>
      </c>
      <c r="M1098" s="62" t="s">
        <v>209</v>
      </c>
      <c r="N1098" s="98">
        <v>0.015</v>
      </c>
      <c r="O1098" s="47" t="s">
        <v>35</v>
      </c>
      <c r="P1098" s="99">
        <v>0.1</v>
      </c>
      <c r="Q1098" s="58"/>
      <c r="R1098" s="58" t="s">
        <v>9319</v>
      </c>
      <c r="S1098" s="62" t="s">
        <v>194</v>
      </c>
      <c r="T1098" s="32" t="s">
        <v>1524</v>
      </c>
      <c r="U1098" s="33">
        <v>4.399936805E10</v>
      </c>
      <c r="V1098" s="33" t="s">
        <v>1526</v>
      </c>
      <c r="W1098" s="34">
        <v>33399.0</v>
      </c>
      <c r="X1098" s="23" t="s">
        <v>475</v>
      </c>
      <c r="Y1098" s="49" t="str">
        <f t="shared" si="46"/>
        <v>Encerrado</v>
      </c>
      <c r="Z1098" s="62"/>
      <c r="AA1098" s="62"/>
      <c r="AB1098" s="64" t="s">
        <v>269</v>
      </c>
      <c r="AC1098" s="79"/>
      <c r="AD1098" s="54">
        <v>45163.0</v>
      </c>
      <c r="AE1098" s="77">
        <v>4.9075100011931E13</v>
      </c>
      <c r="AF1098" s="79"/>
      <c r="AG1098" s="79"/>
      <c r="AH1098" s="79"/>
      <c r="AI1098" s="79"/>
      <c r="AJ1098" s="79"/>
      <c r="AK1098" s="65">
        <v>0.0</v>
      </c>
      <c r="AL1098" s="65">
        <v>0.0</v>
      </c>
      <c r="AM1098" s="65">
        <v>0.0</v>
      </c>
      <c r="AN1098" s="65">
        <v>0.0</v>
      </c>
      <c r="AO1098" s="65">
        <v>0.0</v>
      </c>
      <c r="AP1098" s="65">
        <v>0.0</v>
      </c>
      <c r="AQ1098" s="65">
        <v>178971.88</v>
      </c>
      <c r="AR1098" s="65">
        <v>164836.78</v>
      </c>
      <c r="AS1098" s="65">
        <v>168729.46</v>
      </c>
      <c r="AT1098" s="65">
        <v>171907.46</v>
      </c>
      <c r="AU1098" s="65">
        <v>169526.39</v>
      </c>
      <c r="AV1098" s="65">
        <v>170394.9</v>
      </c>
      <c r="AW1098" s="65">
        <v>172384.33</v>
      </c>
      <c r="AX1098" s="65">
        <v>171338.35</v>
      </c>
      <c r="AY1098" s="65">
        <v>221939.4</v>
      </c>
      <c r="AZ1098" s="65">
        <v>224158.2</v>
      </c>
      <c r="BA1098" s="65">
        <v>227157.9</v>
      </c>
      <c r="BB1098" s="65">
        <v>329970.36</v>
      </c>
      <c r="BC1098" s="65">
        <v>329161.95</v>
      </c>
      <c r="BD1098" s="65">
        <v>325929.99</v>
      </c>
      <c r="BE1098" s="65">
        <v>564118.31</v>
      </c>
      <c r="BF1098" s="65">
        <v>563747.7</v>
      </c>
      <c r="BG1098" s="65">
        <v>759272.7</v>
      </c>
      <c r="BH1098" s="65">
        <v>851961.68</v>
      </c>
      <c r="BI1098" s="65">
        <v>863134.65</v>
      </c>
      <c r="BJ1098" s="65">
        <v>686574.52</v>
      </c>
      <c r="BK1098" s="65">
        <v>871124.02</v>
      </c>
      <c r="BL1098" s="65">
        <v>977807.71</v>
      </c>
      <c r="BM1098" s="65">
        <v>1137577.03</v>
      </c>
      <c r="BN1098" s="65">
        <v>1275587.0</v>
      </c>
      <c r="BO1098" s="65">
        <v>1289607.1</v>
      </c>
      <c r="BP1098" s="65">
        <v>1305761.0</v>
      </c>
      <c r="BQ1098" s="65">
        <v>0.0</v>
      </c>
      <c r="BR1098" s="65">
        <v>0.0</v>
      </c>
      <c r="BS1098" s="65">
        <v>0.0</v>
      </c>
      <c r="BT1098" s="88">
        <v>0.0</v>
      </c>
      <c r="BU1098" s="65">
        <v>0.0</v>
      </c>
      <c r="BV1098" s="65">
        <v>0.0</v>
      </c>
      <c r="BW1098" s="90">
        <v>0.0</v>
      </c>
      <c r="BX1098" s="90">
        <v>0.0</v>
      </c>
      <c r="BY1098" s="90" t="str">
        <f t="array" ref="BY1098">XLOOKUP(C1098,'PL TOTAL D0'!$A$3:$A$1991,'PL TOTAL D0'!$C$3:$C$1991,"")</f>
        <v/>
      </c>
    </row>
    <row r="1099" ht="15.75" customHeight="1">
      <c r="A1099" s="43" t="s">
        <v>24</v>
      </c>
      <c r="B1099" s="188" t="s">
        <v>9320</v>
      </c>
      <c r="C1099" s="94" t="s">
        <v>2603</v>
      </c>
      <c r="D1099" s="30" t="s">
        <v>365</v>
      </c>
      <c r="E1099" s="22" t="s">
        <v>199</v>
      </c>
      <c r="F1099" s="30" t="s">
        <v>1111</v>
      </c>
      <c r="G1099" s="47" t="str">
        <f t="shared" si="44"/>
        <v>Marcus</v>
      </c>
      <c r="H1099" s="49" t="s">
        <v>183</v>
      </c>
      <c r="I1099" s="49" t="s">
        <v>66</v>
      </c>
      <c r="J1099" s="47" t="str">
        <f t="shared" si="48"/>
        <v>Sim</v>
      </c>
      <c r="K1099" s="54">
        <v>45386.0</v>
      </c>
      <c r="L1099" s="189"/>
      <c r="M1099" s="32" t="s">
        <v>61</v>
      </c>
      <c r="N1099" s="56">
        <v>0.012</v>
      </c>
      <c r="O1099" s="23" t="s">
        <v>66</v>
      </c>
      <c r="P1099" s="57">
        <v>0.0</v>
      </c>
      <c r="Q1099" s="58" t="s">
        <v>9321</v>
      </c>
      <c r="R1099" s="58"/>
      <c r="S1099" s="32" t="s">
        <v>194</v>
      </c>
      <c r="T1099" s="177" t="s">
        <v>9322</v>
      </c>
      <c r="U1099" s="33">
        <v>5.561999832713E12</v>
      </c>
      <c r="V1099" s="33" t="s">
        <v>9323</v>
      </c>
      <c r="W1099" s="48">
        <v>18978.0</v>
      </c>
      <c r="X1099" s="23" t="s">
        <v>199</v>
      </c>
      <c r="Y1099" s="49" t="str">
        <f t="shared" si="46"/>
        <v>Ativo</v>
      </c>
      <c r="Z1099" s="62"/>
      <c r="AA1099" s="62"/>
      <c r="AB1099" s="64" t="s">
        <v>269</v>
      </c>
      <c r="AC1099" s="79"/>
      <c r="AD1099" s="54">
        <v>45386.0</v>
      </c>
      <c r="AE1099" s="77">
        <v>4.9075100014167E13</v>
      </c>
      <c r="AF1099" s="79"/>
      <c r="AG1099" s="79"/>
      <c r="AH1099" s="79"/>
      <c r="AI1099" s="79"/>
      <c r="AJ1099" s="79"/>
      <c r="AK1099" s="79"/>
      <c r="AL1099" s="79"/>
      <c r="AM1099" s="79"/>
      <c r="AN1099" s="79"/>
      <c r="AO1099" s="79"/>
      <c r="AP1099" s="79"/>
      <c r="AQ1099" s="79"/>
      <c r="AR1099" s="79"/>
      <c r="AS1099" s="79"/>
      <c r="AT1099" s="79"/>
      <c r="AU1099" s="79"/>
      <c r="AV1099" s="65"/>
      <c r="AW1099" s="65"/>
      <c r="AX1099" s="65">
        <v>228292.15</v>
      </c>
      <c r="AY1099" s="65">
        <v>219970.0</v>
      </c>
      <c r="AZ1099" s="65">
        <v>221804.9</v>
      </c>
      <c r="BA1099" s="65">
        <v>454263.9</v>
      </c>
      <c r="BB1099" s="65">
        <v>1374452.33</v>
      </c>
      <c r="BC1099" s="65">
        <v>1333132.45</v>
      </c>
      <c r="BD1099" s="65">
        <v>1264389.94</v>
      </c>
      <c r="BE1099" s="65">
        <v>1348433.49</v>
      </c>
      <c r="BF1099" s="65">
        <v>1814336.9</v>
      </c>
      <c r="BG1099" s="65">
        <v>1887980.51</v>
      </c>
      <c r="BH1099" s="65">
        <v>1798538.93</v>
      </c>
      <c r="BI1099" s="65">
        <v>1971389.95</v>
      </c>
      <c r="BJ1099" s="65">
        <v>1958082.64</v>
      </c>
      <c r="BK1099" s="65">
        <v>1943345.54</v>
      </c>
      <c r="BL1099" s="65">
        <v>1934998.02</v>
      </c>
      <c r="BM1099" s="65">
        <v>1719657.24</v>
      </c>
      <c r="BN1099" s="65">
        <v>1708871.0</v>
      </c>
      <c r="BO1099" s="65">
        <v>1726325.25</v>
      </c>
      <c r="BP1099" s="65">
        <v>1786681.0</v>
      </c>
      <c r="BQ1099" s="65">
        <v>1798166.0</v>
      </c>
      <c r="BR1099" s="65">
        <v>1796316.0</v>
      </c>
      <c r="BS1099" s="65">
        <v>1812104.32</v>
      </c>
      <c r="BT1099" s="88">
        <v>1782606.0</v>
      </c>
      <c r="BU1099" s="65">
        <v>1788035.0</v>
      </c>
      <c r="BV1099" s="65">
        <v>1805057.0</v>
      </c>
      <c r="BW1099" s="90">
        <v>1810420.0</v>
      </c>
      <c r="BX1099" s="90">
        <v>1821132.87</v>
      </c>
      <c r="BY1099" s="90">
        <f t="array" ref="BY1099">XLOOKUP(C1099,'PL TOTAL D0'!$A$3:$A$1991,'PL TOTAL D0'!$C$3:$C$1991,"")</f>
        <v>1825105.87</v>
      </c>
    </row>
    <row r="1100" ht="15.75" customHeight="1">
      <c r="A1100" s="50" t="s">
        <v>24</v>
      </c>
      <c r="B1100" s="176" t="s">
        <v>7297</v>
      </c>
      <c r="C1100" s="94" t="s">
        <v>9324</v>
      </c>
      <c r="D1100" s="81" t="s">
        <v>120</v>
      </c>
      <c r="E1100" s="95" t="s">
        <v>54</v>
      </c>
      <c r="F1100" s="81" t="s">
        <v>1393</v>
      </c>
      <c r="G1100" s="47" t="str">
        <f t="shared" si="44"/>
        <v>David</v>
      </c>
      <c r="H1100" s="49" t="s">
        <v>224</v>
      </c>
      <c r="I1100" s="49" t="s">
        <v>66</v>
      </c>
      <c r="J1100" s="47" t="str">
        <f t="shared" si="48"/>
        <v>Não</v>
      </c>
      <c r="K1100" s="97">
        <v>45063.0</v>
      </c>
      <c r="L1100" s="121">
        <v>45980.0</v>
      </c>
      <c r="M1100" s="62" t="s">
        <v>61</v>
      </c>
      <c r="N1100" s="98">
        <v>0.012</v>
      </c>
      <c r="O1100" s="47" t="s">
        <v>66</v>
      </c>
      <c r="P1100" s="99">
        <v>0.0</v>
      </c>
      <c r="Q1100" s="58"/>
      <c r="R1100" s="58" t="s">
        <v>610</v>
      </c>
      <c r="S1100" s="62" t="s">
        <v>194</v>
      </c>
      <c r="T1100" s="32" t="s">
        <v>7295</v>
      </c>
      <c r="U1100" s="33">
        <v>6.2985178555E10</v>
      </c>
      <c r="V1100" s="33" t="s">
        <v>9325</v>
      </c>
      <c r="W1100" s="34">
        <v>32044.0</v>
      </c>
      <c r="X1100" s="23" t="s">
        <v>54</v>
      </c>
      <c r="Y1100" s="49" t="str">
        <f t="shared" si="46"/>
        <v>Encerrado</v>
      </c>
      <c r="Z1100" s="62"/>
      <c r="AA1100" s="62"/>
      <c r="AB1100" s="64" t="s">
        <v>269</v>
      </c>
      <c r="AC1100" s="79"/>
      <c r="AD1100" s="54">
        <v>45063.0</v>
      </c>
      <c r="AE1100" s="77">
        <v>4.9075100011941E13</v>
      </c>
      <c r="AF1100" s="79"/>
      <c r="AG1100" s="79"/>
      <c r="AH1100" s="79"/>
      <c r="AI1100" s="79"/>
      <c r="AJ1100" s="79"/>
      <c r="AK1100" s="65">
        <v>0.0</v>
      </c>
      <c r="AL1100" s="65">
        <v>0.0</v>
      </c>
      <c r="AM1100" s="65">
        <v>44467.04</v>
      </c>
      <c r="AN1100" s="65">
        <v>8.45</v>
      </c>
      <c r="AO1100" s="65">
        <v>0.0</v>
      </c>
      <c r="AP1100" s="65">
        <v>0.0</v>
      </c>
      <c r="AQ1100" s="65">
        <v>0.0</v>
      </c>
      <c r="AR1100" s="65">
        <v>0.0</v>
      </c>
      <c r="AS1100" s="65">
        <v>0.0</v>
      </c>
      <c r="AT1100" s="65">
        <v>0.0</v>
      </c>
      <c r="AU1100" s="65">
        <v>0.0</v>
      </c>
      <c r="AV1100" s="65">
        <v>0.0</v>
      </c>
      <c r="AW1100" s="65">
        <v>0.0</v>
      </c>
      <c r="AX1100" s="65">
        <v>0.0</v>
      </c>
      <c r="AY1100" s="65">
        <v>0.0</v>
      </c>
      <c r="AZ1100" s="65">
        <v>0.0</v>
      </c>
      <c r="BA1100" s="65">
        <v>0.0</v>
      </c>
      <c r="BB1100" s="65">
        <v>0.0</v>
      </c>
      <c r="BC1100" s="65">
        <v>0.0</v>
      </c>
      <c r="BD1100" s="65">
        <v>0.0</v>
      </c>
      <c r="BE1100" s="65">
        <v>0.0</v>
      </c>
      <c r="BF1100" s="65">
        <v>0.0</v>
      </c>
      <c r="BG1100" s="65">
        <v>0.0</v>
      </c>
      <c r="BH1100" s="65">
        <v>0.0</v>
      </c>
      <c r="BI1100" s="65">
        <v>0.0</v>
      </c>
      <c r="BJ1100" s="65">
        <v>0.0</v>
      </c>
      <c r="BK1100" s="65">
        <v>0.0</v>
      </c>
      <c r="BL1100" s="65">
        <v>0.0</v>
      </c>
      <c r="BM1100" s="65">
        <v>0.0</v>
      </c>
      <c r="BN1100" s="65">
        <v>0.0</v>
      </c>
      <c r="BO1100" s="65">
        <v>0.0</v>
      </c>
      <c r="BP1100" s="65">
        <v>0.0</v>
      </c>
      <c r="BQ1100" s="65">
        <v>0.0</v>
      </c>
      <c r="BR1100" s="65">
        <v>0.0</v>
      </c>
      <c r="BS1100" s="65">
        <v>0.0</v>
      </c>
      <c r="BT1100" s="88">
        <v>0.0</v>
      </c>
      <c r="BU1100" s="65">
        <v>0.0</v>
      </c>
      <c r="BV1100" s="65">
        <v>0.0</v>
      </c>
      <c r="BW1100" s="90">
        <v>0.0</v>
      </c>
      <c r="BX1100" s="90">
        <v>0.0</v>
      </c>
      <c r="BY1100" s="90" t="str">
        <f t="array" ref="BY1100">XLOOKUP(C1100,'PL TOTAL D0'!$A$3:$A$1991,'PL TOTAL D0'!$C$3:$C$1991,"")</f>
        <v/>
      </c>
    </row>
    <row r="1101" ht="15.75" customHeight="1">
      <c r="A1101" s="50" t="s">
        <v>24</v>
      </c>
      <c r="B1101" s="39" t="s">
        <v>9326</v>
      </c>
      <c r="C1101" s="53" t="s">
        <v>3317</v>
      </c>
      <c r="D1101" s="30" t="s">
        <v>3843</v>
      </c>
      <c r="E1101" s="22" t="s">
        <v>54</v>
      </c>
      <c r="F1101" s="30" t="s">
        <v>3844</v>
      </c>
      <c r="G1101" s="47" t="str">
        <f t="shared" si="44"/>
        <v>David</v>
      </c>
      <c r="H1101" s="49" t="s">
        <v>183</v>
      </c>
      <c r="I1101" s="49" t="s">
        <v>66</v>
      </c>
      <c r="J1101" s="47" t="str">
        <f t="shared" si="48"/>
        <v>Não</v>
      </c>
      <c r="K1101" s="54">
        <v>46164.0</v>
      </c>
      <c r="L1101" s="121"/>
      <c r="M1101" s="32" t="s">
        <v>61</v>
      </c>
      <c r="N1101" s="56">
        <v>0.012</v>
      </c>
      <c r="O1101" s="23" t="s">
        <v>66</v>
      </c>
      <c r="P1101" s="57">
        <v>0.0</v>
      </c>
      <c r="Q1101" s="58"/>
      <c r="R1101" s="58"/>
      <c r="S1101" s="32" t="s">
        <v>194</v>
      </c>
      <c r="T1101" s="32" t="s">
        <v>9327</v>
      </c>
      <c r="U1101" s="33" t="s">
        <v>9328</v>
      </c>
      <c r="V1101" s="33" t="s">
        <v>9329</v>
      </c>
      <c r="W1101" s="34">
        <v>29772.0</v>
      </c>
      <c r="X1101" s="23" t="s">
        <v>54</v>
      </c>
      <c r="Y1101" s="49" t="str">
        <f t="shared" si="46"/>
        <v>Ativo</v>
      </c>
      <c r="Z1101" s="62"/>
      <c r="AA1101" s="32" t="s">
        <v>47</v>
      </c>
      <c r="AB1101" s="64"/>
      <c r="AC1101" s="79"/>
      <c r="AD1101" s="54">
        <v>46203.0</v>
      </c>
      <c r="AE1101" s="77"/>
      <c r="AF1101" s="79"/>
      <c r="AG1101" s="79"/>
      <c r="AH1101" s="79"/>
      <c r="AI1101" s="79"/>
      <c r="AJ1101" s="79"/>
      <c r="AK1101" s="65"/>
      <c r="AL1101" s="65"/>
      <c r="AM1101" s="65"/>
      <c r="AN1101" s="65"/>
      <c r="AO1101" s="65"/>
      <c r="AP1101" s="65"/>
      <c r="AQ1101" s="65"/>
      <c r="AR1101" s="65"/>
      <c r="AS1101" s="65"/>
      <c r="AT1101" s="65"/>
      <c r="AU1101" s="65"/>
      <c r="AV1101" s="65"/>
      <c r="AW1101" s="65"/>
      <c r="AX1101" s="65"/>
      <c r="AY1101" s="65"/>
      <c r="AZ1101" s="65"/>
      <c r="BA1101" s="65"/>
      <c r="BB1101" s="65"/>
      <c r="BC1101" s="65"/>
      <c r="BD1101" s="65"/>
      <c r="BE1101" s="65"/>
      <c r="BF1101" s="65"/>
      <c r="BG1101" s="65"/>
      <c r="BH1101" s="65"/>
      <c r="BI1101" s="65"/>
      <c r="BJ1101" s="65"/>
      <c r="BK1101" s="65"/>
      <c r="BL1101" s="65"/>
      <c r="BM1101" s="65"/>
      <c r="BN1101" s="65"/>
      <c r="BO1101" s="65"/>
      <c r="BP1101" s="65"/>
      <c r="BQ1101" s="65"/>
      <c r="BR1101" s="65"/>
      <c r="BS1101" s="65"/>
      <c r="BT1101" s="88"/>
      <c r="BU1101" s="65"/>
      <c r="BV1101" s="65"/>
      <c r="BW1101" s="90">
        <v>1.0</v>
      </c>
      <c r="BX1101" s="90">
        <v>100939.44</v>
      </c>
      <c r="BY1101" s="90">
        <f t="array" ref="BY1101">XLOOKUP(C1101,'PL TOTAL D0'!$A$3:$A$1991,'PL TOTAL D0'!$C$3:$C$1991,"")</f>
        <v>102141.59</v>
      </c>
    </row>
    <row r="1102" ht="15.75" customHeight="1">
      <c r="A1102" s="50" t="s">
        <v>24</v>
      </c>
      <c r="B1102" s="191" t="s">
        <v>9330</v>
      </c>
      <c r="C1102" s="94" t="s">
        <v>2899</v>
      </c>
      <c r="D1102" s="30" t="s">
        <v>89</v>
      </c>
      <c r="E1102" s="95" t="s">
        <v>91</v>
      </c>
      <c r="F1102" s="81" t="s">
        <v>521</v>
      </c>
      <c r="G1102" s="47" t="str">
        <f t="shared" si="44"/>
        <v>Gabriel</v>
      </c>
      <c r="H1102" s="74" t="s">
        <v>183</v>
      </c>
      <c r="I1102" s="49" t="s">
        <v>66</v>
      </c>
      <c r="J1102" s="47" t="str">
        <f t="shared" si="48"/>
        <v>Sim</v>
      </c>
      <c r="K1102" s="97">
        <v>45271.0</v>
      </c>
      <c r="L1102" s="62"/>
      <c r="M1102" s="66" t="s">
        <v>34</v>
      </c>
      <c r="N1102" s="144">
        <v>0.012</v>
      </c>
      <c r="O1102" s="81" t="s">
        <v>35</v>
      </c>
      <c r="P1102" s="520">
        <v>0.1</v>
      </c>
      <c r="Q1102" s="58" t="s">
        <v>9331</v>
      </c>
      <c r="R1102" s="635"/>
      <c r="S1102" s="62" t="s">
        <v>194</v>
      </c>
      <c r="T1102" s="32" t="s">
        <v>9332</v>
      </c>
      <c r="U1102" s="33">
        <v>5.543991530558E12</v>
      </c>
      <c r="V1102" s="33" t="s">
        <v>9333</v>
      </c>
      <c r="W1102" s="34">
        <v>27284.0</v>
      </c>
      <c r="X1102" s="23" t="s">
        <v>221</v>
      </c>
      <c r="Y1102" s="49" t="str">
        <f t="shared" si="46"/>
        <v>Ativo</v>
      </c>
      <c r="Z1102" s="62"/>
      <c r="AA1102" s="62"/>
      <c r="AB1102" s="64" t="s">
        <v>269</v>
      </c>
      <c r="AC1102" s="79"/>
      <c r="AD1102" s="54">
        <v>45271.0</v>
      </c>
      <c r="AE1102" s="77">
        <v>4.9075100013047E13</v>
      </c>
      <c r="AF1102" s="79"/>
      <c r="AG1102" s="79"/>
      <c r="AH1102" s="79"/>
      <c r="AI1102" s="79"/>
      <c r="AJ1102" s="79"/>
      <c r="AK1102" s="79"/>
      <c r="AL1102" s="79"/>
      <c r="AM1102" s="79"/>
      <c r="AN1102" s="79"/>
      <c r="AO1102" s="79"/>
      <c r="AP1102" s="79"/>
      <c r="AQ1102" s="79"/>
      <c r="AR1102" s="79"/>
      <c r="AS1102" s="79"/>
      <c r="AT1102" s="65">
        <v>241127.73</v>
      </c>
      <c r="AU1102" s="65">
        <v>240868.5</v>
      </c>
      <c r="AV1102" s="65">
        <v>242741.27</v>
      </c>
      <c r="AW1102" s="65">
        <v>194411.18</v>
      </c>
      <c r="AX1102" s="65">
        <v>194120.7</v>
      </c>
      <c r="AY1102" s="65">
        <v>133418.2</v>
      </c>
      <c r="AZ1102" s="65">
        <v>134270.8</v>
      </c>
      <c r="BA1102" s="65">
        <v>99815.35</v>
      </c>
      <c r="BB1102" s="65">
        <v>100728.06</v>
      </c>
      <c r="BC1102" s="65">
        <v>101128.31</v>
      </c>
      <c r="BD1102" s="65">
        <v>40321.1</v>
      </c>
      <c r="BE1102" s="65">
        <v>40319.33</v>
      </c>
      <c r="BF1102" s="65">
        <v>40499.49</v>
      </c>
      <c r="BG1102" s="65">
        <v>40868.79</v>
      </c>
      <c r="BH1102" s="65">
        <v>41250.31</v>
      </c>
      <c r="BI1102" s="65">
        <v>41663.06</v>
      </c>
      <c r="BJ1102" s="65">
        <v>537158.85</v>
      </c>
      <c r="BK1102" s="65">
        <v>542062.0</v>
      </c>
      <c r="BL1102" s="65">
        <v>517001.38</v>
      </c>
      <c r="BM1102" s="65">
        <v>477191.39</v>
      </c>
      <c r="BN1102" s="65">
        <v>481051.9</v>
      </c>
      <c r="BO1102" s="65">
        <v>486509.05</v>
      </c>
      <c r="BP1102" s="65">
        <v>546855.0</v>
      </c>
      <c r="BQ1102" s="65">
        <v>551498.9</v>
      </c>
      <c r="BR1102" s="65">
        <v>556101.2</v>
      </c>
      <c r="BS1102" s="65">
        <v>561993.85</v>
      </c>
      <c r="BT1102" s="88">
        <v>566845.1</v>
      </c>
      <c r="BU1102" s="65">
        <v>563774.0</v>
      </c>
      <c r="BV1102" s="65">
        <v>569744.6</v>
      </c>
      <c r="BW1102" s="90">
        <v>533934.3</v>
      </c>
      <c r="BX1102" s="90">
        <v>528188.97</v>
      </c>
      <c r="BY1102" s="90">
        <f t="array" ref="BY1102">XLOOKUP(C1102,'PL TOTAL D0'!$A$3:$A$1991,'PL TOTAL D0'!$C$3:$C$1991,"")</f>
        <v>504076.71</v>
      </c>
    </row>
    <row r="1103" ht="15.75" customHeight="1">
      <c r="A1103" s="50" t="s">
        <v>24</v>
      </c>
      <c r="B1103" s="50" t="s">
        <v>9334</v>
      </c>
      <c r="C1103" s="94" t="s">
        <v>9335</v>
      </c>
      <c r="D1103" s="81" t="s">
        <v>120</v>
      </c>
      <c r="E1103" s="95" t="s">
        <v>199</v>
      </c>
      <c r="F1103" s="30" t="s">
        <v>332</v>
      </c>
      <c r="G1103" s="47" t="str">
        <f t="shared" si="44"/>
        <v>David</v>
      </c>
      <c r="H1103" s="49" t="s">
        <v>295</v>
      </c>
      <c r="I1103" s="49" t="s">
        <v>756</v>
      </c>
      <c r="J1103" s="47" t="str">
        <f t="shared" si="48"/>
        <v>Não</v>
      </c>
      <c r="K1103" s="97">
        <v>45163.0</v>
      </c>
      <c r="L1103" s="189"/>
      <c r="M1103" s="62" t="s">
        <v>390</v>
      </c>
      <c r="N1103" s="98">
        <v>0.0</v>
      </c>
      <c r="O1103" s="47" t="s">
        <v>66</v>
      </c>
      <c r="P1103" s="99">
        <v>0.0</v>
      </c>
      <c r="Q1103" s="58"/>
      <c r="R1103" s="190"/>
      <c r="S1103" s="62" t="s">
        <v>194</v>
      </c>
      <c r="T1103" s="32" t="s">
        <v>9336</v>
      </c>
      <c r="U1103" s="33">
        <v>6.1982445225E10</v>
      </c>
      <c r="V1103" s="33" t="s">
        <v>9337</v>
      </c>
      <c r="W1103" s="34">
        <v>29698.0</v>
      </c>
      <c r="X1103" s="23" t="s">
        <v>199</v>
      </c>
      <c r="Y1103" s="49" t="str">
        <f t="shared" si="46"/>
        <v>Inativo</v>
      </c>
      <c r="Z1103" s="62"/>
      <c r="AA1103" s="62"/>
      <c r="AB1103" s="64" t="s">
        <v>269</v>
      </c>
      <c r="AC1103" s="79"/>
      <c r="AD1103" s="54">
        <v>45163.0</v>
      </c>
      <c r="AE1103" s="77">
        <v>4.9075100011966E13</v>
      </c>
      <c r="AF1103" s="79"/>
      <c r="AG1103" s="79"/>
      <c r="AH1103" s="79"/>
      <c r="AI1103" s="79"/>
      <c r="AJ1103" s="79"/>
      <c r="AK1103" s="79"/>
      <c r="AL1103" s="65">
        <v>0.0</v>
      </c>
      <c r="AM1103" s="65">
        <v>0.0</v>
      </c>
      <c r="AN1103" s="65">
        <v>0.0</v>
      </c>
      <c r="AO1103" s="65">
        <v>0.0</v>
      </c>
      <c r="AP1103" s="65">
        <v>0.0</v>
      </c>
      <c r="AQ1103" s="65">
        <v>0.0</v>
      </c>
      <c r="AR1103" s="65">
        <v>0.0</v>
      </c>
      <c r="AS1103" s="65">
        <v>0.0</v>
      </c>
      <c r="AT1103" s="65">
        <v>0.0</v>
      </c>
      <c r="AU1103" s="65">
        <v>0.0</v>
      </c>
      <c r="AV1103" s="65">
        <v>0.0</v>
      </c>
      <c r="AW1103" s="65">
        <v>0.0</v>
      </c>
      <c r="AX1103" s="65">
        <v>0.0</v>
      </c>
      <c r="AY1103" s="65">
        <v>0.0</v>
      </c>
      <c r="AZ1103" s="65">
        <v>0.0</v>
      </c>
      <c r="BA1103" s="65">
        <v>0.0</v>
      </c>
      <c r="BB1103" s="65">
        <v>0.0</v>
      </c>
      <c r="BC1103" s="65">
        <v>0.0</v>
      </c>
      <c r="BD1103" s="65">
        <v>0.0</v>
      </c>
      <c r="BE1103" s="65">
        <v>0.0</v>
      </c>
      <c r="BF1103" s="65">
        <v>0.0</v>
      </c>
      <c r="BG1103" s="65">
        <v>0.0</v>
      </c>
      <c r="BH1103" s="65">
        <v>0.0</v>
      </c>
      <c r="BI1103" s="65">
        <v>0.0</v>
      </c>
      <c r="BJ1103" s="65">
        <v>0.0</v>
      </c>
      <c r="BK1103" s="65">
        <v>0.0</v>
      </c>
      <c r="BL1103" s="65">
        <v>0.0</v>
      </c>
      <c r="BM1103" s="65">
        <v>0.0</v>
      </c>
      <c r="BN1103" s="65">
        <v>0.0</v>
      </c>
      <c r="BO1103" s="65">
        <v>0.0</v>
      </c>
      <c r="BP1103" s="65">
        <v>0.0</v>
      </c>
      <c r="BQ1103" s="65">
        <v>0.0</v>
      </c>
      <c r="BR1103" s="65">
        <v>0.0</v>
      </c>
      <c r="BS1103" s="65">
        <v>0.0</v>
      </c>
      <c r="BT1103" s="88">
        <v>0.0</v>
      </c>
      <c r="BU1103" s="65">
        <v>0.0</v>
      </c>
      <c r="BV1103" s="65">
        <v>0.0</v>
      </c>
      <c r="BW1103" s="90">
        <v>0.0</v>
      </c>
      <c r="BX1103" s="90">
        <v>0.0</v>
      </c>
      <c r="BY1103" s="90" t="str">
        <f t="array" ref="BY1103">XLOOKUP(C1103,'PL TOTAL D0'!$A$3:$A$1991,'PL TOTAL D0'!$C$3:$C$1991,"")</f>
        <v/>
      </c>
    </row>
    <row r="1104" ht="15.75" customHeight="1">
      <c r="A1104" s="50" t="s">
        <v>24</v>
      </c>
      <c r="B1104" s="50" t="s">
        <v>9334</v>
      </c>
      <c r="C1104" s="94" t="s">
        <v>9338</v>
      </c>
      <c r="D1104" s="81" t="s">
        <v>120</v>
      </c>
      <c r="E1104" s="95" t="s">
        <v>199</v>
      </c>
      <c r="F1104" s="30" t="s">
        <v>332</v>
      </c>
      <c r="G1104" s="47" t="str">
        <f t="shared" si="44"/>
        <v>David</v>
      </c>
      <c r="H1104" s="49" t="s">
        <v>295</v>
      </c>
      <c r="I1104" s="49" t="s">
        <v>756</v>
      </c>
      <c r="J1104" s="47" t="str">
        <f t="shared" si="48"/>
        <v>Não</v>
      </c>
      <c r="K1104" s="97">
        <v>45163.0</v>
      </c>
      <c r="L1104" s="189"/>
      <c r="M1104" s="62" t="s">
        <v>390</v>
      </c>
      <c r="N1104" s="98">
        <v>0.0</v>
      </c>
      <c r="O1104" s="47" t="s">
        <v>66</v>
      </c>
      <c r="P1104" s="99">
        <v>0.0</v>
      </c>
      <c r="Q1104" s="58"/>
      <c r="R1104" s="190"/>
      <c r="S1104" s="62" t="s">
        <v>194</v>
      </c>
      <c r="T1104" s="32" t="s">
        <v>9336</v>
      </c>
      <c r="U1104" s="33">
        <v>6.1982445225E10</v>
      </c>
      <c r="V1104" s="33" t="s">
        <v>9337</v>
      </c>
      <c r="W1104" s="34">
        <v>29698.0</v>
      </c>
      <c r="X1104" s="23" t="s">
        <v>199</v>
      </c>
      <c r="Y1104" s="49" t="str">
        <f t="shared" si="46"/>
        <v>Inativo</v>
      </c>
      <c r="Z1104" s="62"/>
      <c r="AA1104" s="62"/>
      <c r="AB1104" s="64" t="s">
        <v>269</v>
      </c>
      <c r="AC1104" s="79"/>
      <c r="AD1104" s="54">
        <v>45163.0</v>
      </c>
      <c r="AE1104" s="77">
        <v>4.9075100011974E13</v>
      </c>
      <c r="AF1104" s="79"/>
      <c r="AG1104" s="79"/>
      <c r="AH1104" s="79"/>
      <c r="AI1104" s="79"/>
      <c r="AJ1104" s="79"/>
      <c r="AK1104" s="79"/>
      <c r="AL1104" s="65">
        <v>0.0</v>
      </c>
      <c r="AM1104" s="65">
        <v>0.0</v>
      </c>
      <c r="AN1104" s="65">
        <v>0.0</v>
      </c>
      <c r="AO1104" s="65">
        <v>0.0</v>
      </c>
      <c r="AP1104" s="65">
        <v>0.0</v>
      </c>
      <c r="AQ1104" s="65">
        <v>0.0</v>
      </c>
      <c r="AR1104" s="65">
        <v>0.0</v>
      </c>
      <c r="AS1104" s="65">
        <v>0.0</v>
      </c>
      <c r="AT1104" s="65">
        <v>0.0</v>
      </c>
      <c r="AU1104" s="65">
        <v>0.0</v>
      </c>
      <c r="AV1104" s="65">
        <v>0.0</v>
      </c>
      <c r="AW1104" s="65">
        <v>0.0</v>
      </c>
      <c r="AX1104" s="65">
        <v>0.0</v>
      </c>
      <c r="AY1104" s="65">
        <v>0.0</v>
      </c>
      <c r="AZ1104" s="65">
        <v>0.0</v>
      </c>
      <c r="BA1104" s="65">
        <v>0.0</v>
      </c>
      <c r="BB1104" s="65">
        <v>0.0</v>
      </c>
      <c r="BC1104" s="65">
        <v>0.0</v>
      </c>
      <c r="BD1104" s="65">
        <v>0.0</v>
      </c>
      <c r="BE1104" s="65">
        <v>0.0</v>
      </c>
      <c r="BF1104" s="65">
        <v>0.0</v>
      </c>
      <c r="BG1104" s="65">
        <v>0.0</v>
      </c>
      <c r="BH1104" s="65">
        <v>0.0</v>
      </c>
      <c r="BI1104" s="65">
        <v>0.0</v>
      </c>
      <c r="BJ1104" s="65">
        <v>0.0</v>
      </c>
      <c r="BK1104" s="65">
        <v>0.0</v>
      </c>
      <c r="BL1104" s="65">
        <v>0.0</v>
      </c>
      <c r="BM1104" s="65">
        <v>0.0</v>
      </c>
      <c r="BN1104" s="65">
        <v>0.0</v>
      </c>
      <c r="BO1104" s="65">
        <v>0.0</v>
      </c>
      <c r="BP1104" s="65">
        <v>0.0</v>
      </c>
      <c r="BQ1104" s="65">
        <v>0.0</v>
      </c>
      <c r="BR1104" s="65">
        <v>0.0</v>
      </c>
      <c r="BS1104" s="65">
        <v>0.0</v>
      </c>
      <c r="BT1104" s="88">
        <v>0.0</v>
      </c>
      <c r="BU1104" s="65">
        <v>0.0</v>
      </c>
      <c r="BV1104" s="65">
        <v>0.0</v>
      </c>
      <c r="BW1104" s="90">
        <v>0.0</v>
      </c>
      <c r="BX1104" s="90">
        <v>0.0</v>
      </c>
      <c r="BY1104" s="90" t="str">
        <f t="array" ref="BY1104">XLOOKUP(C1104,'PL TOTAL D0'!$A$3:$A$1991,'PL TOTAL D0'!$C$3:$C$1991,"")</f>
        <v/>
      </c>
    </row>
    <row r="1105" ht="15.75" customHeight="1">
      <c r="A1105" s="50" t="s">
        <v>24</v>
      </c>
      <c r="B1105" s="50" t="s">
        <v>9334</v>
      </c>
      <c r="C1105" s="94" t="s">
        <v>9339</v>
      </c>
      <c r="D1105" s="81" t="s">
        <v>120</v>
      </c>
      <c r="E1105" s="95" t="s">
        <v>199</v>
      </c>
      <c r="F1105" s="30" t="s">
        <v>332</v>
      </c>
      <c r="G1105" s="47" t="str">
        <f t="shared" si="44"/>
        <v>David</v>
      </c>
      <c r="H1105" s="49" t="s">
        <v>295</v>
      </c>
      <c r="I1105" s="74" t="s">
        <v>382</v>
      </c>
      <c r="J1105" s="47" t="str">
        <f t="shared" si="48"/>
        <v>Não</v>
      </c>
      <c r="K1105" s="97">
        <v>45163.0</v>
      </c>
      <c r="L1105" s="189"/>
      <c r="M1105" s="62" t="s">
        <v>61</v>
      </c>
      <c r="N1105" s="98">
        <v>0.012</v>
      </c>
      <c r="O1105" s="47" t="s">
        <v>66</v>
      </c>
      <c r="P1105" s="99">
        <v>0.0</v>
      </c>
      <c r="Q1105" s="58"/>
      <c r="R1105" s="190"/>
      <c r="S1105" s="62" t="s">
        <v>194</v>
      </c>
      <c r="T1105" s="32" t="s">
        <v>9336</v>
      </c>
      <c r="U1105" s="33">
        <v>6.1982445225E10</v>
      </c>
      <c r="V1105" s="33" t="s">
        <v>9337</v>
      </c>
      <c r="W1105" s="34">
        <v>29698.0</v>
      </c>
      <c r="X1105" s="23" t="s">
        <v>199</v>
      </c>
      <c r="Y1105" s="49" t="str">
        <f t="shared" si="46"/>
        <v>Inativo</v>
      </c>
      <c r="Z1105" s="62"/>
      <c r="AA1105" s="62"/>
      <c r="AB1105" s="64" t="s">
        <v>269</v>
      </c>
      <c r="AC1105" s="79"/>
      <c r="AD1105" s="54">
        <v>45163.0</v>
      </c>
      <c r="AE1105" s="77">
        <v>4.9075100011958E13</v>
      </c>
      <c r="AF1105" s="79"/>
      <c r="AG1105" s="79"/>
      <c r="AH1105" s="79"/>
      <c r="AI1105" s="79"/>
      <c r="AJ1105" s="79"/>
      <c r="AK1105" s="79"/>
      <c r="AL1105" s="65">
        <v>0.0</v>
      </c>
      <c r="AM1105" s="65">
        <v>0.0</v>
      </c>
      <c r="AN1105" s="65">
        <v>0.0</v>
      </c>
      <c r="AO1105" s="65">
        <v>0.0</v>
      </c>
      <c r="AP1105" s="65">
        <v>0.0</v>
      </c>
      <c r="AQ1105" s="65">
        <v>0.0</v>
      </c>
      <c r="AR1105" s="65">
        <v>0.0</v>
      </c>
      <c r="AS1105" s="65">
        <v>0.0</v>
      </c>
      <c r="AT1105" s="65">
        <v>0.0</v>
      </c>
      <c r="AU1105" s="65">
        <v>0.0</v>
      </c>
      <c r="AV1105" s="65">
        <v>0.0</v>
      </c>
      <c r="AW1105" s="65">
        <v>0.0</v>
      </c>
      <c r="AX1105" s="65">
        <v>0.0</v>
      </c>
      <c r="AY1105" s="65">
        <v>0.0</v>
      </c>
      <c r="AZ1105" s="65">
        <v>0.0</v>
      </c>
      <c r="BA1105" s="65">
        <v>0.0</v>
      </c>
      <c r="BB1105" s="65">
        <v>0.0</v>
      </c>
      <c r="BC1105" s="65">
        <v>0.0</v>
      </c>
      <c r="BD1105" s="65">
        <v>0.0</v>
      </c>
      <c r="BE1105" s="65">
        <v>0.0</v>
      </c>
      <c r="BF1105" s="65">
        <v>0.0</v>
      </c>
      <c r="BG1105" s="65">
        <v>0.0</v>
      </c>
      <c r="BH1105" s="65">
        <v>0.0</v>
      </c>
      <c r="BI1105" s="65">
        <v>0.0</v>
      </c>
      <c r="BJ1105" s="65">
        <v>0.0</v>
      </c>
      <c r="BK1105" s="65">
        <v>0.0</v>
      </c>
      <c r="BL1105" s="65">
        <v>0.0</v>
      </c>
      <c r="BM1105" s="65">
        <v>0.0</v>
      </c>
      <c r="BN1105" s="65">
        <v>0.0</v>
      </c>
      <c r="BO1105" s="65">
        <v>0.0</v>
      </c>
      <c r="BP1105" s="65">
        <v>0.0</v>
      </c>
      <c r="BQ1105" s="65">
        <v>0.0</v>
      </c>
      <c r="BR1105" s="65">
        <v>0.0</v>
      </c>
      <c r="BS1105" s="65">
        <v>0.0</v>
      </c>
      <c r="BT1105" s="88">
        <v>0.0</v>
      </c>
      <c r="BU1105" s="65">
        <v>0.0</v>
      </c>
      <c r="BV1105" s="65">
        <v>0.0</v>
      </c>
      <c r="BW1105" s="90">
        <v>0.0</v>
      </c>
      <c r="BX1105" s="90">
        <v>0.0</v>
      </c>
      <c r="BY1105" s="90" t="str">
        <f t="array" ref="BY1105">XLOOKUP(C1105,'PL TOTAL D0'!$A$3:$A$1991,'PL TOTAL D0'!$C$3:$C$1991,"")</f>
        <v/>
      </c>
    </row>
    <row r="1106" ht="15.75" customHeight="1">
      <c r="A1106" s="50" t="s">
        <v>24</v>
      </c>
      <c r="B1106" s="50" t="s">
        <v>9340</v>
      </c>
      <c r="C1106" s="94" t="s">
        <v>9341</v>
      </c>
      <c r="D1106" s="81" t="s">
        <v>120</v>
      </c>
      <c r="E1106" s="95" t="s">
        <v>199</v>
      </c>
      <c r="F1106" s="81" t="s">
        <v>1914</v>
      </c>
      <c r="G1106" s="47" t="str">
        <f t="shared" si="44"/>
        <v>David</v>
      </c>
      <c r="H1106" s="49" t="s">
        <v>224</v>
      </c>
      <c r="I1106" s="49" t="s">
        <v>66</v>
      </c>
      <c r="J1106" s="47" t="str">
        <f t="shared" si="48"/>
        <v>Não</v>
      </c>
      <c r="K1106" s="97">
        <v>44973.0</v>
      </c>
      <c r="L1106" s="55">
        <v>45764.0</v>
      </c>
      <c r="M1106" s="32" t="s">
        <v>390</v>
      </c>
      <c r="N1106" s="56">
        <v>0.0</v>
      </c>
      <c r="O1106" s="23" t="s">
        <v>66</v>
      </c>
      <c r="P1106" s="57">
        <v>0.0</v>
      </c>
      <c r="Q1106" s="58"/>
      <c r="R1106" s="58" t="s">
        <v>4014</v>
      </c>
      <c r="S1106" s="62" t="s">
        <v>194</v>
      </c>
      <c r="T1106" s="32" t="s">
        <v>1259</v>
      </c>
      <c r="U1106" s="33" t="s">
        <v>268</v>
      </c>
      <c r="V1106" s="33"/>
      <c r="W1106" s="33" t="s">
        <v>268</v>
      </c>
      <c r="X1106" s="23" t="s">
        <v>199</v>
      </c>
      <c r="Y1106" s="49" t="str">
        <f t="shared" si="46"/>
        <v>Encerrado</v>
      </c>
      <c r="Z1106" s="62"/>
      <c r="AA1106" s="62"/>
      <c r="AB1106" s="64" t="s">
        <v>269</v>
      </c>
      <c r="AC1106" s="79"/>
      <c r="AD1106" s="54">
        <v>44973.0</v>
      </c>
      <c r="AE1106" s="77">
        <v>4.9075100003955E13</v>
      </c>
      <c r="AF1106" s="79"/>
      <c r="AG1106" s="79"/>
      <c r="AH1106" s="79"/>
      <c r="AI1106" s="65">
        <v>0.0</v>
      </c>
      <c r="AJ1106" s="65">
        <v>42071.82</v>
      </c>
      <c r="AK1106" s="65">
        <v>48573.21</v>
      </c>
      <c r="AL1106" s="65">
        <v>48813.34</v>
      </c>
      <c r="AM1106" s="65">
        <v>49815.46</v>
      </c>
      <c r="AN1106" s="65">
        <v>50614.22</v>
      </c>
      <c r="AO1106" s="65">
        <v>50918.73</v>
      </c>
      <c r="AP1106" s="65">
        <v>50738.19</v>
      </c>
      <c r="AQ1106" s="65">
        <v>50628.89</v>
      </c>
      <c r="AR1106" s="65">
        <v>50584.61</v>
      </c>
      <c r="AS1106" s="65">
        <v>51127.98</v>
      </c>
      <c r="AT1106" s="65">
        <v>65685.15</v>
      </c>
      <c r="AU1106" s="65">
        <v>65122.87</v>
      </c>
      <c r="AV1106" s="65">
        <v>65731.06</v>
      </c>
      <c r="AW1106" s="65">
        <v>66405.76</v>
      </c>
      <c r="AX1106" s="65">
        <v>65968.55</v>
      </c>
      <c r="AY1106" s="65">
        <v>66348.04</v>
      </c>
      <c r="AZ1106" s="65">
        <v>66900.44</v>
      </c>
      <c r="BA1106" s="65">
        <v>67510.97</v>
      </c>
      <c r="BB1106" s="65">
        <v>68106.21</v>
      </c>
      <c r="BC1106" s="65">
        <v>68631.54</v>
      </c>
      <c r="BD1106" s="65">
        <v>69291.75</v>
      </c>
      <c r="BE1106" s="65">
        <v>0.0</v>
      </c>
      <c r="BF1106" s="65">
        <v>0.0</v>
      </c>
      <c r="BG1106" s="65">
        <v>0.0</v>
      </c>
      <c r="BH1106" s="65">
        <v>0.0</v>
      </c>
      <c r="BI1106" s="65">
        <v>0.0</v>
      </c>
      <c r="BJ1106" s="65">
        <v>0.0</v>
      </c>
      <c r="BK1106" s="65">
        <v>0.0</v>
      </c>
      <c r="BL1106" s="65">
        <v>0.0</v>
      </c>
      <c r="BM1106" s="65">
        <v>0.0</v>
      </c>
      <c r="BN1106" s="65">
        <v>0.0</v>
      </c>
      <c r="BO1106" s="65">
        <v>0.0</v>
      </c>
      <c r="BP1106" s="65">
        <v>0.0</v>
      </c>
      <c r="BQ1106" s="65">
        <v>0.0</v>
      </c>
      <c r="BR1106" s="65">
        <v>0.0</v>
      </c>
      <c r="BS1106" s="65">
        <v>0.0</v>
      </c>
      <c r="BT1106" s="88">
        <v>0.0</v>
      </c>
      <c r="BU1106" s="65">
        <v>0.0</v>
      </c>
      <c r="BV1106" s="65">
        <v>0.0</v>
      </c>
      <c r="BW1106" s="90">
        <v>0.0</v>
      </c>
      <c r="BX1106" s="90">
        <v>0.0</v>
      </c>
      <c r="BY1106" s="90" t="str">
        <f t="array" ref="BY1106">XLOOKUP(C1106,'PL TOTAL D0'!$A$3:$A$1991,'PL TOTAL D0'!$C$3:$C$1991,"")</f>
        <v/>
      </c>
    </row>
    <row r="1107" ht="15.75" customHeight="1">
      <c r="A1107" s="50" t="s">
        <v>24</v>
      </c>
      <c r="B1107" s="188" t="s">
        <v>9342</v>
      </c>
      <c r="C1107" s="94" t="s">
        <v>3439</v>
      </c>
      <c r="D1107" s="30" t="s">
        <v>365</v>
      </c>
      <c r="E1107" s="22" t="s">
        <v>199</v>
      </c>
      <c r="F1107" s="30" t="s">
        <v>368</v>
      </c>
      <c r="G1107" s="47" t="str">
        <f t="shared" si="44"/>
        <v>David</v>
      </c>
      <c r="H1107" s="49" t="s">
        <v>183</v>
      </c>
      <c r="I1107" s="49" t="s">
        <v>66</v>
      </c>
      <c r="J1107" s="47" t="str">
        <f t="shared" si="48"/>
        <v>Não</v>
      </c>
      <c r="K1107" s="54">
        <v>45419.0</v>
      </c>
      <c r="L1107" s="62"/>
      <c r="M1107" s="32" t="s">
        <v>34</v>
      </c>
      <c r="N1107" s="56">
        <v>0.012</v>
      </c>
      <c r="O1107" s="23" t="s">
        <v>35</v>
      </c>
      <c r="P1107" s="57">
        <v>0.1</v>
      </c>
      <c r="Q1107" s="58"/>
      <c r="R1107" s="58"/>
      <c r="S1107" s="32" t="s">
        <v>194</v>
      </c>
      <c r="T1107" s="177" t="s">
        <v>9343</v>
      </c>
      <c r="U1107" s="33">
        <v>5.561984018002E12</v>
      </c>
      <c r="V1107" s="33" t="s">
        <v>9344</v>
      </c>
      <c r="W1107" s="48">
        <v>30667.0</v>
      </c>
      <c r="X1107" s="23" t="s">
        <v>199</v>
      </c>
      <c r="Y1107" s="49" t="str">
        <f t="shared" si="46"/>
        <v>Ativo</v>
      </c>
      <c r="Z1107" s="32"/>
      <c r="AA1107" s="32" t="s">
        <v>47</v>
      </c>
      <c r="AB1107" s="64" t="s">
        <v>269</v>
      </c>
      <c r="AC1107" s="79"/>
      <c r="AD1107" s="54">
        <v>45419.0</v>
      </c>
      <c r="AE1107" s="77">
        <v>4.9075100014604E13</v>
      </c>
      <c r="AF1107" s="79"/>
      <c r="AG1107" s="79"/>
      <c r="AH1107" s="79"/>
      <c r="AI1107" s="79"/>
      <c r="AJ1107" s="79"/>
      <c r="AK1107" s="79"/>
      <c r="AL1107" s="79"/>
      <c r="AM1107" s="79"/>
      <c r="AN1107" s="79"/>
      <c r="AO1107" s="79"/>
      <c r="AP1107" s="79"/>
      <c r="AQ1107" s="79"/>
      <c r="AR1107" s="79"/>
      <c r="AS1107" s="79"/>
      <c r="AT1107" s="79"/>
      <c r="AU1107" s="79"/>
      <c r="AV1107" s="65"/>
      <c r="AW1107" s="65"/>
      <c r="AX1107" s="65"/>
      <c r="AY1107" s="65">
        <v>54918.28</v>
      </c>
      <c r="AZ1107" s="65">
        <v>55291.74</v>
      </c>
      <c r="BA1107" s="65">
        <v>57115.53</v>
      </c>
      <c r="BB1107" s="65">
        <v>59656.86</v>
      </c>
      <c r="BC1107" s="65">
        <v>59166.14</v>
      </c>
      <c r="BD1107" s="65">
        <v>59208.8</v>
      </c>
      <c r="BE1107" s="65">
        <v>59375.22</v>
      </c>
      <c r="BF1107" s="65">
        <v>59785.06</v>
      </c>
      <c r="BG1107" s="65">
        <v>60266.64</v>
      </c>
      <c r="BH1107" s="65">
        <v>50719.19</v>
      </c>
      <c r="BI1107" s="65">
        <v>51185.96</v>
      </c>
      <c r="BJ1107" s="65">
        <v>51650.13</v>
      </c>
      <c r="BK1107" s="65">
        <v>52092.79</v>
      </c>
      <c r="BL1107" s="65">
        <v>52552.64</v>
      </c>
      <c r="BM1107" s="65">
        <v>53120.89</v>
      </c>
      <c r="BN1107" s="65">
        <v>53668.1</v>
      </c>
      <c r="BO1107" s="65">
        <v>54063.08</v>
      </c>
      <c r="BP1107" s="65">
        <v>54293.6</v>
      </c>
      <c r="BQ1107" s="65">
        <v>54693.6</v>
      </c>
      <c r="BR1107" s="65">
        <v>55249.05</v>
      </c>
      <c r="BS1107" s="65">
        <v>55763.87</v>
      </c>
      <c r="BT1107" s="88">
        <v>56450.03</v>
      </c>
      <c r="BU1107" s="65">
        <v>56805.39</v>
      </c>
      <c r="BV1107" s="65">
        <v>57453.72</v>
      </c>
      <c r="BW1107" s="90">
        <v>58023.61</v>
      </c>
      <c r="BX1107" s="90">
        <v>58587.13</v>
      </c>
      <c r="BY1107" s="90">
        <f t="array" ref="BY1107">XLOOKUP(C1107,'PL TOTAL D0'!$A$3:$A$1991,'PL TOTAL D0'!$C$3:$C$1991,"")</f>
        <v>54089.91</v>
      </c>
    </row>
    <row r="1108" ht="15.75" customHeight="1">
      <c r="A1108" s="50" t="s">
        <v>24</v>
      </c>
      <c r="B1108" s="176" t="s">
        <v>9345</v>
      </c>
      <c r="C1108" s="94" t="s">
        <v>9346</v>
      </c>
      <c r="D1108" s="81" t="s">
        <v>120</v>
      </c>
      <c r="E1108" s="95" t="s">
        <v>54</v>
      </c>
      <c r="F1108" s="81" t="s">
        <v>379</v>
      </c>
      <c r="G1108" s="47" t="str">
        <f t="shared" si="44"/>
        <v>David</v>
      </c>
      <c r="H1108" s="49" t="s">
        <v>224</v>
      </c>
      <c r="I1108" s="49" t="s">
        <v>66</v>
      </c>
      <c r="J1108" s="47" t="str">
        <f t="shared" si="48"/>
        <v>Não</v>
      </c>
      <c r="K1108" s="97">
        <v>45015.0</v>
      </c>
      <c r="L1108" s="55">
        <v>45769.0</v>
      </c>
      <c r="M1108" s="62" t="s">
        <v>61</v>
      </c>
      <c r="N1108" s="98">
        <v>0.012</v>
      </c>
      <c r="O1108" s="47" t="s">
        <v>66</v>
      </c>
      <c r="P1108" s="99">
        <v>0.0</v>
      </c>
      <c r="Q1108" s="58"/>
      <c r="R1108" s="635"/>
      <c r="S1108" s="62" t="s">
        <v>194</v>
      </c>
      <c r="T1108" s="32" t="s">
        <v>9347</v>
      </c>
      <c r="U1108" s="33" t="s">
        <v>268</v>
      </c>
      <c r="V1108" s="33"/>
      <c r="W1108" s="33" t="s">
        <v>268</v>
      </c>
      <c r="X1108" s="23" t="s">
        <v>199</v>
      </c>
      <c r="Y1108" s="49" t="str">
        <f t="shared" si="46"/>
        <v>Encerrado</v>
      </c>
      <c r="Z1108" s="62"/>
      <c r="AA1108" s="62"/>
      <c r="AB1108" s="64" t="s">
        <v>269</v>
      </c>
      <c r="AC1108" s="79"/>
      <c r="AD1108" s="54">
        <v>45015.0</v>
      </c>
      <c r="AE1108" s="77">
        <v>4.9075100006784E13</v>
      </c>
      <c r="AF1108" s="79"/>
      <c r="AG1108" s="79"/>
      <c r="AH1108" s="79"/>
      <c r="AI1108" s="79"/>
      <c r="AJ1108" s="79"/>
      <c r="AK1108" s="65">
        <v>160000.0</v>
      </c>
      <c r="AL1108" s="65">
        <v>272043.36</v>
      </c>
      <c r="AM1108" s="65">
        <v>274010.13</v>
      </c>
      <c r="AN1108" s="65">
        <v>276251.33</v>
      </c>
      <c r="AO1108" s="65">
        <v>136932.44</v>
      </c>
      <c r="AP1108" s="65">
        <v>122936.31</v>
      </c>
      <c r="AQ1108" s="65">
        <v>100114.2</v>
      </c>
      <c r="AR1108" s="65">
        <v>94902.41</v>
      </c>
      <c r="AS1108" s="65">
        <v>71309.04</v>
      </c>
      <c r="AT1108" s="65">
        <v>61725.21</v>
      </c>
      <c r="AU1108" s="65">
        <v>36465.34</v>
      </c>
      <c r="AV1108" s="65">
        <v>36133.91</v>
      </c>
      <c r="AW1108" s="65">
        <v>30358.37</v>
      </c>
      <c r="AX1108" s="65">
        <v>10091.78</v>
      </c>
      <c r="AY1108" s="65">
        <v>7146.44</v>
      </c>
      <c r="AZ1108" s="65">
        <v>10003.97</v>
      </c>
      <c r="BA1108" s="65">
        <v>10086.67</v>
      </c>
      <c r="BB1108" s="65">
        <v>12164.22</v>
      </c>
      <c r="BC1108" s="65">
        <v>2107.56</v>
      </c>
      <c r="BD1108" s="65">
        <v>0.0</v>
      </c>
      <c r="BE1108" s="65">
        <v>0.0</v>
      </c>
      <c r="BF1108" s="65">
        <v>1.12</v>
      </c>
      <c r="BG1108" s="65">
        <v>1.12</v>
      </c>
      <c r="BH1108" s="65">
        <v>1.12</v>
      </c>
      <c r="BI1108" s="65">
        <v>1.12</v>
      </c>
      <c r="BJ1108" s="65">
        <v>0.0</v>
      </c>
      <c r="BK1108" s="65">
        <v>0.0</v>
      </c>
      <c r="BL1108" s="65">
        <v>0.0</v>
      </c>
      <c r="BM1108" s="65">
        <v>0.0</v>
      </c>
      <c r="BN1108" s="65">
        <v>0.0</v>
      </c>
      <c r="BO1108" s="65">
        <v>0.0</v>
      </c>
      <c r="BP1108" s="65">
        <v>0.0</v>
      </c>
      <c r="BQ1108" s="65">
        <v>0.0</v>
      </c>
      <c r="BR1108" s="65">
        <v>0.0</v>
      </c>
      <c r="BS1108" s="65">
        <v>0.0</v>
      </c>
      <c r="BT1108" s="88">
        <v>0.0</v>
      </c>
      <c r="BU1108" s="65">
        <v>0.0</v>
      </c>
      <c r="BV1108" s="65">
        <v>0.0</v>
      </c>
      <c r="BW1108" s="90">
        <v>0.0</v>
      </c>
      <c r="BX1108" s="90">
        <v>0.0</v>
      </c>
      <c r="BY1108" s="90" t="str">
        <f t="array" ref="BY1108">XLOOKUP(C1108,'PL TOTAL D0'!$A$3:$A$1991,'PL TOTAL D0'!$C$3:$C$1991,"")</f>
        <v/>
      </c>
    </row>
    <row r="1109" ht="15.75" customHeight="1">
      <c r="A1109" s="50" t="s">
        <v>24</v>
      </c>
      <c r="B1109" s="39" t="s">
        <v>9348</v>
      </c>
      <c r="C1109" s="94" t="s">
        <v>3037</v>
      </c>
      <c r="D1109" s="30" t="s">
        <v>89</v>
      </c>
      <c r="E1109" s="22" t="s">
        <v>91</v>
      </c>
      <c r="F1109" s="30" t="s">
        <v>1869</v>
      </c>
      <c r="G1109" s="47" t="str">
        <f t="shared" si="44"/>
        <v>Gabriel</v>
      </c>
      <c r="H1109" s="49" t="s">
        <v>183</v>
      </c>
      <c r="I1109" s="49" t="s">
        <v>66</v>
      </c>
      <c r="J1109" s="47" t="str">
        <f t="shared" si="48"/>
        <v>Sim</v>
      </c>
      <c r="K1109" s="54">
        <v>45729.0</v>
      </c>
      <c r="L1109" s="62"/>
      <c r="M1109" s="32" t="s">
        <v>34</v>
      </c>
      <c r="N1109" s="56">
        <v>0.012</v>
      </c>
      <c r="O1109" s="23" t="s">
        <v>35</v>
      </c>
      <c r="P1109" s="57">
        <v>0.1</v>
      </c>
      <c r="Q1109" s="58" t="s">
        <v>9349</v>
      </c>
      <c r="R1109" s="58" t="s">
        <v>9350</v>
      </c>
      <c r="S1109" s="32" t="s">
        <v>194</v>
      </c>
      <c r="T1109" s="32" t="s">
        <v>9351</v>
      </c>
      <c r="U1109" s="33">
        <v>1.9999405676E10</v>
      </c>
      <c r="V1109" s="33" t="s">
        <v>9352</v>
      </c>
      <c r="W1109" s="34">
        <v>35907.0</v>
      </c>
      <c r="X1109" s="23" t="s">
        <v>475</v>
      </c>
      <c r="Y1109" s="49" t="str">
        <f t="shared" si="46"/>
        <v>Ativo</v>
      </c>
      <c r="Z1109" s="62"/>
      <c r="AA1109" s="32" t="s">
        <v>47</v>
      </c>
      <c r="AB1109" s="64"/>
      <c r="AC1109" s="79"/>
      <c r="AD1109" s="54">
        <v>45818.0</v>
      </c>
      <c r="AE1109" s="77">
        <v>4.9075100018952E13</v>
      </c>
      <c r="AF1109" s="79"/>
      <c r="AG1109" s="79"/>
      <c r="AH1109" s="79"/>
      <c r="AI1109" s="79"/>
      <c r="AJ1109" s="79"/>
      <c r="AK1109" s="65"/>
      <c r="AL1109" s="65"/>
      <c r="AM1109" s="65"/>
      <c r="AN1109" s="65"/>
      <c r="AO1109" s="65"/>
      <c r="AP1109" s="65"/>
      <c r="AQ1109" s="65"/>
      <c r="AR1109" s="65"/>
      <c r="AS1109" s="65"/>
      <c r="AT1109" s="65"/>
      <c r="AU1109" s="65"/>
      <c r="AV1109" s="65"/>
      <c r="AW1109" s="65"/>
      <c r="AX1109" s="65"/>
      <c r="AY1109" s="65"/>
      <c r="AZ1109" s="65"/>
      <c r="BA1109" s="65"/>
      <c r="BB1109" s="65"/>
      <c r="BC1109" s="65"/>
      <c r="BD1109" s="65"/>
      <c r="BE1109" s="65"/>
      <c r="BF1109" s="65"/>
      <c r="BG1109" s="65"/>
      <c r="BH1109" s="65"/>
      <c r="BI1109" s="65">
        <v>0.0</v>
      </c>
      <c r="BJ1109" s="65">
        <v>0.0</v>
      </c>
      <c r="BK1109" s="65">
        <v>0.0</v>
      </c>
      <c r="BL1109" s="65">
        <v>126407.55</v>
      </c>
      <c r="BM1109" s="65">
        <v>128062.53</v>
      </c>
      <c r="BN1109" s="65">
        <v>207979.5</v>
      </c>
      <c r="BO1109" s="65">
        <v>210359.23</v>
      </c>
      <c r="BP1109" s="65">
        <v>219687.0</v>
      </c>
      <c r="BQ1109" s="65">
        <v>239025.7</v>
      </c>
      <c r="BR1109" s="65">
        <v>249627.8</v>
      </c>
      <c r="BS1109" s="65">
        <v>252335.11</v>
      </c>
      <c r="BT1109" s="88">
        <v>254434.3</v>
      </c>
      <c r="BU1109" s="65">
        <v>300875.8</v>
      </c>
      <c r="BV1109" s="65">
        <v>307150.8</v>
      </c>
      <c r="BW1109" s="90">
        <v>307360.8</v>
      </c>
      <c r="BX1109" s="90">
        <v>319739.82</v>
      </c>
      <c r="BY1109" s="90">
        <f t="array" ref="BY1109">XLOOKUP(C1109,'PL TOTAL D0'!$A$3:$A$1991,'PL TOTAL D0'!$C$3:$C$1991,"")</f>
        <v>322347.64</v>
      </c>
    </row>
    <row r="1110" ht="15.75" customHeight="1">
      <c r="A1110" s="43" t="s">
        <v>24</v>
      </c>
      <c r="B1110" s="50" t="s">
        <v>9353</v>
      </c>
      <c r="C1110" s="94" t="s">
        <v>2846</v>
      </c>
      <c r="D1110" s="30" t="s">
        <v>120</v>
      </c>
      <c r="E1110" s="22" t="s">
        <v>199</v>
      </c>
      <c r="F1110" s="30" t="s">
        <v>431</v>
      </c>
      <c r="G1110" s="47" t="str">
        <f t="shared" si="44"/>
        <v>Gabriel</v>
      </c>
      <c r="H1110" s="49" t="s">
        <v>295</v>
      </c>
      <c r="I1110" s="49" t="s">
        <v>447</v>
      </c>
      <c r="J1110" s="47" t="str">
        <f t="shared" si="48"/>
        <v>Sim</v>
      </c>
      <c r="K1110" s="54">
        <v>45279.0</v>
      </c>
      <c r="L1110" s="62"/>
      <c r="M1110" s="32" t="s">
        <v>201</v>
      </c>
      <c r="N1110" s="56">
        <v>0.003</v>
      </c>
      <c r="O1110" s="23" t="s">
        <v>66</v>
      </c>
      <c r="P1110" s="57">
        <v>0.0</v>
      </c>
      <c r="Q1110" s="58" t="s">
        <v>9354</v>
      </c>
      <c r="R1110" s="635"/>
      <c r="S1110" s="32" t="s">
        <v>194</v>
      </c>
      <c r="T1110" s="32" t="s">
        <v>9355</v>
      </c>
      <c r="U1110" s="33">
        <v>5.531999945866E12</v>
      </c>
      <c r="V1110" s="33" t="s">
        <v>9356</v>
      </c>
      <c r="W1110" s="34">
        <v>30653.0</v>
      </c>
      <c r="X1110" s="23" t="s">
        <v>618</v>
      </c>
      <c r="Y1110" s="49" t="str">
        <f t="shared" si="46"/>
        <v>Ativo</v>
      </c>
      <c r="Z1110" s="62"/>
      <c r="AA1110" s="62"/>
      <c r="AB1110" s="64" t="s">
        <v>269</v>
      </c>
      <c r="AC1110" s="79"/>
      <c r="AD1110" s="54">
        <v>45279.0</v>
      </c>
      <c r="AE1110" s="77">
        <v>4.9075100013489E13</v>
      </c>
      <c r="AF1110" s="79"/>
      <c r="AG1110" s="79"/>
      <c r="AH1110" s="79"/>
      <c r="AI1110" s="79"/>
      <c r="AJ1110" s="79"/>
      <c r="AK1110" s="79"/>
      <c r="AL1110" s="79"/>
      <c r="AM1110" s="79"/>
      <c r="AN1110" s="79"/>
      <c r="AO1110" s="79"/>
      <c r="AP1110" s="79"/>
      <c r="AQ1110" s="79"/>
      <c r="AR1110" s="79"/>
      <c r="AS1110" s="79"/>
      <c r="AT1110" s="65">
        <v>155014.6</v>
      </c>
      <c r="AU1110" s="65">
        <v>209411.61</v>
      </c>
      <c r="AV1110" s="65">
        <v>2482.92</v>
      </c>
      <c r="AW1110" s="65">
        <v>2503.58</v>
      </c>
      <c r="AX1110" s="65">
        <v>2525.51</v>
      </c>
      <c r="AY1110" s="65">
        <v>2534.64</v>
      </c>
      <c r="AZ1110" s="65">
        <v>12092.46</v>
      </c>
      <c r="BA1110" s="65">
        <v>271419.8</v>
      </c>
      <c r="BB1110" s="65">
        <v>344248.03</v>
      </c>
      <c r="BC1110" s="65">
        <v>301856.5</v>
      </c>
      <c r="BD1110" s="65">
        <v>849047.07</v>
      </c>
      <c r="BE1110" s="65">
        <v>824833.77</v>
      </c>
      <c r="BF1110" s="65">
        <v>811545.65</v>
      </c>
      <c r="BG1110" s="65">
        <v>792676.52</v>
      </c>
      <c r="BH1110" s="65">
        <v>792605.44</v>
      </c>
      <c r="BI1110" s="65">
        <v>792090.46</v>
      </c>
      <c r="BJ1110" s="65">
        <v>792052.65</v>
      </c>
      <c r="BK1110" s="65">
        <v>778361.3</v>
      </c>
      <c r="BL1110" s="65">
        <v>778936.93</v>
      </c>
      <c r="BM1110" s="65">
        <v>778862.69</v>
      </c>
      <c r="BN1110" s="65">
        <v>778393.3</v>
      </c>
      <c r="BO1110" s="65">
        <v>778536.31</v>
      </c>
      <c r="BP1110" s="65">
        <v>778539.6</v>
      </c>
      <c r="BQ1110" s="65">
        <v>778985.2</v>
      </c>
      <c r="BR1110" s="65">
        <v>778608.0</v>
      </c>
      <c r="BS1110" s="65">
        <v>781175.14</v>
      </c>
      <c r="BT1110" s="88">
        <v>781007.7</v>
      </c>
      <c r="BU1110" s="65">
        <v>781012.2</v>
      </c>
      <c r="BV1110" s="65">
        <v>762728.8</v>
      </c>
      <c r="BW1110" s="90">
        <v>91957.47</v>
      </c>
      <c r="BX1110" s="90">
        <v>503789.55</v>
      </c>
      <c r="BY1110" s="90">
        <f t="array" ref="BY1110">XLOOKUP(C1110,'PL TOTAL D0'!$A$3:$A$1991,'PL TOTAL D0'!$C$3:$C$1991,"")</f>
        <v>569238.74</v>
      </c>
    </row>
    <row r="1111" ht="15.75" customHeight="1">
      <c r="A1111" s="50" t="s">
        <v>24</v>
      </c>
      <c r="B1111" s="43" t="s">
        <v>7326</v>
      </c>
      <c r="C1111" s="94" t="s">
        <v>9357</v>
      </c>
      <c r="D1111" s="81" t="s">
        <v>120</v>
      </c>
      <c r="E1111" s="95" t="s">
        <v>199</v>
      </c>
      <c r="F1111" s="81" t="s">
        <v>841</v>
      </c>
      <c r="G1111" s="47" t="str">
        <f t="shared" si="44"/>
        <v>David</v>
      </c>
      <c r="H1111" s="49" t="s">
        <v>295</v>
      </c>
      <c r="I1111" s="49" t="s">
        <v>756</v>
      </c>
      <c r="J1111" s="47" t="str">
        <f t="shared" si="48"/>
        <v>Não</v>
      </c>
      <c r="K1111" s="97">
        <v>44998.0</v>
      </c>
      <c r="L1111" s="62"/>
      <c r="M1111" s="62" t="s">
        <v>361</v>
      </c>
      <c r="N1111" s="98">
        <v>0.019</v>
      </c>
      <c r="O1111" s="47" t="s">
        <v>35</v>
      </c>
      <c r="P1111" s="99">
        <v>0.2</v>
      </c>
      <c r="Q1111" s="58"/>
      <c r="R1111" s="635"/>
      <c r="S1111" s="62" t="s">
        <v>194</v>
      </c>
      <c r="T1111" s="32" t="s">
        <v>7324</v>
      </c>
      <c r="U1111" s="33">
        <v>5.561984249444E12</v>
      </c>
      <c r="V1111" s="33" t="s">
        <v>9358</v>
      </c>
      <c r="W1111" s="34">
        <v>27499.0</v>
      </c>
      <c r="X1111" s="23" t="s">
        <v>199</v>
      </c>
      <c r="Y1111" s="49" t="str">
        <f t="shared" si="46"/>
        <v>Ativo</v>
      </c>
      <c r="Z1111" s="62"/>
      <c r="AA1111" s="62"/>
      <c r="AB1111" s="64" t="s">
        <v>269</v>
      </c>
      <c r="AC1111" s="79"/>
      <c r="AD1111" s="54">
        <v>44998.0</v>
      </c>
      <c r="AE1111" s="77">
        <v>4.9075100009562E13</v>
      </c>
      <c r="AF1111" s="79"/>
      <c r="AG1111" s="79"/>
      <c r="AH1111" s="79"/>
      <c r="AI1111" s="79"/>
      <c r="AJ1111" s="65">
        <v>0.0</v>
      </c>
      <c r="AK1111" s="65">
        <v>49617.77</v>
      </c>
      <c r="AL1111" s="65">
        <v>49918.83</v>
      </c>
      <c r="AM1111" s="65">
        <v>26661.75</v>
      </c>
      <c r="AN1111" s="65">
        <v>50.26</v>
      </c>
      <c r="AO1111" s="65">
        <v>50.26</v>
      </c>
      <c r="AP1111" s="65">
        <v>50.26</v>
      </c>
      <c r="AQ1111" s="65">
        <v>50.26</v>
      </c>
      <c r="AR1111" s="65">
        <v>50.26</v>
      </c>
      <c r="AS1111" s="65">
        <v>50.26</v>
      </c>
      <c r="AT1111" s="65">
        <v>50.26</v>
      </c>
      <c r="AU1111" s="65">
        <v>50.26</v>
      </c>
      <c r="AV1111" s="65">
        <v>50.26</v>
      </c>
      <c r="AW1111" s="65">
        <v>50.26</v>
      </c>
      <c r="AX1111" s="65">
        <v>902.31</v>
      </c>
      <c r="AY1111" s="65">
        <v>902.31</v>
      </c>
      <c r="AZ1111" s="65">
        <v>902.31</v>
      </c>
      <c r="BA1111" s="65">
        <v>902.31</v>
      </c>
      <c r="BB1111" s="65">
        <v>902.31</v>
      </c>
      <c r="BC1111" s="65">
        <v>902.31</v>
      </c>
      <c r="BD1111" s="65">
        <v>902.31</v>
      </c>
      <c r="BE1111" s="65">
        <v>902.31</v>
      </c>
      <c r="BF1111" s="65">
        <v>902.31</v>
      </c>
      <c r="BG1111" s="65">
        <v>902.31</v>
      </c>
      <c r="BH1111" s="65">
        <v>902.31</v>
      </c>
      <c r="BI1111" s="65">
        <v>902.31</v>
      </c>
      <c r="BJ1111" s="65">
        <v>0.0</v>
      </c>
      <c r="BK1111" s="65">
        <v>0.0</v>
      </c>
      <c r="BL1111" s="65">
        <v>0.0</v>
      </c>
      <c r="BM1111" s="65">
        <v>0.0</v>
      </c>
      <c r="BN1111" s="65">
        <v>0.0</v>
      </c>
      <c r="BO1111" s="65">
        <v>0.0</v>
      </c>
      <c r="BP1111" s="65">
        <v>0.0</v>
      </c>
      <c r="BQ1111" s="65">
        <v>0.0</v>
      </c>
      <c r="BR1111" s="65">
        <v>0.0</v>
      </c>
      <c r="BS1111" s="65">
        <v>0.0</v>
      </c>
      <c r="BT1111" s="88">
        <v>0.0</v>
      </c>
      <c r="BU1111" s="65">
        <v>0.0</v>
      </c>
      <c r="BV1111" s="65">
        <v>0.0</v>
      </c>
      <c r="BW1111" s="90">
        <v>0.0</v>
      </c>
      <c r="BX1111" s="90">
        <v>0.0</v>
      </c>
      <c r="BY1111" s="90" t="str">
        <f t="array" ref="BY1111">XLOOKUP(C1111,'PL TOTAL D0'!$A$3:$A$1991,'PL TOTAL D0'!$C$3:$C$1991,"")</f>
        <v/>
      </c>
    </row>
    <row r="1112" ht="15.75" customHeight="1">
      <c r="A1112" s="50" t="s">
        <v>24</v>
      </c>
      <c r="B1112" s="50" t="s">
        <v>9359</v>
      </c>
      <c r="C1112" s="94" t="s">
        <v>9360</v>
      </c>
      <c r="D1112" s="81" t="s">
        <v>120</v>
      </c>
      <c r="E1112" s="95" t="s">
        <v>54</v>
      </c>
      <c r="F1112" s="81" t="s">
        <v>379</v>
      </c>
      <c r="G1112" s="47" t="str">
        <f t="shared" si="44"/>
        <v>David</v>
      </c>
      <c r="H1112" s="49" t="s">
        <v>295</v>
      </c>
      <c r="I1112" s="74" t="s">
        <v>382</v>
      </c>
      <c r="J1112" s="47" t="str">
        <f t="shared" si="48"/>
        <v>Não</v>
      </c>
      <c r="K1112" s="97">
        <v>45163.0</v>
      </c>
      <c r="L1112" s="189"/>
      <c r="M1112" s="62" t="s">
        <v>61</v>
      </c>
      <c r="N1112" s="98">
        <v>0.012</v>
      </c>
      <c r="O1112" s="47" t="s">
        <v>66</v>
      </c>
      <c r="P1112" s="99">
        <v>0.0</v>
      </c>
      <c r="Q1112" s="58"/>
      <c r="R1112" s="635"/>
      <c r="S1112" s="62" t="s">
        <v>194</v>
      </c>
      <c r="T1112" s="32" t="s">
        <v>9361</v>
      </c>
      <c r="U1112" s="33">
        <v>6.2982114064E10</v>
      </c>
      <c r="V1112" s="33" t="s">
        <v>8777</v>
      </c>
      <c r="W1112" s="34">
        <v>32724.0</v>
      </c>
      <c r="X1112" s="23" t="s">
        <v>54</v>
      </c>
      <c r="Y1112" s="49" t="str">
        <f t="shared" si="46"/>
        <v>Inativo</v>
      </c>
      <c r="Z1112" s="62"/>
      <c r="AA1112" s="62"/>
      <c r="AB1112" s="64" t="s">
        <v>269</v>
      </c>
      <c r="AC1112" s="79"/>
      <c r="AD1112" s="54">
        <v>45163.0</v>
      </c>
      <c r="AE1112" s="77">
        <v>4.9075100011982E13</v>
      </c>
      <c r="AF1112" s="79"/>
      <c r="AG1112" s="79"/>
      <c r="AH1112" s="79"/>
      <c r="AI1112" s="79"/>
      <c r="AJ1112" s="79"/>
      <c r="AK1112" s="79"/>
      <c r="AL1112" s="79"/>
      <c r="AM1112" s="79"/>
      <c r="AN1112" s="65">
        <v>0.0</v>
      </c>
      <c r="AO1112" s="65">
        <v>0.0</v>
      </c>
      <c r="AP1112" s="65">
        <v>0.0</v>
      </c>
      <c r="AQ1112" s="65">
        <v>0.0</v>
      </c>
      <c r="AR1112" s="65">
        <v>0.0</v>
      </c>
      <c r="AS1112" s="65">
        <v>0.0</v>
      </c>
      <c r="AT1112" s="65">
        <v>0.0</v>
      </c>
      <c r="AU1112" s="65">
        <v>0.0</v>
      </c>
      <c r="AV1112" s="65">
        <v>0.0</v>
      </c>
      <c r="AW1112" s="65">
        <v>0.0</v>
      </c>
      <c r="AX1112" s="65">
        <v>0.0</v>
      </c>
      <c r="AY1112" s="65">
        <v>0.0</v>
      </c>
      <c r="AZ1112" s="65">
        <v>0.0</v>
      </c>
      <c r="BA1112" s="65">
        <v>0.0</v>
      </c>
      <c r="BB1112" s="65">
        <v>0.0</v>
      </c>
      <c r="BC1112" s="65">
        <v>0.0</v>
      </c>
      <c r="BD1112" s="65">
        <v>0.0</v>
      </c>
      <c r="BE1112" s="65">
        <v>0.0</v>
      </c>
      <c r="BF1112" s="65">
        <v>0.0</v>
      </c>
      <c r="BG1112" s="65">
        <v>0.0</v>
      </c>
      <c r="BH1112" s="65">
        <v>0.0</v>
      </c>
      <c r="BI1112" s="65">
        <v>0.0</v>
      </c>
      <c r="BJ1112" s="65">
        <v>0.0</v>
      </c>
      <c r="BK1112" s="65">
        <v>0.0</v>
      </c>
      <c r="BL1112" s="65">
        <v>0.0</v>
      </c>
      <c r="BM1112" s="65">
        <v>0.0</v>
      </c>
      <c r="BN1112" s="65">
        <v>0.0</v>
      </c>
      <c r="BO1112" s="65">
        <v>0.0</v>
      </c>
      <c r="BP1112" s="65">
        <v>0.0</v>
      </c>
      <c r="BQ1112" s="65">
        <v>0.0</v>
      </c>
      <c r="BR1112" s="65">
        <v>0.0</v>
      </c>
      <c r="BS1112" s="65">
        <v>0.0</v>
      </c>
      <c r="BT1112" s="88">
        <v>0.0</v>
      </c>
      <c r="BU1112" s="65">
        <v>0.0</v>
      </c>
      <c r="BV1112" s="65">
        <v>0.0</v>
      </c>
      <c r="BW1112" s="90">
        <v>0.0</v>
      </c>
      <c r="BX1112" s="90">
        <v>0.0</v>
      </c>
      <c r="BY1112" s="90" t="str">
        <f t="array" ref="BY1112">XLOOKUP(C1112,'PL TOTAL D0'!$A$3:$A$1991,'PL TOTAL D0'!$C$3:$C$1991,"")</f>
        <v/>
      </c>
    </row>
    <row r="1113" ht="15.75" customHeight="1">
      <c r="A1113" s="50" t="s">
        <v>24</v>
      </c>
      <c r="B1113" s="50" t="s">
        <v>9362</v>
      </c>
      <c r="C1113" s="94" t="s">
        <v>3045</v>
      </c>
      <c r="D1113" s="81" t="s">
        <v>53</v>
      </c>
      <c r="E1113" s="95" t="s">
        <v>54</v>
      </c>
      <c r="F1113" s="81" t="s">
        <v>1488</v>
      </c>
      <c r="G1113" s="47" t="str">
        <f t="shared" si="44"/>
        <v>Marcus</v>
      </c>
      <c r="H1113" s="49" t="s">
        <v>183</v>
      </c>
      <c r="I1113" s="74" t="s">
        <v>66</v>
      </c>
      <c r="J1113" s="47" t="str">
        <f t="shared" si="48"/>
        <v>Não</v>
      </c>
      <c r="K1113" s="54">
        <v>46062.0</v>
      </c>
      <c r="L1113" s="189"/>
      <c r="M1113" s="62" t="s">
        <v>209</v>
      </c>
      <c r="N1113" s="98">
        <v>0.015</v>
      </c>
      <c r="O1113" s="47" t="s">
        <v>35</v>
      </c>
      <c r="P1113" s="99">
        <v>0.1</v>
      </c>
      <c r="Q1113" s="58"/>
      <c r="R1113" s="635"/>
      <c r="S1113" s="62" t="s">
        <v>194</v>
      </c>
      <c r="T1113" s="32" t="s">
        <v>9363</v>
      </c>
      <c r="U1113" s="33" t="s">
        <v>9364</v>
      </c>
      <c r="V1113" s="33" t="s">
        <v>9365</v>
      </c>
      <c r="W1113" s="34">
        <v>28116.0</v>
      </c>
      <c r="X1113" s="23" t="s">
        <v>54</v>
      </c>
      <c r="Y1113" s="49" t="str">
        <f t="shared" si="46"/>
        <v>Ativo</v>
      </c>
      <c r="Z1113" s="62"/>
      <c r="AA1113" s="62" t="s">
        <v>47</v>
      </c>
      <c r="AB1113" s="64"/>
      <c r="AC1113" s="79"/>
      <c r="AD1113" s="54">
        <v>46203.0</v>
      </c>
      <c r="AE1113" s="77"/>
      <c r="AF1113" s="79"/>
      <c r="AG1113" s="79"/>
      <c r="AH1113" s="79"/>
      <c r="AI1113" s="79"/>
      <c r="AJ1113" s="79"/>
      <c r="AK1113" s="79"/>
      <c r="AL1113" s="79"/>
      <c r="AM1113" s="79"/>
      <c r="AN1113" s="65"/>
      <c r="AO1113" s="65"/>
      <c r="AP1113" s="65"/>
      <c r="AQ1113" s="65"/>
      <c r="AR1113" s="65"/>
      <c r="AS1113" s="65"/>
      <c r="AT1113" s="65"/>
      <c r="AU1113" s="65"/>
      <c r="AV1113" s="65"/>
      <c r="AW1113" s="65"/>
      <c r="AX1113" s="65"/>
      <c r="AY1113" s="65"/>
      <c r="AZ1113" s="65"/>
      <c r="BA1113" s="65"/>
      <c r="BB1113" s="65"/>
      <c r="BC1113" s="65"/>
      <c r="BD1113" s="65"/>
      <c r="BE1113" s="65"/>
      <c r="BF1113" s="65"/>
      <c r="BG1113" s="65"/>
      <c r="BH1113" s="65"/>
      <c r="BI1113" s="65"/>
      <c r="BJ1113" s="65"/>
      <c r="BK1113" s="65"/>
      <c r="BL1113" s="65"/>
      <c r="BM1113" s="65"/>
      <c r="BN1113" s="65"/>
      <c r="BO1113" s="65"/>
      <c r="BP1113" s="65"/>
      <c r="BQ1113" s="65"/>
      <c r="BR1113" s="65"/>
      <c r="BS1113" s="65" t="s">
        <v>1739</v>
      </c>
      <c r="BT1113" s="88">
        <v>183326.5</v>
      </c>
      <c r="BU1113" s="65">
        <v>213687.7</v>
      </c>
      <c r="BV1113" s="65">
        <v>293978.4</v>
      </c>
      <c r="BW1113" s="90">
        <v>303290.5</v>
      </c>
      <c r="BX1113" s="90">
        <v>308261.14</v>
      </c>
      <c r="BY1113" s="90">
        <f t="array" ref="BY1113">XLOOKUP(C1113,'PL TOTAL D0'!$A$3:$A$1991,'PL TOTAL D0'!$C$3:$C$1991,"")</f>
        <v>311547.93</v>
      </c>
    </row>
    <row r="1114" ht="15.75" customHeight="1">
      <c r="A1114" s="50" t="s">
        <v>24</v>
      </c>
      <c r="B1114" s="50" t="s">
        <v>9366</v>
      </c>
      <c r="C1114" s="94" t="s">
        <v>9367</v>
      </c>
      <c r="D1114" s="81" t="s">
        <v>120</v>
      </c>
      <c r="E1114" s="95" t="s">
        <v>199</v>
      </c>
      <c r="F1114" s="81" t="s">
        <v>212</v>
      </c>
      <c r="G1114" s="47" t="str">
        <f t="shared" si="44"/>
        <v>David</v>
      </c>
      <c r="H1114" s="49" t="s">
        <v>224</v>
      </c>
      <c r="I1114" s="49" t="s">
        <v>66</v>
      </c>
      <c r="J1114" s="47" t="str">
        <f t="shared" si="48"/>
        <v>Não</v>
      </c>
      <c r="K1114" s="97">
        <v>45048.0</v>
      </c>
      <c r="L1114" s="55">
        <v>45777.0</v>
      </c>
      <c r="M1114" s="62" t="s">
        <v>61</v>
      </c>
      <c r="N1114" s="98">
        <v>0.012</v>
      </c>
      <c r="O1114" s="47" t="s">
        <v>66</v>
      </c>
      <c r="P1114" s="99">
        <v>0.0</v>
      </c>
      <c r="Q1114" s="58"/>
      <c r="R1114" s="635"/>
      <c r="S1114" s="62" t="s">
        <v>194</v>
      </c>
      <c r="T1114" s="32" t="s">
        <v>7345</v>
      </c>
      <c r="U1114" s="33" t="s">
        <v>268</v>
      </c>
      <c r="V1114" s="33"/>
      <c r="W1114" s="33" t="s">
        <v>268</v>
      </c>
      <c r="X1114" s="23" t="s">
        <v>199</v>
      </c>
      <c r="Y1114" s="49" t="str">
        <f t="shared" si="46"/>
        <v>Encerrado</v>
      </c>
      <c r="Z1114" s="62"/>
      <c r="AA1114" s="62"/>
      <c r="AB1114" s="64" t="s">
        <v>269</v>
      </c>
      <c r="AC1114" s="79"/>
      <c r="AD1114" s="54">
        <v>45048.0</v>
      </c>
      <c r="AE1114" s="77">
        <v>4.9075100007251E13</v>
      </c>
      <c r="AF1114" s="79"/>
      <c r="AG1114" s="79"/>
      <c r="AH1114" s="79"/>
      <c r="AI1114" s="79"/>
      <c r="AJ1114" s="79"/>
      <c r="AK1114" s="65">
        <v>0.0</v>
      </c>
      <c r="AL1114" s="65">
        <v>508810.75</v>
      </c>
      <c r="AM1114" s="65">
        <v>775970.71</v>
      </c>
      <c r="AN1114" s="65">
        <v>784615.31</v>
      </c>
      <c r="AO1114" s="65">
        <v>790313.84</v>
      </c>
      <c r="AP1114" s="65">
        <v>796962.58</v>
      </c>
      <c r="AQ1114" s="65">
        <v>799686.48</v>
      </c>
      <c r="AR1114" s="65">
        <v>802618.33</v>
      </c>
      <c r="AS1114" s="65">
        <v>809988.99</v>
      </c>
      <c r="AT1114" s="65">
        <v>817678.62</v>
      </c>
      <c r="AU1114" s="65">
        <v>823387.03</v>
      </c>
      <c r="AV1114" s="65">
        <v>829725.01</v>
      </c>
      <c r="AW1114" s="65">
        <v>836610.72</v>
      </c>
      <c r="AX1114" s="65">
        <v>840050.8</v>
      </c>
      <c r="AY1114" s="65">
        <v>843191.6</v>
      </c>
      <c r="AZ1114" s="65">
        <v>818172.9</v>
      </c>
      <c r="BA1114" s="65">
        <v>822048.6</v>
      </c>
      <c r="BB1114" s="65">
        <v>838500.15</v>
      </c>
      <c r="BC1114" s="65">
        <v>837543.87</v>
      </c>
      <c r="BD1114" s="65">
        <v>844877.27</v>
      </c>
      <c r="BE1114" s="65">
        <v>850996.1</v>
      </c>
      <c r="BF1114" s="65">
        <v>856837.67</v>
      </c>
      <c r="BG1114" s="65">
        <v>864032.0</v>
      </c>
      <c r="BH1114" s="65">
        <v>870716.34</v>
      </c>
      <c r="BI1114" s="65">
        <v>804400.37</v>
      </c>
      <c r="BJ1114" s="65">
        <v>812968.05</v>
      </c>
      <c r="BK1114" s="65">
        <v>821062.69</v>
      </c>
      <c r="BL1114" s="65">
        <v>0.0</v>
      </c>
      <c r="BM1114" s="65">
        <v>0.0</v>
      </c>
      <c r="BN1114" s="65">
        <v>0.0</v>
      </c>
      <c r="BO1114" s="65">
        <v>0.0</v>
      </c>
      <c r="BP1114" s="65">
        <v>0.0</v>
      </c>
      <c r="BQ1114" s="65">
        <v>0.0</v>
      </c>
      <c r="BR1114" s="65">
        <v>0.0</v>
      </c>
      <c r="BS1114" s="65">
        <v>0.0</v>
      </c>
      <c r="BT1114" s="88">
        <v>0.0</v>
      </c>
      <c r="BU1114" s="65">
        <v>0.0</v>
      </c>
      <c r="BV1114" s="65">
        <v>0.0</v>
      </c>
      <c r="BW1114" s="90">
        <v>0.0</v>
      </c>
      <c r="BX1114" s="90">
        <v>0.0</v>
      </c>
      <c r="BY1114" s="90" t="str">
        <f t="array" ref="BY1114">XLOOKUP(C1114,'PL TOTAL D0'!$A$3:$A$1991,'PL TOTAL D0'!$C$3:$C$1991,"")</f>
        <v/>
      </c>
    </row>
    <row r="1115" ht="15.75" customHeight="1">
      <c r="A1115" s="50" t="s">
        <v>24</v>
      </c>
      <c r="B1115" s="43" t="s">
        <v>9368</v>
      </c>
      <c r="C1115" s="53" t="s">
        <v>3342</v>
      </c>
      <c r="D1115" s="30" t="s">
        <v>1257</v>
      </c>
      <c r="E1115" s="22" t="s">
        <v>199</v>
      </c>
      <c r="F1115" s="30" t="s">
        <v>1257</v>
      </c>
      <c r="G1115" s="47" t="str">
        <f t="shared" si="44"/>
        <v>David</v>
      </c>
      <c r="H1115" s="49" t="s">
        <v>183</v>
      </c>
      <c r="I1115" s="49" t="s">
        <v>66</v>
      </c>
      <c r="J1115" s="47" t="str">
        <f t="shared" si="48"/>
        <v>Não</v>
      </c>
      <c r="K1115" s="54">
        <v>46139.0</v>
      </c>
      <c r="L1115" s="55"/>
      <c r="M1115" s="32" t="s">
        <v>9369</v>
      </c>
      <c r="N1115" s="98"/>
      <c r="O1115" s="47" t="s">
        <v>66</v>
      </c>
      <c r="P1115" s="57">
        <v>0.0</v>
      </c>
      <c r="Q1115" s="58"/>
      <c r="R1115" s="635"/>
      <c r="S1115" s="32" t="s">
        <v>194</v>
      </c>
      <c r="T1115" s="32" t="s">
        <v>9370</v>
      </c>
      <c r="U1115" s="33" t="s">
        <v>9371</v>
      </c>
      <c r="V1115" s="33" t="s">
        <v>9372</v>
      </c>
      <c r="W1115" s="48">
        <v>30809.0</v>
      </c>
      <c r="X1115" s="23" t="s">
        <v>1387</v>
      </c>
      <c r="Y1115" s="49" t="str">
        <f t="shared" si="46"/>
        <v>Ativo</v>
      </c>
      <c r="Z1115" s="62"/>
      <c r="AA1115" s="32" t="s">
        <v>47</v>
      </c>
      <c r="AB1115" s="64"/>
      <c r="AC1115" s="79"/>
      <c r="AD1115" s="54">
        <v>46203.0</v>
      </c>
      <c r="AE1115" s="77"/>
      <c r="AF1115" s="79"/>
      <c r="AG1115" s="79"/>
      <c r="AH1115" s="79"/>
      <c r="AI1115" s="79"/>
      <c r="AJ1115" s="79"/>
      <c r="AK1115" s="65"/>
      <c r="AL1115" s="65"/>
      <c r="AM1115" s="65"/>
      <c r="AN1115" s="65"/>
      <c r="AO1115" s="65"/>
      <c r="AP1115" s="65"/>
      <c r="AQ1115" s="65"/>
      <c r="AR1115" s="65"/>
      <c r="AS1115" s="65"/>
      <c r="AT1115" s="65"/>
      <c r="AU1115" s="65"/>
      <c r="AV1115" s="65"/>
      <c r="AW1115" s="65"/>
      <c r="AX1115" s="65"/>
      <c r="AY1115" s="65"/>
      <c r="AZ1115" s="65"/>
      <c r="BA1115" s="65"/>
      <c r="BB1115" s="65"/>
      <c r="BC1115" s="65"/>
      <c r="BD1115" s="65"/>
      <c r="BE1115" s="65"/>
      <c r="BF1115" s="65"/>
      <c r="BG1115" s="65"/>
      <c r="BH1115" s="65"/>
      <c r="BI1115" s="65"/>
      <c r="BJ1115" s="65"/>
      <c r="BK1115" s="65"/>
      <c r="BL1115" s="65"/>
      <c r="BM1115" s="65"/>
      <c r="BN1115" s="65"/>
      <c r="BO1115" s="65"/>
      <c r="BP1115" s="65"/>
      <c r="BQ1115" s="65"/>
      <c r="BR1115" s="65"/>
      <c r="BS1115" s="65"/>
      <c r="BT1115" s="88"/>
      <c r="BU1115" s="65"/>
      <c r="BV1115" s="65">
        <v>87568.97</v>
      </c>
      <c r="BW1115" s="90">
        <v>87672.73</v>
      </c>
      <c r="BX1115" s="90">
        <v>88649.53</v>
      </c>
      <c r="BY1115" s="90">
        <f t="array" ref="BY1115">XLOOKUP(C1115,'PL TOTAL D0'!$A$3:$A$1991,'PL TOTAL D0'!$C$3:$C$1991,"")</f>
        <v>89853.96</v>
      </c>
    </row>
    <row r="1116" ht="15.75" customHeight="1">
      <c r="A1116" s="50" t="s">
        <v>24</v>
      </c>
      <c r="B1116" s="50" t="s">
        <v>9373</v>
      </c>
      <c r="C1116" s="94" t="s">
        <v>9374</v>
      </c>
      <c r="D1116" s="81" t="s">
        <v>120</v>
      </c>
      <c r="E1116" s="95" t="s">
        <v>54</v>
      </c>
      <c r="F1116" s="81" t="s">
        <v>379</v>
      </c>
      <c r="G1116" s="47" t="str">
        <f t="shared" si="44"/>
        <v>David</v>
      </c>
      <c r="H1116" s="74" t="s">
        <v>295</v>
      </c>
      <c r="I1116" s="74" t="s">
        <v>382</v>
      </c>
      <c r="J1116" s="47" t="str">
        <f t="shared" si="48"/>
        <v>Não</v>
      </c>
      <c r="K1116" s="97">
        <v>45163.0</v>
      </c>
      <c r="L1116" s="189"/>
      <c r="M1116" s="62" t="s">
        <v>61</v>
      </c>
      <c r="N1116" s="98">
        <v>0.012</v>
      </c>
      <c r="O1116" s="47" t="s">
        <v>66</v>
      </c>
      <c r="P1116" s="99">
        <v>0.0</v>
      </c>
      <c r="Q1116" s="58"/>
      <c r="R1116" s="58"/>
      <c r="S1116" s="62" t="s">
        <v>194</v>
      </c>
      <c r="T1116" s="32" t="s">
        <v>9375</v>
      </c>
      <c r="U1116" s="33">
        <v>5.5629824867E12</v>
      </c>
      <c r="V1116" s="33" t="s">
        <v>9376</v>
      </c>
      <c r="W1116" s="34">
        <v>29813.0</v>
      </c>
      <c r="X1116" s="23" t="s">
        <v>54</v>
      </c>
      <c r="Y1116" s="49" t="str">
        <f t="shared" si="46"/>
        <v>Inativo</v>
      </c>
      <c r="Z1116" s="62"/>
      <c r="AA1116" s="62"/>
      <c r="AB1116" s="64" t="s">
        <v>269</v>
      </c>
      <c r="AC1116" s="79"/>
      <c r="AD1116" s="54">
        <v>45163.0</v>
      </c>
      <c r="AE1116" s="77">
        <v>4.907510001199E13</v>
      </c>
      <c r="AF1116" s="79"/>
      <c r="AG1116" s="79"/>
      <c r="AH1116" s="79"/>
      <c r="AI1116" s="79"/>
      <c r="AJ1116" s="79"/>
      <c r="AK1116" s="65">
        <v>0.0</v>
      </c>
      <c r="AL1116" s="65">
        <v>0.0</v>
      </c>
      <c r="AM1116" s="65">
        <v>0.0</v>
      </c>
      <c r="AN1116" s="65">
        <v>0.0</v>
      </c>
      <c r="AO1116" s="65">
        <v>0.0</v>
      </c>
      <c r="AP1116" s="65">
        <v>0.0</v>
      </c>
      <c r="AQ1116" s="65">
        <v>0.0</v>
      </c>
      <c r="AR1116" s="65">
        <v>0.0</v>
      </c>
      <c r="AS1116" s="65">
        <v>0.0</v>
      </c>
      <c r="AT1116" s="65">
        <v>0.0</v>
      </c>
      <c r="AU1116" s="65">
        <v>0.0</v>
      </c>
      <c r="AV1116" s="65">
        <v>0.0</v>
      </c>
      <c r="AW1116" s="65">
        <v>0.0</v>
      </c>
      <c r="AX1116" s="65">
        <v>0.0</v>
      </c>
      <c r="AY1116" s="65">
        <v>0.0</v>
      </c>
      <c r="AZ1116" s="65">
        <v>0.0</v>
      </c>
      <c r="BA1116" s="65">
        <v>0.0</v>
      </c>
      <c r="BB1116" s="65">
        <v>0.0</v>
      </c>
      <c r="BC1116" s="65">
        <v>0.0</v>
      </c>
      <c r="BD1116" s="65">
        <v>0.0</v>
      </c>
      <c r="BE1116" s="65">
        <v>0.0</v>
      </c>
      <c r="BF1116" s="65">
        <v>0.0</v>
      </c>
      <c r="BG1116" s="65">
        <v>0.0</v>
      </c>
      <c r="BH1116" s="65">
        <v>0.0</v>
      </c>
      <c r="BI1116" s="65">
        <v>0.0</v>
      </c>
      <c r="BJ1116" s="65">
        <v>0.0</v>
      </c>
      <c r="BK1116" s="65">
        <v>0.0</v>
      </c>
      <c r="BL1116" s="65">
        <v>0.0</v>
      </c>
      <c r="BM1116" s="65">
        <v>0.0</v>
      </c>
      <c r="BN1116" s="65">
        <v>0.0</v>
      </c>
      <c r="BO1116" s="65">
        <v>0.0</v>
      </c>
      <c r="BP1116" s="65">
        <v>0.0</v>
      </c>
      <c r="BQ1116" s="65">
        <v>0.0</v>
      </c>
      <c r="BR1116" s="65">
        <v>0.0</v>
      </c>
      <c r="BS1116" s="65">
        <v>0.0</v>
      </c>
      <c r="BT1116" s="88">
        <v>0.0</v>
      </c>
      <c r="BU1116" s="65">
        <v>0.0</v>
      </c>
      <c r="BV1116" s="65">
        <v>0.0</v>
      </c>
      <c r="BW1116" s="90">
        <v>0.0</v>
      </c>
      <c r="BX1116" s="90">
        <v>0.0</v>
      </c>
      <c r="BY1116" s="90" t="str">
        <f t="array" ref="BY1116">XLOOKUP(C1116,'PL TOTAL D0'!$A$3:$A$1991,'PL TOTAL D0'!$C$3:$C$1991,"")</f>
        <v/>
      </c>
    </row>
    <row r="1117" ht="15.75" customHeight="1">
      <c r="A1117" s="43" t="s">
        <v>24</v>
      </c>
      <c r="B1117" s="43" t="s">
        <v>9377</v>
      </c>
      <c r="C1117" s="94" t="s">
        <v>9378</v>
      </c>
      <c r="D1117" s="30" t="s">
        <v>120</v>
      </c>
      <c r="E1117" s="22" t="s">
        <v>54</v>
      </c>
      <c r="F1117" s="30" t="s">
        <v>1393</v>
      </c>
      <c r="G1117" s="47" t="str">
        <f t="shared" si="44"/>
        <v>David</v>
      </c>
      <c r="H1117" s="49" t="s">
        <v>295</v>
      </c>
      <c r="I1117" s="49" t="s">
        <v>382</v>
      </c>
      <c r="J1117" s="47" t="str">
        <f t="shared" si="48"/>
        <v>Não</v>
      </c>
      <c r="K1117" s="54">
        <v>45321.0</v>
      </c>
      <c r="L1117" s="189"/>
      <c r="M1117" s="62" t="s">
        <v>61</v>
      </c>
      <c r="N1117" s="98">
        <v>0.012</v>
      </c>
      <c r="O1117" s="47" t="s">
        <v>66</v>
      </c>
      <c r="P1117" s="99">
        <v>0.0</v>
      </c>
      <c r="Q1117" s="58"/>
      <c r="R1117" s="58" t="s">
        <v>9379</v>
      </c>
      <c r="S1117" s="32" t="s">
        <v>194</v>
      </c>
      <c r="T1117" s="32" t="s">
        <v>9380</v>
      </c>
      <c r="U1117" s="33">
        <v>5.562996073166E12</v>
      </c>
      <c r="V1117" s="33" t="s">
        <v>9381</v>
      </c>
      <c r="W1117" s="34">
        <v>21463.0</v>
      </c>
      <c r="X1117" s="23" t="s">
        <v>54</v>
      </c>
      <c r="Y1117" s="49" t="str">
        <f t="shared" si="46"/>
        <v>Ativo</v>
      </c>
      <c r="Z1117" s="62"/>
      <c r="AA1117" s="62"/>
      <c r="AB1117" s="64" t="s">
        <v>269</v>
      </c>
      <c r="AC1117" s="79"/>
      <c r="AD1117" s="54">
        <v>45321.0</v>
      </c>
      <c r="AE1117" s="77">
        <v>4.9075100013241E13</v>
      </c>
      <c r="AF1117" s="79"/>
      <c r="AG1117" s="79"/>
      <c r="AH1117" s="79"/>
      <c r="AI1117" s="79"/>
      <c r="AJ1117" s="79"/>
      <c r="AK1117" s="79"/>
      <c r="AL1117" s="79"/>
      <c r="AM1117" s="79"/>
      <c r="AN1117" s="79"/>
      <c r="AO1117" s="79"/>
      <c r="AP1117" s="79"/>
      <c r="AQ1117" s="79"/>
      <c r="AR1117" s="79"/>
      <c r="AS1117" s="79"/>
      <c r="AT1117" s="79"/>
      <c r="AU1117" s="65">
        <v>0.0</v>
      </c>
      <c r="AV1117" s="65">
        <v>100304.51</v>
      </c>
      <c r="AW1117" s="65">
        <v>101205.41</v>
      </c>
      <c r="AX1117" s="65">
        <v>101972.82</v>
      </c>
      <c r="AY1117" s="65">
        <v>0.0</v>
      </c>
      <c r="AZ1117" s="65">
        <v>39.91</v>
      </c>
      <c r="BA1117" s="65">
        <v>39.91</v>
      </c>
      <c r="BB1117" s="65">
        <v>39.91</v>
      </c>
      <c r="BC1117" s="65">
        <v>39.91</v>
      </c>
      <c r="BD1117" s="65">
        <v>39.91</v>
      </c>
      <c r="BE1117" s="65">
        <v>39.91</v>
      </c>
      <c r="BF1117" s="65">
        <v>39.91</v>
      </c>
      <c r="BG1117" s="65">
        <v>39.91</v>
      </c>
      <c r="BH1117" s="65">
        <v>39.91</v>
      </c>
      <c r="BI1117" s="65">
        <v>39.91</v>
      </c>
      <c r="BJ1117" s="65">
        <v>0.0</v>
      </c>
      <c r="BK1117" s="65">
        <v>0.0</v>
      </c>
      <c r="BL1117" s="65">
        <v>0.0</v>
      </c>
      <c r="BM1117" s="65">
        <v>0.0</v>
      </c>
      <c r="BN1117" s="65">
        <v>0.0</v>
      </c>
      <c r="BO1117" s="65">
        <v>0.0</v>
      </c>
      <c r="BP1117" s="65">
        <v>0.0</v>
      </c>
      <c r="BQ1117" s="65">
        <v>0.0</v>
      </c>
      <c r="BR1117" s="65">
        <v>0.0</v>
      </c>
      <c r="BS1117" s="65">
        <v>0.0</v>
      </c>
      <c r="BT1117" s="88">
        <v>0.0</v>
      </c>
      <c r="BU1117" s="65">
        <v>0.0</v>
      </c>
      <c r="BV1117" s="65">
        <v>0.0</v>
      </c>
      <c r="BW1117" s="90">
        <v>0.0</v>
      </c>
      <c r="BX1117" s="90">
        <v>0.0</v>
      </c>
      <c r="BY1117" s="90" t="str">
        <f t="array" ref="BY1117">XLOOKUP(C1117,'PL TOTAL D0'!$A$3:$A$1991,'PL TOTAL D0'!$C$3:$C$1991,"")</f>
        <v/>
      </c>
    </row>
    <row r="1118" ht="15.75" customHeight="1">
      <c r="A1118" s="50" t="s">
        <v>24</v>
      </c>
      <c r="B1118" s="50" t="s">
        <v>9382</v>
      </c>
      <c r="C1118" s="94" t="s">
        <v>9383</v>
      </c>
      <c r="D1118" s="81" t="s">
        <v>120</v>
      </c>
      <c r="E1118" s="95" t="s">
        <v>54</v>
      </c>
      <c r="F1118" s="81" t="s">
        <v>348</v>
      </c>
      <c r="G1118" s="47" t="str">
        <f t="shared" si="44"/>
        <v>David</v>
      </c>
      <c r="H1118" s="49" t="s">
        <v>295</v>
      </c>
      <c r="I1118" s="49" t="s">
        <v>382</v>
      </c>
      <c r="J1118" s="47" t="str">
        <f t="shared" si="48"/>
        <v>Não</v>
      </c>
      <c r="K1118" s="97">
        <v>45105.0</v>
      </c>
      <c r="L1118" s="189"/>
      <c r="M1118" s="62" t="s">
        <v>61</v>
      </c>
      <c r="N1118" s="98">
        <v>0.012</v>
      </c>
      <c r="O1118" s="47" t="s">
        <v>66</v>
      </c>
      <c r="P1118" s="99">
        <v>0.0</v>
      </c>
      <c r="Q1118" s="58"/>
      <c r="R1118" s="70"/>
      <c r="S1118" s="62" t="s">
        <v>194</v>
      </c>
      <c r="T1118" s="32" t="s">
        <v>9384</v>
      </c>
      <c r="U1118" s="33">
        <v>5.562985505534E12</v>
      </c>
      <c r="V1118" s="33" t="s">
        <v>9385</v>
      </c>
      <c r="W1118" s="34">
        <v>25742.0</v>
      </c>
      <c r="X1118" s="23" t="s">
        <v>54</v>
      </c>
      <c r="Y1118" s="49" t="str">
        <f t="shared" si="46"/>
        <v>Ativo</v>
      </c>
      <c r="Z1118" s="62"/>
      <c r="AA1118" s="62"/>
      <c r="AB1118" s="64" t="s">
        <v>269</v>
      </c>
      <c r="AC1118" s="79"/>
      <c r="AD1118" s="54">
        <v>45105.0</v>
      </c>
      <c r="AE1118" s="77">
        <v>4.9075100007039E13</v>
      </c>
      <c r="AF1118" s="79"/>
      <c r="AG1118" s="79"/>
      <c r="AH1118" s="79"/>
      <c r="AI1118" s="79"/>
      <c r="AJ1118" s="79"/>
      <c r="AK1118" s="79"/>
      <c r="AL1118" s="79"/>
      <c r="AM1118" s="79"/>
      <c r="AN1118" s="65">
        <v>41342.64</v>
      </c>
      <c r="AO1118" s="65">
        <v>353197.08</v>
      </c>
      <c r="AP1118" s="65">
        <v>356698.92</v>
      </c>
      <c r="AQ1118" s="65">
        <v>359344.38</v>
      </c>
      <c r="AR1118" s="65">
        <v>362677.22</v>
      </c>
      <c r="AS1118" s="65">
        <v>365512.31</v>
      </c>
      <c r="AT1118" s="65">
        <v>368420.65</v>
      </c>
      <c r="AU1118" s="65">
        <v>367439.83</v>
      </c>
      <c r="AV1118" s="65">
        <v>362079.85</v>
      </c>
      <c r="AW1118" s="65">
        <v>279463.95</v>
      </c>
      <c r="AX1118" s="65">
        <v>281538.18</v>
      </c>
      <c r="AY1118" s="65">
        <v>283595.1</v>
      </c>
      <c r="AZ1118" s="65">
        <v>285064.0</v>
      </c>
      <c r="BA1118" s="65">
        <v>166313.4</v>
      </c>
      <c r="BB1118" s="65">
        <v>167543.56</v>
      </c>
      <c r="BC1118" s="65">
        <v>134094.03</v>
      </c>
      <c r="BD1118" s="65">
        <v>135334.93</v>
      </c>
      <c r="BE1118" s="65">
        <v>135750.25</v>
      </c>
      <c r="BF1118" s="65">
        <v>136911.0</v>
      </c>
      <c r="BG1118" s="65">
        <v>56837.93</v>
      </c>
      <c r="BH1118" s="65">
        <v>57301.02</v>
      </c>
      <c r="BI1118" s="65">
        <v>57335.17</v>
      </c>
      <c r="BJ1118" s="65">
        <v>0.0</v>
      </c>
      <c r="BK1118" s="65">
        <v>1.37</v>
      </c>
      <c r="BL1118" s="65">
        <v>1.37</v>
      </c>
      <c r="BM1118" s="65">
        <v>1.37</v>
      </c>
      <c r="BN1118" s="65">
        <v>1.37</v>
      </c>
      <c r="BO1118" s="65">
        <v>1.37</v>
      </c>
      <c r="BP1118" s="65">
        <v>1.37</v>
      </c>
      <c r="BQ1118" s="65">
        <v>1.37</v>
      </c>
      <c r="BR1118" s="65">
        <v>1.37</v>
      </c>
      <c r="BS1118" s="65">
        <v>1.37</v>
      </c>
      <c r="BT1118" s="88">
        <v>1.37</v>
      </c>
      <c r="BU1118" s="65">
        <v>1.37</v>
      </c>
      <c r="BV1118" s="65">
        <v>1.37</v>
      </c>
      <c r="BW1118" s="90">
        <v>1.37</v>
      </c>
      <c r="BX1118" s="90">
        <v>1.37</v>
      </c>
      <c r="BY1118" s="90" t="str">
        <f t="array" ref="BY1118">XLOOKUP(C1118,'PL TOTAL D0'!$A$3:$A$1991,'PL TOTAL D0'!$C$3:$C$1991,"")</f>
        <v/>
      </c>
    </row>
    <row r="1119" ht="15.75" customHeight="1">
      <c r="A1119" s="50" t="s">
        <v>24</v>
      </c>
      <c r="B1119" s="50" t="s">
        <v>9386</v>
      </c>
      <c r="C1119" s="94" t="s">
        <v>9387</v>
      </c>
      <c r="D1119" s="81" t="s">
        <v>120</v>
      </c>
      <c r="E1119" s="95" t="s">
        <v>199</v>
      </c>
      <c r="F1119" s="30" t="s">
        <v>332</v>
      </c>
      <c r="G1119" s="47" t="str">
        <f t="shared" si="44"/>
        <v>David</v>
      </c>
      <c r="H1119" s="74" t="s">
        <v>295</v>
      </c>
      <c r="I1119" s="74" t="s">
        <v>382</v>
      </c>
      <c r="J1119" s="47" t="str">
        <f t="shared" si="48"/>
        <v>Não</v>
      </c>
      <c r="K1119" s="97">
        <v>45166.0</v>
      </c>
      <c r="L1119" s="189"/>
      <c r="M1119" s="62" t="s">
        <v>61</v>
      </c>
      <c r="N1119" s="98">
        <v>0.012</v>
      </c>
      <c r="O1119" s="47" t="s">
        <v>66</v>
      </c>
      <c r="P1119" s="99">
        <v>0.0</v>
      </c>
      <c r="Q1119" s="58"/>
      <c r="R1119" s="635"/>
      <c r="S1119" s="62" t="s">
        <v>194</v>
      </c>
      <c r="T1119" s="21" t="s">
        <v>7387</v>
      </c>
      <c r="U1119" s="33">
        <v>6.1995527547E10</v>
      </c>
      <c r="V1119" s="33" t="s">
        <v>9388</v>
      </c>
      <c r="W1119" s="34">
        <v>25716.0</v>
      </c>
      <c r="X1119" s="23" t="s">
        <v>199</v>
      </c>
      <c r="Y1119" s="49" t="str">
        <f t="shared" si="46"/>
        <v>Inativo</v>
      </c>
      <c r="Z1119" s="62"/>
      <c r="AA1119" s="62"/>
      <c r="AB1119" s="64" t="s">
        <v>269</v>
      </c>
      <c r="AC1119" s="79"/>
      <c r="AD1119" s="54">
        <v>45166.0</v>
      </c>
      <c r="AE1119" s="77">
        <v>4.9075100012008E13</v>
      </c>
      <c r="AF1119" s="79"/>
      <c r="AG1119" s="79"/>
      <c r="AH1119" s="79"/>
      <c r="AI1119" s="79"/>
      <c r="AJ1119" s="65">
        <v>0.0</v>
      </c>
      <c r="AK1119" s="65">
        <v>0.0</v>
      </c>
      <c r="AL1119" s="65">
        <v>0.0</v>
      </c>
      <c r="AM1119" s="65">
        <v>0.0</v>
      </c>
      <c r="AN1119" s="65">
        <v>0.0</v>
      </c>
      <c r="AO1119" s="65">
        <v>0.0</v>
      </c>
      <c r="AP1119" s="65">
        <v>0.0</v>
      </c>
      <c r="AQ1119" s="65">
        <v>0.0</v>
      </c>
      <c r="AR1119" s="65">
        <v>0.0</v>
      </c>
      <c r="AS1119" s="65">
        <v>0.0</v>
      </c>
      <c r="AT1119" s="65">
        <v>0.0</v>
      </c>
      <c r="AU1119" s="65">
        <v>0.0</v>
      </c>
      <c r="AV1119" s="65">
        <v>0.0</v>
      </c>
      <c r="AW1119" s="65">
        <v>0.0</v>
      </c>
      <c r="AX1119" s="65">
        <v>0.0</v>
      </c>
      <c r="AY1119" s="65">
        <v>0.0</v>
      </c>
      <c r="AZ1119" s="65">
        <v>0.0</v>
      </c>
      <c r="BA1119" s="65">
        <v>0.0</v>
      </c>
      <c r="BB1119" s="65">
        <v>0.0</v>
      </c>
      <c r="BC1119" s="65">
        <v>0.0</v>
      </c>
      <c r="BD1119" s="65">
        <v>0.0</v>
      </c>
      <c r="BE1119" s="65">
        <v>0.0</v>
      </c>
      <c r="BF1119" s="65">
        <v>0.0</v>
      </c>
      <c r="BG1119" s="65">
        <v>0.0</v>
      </c>
      <c r="BH1119" s="65">
        <v>0.0</v>
      </c>
      <c r="BI1119" s="65">
        <v>0.0</v>
      </c>
      <c r="BJ1119" s="65">
        <v>0.0</v>
      </c>
      <c r="BK1119" s="65">
        <v>0.0</v>
      </c>
      <c r="BL1119" s="65">
        <v>0.0</v>
      </c>
      <c r="BM1119" s="65">
        <v>0.0</v>
      </c>
      <c r="BN1119" s="65">
        <v>0.0</v>
      </c>
      <c r="BO1119" s="65">
        <v>0.0</v>
      </c>
      <c r="BP1119" s="65">
        <v>0.0</v>
      </c>
      <c r="BQ1119" s="65">
        <v>0.0</v>
      </c>
      <c r="BR1119" s="65">
        <v>0.0</v>
      </c>
      <c r="BS1119" s="65">
        <v>0.0</v>
      </c>
      <c r="BT1119" s="88">
        <v>0.0</v>
      </c>
      <c r="BU1119" s="65">
        <v>0.0</v>
      </c>
      <c r="BV1119" s="65">
        <v>0.0</v>
      </c>
      <c r="BW1119" s="90">
        <v>0.0</v>
      </c>
      <c r="BX1119" s="90">
        <v>0.0</v>
      </c>
      <c r="BY1119" s="90" t="str">
        <f t="array" ref="BY1119">XLOOKUP(C1119,'PL TOTAL D0'!$A$3:$A$1991,'PL TOTAL D0'!$C$3:$C$1991,"")</f>
        <v/>
      </c>
    </row>
    <row r="1120" ht="15.75" customHeight="1">
      <c r="A1120" s="50" t="s">
        <v>24</v>
      </c>
      <c r="B1120" s="176" t="s">
        <v>7217</v>
      </c>
      <c r="C1120" s="94" t="s">
        <v>2949</v>
      </c>
      <c r="D1120" s="30" t="s">
        <v>89</v>
      </c>
      <c r="E1120" s="95" t="s">
        <v>91</v>
      </c>
      <c r="F1120" s="81" t="s">
        <v>193</v>
      </c>
      <c r="G1120" s="47" t="str">
        <f t="shared" si="44"/>
        <v>Gabriel</v>
      </c>
      <c r="H1120" s="74" t="s">
        <v>183</v>
      </c>
      <c r="I1120" s="74" t="s">
        <v>66</v>
      </c>
      <c r="J1120" s="47" t="str">
        <f t="shared" si="48"/>
        <v>Não</v>
      </c>
      <c r="K1120" s="97">
        <v>45163.0</v>
      </c>
      <c r="L1120" s="189"/>
      <c r="M1120" s="62" t="s">
        <v>61</v>
      </c>
      <c r="N1120" s="98">
        <v>0.012</v>
      </c>
      <c r="O1120" s="47" t="s">
        <v>66</v>
      </c>
      <c r="P1120" s="99">
        <v>0.0</v>
      </c>
      <c r="Q1120" s="58"/>
      <c r="R1120" s="70"/>
      <c r="S1120" s="62" t="s">
        <v>194</v>
      </c>
      <c r="T1120" s="32" t="s">
        <v>7221</v>
      </c>
      <c r="U1120" s="33">
        <v>5.543988069872E12</v>
      </c>
      <c r="V1120" s="33" t="s">
        <v>9389</v>
      </c>
      <c r="W1120" s="34">
        <v>22036.0</v>
      </c>
      <c r="X1120" s="23" t="s">
        <v>221</v>
      </c>
      <c r="Y1120" s="49" t="str">
        <f t="shared" si="46"/>
        <v>Ativo</v>
      </c>
      <c r="Z1120" s="62"/>
      <c r="AA1120" s="62"/>
      <c r="AB1120" s="64" t="s">
        <v>269</v>
      </c>
      <c r="AC1120" s="79"/>
      <c r="AD1120" s="54">
        <v>45163.0</v>
      </c>
      <c r="AE1120" s="77">
        <v>4.9075100008086E13</v>
      </c>
      <c r="AF1120" s="79"/>
      <c r="AG1120" s="79"/>
      <c r="AH1120" s="79"/>
      <c r="AI1120" s="79"/>
      <c r="AJ1120" s="79"/>
      <c r="AK1120" s="79"/>
      <c r="AL1120" s="79"/>
      <c r="AM1120" s="79"/>
      <c r="AN1120" s="79"/>
      <c r="AO1120" s="79"/>
      <c r="AP1120" s="65">
        <v>212285.51</v>
      </c>
      <c r="AQ1120" s="65">
        <v>213887.99</v>
      </c>
      <c r="AR1120" s="65">
        <v>215498.84</v>
      </c>
      <c r="AS1120" s="65">
        <v>217365.1</v>
      </c>
      <c r="AT1120" s="65">
        <v>219164.85</v>
      </c>
      <c r="AU1120" s="65">
        <v>218353.98</v>
      </c>
      <c r="AV1120" s="65">
        <v>219918.23</v>
      </c>
      <c r="AW1120" s="65">
        <v>220877.83</v>
      </c>
      <c r="AX1120" s="65">
        <v>222419.64</v>
      </c>
      <c r="AY1120" s="65">
        <v>224094.1</v>
      </c>
      <c r="AZ1120" s="65">
        <v>225730.2</v>
      </c>
      <c r="BA1120" s="65">
        <v>227507.9</v>
      </c>
      <c r="BB1120" s="65">
        <v>229078.69</v>
      </c>
      <c r="BC1120" s="65">
        <v>230696.88</v>
      </c>
      <c r="BD1120" s="65">
        <v>232821.19</v>
      </c>
      <c r="BE1120" s="65">
        <v>234500.54</v>
      </c>
      <c r="BF1120" s="65">
        <v>236243.35</v>
      </c>
      <c r="BG1120" s="65">
        <v>236937.43</v>
      </c>
      <c r="BH1120" s="65">
        <v>239108.61</v>
      </c>
      <c r="BI1120" s="65">
        <v>301293.37</v>
      </c>
      <c r="BJ1120" s="65">
        <v>303719.54</v>
      </c>
      <c r="BK1120" s="65">
        <v>306639.96</v>
      </c>
      <c r="BL1120" s="65">
        <v>309365.48</v>
      </c>
      <c r="BM1120" s="65">
        <v>312563.64</v>
      </c>
      <c r="BN1120" s="65">
        <v>315437.3</v>
      </c>
      <c r="BO1120" s="65">
        <v>318106.19</v>
      </c>
      <c r="BP1120" s="65">
        <v>321780.7</v>
      </c>
      <c r="BQ1120" s="65">
        <v>324200.8</v>
      </c>
      <c r="BR1120" s="65">
        <v>407751.3</v>
      </c>
      <c r="BS1120" s="65">
        <v>411252.93</v>
      </c>
      <c r="BT1120" s="88">
        <v>414588.7</v>
      </c>
      <c r="BU1120" s="65">
        <v>418906.8</v>
      </c>
      <c r="BV1120" s="65">
        <v>423322.6</v>
      </c>
      <c r="BW1120" s="90">
        <v>427684.9</v>
      </c>
      <c r="BX1120" s="90">
        <v>431637.76</v>
      </c>
      <c r="BY1120" s="90">
        <f t="array" ref="BY1120">XLOOKUP(C1120,'PL TOTAL D0'!$A$3:$A$1991,'PL TOTAL D0'!$C$3:$C$1991,"")</f>
        <v>434931.82</v>
      </c>
    </row>
    <row r="1121" ht="15.75" customHeight="1">
      <c r="A1121" s="50" t="s">
        <v>24</v>
      </c>
      <c r="B1121" s="50" t="s">
        <v>7394</v>
      </c>
      <c r="C1121" s="94" t="s">
        <v>3267</v>
      </c>
      <c r="D1121" s="81" t="s">
        <v>255</v>
      </c>
      <c r="E1121" s="95" t="s">
        <v>199</v>
      </c>
      <c r="F1121" s="81" t="s">
        <v>4380</v>
      </c>
      <c r="G1121" s="47" t="str">
        <f t="shared" si="44"/>
        <v>David</v>
      </c>
      <c r="H1121" s="74" t="s">
        <v>183</v>
      </c>
      <c r="I1121" s="74" t="s">
        <v>66</v>
      </c>
      <c r="J1121" s="47" t="str">
        <f t="shared" si="48"/>
        <v>Não</v>
      </c>
      <c r="K1121" s="97">
        <v>44995.0</v>
      </c>
      <c r="L1121" s="62"/>
      <c r="M1121" s="62" t="s">
        <v>209</v>
      </c>
      <c r="N1121" s="98">
        <v>0.015</v>
      </c>
      <c r="O1121" s="47" t="s">
        <v>35</v>
      </c>
      <c r="P1121" s="99">
        <v>0.1</v>
      </c>
      <c r="Q1121" s="58"/>
      <c r="R1121" s="635"/>
      <c r="S1121" s="62" t="s">
        <v>194</v>
      </c>
      <c r="T1121" s="32" t="s">
        <v>7393</v>
      </c>
      <c r="U1121" s="33">
        <v>5.561998252958E12</v>
      </c>
      <c r="V1121" s="33" t="s">
        <v>9390</v>
      </c>
      <c r="W1121" s="34">
        <v>23032.0</v>
      </c>
      <c r="X1121" s="23" t="s">
        <v>199</v>
      </c>
      <c r="Y1121" s="49" t="str">
        <f t="shared" si="46"/>
        <v>Ativo</v>
      </c>
      <c r="Z1121" s="62"/>
      <c r="AA1121" s="62"/>
      <c r="AB1121" s="64" t="s">
        <v>269</v>
      </c>
      <c r="AC1121" s="79"/>
      <c r="AD1121" s="54">
        <v>44995.0</v>
      </c>
      <c r="AE1121" s="77">
        <v>4.9075100012814E13</v>
      </c>
      <c r="AF1121" s="79"/>
      <c r="AG1121" s="79"/>
      <c r="AH1121" s="79"/>
      <c r="AI1121" s="79"/>
      <c r="AJ1121" s="79"/>
      <c r="AK1121" s="65">
        <v>60571.25</v>
      </c>
      <c r="AL1121" s="65">
        <v>94101.27</v>
      </c>
      <c r="AM1121" s="65">
        <v>95641.04</v>
      </c>
      <c r="AN1121" s="65">
        <v>97219.44</v>
      </c>
      <c r="AO1121" s="65">
        <v>98019.24</v>
      </c>
      <c r="AP1121" s="65">
        <v>98214.51</v>
      </c>
      <c r="AQ1121" s="65">
        <v>98658.0</v>
      </c>
      <c r="AR1121" s="65">
        <v>98603.27</v>
      </c>
      <c r="AS1121" s="65">
        <v>101156.98</v>
      </c>
      <c r="AT1121" s="65">
        <v>103107.47</v>
      </c>
      <c r="AU1121" s="65">
        <v>101601.19</v>
      </c>
      <c r="AV1121" s="65">
        <v>102512.46</v>
      </c>
      <c r="AW1121" s="65">
        <v>103054.56</v>
      </c>
      <c r="AX1121" s="65">
        <v>102308.48</v>
      </c>
      <c r="AY1121" s="65">
        <v>101941.6</v>
      </c>
      <c r="AZ1121" s="65">
        <v>102587.3</v>
      </c>
      <c r="BA1121" s="65">
        <v>104032.9</v>
      </c>
      <c r="BB1121" s="65">
        <v>105293.63</v>
      </c>
      <c r="BC1121" s="65">
        <v>105083.08</v>
      </c>
      <c r="BD1121" s="65">
        <v>104465.48</v>
      </c>
      <c r="BE1121" s="65">
        <v>103997.84</v>
      </c>
      <c r="BF1121" s="65">
        <v>103949.88</v>
      </c>
      <c r="BG1121" s="65">
        <v>105367.98</v>
      </c>
      <c r="BH1121" s="65">
        <v>106314.92</v>
      </c>
      <c r="BI1121" s="65">
        <v>106304.76</v>
      </c>
      <c r="BJ1121" s="65">
        <v>106773.36</v>
      </c>
      <c r="BK1121" s="65">
        <v>109198.62</v>
      </c>
      <c r="BL1121" s="65">
        <v>110250.17</v>
      </c>
      <c r="BM1121" s="65">
        <v>111066.0</v>
      </c>
      <c r="BN1121" s="65">
        <v>112202.1</v>
      </c>
      <c r="BO1121" s="65">
        <v>113181.65</v>
      </c>
      <c r="BP1121" s="65">
        <v>114618.8</v>
      </c>
      <c r="BQ1121" s="65">
        <v>116636.7</v>
      </c>
      <c r="BR1121" s="65">
        <v>117920.2</v>
      </c>
      <c r="BS1121" s="65">
        <v>119744.01</v>
      </c>
      <c r="BT1121" s="88">
        <v>121160.2</v>
      </c>
      <c r="BU1121" s="65">
        <v>122103.8</v>
      </c>
      <c r="BV1121" s="65">
        <v>123010.0</v>
      </c>
      <c r="BW1121" s="90">
        <v>121495.3</v>
      </c>
      <c r="BX1121" s="90">
        <v>123000.56</v>
      </c>
      <c r="BY1121" s="90">
        <f t="array" ref="BY1121">XLOOKUP(C1121,'PL TOTAL D0'!$A$3:$A$1991,'PL TOTAL D0'!$C$3:$C$1991,"")</f>
        <v>124244.6</v>
      </c>
    </row>
    <row r="1122" ht="15.75" customHeight="1">
      <c r="A1122" s="50" t="s">
        <v>24</v>
      </c>
      <c r="B1122" s="191" t="s">
        <v>7230</v>
      </c>
      <c r="C1122" s="94" t="s">
        <v>2816</v>
      </c>
      <c r="D1122" s="30" t="s">
        <v>89</v>
      </c>
      <c r="E1122" s="95" t="s">
        <v>91</v>
      </c>
      <c r="F1122" s="81" t="s">
        <v>521</v>
      </c>
      <c r="G1122" s="47" t="str">
        <f t="shared" si="44"/>
        <v>Gabriel</v>
      </c>
      <c r="H1122" s="49" t="s">
        <v>183</v>
      </c>
      <c r="I1122" s="49" t="s">
        <v>66</v>
      </c>
      <c r="J1122" s="47" t="str">
        <f t="shared" si="48"/>
        <v>Não</v>
      </c>
      <c r="K1122" s="97">
        <v>45188.0</v>
      </c>
      <c r="L1122" s="62"/>
      <c r="M1122" s="32" t="s">
        <v>1349</v>
      </c>
      <c r="N1122" s="98">
        <v>0.012</v>
      </c>
      <c r="O1122" s="23" t="s">
        <v>66</v>
      </c>
      <c r="P1122" s="57">
        <v>0.0</v>
      </c>
      <c r="Q1122" s="58"/>
      <c r="R1122" s="58" t="s">
        <v>9391</v>
      </c>
      <c r="S1122" s="62" t="s">
        <v>194</v>
      </c>
      <c r="T1122" s="32" t="s">
        <v>7234</v>
      </c>
      <c r="U1122" s="33">
        <v>5.543999448555E12</v>
      </c>
      <c r="V1122" s="33" t="s">
        <v>8238</v>
      </c>
      <c r="W1122" s="34">
        <v>20916.0</v>
      </c>
      <c r="X1122" s="23" t="s">
        <v>221</v>
      </c>
      <c r="Y1122" s="49" t="str">
        <f t="shared" si="46"/>
        <v>Ativo</v>
      </c>
      <c r="Z1122" s="62"/>
      <c r="AA1122" s="62"/>
      <c r="AB1122" s="64" t="s">
        <v>269</v>
      </c>
      <c r="AC1122" s="79"/>
      <c r="AD1122" s="54">
        <v>45188.0</v>
      </c>
      <c r="AE1122" s="77">
        <v>4.9075100012016E13</v>
      </c>
      <c r="AF1122" s="79"/>
      <c r="AG1122" s="79"/>
      <c r="AH1122" s="79"/>
      <c r="AI1122" s="79"/>
      <c r="AJ1122" s="79"/>
      <c r="AK1122" s="79"/>
      <c r="AL1122" s="79"/>
      <c r="AM1122" s="79"/>
      <c r="AN1122" s="79"/>
      <c r="AO1122" s="79"/>
      <c r="AP1122" s="79"/>
      <c r="AQ1122" s="65">
        <v>0.0</v>
      </c>
      <c r="AR1122" s="65">
        <v>559522.29</v>
      </c>
      <c r="AS1122" s="65">
        <v>569804.08</v>
      </c>
      <c r="AT1122" s="65">
        <v>578461.05</v>
      </c>
      <c r="AU1122" s="65">
        <v>573913.17</v>
      </c>
      <c r="AV1122" s="65">
        <v>577550.97</v>
      </c>
      <c r="AW1122" s="65">
        <v>577230.7</v>
      </c>
      <c r="AX1122" s="65">
        <v>575149.39</v>
      </c>
      <c r="AY1122" s="65">
        <v>576161.4</v>
      </c>
      <c r="AZ1122" s="65">
        <v>580104.6</v>
      </c>
      <c r="BA1122" s="65">
        <v>586524.7</v>
      </c>
      <c r="BB1122" s="65">
        <v>592511.91</v>
      </c>
      <c r="BC1122" s="65">
        <v>594001.87</v>
      </c>
      <c r="BD1122" s="65">
        <v>579170.58</v>
      </c>
      <c r="BE1122" s="65">
        <v>579289.07</v>
      </c>
      <c r="BF1122" s="65">
        <v>582375.18</v>
      </c>
      <c r="BG1122" s="65">
        <v>582770.48</v>
      </c>
      <c r="BH1122" s="65">
        <v>587922.03</v>
      </c>
      <c r="BI1122" s="65">
        <v>593260.87</v>
      </c>
      <c r="BJ1122" s="65">
        <v>596843.89</v>
      </c>
      <c r="BK1122" s="65">
        <v>602853.84</v>
      </c>
      <c r="BL1122" s="65">
        <v>608106.09</v>
      </c>
      <c r="BM1122" s="65">
        <v>614861.39</v>
      </c>
      <c r="BN1122" s="65">
        <v>620881.8</v>
      </c>
      <c r="BO1122" s="65">
        <v>627085.59</v>
      </c>
      <c r="BP1122" s="65">
        <v>634369.0</v>
      </c>
      <c r="BQ1122" s="65">
        <v>639892.6</v>
      </c>
      <c r="BR1122" s="65">
        <v>645095.5</v>
      </c>
      <c r="BS1122" s="65">
        <v>650867.06</v>
      </c>
      <c r="BT1122" s="88">
        <v>656294.9</v>
      </c>
      <c r="BU1122" s="65">
        <v>663809.6</v>
      </c>
      <c r="BV1122" s="65">
        <v>671340.2</v>
      </c>
      <c r="BW1122" s="90">
        <v>626694.7</v>
      </c>
      <c r="BX1122" s="90">
        <v>631950.64</v>
      </c>
      <c r="BY1122" s="90">
        <f t="array" ref="BY1122">XLOOKUP(C1122,'PL TOTAL D0'!$A$3:$A$1991,'PL TOTAL D0'!$C$3:$C$1991,"")</f>
        <v>638782.76</v>
      </c>
    </row>
    <row r="1123" ht="15.75" customHeight="1">
      <c r="A1123" s="50" t="s">
        <v>24</v>
      </c>
      <c r="B1123" s="188" t="s">
        <v>9392</v>
      </c>
      <c r="C1123" s="94" t="s">
        <v>3086</v>
      </c>
      <c r="D1123" s="30" t="s">
        <v>142</v>
      </c>
      <c r="E1123" s="22" t="s">
        <v>54</v>
      </c>
      <c r="F1123" s="30" t="s">
        <v>158</v>
      </c>
      <c r="G1123" s="47" t="str">
        <f t="shared" si="44"/>
        <v>Gabriel</v>
      </c>
      <c r="H1123" s="49" t="s">
        <v>183</v>
      </c>
      <c r="I1123" s="49" t="s">
        <v>66</v>
      </c>
      <c r="J1123" s="47" t="str">
        <f t="shared" si="48"/>
        <v>Não</v>
      </c>
      <c r="K1123" s="54">
        <v>45390.0</v>
      </c>
      <c r="L1123" s="62"/>
      <c r="M1123" s="32" t="s">
        <v>61</v>
      </c>
      <c r="N1123" s="56">
        <v>0.012</v>
      </c>
      <c r="O1123" s="23" t="s">
        <v>66</v>
      </c>
      <c r="P1123" s="57">
        <v>0.0</v>
      </c>
      <c r="Q1123" s="58"/>
      <c r="R1123" s="58"/>
      <c r="S1123" s="32" t="s">
        <v>194</v>
      </c>
      <c r="T1123" s="22" t="s">
        <v>9393</v>
      </c>
      <c r="U1123" s="33">
        <v>5.562981420957E12</v>
      </c>
      <c r="V1123" s="33" t="s">
        <v>9394</v>
      </c>
      <c r="W1123" s="34">
        <v>18679.0</v>
      </c>
      <c r="X1123" s="23" t="s">
        <v>54</v>
      </c>
      <c r="Y1123" s="49" t="str">
        <f t="shared" si="46"/>
        <v>Ativo</v>
      </c>
      <c r="Z1123" s="32"/>
      <c r="AA1123" s="32" t="s">
        <v>47</v>
      </c>
      <c r="AB1123" s="64" t="s">
        <v>269</v>
      </c>
      <c r="AC1123" s="79"/>
      <c r="AD1123" s="54">
        <v>45390.0</v>
      </c>
      <c r="AE1123" s="77">
        <v>4.9075100014175E13</v>
      </c>
      <c r="AF1123" s="79"/>
      <c r="AG1123" s="79"/>
      <c r="AH1123" s="79"/>
      <c r="AI1123" s="79"/>
      <c r="AJ1123" s="79"/>
      <c r="AK1123" s="79"/>
      <c r="AL1123" s="79"/>
      <c r="AM1123" s="79"/>
      <c r="AN1123" s="79"/>
      <c r="AO1123" s="79"/>
      <c r="AP1123" s="79"/>
      <c r="AQ1123" s="79"/>
      <c r="AR1123" s="79"/>
      <c r="AS1123" s="79"/>
      <c r="AT1123" s="79"/>
      <c r="AU1123" s="79"/>
      <c r="AV1123" s="65"/>
      <c r="AW1123" s="65"/>
      <c r="AX1123" s="65">
        <v>301810.12</v>
      </c>
      <c r="AY1123" s="65">
        <v>364514.2</v>
      </c>
      <c r="AZ1123" s="65">
        <v>357371.8</v>
      </c>
      <c r="BA1123" s="65">
        <v>361899.7</v>
      </c>
      <c r="BB1123" s="65">
        <v>358464.77</v>
      </c>
      <c r="BC1123" s="65">
        <v>372558.51</v>
      </c>
      <c r="BD1123" s="65">
        <v>387339.47</v>
      </c>
      <c r="BE1123" s="65">
        <v>450701.78</v>
      </c>
      <c r="BF1123" s="65">
        <v>395771.02</v>
      </c>
      <c r="BG1123" s="65">
        <v>411923.11</v>
      </c>
      <c r="BH1123" s="65">
        <v>396606.98</v>
      </c>
      <c r="BI1123" s="65">
        <v>404266.44</v>
      </c>
      <c r="BJ1123" s="65">
        <v>372556.59</v>
      </c>
      <c r="BK1123" s="65">
        <v>376718.14</v>
      </c>
      <c r="BL1123" s="65">
        <v>385142.82</v>
      </c>
      <c r="BM1123" s="65">
        <v>335642.48</v>
      </c>
      <c r="BN1123" s="65">
        <v>308898.7</v>
      </c>
      <c r="BO1123" s="65">
        <v>313322.89</v>
      </c>
      <c r="BP1123" s="65">
        <v>322408.0</v>
      </c>
      <c r="BQ1123" s="65">
        <v>329818.7</v>
      </c>
      <c r="BR1123" s="65">
        <v>335985.8</v>
      </c>
      <c r="BS1123" s="65">
        <v>338425.03</v>
      </c>
      <c r="BT1123" s="88">
        <v>330619.2</v>
      </c>
      <c r="BU1123" s="65">
        <v>334684.8</v>
      </c>
      <c r="BV1123" s="65">
        <v>318208.8</v>
      </c>
      <c r="BW1123" s="90">
        <v>274285.8</v>
      </c>
      <c r="BX1123" s="90">
        <v>277171.5</v>
      </c>
      <c r="BY1123" s="90">
        <f t="array" ref="BY1123">XLOOKUP(C1123,'PL TOTAL D0'!$A$3:$A$1991,'PL TOTAL D0'!$C$3:$C$1991,"")</f>
        <v>265373.21</v>
      </c>
    </row>
    <row r="1124" ht="15.75" customHeight="1">
      <c r="A1124" s="50" t="s">
        <v>24</v>
      </c>
      <c r="B1124" s="176" t="s">
        <v>7401</v>
      </c>
      <c r="C1124" s="94" t="s">
        <v>9395</v>
      </c>
      <c r="D1124" s="81" t="s">
        <v>120</v>
      </c>
      <c r="E1124" s="95" t="s">
        <v>54</v>
      </c>
      <c r="F1124" s="81" t="s">
        <v>348</v>
      </c>
      <c r="G1124" s="47" t="str">
        <f t="shared" si="44"/>
        <v>David</v>
      </c>
      <c r="H1124" s="49" t="s">
        <v>295</v>
      </c>
      <c r="I1124" s="49" t="s">
        <v>382</v>
      </c>
      <c r="J1124" s="47" t="str">
        <f t="shared" si="48"/>
        <v>Não</v>
      </c>
      <c r="K1124" s="97">
        <v>45051.0</v>
      </c>
      <c r="L1124" s="62"/>
      <c r="M1124" s="62" t="s">
        <v>61</v>
      </c>
      <c r="N1124" s="98">
        <v>0.012</v>
      </c>
      <c r="O1124" s="47" t="s">
        <v>66</v>
      </c>
      <c r="P1124" s="99">
        <v>0.0</v>
      </c>
      <c r="Q1124" s="58"/>
      <c r="R1124" s="58" t="s">
        <v>9396</v>
      </c>
      <c r="S1124" s="62" t="s">
        <v>194</v>
      </c>
      <c r="T1124" s="32" t="s">
        <v>7400</v>
      </c>
      <c r="U1124" s="33">
        <v>1.1949701703E10</v>
      </c>
      <c r="V1124" s="33" t="s">
        <v>9397</v>
      </c>
      <c r="W1124" s="48">
        <v>20405.0</v>
      </c>
      <c r="X1124" s="23" t="s">
        <v>475</v>
      </c>
      <c r="Y1124" s="49" t="str">
        <f t="shared" si="46"/>
        <v>Ativo</v>
      </c>
      <c r="Z1124" s="62"/>
      <c r="AA1124" s="62"/>
      <c r="AB1124" s="64" t="s">
        <v>269</v>
      </c>
      <c r="AC1124" s="79"/>
      <c r="AD1124" s="54">
        <v>45051.0</v>
      </c>
      <c r="AE1124" s="77">
        <v>4.9075100003394E13</v>
      </c>
      <c r="AF1124" s="79"/>
      <c r="AG1124" s="79"/>
      <c r="AH1124" s="79"/>
      <c r="AI1124" s="79"/>
      <c r="AJ1124" s="79"/>
      <c r="AK1124" s="79"/>
      <c r="AL1124" s="65">
        <v>0.0</v>
      </c>
      <c r="AM1124" s="65">
        <v>407252.56</v>
      </c>
      <c r="AN1124" s="65">
        <v>409394.24</v>
      </c>
      <c r="AO1124" s="65">
        <v>411428.94</v>
      </c>
      <c r="AP1124" s="65">
        <v>413918.55</v>
      </c>
      <c r="AQ1124" s="65">
        <v>416019.16</v>
      </c>
      <c r="AR1124" s="65">
        <v>418518.76</v>
      </c>
      <c r="AS1124" s="65">
        <v>420990.81</v>
      </c>
      <c r="AT1124" s="65">
        <v>423670.52</v>
      </c>
      <c r="AU1124" s="65">
        <v>424872.69</v>
      </c>
      <c r="AV1124" s="65">
        <v>139.48</v>
      </c>
      <c r="AW1124" s="65">
        <v>140.59</v>
      </c>
      <c r="AX1124" s="65">
        <v>141.76</v>
      </c>
      <c r="AY1124" s="65">
        <v>142.27</v>
      </c>
      <c r="AZ1124" s="65">
        <v>143.35</v>
      </c>
      <c r="BA1124" s="65">
        <v>144.58</v>
      </c>
      <c r="BB1124" s="65">
        <v>145.78</v>
      </c>
      <c r="BC1124" s="65">
        <v>146.93</v>
      </c>
      <c r="BD1124" s="65">
        <v>148.23</v>
      </c>
      <c r="BE1124" s="65">
        <v>148.3</v>
      </c>
      <c r="BF1124" s="65">
        <v>149.6</v>
      </c>
      <c r="BG1124" s="65">
        <v>151.07</v>
      </c>
      <c r="BH1124" s="65">
        <v>152.47</v>
      </c>
      <c r="BI1124" s="65">
        <v>153.86</v>
      </c>
      <c r="BJ1124" s="65">
        <v>0.01</v>
      </c>
      <c r="BK1124" s="65">
        <v>0.01</v>
      </c>
      <c r="BL1124" s="65">
        <v>0.01</v>
      </c>
      <c r="BM1124" s="65">
        <v>0.0</v>
      </c>
      <c r="BN1124" s="65">
        <v>0.01</v>
      </c>
      <c r="BO1124" s="65">
        <v>0.01</v>
      </c>
      <c r="BP1124" s="65">
        <v>0.01</v>
      </c>
      <c r="BQ1124" s="65">
        <v>0.01</v>
      </c>
      <c r="BR1124" s="65">
        <v>0.01</v>
      </c>
      <c r="BS1124" s="65">
        <v>0.01</v>
      </c>
      <c r="BT1124" s="88">
        <v>0.01</v>
      </c>
      <c r="BU1124" s="65">
        <v>0.01</v>
      </c>
      <c r="BV1124" s="65">
        <v>0.01</v>
      </c>
      <c r="BW1124" s="90">
        <v>0.01</v>
      </c>
      <c r="BX1124" s="90">
        <v>0.01</v>
      </c>
      <c r="BY1124" s="90" t="str">
        <f t="array" ref="BY1124">XLOOKUP(C1124,'PL TOTAL D0'!$A$3:$A$1991,'PL TOTAL D0'!$C$3:$C$1991,"")</f>
        <v/>
      </c>
    </row>
    <row r="1125" ht="15.75" customHeight="1">
      <c r="A1125" s="50" t="s">
        <v>24</v>
      </c>
      <c r="B1125" s="39" t="s">
        <v>9398</v>
      </c>
      <c r="C1125" s="94" t="s">
        <v>2702</v>
      </c>
      <c r="D1125" s="30" t="s">
        <v>120</v>
      </c>
      <c r="E1125" s="22" t="s">
        <v>54</v>
      </c>
      <c r="F1125" s="30" t="s">
        <v>125</v>
      </c>
      <c r="G1125" s="47" t="str">
        <f t="shared" si="44"/>
        <v>Gabriel</v>
      </c>
      <c r="H1125" s="49" t="s">
        <v>183</v>
      </c>
      <c r="I1125" s="49" t="s">
        <v>66</v>
      </c>
      <c r="J1125" s="47" t="str">
        <f t="shared" si="48"/>
        <v>Não</v>
      </c>
      <c r="K1125" s="54">
        <v>45672.0</v>
      </c>
      <c r="L1125" s="62"/>
      <c r="M1125" s="32" t="s">
        <v>61</v>
      </c>
      <c r="N1125" s="56">
        <v>0.012</v>
      </c>
      <c r="O1125" s="23" t="s">
        <v>66</v>
      </c>
      <c r="P1125" s="57">
        <v>0.0</v>
      </c>
      <c r="Q1125" s="58"/>
      <c r="R1125" s="58"/>
      <c r="S1125" s="32" t="s">
        <v>194</v>
      </c>
      <c r="T1125" s="32" t="s">
        <v>148</v>
      </c>
      <c r="U1125" s="33">
        <v>6.2998458856E10</v>
      </c>
      <c r="V1125" s="33" t="s">
        <v>155</v>
      </c>
      <c r="W1125" s="34">
        <v>36178.0</v>
      </c>
      <c r="X1125" s="23" t="s">
        <v>54</v>
      </c>
      <c r="Y1125" s="49" t="str">
        <f t="shared" si="46"/>
        <v>Ativo</v>
      </c>
      <c r="Z1125" s="62"/>
      <c r="AA1125" s="32" t="s">
        <v>107</v>
      </c>
      <c r="AB1125" s="64"/>
      <c r="AC1125" s="79"/>
      <c r="AD1125" s="54">
        <v>45672.0</v>
      </c>
      <c r="AE1125" s="77">
        <v>4.9075100017751E13</v>
      </c>
      <c r="AF1125" s="79"/>
      <c r="AG1125" s="79"/>
      <c r="AH1125" s="79"/>
      <c r="AI1125" s="79"/>
      <c r="AJ1125" s="79"/>
      <c r="AK1125" s="79"/>
      <c r="AL1125" s="65"/>
      <c r="AM1125" s="65"/>
      <c r="AN1125" s="65"/>
      <c r="AO1125" s="65"/>
      <c r="AP1125" s="65"/>
      <c r="AQ1125" s="65"/>
      <c r="AR1125" s="65"/>
      <c r="AS1125" s="65"/>
      <c r="AT1125" s="65"/>
      <c r="AU1125" s="65"/>
      <c r="AV1125" s="65"/>
      <c r="AW1125" s="65"/>
      <c r="AX1125" s="65"/>
      <c r="AY1125" s="65"/>
      <c r="AZ1125" s="65"/>
      <c r="BA1125" s="65"/>
      <c r="BB1125" s="65"/>
      <c r="BC1125" s="65"/>
      <c r="BD1125" s="65"/>
      <c r="BE1125" s="65"/>
      <c r="BF1125" s="65"/>
      <c r="BG1125" s="65">
        <v>100677.1</v>
      </c>
      <c r="BH1125" s="65">
        <v>162143.06</v>
      </c>
      <c r="BI1125" s="65">
        <v>204413.26</v>
      </c>
      <c r="BJ1125" s="65">
        <v>257333.43</v>
      </c>
      <c r="BK1125" s="65">
        <v>260065.93</v>
      </c>
      <c r="BL1125" s="65">
        <v>262494.09</v>
      </c>
      <c r="BM1125" s="65">
        <v>315553.92</v>
      </c>
      <c r="BN1125" s="65">
        <v>375429.9</v>
      </c>
      <c r="BO1125" s="65">
        <v>439293.25</v>
      </c>
      <c r="BP1125" s="65">
        <v>469652.8</v>
      </c>
      <c r="BQ1125" s="65">
        <v>524092.4</v>
      </c>
      <c r="BR1125" s="65">
        <v>584413.4</v>
      </c>
      <c r="BS1125" s="65">
        <v>616040.77</v>
      </c>
      <c r="BT1125" s="88">
        <v>660850.3</v>
      </c>
      <c r="BU1125" s="65">
        <v>718606.2</v>
      </c>
      <c r="BV1125" s="65">
        <v>766924.7</v>
      </c>
      <c r="BW1125" s="90">
        <v>825046.4</v>
      </c>
      <c r="BX1125" s="90">
        <v>883258.07</v>
      </c>
      <c r="BY1125" s="90">
        <f t="array" ref="BY1125">XLOOKUP(C1125,'PL TOTAL D0'!$A$3:$A$1991,'PL TOTAL D0'!$C$3:$C$1991,"")</f>
        <v>993569.56</v>
      </c>
    </row>
    <row r="1126" ht="15.75" customHeight="1">
      <c r="A1126" s="50" t="s">
        <v>24</v>
      </c>
      <c r="B1126" s="176" t="s">
        <v>7434</v>
      </c>
      <c r="C1126" s="94" t="s">
        <v>9399</v>
      </c>
      <c r="D1126" s="81" t="s">
        <v>120</v>
      </c>
      <c r="E1126" s="95" t="s">
        <v>199</v>
      </c>
      <c r="F1126" s="81" t="s">
        <v>212</v>
      </c>
      <c r="G1126" s="47" t="str">
        <f t="shared" si="44"/>
        <v>David</v>
      </c>
      <c r="H1126" s="49" t="s">
        <v>224</v>
      </c>
      <c r="I1126" s="49" t="s">
        <v>66</v>
      </c>
      <c r="J1126" s="47" t="str">
        <f t="shared" si="48"/>
        <v>Não</v>
      </c>
      <c r="K1126" s="97">
        <v>45029.0</v>
      </c>
      <c r="L1126" s="121">
        <v>45980.0</v>
      </c>
      <c r="M1126" s="62" t="s">
        <v>209</v>
      </c>
      <c r="N1126" s="98">
        <v>0.015</v>
      </c>
      <c r="O1126" s="47" t="s">
        <v>35</v>
      </c>
      <c r="P1126" s="99">
        <v>0.1</v>
      </c>
      <c r="Q1126" s="58"/>
      <c r="R1126" s="58" t="s">
        <v>610</v>
      </c>
      <c r="S1126" s="62" t="s">
        <v>194</v>
      </c>
      <c r="T1126" s="32" t="s">
        <v>7433</v>
      </c>
      <c r="U1126" s="33">
        <v>5.5619997007E12</v>
      </c>
      <c r="V1126" s="33" t="s">
        <v>9400</v>
      </c>
      <c r="W1126" s="34">
        <v>22402.0</v>
      </c>
      <c r="X1126" s="23" t="s">
        <v>199</v>
      </c>
      <c r="Y1126" s="49" t="str">
        <f t="shared" si="46"/>
        <v>Encerrado</v>
      </c>
      <c r="Z1126" s="62"/>
      <c r="AA1126" s="62"/>
      <c r="AB1126" s="64" t="s">
        <v>269</v>
      </c>
      <c r="AC1126" s="79"/>
      <c r="AD1126" s="54">
        <v>45029.0</v>
      </c>
      <c r="AE1126" s="77">
        <v>4.907510001008E13</v>
      </c>
      <c r="AF1126" s="79"/>
      <c r="AG1126" s="79"/>
      <c r="AH1126" s="79"/>
      <c r="AI1126" s="79"/>
      <c r="AJ1126" s="79"/>
      <c r="AK1126" s="65">
        <v>0.0</v>
      </c>
      <c r="AL1126" s="65">
        <v>240346.35</v>
      </c>
      <c r="AM1126" s="65">
        <v>244022.86</v>
      </c>
      <c r="AN1126" s="65">
        <v>251230.62</v>
      </c>
      <c r="AO1126" s="65">
        <v>257944.56</v>
      </c>
      <c r="AP1126" s="65">
        <v>254460.35</v>
      </c>
      <c r="AQ1126" s="65">
        <v>254995.54</v>
      </c>
      <c r="AR1126" s="65">
        <v>254915.89</v>
      </c>
      <c r="AS1126" s="65">
        <v>260097.34</v>
      </c>
      <c r="AT1126" s="65">
        <v>265236.72</v>
      </c>
      <c r="AU1126" s="65">
        <v>261031.09</v>
      </c>
      <c r="AV1126" s="65">
        <v>261909.58</v>
      </c>
      <c r="AW1126" s="65">
        <v>225.57</v>
      </c>
      <c r="AX1126" s="65">
        <v>225.57</v>
      </c>
      <c r="AY1126" s="65">
        <v>225.57</v>
      </c>
      <c r="AZ1126" s="65">
        <v>252.84</v>
      </c>
      <c r="BA1126" s="65">
        <v>253.98</v>
      </c>
      <c r="BB1126" s="65">
        <v>255.08</v>
      </c>
      <c r="BC1126" s="65">
        <v>256.15</v>
      </c>
      <c r="BD1126" s="65">
        <v>257.36</v>
      </c>
      <c r="BE1126" s="65">
        <v>257.54</v>
      </c>
      <c r="BF1126" s="65">
        <v>258.75</v>
      </c>
      <c r="BG1126" s="65">
        <v>24.23</v>
      </c>
      <c r="BH1126" s="65">
        <v>24.23</v>
      </c>
      <c r="BI1126" s="65">
        <v>24.23</v>
      </c>
      <c r="BJ1126" s="65">
        <v>24.23</v>
      </c>
      <c r="BK1126" s="65">
        <v>24.23</v>
      </c>
      <c r="BL1126" s="65">
        <v>24.23</v>
      </c>
      <c r="BM1126" s="65">
        <v>24.23</v>
      </c>
      <c r="BN1126" s="65">
        <v>24.23</v>
      </c>
      <c r="BO1126" s="65">
        <v>24.23</v>
      </c>
      <c r="BP1126" s="65">
        <v>24.23</v>
      </c>
      <c r="BQ1126" s="65">
        <v>24.23</v>
      </c>
      <c r="BR1126" s="65">
        <v>24.23</v>
      </c>
      <c r="BS1126" s="65">
        <v>24.23</v>
      </c>
      <c r="BT1126" s="88">
        <v>24.23</v>
      </c>
      <c r="BU1126" s="65">
        <v>24.23</v>
      </c>
      <c r="BV1126" s="65">
        <v>24.23</v>
      </c>
      <c r="BW1126" s="90">
        <v>24.23</v>
      </c>
      <c r="BX1126" s="90">
        <v>24.23</v>
      </c>
      <c r="BY1126" s="90" t="str">
        <f t="array" ref="BY1126">XLOOKUP(C1126,'PL TOTAL D0'!$A$3:$A$1991,'PL TOTAL D0'!$C$3:$C$1991,"")</f>
        <v/>
      </c>
    </row>
    <row r="1127" ht="15.75" customHeight="1">
      <c r="A1127" s="50" t="s">
        <v>24</v>
      </c>
      <c r="B1127" s="39" t="s">
        <v>9401</v>
      </c>
      <c r="C1127" s="53" t="s">
        <v>9402</v>
      </c>
      <c r="D1127" s="30" t="s">
        <v>1257</v>
      </c>
      <c r="E1127" s="95" t="s">
        <v>199</v>
      </c>
      <c r="F1127" s="30" t="s">
        <v>1257</v>
      </c>
      <c r="G1127" s="47" t="str">
        <f t="shared" si="44"/>
        <v>David</v>
      </c>
      <c r="H1127" s="49" t="s">
        <v>183</v>
      </c>
      <c r="I1127" s="49" t="s">
        <v>382</v>
      </c>
      <c r="J1127" s="47" t="str">
        <f t="shared" si="48"/>
        <v>Não</v>
      </c>
      <c r="K1127" s="54">
        <v>46139.0</v>
      </c>
      <c r="L1127" s="121"/>
      <c r="M1127" s="32" t="s">
        <v>1262</v>
      </c>
      <c r="N1127" s="56"/>
      <c r="O1127" s="23" t="s">
        <v>66</v>
      </c>
      <c r="P1127" s="57">
        <v>0.0</v>
      </c>
      <c r="Q1127" s="58"/>
      <c r="R1127" s="58" t="s">
        <v>9403</v>
      </c>
      <c r="S1127" s="32" t="s">
        <v>234</v>
      </c>
      <c r="T1127" s="32" t="s">
        <v>9404</v>
      </c>
      <c r="U1127" s="33" t="s">
        <v>9371</v>
      </c>
      <c r="V1127" s="33" t="s">
        <v>9372</v>
      </c>
      <c r="W1127" s="34">
        <v>45644.0</v>
      </c>
      <c r="X1127" s="23" t="s">
        <v>1387</v>
      </c>
      <c r="Y1127" s="49" t="str">
        <f t="shared" si="46"/>
        <v>Ativo</v>
      </c>
      <c r="Z1127" s="62"/>
      <c r="AA1127" s="32" t="s">
        <v>47</v>
      </c>
      <c r="AB1127" s="64"/>
      <c r="AC1127" s="79"/>
      <c r="AD1127" s="54"/>
      <c r="AE1127" s="77"/>
      <c r="AF1127" s="79"/>
      <c r="AG1127" s="79"/>
      <c r="AH1127" s="79"/>
      <c r="AI1127" s="79"/>
      <c r="AJ1127" s="79"/>
      <c r="AK1127" s="65"/>
      <c r="AL1127" s="65"/>
      <c r="AM1127" s="65"/>
      <c r="AN1127" s="65"/>
      <c r="AO1127" s="65"/>
      <c r="AP1127" s="65"/>
      <c r="AQ1127" s="65"/>
      <c r="AR1127" s="65"/>
      <c r="AS1127" s="65"/>
      <c r="AT1127" s="65"/>
      <c r="AU1127" s="65"/>
      <c r="AV1127" s="65"/>
      <c r="AW1127" s="65"/>
      <c r="AX1127" s="65"/>
      <c r="AY1127" s="65"/>
      <c r="AZ1127" s="65"/>
      <c r="BA1127" s="65"/>
      <c r="BB1127" s="65"/>
      <c r="BC1127" s="65"/>
      <c r="BD1127" s="65"/>
      <c r="BE1127" s="65"/>
      <c r="BF1127" s="65"/>
      <c r="BG1127" s="65"/>
      <c r="BH1127" s="65"/>
      <c r="BI1127" s="65"/>
      <c r="BJ1127" s="65"/>
      <c r="BK1127" s="65"/>
      <c r="BL1127" s="65"/>
      <c r="BM1127" s="65"/>
      <c r="BN1127" s="65"/>
      <c r="BO1127" s="65"/>
      <c r="BP1127" s="65"/>
      <c r="BQ1127" s="65"/>
      <c r="BR1127" s="65"/>
      <c r="BS1127" s="65"/>
      <c r="BT1127" s="88"/>
      <c r="BU1127" s="65"/>
      <c r="BV1127" s="65">
        <v>28349.99</v>
      </c>
      <c r="BW1127" s="90">
        <v>0.0</v>
      </c>
      <c r="BX1127" s="90">
        <v>0.0</v>
      </c>
      <c r="BY1127" s="90" t="str">
        <f t="array" ref="BY1127">XLOOKUP(C1127,'PL TOTAL D0'!$A$3:$A$1991,'PL TOTAL D0'!$C$3:$C$1991,"")</f>
        <v/>
      </c>
    </row>
    <row r="1128" ht="15.75" customHeight="1">
      <c r="A1128" s="50" t="s">
        <v>24</v>
      </c>
      <c r="B1128" s="39" t="s">
        <v>9405</v>
      </c>
      <c r="C1128" s="94" t="s">
        <v>9406</v>
      </c>
      <c r="D1128" s="30" t="s">
        <v>89</v>
      </c>
      <c r="E1128" s="22" t="s">
        <v>91</v>
      </c>
      <c r="F1128" s="30" t="s">
        <v>193</v>
      </c>
      <c r="G1128" s="47" t="str">
        <f t="shared" si="44"/>
        <v>David</v>
      </c>
      <c r="H1128" s="49" t="s">
        <v>224</v>
      </c>
      <c r="I1128" s="49" t="s">
        <v>66</v>
      </c>
      <c r="J1128" s="47" t="str">
        <f t="shared" si="48"/>
        <v>Não</v>
      </c>
      <c r="K1128" s="54">
        <v>45713.0</v>
      </c>
      <c r="L1128" s="55">
        <v>46147.0</v>
      </c>
      <c r="M1128" s="32" t="s">
        <v>390</v>
      </c>
      <c r="N1128" s="56">
        <v>0.0</v>
      </c>
      <c r="O1128" s="23" t="s">
        <v>66</v>
      </c>
      <c r="P1128" s="57">
        <v>0.0</v>
      </c>
      <c r="Q1128" s="58"/>
      <c r="R1128" s="635"/>
      <c r="S1128" s="32" t="s">
        <v>194</v>
      </c>
      <c r="T1128" s="32" t="s">
        <v>9407</v>
      </c>
      <c r="U1128" s="33">
        <v>1.1961423927E10</v>
      </c>
      <c r="V1128" s="33" t="s">
        <v>9408</v>
      </c>
      <c r="W1128" s="34">
        <v>30629.0</v>
      </c>
      <c r="X1128" s="23" t="s">
        <v>475</v>
      </c>
      <c r="Y1128" s="49" t="str">
        <f t="shared" si="46"/>
        <v>Encerrado</v>
      </c>
      <c r="Z1128" s="62"/>
      <c r="AA1128" s="32" t="s">
        <v>47</v>
      </c>
      <c r="AB1128" s="64"/>
      <c r="AC1128" s="79"/>
      <c r="AD1128" s="54">
        <v>45723.0</v>
      </c>
      <c r="AE1128" s="77">
        <v>4.9075100018294E13</v>
      </c>
      <c r="AF1128" s="79"/>
      <c r="AG1128" s="79"/>
      <c r="AH1128" s="79"/>
      <c r="AI1128" s="79"/>
      <c r="AJ1128" s="79"/>
      <c r="AK1128" s="65"/>
      <c r="AL1128" s="65"/>
      <c r="AM1128" s="65"/>
      <c r="AN1128" s="65"/>
      <c r="AO1128" s="65"/>
      <c r="AP1128" s="65"/>
      <c r="AQ1128" s="65"/>
      <c r="AR1128" s="65"/>
      <c r="AS1128" s="65"/>
      <c r="AT1128" s="65"/>
      <c r="AU1128" s="65"/>
      <c r="AV1128" s="65"/>
      <c r="AW1128" s="65"/>
      <c r="AX1128" s="65"/>
      <c r="AY1128" s="65"/>
      <c r="AZ1128" s="65"/>
      <c r="BA1128" s="65"/>
      <c r="BB1128" s="65"/>
      <c r="BC1128" s="65"/>
      <c r="BD1128" s="65"/>
      <c r="BE1128" s="65"/>
      <c r="BF1128" s="65"/>
      <c r="BG1128" s="65"/>
      <c r="BH1128" s="65">
        <v>0.0</v>
      </c>
      <c r="BI1128" s="65">
        <v>2000.81</v>
      </c>
      <c r="BJ1128" s="65">
        <v>2021.63</v>
      </c>
      <c r="BK1128" s="65">
        <v>2036.18</v>
      </c>
      <c r="BL1128" s="65">
        <v>2058.36</v>
      </c>
      <c r="BM1128" s="65">
        <v>2084.51</v>
      </c>
      <c r="BN1128" s="65">
        <v>0.12</v>
      </c>
      <c r="BO1128" s="65">
        <v>1502.6</v>
      </c>
      <c r="BP1128" s="65">
        <v>6147.29</v>
      </c>
      <c r="BQ1128" s="65">
        <v>6192.15</v>
      </c>
      <c r="BR1128" s="65">
        <v>33396.59</v>
      </c>
      <c r="BS1128" s="65">
        <v>41024.29</v>
      </c>
      <c r="BT1128" s="88">
        <v>41856.55</v>
      </c>
      <c r="BU1128" s="65">
        <v>42433.28</v>
      </c>
      <c r="BV1128" s="65">
        <v>43894.97</v>
      </c>
      <c r="BW1128" s="90">
        <v>0.0</v>
      </c>
      <c r="BX1128" s="90">
        <v>0.0</v>
      </c>
      <c r="BY1128" s="90" t="str">
        <f t="array" ref="BY1128">XLOOKUP(C1128,'PL TOTAL D0'!$A$3:$A$1991,'PL TOTAL D0'!$C$3:$C$1991,"")</f>
        <v/>
      </c>
    </row>
    <row r="1129" ht="15.75" customHeight="1">
      <c r="A1129" s="43" t="s">
        <v>24</v>
      </c>
      <c r="B1129" s="50" t="s">
        <v>9409</v>
      </c>
      <c r="C1129" s="94" t="s">
        <v>2794</v>
      </c>
      <c r="D1129" s="30" t="s">
        <v>120</v>
      </c>
      <c r="E1129" s="22" t="s">
        <v>199</v>
      </c>
      <c r="F1129" s="30" t="s">
        <v>431</v>
      </c>
      <c r="G1129" s="47" t="str">
        <f t="shared" si="44"/>
        <v>Gabriel</v>
      </c>
      <c r="H1129" s="49" t="s">
        <v>295</v>
      </c>
      <c r="I1129" s="49" t="s">
        <v>447</v>
      </c>
      <c r="J1129" s="47" t="str">
        <f t="shared" si="48"/>
        <v>Sim</v>
      </c>
      <c r="K1129" s="54">
        <v>45279.0</v>
      </c>
      <c r="L1129" s="62"/>
      <c r="M1129" s="32" t="s">
        <v>201</v>
      </c>
      <c r="N1129" s="56">
        <v>0.003</v>
      </c>
      <c r="O1129" s="23" t="s">
        <v>66</v>
      </c>
      <c r="P1129" s="57">
        <v>0.0</v>
      </c>
      <c r="Q1129" s="58" t="s">
        <v>4811</v>
      </c>
      <c r="R1129" s="635"/>
      <c r="S1129" s="32" t="s">
        <v>194</v>
      </c>
      <c r="T1129" s="32" t="s">
        <v>9410</v>
      </c>
      <c r="U1129" s="33">
        <v>5.532983642658E12</v>
      </c>
      <c r="V1129" s="33" t="s">
        <v>9411</v>
      </c>
      <c r="W1129" s="34">
        <v>27932.0</v>
      </c>
      <c r="X1129" s="23" t="s">
        <v>618</v>
      </c>
      <c r="Y1129" s="49" t="str">
        <f t="shared" si="46"/>
        <v>Ativo</v>
      </c>
      <c r="Z1129" s="62"/>
      <c r="AA1129" s="62"/>
      <c r="AB1129" s="64" t="s">
        <v>269</v>
      </c>
      <c r="AC1129" s="79"/>
      <c r="AD1129" s="54">
        <v>45279.0</v>
      </c>
      <c r="AE1129" s="77">
        <v>4.9075100013497E13</v>
      </c>
      <c r="AF1129" s="79"/>
      <c r="AG1129" s="79"/>
      <c r="AH1129" s="79"/>
      <c r="AI1129" s="79"/>
      <c r="AJ1129" s="79"/>
      <c r="AK1129" s="79"/>
      <c r="AL1129" s="79"/>
      <c r="AM1129" s="79"/>
      <c r="AN1129" s="79"/>
      <c r="AO1129" s="79"/>
      <c r="AP1129" s="79"/>
      <c r="AQ1129" s="79"/>
      <c r="AR1129" s="79"/>
      <c r="AS1129" s="79"/>
      <c r="AT1129" s="65">
        <v>157507.55</v>
      </c>
      <c r="AU1129" s="65">
        <v>158567.98</v>
      </c>
      <c r="AV1129" s="65">
        <v>575.24</v>
      </c>
      <c r="AW1129" s="65">
        <v>580.01</v>
      </c>
      <c r="AX1129" s="65">
        <v>585.07</v>
      </c>
      <c r="AY1129" s="65">
        <v>3007.28</v>
      </c>
      <c r="AZ1129" s="65">
        <v>3029.65</v>
      </c>
      <c r="BA1129" s="65">
        <v>244568.2</v>
      </c>
      <c r="BB1129" s="65">
        <v>253919.36</v>
      </c>
      <c r="BC1129" s="65">
        <v>254471.1</v>
      </c>
      <c r="BD1129" s="65">
        <v>814798.57</v>
      </c>
      <c r="BE1129" s="65">
        <v>815798.08</v>
      </c>
      <c r="BF1129" s="65">
        <v>815982.67</v>
      </c>
      <c r="BG1129" s="65">
        <v>816737.94</v>
      </c>
      <c r="BH1129" s="65">
        <v>817092.14</v>
      </c>
      <c r="BI1129" s="65">
        <v>817434.29</v>
      </c>
      <c r="BJ1129" s="65">
        <v>817707.77</v>
      </c>
      <c r="BK1129" s="65">
        <v>818007.19</v>
      </c>
      <c r="BL1129" s="65">
        <v>818387.12</v>
      </c>
      <c r="BM1129" s="65">
        <v>794725.63</v>
      </c>
      <c r="BN1129" s="65">
        <v>794773.8</v>
      </c>
      <c r="BO1129" s="65">
        <v>794764.27</v>
      </c>
      <c r="BP1129" s="65">
        <v>794775.5</v>
      </c>
      <c r="BQ1129" s="65">
        <v>795216.6</v>
      </c>
      <c r="BR1129" s="65">
        <v>796674.7</v>
      </c>
      <c r="BS1129" s="65">
        <v>799447.01</v>
      </c>
      <c r="BT1129" s="88">
        <v>799455.8</v>
      </c>
      <c r="BU1129" s="65">
        <v>802234.2</v>
      </c>
      <c r="BV1129" s="65">
        <v>795706.4</v>
      </c>
      <c r="BW1129" s="90">
        <v>211394.7</v>
      </c>
      <c r="BX1129" s="90">
        <v>632211.84</v>
      </c>
      <c r="BY1129" s="90">
        <f t="array" ref="BY1129">XLOOKUP(C1129,'PL TOTAL D0'!$A$3:$A$1991,'PL TOTAL D0'!$C$3:$C$1991,"")</f>
        <v>699186.46</v>
      </c>
    </row>
    <row r="1130" ht="15.75" customHeight="1">
      <c r="A1130" s="50" t="s">
        <v>24</v>
      </c>
      <c r="B1130" s="43" t="s">
        <v>9412</v>
      </c>
      <c r="C1130" s="94" t="s">
        <v>9413</v>
      </c>
      <c r="D1130" s="81" t="s">
        <v>120</v>
      </c>
      <c r="E1130" s="95" t="s">
        <v>54</v>
      </c>
      <c r="F1130" s="81" t="s">
        <v>1393</v>
      </c>
      <c r="G1130" s="47" t="str">
        <f t="shared" si="44"/>
        <v>David</v>
      </c>
      <c r="H1130" s="49" t="s">
        <v>295</v>
      </c>
      <c r="I1130" s="74" t="s">
        <v>382</v>
      </c>
      <c r="J1130" s="47" t="str">
        <f t="shared" si="48"/>
        <v>Não</v>
      </c>
      <c r="K1130" s="97">
        <v>45163.0</v>
      </c>
      <c r="L1130" s="189"/>
      <c r="M1130" s="62" t="s">
        <v>61</v>
      </c>
      <c r="N1130" s="98">
        <v>0.012</v>
      </c>
      <c r="O1130" s="47" t="s">
        <v>66</v>
      </c>
      <c r="P1130" s="99">
        <v>0.0</v>
      </c>
      <c r="Q1130" s="58"/>
      <c r="R1130" s="635"/>
      <c r="S1130" s="62" t="s">
        <v>194</v>
      </c>
      <c r="T1130" s="32" t="s">
        <v>7470</v>
      </c>
      <c r="U1130" s="33">
        <v>5.599999792349E12</v>
      </c>
      <c r="V1130" s="33" t="s">
        <v>9414</v>
      </c>
      <c r="W1130" s="48">
        <v>24043.0</v>
      </c>
      <c r="X1130" s="23" t="s">
        <v>54</v>
      </c>
      <c r="Y1130" s="49" t="str">
        <f t="shared" si="46"/>
        <v>Inativo</v>
      </c>
      <c r="Z1130" s="62"/>
      <c r="AA1130" s="62"/>
      <c r="AB1130" s="64" t="s">
        <v>269</v>
      </c>
      <c r="AC1130" s="79"/>
      <c r="AD1130" s="54">
        <v>45163.0</v>
      </c>
      <c r="AE1130" s="77">
        <v>4.9075100012024E13</v>
      </c>
      <c r="AF1130" s="79"/>
      <c r="AG1130" s="79"/>
      <c r="AH1130" s="79"/>
      <c r="AI1130" s="79"/>
      <c r="AJ1130" s="79"/>
      <c r="AK1130" s="79"/>
      <c r="AL1130" s="65">
        <v>0.0</v>
      </c>
      <c r="AM1130" s="65">
        <v>0.0</v>
      </c>
      <c r="AN1130" s="65">
        <v>0.0</v>
      </c>
      <c r="AO1130" s="65">
        <v>0.0</v>
      </c>
      <c r="AP1130" s="65">
        <v>0.0</v>
      </c>
      <c r="AQ1130" s="65">
        <v>0.0</v>
      </c>
      <c r="AR1130" s="65">
        <v>0.0</v>
      </c>
      <c r="AS1130" s="65">
        <v>0.0</v>
      </c>
      <c r="AT1130" s="65">
        <v>0.0</v>
      </c>
      <c r="AU1130" s="65">
        <v>0.0</v>
      </c>
      <c r="AV1130" s="65">
        <v>0.0</v>
      </c>
      <c r="AW1130" s="65">
        <v>0.0</v>
      </c>
      <c r="AX1130" s="65">
        <v>0.0</v>
      </c>
      <c r="AY1130" s="65">
        <v>0.0</v>
      </c>
      <c r="AZ1130" s="65">
        <v>0.0</v>
      </c>
      <c r="BA1130" s="65">
        <v>0.0</v>
      </c>
      <c r="BB1130" s="65">
        <v>0.0</v>
      </c>
      <c r="BC1130" s="65">
        <v>0.0</v>
      </c>
      <c r="BD1130" s="65">
        <v>0.0</v>
      </c>
      <c r="BE1130" s="65">
        <v>0.0</v>
      </c>
      <c r="BF1130" s="65">
        <v>0.0</v>
      </c>
      <c r="BG1130" s="65">
        <v>0.0</v>
      </c>
      <c r="BH1130" s="65">
        <v>0.0</v>
      </c>
      <c r="BI1130" s="65">
        <v>0.0</v>
      </c>
      <c r="BJ1130" s="65">
        <v>0.0</v>
      </c>
      <c r="BK1130" s="65">
        <v>0.0</v>
      </c>
      <c r="BL1130" s="65">
        <v>0.0</v>
      </c>
      <c r="BM1130" s="65">
        <v>0.0</v>
      </c>
      <c r="BN1130" s="65">
        <v>0.0</v>
      </c>
      <c r="BO1130" s="65">
        <v>0.0</v>
      </c>
      <c r="BP1130" s="65">
        <v>0.0</v>
      </c>
      <c r="BQ1130" s="65">
        <v>0.0</v>
      </c>
      <c r="BR1130" s="65">
        <v>0.0</v>
      </c>
      <c r="BS1130" s="65">
        <v>0.0</v>
      </c>
      <c r="BT1130" s="88">
        <v>0.0</v>
      </c>
      <c r="BU1130" s="65">
        <v>0.0</v>
      </c>
      <c r="BV1130" s="65">
        <v>0.0</v>
      </c>
      <c r="BW1130" s="90">
        <v>0.0</v>
      </c>
      <c r="BX1130" s="90">
        <v>0.0</v>
      </c>
      <c r="BY1130" s="90" t="str">
        <f t="array" ref="BY1130">XLOOKUP(C1130,'PL TOTAL D0'!$A$3:$A$1991,'PL TOTAL D0'!$C$3:$C$1991,"")</f>
        <v/>
      </c>
    </row>
    <row r="1131" ht="15.75" customHeight="1">
      <c r="A1131" s="43" t="s">
        <v>24</v>
      </c>
      <c r="B1131" s="43" t="s">
        <v>9415</v>
      </c>
      <c r="C1131" s="94" t="s">
        <v>9416</v>
      </c>
      <c r="D1131" s="30" t="s">
        <v>255</v>
      </c>
      <c r="E1131" s="22" t="s">
        <v>199</v>
      </c>
      <c r="F1131" s="30" t="s">
        <v>257</v>
      </c>
      <c r="G1131" s="47" t="str">
        <f t="shared" si="44"/>
        <v>David</v>
      </c>
      <c r="H1131" s="49" t="s">
        <v>224</v>
      </c>
      <c r="I1131" s="49" t="s">
        <v>66</v>
      </c>
      <c r="J1131" s="23" t="s">
        <v>6075</v>
      </c>
      <c r="K1131" s="54">
        <v>45392.0</v>
      </c>
      <c r="L1131" s="186">
        <v>45553.0</v>
      </c>
      <c r="M1131" s="32" t="s">
        <v>6076</v>
      </c>
      <c r="N1131" s="56">
        <v>0.01</v>
      </c>
      <c r="O1131" s="23" t="s">
        <v>66</v>
      </c>
      <c r="P1131" s="57">
        <v>0.0</v>
      </c>
      <c r="Q1131" s="58"/>
      <c r="R1131" s="635"/>
      <c r="S1131" s="32" t="s">
        <v>194</v>
      </c>
      <c r="T1131" s="32" t="s">
        <v>9417</v>
      </c>
      <c r="U1131" s="33" t="s">
        <v>268</v>
      </c>
      <c r="V1131" s="33"/>
      <c r="W1131" s="33" t="s">
        <v>268</v>
      </c>
      <c r="X1131" s="23" t="s">
        <v>397</v>
      </c>
      <c r="Y1131" s="49" t="str">
        <f t="shared" si="46"/>
        <v>Encerrado</v>
      </c>
      <c r="Z1131" s="62"/>
      <c r="AA1131" s="62"/>
      <c r="AB1131" s="64"/>
      <c r="AC1131" s="79"/>
      <c r="AD1131" s="54">
        <v>45392.0</v>
      </c>
      <c r="AE1131" s="77">
        <v>4.9075100014396E13</v>
      </c>
      <c r="AF1131" s="79"/>
      <c r="AG1131" s="79"/>
      <c r="AH1131" s="79"/>
      <c r="AI1131" s="79"/>
      <c r="AJ1131" s="79"/>
      <c r="AK1131" s="79"/>
      <c r="AL1131" s="79"/>
      <c r="AM1131" s="79"/>
      <c r="AN1131" s="79"/>
      <c r="AO1131" s="79"/>
      <c r="AP1131" s="79"/>
      <c r="AQ1131" s="79"/>
      <c r="AR1131" s="79"/>
      <c r="AS1131" s="79"/>
      <c r="AT1131" s="79"/>
      <c r="AU1131" s="79"/>
      <c r="AV1131" s="65"/>
      <c r="AW1131" s="65"/>
      <c r="AX1131" s="65">
        <v>604739.8</v>
      </c>
      <c r="AY1131" s="65">
        <v>606968.6</v>
      </c>
      <c r="AZ1131" s="65">
        <v>605852.8</v>
      </c>
      <c r="BA1131" s="65">
        <v>616042.8</v>
      </c>
      <c r="BB1131" s="65">
        <v>0.0</v>
      </c>
      <c r="BC1131" s="65">
        <v>0.0</v>
      </c>
      <c r="BD1131" s="65">
        <v>0.0</v>
      </c>
      <c r="BE1131" s="65">
        <v>0.0</v>
      </c>
      <c r="BF1131" s="65">
        <v>0.0</v>
      </c>
      <c r="BG1131" s="65">
        <v>0.0</v>
      </c>
      <c r="BH1131" s="65">
        <v>0.0</v>
      </c>
      <c r="BI1131" s="65">
        <v>0.0</v>
      </c>
      <c r="BJ1131" s="65">
        <v>0.0</v>
      </c>
      <c r="BK1131" s="65">
        <v>0.0</v>
      </c>
      <c r="BL1131" s="65">
        <v>0.0</v>
      </c>
      <c r="BM1131" s="65">
        <v>0.0</v>
      </c>
      <c r="BN1131" s="65">
        <v>0.0</v>
      </c>
      <c r="BO1131" s="65">
        <v>0.0</v>
      </c>
      <c r="BP1131" s="65">
        <v>0.0</v>
      </c>
      <c r="BQ1131" s="65">
        <v>0.0</v>
      </c>
      <c r="BR1131" s="65">
        <v>0.0</v>
      </c>
      <c r="BS1131" s="65">
        <v>0.0</v>
      </c>
      <c r="BT1131" s="88">
        <v>0.0</v>
      </c>
      <c r="BU1131" s="65">
        <v>0.0</v>
      </c>
      <c r="BV1131" s="65">
        <v>0.0</v>
      </c>
      <c r="BW1131" s="90">
        <v>0.0</v>
      </c>
      <c r="BX1131" s="90">
        <v>0.0</v>
      </c>
      <c r="BY1131" s="90" t="str">
        <f t="array" ref="BY1131">XLOOKUP(C1131,'PL TOTAL D0'!$A$3:$A$1991,'PL TOTAL D0'!$C$3:$C$1991,"")</f>
        <v/>
      </c>
    </row>
    <row r="1132" ht="15.75" customHeight="1">
      <c r="A1132" s="50" t="s">
        <v>24</v>
      </c>
      <c r="B1132" s="43" t="s">
        <v>9418</v>
      </c>
      <c r="C1132" s="94" t="s">
        <v>9419</v>
      </c>
      <c r="D1132" s="30" t="s">
        <v>120</v>
      </c>
      <c r="E1132" s="22" t="s">
        <v>199</v>
      </c>
      <c r="F1132" s="30" t="s">
        <v>1914</v>
      </c>
      <c r="G1132" s="47" t="str">
        <f t="shared" si="44"/>
        <v>David</v>
      </c>
      <c r="H1132" s="49" t="s">
        <v>224</v>
      </c>
      <c r="I1132" s="49" t="s">
        <v>66</v>
      </c>
      <c r="J1132" s="47" t="str">
        <f t="shared" ref="J1132:J1140" si="49">IF(Q1132=0,"Não","Sim")</f>
        <v>Não</v>
      </c>
      <c r="K1132" s="54">
        <v>45506.0</v>
      </c>
      <c r="L1132" s="186">
        <v>45777.0</v>
      </c>
      <c r="M1132" s="32" t="s">
        <v>61</v>
      </c>
      <c r="N1132" s="56">
        <v>0.012</v>
      </c>
      <c r="O1132" s="23" t="s">
        <v>66</v>
      </c>
      <c r="P1132" s="57">
        <v>0.0</v>
      </c>
      <c r="Q1132" s="58"/>
      <c r="R1132" s="635"/>
      <c r="S1132" s="32" t="s">
        <v>194</v>
      </c>
      <c r="T1132" s="32" t="s">
        <v>9420</v>
      </c>
      <c r="U1132" s="33" t="s">
        <v>268</v>
      </c>
      <c r="V1132" s="33"/>
      <c r="W1132" s="33" t="s">
        <v>268</v>
      </c>
      <c r="X1132" s="23" t="s">
        <v>199</v>
      </c>
      <c r="Y1132" s="49" t="str">
        <f t="shared" si="46"/>
        <v>Encerrado</v>
      </c>
      <c r="Z1132" s="32"/>
      <c r="AA1132" s="32" t="s">
        <v>47</v>
      </c>
      <c r="AB1132" s="64" t="s">
        <v>244</v>
      </c>
      <c r="AC1132" s="79"/>
      <c r="AD1132" s="54">
        <v>45506.0</v>
      </c>
      <c r="AE1132" s="77">
        <v>4.9075100015678E13</v>
      </c>
      <c r="AF1132" s="79"/>
      <c r="AG1132" s="79"/>
      <c r="AH1132" s="79"/>
      <c r="AI1132" s="79"/>
      <c r="AJ1132" s="79"/>
      <c r="AK1132" s="79"/>
      <c r="AL1132" s="79"/>
      <c r="AM1132" s="79"/>
      <c r="AN1132" s="79"/>
      <c r="AO1132" s="79"/>
      <c r="AP1132" s="79"/>
      <c r="AQ1132" s="79"/>
      <c r="AR1132" s="79"/>
      <c r="AS1132" s="79"/>
      <c r="AT1132" s="79"/>
      <c r="AU1132" s="79"/>
      <c r="AV1132" s="65"/>
      <c r="AW1132" s="65"/>
      <c r="AX1132" s="65"/>
      <c r="AY1132" s="65"/>
      <c r="AZ1132" s="65"/>
      <c r="BA1132" s="65"/>
      <c r="BB1132" s="65">
        <v>108754.86</v>
      </c>
      <c r="BC1132" s="65">
        <v>115563.27</v>
      </c>
      <c r="BD1132" s="65">
        <v>0.0</v>
      </c>
      <c r="BE1132" s="65">
        <v>0.0</v>
      </c>
      <c r="BF1132" s="65">
        <v>0.0</v>
      </c>
      <c r="BG1132" s="65">
        <v>0.0</v>
      </c>
      <c r="BH1132" s="65">
        <v>0.0</v>
      </c>
      <c r="BI1132" s="65">
        <v>0.0</v>
      </c>
      <c r="BJ1132" s="65">
        <v>0.0</v>
      </c>
      <c r="BK1132" s="65">
        <v>0.0</v>
      </c>
      <c r="BL1132" s="65">
        <v>0.0</v>
      </c>
      <c r="BM1132" s="65">
        <v>0.0</v>
      </c>
      <c r="BN1132" s="65">
        <v>0.0</v>
      </c>
      <c r="BO1132" s="65">
        <v>0.0</v>
      </c>
      <c r="BP1132" s="65">
        <v>0.0</v>
      </c>
      <c r="BQ1132" s="65">
        <v>0.0</v>
      </c>
      <c r="BR1132" s="65">
        <v>0.0</v>
      </c>
      <c r="BS1132" s="65">
        <v>0.0</v>
      </c>
      <c r="BT1132" s="88">
        <v>0.0</v>
      </c>
      <c r="BU1132" s="65">
        <v>0.0</v>
      </c>
      <c r="BV1132" s="65">
        <v>0.0</v>
      </c>
      <c r="BW1132" s="90">
        <v>0.0</v>
      </c>
      <c r="BX1132" s="90">
        <v>0.0</v>
      </c>
      <c r="BY1132" s="90" t="str">
        <f t="array" ref="BY1132">XLOOKUP(C1132,'PL TOTAL D0'!$A$3:$A$1991,'PL TOTAL D0'!$C$3:$C$1991,"")</f>
        <v/>
      </c>
    </row>
    <row r="1133" ht="15.75" customHeight="1">
      <c r="A1133" s="50" t="s">
        <v>24</v>
      </c>
      <c r="B1133" s="50" t="s">
        <v>7496</v>
      </c>
      <c r="C1133" s="94" t="s">
        <v>3471</v>
      </c>
      <c r="D1133" s="81" t="s">
        <v>120</v>
      </c>
      <c r="E1133" s="95" t="s">
        <v>199</v>
      </c>
      <c r="F1133" s="30" t="s">
        <v>332</v>
      </c>
      <c r="G1133" s="47" t="str">
        <f t="shared" si="44"/>
        <v>David</v>
      </c>
      <c r="H1133" s="74" t="s">
        <v>183</v>
      </c>
      <c r="I1133" s="74" t="s">
        <v>66</v>
      </c>
      <c r="J1133" s="47" t="str">
        <f t="shared" si="49"/>
        <v>Não</v>
      </c>
      <c r="K1133" s="97">
        <v>45014.0</v>
      </c>
      <c r="L1133" s="62"/>
      <c r="M1133" s="62" t="s">
        <v>61</v>
      </c>
      <c r="N1133" s="98">
        <v>0.012</v>
      </c>
      <c r="O1133" s="47" t="s">
        <v>66</v>
      </c>
      <c r="P1133" s="99">
        <v>0.0</v>
      </c>
      <c r="Q1133" s="58"/>
      <c r="R1133" s="635"/>
      <c r="S1133" s="62" t="s">
        <v>194</v>
      </c>
      <c r="T1133" s="32" t="s">
        <v>7495</v>
      </c>
      <c r="U1133" s="33">
        <v>6.1998045551E10</v>
      </c>
      <c r="V1133" s="33" t="s">
        <v>9421</v>
      </c>
      <c r="W1133" s="34">
        <v>24676.0</v>
      </c>
      <c r="X1133" s="23" t="s">
        <v>199</v>
      </c>
      <c r="Y1133" s="49" t="str">
        <f t="shared" si="46"/>
        <v>Ativo</v>
      </c>
      <c r="Z1133" s="62"/>
      <c r="AA1133" s="62"/>
      <c r="AB1133" s="64" t="s">
        <v>269</v>
      </c>
      <c r="AC1133" s="79"/>
      <c r="AD1133" s="54">
        <v>45014.0</v>
      </c>
      <c r="AE1133" s="77">
        <v>4.9075100006891E13</v>
      </c>
      <c r="AF1133" s="79"/>
      <c r="AG1133" s="79"/>
      <c r="AH1133" s="79"/>
      <c r="AI1133" s="79"/>
      <c r="AJ1133" s="79"/>
      <c r="AK1133" s="65">
        <v>58093.97</v>
      </c>
      <c r="AL1133" s="65">
        <v>58552.2</v>
      </c>
      <c r="AM1133" s="65">
        <v>58477.42</v>
      </c>
      <c r="AN1133" s="65">
        <v>58966.85</v>
      </c>
      <c r="AO1133" s="65">
        <v>59456.92</v>
      </c>
      <c r="AP1133" s="65">
        <v>59914.65</v>
      </c>
      <c r="AQ1133" s="65">
        <v>60378.23</v>
      </c>
      <c r="AR1133" s="65">
        <v>60918.44</v>
      </c>
      <c r="AS1133" s="65">
        <v>61371.9</v>
      </c>
      <c r="AT1133" s="65">
        <v>61866.12</v>
      </c>
      <c r="AU1133" s="65">
        <v>62449.71</v>
      </c>
      <c r="AV1133" s="65">
        <v>62665.42</v>
      </c>
      <c r="AW1133" s="65">
        <v>42685.5</v>
      </c>
      <c r="AX1133" s="65">
        <v>42835.01</v>
      </c>
      <c r="AY1133" s="65">
        <v>43171.26</v>
      </c>
      <c r="AZ1133" s="65">
        <v>43491.93</v>
      </c>
      <c r="BA1133" s="65">
        <v>43797.58</v>
      </c>
      <c r="BB1133" s="65">
        <v>44134.02</v>
      </c>
      <c r="BC1133" s="65">
        <v>34297.27</v>
      </c>
      <c r="BD1133" s="65">
        <v>34613.44</v>
      </c>
      <c r="BE1133" s="65">
        <v>34842.79</v>
      </c>
      <c r="BF1133" s="65">
        <v>35151.0</v>
      </c>
      <c r="BG1133" s="65">
        <v>35462.3</v>
      </c>
      <c r="BH1133" s="65">
        <v>35324.87</v>
      </c>
      <c r="BI1133" s="65">
        <v>35635.02</v>
      </c>
      <c r="BJ1133" s="65">
        <v>35984.81</v>
      </c>
      <c r="BK1133" s="65">
        <v>36035.21</v>
      </c>
      <c r="BL1133" s="65">
        <v>36390.28</v>
      </c>
      <c r="BM1133" s="65">
        <v>36817.5</v>
      </c>
      <c r="BN1133" s="65">
        <v>37200.88</v>
      </c>
      <c r="BO1133" s="65">
        <v>37592.97</v>
      </c>
      <c r="BP1133" s="65">
        <v>37642.06</v>
      </c>
      <c r="BQ1133" s="65">
        <v>37909.17</v>
      </c>
      <c r="BR1133" s="65">
        <v>38322.1</v>
      </c>
      <c r="BS1133" s="65">
        <v>38729.29</v>
      </c>
      <c r="BT1133" s="88">
        <v>39078.12</v>
      </c>
      <c r="BU1133" s="65">
        <v>39579.61</v>
      </c>
      <c r="BV1133" s="65">
        <v>40038.69</v>
      </c>
      <c r="BW1133" s="90">
        <v>40418.89</v>
      </c>
      <c r="BX1133" s="90">
        <v>40839.98</v>
      </c>
      <c r="BY1133" s="90">
        <f t="array" ref="BY1133">XLOOKUP(C1133,'PL TOTAL D0'!$A$3:$A$1991,'PL TOTAL D0'!$C$3:$C$1991,"")</f>
        <v>41263.84</v>
      </c>
    </row>
    <row r="1134" ht="15.75" customHeight="1">
      <c r="A1134" s="43" t="s">
        <v>24</v>
      </c>
      <c r="B1134" s="43" t="s">
        <v>9422</v>
      </c>
      <c r="C1134" s="94" t="s">
        <v>9423</v>
      </c>
      <c r="D1134" s="30" t="s">
        <v>120</v>
      </c>
      <c r="E1134" s="22" t="s">
        <v>199</v>
      </c>
      <c r="F1134" s="30" t="s">
        <v>4715</v>
      </c>
      <c r="G1134" s="47" t="str">
        <f t="shared" si="44"/>
        <v>David</v>
      </c>
      <c r="H1134" s="49" t="s">
        <v>224</v>
      </c>
      <c r="I1134" s="49" t="s">
        <v>66</v>
      </c>
      <c r="J1134" s="47" t="str">
        <f t="shared" si="49"/>
        <v>Não</v>
      </c>
      <c r="K1134" s="54">
        <v>45328.0</v>
      </c>
      <c r="L1134" s="55">
        <v>45521.0</v>
      </c>
      <c r="M1134" s="32" t="s">
        <v>61</v>
      </c>
      <c r="N1134" s="290">
        <v>0.012</v>
      </c>
      <c r="O1134" s="291" t="s">
        <v>66</v>
      </c>
      <c r="P1134" s="292">
        <v>0.0</v>
      </c>
      <c r="Q1134" s="58"/>
      <c r="R1134" s="635"/>
      <c r="S1134" s="32" t="s">
        <v>194</v>
      </c>
      <c r="T1134" s="32" t="s">
        <v>7304</v>
      </c>
      <c r="U1134" s="33" t="s">
        <v>268</v>
      </c>
      <c r="V1134" s="33"/>
      <c r="W1134" s="33" t="s">
        <v>268</v>
      </c>
      <c r="X1134" s="23" t="s">
        <v>199</v>
      </c>
      <c r="Y1134" s="49" t="str">
        <f t="shared" si="46"/>
        <v>Encerrado</v>
      </c>
      <c r="Z1134" s="62"/>
      <c r="AA1134" s="62"/>
      <c r="AB1134" s="64" t="s">
        <v>269</v>
      </c>
      <c r="AC1134" s="79"/>
      <c r="AD1134" s="54">
        <v>45328.0</v>
      </c>
      <c r="AE1134" s="77">
        <v>4.90751000135E13</v>
      </c>
      <c r="AF1134" s="79"/>
      <c r="AG1134" s="79"/>
      <c r="AH1134" s="79"/>
      <c r="AI1134" s="79"/>
      <c r="AJ1134" s="79"/>
      <c r="AK1134" s="79"/>
      <c r="AL1134" s="79"/>
      <c r="AM1134" s="79"/>
      <c r="AN1134" s="79"/>
      <c r="AO1134" s="79"/>
      <c r="AP1134" s="79"/>
      <c r="AQ1134" s="79"/>
      <c r="AR1134" s="79"/>
      <c r="AS1134" s="79"/>
      <c r="AT1134" s="79"/>
      <c r="AU1134" s="79"/>
      <c r="AV1134" s="65">
        <v>7530.61</v>
      </c>
      <c r="AW1134" s="65">
        <v>7600.49</v>
      </c>
      <c r="AX1134" s="65">
        <v>7670.3</v>
      </c>
      <c r="AY1134" s="65">
        <v>7734.55</v>
      </c>
      <c r="AZ1134" s="65">
        <v>7797.12</v>
      </c>
      <c r="BA1134" s="65">
        <v>7872.21</v>
      </c>
      <c r="BB1134" s="65">
        <v>7941.19</v>
      </c>
      <c r="BC1134" s="65">
        <v>0.0</v>
      </c>
      <c r="BD1134" s="65">
        <v>0.0</v>
      </c>
      <c r="BE1134" s="65">
        <v>0.0</v>
      </c>
      <c r="BF1134" s="65">
        <v>0.0</v>
      </c>
      <c r="BG1134" s="65">
        <v>0.0</v>
      </c>
      <c r="BH1134" s="65">
        <v>0.0</v>
      </c>
      <c r="BI1134" s="65">
        <v>0.0</v>
      </c>
      <c r="BJ1134" s="65">
        <v>0.0</v>
      </c>
      <c r="BK1134" s="65">
        <v>0.0</v>
      </c>
      <c r="BL1134" s="65">
        <v>0.0</v>
      </c>
      <c r="BM1134" s="65">
        <v>0.0</v>
      </c>
      <c r="BN1134" s="65">
        <v>0.0</v>
      </c>
      <c r="BO1134" s="65">
        <v>0.0</v>
      </c>
      <c r="BP1134" s="65">
        <v>0.0</v>
      </c>
      <c r="BQ1134" s="65">
        <v>0.0</v>
      </c>
      <c r="BR1134" s="65">
        <v>0.0</v>
      </c>
      <c r="BS1134" s="65">
        <v>0.0</v>
      </c>
      <c r="BT1134" s="88">
        <v>0.0</v>
      </c>
      <c r="BU1134" s="65">
        <v>0.0</v>
      </c>
      <c r="BV1134" s="65">
        <v>0.0</v>
      </c>
      <c r="BW1134" s="90">
        <v>0.0</v>
      </c>
      <c r="BX1134" s="90">
        <v>0.0</v>
      </c>
      <c r="BY1134" s="90" t="str">
        <f t="array" ref="BY1134">XLOOKUP(C1134,'PL TOTAL D0'!$A$3:$A$1991,'PL TOTAL D0'!$C$3:$C$1991,"")</f>
        <v/>
      </c>
    </row>
    <row r="1135" ht="15.75" customHeight="1">
      <c r="A1135" s="43" t="s">
        <v>24</v>
      </c>
      <c r="B1135" s="43" t="s">
        <v>9424</v>
      </c>
      <c r="C1135" s="94" t="s">
        <v>3396</v>
      </c>
      <c r="D1135" s="30" t="s">
        <v>1664</v>
      </c>
      <c r="E1135" s="22" t="s">
        <v>54</v>
      </c>
      <c r="F1135" s="30" t="s">
        <v>1667</v>
      </c>
      <c r="G1135" s="47" t="str">
        <f t="shared" si="44"/>
        <v>David</v>
      </c>
      <c r="H1135" s="49" t="s">
        <v>183</v>
      </c>
      <c r="I1135" s="49" t="s">
        <v>66</v>
      </c>
      <c r="J1135" s="47" t="str">
        <f t="shared" si="49"/>
        <v>Sim</v>
      </c>
      <c r="K1135" s="54">
        <v>45562.0</v>
      </c>
      <c r="L1135" s="55"/>
      <c r="M1135" s="32" t="s">
        <v>61</v>
      </c>
      <c r="N1135" s="290">
        <v>0.012</v>
      </c>
      <c r="O1135" s="291" t="s">
        <v>66</v>
      </c>
      <c r="P1135" s="292">
        <v>0.0</v>
      </c>
      <c r="Q1135" s="58" t="s">
        <v>9425</v>
      </c>
      <c r="R1135" s="635"/>
      <c r="S1135" s="32" t="s">
        <v>194</v>
      </c>
      <c r="T1135" s="32" t="s">
        <v>9426</v>
      </c>
      <c r="U1135" s="33">
        <v>5.562994982772E12</v>
      </c>
      <c r="V1135" s="33" t="s">
        <v>9427</v>
      </c>
      <c r="W1135" s="34">
        <v>35988.0</v>
      </c>
      <c r="X1135" s="23" t="s">
        <v>54</v>
      </c>
      <c r="Y1135" s="49" t="str">
        <f t="shared" si="46"/>
        <v>Ativo</v>
      </c>
      <c r="Z1135" s="62"/>
      <c r="AA1135" s="32" t="s">
        <v>165</v>
      </c>
      <c r="AB1135" s="64"/>
      <c r="AC1135" s="79"/>
      <c r="AD1135" s="54">
        <v>45580.0</v>
      </c>
      <c r="AE1135" s="77">
        <v>4.9075100015945E13</v>
      </c>
      <c r="AF1135" s="79"/>
      <c r="AG1135" s="79"/>
      <c r="AH1135" s="79"/>
      <c r="AI1135" s="79"/>
      <c r="AJ1135" s="79"/>
      <c r="AK1135" s="79"/>
      <c r="AL1135" s="79"/>
      <c r="AM1135" s="79"/>
      <c r="AN1135" s="79"/>
      <c r="AO1135" s="79"/>
      <c r="AP1135" s="79"/>
      <c r="AQ1135" s="79"/>
      <c r="AR1135" s="79"/>
      <c r="AS1135" s="79"/>
      <c r="AT1135" s="79"/>
      <c r="AU1135" s="79"/>
      <c r="AV1135" s="65"/>
      <c r="AW1135" s="65"/>
      <c r="AX1135" s="65"/>
      <c r="AY1135" s="65"/>
      <c r="AZ1135" s="65"/>
      <c r="BA1135" s="65"/>
      <c r="BB1135" s="65"/>
      <c r="BC1135" s="65">
        <v>0.0</v>
      </c>
      <c r="BD1135" s="65">
        <v>58169.06</v>
      </c>
      <c r="BE1135" s="65">
        <v>58493.09</v>
      </c>
      <c r="BF1135" s="65">
        <v>58965.69</v>
      </c>
      <c r="BG1135" s="65">
        <v>59512.37</v>
      </c>
      <c r="BH1135" s="65">
        <v>60029.64</v>
      </c>
      <c r="BI1135" s="65">
        <v>60542.55</v>
      </c>
      <c r="BJ1135" s="65">
        <v>61117.29</v>
      </c>
      <c r="BK1135" s="65">
        <v>61215.13</v>
      </c>
      <c r="BL1135" s="65">
        <v>61818.9</v>
      </c>
      <c r="BM1135" s="65">
        <v>62545.04</v>
      </c>
      <c r="BN1135" s="65">
        <v>63197.93</v>
      </c>
      <c r="BO1135" s="65">
        <v>63865.19</v>
      </c>
      <c r="BP1135" s="65">
        <v>64544.91</v>
      </c>
      <c r="BQ1135" s="65">
        <v>64602.67</v>
      </c>
      <c r="BR1135" s="65">
        <v>65360.69</v>
      </c>
      <c r="BS1135" s="65">
        <v>66083.08</v>
      </c>
      <c r="BT1135" s="88">
        <v>66576.28</v>
      </c>
      <c r="BU1135" s="65">
        <v>67328.69</v>
      </c>
      <c r="BV1135" s="65">
        <v>67983.17</v>
      </c>
      <c r="BW1135" s="90">
        <v>68022.92</v>
      </c>
      <c r="BX1135" s="90">
        <v>68672.19</v>
      </c>
      <c r="BY1135" s="90">
        <f t="array" ref="BY1135">XLOOKUP(C1135,'PL TOTAL D0'!$A$3:$A$1991,'PL TOTAL D0'!$C$3:$C$1991,"")</f>
        <v>69430.27</v>
      </c>
    </row>
    <row r="1136" ht="15.75" customHeight="1">
      <c r="A1136" s="50" t="s">
        <v>24</v>
      </c>
      <c r="B1136" s="405" t="s">
        <v>9428</v>
      </c>
      <c r="C1136" s="94" t="s">
        <v>9429</v>
      </c>
      <c r="D1136" s="81" t="s">
        <v>120</v>
      </c>
      <c r="E1136" s="95" t="s">
        <v>199</v>
      </c>
      <c r="F1136" s="81" t="s">
        <v>677</v>
      </c>
      <c r="G1136" s="47" t="str">
        <f t="shared" si="44"/>
        <v>David</v>
      </c>
      <c r="H1136" s="49" t="s">
        <v>224</v>
      </c>
      <c r="I1136" s="49" t="s">
        <v>66</v>
      </c>
      <c r="J1136" s="47" t="str">
        <f t="shared" si="49"/>
        <v>Não</v>
      </c>
      <c r="K1136" s="97">
        <v>45268.0</v>
      </c>
      <c r="L1136" s="55">
        <v>45769.0</v>
      </c>
      <c r="M1136" s="62" t="s">
        <v>61</v>
      </c>
      <c r="N1136" s="931">
        <v>0.012</v>
      </c>
      <c r="O1136" s="932" t="s">
        <v>66</v>
      </c>
      <c r="P1136" s="933">
        <v>0.0</v>
      </c>
      <c r="Q1136" s="58"/>
      <c r="R1136" s="635"/>
      <c r="S1136" s="62" t="s">
        <v>194</v>
      </c>
      <c r="T1136" s="32" t="s">
        <v>9430</v>
      </c>
      <c r="U1136" s="33" t="s">
        <v>268</v>
      </c>
      <c r="V1136" s="33"/>
      <c r="W1136" s="33" t="s">
        <v>268</v>
      </c>
      <c r="X1136" s="23" t="s">
        <v>397</v>
      </c>
      <c r="Y1136" s="49" t="str">
        <f t="shared" si="46"/>
        <v>Encerrado</v>
      </c>
      <c r="Z1136" s="62"/>
      <c r="AA1136" s="62"/>
      <c r="AB1136" s="64" t="s">
        <v>269</v>
      </c>
      <c r="AC1136" s="79"/>
      <c r="AD1136" s="54">
        <v>45268.0</v>
      </c>
      <c r="AE1136" s="77">
        <v>4.9075100013055E13</v>
      </c>
      <c r="AF1136" s="79"/>
      <c r="AG1136" s="79"/>
      <c r="AH1136" s="79"/>
      <c r="AI1136" s="79"/>
      <c r="AJ1136" s="79"/>
      <c r="AK1136" s="79"/>
      <c r="AL1136" s="79"/>
      <c r="AM1136" s="79"/>
      <c r="AN1136" s="79"/>
      <c r="AO1136" s="79"/>
      <c r="AP1136" s="79"/>
      <c r="AQ1136" s="79"/>
      <c r="AR1136" s="79"/>
      <c r="AS1136" s="79"/>
      <c r="AT1136" s="65">
        <v>250198.79</v>
      </c>
      <c r="AU1136" s="65">
        <v>252594.2</v>
      </c>
      <c r="AV1136" s="65">
        <v>305157.82</v>
      </c>
      <c r="AW1136" s="65">
        <v>352782.73</v>
      </c>
      <c r="AX1136" s="65">
        <v>354381.46</v>
      </c>
      <c r="AY1136" s="65">
        <v>500036.9</v>
      </c>
      <c r="AZ1136" s="65">
        <v>504183.9</v>
      </c>
      <c r="BA1136" s="65">
        <v>508549.4</v>
      </c>
      <c r="BB1136" s="65">
        <v>512812.38</v>
      </c>
      <c r="BC1136" s="65">
        <v>516188.87</v>
      </c>
      <c r="BD1136" s="65">
        <v>621131.94</v>
      </c>
      <c r="BE1136" s="65">
        <v>625613.67</v>
      </c>
      <c r="BF1136" s="65">
        <v>0.0</v>
      </c>
      <c r="BG1136" s="65">
        <v>0.0</v>
      </c>
      <c r="BH1136" s="65">
        <v>0.0</v>
      </c>
      <c r="BI1136" s="65">
        <v>0.0</v>
      </c>
      <c r="BJ1136" s="65">
        <v>0.0</v>
      </c>
      <c r="BK1136" s="65">
        <v>0.0</v>
      </c>
      <c r="BL1136" s="65">
        <v>0.0</v>
      </c>
      <c r="BM1136" s="65">
        <v>0.0</v>
      </c>
      <c r="BN1136" s="65">
        <v>0.0</v>
      </c>
      <c r="BO1136" s="65">
        <v>0.0</v>
      </c>
      <c r="BP1136" s="65">
        <v>0.0</v>
      </c>
      <c r="BQ1136" s="65">
        <v>0.0</v>
      </c>
      <c r="BR1136" s="65">
        <v>0.0</v>
      </c>
      <c r="BS1136" s="65">
        <v>0.0</v>
      </c>
      <c r="BT1136" s="88">
        <v>0.0</v>
      </c>
      <c r="BU1136" s="65">
        <v>0.0</v>
      </c>
      <c r="BV1136" s="65">
        <v>0.0</v>
      </c>
      <c r="BW1136" s="90">
        <v>0.0</v>
      </c>
      <c r="BX1136" s="90">
        <v>0.0</v>
      </c>
      <c r="BY1136" s="90" t="str">
        <f t="array" ref="BY1136">XLOOKUP(C1136,'PL TOTAL D0'!$A$3:$A$1991,'PL TOTAL D0'!$C$3:$C$1991,"")</f>
        <v/>
      </c>
    </row>
    <row r="1137" ht="15.75" customHeight="1">
      <c r="A1137" s="50" t="s">
        <v>24</v>
      </c>
      <c r="B1137" s="406" t="s">
        <v>9431</v>
      </c>
      <c r="C1137" s="53" t="s">
        <v>2853</v>
      </c>
      <c r="D1137" s="30" t="s">
        <v>120</v>
      </c>
      <c r="E1137" s="22" t="s">
        <v>199</v>
      </c>
      <c r="F1137" s="30" t="s">
        <v>290</v>
      </c>
      <c r="G1137" s="47" t="str">
        <f t="shared" si="44"/>
        <v>David</v>
      </c>
      <c r="H1137" s="49" t="s">
        <v>183</v>
      </c>
      <c r="I1137" s="49" t="s">
        <v>66</v>
      </c>
      <c r="J1137" s="47" t="str">
        <f t="shared" si="49"/>
        <v>Não</v>
      </c>
      <c r="K1137" s="54">
        <v>46190.0</v>
      </c>
      <c r="L1137" s="55"/>
      <c r="M1137" s="32" t="s">
        <v>61</v>
      </c>
      <c r="N1137" s="934">
        <v>0.012</v>
      </c>
      <c r="O1137" s="935" t="s">
        <v>66</v>
      </c>
      <c r="P1137" s="936">
        <v>0.0</v>
      </c>
      <c r="Q1137" s="58"/>
      <c r="R1137" s="635"/>
      <c r="S1137" s="32" t="s">
        <v>194</v>
      </c>
      <c r="T1137" s="32" t="s">
        <v>9432</v>
      </c>
      <c r="U1137" s="33" t="s">
        <v>9433</v>
      </c>
      <c r="V1137" s="33" t="s">
        <v>9434</v>
      </c>
      <c r="W1137" s="48">
        <v>26613.0</v>
      </c>
      <c r="X1137" s="23" t="s">
        <v>199</v>
      </c>
      <c r="Y1137" s="49" t="str">
        <f t="shared" si="46"/>
        <v>Ativo</v>
      </c>
      <c r="Z1137" s="62"/>
      <c r="AA1137" s="32" t="s">
        <v>47</v>
      </c>
      <c r="AB1137" s="64"/>
      <c r="AC1137" s="79"/>
      <c r="AD1137" s="54"/>
      <c r="AE1137" s="77"/>
      <c r="AF1137" s="79"/>
      <c r="AG1137" s="79"/>
      <c r="AH1137" s="79"/>
      <c r="AI1137" s="79"/>
      <c r="AJ1137" s="79"/>
      <c r="AK1137" s="79"/>
      <c r="AL1137" s="79"/>
      <c r="AM1137" s="79"/>
      <c r="AN1137" s="79"/>
      <c r="AO1137" s="79"/>
      <c r="AP1137" s="79"/>
      <c r="AQ1137" s="79"/>
      <c r="AR1137" s="79"/>
      <c r="AS1137" s="79"/>
      <c r="AT1137" s="65"/>
      <c r="AU1137" s="65"/>
      <c r="AV1137" s="65"/>
      <c r="AW1137" s="65"/>
      <c r="AX1137" s="65"/>
      <c r="AY1137" s="65"/>
      <c r="AZ1137" s="65"/>
      <c r="BA1137" s="65"/>
      <c r="BB1137" s="65"/>
      <c r="BC1137" s="65"/>
      <c r="BD1137" s="65"/>
      <c r="BE1137" s="65"/>
      <c r="BF1137" s="65"/>
      <c r="BG1137" s="65"/>
      <c r="BH1137" s="65"/>
      <c r="BI1137" s="65"/>
      <c r="BJ1137" s="65"/>
      <c r="BK1137" s="65"/>
      <c r="BL1137" s="65"/>
      <c r="BM1137" s="65"/>
      <c r="BN1137" s="65"/>
      <c r="BO1137" s="65"/>
      <c r="BP1137" s="65"/>
      <c r="BQ1137" s="65"/>
      <c r="BR1137" s="65"/>
      <c r="BS1137" s="65"/>
      <c r="BT1137" s="88"/>
      <c r="BU1137" s="65"/>
      <c r="BV1137" s="65"/>
      <c r="BW1137" s="90"/>
      <c r="BX1137" s="90">
        <v>0.0</v>
      </c>
      <c r="BY1137" s="90">
        <f t="array" ref="BY1137">XLOOKUP(C1137,'PL TOTAL D0'!$A$3:$A$1991,'PL TOTAL D0'!$C$3:$C$1991,"")</f>
        <v>554520.17</v>
      </c>
    </row>
    <row r="1138" ht="15.75" customHeight="1">
      <c r="A1138" s="50" t="s">
        <v>24</v>
      </c>
      <c r="B1138" s="191" t="s">
        <v>9435</v>
      </c>
      <c r="C1138" s="94" t="s">
        <v>9436</v>
      </c>
      <c r="D1138" s="30" t="s">
        <v>89</v>
      </c>
      <c r="E1138" s="95" t="s">
        <v>91</v>
      </c>
      <c r="F1138" s="81" t="s">
        <v>521</v>
      </c>
      <c r="G1138" s="47" t="str">
        <f t="shared" si="44"/>
        <v>David</v>
      </c>
      <c r="H1138" s="49" t="s">
        <v>183</v>
      </c>
      <c r="I1138" s="49" t="s">
        <v>66</v>
      </c>
      <c r="J1138" s="47" t="str">
        <f t="shared" si="49"/>
        <v>Não</v>
      </c>
      <c r="K1138" s="97">
        <v>45173.0</v>
      </c>
      <c r="L1138" s="189"/>
      <c r="M1138" s="62" t="s">
        <v>1142</v>
      </c>
      <c r="N1138" s="98">
        <v>0.008</v>
      </c>
      <c r="O1138" s="47" t="s">
        <v>1143</v>
      </c>
      <c r="P1138" s="99">
        <v>0.1</v>
      </c>
      <c r="Q1138" s="58"/>
      <c r="R1138" s="635"/>
      <c r="S1138" s="62" t="s">
        <v>194</v>
      </c>
      <c r="T1138" s="32" t="s">
        <v>9437</v>
      </c>
      <c r="U1138" s="33">
        <v>5.543999575931E12</v>
      </c>
      <c r="V1138" s="33" t="s">
        <v>9438</v>
      </c>
      <c r="W1138" s="48">
        <v>27722.0</v>
      </c>
      <c r="X1138" s="23" t="s">
        <v>221</v>
      </c>
      <c r="Y1138" s="49" t="str">
        <f t="shared" si="46"/>
        <v>Ativo</v>
      </c>
      <c r="Z1138" s="62"/>
      <c r="AA1138" s="32" t="s">
        <v>47</v>
      </c>
      <c r="AB1138" s="64" t="s">
        <v>269</v>
      </c>
      <c r="AC1138" s="79"/>
      <c r="AD1138" s="54">
        <v>45173.0</v>
      </c>
      <c r="AE1138" s="77">
        <v>4.9075100012032E13</v>
      </c>
      <c r="AF1138" s="79"/>
      <c r="AG1138" s="79"/>
      <c r="AH1138" s="79"/>
      <c r="AI1138" s="79"/>
      <c r="AJ1138" s="79"/>
      <c r="AK1138" s="79"/>
      <c r="AL1138" s="79"/>
      <c r="AM1138" s="79"/>
      <c r="AN1138" s="79"/>
      <c r="AO1138" s="79"/>
      <c r="AP1138" s="65">
        <v>0.0</v>
      </c>
      <c r="AQ1138" s="65">
        <v>125546.41</v>
      </c>
      <c r="AR1138" s="65">
        <v>122333.01</v>
      </c>
      <c r="AS1138" s="65">
        <v>123365.82</v>
      </c>
      <c r="AT1138" s="65">
        <v>125412.83</v>
      </c>
      <c r="AU1138" s="65">
        <v>124891.86</v>
      </c>
      <c r="AV1138" s="65">
        <v>126278.15</v>
      </c>
      <c r="AW1138" s="65">
        <v>126220.89</v>
      </c>
      <c r="AX1138" s="65">
        <v>123539.41</v>
      </c>
      <c r="AY1138" s="65">
        <v>122178.3</v>
      </c>
      <c r="AZ1138" s="65">
        <v>120468.1</v>
      </c>
      <c r="BA1138" s="65">
        <v>121009.7</v>
      </c>
      <c r="BB1138" s="65">
        <v>119191.88</v>
      </c>
      <c r="BC1138" s="65">
        <v>116053.28</v>
      </c>
      <c r="BD1138" s="65">
        <v>114302.29</v>
      </c>
      <c r="BE1138" s="65">
        <v>112345.37</v>
      </c>
      <c r="BF1138" s="65">
        <v>112013.26</v>
      </c>
      <c r="BG1138" s="65">
        <v>110899.02</v>
      </c>
      <c r="BH1138" s="65">
        <v>111418.83</v>
      </c>
      <c r="BI1138" s="65">
        <v>114138.85</v>
      </c>
      <c r="BJ1138" s="65">
        <v>117721.74</v>
      </c>
      <c r="BK1138" s="65">
        <v>117161.21</v>
      </c>
      <c r="BL1138" s="65">
        <v>116598.19</v>
      </c>
      <c r="BM1138" s="65">
        <v>0.0</v>
      </c>
      <c r="BN1138" s="65">
        <v>115646.2</v>
      </c>
      <c r="BO1138" s="65">
        <v>117168.36</v>
      </c>
      <c r="BP1138" s="65">
        <v>401.9</v>
      </c>
      <c r="BQ1138" s="65">
        <v>384.16</v>
      </c>
      <c r="BR1138" s="65">
        <v>388.82</v>
      </c>
      <c r="BS1138" s="65">
        <v>393.33</v>
      </c>
      <c r="BT1138" s="88">
        <v>397.24</v>
      </c>
      <c r="BU1138" s="65">
        <v>402.08</v>
      </c>
      <c r="BV1138" s="65">
        <v>0.0</v>
      </c>
      <c r="BW1138" s="90">
        <v>0.01</v>
      </c>
      <c r="BX1138" s="90">
        <v>0.01</v>
      </c>
      <c r="BY1138" s="90" t="str">
        <f t="array" ref="BY1138">XLOOKUP(C1138,'PL TOTAL D0'!$A$3:$A$1991,'PL TOTAL D0'!$C$3:$C$1991,"")</f>
        <v/>
      </c>
    </row>
    <row r="1139" ht="15.75" customHeight="1">
      <c r="A1139" s="50" t="s">
        <v>24</v>
      </c>
      <c r="B1139" s="176" t="s">
        <v>9435</v>
      </c>
      <c r="C1139" s="94" t="s">
        <v>9439</v>
      </c>
      <c r="D1139" s="30" t="s">
        <v>89</v>
      </c>
      <c r="E1139" s="95" t="s">
        <v>91</v>
      </c>
      <c r="F1139" s="81" t="s">
        <v>521</v>
      </c>
      <c r="G1139" s="47" t="str">
        <f t="shared" si="44"/>
        <v>David</v>
      </c>
      <c r="H1139" s="49" t="s">
        <v>224</v>
      </c>
      <c r="I1139" s="49" t="s">
        <v>66</v>
      </c>
      <c r="J1139" s="47" t="str">
        <f t="shared" si="49"/>
        <v>Não</v>
      </c>
      <c r="K1139" s="97">
        <v>45096.0</v>
      </c>
      <c r="L1139" s="55">
        <v>45936.0</v>
      </c>
      <c r="M1139" s="62" t="s">
        <v>61</v>
      </c>
      <c r="N1139" s="98">
        <v>0.012</v>
      </c>
      <c r="O1139" s="47" t="s">
        <v>66</v>
      </c>
      <c r="P1139" s="99">
        <v>0.0</v>
      </c>
      <c r="Q1139" s="58"/>
      <c r="R1139" s="635"/>
      <c r="S1139" s="62" t="s">
        <v>194</v>
      </c>
      <c r="T1139" s="32" t="s">
        <v>9437</v>
      </c>
      <c r="U1139" s="33">
        <v>5.543999575931E12</v>
      </c>
      <c r="V1139" s="33" t="s">
        <v>9438</v>
      </c>
      <c r="W1139" s="48">
        <v>27722.0</v>
      </c>
      <c r="X1139" s="23" t="s">
        <v>221</v>
      </c>
      <c r="Y1139" s="49" t="str">
        <f t="shared" si="46"/>
        <v>Encerrado</v>
      </c>
      <c r="Z1139" s="62"/>
      <c r="AA1139" s="32" t="s">
        <v>47</v>
      </c>
      <c r="AB1139" s="64" t="s">
        <v>269</v>
      </c>
      <c r="AC1139" s="79"/>
      <c r="AD1139" s="54">
        <v>45096.0</v>
      </c>
      <c r="AE1139" s="77">
        <v>4.9075100008299E13</v>
      </c>
      <c r="AF1139" s="79"/>
      <c r="AG1139" s="79"/>
      <c r="AH1139" s="79"/>
      <c r="AI1139" s="79"/>
      <c r="AJ1139" s="79"/>
      <c r="AK1139" s="79"/>
      <c r="AL1139" s="79"/>
      <c r="AM1139" s="79"/>
      <c r="AN1139" s="65">
        <v>77435.25</v>
      </c>
      <c r="AO1139" s="65">
        <v>78226.19</v>
      </c>
      <c r="AP1139" s="65">
        <v>79118.79</v>
      </c>
      <c r="AQ1139" s="65">
        <v>79569.85</v>
      </c>
      <c r="AR1139" s="65">
        <v>80332.19</v>
      </c>
      <c r="AS1139" s="65">
        <v>80968.48</v>
      </c>
      <c r="AT1139" s="65">
        <v>81640.1</v>
      </c>
      <c r="AU1139" s="65">
        <v>82402.63</v>
      </c>
      <c r="AV1139" s="65">
        <v>83058.92</v>
      </c>
      <c r="AW1139" s="65">
        <v>133503.57</v>
      </c>
      <c r="AX1139" s="65">
        <v>134645.23</v>
      </c>
      <c r="AY1139" s="65">
        <v>135734.1</v>
      </c>
      <c r="AZ1139" s="65">
        <v>136256.0</v>
      </c>
      <c r="BA1139" s="65">
        <v>137440.6</v>
      </c>
      <c r="BB1139" s="65">
        <v>138577.79</v>
      </c>
      <c r="BC1139" s="65">
        <v>139562.87</v>
      </c>
      <c r="BD1139" s="65">
        <v>142948.68</v>
      </c>
      <c r="BE1139" s="65">
        <v>198291.98</v>
      </c>
      <c r="BF1139" s="65">
        <v>204616.86</v>
      </c>
      <c r="BG1139" s="65">
        <v>207299.18</v>
      </c>
      <c r="BH1139" s="65">
        <v>209002.22</v>
      </c>
      <c r="BI1139" s="65">
        <v>330562.25</v>
      </c>
      <c r="BJ1139" s="65">
        <v>334021.63</v>
      </c>
      <c r="BK1139" s="65">
        <v>299145.7</v>
      </c>
      <c r="BL1139" s="65">
        <v>301498.33</v>
      </c>
      <c r="BM1139" s="65">
        <v>0.0</v>
      </c>
      <c r="BN1139" s="65">
        <v>0.0</v>
      </c>
      <c r="BO1139" s="65">
        <v>0.0</v>
      </c>
      <c r="BP1139" s="65">
        <v>0.0</v>
      </c>
      <c r="BQ1139" s="65">
        <v>0.0</v>
      </c>
      <c r="BR1139" s="65">
        <v>0.0</v>
      </c>
      <c r="BS1139" s="65">
        <v>0.0</v>
      </c>
      <c r="BT1139" s="88">
        <v>0.0</v>
      </c>
      <c r="BU1139" s="65">
        <v>0.0</v>
      </c>
      <c r="BV1139" s="65">
        <v>0.0</v>
      </c>
      <c r="BW1139" s="90">
        <v>0.0</v>
      </c>
      <c r="BX1139" s="90">
        <v>0.0</v>
      </c>
      <c r="BY1139" s="90" t="str">
        <f t="array" ref="BY1139">XLOOKUP(C1139,'PL TOTAL D0'!$A$3:$A$1991,'PL TOTAL D0'!$C$3:$C$1991,"")</f>
        <v/>
      </c>
    </row>
    <row r="1140" ht="15.75" customHeight="1">
      <c r="A1140" s="50" t="s">
        <v>24</v>
      </c>
      <c r="B1140" s="176" t="s">
        <v>9435</v>
      </c>
      <c r="C1140" s="94" t="s">
        <v>2648</v>
      </c>
      <c r="D1140" s="30" t="s">
        <v>89</v>
      </c>
      <c r="E1140" s="95" t="s">
        <v>91</v>
      </c>
      <c r="F1140" s="81" t="s">
        <v>521</v>
      </c>
      <c r="G1140" s="47" t="str">
        <f t="shared" si="44"/>
        <v>Marcus</v>
      </c>
      <c r="H1140" s="49" t="s">
        <v>183</v>
      </c>
      <c r="I1140" s="49" t="s">
        <v>66</v>
      </c>
      <c r="J1140" s="47" t="str">
        <f t="shared" si="49"/>
        <v>Sim</v>
      </c>
      <c r="K1140" s="54">
        <v>45898.0</v>
      </c>
      <c r="L1140" s="186"/>
      <c r="M1140" s="32" t="s">
        <v>1360</v>
      </c>
      <c r="N1140" s="56">
        <v>0.015</v>
      </c>
      <c r="O1140" s="23" t="s">
        <v>7932</v>
      </c>
      <c r="P1140" s="57">
        <v>0.1</v>
      </c>
      <c r="Q1140" s="58" t="s">
        <v>9440</v>
      </c>
      <c r="R1140" s="58" t="s">
        <v>9441</v>
      </c>
      <c r="S1140" s="62" t="s">
        <v>194</v>
      </c>
      <c r="T1140" s="32" t="s">
        <v>9437</v>
      </c>
      <c r="U1140" s="33">
        <v>5.543999575931E12</v>
      </c>
      <c r="V1140" s="33" t="s">
        <v>9438</v>
      </c>
      <c r="W1140" s="48">
        <v>27722.0</v>
      </c>
      <c r="X1140" s="23" t="s">
        <v>221</v>
      </c>
      <c r="Y1140" s="49" t="str">
        <f t="shared" si="46"/>
        <v>Ativo</v>
      </c>
      <c r="Z1140" s="62"/>
      <c r="AA1140" s="32" t="s">
        <v>47</v>
      </c>
      <c r="AB1140" s="64" t="s">
        <v>269</v>
      </c>
      <c r="AC1140" s="79"/>
      <c r="AD1140" s="54">
        <v>45106.0</v>
      </c>
      <c r="AE1140" s="77">
        <v>4.907510001932E13</v>
      </c>
      <c r="AF1140" s="79"/>
      <c r="AG1140" s="79"/>
      <c r="AH1140" s="79"/>
      <c r="AI1140" s="79"/>
      <c r="AJ1140" s="79"/>
      <c r="AK1140" s="79"/>
      <c r="AL1140" s="79"/>
      <c r="AM1140" s="79"/>
      <c r="AN1140" s="65">
        <v>33459.87</v>
      </c>
      <c r="AO1140" s="65">
        <v>35253.69</v>
      </c>
      <c r="AP1140" s="65">
        <v>34553.64</v>
      </c>
      <c r="AQ1140" s="65">
        <v>49122.52</v>
      </c>
      <c r="AR1140" s="65">
        <v>47478.27</v>
      </c>
      <c r="AS1140" s="65">
        <v>51021.43</v>
      </c>
      <c r="AT1140" s="65">
        <v>53462.13</v>
      </c>
      <c r="AU1140" s="65">
        <v>49747.29</v>
      </c>
      <c r="AV1140" s="65">
        <v>50435.54</v>
      </c>
      <c r="AW1140" s="65">
        <v>174526.13</v>
      </c>
      <c r="AX1140" s="65">
        <v>168444.16</v>
      </c>
      <c r="AY1140" s="65">
        <v>163322.4</v>
      </c>
      <c r="AZ1140" s="65">
        <v>163584.8</v>
      </c>
      <c r="BA1140" s="65">
        <v>168018.6</v>
      </c>
      <c r="BB1140" s="65">
        <v>70252.64</v>
      </c>
      <c r="BC1140" s="65">
        <v>69033.81</v>
      </c>
      <c r="BD1140" s="65">
        <v>64010.53</v>
      </c>
      <c r="BE1140" s="65">
        <v>7388.67</v>
      </c>
      <c r="BF1140" s="65">
        <v>732.66</v>
      </c>
      <c r="BG1140" s="65">
        <v>432.89</v>
      </c>
      <c r="BH1140" s="65">
        <v>0.0</v>
      </c>
      <c r="BI1140" s="65">
        <v>0.0</v>
      </c>
      <c r="BJ1140" s="65">
        <v>0.0</v>
      </c>
      <c r="BK1140" s="65">
        <v>0.0</v>
      </c>
      <c r="BL1140" s="65">
        <v>0.0</v>
      </c>
      <c r="BM1140" s="65">
        <v>0.0</v>
      </c>
      <c r="BN1140" s="65">
        <v>892236.9</v>
      </c>
      <c r="BO1140" s="65">
        <v>901151.56</v>
      </c>
      <c r="BP1140" s="65">
        <v>911342.6</v>
      </c>
      <c r="BQ1140" s="65">
        <v>927520.6</v>
      </c>
      <c r="BR1140" s="65">
        <v>936524.9</v>
      </c>
      <c r="BS1140" s="65">
        <v>946279.41</v>
      </c>
      <c r="BT1140" s="88">
        <v>953522.1</v>
      </c>
      <c r="BU1140" s="65">
        <v>960618.2</v>
      </c>
      <c r="BV1140" s="65">
        <v>1411310.0</v>
      </c>
      <c r="BW1140" s="90">
        <v>1425244.0</v>
      </c>
      <c r="BX1140" s="90">
        <v>1436398.74</v>
      </c>
      <c r="BY1140" s="90">
        <f t="array" ref="BY1140">XLOOKUP(C1140,'PL TOTAL D0'!$A$3:$A$1991,'PL TOTAL D0'!$C$3:$C$1991,"")</f>
        <v>1453243.99</v>
      </c>
    </row>
    <row r="1141" ht="15.75" customHeight="1">
      <c r="A1141" s="50" t="s">
        <v>24</v>
      </c>
      <c r="B1141" s="176" t="s">
        <v>9442</v>
      </c>
      <c r="C1141" s="94" t="s">
        <v>3264</v>
      </c>
      <c r="D1141" s="30" t="s">
        <v>120</v>
      </c>
      <c r="E1141" s="95" t="s">
        <v>199</v>
      </c>
      <c r="F1141" s="81" t="s">
        <v>707</v>
      </c>
      <c r="G1141" s="47" t="str">
        <f t="shared" si="44"/>
        <v>Gabriel</v>
      </c>
      <c r="H1141" s="49" t="s">
        <v>183</v>
      </c>
      <c r="I1141" s="49" t="s">
        <v>66</v>
      </c>
      <c r="J1141" s="47" t="str">
        <f>IF(Q1143=0,"Não","Sim")</f>
        <v>Não</v>
      </c>
      <c r="K1141" s="54">
        <v>45960.0</v>
      </c>
      <c r="L1141" s="186"/>
      <c r="M1141" s="32" t="s">
        <v>61</v>
      </c>
      <c r="N1141" s="56">
        <v>0.012</v>
      </c>
      <c r="O1141" s="23" t="s">
        <v>66</v>
      </c>
      <c r="P1141" s="57">
        <v>0.0</v>
      </c>
      <c r="Q1141" s="58" t="s">
        <v>9443</v>
      </c>
      <c r="R1141" s="58"/>
      <c r="S1141" s="62" t="s">
        <v>194</v>
      </c>
      <c r="T1141" s="32" t="s">
        <v>9444</v>
      </c>
      <c r="U1141" s="33" t="s">
        <v>9445</v>
      </c>
      <c r="V1141" s="33" t="s">
        <v>9446</v>
      </c>
      <c r="W1141" s="48">
        <v>28537.0</v>
      </c>
      <c r="X1141" s="23" t="s">
        <v>199</v>
      </c>
      <c r="Y1141" s="49" t="str">
        <f t="shared" si="46"/>
        <v>Ativo</v>
      </c>
      <c r="Z1141" s="62"/>
      <c r="AA1141" s="32" t="s">
        <v>47</v>
      </c>
      <c r="AB1141" s="64"/>
      <c r="AC1141" s="79"/>
      <c r="AD1141" s="54">
        <v>45964.0</v>
      </c>
      <c r="AE1141" s="148">
        <v>4.9075100019665E13</v>
      </c>
      <c r="AF1141" s="79"/>
      <c r="AG1141" s="79"/>
      <c r="AH1141" s="79"/>
      <c r="AI1141" s="79"/>
      <c r="AJ1141" s="79"/>
      <c r="AK1141" s="79"/>
      <c r="AL1141" s="79"/>
      <c r="AM1141" s="79"/>
      <c r="AN1141" s="65"/>
      <c r="AO1141" s="65"/>
      <c r="AP1141" s="65"/>
      <c r="AQ1141" s="65"/>
      <c r="AR1141" s="65"/>
      <c r="AS1141" s="65"/>
      <c r="AT1141" s="65"/>
      <c r="AU1141" s="65"/>
      <c r="AV1141" s="65"/>
      <c r="AW1141" s="65"/>
      <c r="AX1141" s="65"/>
      <c r="AY1141" s="65"/>
      <c r="AZ1141" s="65"/>
      <c r="BA1141" s="65"/>
      <c r="BB1141" s="65"/>
      <c r="BC1141" s="65"/>
      <c r="BD1141" s="65"/>
      <c r="BE1141" s="65"/>
      <c r="BF1141" s="65"/>
      <c r="BG1141" s="65"/>
      <c r="BH1141" s="65"/>
      <c r="BI1141" s="65"/>
      <c r="BJ1141" s="65"/>
      <c r="BK1141" s="65"/>
      <c r="BL1141" s="65"/>
      <c r="BM1141" s="65"/>
      <c r="BN1141" s="65"/>
      <c r="BO1141" s="65"/>
      <c r="BP1141" s="65">
        <v>500386.0</v>
      </c>
      <c r="BQ1141" s="65">
        <v>504067.8</v>
      </c>
      <c r="BR1141" s="65">
        <v>477664.8</v>
      </c>
      <c r="BS1141" s="65">
        <v>482134.54</v>
      </c>
      <c r="BT1141" s="88">
        <v>461232.7</v>
      </c>
      <c r="BU1141" s="65">
        <v>439139.6</v>
      </c>
      <c r="BV1141" s="65">
        <v>373365.0</v>
      </c>
      <c r="BW1141" s="90">
        <v>200407.7</v>
      </c>
      <c r="BX1141" s="90">
        <v>184077.94</v>
      </c>
      <c r="BY1141" s="90">
        <f t="array" ref="BY1141">XLOOKUP(C1141,'PL TOTAL D0'!$A$3:$A$1991,'PL TOTAL D0'!$C$3:$C$1991,"")</f>
        <v>126403.63</v>
      </c>
    </row>
    <row r="1142" ht="15.75" customHeight="1">
      <c r="A1142" s="50" t="s">
        <v>24</v>
      </c>
      <c r="B1142" s="322" t="s">
        <v>1745</v>
      </c>
      <c r="C1142" s="94" t="s">
        <v>2985</v>
      </c>
      <c r="D1142" s="30" t="s">
        <v>120</v>
      </c>
      <c r="E1142" s="22" t="s">
        <v>199</v>
      </c>
      <c r="F1142" s="30" t="s">
        <v>388</v>
      </c>
      <c r="G1142" s="47" t="str">
        <f t="shared" si="44"/>
        <v>Gabriel</v>
      </c>
      <c r="H1142" s="49" t="s">
        <v>183</v>
      </c>
      <c r="I1142" s="49" t="s">
        <v>66</v>
      </c>
      <c r="J1142" s="47" t="str">
        <f>IF(Q1142=0,"Não","Sim")</f>
        <v>Não</v>
      </c>
      <c r="K1142" s="54">
        <v>45548.0</v>
      </c>
      <c r="L1142" s="189"/>
      <c r="M1142" s="32" t="s">
        <v>209</v>
      </c>
      <c r="N1142" s="290">
        <v>0.0075</v>
      </c>
      <c r="O1142" s="291" t="s">
        <v>35</v>
      </c>
      <c r="P1142" s="292">
        <v>0.1</v>
      </c>
      <c r="Q1142" s="58"/>
      <c r="R1142" s="635"/>
      <c r="S1142" s="32" t="s">
        <v>194</v>
      </c>
      <c r="T1142" s="32" t="s">
        <v>1748</v>
      </c>
      <c r="U1142" s="33">
        <v>5.561999842729E12</v>
      </c>
      <c r="V1142" s="33" t="s">
        <v>1750</v>
      </c>
      <c r="W1142" s="34">
        <v>21704.0</v>
      </c>
      <c r="X1142" s="23" t="s">
        <v>199</v>
      </c>
      <c r="Y1142" s="49" t="str">
        <f t="shared" si="46"/>
        <v>Ativo</v>
      </c>
      <c r="Z1142" s="62"/>
      <c r="AA1142" s="32" t="s">
        <v>47</v>
      </c>
      <c r="AB1142" s="64"/>
      <c r="AC1142" s="79"/>
      <c r="AD1142" s="54">
        <v>45677.0</v>
      </c>
      <c r="AE1142" s="77">
        <v>4.9075100016178E13</v>
      </c>
      <c r="AF1142" s="79"/>
      <c r="AG1142" s="79"/>
      <c r="AH1142" s="79"/>
      <c r="AI1142" s="79"/>
      <c r="AJ1142" s="79"/>
      <c r="AK1142" s="79"/>
      <c r="AL1142" s="79"/>
      <c r="AM1142" s="79"/>
      <c r="AN1142" s="79"/>
      <c r="AO1142" s="79"/>
      <c r="AP1142" s="65"/>
      <c r="AQ1142" s="65"/>
      <c r="AR1142" s="65"/>
      <c r="AS1142" s="65"/>
      <c r="AT1142" s="65"/>
      <c r="AU1142" s="65"/>
      <c r="AV1142" s="65"/>
      <c r="AW1142" s="65"/>
      <c r="AX1142" s="65"/>
      <c r="AY1142" s="65"/>
      <c r="AZ1142" s="65"/>
      <c r="BA1142" s="65"/>
      <c r="BB1142" s="65"/>
      <c r="BC1142" s="65">
        <v>0.0</v>
      </c>
      <c r="BD1142" s="65">
        <v>0.0</v>
      </c>
      <c r="BE1142" s="65">
        <v>0.0</v>
      </c>
      <c r="BF1142" s="65">
        <v>0.0</v>
      </c>
      <c r="BG1142" s="65">
        <v>328974.81</v>
      </c>
      <c r="BH1142" s="65">
        <v>334614.22</v>
      </c>
      <c r="BI1142" s="65">
        <v>325564.99</v>
      </c>
      <c r="BJ1142" s="65">
        <v>329722.33</v>
      </c>
      <c r="BK1142" s="65">
        <v>334972.74</v>
      </c>
      <c r="BL1142" s="65">
        <v>339648.68</v>
      </c>
      <c r="BM1142" s="65">
        <v>340515.75</v>
      </c>
      <c r="BN1142" s="65">
        <v>346170.0</v>
      </c>
      <c r="BO1142" s="65">
        <v>350579.52</v>
      </c>
      <c r="BP1142" s="65">
        <v>354898.8</v>
      </c>
      <c r="BQ1142" s="65">
        <v>363576.3</v>
      </c>
      <c r="BR1142" s="65">
        <v>367113.6</v>
      </c>
      <c r="BS1142" s="65">
        <v>373693.24</v>
      </c>
      <c r="BT1142" s="88">
        <v>378236.5</v>
      </c>
      <c r="BU1142" s="65">
        <v>382657.7</v>
      </c>
      <c r="BV1142" s="65">
        <v>383127.2</v>
      </c>
      <c r="BW1142" s="90">
        <v>382824.3</v>
      </c>
      <c r="BX1142" s="90">
        <v>387846.99</v>
      </c>
      <c r="BY1142" s="90">
        <f t="array" ref="BY1142">XLOOKUP(C1142,'PL TOTAL D0'!$A$3:$A$1991,'PL TOTAL D0'!$C$3:$C$1991,"")</f>
        <v>391741.93</v>
      </c>
    </row>
    <row r="1143" ht="15.75" customHeight="1">
      <c r="A1143" s="50" t="s">
        <v>24</v>
      </c>
      <c r="B1143" s="428" t="s">
        <v>9447</v>
      </c>
      <c r="C1143" s="94" t="s">
        <v>9448</v>
      </c>
      <c r="D1143" s="30" t="s">
        <v>120</v>
      </c>
      <c r="E1143" s="22" t="s">
        <v>54</v>
      </c>
      <c r="F1143" s="30" t="s">
        <v>9449</v>
      </c>
      <c r="G1143" s="47" t="str">
        <f t="shared" si="44"/>
        <v>David</v>
      </c>
      <c r="H1143" s="49" t="s">
        <v>224</v>
      </c>
      <c r="I1143" s="49" t="s">
        <v>66</v>
      </c>
      <c r="J1143" s="47" t="str">
        <f t="shared" ref="J1143:J1144" si="50">IF(R1143=0,"Não","Sim")</f>
        <v>Sim</v>
      </c>
      <c r="K1143" s="54">
        <v>45359.0</v>
      </c>
      <c r="L1143" s="55">
        <v>45937.0</v>
      </c>
      <c r="M1143" s="765" t="s">
        <v>209</v>
      </c>
      <c r="N1143" s="766">
        <v>0.015</v>
      </c>
      <c r="O1143" s="767" t="s">
        <v>35</v>
      </c>
      <c r="P1143" s="768">
        <v>0.1</v>
      </c>
      <c r="Q1143" s="58"/>
      <c r="R1143" s="736" t="s">
        <v>9450</v>
      </c>
      <c r="S1143" s="32" t="s">
        <v>194</v>
      </c>
      <c r="T1143" s="22" t="s">
        <v>9451</v>
      </c>
      <c r="U1143" s="33" t="s">
        <v>268</v>
      </c>
      <c r="V1143" s="33"/>
      <c r="W1143" s="33" t="s">
        <v>268</v>
      </c>
      <c r="X1143" s="23" t="s">
        <v>54</v>
      </c>
      <c r="Y1143" s="49" t="str">
        <f t="shared" si="46"/>
        <v>Encerrado</v>
      </c>
      <c r="Z1143" s="62"/>
      <c r="AA1143" s="62"/>
      <c r="AB1143" s="64" t="s">
        <v>269</v>
      </c>
      <c r="AC1143" s="79"/>
      <c r="AD1143" s="54">
        <v>45359.0</v>
      </c>
      <c r="AE1143" s="77">
        <v>4.9075100013896E13</v>
      </c>
      <c r="AF1143" s="79"/>
      <c r="AG1143" s="79"/>
      <c r="AH1143" s="79"/>
      <c r="AI1143" s="79"/>
      <c r="AJ1143" s="79"/>
      <c r="AK1143" s="79"/>
      <c r="AL1143" s="79"/>
      <c r="AM1143" s="79"/>
      <c r="AN1143" s="79"/>
      <c r="AO1143" s="79"/>
      <c r="AP1143" s="79"/>
      <c r="AQ1143" s="79"/>
      <c r="AR1143" s="79"/>
      <c r="AS1143" s="79"/>
      <c r="AT1143" s="79"/>
      <c r="AU1143" s="79"/>
      <c r="AV1143" s="65"/>
      <c r="AW1143" s="65">
        <v>30257.6</v>
      </c>
      <c r="AX1143" s="65">
        <v>30140.2</v>
      </c>
      <c r="AY1143" s="65">
        <v>30118.85</v>
      </c>
      <c r="AZ1143" s="65">
        <v>50.29</v>
      </c>
      <c r="BA1143" s="65">
        <v>50.29</v>
      </c>
      <c r="BB1143" s="65">
        <v>50.63</v>
      </c>
      <c r="BC1143" s="65">
        <v>50.63</v>
      </c>
      <c r="BD1143" s="65">
        <v>50.63</v>
      </c>
      <c r="BE1143" s="65">
        <v>50.63</v>
      </c>
      <c r="BF1143" s="65">
        <v>6.24</v>
      </c>
      <c r="BG1143" s="65">
        <v>6.24</v>
      </c>
      <c r="BH1143" s="65">
        <v>6.24</v>
      </c>
      <c r="BI1143" s="65">
        <v>6.24</v>
      </c>
      <c r="BJ1143" s="65">
        <v>6.24</v>
      </c>
      <c r="BK1143" s="65">
        <v>6.24</v>
      </c>
      <c r="BL1143" s="65">
        <v>0.0</v>
      </c>
      <c r="BM1143" s="65">
        <v>0.0</v>
      </c>
      <c r="BN1143" s="65">
        <v>0.0</v>
      </c>
      <c r="BO1143" s="65">
        <v>0.0</v>
      </c>
      <c r="BP1143" s="65">
        <v>0.0</v>
      </c>
      <c r="BQ1143" s="65">
        <v>0.0</v>
      </c>
      <c r="BR1143" s="65">
        <v>0.0</v>
      </c>
      <c r="BS1143" s="65">
        <v>0.0</v>
      </c>
      <c r="BT1143" s="88">
        <v>0.0</v>
      </c>
      <c r="BU1143" s="65">
        <v>0.0</v>
      </c>
      <c r="BV1143" s="65">
        <v>0.0</v>
      </c>
      <c r="BW1143" s="90">
        <v>0.0</v>
      </c>
      <c r="BX1143" s="90">
        <v>0.0</v>
      </c>
      <c r="BY1143" s="90" t="str">
        <f t="array" ref="BY1143">XLOOKUP(C1143,'PL TOTAL D0'!$A$3:$A$1991,'PL TOTAL D0'!$C$3:$C$1991,"")</f>
        <v/>
      </c>
    </row>
    <row r="1144" ht="15.75" customHeight="1">
      <c r="A1144" s="50" t="s">
        <v>24</v>
      </c>
      <c r="B1144" s="428" t="s">
        <v>9452</v>
      </c>
      <c r="C1144" s="94" t="s">
        <v>2450</v>
      </c>
      <c r="D1144" s="30" t="s">
        <v>53</v>
      </c>
      <c r="E1144" s="22" t="s">
        <v>54</v>
      </c>
      <c r="F1144" s="30" t="s">
        <v>1488</v>
      </c>
      <c r="G1144" s="47" t="str">
        <f t="shared" si="44"/>
        <v>Marcus</v>
      </c>
      <c r="H1144" s="49" t="s">
        <v>183</v>
      </c>
      <c r="I1144" s="49" t="s">
        <v>66</v>
      </c>
      <c r="J1144" s="47" t="str">
        <f t="shared" si="50"/>
        <v>Não</v>
      </c>
      <c r="K1144" s="54">
        <v>46035.0</v>
      </c>
      <c r="L1144" s="55"/>
      <c r="M1144" s="765" t="s">
        <v>1349</v>
      </c>
      <c r="N1144" s="766">
        <v>0.012</v>
      </c>
      <c r="O1144" s="767" t="s">
        <v>66</v>
      </c>
      <c r="P1144" s="768">
        <v>0.0</v>
      </c>
      <c r="Q1144" s="126"/>
      <c r="R1144" s="736"/>
      <c r="S1144" s="32" t="s">
        <v>194</v>
      </c>
      <c r="T1144" s="22" t="s">
        <v>9453</v>
      </c>
      <c r="U1144" s="33" t="s">
        <v>9454</v>
      </c>
      <c r="V1144" s="33" t="s">
        <v>9455</v>
      </c>
      <c r="W1144" s="33">
        <v>24922.0</v>
      </c>
      <c r="X1144" s="23" t="s">
        <v>1586</v>
      </c>
      <c r="Y1144" s="49" t="str">
        <f t="shared" si="46"/>
        <v>Ativo</v>
      </c>
      <c r="Z1144" s="62"/>
      <c r="AA1144" s="62" t="s">
        <v>107</v>
      </c>
      <c r="AB1144" s="64"/>
      <c r="AC1144" s="79"/>
      <c r="AD1144" s="54">
        <v>46203.0</v>
      </c>
      <c r="AE1144" s="77"/>
      <c r="AF1144" s="79"/>
      <c r="AG1144" s="79"/>
      <c r="AH1144" s="79"/>
      <c r="AI1144" s="79"/>
      <c r="AJ1144" s="79"/>
      <c r="AK1144" s="79"/>
      <c r="AL1144" s="79"/>
      <c r="AM1144" s="79"/>
      <c r="AN1144" s="79"/>
      <c r="AO1144" s="79"/>
      <c r="AP1144" s="79"/>
      <c r="AQ1144" s="79"/>
      <c r="AR1144" s="79"/>
      <c r="AS1144" s="79"/>
      <c r="AT1144" s="79"/>
      <c r="AU1144" s="79"/>
      <c r="AV1144" s="65"/>
      <c r="AW1144" s="65"/>
      <c r="AX1144" s="65"/>
      <c r="AY1144" s="65"/>
      <c r="AZ1144" s="65"/>
      <c r="BA1144" s="65"/>
      <c r="BB1144" s="65"/>
      <c r="BC1144" s="65"/>
      <c r="BD1144" s="65"/>
      <c r="BE1144" s="65"/>
      <c r="BF1144" s="65"/>
      <c r="BG1144" s="65"/>
      <c r="BH1144" s="65"/>
      <c r="BI1144" s="65"/>
      <c r="BJ1144" s="65"/>
      <c r="BK1144" s="65"/>
      <c r="BL1144" s="65"/>
      <c r="BM1144" s="65"/>
      <c r="BN1144" s="65"/>
      <c r="BO1144" s="65"/>
      <c r="BP1144" s="65"/>
      <c r="BQ1144" s="65"/>
      <c r="BR1144" s="65"/>
      <c r="BS1144" s="65">
        <v>9538139.33</v>
      </c>
      <c r="BT1144" s="88">
        <v>8522458.0</v>
      </c>
      <c r="BU1144" s="65">
        <v>8598292.0</v>
      </c>
      <c r="BV1144" s="65">
        <v>8675073.0</v>
      </c>
      <c r="BW1144" s="90">
        <v>8749229.0</v>
      </c>
      <c r="BX1144" s="90">
        <v>8806114.95</v>
      </c>
      <c r="BY1144" s="90">
        <f t="array" ref="BY1144">XLOOKUP(C1144,'PL TOTAL D0'!$A$3:$A$1991,'PL TOTAL D0'!$C$3:$C$1991,"")</f>
        <v>8907974.51</v>
      </c>
    </row>
    <row r="1145" ht="15.75" customHeight="1">
      <c r="A1145" s="43" t="s">
        <v>24</v>
      </c>
      <c r="B1145" s="43" t="s">
        <v>9456</v>
      </c>
      <c r="C1145" s="94" t="s">
        <v>9457</v>
      </c>
      <c r="D1145" s="30" t="s">
        <v>120</v>
      </c>
      <c r="E1145" s="22" t="s">
        <v>54</v>
      </c>
      <c r="F1145" s="30" t="s">
        <v>125</v>
      </c>
      <c r="G1145" s="47" t="str">
        <f t="shared" si="44"/>
        <v>David</v>
      </c>
      <c r="H1145" s="49" t="s">
        <v>295</v>
      </c>
      <c r="I1145" s="49" t="s">
        <v>756</v>
      </c>
      <c r="J1145" s="47" t="str">
        <f t="shared" ref="J1145:J1156" si="51">IF(Q1145=0,"Não","Sim")</f>
        <v>Não</v>
      </c>
      <c r="K1145" s="54">
        <v>45343.0</v>
      </c>
      <c r="L1145" s="62"/>
      <c r="M1145" s="32" t="s">
        <v>209</v>
      </c>
      <c r="N1145" s="56">
        <v>0.015</v>
      </c>
      <c r="O1145" s="23" t="s">
        <v>35</v>
      </c>
      <c r="P1145" s="57">
        <v>0.1</v>
      </c>
      <c r="Q1145" s="58"/>
      <c r="R1145" s="635"/>
      <c r="S1145" s="32" t="s">
        <v>194</v>
      </c>
      <c r="T1145" s="32" t="s">
        <v>7580</v>
      </c>
      <c r="U1145" s="33">
        <v>6.2999827782E10</v>
      </c>
      <c r="V1145" s="33" t="s">
        <v>9458</v>
      </c>
      <c r="W1145" s="34">
        <v>30758.0</v>
      </c>
      <c r="X1145" s="23" t="s">
        <v>54</v>
      </c>
      <c r="Y1145" s="49" t="str">
        <f t="shared" si="46"/>
        <v>Inativo</v>
      </c>
      <c r="Z1145" s="62"/>
      <c r="AA1145" s="62"/>
      <c r="AB1145" s="64" t="s">
        <v>269</v>
      </c>
      <c r="AC1145" s="79"/>
      <c r="AD1145" s="54">
        <v>45343.0</v>
      </c>
      <c r="AE1145" s="77">
        <v>4.9075100013519E13</v>
      </c>
      <c r="AF1145" s="79"/>
      <c r="AG1145" s="79"/>
      <c r="AH1145" s="79"/>
      <c r="AI1145" s="79"/>
      <c r="AJ1145" s="79"/>
      <c r="AK1145" s="79"/>
      <c r="AL1145" s="79"/>
      <c r="AM1145" s="79"/>
      <c r="AN1145" s="79"/>
      <c r="AO1145" s="79"/>
      <c r="AP1145" s="79"/>
      <c r="AQ1145" s="79"/>
      <c r="AR1145" s="79"/>
      <c r="AS1145" s="79"/>
      <c r="AT1145" s="79"/>
      <c r="AU1145" s="79"/>
      <c r="AV1145" s="65">
        <v>0.0</v>
      </c>
      <c r="AW1145" s="65">
        <v>0.0</v>
      </c>
      <c r="AX1145" s="65">
        <v>0.0</v>
      </c>
      <c r="AY1145" s="65">
        <v>0.0</v>
      </c>
      <c r="AZ1145" s="65">
        <v>0.0</v>
      </c>
      <c r="BA1145" s="65">
        <v>0.0</v>
      </c>
      <c r="BB1145" s="65">
        <v>0.0</v>
      </c>
      <c r="BC1145" s="65">
        <v>0.0</v>
      </c>
      <c r="BD1145" s="65">
        <v>0.0</v>
      </c>
      <c r="BE1145" s="65">
        <v>0.0</v>
      </c>
      <c r="BF1145" s="65">
        <v>0.0</v>
      </c>
      <c r="BG1145" s="65">
        <v>0.0</v>
      </c>
      <c r="BH1145" s="65">
        <v>0.0</v>
      </c>
      <c r="BI1145" s="65">
        <v>0.0</v>
      </c>
      <c r="BJ1145" s="65">
        <v>0.0</v>
      </c>
      <c r="BK1145" s="65">
        <v>0.0</v>
      </c>
      <c r="BL1145" s="65">
        <v>0.0</v>
      </c>
      <c r="BM1145" s="65">
        <v>0.0</v>
      </c>
      <c r="BN1145" s="65">
        <v>0.0</v>
      </c>
      <c r="BO1145" s="65">
        <v>0.0</v>
      </c>
      <c r="BP1145" s="65">
        <v>0.0</v>
      </c>
      <c r="BQ1145" s="65">
        <v>0.0</v>
      </c>
      <c r="BR1145" s="65">
        <v>0.0</v>
      </c>
      <c r="BS1145" s="65">
        <v>0.0</v>
      </c>
      <c r="BT1145" s="88">
        <v>0.0</v>
      </c>
      <c r="BU1145" s="65">
        <v>0.0</v>
      </c>
      <c r="BV1145" s="65">
        <v>0.0</v>
      </c>
      <c r="BW1145" s="90">
        <v>0.0</v>
      </c>
      <c r="BX1145" s="90">
        <v>0.0</v>
      </c>
      <c r="BY1145" s="90" t="str">
        <f t="array" ref="BY1145">XLOOKUP(C1145,'PL TOTAL D0'!$A$3:$A$1991,'PL TOTAL D0'!$C$3:$C$1991,"")</f>
        <v/>
      </c>
    </row>
    <row r="1146" ht="15.75" customHeight="1">
      <c r="A1146" s="50" t="s">
        <v>24</v>
      </c>
      <c r="B1146" s="50" t="s">
        <v>9459</v>
      </c>
      <c r="C1146" s="94" t="s">
        <v>9460</v>
      </c>
      <c r="D1146" s="81" t="s">
        <v>120</v>
      </c>
      <c r="E1146" s="95" t="s">
        <v>54</v>
      </c>
      <c r="F1146" s="81" t="s">
        <v>125</v>
      </c>
      <c r="G1146" s="47" t="str">
        <f t="shared" si="44"/>
        <v>David</v>
      </c>
      <c r="H1146" s="49" t="s">
        <v>295</v>
      </c>
      <c r="I1146" s="49" t="s">
        <v>382</v>
      </c>
      <c r="J1146" s="47" t="str">
        <f t="shared" si="51"/>
        <v>Sim</v>
      </c>
      <c r="K1146" s="97">
        <v>45128.0</v>
      </c>
      <c r="L1146" s="62"/>
      <c r="M1146" s="62" t="s">
        <v>34</v>
      </c>
      <c r="N1146" s="98">
        <v>0.012</v>
      </c>
      <c r="O1146" s="47" t="s">
        <v>66</v>
      </c>
      <c r="P1146" s="99">
        <v>0.0</v>
      </c>
      <c r="Q1146" s="58" t="s">
        <v>8909</v>
      </c>
      <c r="R1146" s="635"/>
      <c r="S1146" s="62" t="s">
        <v>194</v>
      </c>
      <c r="T1146" s="32" t="s">
        <v>7580</v>
      </c>
      <c r="U1146" s="33">
        <v>6.2999827782E10</v>
      </c>
      <c r="V1146" s="33" t="s">
        <v>9458</v>
      </c>
      <c r="W1146" s="34">
        <v>30758.0</v>
      </c>
      <c r="X1146" s="23" t="s">
        <v>54</v>
      </c>
      <c r="Y1146" s="49" t="str">
        <f t="shared" si="46"/>
        <v>Ativo</v>
      </c>
      <c r="Z1146" s="62"/>
      <c r="AA1146" s="62"/>
      <c r="AB1146" s="64" t="s">
        <v>269</v>
      </c>
      <c r="AC1146" s="79"/>
      <c r="AD1146" s="54">
        <v>45128.0</v>
      </c>
      <c r="AE1146" s="77">
        <v>4.9075100006377E13</v>
      </c>
      <c r="AF1146" s="79"/>
      <c r="AG1146" s="79"/>
      <c r="AH1146" s="79"/>
      <c r="AI1146" s="65">
        <v>149471.69</v>
      </c>
      <c r="AJ1146" s="65">
        <v>68438.77</v>
      </c>
      <c r="AK1146" s="65">
        <v>77064.11</v>
      </c>
      <c r="AL1146" s="65">
        <v>77712.62</v>
      </c>
      <c r="AM1146" s="65">
        <v>47800.97</v>
      </c>
      <c r="AN1146" s="65">
        <v>18.0</v>
      </c>
      <c r="AO1146" s="65">
        <v>601397.66</v>
      </c>
      <c r="AP1146" s="65">
        <v>607906.65</v>
      </c>
      <c r="AQ1146" s="65">
        <v>612646.64</v>
      </c>
      <c r="AR1146" s="65">
        <v>618147.01</v>
      </c>
      <c r="AS1146" s="65">
        <v>622766.58</v>
      </c>
      <c r="AT1146" s="65">
        <v>627726.75</v>
      </c>
      <c r="AU1146" s="65">
        <v>633330.8</v>
      </c>
      <c r="AV1146" s="65">
        <v>638173.66</v>
      </c>
      <c r="AW1146" s="65">
        <v>541516.93</v>
      </c>
      <c r="AX1146" s="65">
        <v>512863.07</v>
      </c>
      <c r="AY1146" s="65">
        <v>452969.4</v>
      </c>
      <c r="AZ1146" s="65">
        <v>456586.9</v>
      </c>
      <c r="BA1146" s="65">
        <v>307188.3</v>
      </c>
      <c r="BB1146" s="65">
        <v>258304.86</v>
      </c>
      <c r="BC1146" s="65">
        <v>259720.72</v>
      </c>
      <c r="BD1146" s="65">
        <v>210525.88</v>
      </c>
      <c r="BE1146" s="65">
        <v>211907.91</v>
      </c>
      <c r="BF1146" s="65">
        <v>172147.39</v>
      </c>
      <c r="BG1146" s="65">
        <v>152859.83</v>
      </c>
      <c r="BH1146" s="65">
        <v>103412.01</v>
      </c>
      <c r="BI1146" s="65">
        <v>104565.93</v>
      </c>
      <c r="BJ1146" s="65">
        <v>105351.17</v>
      </c>
      <c r="BK1146" s="65">
        <v>55288.37</v>
      </c>
      <c r="BL1146" s="65">
        <v>38851.31</v>
      </c>
      <c r="BM1146" s="65">
        <v>39248.4</v>
      </c>
      <c r="BN1146" s="65">
        <v>39613.89</v>
      </c>
      <c r="BO1146" s="65">
        <v>39985.91</v>
      </c>
      <c r="BP1146" s="65">
        <v>40414.14</v>
      </c>
      <c r="BQ1146" s="65">
        <v>40735.11</v>
      </c>
      <c r="BR1146" s="65">
        <v>41139.81</v>
      </c>
      <c r="BS1146" s="65">
        <v>23.14</v>
      </c>
      <c r="BT1146" s="88">
        <v>23.2</v>
      </c>
      <c r="BU1146" s="65">
        <v>23.2</v>
      </c>
      <c r="BV1146" s="65">
        <v>23.2</v>
      </c>
      <c r="BW1146" s="90">
        <v>23.2</v>
      </c>
      <c r="BX1146" s="90">
        <v>23.2</v>
      </c>
      <c r="BY1146" s="90" t="str">
        <f t="array" ref="BY1146">XLOOKUP(C1146,'PL TOTAL D0'!$A$3:$A$1991,'PL TOTAL D0'!$C$3:$C$1991,"")</f>
        <v/>
      </c>
    </row>
    <row r="1147" ht="15.75" customHeight="1">
      <c r="A1147" s="50" t="s">
        <v>24</v>
      </c>
      <c r="B1147" s="188" t="s">
        <v>9461</v>
      </c>
      <c r="C1147" s="94" t="s">
        <v>2661</v>
      </c>
      <c r="D1147" s="30" t="s">
        <v>120</v>
      </c>
      <c r="E1147" s="22" t="s">
        <v>199</v>
      </c>
      <c r="F1147" s="30" t="s">
        <v>290</v>
      </c>
      <c r="G1147" s="47" t="str">
        <f t="shared" si="44"/>
        <v>Marcus</v>
      </c>
      <c r="H1147" s="49" t="s">
        <v>183</v>
      </c>
      <c r="I1147" s="49" t="s">
        <v>66</v>
      </c>
      <c r="J1147" s="47" t="str">
        <f t="shared" si="51"/>
        <v>Não</v>
      </c>
      <c r="K1147" s="54">
        <v>45407.0</v>
      </c>
      <c r="L1147" s="62"/>
      <c r="M1147" s="32" t="s">
        <v>61</v>
      </c>
      <c r="N1147" s="56">
        <v>0.01</v>
      </c>
      <c r="O1147" s="23" t="s">
        <v>66</v>
      </c>
      <c r="P1147" s="57">
        <v>0.0</v>
      </c>
      <c r="Q1147" s="58"/>
      <c r="R1147" s="635"/>
      <c r="S1147" s="32" t="s">
        <v>194</v>
      </c>
      <c r="T1147" s="32" t="s">
        <v>9462</v>
      </c>
      <c r="U1147" s="33">
        <v>5.56199975706E12</v>
      </c>
      <c r="V1147" s="33" t="s">
        <v>9463</v>
      </c>
      <c r="W1147" s="34">
        <v>22838.0</v>
      </c>
      <c r="X1147" s="23" t="s">
        <v>199</v>
      </c>
      <c r="Y1147" s="49" t="str">
        <f t="shared" si="46"/>
        <v>Ativo</v>
      </c>
      <c r="Z1147" s="32"/>
      <c r="AA1147" s="32" t="s">
        <v>47</v>
      </c>
      <c r="AB1147" s="64" t="s">
        <v>269</v>
      </c>
      <c r="AC1147" s="79"/>
      <c r="AD1147" s="54">
        <v>45407.0</v>
      </c>
      <c r="AE1147" s="77">
        <v>4.9075100014183E13</v>
      </c>
      <c r="AF1147" s="79"/>
      <c r="AG1147" s="79"/>
      <c r="AH1147" s="79"/>
      <c r="AI1147" s="79"/>
      <c r="AJ1147" s="79"/>
      <c r="AK1147" s="79"/>
      <c r="AL1147" s="79"/>
      <c r="AM1147" s="79"/>
      <c r="AN1147" s="79"/>
      <c r="AO1147" s="79"/>
      <c r="AP1147" s="79"/>
      <c r="AQ1147" s="79"/>
      <c r="AR1147" s="79"/>
      <c r="AS1147" s="79"/>
      <c r="AT1147" s="79"/>
      <c r="AU1147" s="79"/>
      <c r="AV1147" s="65"/>
      <c r="AW1147" s="65"/>
      <c r="AX1147" s="65">
        <v>130185.26</v>
      </c>
      <c r="AY1147" s="65">
        <v>580240.7</v>
      </c>
      <c r="AZ1147" s="65">
        <v>584977.4</v>
      </c>
      <c r="BA1147" s="65">
        <v>590166.8</v>
      </c>
      <c r="BB1147" s="65">
        <v>595589.86</v>
      </c>
      <c r="BC1147" s="65">
        <v>599749.91</v>
      </c>
      <c r="BD1147" s="65">
        <v>605262.13</v>
      </c>
      <c r="BE1147" s="65">
        <v>609970.81</v>
      </c>
      <c r="BF1147" s="65">
        <v>780867.07</v>
      </c>
      <c r="BG1147" s="65">
        <v>960021.7</v>
      </c>
      <c r="BH1147" s="65">
        <v>969134.76</v>
      </c>
      <c r="BI1147" s="65">
        <v>1003495.56</v>
      </c>
      <c r="BJ1147" s="65">
        <v>1013505.71</v>
      </c>
      <c r="BK1147" s="65">
        <v>1024699.91</v>
      </c>
      <c r="BL1147" s="65">
        <v>1040824.93</v>
      </c>
      <c r="BM1147" s="65">
        <v>1053015.08</v>
      </c>
      <c r="BN1147" s="65">
        <v>1064896.0</v>
      </c>
      <c r="BO1147" s="65">
        <v>1075924.37</v>
      </c>
      <c r="BP1147" s="65">
        <v>1088860.0</v>
      </c>
      <c r="BQ1147" s="65">
        <v>1099453.0</v>
      </c>
      <c r="BR1147" s="65">
        <v>1110833.0</v>
      </c>
      <c r="BS1147" s="65">
        <v>1121598.7</v>
      </c>
      <c r="BT1147" s="88">
        <v>1211752.0</v>
      </c>
      <c r="BU1147" s="65">
        <v>1225611.0</v>
      </c>
      <c r="BV1147" s="65">
        <v>1239349.0</v>
      </c>
      <c r="BW1147" s="90">
        <v>1252802.0</v>
      </c>
      <c r="BX1147" s="90">
        <v>1264954.65</v>
      </c>
      <c r="BY1147" s="90">
        <f t="array" ref="BY1147">XLOOKUP(C1147,'PL TOTAL D0'!$A$3:$A$1991,'PL TOTAL D0'!$C$3:$C$1991,"")</f>
        <v>1280169.58</v>
      </c>
    </row>
    <row r="1148" ht="15.75" customHeight="1">
      <c r="A1148" s="50" t="s">
        <v>24</v>
      </c>
      <c r="B1148" s="39" t="s">
        <v>1686</v>
      </c>
      <c r="C1148" s="94" t="s">
        <v>2750</v>
      </c>
      <c r="D1148" s="30" t="s">
        <v>53</v>
      </c>
      <c r="E1148" s="22" t="s">
        <v>54</v>
      </c>
      <c r="F1148" s="30" t="s">
        <v>401</v>
      </c>
      <c r="G1148" s="47" t="str">
        <f t="shared" si="44"/>
        <v>Gabriel</v>
      </c>
      <c r="H1148" s="49" t="s">
        <v>183</v>
      </c>
      <c r="I1148" s="49" t="s">
        <v>66</v>
      </c>
      <c r="J1148" s="47" t="str">
        <f t="shared" si="51"/>
        <v>Sim</v>
      </c>
      <c r="K1148" s="54">
        <v>45846.0</v>
      </c>
      <c r="L1148" s="121"/>
      <c r="M1148" s="32" t="s">
        <v>61</v>
      </c>
      <c r="N1148" s="56">
        <v>0.012</v>
      </c>
      <c r="O1148" s="23" t="s">
        <v>66</v>
      </c>
      <c r="P1148" s="57">
        <v>0.0</v>
      </c>
      <c r="Q1148" s="58" t="s">
        <v>1687</v>
      </c>
      <c r="R1148" s="736" t="s">
        <v>9464</v>
      </c>
      <c r="S1148" s="21" t="s">
        <v>194</v>
      </c>
      <c r="T1148" s="32" t="s">
        <v>1688</v>
      </c>
      <c r="U1148" s="33">
        <v>6.2981616469E10</v>
      </c>
      <c r="V1148" s="33" t="s">
        <v>9465</v>
      </c>
      <c r="W1148" s="34">
        <v>25279.0</v>
      </c>
      <c r="X1148" s="23" t="s">
        <v>54</v>
      </c>
      <c r="Y1148" s="49" t="str">
        <f t="shared" si="46"/>
        <v>Ativo</v>
      </c>
      <c r="Z1148" s="32"/>
      <c r="AA1148" s="32" t="s">
        <v>47</v>
      </c>
      <c r="AB1148" s="62"/>
      <c r="AC1148" s="79"/>
      <c r="AD1148" s="56"/>
      <c r="AE1148" s="937">
        <v>4.9075100019215E13</v>
      </c>
      <c r="AF1148" s="938">
        <v>0.2</v>
      </c>
      <c r="AG1148" s="939"/>
      <c r="AH1148" s="939"/>
      <c r="AI1148" s="939" t="s">
        <v>194</v>
      </c>
      <c r="AJ1148" s="79"/>
      <c r="AK1148" s="65"/>
      <c r="AL1148" s="65"/>
      <c r="AM1148" s="65"/>
      <c r="AN1148" s="65"/>
      <c r="AO1148" s="65"/>
      <c r="AP1148" s="65"/>
      <c r="AQ1148" s="65"/>
      <c r="AR1148" s="65"/>
      <c r="AS1148" s="65"/>
      <c r="AT1148" s="65"/>
      <c r="AU1148" s="65"/>
      <c r="AV1148" s="65"/>
      <c r="AW1148" s="65"/>
      <c r="AX1148" s="65"/>
      <c r="AY1148" s="65"/>
      <c r="AZ1148" s="65"/>
      <c r="BA1148" s="65"/>
      <c r="BB1148" s="65"/>
      <c r="BC1148" s="65"/>
      <c r="BD1148" s="65"/>
      <c r="BE1148" s="65"/>
      <c r="BF1148" s="65"/>
      <c r="BG1148" s="65"/>
      <c r="BH1148" s="65"/>
      <c r="BI1148" s="65"/>
      <c r="BJ1148" s="65"/>
      <c r="BK1148" s="65"/>
      <c r="BL1148" s="65"/>
      <c r="BM1148" s="65">
        <v>656923.54</v>
      </c>
      <c r="BN1148" s="65">
        <v>664554.0</v>
      </c>
      <c r="BO1148" s="65">
        <v>690726.8</v>
      </c>
      <c r="BP1148" s="65">
        <v>699611.2</v>
      </c>
      <c r="BQ1148" s="65">
        <v>720707.9</v>
      </c>
      <c r="BR1148" s="65">
        <v>747961.6</v>
      </c>
      <c r="BS1148" s="65">
        <v>774735.09</v>
      </c>
      <c r="BT1148" s="88">
        <v>841988.7</v>
      </c>
      <c r="BU1148" s="65">
        <v>857116.6</v>
      </c>
      <c r="BV1148" s="65">
        <v>867265.9</v>
      </c>
      <c r="BW1148" s="90">
        <v>876595.3</v>
      </c>
      <c r="BX1148" s="90">
        <v>883654.66</v>
      </c>
      <c r="BY1148" s="90">
        <f t="array" ref="BY1148">XLOOKUP(C1148,'PL TOTAL D0'!$A$3:$A$1991,'PL TOTAL D0'!$C$3:$C$1991,"")</f>
        <v>890371.95</v>
      </c>
    </row>
    <row r="1149" ht="15.75" customHeight="1">
      <c r="A1149" s="50" t="s">
        <v>24</v>
      </c>
      <c r="B1149" s="176" t="s">
        <v>9466</v>
      </c>
      <c r="C1149" s="94" t="s">
        <v>3185</v>
      </c>
      <c r="D1149" s="30" t="s">
        <v>89</v>
      </c>
      <c r="E1149" s="22" t="s">
        <v>91</v>
      </c>
      <c r="F1149" s="81" t="s">
        <v>193</v>
      </c>
      <c r="G1149" s="47" t="str">
        <f t="shared" si="44"/>
        <v>David</v>
      </c>
      <c r="H1149" s="49" t="s">
        <v>183</v>
      </c>
      <c r="I1149" s="49" t="s">
        <v>66</v>
      </c>
      <c r="J1149" s="47" t="str">
        <f t="shared" si="51"/>
        <v>Sim</v>
      </c>
      <c r="K1149" s="97">
        <v>46127.0</v>
      </c>
      <c r="L1149" s="121"/>
      <c r="M1149" s="62" t="s">
        <v>34</v>
      </c>
      <c r="N1149" s="98">
        <v>0.012</v>
      </c>
      <c r="O1149" s="47" t="s">
        <v>35</v>
      </c>
      <c r="P1149" s="99">
        <v>0.1</v>
      </c>
      <c r="Q1149" s="58" t="s">
        <v>9467</v>
      </c>
      <c r="R1149" s="635"/>
      <c r="S1149" s="62" t="s">
        <v>194</v>
      </c>
      <c r="T1149" s="32" t="s">
        <v>9468</v>
      </c>
      <c r="U1149" s="33" t="s">
        <v>9469</v>
      </c>
      <c r="V1149" s="33" t="s">
        <v>9470</v>
      </c>
      <c r="W1149" s="33">
        <v>22283.0</v>
      </c>
      <c r="X1149" s="23" t="s">
        <v>221</v>
      </c>
      <c r="Y1149" s="49" t="str">
        <f t="shared" si="46"/>
        <v>Ativo</v>
      </c>
      <c r="Z1149" s="62"/>
      <c r="AA1149" s="62" t="s">
        <v>47</v>
      </c>
      <c r="AB1149" s="64"/>
      <c r="AC1149" s="79"/>
      <c r="AD1149" s="54">
        <v>46203.0</v>
      </c>
      <c r="AE1149" s="77"/>
      <c r="AF1149" s="79"/>
      <c r="AG1149" s="79"/>
      <c r="AH1149" s="79"/>
      <c r="AI1149" s="79"/>
      <c r="AJ1149" s="79"/>
      <c r="AK1149" s="65"/>
      <c r="AL1149" s="65"/>
      <c r="AM1149" s="65"/>
      <c r="AN1149" s="65"/>
      <c r="AO1149" s="65"/>
      <c r="AP1149" s="65"/>
      <c r="AQ1149" s="65"/>
      <c r="AR1149" s="65"/>
      <c r="AS1149" s="65"/>
      <c r="AT1149" s="65"/>
      <c r="AU1149" s="65"/>
      <c r="AV1149" s="65"/>
      <c r="AW1149" s="65"/>
      <c r="AX1149" s="65"/>
      <c r="AY1149" s="65"/>
      <c r="AZ1149" s="65"/>
      <c r="BA1149" s="65"/>
      <c r="BB1149" s="65"/>
      <c r="BC1149" s="65"/>
      <c r="BD1149" s="65"/>
      <c r="BE1149" s="65"/>
      <c r="BF1149" s="65"/>
      <c r="BG1149" s="65"/>
      <c r="BH1149" s="65"/>
      <c r="BI1149" s="65"/>
      <c r="BJ1149" s="65"/>
      <c r="BK1149" s="65"/>
      <c r="BL1149" s="65"/>
      <c r="BM1149" s="65"/>
      <c r="BN1149" s="65"/>
      <c r="BO1149" s="65"/>
      <c r="BP1149" s="65"/>
      <c r="BQ1149" s="65"/>
      <c r="BR1149" s="65"/>
      <c r="BS1149" s="65"/>
      <c r="BT1149" s="88"/>
      <c r="BU1149" s="65"/>
      <c r="BV1149" s="65">
        <v>134713.9</v>
      </c>
      <c r="BW1149" s="90">
        <v>135324.7</v>
      </c>
      <c r="BX1149" s="90">
        <v>177211.98</v>
      </c>
      <c r="BY1149" s="90">
        <f t="array" ref="BY1149">XLOOKUP(C1149,'PL TOTAL D0'!$A$3:$A$1991,'PL TOTAL D0'!$C$3:$C$1991,"")</f>
        <v>178890.42</v>
      </c>
    </row>
    <row r="1150" ht="15.75" customHeight="1">
      <c r="A1150" s="50" t="s">
        <v>24</v>
      </c>
      <c r="B1150" s="176" t="s">
        <v>7315</v>
      </c>
      <c r="C1150" s="94" t="s">
        <v>9471</v>
      </c>
      <c r="D1150" s="30" t="s">
        <v>89</v>
      </c>
      <c r="E1150" s="95" t="s">
        <v>91</v>
      </c>
      <c r="F1150" s="81" t="s">
        <v>193</v>
      </c>
      <c r="G1150" s="47" t="str">
        <f t="shared" si="44"/>
        <v>David</v>
      </c>
      <c r="H1150" s="49" t="s">
        <v>224</v>
      </c>
      <c r="I1150" s="49" t="s">
        <v>66</v>
      </c>
      <c r="J1150" s="47" t="str">
        <f t="shared" si="51"/>
        <v>Não</v>
      </c>
      <c r="K1150" s="97">
        <v>45028.0</v>
      </c>
      <c r="L1150" s="121">
        <v>45588.0</v>
      </c>
      <c r="M1150" s="62" t="s">
        <v>361</v>
      </c>
      <c r="N1150" s="98">
        <v>0.02</v>
      </c>
      <c r="O1150" s="47" t="s">
        <v>35</v>
      </c>
      <c r="P1150" s="99">
        <v>0.2</v>
      </c>
      <c r="Q1150" s="58"/>
      <c r="R1150" s="635"/>
      <c r="S1150" s="62" t="s">
        <v>194</v>
      </c>
      <c r="T1150" s="32" t="s">
        <v>7322</v>
      </c>
      <c r="U1150" s="33" t="s">
        <v>268</v>
      </c>
      <c r="V1150" s="33"/>
      <c r="W1150" s="33" t="s">
        <v>268</v>
      </c>
      <c r="X1150" s="23" t="s">
        <v>221</v>
      </c>
      <c r="Y1150" s="49" t="str">
        <f t="shared" si="46"/>
        <v>Encerrado</v>
      </c>
      <c r="Z1150" s="62"/>
      <c r="AA1150" s="62"/>
      <c r="AB1150" s="64" t="s">
        <v>269</v>
      </c>
      <c r="AC1150" s="79"/>
      <c r="AD1150" s="54">
        <v>45028.0</v>
      </c>
      <c r="AE1150" s="77">
        <v>4.9075100009783E13</v>
      </c>
      <c r="AF1150" s="79"/>
      <c r="AG1150" s="79"/>
      <c r="AH1150" s="79"/>
      <c r="AI1150" s="79"/>
      <c r="AJ1150" s="79"/>
      <c r="AK1150" s="65">
        <v>0.0</v>
      </c>
      <c r="AL1150" s="65">
        <v>1051542.11</v>
      </c>
      <c r="AM1150" s="65">
        <v>1072991.87</v>
      </c>
      <c r="AN1150" s="65">
        <v>1108291.77</v>
      </c>
      <c r="AO1150" s="65">
        <v>1131931.21</v>
      </c>
      <c r="AP1150" s="65">
        <v>1264482.79</v>
      </c>
      <c r="AQ1150" s="65">
        <v>1318461.24</v>
      </c>
      <c r="AR1150" s="65">
        <v>1302805.8</v>
      </c>
      <c r="AS1150" s="65">
        <v>1345901.43</v>
      </c>
      <c r="AT1150" s="65">
        <v>1377518.79</v>
      </c>
      <c r="AU1150" s="65">
        <v>1336013.41</v>
      </c>
      <c r="AV1150" s="65">
        <v>1346585.46</v>
      </c>
      <c r="AW1150" s="65">
        <v>1365082.92</v>
      </c>
      <c r="AX1150" s="65">
        <v>1342663.48</v>
      </c>
      <c r="AY1150" s="65">
        <v>1323380.0</v>
      </c>
      <c r="AZ1150" s="65">
        <v>1329377.0</v>
      </c>
      <c r="BA1150" s="65">
        <v>1351289.0</v>
      </c>
      <c r="BB1150" s="65">
        <v>1369221.66</v>
      </c>
      <c r="BC1150" s="65">
        <v>1360276.23</v>
      </c>
      <c r="BD1150" s="65">
        <v>0.0</v>
      </c>
      <c r="BE1150" s="65">
        <v>0.0</v>
      </c>
      <c r="BF1150" s="65">
        <v>0.0</v>
      </c>
      <c r="BG1150" s="65">
        <v>0.0</v>
      </c>
      <c r="BH1150" s="65">
        <v>0.0</v>
      </c>
      <c r="BI1150" s="65">
        <v>0.0</v>
      </c>
      <c r="BJ1150" s="65">
        <v>0.0</v>
      </c>
      <c r="BK1150" s="65">
        <v>0.0</v>
      </c>
      <c r="BL1150" s="65">
        <v>0.0</v>
      </c>
      <c r="BM1150" s="65">
        <v>0.0</v>
      </c>
      <c r="BN1150" s="65">
        <v>0.0</v>
      </c>
      <c r="BO1150" s="65">
        <v>0.0</v>
      </c>
      <c r="BP1150" s="65">
        <v>0.0</v>
      </c>
      <c r="BQ1150" s="65">
        <v>0.0</v>
      </c>
      <c r="BR1150" s="65">
        <v>0.0</v>
      </c>
      <c r="BS1150" s="65">
        <v>0.0</v>
      </c>
      <c r="BT1150" s="88">
        <v>0.0</v>
      </c>
      <c r="BU1150" s="65">
        <v>0.0</v>
      </c>
      <c r="BV1150" s="65">
        <v>0.0</v>
      </c>
      <c r="BW1150" s="90">
        <v>0.0</v>
      </c>
      <c r="BX1150" s="90">
        <v>0.0</v>
      </c>
      <c r="BY1150" s="90" t="str">
        <f t="array" ref="BY1150">XLOOKUP(C1150,'PL TOTAL D0'!$A$3:$A$1991,'PL TOTAL D0'!$C$3:$C$1991,"")</f>
        <v/>
      </c>
    </row>
    <row r="1151" ht="15.75" customHeight="1">
      <c r="A1151" s="50" t="s">
        <v>24</v>
      </c>
      <c r="B1151" s="39" t="s">
        <v>7315</v>
      </c>
      <c r="C1151" s="94" t="s">
        <v>2679</v>
      </c>
      <c r="D1151" s="30" t="s">
        <v>89</v>
      </c>
      <c r="E1151" s="95" t="s">
        <v>91</v>
      </c>
      <c r="F1151" s="81" t="s">
        <v>193</v>
      </c>
      <c r="G1151" s="47" t="str">
        <f t="shared" si="44"/>
        <v>Marcus</v>
      </c>
      <c r="H1151" s="49" t="s">
        <v>183</v>
      </c>
      <c r="I1151" s="49" t="s">
        <v>66</v>
      </c>
      <c r="J1151" s="47" t="str">
        <f t="shared" si="51"/>
        <v>Não</v>
      </c>
      <c r="K1151" s="54">
        <v>45630.0</v>
      </c>
      <c r="L1151" s="121"/>
      <c r="M1151" s="32" t="s">
        <v>1360</v>
      </c>
      <c r="N1151" s="56">
        <v>0.015</v>
      </c>
      <c r="O1151" s="23" t="s">
        <v>66</v>
      </c>
      <c r="P1151" s="57">
        <v>0.0</v>
      </c>
      <c r="Q1151" s="58"/>
      <c r="R1151" s="635"/>
      <c r="S1151" s="32" t="s">
        <v>194</v>
      </c>
      <c r="T1151" s="32" t="s">
        <v>7322</v>
      </c>
      <c r="U1151" s="33">
        <v>5.543999950327E12</v>
      </c>
      <c r="V1151" s="33" t="s">
        <v>9472</v>
      </c>
      <c r="W1151" s="34">
        <v>24243.0</v>
      </c>
      <c r="X1151" s="23" t="s">
        <v>221</v>
      </c>
      <c r="Y1151" s="49" t="str">
        <f t="shared" si="46"/>
        <v>Ativo</v>
      </c>
      <c r="Z1151" s="62"/>
      <c r="AA1151" s="32" t="s">
        <v>47</v>
      </c>
      <c r="AB1151" s="64"/>
      <c r="AC1151" s="79"/>
      <c r="AD1151" s="54">
        <v>45665.0</v>
      </c>
      <c r="AE1151" s="77">
        <v>4.9075100017735E13</v>
      </c>
      <c r="AF1151" s="79"/>
      <c r="AG1151" s="79"/>
      <c r="AH1151" s="79"/>
      <c r="AI1151" s="79"/>
      <c r="AJ1151" s="79"/>
      <c r="AK1151" s="65"/>
      <c r="AL1151" s="65"/>
      <c r="AM1151" s="65"/>
      <c r="AN1151" s="65"/>
      <c r="AO1151" s="65"/>
      <c r="AP1151" s="65"/>
      <c r="AQ1151" s="65"/>
      <c r="AR1151" s="65"/>
      <c r="AS1151" s="65"/>
      <c r="AT1151" s="65"/>
      <c r="AU1151" s="65"/>
      <c r="AV1151" s="65"/>
      <c r="AW1151" s="65"/>
      <c r="AX1151" s="65"/>
      <c r="AY1151" s="65"/>
      <c r="AZ1151" s="65"/>
      <c r="BA1151" s="65"/>
      <c r="BB1151" s="65"/>
      <c r="BC1151" s="65"/>
      <c r="BD1151" s="65"/>
      <c r="BE1151" s="65"/>
      <c r="BF1151" s="65">
        <v>0.0</v>
      </c>
      <c r="BG1151" s="65">
        <v>1425083.48</v>
      </c>
      <c r="BH1151" s="65">
        <v>1437953.24</v>
      </c>
      <c r="BI1151" s="65">
        <v>1163530.49</v>
      </c>
      <c r="BJ1151" s="65">
        <v>1184565.85</v>
      </c>
      <c r="BK1151" s="65">
        <v>1207343.69</v>
      </c>
      <c r="BL1151" s="65">
        <v>1217616.59</v>
      </c>
      <c r="BM1151" s="65">
        <v>1237297.86</v>
      </c>
      <c r="BN1151" s="65">
        <v>1246283.0</v>
      </c>
      <c r="BO1151" s="65">
        <v>1258793.3</v>
      </c>
      <c r="BP1151" s="65">
        <v>1277428.0</v>
      </c>
      <c r="BQ1151" s="65">
        <v>1282773.0</v>
      </c>
      <c r="BR1151" s="65">
        <v>1298269.0</v>
      </c>
      <c r="BS1151" s="65">
        <v>1134976.32</v>
      </c>
      <c r="BT1151" s="88">
        <v>1135704.0</v>
      </c>
      <c r="BU1151" s="65">
        <v>1144774.0</v>
      </c>
      <c r="BV1151" s="65">
        <v>1156813.0</v>
      </c>
      <c r="BW1151" s="90">
        <v>1169809.0</v>
      </c>
      <c r="BX1151" s="90">
        <v>1227278.96</v>
      </c>
      <c r="BY1151" s="90">
        <f t="array" ref="BY1151">XLOOKUP(C1151,'PL TOTAL D0'!$A$3:$A$1991,'PL TOTAL D0'!$C$3:$C$1991,"")</f>
        <v>1198260.5</v>
      </c>
    </row>
    <row r="1152" ht="15.75" customHeight="1">
      <c r="A1152" s="50" t="s">
        <v>24</v>
      </c>
      <c r="B1152" s="50" t="s">
        <v>7606</v>
      </c>
      <c r="C1152" s="94" t="s">
        <v>9473</v>
      </c>
      <c r="D1152" s="81" t="s">
        <v>255</v>
      </c>
      <c r="E1152" s="95" t="s">
        <v>199</v>
      </c>
      <c r="F1152" s="81" t="s">
        <v>1369</v>
      </c>
      <c r="G1152" s="47" t="str">
        <f t="shared" si="44"/>
        <v>David</v>
      </c>
      <c r="H1152" s="49" t="s">
        <v>224</v>
      </c>
      <c r="I1152" s="49" t="s">
        <v>66</v>
      </c>
      <c r="J1152" s="47" t="str">
        <f t="shared" si="51"/>
        <v>Não</v>
      </c>
      <c r="K1152" s="97">
        <v>44946.0</v>
      </c>
      <c r="L1152" s="55">
        <v>45539.0</v>
      </c>
      <c r="M1152" s="62" t="s">
        <v>61</v>
      </c>
      <c r="N1152" s="98">
        <v>0.01</v>
      </c>
      <c r="O1152" s="47" t="s">
        <v>66</v>
      </c>
      <c r="P1152" s="99">
        <v>0.0</v>
      </c>
      <c r="Q1152" s="58"/>
      <c r="R1152" s="635"/>
      <c r="S1152" s="62" t="s">
        <v>194</v>
      </c>
      <c r="T1152" s="32" t="s">
        <v>7605</v>
      </c>
      <c r="U1152" s="33" t="s">
        <v>268</v>
      </c>
      <c r="V1152" s="33"/>
      <c r="W1152" s="33" t="s">
        <v>268</v>
      </c>
      <c r="X1152" s="23" t="s">
        <v>199</v>
      </c>
      <c r="Y1152" s="49" t="str">
        <f t="shared" si="46"/>
        <v>Encerrado</v>
      </c>
      <c r="Z1152" s="62"/>
      <c r="AA1152" s="62"/>
      <c r="AB1152" s="64" t="s">
        <v>269</v>
      </c>
      <c r="AC1152" s="79"/>
      <c r="AD1152" s="54">
        <v>44946.0</v>
      </c>
      <c r="AE1152" s="77">
        <v>4.9075100006385E13</v>
      </c>
      <c r="AF1152" s="79"/>
      <c r="AG1152" s="79"/>
      <c r="AH1152" s="79"/>
      <c r="AI1152" s="65">
        <v>591230.5</v>
      </c>
      <c r="AJ1152" s="65">
        <v>596444.02</v>
      </c>
      <c r="AK1152" s="65">
        <v>638672.4</v>
      </c>
      <c r="AL1152" s="65">
        <v>654204.69</v>
      </c>
      <c r="AM1152" s="65">
        <v>686212.09</v>
      </c>
      <c r="AN1152" s="65">
        <v>731399.04</v>
      </c>
      <c r="AO1152" s="65">
        <v>737658.93</v>
      </c>
      <c r="AP1152" s="65">
        <v>763934.31</v>
      </c>
      <c r="AQ1152" s="65">
        <v>787241.26</v>
      </c>
      <c r="AR1152" s="65">
        <v>792816.03</v>
      </c>
      <c r="AS1152" s="65">
        <v>890006.33</v>
      </c>
      <c r="AT1152" s="65">
        <v>922848.65</v>
      </c>
      <c r="AU1152" s="65">
        <v>938170.02</v>
      </c>
      <c r="AV1152" s="65">
        <v>1094891.09</v>
      </c>
      <c r="AW1152" s="65">
        <v>1698417.81</v>
      </c>
      <c r="AX1152" s="65">
        <v>1794172.48</v>
      </c>
      <c r="AY1152" s="65">
        <v>1808130.0</v>
      </c>
      <c r="AZ1152" s="65">
        <v>1883765.0</v>
      </c>
      <c r="BA1152" s="65">
        <v>1908990.0</v>
      </c>
      <c r="BB1152" s="65">
        <v>1927827.5</v>
      </c>
      <c r="BC1152" s="65">
        <v>0.0</v>
      </c>
      <c r="BD1152" s="65">
        <v>0.0</v>
      </c>
      <c r="BE1152" s="65">
        <v>0.0</v>
      </c>
      <c r="BF1152" s="65">
        <v>0.0</v>
      </c>
      <c r="BG1152" s="65">
        <v>0.0</v>
      </c>
      <c r="BH1152" s="65">
        <v>0.0</v>
      </c>
      <c r="BI1152" s="65">
        <v>0.0</v>
      </c>
      <c r="BJ1152" s="65">
        <v>0.0</v>
      </c>
      <c r="BK1152" s="65">
        <v>0.0</v>
      </c>
      <c r="BL1152" s="65">
        <v>0.0</v>
      </c>
      <c r="BM1152" s="65">
        <v>0.0</v>
      </c>
      <c r="BN1152" s="65">
        <v>0.0</v>
      </c>
      <c r="BO1152" s="65">
        <v>0.0</v>
      </c>
      <c r="BP1152" s="65">
        <v>0.0</v>
      </c>
      <c r="BQ1152" s="65">
        <v>0.0</v>
      </c>
      <c r="BR1152" s="65">
        <v>0.0</v>
      </c>
      <c r="BS1152" s="65">
        <v>0.0</v>
      </c>
      <c r="BT1152" s="88">
        <v>0.0</v>
      </c>
      <c r="BU1152" s="65">
        <v>0.0</v>
      </c>
      <c r="BV1152" s="65">
        <v>0.0</v>
      </c>
      <c r="BW1152" s="90">
        <v>0.0</v>
      </c>
      <c r="BX1152" s="90">
        <v>0.0</v>
      </c>
      <c r="BY1152" s="90" t="str">
        <f t="array" ref="BY1152">XLOOKUP(C1152,'PL TOTAL D0'!$A$3:$A$1991,'PL TOTAL D0'!$C$3:$C$1991,"")</f>
        <v/>
      </c>
    </row>
    <row r="1153" ht="15.75" customHeight="1">
      <c r="A1153" s="50" t="s">
        <v>24</v>
      </c>
      <c r="B1153" s="39" t="s">
        <v>9474</v>
      </c>
      <c r="C1153" s="94" t="s">
        <v>9475</v>
      </c>
      <c r="D1153" s="30" t="s">
        <v>255</v>
      </c>
      <c r="E1153" s="22" t="s">
        <v>199</v>
      </c>
      <c r="F1153" s="30" t="s">
        <v>3611</v>
      </c>
      <c r="G1153" s="47" t="str">
        <f t="shared" si="44"/>
        <v>David</v>
      </c>
      <c r="H1153" s="49" t="s">
        <v>224</v>
      </c>
      <c r="I1153" s="49" t="s">
        <v>66</v>
      </c>
      <c r="J1153" s="47" t="str">
        <f t="shared" si="51"/>
        <v>Não</v>
      </c>
      <c r="K1153" s="54">
        <v>45575.0</v>
      </c>
      <c r="L1153" s="121">
        <v>45590.0</v>
      </c>
      <c r="M1153" s="32" t="s">
        <v>201</v>
      </c>
      <c r="N1153" s="56">
        <v>0.003</v>
      </c>
      <c r="O1153" s="23" t="s">
        <v>66</v>
      </c>
      <c r="P1153" s="57">
        <v>0.0</v>
      </c>
      <c r="Q1153" s="58"/>
      <c r="R1153" s="635"/>
      <c r="S1153" s="32" t="s">
        <v>194</v>
      </c>
      <c r="T1153" s="32" t="s">
        <v>9476</v>
      </c>
      <c r="U1153" s="33" t="s">
        <v>268</v>
      </c>
      <c r="V1153" s="33"/>
      <c r="W1153" s="33" t="s">
        <v>268</v>
      </c>
      <c r="X1153" s="23" t="s">
        <v>618</v>
      </c>
      <c r="Y1153" s="49" t="str">
        <f t="shared" si="46"/>
        <v>Encerrado</v>
      </c>
      <c r="Z1153" s="62"/>
      <c r="AA1153" s="32" t="s">
        <v>47</v>
      </c>
      <c r="AB1153" s="64"/>
      <c r="AC1153" s="79"/>
      <c r="AD1153" s="54"/>
      <c r="AE1153" s="77"/>
      <c r="AF1153" s="79"/>
      <c r="AG1153" s="79"/>
      <c r="AH1153" s="79"/>
      <c r="AI1153" s="79"/>
      <c r="AJ1153" s="79"/>
      <c r="AK1153" s="65"/>
      <c r="AL1153" s="65"/>
      <c r="AM1153" s="65"/>
      <c r="AN1153" s="65"/>
      <c r="AO1153" s="65"/>
      <c r="AP1153" s="65"/>
      <c r="AQ1153" s="65"/>
      <c r="AR1153" s="65"/>
      <c r="AS1153" s="65"/>
      <c r="AT1153" s="65"/>
      <c r="AU1153" s="65"/>
      <c r="AV1153" s="65"/>
      <c r="AW1153" s="65"/>
      <c r="AX1153" s="65"/>
      <c r="AY1153" s="65"/>
      <c r="AZ1153" s="65"/>
      <c r="BA1153" s="65"/>
      <c r="BB1153" s="65"/>
      <c r="BC1153" s="65"/>
      <c r="BD1153" s="65">
        <v>0.0</v>
      </c>
      <c r="BE1153" s="65">
        <v>0.0</v>
      </c>
      <c r="BF1153" s="65">
        <v>0.0</v>
      </c>
      <c r="BG1153" s="65">
        <v>0.0</v>
      </c>
      <c r="BH1153" s="65">
        <v>0.0</v>
      </c>
      <c r="BI1153" s="65">
        <v>0.0</v>
      </c>
      <c r="BJ1153" s="65">
        <v>0.0</v>
      </c>
      <c r="BK1153" s="65">
        <v>0.0</v>
      </c>
      <c r="BL1153" s="65">
        <v>0.0</v>
      </c>
      <c r="BM1153" s="65">
        <v>0.0</v>
      </c>
      <c r="BN1153" s="65">
        <v>0.0</v>
      </c>
      <c r="BO1153" s="65">
        <v>0.0</v>
      </c>
      <c r="BP1153" s="65">
        <v>0.0</v>
      </c>
      <c r="BQ1153" s="65">
        <v>0.0</v>
      </c>
      <c r="BR1153" s="65">
        <v>0.0</v>
      </c>
      <c r="BS1153" s="65">
        <v>0.0</v>
      </c>
      <c r="BT1153" s="88">
        <v>0.0</v>
      </c>
      <c r="BU1153" s="65">
        <v>0.0</v>
      </c>
      <c r="BV1153" s="65">
        <v>0.0</v>
      </c>
      <c r="BW1153" s="90">
        <v>0.0</v>
      </c>
      <c r="BX1153" s="90">
        <v>0.0</v>
      </c>
      <c r="BY1153" s="90" t="str">
        <f t="array" ref="BY1153">XLOOKUP(C1153,'PL TOTAL D0'!$A$3:$A$1991,'PL TOTAL D0'!$C$3:$C$1991,"")</f>
        <v/>
      </c>
    </row>
    <row r="1154" ht="15.75" customHeight="1">
      <c r="A1154" s="50" t="s">
        <v>24</v>
      </c>
      <c r="B1154" s="43" t="s">
        <v>9477</v>
      </c>
      <c r="C1154" s="94" t="s">
        <v>9478</v>
      </c>
      <c r="D1154" s="30" t="s">
        <v>120</v>
      </c>
      <c r="E1154" s="22" t="s">
        <v>199</v>
      </c>
      <c r="F1154" s="30" t="s">
        <v>332</v>
      </c>
      <c r="G1154" s="47" t="str">
        <f t="shared" si="44"/>
        <v>David</v>
      </c>
      <c r="H1154" s="49" t="s">
        <v>295</v>
      </c>
      <c r="I1154" s="49" t="s">
        <v>382</v>
      </c>
      <c r="J1154" s="47" t="str">
        <f t="shared" si="51"/>
        <v>Não</v>
      </c>
      <c r="K1154" s="54">
        <v>45520.0</v>
      </c>
      <c r="L1154" s="62"/>
      <c r="M1154" s="32" t="s">
        <v>61</v>
      </c>
      <c r="N1154" s="56">
        <v>0.012</v>
      </c>
      <c r="O1154" s="23" t="s">
        <v>66</v>
      </c>
      <c r="P1154" s="57">
        <v>0.0</v>
      </c>
      <c r="Q1154" s="58"/>
      <c r="R1154" s="635"/>
      <c r="S1154" s="32" t="s">
        <v>194</v>
      </c>
      <c r="T1154" s="32" t="s">
        <v>9479</v>
      </c>
      <c r="U1154" s="33">
        <v>5.561984006414E12</v>
      </c>
      <c r="V1154" s="33" t="s">
        <v>9480</v>
      </c>
      <c r="W1154" s="34">
        <v>23392.0</v>
      </c>
      <c r="X1154" s="23" t="s">
        <v>199</v>
      </c>
      <c r="Y1154" s="49" t="str">
        <f t="shared" si="46"/>
        <v>Ativo</v>
      </c>
      <c r="Z1154" s="32"/>
      <c r="AA1154" s="32" t="s">
        <v>165</v>
      </c>
      <c r="AB1154" s="64" t="s">
        <v>244</v>
      </c>
      <c r="AC1154" s="79"/>
      <c r="AD1154" s="54">
        <v>45539.0</v>
      </c>
      <c r="AE1154" s="77">
        <v>4.9075100015831E13</v>
      </c>
      <c r="AF1154" s="79"/>
      <c r="AG1154" s="79"/>
      <c r="AH1154" s="79"/>
      <c r="AI1154" s="79"/>
      <c r="AJ1154" s="79"/>
      <c r="AK1154" s="79"/>
      <c r="AL1154" s="79"/>
      <c r="AM1154" s="79"/>
      <c r="AN1154" s="79"/>
      <c r="AO1154" s="79"/>
      <c r="AP1154" s="79"/>
      <c r="AQ1154" s="79"/>
      <c r="AR1154" s="79"/>
      <c r="AS1154" s="79"/>
      <c r="AT1154" s="79"/>
      <c r="AU1154" s="79"/>
      <c r="AV1154" s="65"/>
      <c r="AW1154" s="65"/>
      <c r="AX1154" s="65"/>
      <c r="AY1154" s="65"/>
      <c r="AZ1154" s="65"/>
      <c r="BA1154" s="65"/>
      <c r="BB1154" s="65">
        <v>0.0</v>
      </c>
      <c r="BC1154" s="65">
        <v>30.0</v>
      </c>
      <c r="BD1154" s="65">
        <v>30.0</v>
      </c>
      <c r="BE1154" s="65">
        <v>30.0</v>
      </c>
      <c r="BF1154" s="65">
        <v>30.0</v>
      </c>
      <c r="BG1154" s="65">
        <v>30.0</v>
      </c>
      <c r="BH1154" s="65">
        <v>30.0</v>
      </c>
      <c r="BI1154" s="65">
        <v>30.0</v>
      </c>
      <c r="BJ1154" s="65">
        <v>30.0</v>
      </c>
      <c r="BK1154" s="65">
        <v>30.0</v>
      </c>
      <c r="BL1154" s="65">
        <v>30.0</v>
      </c>
      <c r="BM1154" s="65">
        <v>30.0</v>
      </c>
      <c r="BN1154" s="65">
        <v>30.0</v>
      </c>
      <c r="BO1154" s="65">
        <v>30.0</v>
      </c>
      <c r="BP1154" s="65">
        <v>30.0</v>
      </c>
      <c r="BQ1154" s="65">
        <v>30.0</v>
      </c>
      <c r="BR1154" s="65">
        <v>30.0</v>
      </c>
      <c r="BS1154" s="65">
        <v>30.0</v>
      </c>
      <c r="BT1154" s="88">
        <v>30.0</v>
      </c>
      <c r="BU1154" s="65">
        <v>30.0</v>
      </c>
      <c r="BV1154" s="65">
        <v>30.0</v>
      </c>
      <c r="BW1154" s="90">
        <v>30.0</v>
      </c>
      <c r="BX1154" s="90">
        <v>30.0</v>
      </c>
      <c r="BY1154" s="90" t="str">
        <f t="array" ref="BY1154">XLOOKUP(C1154,'PL TOTAL D0'!$A$3:$A$1991,'PL TOTAL D0'!$C$3:$C$1991,"")</f>
        <v/>
      </c>
    </row>
    <row r="1155" ht="15.75" customHeight="1">
      <c r="A1155" s="50" t="s">
        <v>24</v>
      </c>
      <c r="B1155" s="50" t="s">
        <v>9481</v>
      </c>
      <c r="C1155" s="94" t="s">
        <v>9482</v>
      </c>
      <c r="D1155" s="81" t="s">
        <v>120</v>
      </c>
      <c r="E1155" s="95" t="s">
        <v>54</v>
      </c>
      <c r="F1155" s="81" t="s">
        <v>348</v>
      </c>
      <c r="G1155" s="47" t="str">
        <f t="shared" si="44"/>
        <v>David</v>
      </c>
      <c r="H1155" s="49" t="s">
        <v>295</v>
      </c>
      <c r="I1155" s="49" t="s">
        <v>382</v>
      </c>
      <c r="J1155" s="47" t="str">
        <f t="shared" si="51"/>
        <v>Não</v>
      </c>
      <c r="K1155" s="97">
        <v>44994.0</v>
      </c>
      <c r="L1155" s="62"/>
      <c r="M1155" s="62" t="s">
        <v>209</v>
      </c>
      <c r="N1155" s="98">
        <v>0.015</v>
      </c>
      <c r="O1155" s="47" t="s">
        <v>35</v>
      </c>
      <c r="P1155" s="99">
        <v>0.1</v>
      </c>
      <c r="Q1155" s="58"/>
      <c r="R1155" s="635"/>
      <c r="S1155" s="62" t="s">
        <v>194</v>
      </c>
      <c r="T1155" s="32" t="s">
        <v>9483</v>
      </c>
      <c r="U1155" s="33">
        <v>5.562997022555E12</v>
      </c>
      <c r="V1155" s="33" t="s">
        <v>9484</v>
      </c>
      <c r="W1155" s="34">
        <v>25385.0</v>
      </c>
      <c r="X1155" s="23" t="s">
        <v>54</v>
      </c>
      <c r="Y1155" s="49" t="str">
        <f t="shared" si="46"/>
        <v>Ativo</v>
      </c>
      <c r="Z1155" s="62"/>
      <c r="AA1155" s="62"/>
      <c r="AB1155" s="64" t="s">
        <v>269</v>
      </c>
      <c r="AC1155" s="79"/>
      <c r="AD1155" s="54">
        <v>44994.0</v>
      </c>
      <c r="AE1155" s="77">
        <v>4.9075100008159E13</v>
      </c>
      <c r="AF1155" s="79"/>
      <c r="AG1155" s="79"/>
      <c r="AH1155" s="79"/>
      <c r="AI1155" s="79"/>
      <c r="AJ1155" s="65">
        <v>0.0</v>
      </c>
      <c r="AK1155" s="65">
        <v>317061.28</v>
      </c>
      <c r="AL1155" s="65">
        <v>318570.65</v>
      </c>
      <c r="AM1155" s="65">
        <v>324898.95</v>
      </c>
      <c r="AN1155" s="65">
        <v>353373.86</v>
      </c>
      <c r="AO1155" s="65">
        <v>363060.22</v>
      </c>
      <c r="AP1155" s="65">
        <v>325564.92</v>
      </c>
      <c r="AQ1155" s="65">
        <v>315676.05</v>
      </c>
      <c r="AR1155" s="65">
        <v>263943.59</v>
      </c>
      <c r="AS1155" s="65">
        <v>218096.86</v>
      </c>
      <c r="AT1155" s="65">
        <v>221499.27</v>
      </c>
      <c r="AU1155" s="65">
        <v>246251.74</v>
      </c>
      <c r="AV1155" s="65">
        <v>248711.33</v>
      </c>
      <c r="AW1155" s="65">
        <v>241158.97</v>
      </c>
      <c r="AX1155" s="65">
        <v>239523.79</v>
      </c>
      <c r="AY1155" s="65">
        <v>238803.5</v>
      </c>
      <c r="AZ1155" s="65">
        <v>239864.0</v>
      </c>
      <c r="BA1155" s="65">
        <v>242943.7</v>
      </c>
      <c r="BB1155" s="65">
        <v>205446.59</v>
      </c>
      <c r="BC1155" s="65">
        <v>21901.98</v>
      </c>
      <c r="BD1155" s="65">
        <v>22101.93</v>
      </c>
      <c r="BE1155" s="65">
        <v>20155.68</v>
      </c>
      <c r="BF1155" s="65">
        <v>16497.75</v>
      </c>
      <c r="BG1155" s="65">
        <v>16565.2</v>
      </c>
      <c r="BH1155" s="65">
        <v>16762.51</v>
      </c>
      <c r="BI1155" s="65">
        <v>16876.4</v>
      </c>
      <c r="BJ1155" s="65">
        <v>16997.46</v>
      </c>
      <c r="BK1155" s="65">
        <v>17125.18</v>
      </c>
      <c r="BL1155" s="65">
        <v>17082.94</v>
      </c>
      <c r="BM1155" s="65">
        <v>17270.57</v>
      </c>
      <c r="BN1155" s="65">
        <v>16591.99</v>
      </c>
      <c r="BO1155" s="65">
        <v>16727.23</v>
      </c>
      <c r="BP1155" s="65">
        <v>91.31</v>
      </c>
      <c r="BQ1155" s="65">
        <v>91.31</v>
      </c>
      <c r="BR1155" s="65">
        <v>91.31</v>
      </c>
      <c r="BS1155" s="65">
        <v>91.31</v>
      </c>
      <c r="BT1155" s="88">
        <v>91.31</v>
      </c>
      <c r="BU1155" s="65">
        <v>91.31</v>
      </c>
      <c r="BV1155" s="65">
        <v>91.31</v>
      </c>
      <c r="BW1155" s="90">
        <v>91.31</v>
      </c>
      <c r="BX1155" s="90">
        <v>91.31</v>
      </c>
      <c r="BY1155" s="90" t="str">
        <f t="array" ref="BY1155">XLOOKUP(C1155,'PL TOTAL D0'!$A$3:$A$1991,'PL TOTAL D0'!$C$3:$C$1991,"")</f>
        <v/>
      </c>
    </row>
    <row r="1156" ht="15.75" customHeight="1">
      <c r="A1156" s="50" t="s">
        <v>24</v>
      </c>
      <c r="B1156" s="43" t="s">
        <v>9485</v>
      </c>
      <c r="C1156" s="53" t="s">
        <v>2498</v>
      </c>
      <c r="D1156" s="30" t="s">
        <v>53</v>
      </c>
      <c r="E1156" s="22" t="s">
        <v>54</v>
      </c>
      <c r="F1156" s="30" t="s">
        <v>55</v>
      </c>
      <c r="G1156" s="47" t="str">
        <f t="shared" si="44"/>
        <v>David</v>
      </c>
      <c r="H1156" s="49" t="s">
        <v>183</v>
      </c>
      <c r="I1156" s="49" t="s">
        <v>66</v>
      </c>
      <c r="J1156" s="47" t="str">
        <f t="shared" si="51"/>
        <v>Não</v>
      </c>
      <c r="K1156" s="54">
        <v>46219.0</v>
      </c>
      <c r="L1156" s="62"/>
      <c r="M1156" s="32" t="s">
        <v>61</v>
      </c>
      <c r="N1156" s="56">
        <v>0.012</v>
      </c>
      <c r="O1156" s="23" t="s">
        <v>66</v>
      </c>
      <c r="P1156" s="57">
        <v>0.0</v>
      </c>
      <c r="Q1156" s="58"/>
      <c r="R1156" s="635"/>
      <c r="S1156" s="32" t="s">
        <v>194</v>
      </c>
      <c r="T1156" s="32" t="s">
        <v>9486</v>
      </c>
      <c r="U1156" s="33" t="s">
        <v>9487</v>
      </c>
      <c r="V1156" s="33" t="s">
        <v>9488</v>
      </c>
      <c r="W1156" s="34">
        <v>29826.0</v>
      </c>
      <c r="X1156" s="23" t="s">
        <v>77</v>
      </c>
      <c r="Y1156" s="49" t="str">
        <f t="shared" si="46"/>
        <v>Ativo</v>
      </c>
      <c r="Z1156" s="62"/>
      <c r="AA1156" s="32" t="s">
        <v>107</v>
      </c>
      <c r="AB1156" s="64"/>
      <c r="AC1156" s="79"/>
      <c r="AD1156" s="54"/>
      <c r="AE1156" s="77"/>
      <c r="AF1156" s="79"/>
      <c r="AG1156" s="79"/>
      <c r="AH1156" s="79"/>
      <c r="AI1156" s="79"/>
      <c r="AJ1156" s="65"/>
      <c r="AK1156" s="65"/>
      <c r="AL1156" s="65"/>
      <c r="AM1156" s="65"/>
      <c r="AN1156" s="65"/>
      <c r="AO1156" s="65"/>
      <c r="AP1156" s="65"/>
      <c r="AQ1156" s="65"/>
      <c r="AR1156" s="65"/>
      <c r="AS1156" s="65"/>
      <c r="AT1156" s="65"/>
      <c r="AU1156" s="65"/>
      <c r="AV1156" s="65"/>
      <c r="AW1156" s="65"/>
      <c r="AX1156" s="65"/>
      <c r="AY1156" s="65"/>
      <c r="AZ1156" s="65"/>
      <c r="BA1156" s="65"/>
      <c r="BB1156" s="65"/>
      <c r="BC1156" s="65"/>
      <c r="BD1156" s="65"/>
      <c r="BE1156" s="65"/>
      <c r="BF1156" s="65"/>
      <c r="BG1156" s="65"/>
      <c r="BH1156" s="65"/>
      <c r="BI1156" s="65"/>
      <c r="BJ1156" s="65"/>
      <c r="BK1156" s="65"/>
      <c r="BL1156" s="65"/>
      <c r="BM1156" s="65"/>
      <c r="BN1156" s="65"/>
      <c r="BO1156" s="65"/>
      <c r="BP1156" s="65"/>
      <c r="BQ1156" s="65"/>
      <c r="BR1156" s="65"/>
      <c r="BS1156" s="65"/>
      <c r="BT1156" s="88"/>
      <c r="BU1156" s="65"/>
      <c r="BV1156" s="65"/>
      <c r="BW1156" s="90"/>
      <c r="BX1156" s="90"/>
      <c r="BY1156" s="90"/>
    </row>
    <row r="1157" ht="15.75" customHeight="1">
      <c r="A1157" s="50" t="s">
        <v>24</v>
      </c>
      <c r="B1157" s="176" t="s">
        <v>7619</v>
      </c>
      <c r="C1157" s="94" t="s">
        <v>9489</v>
      </c>
      <c r="D1157" s="81" t="s">
        <v>255</v>
      </c>
      <c r="E1157" s="95" t="s">
        <v>199</v>
      </c>
      <c r="F1157" s="81" t="s">
        <v>9108</v>
      </c>
      <c r="G1157" s="47" t="str">
        <f t="shared" si="44"/>
        <v>David</v>
      </c>
      <c r="H1157" s="49" t="s">
        <v>224</v>
      </c>
      <c r="I1157" s="49" t="s">
        <v>66</v>
      </c>
      <c r="J1157" s="47" t="str">
        <f>IF(R1157=0,"Não","Sim")</f>
        <v>Sim</v>
      </c>
      <c r="K1157" s="97">
        <v>45013.0</v>
      </c>
      <c r="L1157" s="55">
        <v>45415.0</v>
      </c>
      <c r="M1157" s="62" t="s">
        <v>361</v>
      </c>
      <c r="N1157" s="98">
        <v>0.02</v>
      </c>
      <c r="O1157" s="47" t="s">
        <v>35</v>
      </c>
      <c r="P1157" s="99">
        <v>0.2</v>
      </c>
      <c r="Q1157" s="58"/>
      <c r="R1157" s="58" t="s">
        <v>9490</v>
      </c>
      <c r="S1157" s="62" t="s">
        <v>194</v>
      </c>
      <c r="T1157" s="32" t="s">
        <v>7618</v>
      </c>
      <c r="U1157" s="33" t="s">
        <v>268</v>
      </c>
      <c r="V1157" s="33"/>
      <c r="W1157" s="33" t="s">
        <v>268</v>
      </c>
      <c r="X1157" s="23" t="s">
        <v>199</v>
      </c>
      <c r="Y1157" s="49" t="str">
        <f t="shared" si="46"/>
        <v>Encerrado</v>
      </c>
      <c r="Z1157" s="62"/>
      <c r="AA1157" s="62"/>
      <c r="AB1157" s="64" t="s">
        <v>269</v>
      </c>
      <c r="AC1157" s="79"/>
      <c r="AD1157" s="54">
        <v>45013.0</v>
      </c>
      <c r="AE1157" s="77">
        <v>4.9075100008884E13</v>
      </c>
      <c r="AF1157" s="79"/>
      <c r="AG1157" s="79"/>
      <c r="AH1157" s="79"/>
      <c r="AI1157" s="79"/>
      <c r="AJ1157" s="79"/>
      <c r="AK1157" s="65">
        <v>0.0</v>
      </c>
      <c r="AL1157" s="65">
        <v>499566.11</v>
      </c>
      <c r="AM1157" s="65">
        <v>509775.18</v>
      </c>
      <c r="AN1157" s="65">
        <v>481161.13</v>
      </c>
      <c r="AO1157" s="65">
        <v>447413.88</v>
      </c>
      <c r="AP1157" s="65">
        <v>432606.19</v>
      </c>
      <c r="AQ1157" s="65">
        <v>430845.92</v>
      </c>
      <c r="AR1157" s="65">
        <v>417626.06</v>
      </c>
      <c r="AS1157" s="65">
        <v>435487.84</v>
      </c>
      <c r="AT1157" s="65">
        <v>447652.59</v>
      </c>
      <c r="AU1157" s="65">
        <v>434688.5</v>
      </c>
      <c r="AV1157" s="65">
        <v>437804.93</v>
      </c>
      <c r="AW1157" s="65">
        <v>443417.86</v>
      </c>
      <c r="AX1157" s="65">
        <v>432859.23</v>
      </c>
      <c r="AY1157" s="65">
        <v>0.0</v>
      </c>
      <c r="AZ1157" s="65">
        <v>0.0</v>
      </c>
      <c r="BA1157" s="65">
        <v>0.0</v>
      </c>
      <c r="BB1157" s="65">
        <v>0.0</v>
      </c>
      <c r="BC1157" s="65">
        <v>0.0</v>
      </c>
      <c r="BD1157" s="65">
        <v>0.0</v>
      </c>
      <c r="BE1157" s="65">
        <v>0.0</v>
      </c>
      <c r="BF1157" s="65">
        <v>0.0</v>
      </c>
      <c r="BG1157" s="65">
        <v>0.0</v>
      </c>
      <c r="BH1157" s="65">
        <v>0.0</v>
      </c>
      <c r="BI1157" s="65">
        <v>0.0</v>
      </c>
      <c r="BJ1157" s="65">
        <v>0.0</v>
      </c>
      <c r="BK1157" s="65">
        <v>0.0</v>
      </c>
      <c r="BL1157" s="65">
        <v>0.0</v>
      </c>
      <c r="BM1157" s="65">
        <v>0.0</v>
      </c>
      <c r="BN1157" s="65">
        <v>0.0</v>
      </c>
      <c r="BO1157" s="65">
        <v>0.0</v>
      </c>
      <c r="BP1157" s="65">
        <v>0.0</v>
      </c>
      <c r="BQ1157" s="65">
        <v>0.0</v>
      </c>
      <c r="BR1157" s="65">
        <v>0.0</v>
      </c>
      <c r="BS1157" s="65">
        <v>0.0</v>
      </c>
      <c r="BT1157" s="88">
        <v>0.0</v>
      </c>
      <c r="BU1157" s="65">
        <v>0.0</v>
      </c>
      <c r="BV1157" s="65">
        <v>0.0</v>
      </c>
      <c r="BW1157" s="90">
        <v>0.0</v>
      </c>
      <c r="BX1157" s="90">
        <v>0.0</v>
      </c>
      <c r="BY1157" s="90" t="str">
        <f t="array" ref="BY1157">XLOOKUP(C1157,'PL TOTAL D0'!$A$3:$A$1991,'PL TOTAL D0'!$C$3:$C$1991,"")</f>
        <v/>
      </c>
    </row>
    <row r="1158" ht="15.75" customHeight="1">
      <c r="A1158" s="50" t="s">
        <v>24</v>
      </c>
      <c r="B1158" s="191" t="s">
        <v>7633</v>
      </c>
      <c r="C1158" s="94" t="s">
        <v>9491</v>
      </c>
      <c r="D1158" s="81" t="s">
        <v>120</v>
      </c>
      <c r="E1158" s="95" t="s">
        <v>199</v>
      </c>
      <c r="F1158" s="30" t="s">
        <v>290</v>
      </c>
      <c r="G1158" s="47" t="str">
        <f t="shared" si="44"/>
        <v>David</v>
      </c>
      <c r="H1158" s="49" t="s">
        <v>224</v>
      </c>
      <c r="I1158" s="49" t="s">
        <v>66</v>
      </c>
      <c r="J1158" s="47" t="str">
        <f t="shared" ref="J1158:J1270" si="52">IF(Q1158=0,"Não","Sim")</f>
        <v>Não</v>
      </c>
      <c r="K1158" s="97">
        <v>45212.0</v>
      </c>
      <c r="L1158" s="55">
        <v>45938.0</v>
      </c>
      <c r="M1158" s="32" t="s">
        <v>209</v>
      </c>
      <c r="N1158" s="56">
        <v>0.015</v>
      </c>
      <c r="O1158" s="23" t="s">
        <v>35</v>
      </c>
      <c r="P1158" s="57">
        <v>0.1</v>
      </c>
      <c r="Q1158" s="58"/>
      <c r="R1158" s="58" t="s">
        <v>1819</v>
      </c>
      <c r="S1158" s="62" t="s">
        <v>194</v>
      </c>
      <c r="T1158" s="32" t="s">
        <v>7632</v>
      </c>
      <c r="U1158" s="33" t="s">
        <v>268</v>
      </c>
      <c r="V1158" s="33"/>
      <c r="W1158" s="33" t="s">
        <v>268</v>
      </c>
      <c r="X1158" s="23" t="s">
        <v>199</v>
      </c>
      <c r="Y1158" s="49" t="str">
        <f t="shared" si="46"/>
        <v>Encerrado</v>
      </c>
      <c r="Z1158" s="62"/>
      <c r="AA1158" s="62"/>
      <c r="AB1158" s="64" t="s">
        <v>269</v>
      </c>
      <c r="AC1158" s="79"/>
      <c r="AD1158" s="54">
        <v>45212.0</v>
      </c>
      <c r="AE1158" s="77">
        <v>4.9075100012822E13</v>
      </c>
      <c r="AF1158" s="79"/>
      <c r="AG1158" s="79"/>
      <c r="AH1158" s="79"/>
      <c r="AI1158" s="79"/>
      <c r="AJ1158" s="79"/>
      <c r="AK1158" s="79"/>
      <c r="AL1158" s="79"/>
      <c r="AM1158" s="79"/>
      <c r="AN1158" s="79"/>
      <c r="AO1158" s="79"/>
      <c r="AP1158" s="79"/>
      <c r="AQ1158" s="79"/>
      <c r="AR1158" s="65">
        <v>28009.08</v>
      </c>
      <c r="AS1158" s="65">
        <v>28195.49</v>
      </c>
      <c r="AT1158" s="65">
        <v>28455.38</v>
      </c>
      <c r="AU1158" s="65">
        <v>136332.37</v>
      </c>
      <c r="AV1158" s="65">
        <v>137648.03</v>
      </c>
      <c r="AW1158" s="65">
        <v>139093.47</v>
      </c>
      <c r="AX1158" s="65">
        <v>139534.83</v>
      </c>
      <c r="AY1158" s="65">
        <v>140632.3</v>
      </c>
      <c r="AZ1158" s="65">
        <v>141638.3</v>
      </c>
      <c r="BA1158" s="65">
        <v>143522.0</v>
      </c>
      <c r="BB1158" s="65">
        <v>145085.43</v>
      </c>
      <c r="BC1158" s="65">
        <v>145961.18</v>
      </c>
      <c r="BD1158" s="65">
        <v>146317.4</v>
      </c>
      <c r="BE1158" s="65">
        <v>144565.1</v>
      </c>
      <c r="BF1158" s="65">
        <v>144612.42</v>
      </c>
      <c r="BG1158" s="65">
        <v>146028.48</v>
      </c>
      <c r="BH1158" s="65">
        <v>147484.97</v>
      </c>
      <c r="BI1158" s="65">
        <v>149408.26</v>
      </c>
      <c r="BJ1158" s="65">
        <v>150014.06</v>
      </c>
      <c r="BK1158" s="65">
        <v>0.0</v>
      </c>
      <c r="BL1158" s="65">
        <v>0.0</v>
      </c>
      <c r="BM1158" s="65">
        <v>0.0</v>
      </c>
      <c r="BN1158" s="65">
        <v>0.0</v>
      </c>
      <c r="BO1158" s="65">
        <v>0.0</v>
      </c>
      <c r="BP1158" s="65">
        <v>0.0</v>
      </c>
      <c r="BQ1158" s="65">
        <v>0.0</v>
      </c>
      <c r="BR1158" s="65">
        <v>0.0</v>
      </c>
      <c r="BS1158" s="65">
        <v>0.0</v>
      </c>
      <c r="BT1158" s="88">
        <v>0.0</v>
      </c>
      <c r="BU1158" s="65">
        <v>0.0</v>
      </c>
      <c r="BV1158" s="65">
        <v>0.0</v>
      </c>
      <c r="BW1158" s="90">
        <v>0.0</v>
      </c>
      <c r="BX1158" s="90">
        <v>0.0</v>
      </c>
      <c r="BY1158" s="90" t="str">
        <f t="array" ref="BY1158">XLOOKUP(C1158,'PL TOTAL D0'!$A$3:$A$1991,'PL TOTAL D0'!$C$3:$C$1991,"")</f>
        <v/>
      </c>
    </row>
    <row r="1159" ht="15.75" customHeight="1">
      <c r="A1159" s="50" t="s">
        <v>24</v>
      </c>
      <c r="B1159" s="50" t="s">
        <v>9492</v>
      </c>
      <c r="C1159" s="94" t="s">
        <v>9493</v>
      </c>
      <c r="D1159" s="81" t="s">
        <v>120</v>
      </c>
      <c r="E1159" s="95" t="s">
        <v>199</v>
      </c>
      <c r="F1159" s="30" t="s">
        <v>1399</v>
      </c>
      <c r="G1159" s="47" t="str">
        <f t="shared" si="44"/>
        <v>David</v>
      </c>
      <c r="H1159" s="49" t="s">
        <v>224</v>
      </c>
      <c r="I1159" s="49" t="s">
        <v>66</v>
      </c>
      <c r="J1159" s="47" t="str">
        <f t="shared" si="52"/>
        <v>Não</v>
      </c>
      <c r="K1159" s="97">
        <v>45070.0</v>
      </c>
      <c r="L1159" s="55">
        <v>45769.0</v>
      </c>
      <c r="M1159" s="62" t="s">
        <v>209</v>
      </c>
      <c r="N1159" s="98">
        <v>0.012</v>
      </c>
      <c r="O1159" s="47" t="s">
        <v>35</v>
      </c>
      <c r="P1159" s="99">
        <v>0.1</v>
      </c>
      <c r="Q1159" s="58"/>
      <c r="R1159" s="135" t="s">
        <v>9494</v>
      </c>
      <c r="S1159" s="62" t="s">
        <v>194</v>
      </c>
      <c r="T1159" s="32" t="s">
        <v>7360</v>
      </c>
      <c r="U1159" s="33" t="s">
        <v>268</v>
      </c>
      <c r="V1159" s="33"/>
      <c r="W1159" s="33" t="s">
        <v>268</v>
      </c>
      <c r="X1159" s="23" t="s">
        <v>199</v>
      </c>
      <c r="Y1159" s="49" t="str">
        <f t="shared" si="46"/>
        <v>Encerrado</v>
      </c>
      <c r="Z1159" s="62"/>
      <c r="AA1159" s="62"/>
      <c r="AB1159" s="64" t="s">
        <v>269</v>
      </c>
      <c r="AC1159" s="79"/>
      <c r="AD1159" s="54">
        <v>45070.0</v>
      </c>
      <c r="AE1159" s="77">
        <v>4.9075100007063E13</v>
      </c>
      <c r="AF1159" s="79"/>
      <c r="AG1159" s="79"/>
      <c r="AH1159" s="79"/>
      <c r="AI1159" s="79"/>
      <c r="AJ1159" s="79"/>
      <c r="AK1159" s="65">
        <v>0.0</v>
      </c>
      <c r="AL1159" s="65">
        <v>0.0</v>
      </c>
      <c r="AM1159" s="65">
        <v>227605.23</v>
      </c>
      <c r="AN1159" s="65">
        <v>231139.98</v>
      </c>
      <c r="AO1159" s="65">
        <v>233533.56</v>
      </c>
      <c r="AP1159" s="65">
        <v>232386.73</v>
      </c>
      <c r="AQ1159" s="65">
        <v>233018.77</v>
      </c>
      <c r="AR1159" s="65">
        <v>232632.7</v>
      </c>
      <c r="AS1159" s="65">
        <v>238062.37</v>
      </c>
      <c r="AT1159" s="65">
        <v>243018.83</v>
      </c>
      <c r="AU1159" s="65">
        <v>236737.14</v>
      </c>
      <c r="AV1159" s="65">
        <v>238924.29</v>
      </c>
      <c r="AW1159" s="65">
        <v>240651.02</v>
      </c>
      <c r="AX1159" s="65">
        <v>238913.61</v>
      </c>
      <c r="AY1159" s="65">
        <v>237844.1</v>
      </c>
      <c r="AZ1159" s="65">
        <v>239279.7</v>
      </c>
      <c r="BA1159" s="65">
        <v>242601.3</v>
      </c>
      <c r="BB1159" s="65">
        <v>245397.17</v>
      </c>
      <c r="BC1159" s="65">
        <v>245082.24</v>
      </c>
      <c r="BD1159" s="65">
        <v>243324.13</v>
      </c>
      <c r="BE1159" s="65">
        <v>0.0</v>
      </c>
      <c r="BF1159" s="65">
        <v>0.0</v>
      </c>
      <c r="BG1159" s="65">
        <v>0.0</v>
      </c>
      <c r="BH1159" s="65">
        <v>0.0</v>
      </c>
      <c r="BI1159" s="65">
        <v>0.0</v>
      </c>
      <c r="BJ1159" s="65">
        <v>0.0</v>
      </c>
      <c r="BK1159" s="65">
        <v>0.0</v>
      </c>
      <c r="BL1159" s="65">
        <v>0.0</v>
      </c>
      <c r="BM1159" s="65">
        <v>0.0</v>
      </c>
      <c r="BN1159" s="65">
        <v>0.0</v>
      </c>
      <c r="BO1159" s="65">
        <v>0.0</v>
      </c>
      <c r="BP1159" s="65">
        <v>0.0</v>
      </c>
      <c r="BQ1159" s="65">
        <v>0.0</v>
      </c>
      <c r="BR1159" s="65">
        <v>0.0</v>
      </c>
      <c r="BS1159" s="65">
        <v>0.0</v>
      </c>
      <c r="BT1159" s="88">
        <v>0.0</v>
      </c>
      <c r="BU1159" s="65">
        <v>0.0</v>
      </c>
      <c r="BV1159" s="65">
        <v>0.0</v>
      </c>
      <c r="BW1159" s="90">
        <v>0.0</v>
      </c>
      <c r="BX1159" s="90">
        <v>0.0</v>
      </c>
      <c r="BY1159" s="90" t="str">
        <f t="array" ref="BY1159">XLOOKUP(C1159,'PL TOTAL D0'!$A$3:$A$1991,'PL TOTAL D0'!$C$3:$C$1991,"")</f>
        <v/>
      </c>
    </row>
    <row r="1160" ht="15.75" customHeight="1">
      <c r="A1160" s="50" t="s">
        <v>24</v>
      </c>
      <c r="B1160" s="50" t="s">
        <v>9495</v>
      </c>
      <c r="C1160" s="94" t="s">
        <v>2669</v>
      </c>
      <c r="D1160" s="81" t="s">
        <v>120</v>
      </c>
      <c r="E1160" s="95" t="s">
        <v>54</v>
      </c>
      <c r="F1160" s="30" t="s">
        <v>125</v>
      </c>
      <c r="G1160" s="47" t="str">
        <f t="shared" si="44"/>
        <v>Marcus</v>
      </c>
      <c r="H1160" s="49" t="s">
        <v>183</v>
      </c>
      <c r="I1160" s="49" t="s">
        <v>66</v>
      </c>
      <c r="J1160" s="47" t="str">
        <f t="shared" si="52"/>
        <v>Não</v>
      </c>
      <c r="K1160" s="97">
        <v>46013.0</v>
      </c>
      <c r="L1160" s="55"/>
      <c r="M1160" s="62" t="s">
        <v>716</v>
      </c>
      <c r="N1160" s="56">
        <v>0.01</v>
      </c>
      <c r="O1160" s="47" t="s">
        <v>66</v>
      </c>
      <c r="P1160" s="99">
        <v>0.0</v>
      </c>
      <c r="Q1160" s="58"/>
      <c r="R1160" s="135"/>
      <c r="S1160" s="62" t="s">
        <v>194</v>
      </c>
      <c r="T1160" s="32" t="s">
        <v>9496</v>
      </c>
      <c r="U1160" s="33" t="s">
        <v>9497</v>
      </c>
      <c r="V1160" s="33" t="s">
        <v>9498</v>
      </c>
      <c r="W1160" s="33">
        <v>22558.0</v>
      </c>
      <c r="X1160" s="23" t="s">
        <v>54</v>
      </c>
      <c r="Y1160" s="49" t="str">
        <f t="shared" si="46"/>
        <v>Ativo</v>
      </c>
      <c r="Z1160" s="62"/>
      <c r="AA1160" s="62" t="s">
        <v>107</v>
      </c>
      <c r="AB1160" s="64"/>
      <c r="AC1160" s="79"/>
      <c r="AD1160" s="54">
        <v>46203.0</v>
      </c>
      <c r="AE1160" s="77"/>
      <c r="AF1160" s="79"/>
      <c r="AG1160" s="79"/>
      <c r="AH1160" s="79"/>
      <c r="AI1160" s="79"/>
      <c r="AJ1160" s="79"/>
      <c r="AK1160" s="65"/>
      <c r="AL1160" s="65"/>
      <c r="AM1160" s="65"/>
      <c r="AN1160" s="65"/>
      <c r="AO1160" s="65"/>
      <c r="AP1160" s="65"/>
      <c r="AQ1160" s="65"/>
      <c r="AR1160" s="65"/>
      <c r="AS1160" s="65"/>
      <c r="AT1160" s="65"/>
      <c r="AU1160" s="65"/>
      <c r="AV1160" s="65"/>
      <c r="AW1160" s="65"/>
      <c r="AX1160" s="65"/>
      <c r="AY1160" s="65"/>
      <c r="AZ1160" s="65"/>
      <c r="BA1160" s="65"/>
      <c r="BB1160" s="65"/>
      <c r="BC1160" s="65"/>
      <c r="BD1160" s="65"/>
      <c r="BE1160" s="65"/>
      <c r="BF1160" s="65"/>
      <c r="BG1160" s="65"/>
      <c r="BH1160" s="65"/>
      <c r="BI1160" s="65"/>
      <c r="BJ1160" s="65"/>
      <c r="BK1160" s="65"/>
      <c r="BL1160" s="65"/>
      <c r="BM1160" s="65"/>
      <c r="BN1160" s="65"/>
      <c r="BO1160" s="65"/>
      <c r="BP1160" s="65"/>
      <c r="BQ1160" s="65"/>
      <c r="BR1160" s="65">
        <v>800398.4</v>
      </c>
      <c r="BS1160" s="65">
        <v>1489521.84</v>
      </c>
      <c r="BT1160" s="88">
        <v>1494709.0</v>
      </c>
      <c r="BU1160" s="65">
        <v>1272222.0</v>
      </c>
      <c r="BV1160" s="65">
        <v>1286331.0</v>
      </c>
      <c r="BW1160" s="90">
        <v>1297680.0</v>
      </c>
      <c r="BX1160" s="90">
        <v>1311533.55</v>
      </c>
      <c r="BY1160" s="90">
        <f t="array" ref="BY1160">XLOOKUP(C1160,'PL TOTAL D0'!$A$3:$A$1991,'PL TOTAL D0'!$C$3:$C$1991,"")</f>
        <v>1227367.44</v>
      </c>
    </row>
    <row r="1161" ht="15.75" customHeight="1">
      <c r="A1161" s="50" t="s">
        <v>24</v>
      </c>
      <c r="B1161" s="43" t="s">
        <v>9499</v>
      </c>
      <c r="C1161" s="94" t="s">
        <v>2741</v>
      </c>
      <c r="D1161" s="30" t="s">
        <v>120</v>
      </c>
      <c r="E1161" s="22" t="s">
        <v>199</v>
      </c>
      <c r="F1161" s="30" t="s">
        <v>290</v>
      </c>
      <c r="G1161" s="47" t="str">
        <f t="shared" si="44"/>
        <v>Marcus</v>
      </c>
      <c r="H1161" s="49" t="s">
        <v>183</v>
      </c>
      <c r="I1161" s="49" t="s">
        <v>66</v>
      </c>
      <c r="J1161" s="47" t="str">
        <f t="shared" si="52"/>
        <v>Sim</v>
      </c>
      <c r="K1161" s="54">
        <v>45565.0</v>
      </c>
      <c r="L1161" s="55"/>
      <c r="M1161" s="32" t="s">
        <v>61</v>
      </c>
      <c r="N1161" s="56">
        <v>0.012</v>
      </c>
      <c r="O1161" s="23" t="s">
        <v>66</v>
      </c>
      <c r="P1161" s="57">
        <v>0.0</v>
      </c>
      <c r="Q1161" s="58" t="s">
        <v>9500</v>
      </c>
      <c r="R1161" s="635"/>
      <c r="S1161" s="32" t="s">
        <v>194</v>
      </c>
      <c r="T1161" s="32" t="s">
        <v>9501</v>
      </c>
      <c r="U1161" s="33">
        <v>5.56199991388E12</v>
      </c>
      <c r="V1161" s="33" t="s">
        <v>9502</v>
      </c>
      <c r="W1161" s="34">
        <v>19846.0</v>
      </c>
      <c r="X1161" s="23" t="s">
        <v>199</v>
      </c>
      <c r="Y1161" s="49" t="str">
        <f t="shared" si="46"/>
        <v>Ativo</v>
      </c>
      <c r="Z1161" s="62"/>
      <c r="AA1161" s="32" t="s">
        <v>165</v>
      </c>
      <c r="AB1161" s="64"/>
      <c r="AC1161" s="79"/>
      <c r="AD1161" s="54">
        <v>45565.0</v>
      </c>
      <c r="AE1161" s="77">
        <v>4.9075100015821E13</v>
      </c>
      <c r="AF1161" s="79"/>
      <c r="AG1161" s="79"/>
      <c r="AH1161" s="79"/>
      <c r="AI1161" s="65"/>
      <c r="AJ1161" s="65"/>
      <c r="AK1161" s="65"/>
      <c r="AL1161" s="65"/>
      <c r="AM1161" s="65"/>
      <c r="AN1161" s="65"/>
      <c r="AO1161" s="65"/>
      <c r="AP1161" s="65"/>
      <c r="AQ1161" s="65"/>
      <c r="AR1161" s="65"/>
      <c r="AS1161" s="65"/>
      <c r="AT1161" s="65"/>
      <c r="AU1161" s="65"/>
      <c r="AV1161" s="65"/>
      <c r="AW1161" s="65"/>
      <c r="AX1161" s="65"/>
      <c r="AY1161" s="65"/>
      <c r="AZ1161" s="65"/>
      <c r="BA1161" s="65"/>
      <c r="BB1161" s="65"/>
      <c r="BC1161" s="65">
        <v>400090.08</v>
      </c>
      <c r="BD1161" s="65">
        <v>404391.5</v>
      </c>
      <c r="BE1161" s="65">
        <v>407237.03</v>
      </c>
      <c r="BF1161" s="65">
        <v>410719.49</v>
      </c>
      <c r="BG1161" s="65">
        <v>415249.67</v>
      </c>
      <c r="BH1161" s="65">
        <v>419298.05</v>
      </c>
      <c r="BI1161" s="65">
        <v>421897.25</v>
      </c>
      <c r="BJ1161" s="65">
        <v>426773.58</v>
      </c>
      <c r="BK1161" s="65">
        <v>430882.25</v>
      </c>
      <c r="BL1161" s="65">
        <v>435690.86</v>
      </c>
      <c r="BM1161" s="65">
        <v>440300.17</v>
      </c>
      <c r="BN1161" s="65">
        <v>922990.8</v>
      </c>
      <c r="BO1161" s="65">
        <v>892165.95</v>
      </c>
      <c r="BP1161" s="65">
        <v>902021.8</v>
      </c>
      <c r="BQ1161" s="65">
        <v>909651.5</v>
      </c>
      <c r="BR1161" s="65">
        <v>918384.5</v>
      </c>
      <c r="BS1161" s="65">
        <v>901597.67</v>
      </c>
      <c r="BT1161" s="88">
        <v>908239.7</v>
      </c>
      <c r="BU1161" s="65">
        <v>917111.0</v>
      </c>
      <c r="BV1161" s="65">
        <v>927754.5</v>
      </c>
      <c r="BW1161" s="90">
        <v>886854.7</v>
      </c>
      <c r="BX1161" s="90">
        <v>894838.85</v>
      </c>
      <c r="BY1161" s="90">
        <f t="array" ref="BY1161">XLOOKUP(C1161,'PL TOTAL D0'!$A$3:$A$1991,'PL TOTAL D0'!$C$3:$C$1991,"")</f>
        <v>904537.81</v>
      </c>
    </row>
    <row r="1162" ht="15.75" customHeight="1">
      <c r="A1162" s="50" t="s">
        <v>24</v>
      </c>
      <c r="B1162" s="43" t="s">
        <v>9503</v>
      </c>
      <c r="C1162" s="94" t="s">
        <v>3457</v>
      </c>
      <c r="D1162" s="30" t="s">
        <v>120</v>
      </c>
      <c r="E1162" s="22" t="s">
        <v>54</v>
      </c>
      <c r="F1162" s="30" t="s">
        <v>125</v>
      </c>
      <c r="G1162" s="47" t="str">
        <f t="shared" si="44"/>
        <v>David</v>
      </c>
      <c r="H1162" s="49" t="s">
        <v>183</v>
      </c>
      <c r="I1162" s="49" t="s">
        <v>66</v>
      </c>
      <c r="J1162" s="47" t="str">
        <f t="shared" si="52"/>
        <v>Sim</v>
      </c>
      <c r="K1162" s="54">
        <v>45677.0</v>
      </c>
      <c r="L1162" s="55"/>
      <c r="M1162" s="32" t="s">
        <v>61</v>
      </c>
      <c r="N1162" s="56">
        <v>0.012</v>
      </c>
      <c r="O1162" s="23" t="s">
        <v>66</v>
      </c>
      <c r="P1162" s="57">
        <v>0.0</v>
      </c>
      <c r="Q1162" s="58" t="s">
        <v>9504</v>
      </c>
      <c r="R1162" s="635"/>
      <c r="S1162" s="32" t="s">
        <v>194</v>
      </c>
      <c r="T1162" s="32" t="s">
        <v>9505</v>
      </c>
      <c r="U1162" s="33">
        <v>5.562999724928E12</v>
      </c>
      <c r="V1162" s="33" t="s">
        <v>9506</v>
      </c>
      <c r="W1162" s="34">
        <v>21682.0</v>
      </c>
      <c r="X1162" s="23" t="s">
        <v>54</v>
      </c>
      <c r="Y1162" s="49" t="str">
        <f t="shared" si="46"/>
        <v>Ativo</v>
      </c>
      <c r="Z1162" s="62"/>
      <c r="AA1162" s="32" t="s">
        <v>107</v>
      </c>
      <c r="AB1162" s="64"/>
      <c r="AC1162" s="79"/>
      <c r="AD1162" s="54">
        <v>45679.0</v>
      </c>
      <c r="AE1162" s="77">
        <v>4.9075100017697E13</v>
      </c>
      <c r="AF1162" s="79"/>
      <c r="AG1162" s="79"/>
      <c r="AH1162" s="79"/>
      <c r="AI1162" s="65"/>
      <c r="AJ1162" s="65"/>
      <c r="AK1162" s="65"/>
      <c r="AL1162" s="65"/>
      <c r="AM1162" s="65"/>
      <c r="AN1162" s="65"/>
      <c r="AO1162" s="65"/>
      <c r="AP1162" s="65"/>
      <c r="AQ1162" s="65"/>
      <c r="AR1162" s="65"/>
      <c r="AS1162" s="65"/>
      <c r="AT1162" s="65"/>
      <c r="AU1162" s="65"/>
      <c r="AV1162" s="65"/>
      <c r="AW1162" s="65"/>
      <c r="AX1162" s="65"/>
      <c r="AY1162" s="65"/>
      <c r="AZ1162" s="65"/>
      <c r="BA1162" s="65"/>
      <c r="BB1162" s="65"/>
      <c r="BC1162" s="65"/>
      <c r="BD1162" s="65"/>
      <c r="BE1162" s="65"/>
      <c r="BF1162" s="65"/>
      <c r="BG1162" s="65">
        <v>12034.37</v>
      </c>
      <c r="BH1162" s="65">
        <v>40713.4</v>
      </c>
      <c r="BI1162" s="65">
        <v>41162.52</v>
      </c>
      <c r="BJ1162" s="65">
        <v>41605.95</v>
      </c>
      <c r="BK1162" s="65">
        <v>42003.6</v>
      </c>
      <c r="BL1162" s="65">
        <v>42403.36</v>
      </c>
      <c r="BM1162" s="65">
        <v>42868.73</v>
      </c>
      <c r="BN1162" s="65">
        <v>43554.66</v>
      </c>
      <c r="BO1162" s="65">
        <v>44412.24</v>
      </c>
      <c r="BP1162" s="65">
        <v>44925.64</v>
      </c>
      <c r="BQ1162" s="65">
        <v>45462.1</v>
      </c>
      <c r="BR1162" s="65">
        <v>45930.74</v>
      </c>
      <c r="BS1162" s="65">
        <v>46352.96</v>
      </c>
      <c r="BT1162" s="88">
        <v>46025.25</v>
      </c>
      <c r="BU1162" s="65">
        <v>47259.71</v>
      </c>
      <c r="BV1162" s="65">
        <v>47758.56</v>
      </c>
      <c r="BW1162" s="90">
        <v>48047.29</v>
      </c>
      <c r="BX1162" s="90">
        <v>48486.45</v>
      </c>
      <c r="BY1162" s="90">
        <f t="array" ref="BY1162">XLOOKUP(C1162,'PL TOTAL D0'!$A$3:$A$1991,'PL TOTAL D0'!$C$3:$C$1991,"")</f>
        <v>49018.17</v>
      </c>
    </row>
    <row r="1163" ht="15.75" customHeight="1">
      <c r="A1163" s="50" t="s">
        <v>24</v>
      </c>
      <c r="B1163" s="50" t="s">
        <v>9507</v>
      </c>
      <c r="C1163" s="94" t="s">
        <v>9508</v>
      </c>
      <c r="D1163" s="30" t="s">
        <v>89</v>
      </c>
      <c r="E1163" s="95" t="s">
        <v>91</v>
      </c>
      <c r="F1163" s="81" t="s">
        <v>521</v>
      </c>
      <c r="G1163" s="47" t="str">
        <f t="shared" si="44"/>
        <v>David</v>
      </c>
      <c r="H1163" s="49" t="s">
        <v>224</v>
      </c>
      <c r="I1163" s="74" t="s">
        <v>66</v>
      </c>
      <c r="J1163" s="47" t="str">
        <f t="shared" si="52"/>
        <v>Não</v>
      </c>
      <c r="K1163" s="97">
        <v>45163.0</v>
      </c>
      <c r="L1163" s="55">
        <v>45383.0</v>
      </c>
      <c r="M1163" s="62" t="s">
        <v>231</v>
      </c>
      <c r="N1163" s="98">
        <v>0.025</v>
      </c>
      <c r="O1163" s="23" t="s">
        <v>233</v>
      </c>
      <c r="P1163" s="99">
        <v>0.2</v>
      </c>
      <c r="Q1163" s="58"/>
      <c r="R1163" s="58" t="s">
        <v>9509</v>
      </c>
      <c r="S1163" s="62" t="s">
        <v>194</v>
      </c>
      <c r="T1163" s="32" t="s">
        <v>9510</v>
      </c>
      <c r="U1163" s="33" t="s">
        <v>268</v>
      </c>
      <c r="V1163" s="33"/>
      <c r="W1163" s="33" t="s">
        <v>268</v>
      </c>
      <c r="X1163" s="23" t="s">
        <v>221</v>
      </c>
      <c r="Y1163" s="49" t="str">
        <f t="shared" si="46"/>
        <v>Encerrado</v>
      </c>
      <c r="Z1163" s="62"/>
      <c r="AA1163" s="62"/>
      <c r="AB1163" s="64" t="s">
        <v>269</v>
      </c>
      <c r="AC1163" s="79"/>
      <c r="AD1163" s="54">
        <v>45163.0</v>
      </c>
      <c r="AE1163" s="77"/>
      <c r="AF1163" s="79"/>
      <c r="AG1163" s="79"/>
      <c r="AH1163" s="79"/>
      <c r="AI1163" s="79"/>
      <c r="AJ1163" s="79"/>
      <c r="AK1163" s="79"/>
      <c r="AL1163" s="79"/>
      <c r="AM1163" s="79"/>
      <c r="AN1163" s="79"/>
      <c r="AO1163" s="79"/>
      <c r="AP1163" s="65">
        <v>578158.38</v>
      </c>
      <c r="AQ1163" s="65">
        <v>333331.19</v>
      </c>
      <c r="AR1163" s="65">
        <v>317180.27</v>
      </c>
      <c r="AS1163" s="65">
        <v>327161.94</v>
      </c>
      <c r="AT1163" s="65">
        <v>344757.0</v>
      </c>
      <c r="AU1163" s="65">
        <v>315702.29</v>
      </c>
      <c r="AV1163" s="65">
        <v>321907.66</v>
      </c>
      <c r="AW1163" s="65">
        <v>0.0</v>
      </c>
      <c r="AX1163" s="65">
        <v>0.0</v>
      </c>
      <c r="AY1163" s="65">
        <v>0.0</v>
      </c>
      <c r="AZ1163" s="65">
        <v>0.0</v>
      </c>
      <c r="BA1163" s="65">
        <v>0.0</v>
      </c>
      <c r="BB1163" s="65">
        <v>0.0</v>
      </c>
      <c r="BC1163" s="65">
        <v>0.0</v>
      </c>
      <c r="BD1163" s="65">
        <v>0.0</v>
      </c>
      <c r="BE1163" s="65">
        <v>0.0</v>
      </c>
      <c r="BF1163" s="65">
        <v>0.0</v>
      </c>
      <c r="BG1163" s="65">
        <v>0.0</v>
      </c>
      <c r="BH1163" s="65">
        <v>0.0</v>
      </c>
      <c r="BI1163" s="65">
        <v>0.0</v>
      </c>
      <c r="BJ1163" s="65">
        <v>0.0</v>
      </c>
      <c r="BK1163" s="65">
        <v>0.0</v>
      </c>
      <c r="BL1163" s="65">
        <v>0.0</v>
      </c>
      <c r="BM1163" s="65">
        <v>0.0</v>
      </c>
      <c r="BN1163" s="65">
        <v>0.0</v>
      </c>
      <c r="BO1163" s="65">
        <v>0.0</v>
      </c>
      <c r="BP1163" s="65">
        <v>0.0</v>
      </c>
      <c r="BQ1163" s="65">
        <v>0.0</v>
      </c>
      <c r="BR1163" s="65">
        <v>0.0</v>
      </c>
      <c r="BS1163" s="65">
        <v>0.0</v>
      </c>
      <c r="BT1163" s="88">
        <v>0.0</v>
      </c>
      <c r="BU1163" s="65">
        <v>0.0</v>
      </c>
      <c r="BV1163" s="65">
        <v>0.0</v>
      </c>
      <c r="BW1163" s="90">
        <v>0.0</v>
      </c>
      <c r="BX1163" s="90">
        <v>0.0</v>
      </c>
      <c r="BY1163" s="90" t="str">
        <f t="array" ref="BY1163">XLOOKUP(C1163,'PL TOTAL D0'!$A$3:$A$1991,'PL TOTAL D0'!$C$3:$C$1991,"")</f>
        <v/>
      </c>
    </row>
    <row r="1164" ht="15.75" customHeight="1">
      <c r="A1164" s="50" t="s">
        <v>24</v>
      </c>
      <c r="B1164" s="50" t="s">
        <v>9507</v>
      </c>
      <c r="C1164" s="94" t="s">
        <v>9511</v>
      </c>
      <c r="D1164" s="30" t="s">
        <v>89</v>
      </c>
      <c r="E1164" s="95" t="s">
        <v>91</v>
      </c>
      <c r="F1164" s="81" t="s">
        <v>521</v>
      </c>
      <c r="G1164" s="47" t="str">
        <f t="shared" si="44"/>
        <v>David</v>
      </c>
      <c r="H1164" s="49" t="s">
        <v>224</v>
      </c>
      <c r="I1164" s="49" t="s">
        <v>66</v>
      </c>
      <c r="J1164" s="47" t="str">
        <f t="shared" si="52"/>
        <v>Não</v>
      </c>
      <c r="K1164" s="97">
        <v>45163.0</v>
      </c>
      <c r="L1164" s="55">
        <v>45383.0</v>
      </c>
      <c r="M1164" s="62" t="s">
        <v>61</v>
      </c>
      <c r="N1164" s="98">
        <v>0.012</v>
      </c>
      <c r="O1164" s="47" t="s">
        <v>66</v>
      </c>
      <c r="P1164" s="99">
        <v>0.0</v>
      </c>
      <c r="Q1164" s="58"/>
      <c r="R1164" s="58" t="s">
        <v>9512</v>
      </c>
      <c r="S1164" s="62" t="s">
        <v>194</v>
      </c>
      <c r="T1164" s="32" t="s">
        <v>9510</v>
      </c>
      <c r="U1164" s="33" t="s">
        <v>268</v>
      </c>
      <c r="V1164" s="33"/>
      <c r="W1164" s="33" t="s">
        <v>268</v>
      </c>
      <c r="X1164" s="23" t="s">
        <v>221</v>
      </c>
      <c r="Y1164" s="49" t="str">
        <f t="shared" si="46"/>
        <v>Encerrado</v>
      </c>
      <c r="Z1164" s="62"/>
      <c r="AA1164" s="62"/>
      <c r="AB1164" s="64" t="s">
        <v>269</v>
      </c>
      <c r="AC1164" s="79"/>
      <c r="AD1164" s="54">
        <v>45163.0</v>
      </c>
      <c r="AE1164" s="77"/>
      <c r="AF1164" s="79"/>
      <c r="AG1164" s="79"/>
      <c r="AH1164" s="79"/>
      <c r="AI1164" s="79"/>
      <c r="AJ1164" s="79"/>
      <c r="AK1164" s="79"/>
      <c r="AL1164" s="79"/>
      <c r="AM1164" s="79"/>
      <c r="AN1164" s="79"/>
      <c r="AO1164" s="79"/>
      <c r="AP1164" s="65">
        <v>342462.76</v>
      </c>
      <c r="AQ1164" s="65">
        <v>340811.61</v>
      </c>
      <c r="AR1164" s="65">
        <v>344200.37</v>
      </c>
      <c r="AS1164" s="65">
        <v>303898.86</v>
      </c>
      <c r="AT1164" s="65">
        <v>306622.99</v>
      </c>
      <c r="AU1164" s="65">
        <v>309060.87</v>
      </c>
      <c r="AV1164" s="65">
        <v>4351.46</v>
      </c>
      <c r="AW1164" s="65">
        <v>0.0</v>
      </c>
      <c r="AX1164" s="65">
        <v>0.0</v>
      </c>
      <c r="AY1164" s="65">
        <v>0.0</v>
      </c>
      <c r="AZ1164" s="65">
        <v>0.0</v>
      </c>
      <c r="BA1164" s="65">
        <v>0.0</v>
      </c>
      <c r="BB1164" s="65">
        <v>0.0</v>
      </c>
      <c r="BC1164" s="65">
        <v>0.0</v>
      </c>
      <c r="BD1164" s="65">
        <v>0.0</v>
      </c>
      <c r="BE1164" s="65">
        <v>0.0</v>
      </c>
      <c r="BF1164" s="65">
        <v>0.0</v>
      </c>
      <c r="BG1164" s="65">
        <v>0.0</v>
      </c>
      <c r="BH1164" s="65">
        <v>0.0</v>
      </c>
      <c r="BI1164" s="65">
        <v>0.0</v>
      </c>
      <c r="BJ1164" s="65">
        <v>0.0</v>
      </c>
      <c r="BK1164" s="65">
        <v>0.0</v>
      </c>
      <c r="BL1164" s="65">
        <v>0.0</v>
      </c>
      <c r="BM1164" s="65">
        <v>0.0</v>
      </c>
      <c r="BN1164" s="65">
        <v>0.0</v>
      </c>
      <c r="BO1164" s="65">
        <v>0.0</v>
      </c>
      <c r="BP1164" s="65">
        <v>0.0</v>
      </c>
      <c r="BQ1164" s="65">
        <v>0.0</v>
      </c>
      <c r="BR1164" s="65">
        <v>0.0</v>
      </c>
      <c r="BS1164" s="65">
        <v>0.0</v>
      </c>
      <c r="BT1164" s="88">
        <v>0.0</v>
      </c>
      <c r="BU1164" s="65">
        <v>0.0</v>
      </c>
      <c r="BV1164" s="65">
        <v>0.0</v>
      </c>
      <c r="BW1164" s="90">
        <v>0.0</v>
      </c>
      <c r="BX1164" s="90">
        <v>0.0</v>
      </c>
      <c r="BY1164" s="90" t="str">
        <f t="array" ref="BY1164">XLOOKUP(C1164,'PL TOTAL D0'!$A$3:$A$1991,'PL TOTAL D0'!$C$3:$C$1991,"")</f>
        <v/>
      </c>
    </row>
    <row r="1165" ht="15.75" customHeight="1">
      <c r="A1165" s="50" t="s">
        <v>24</v>
      </c>
      <c r="B1165" s="191" t="s">
        <v>9507</v>
      </c>
      <c r="C1165" s="94" t="s">
        <v>9513</v>
      </c>
      <c r="D1165" s="30" t="s">
        <v>89</v>
      </c>
      <c r="E1165" s="95" t="s">
        <v>91</v>
      </c>
      <c r="F1165" s="81" t="s">
        <v>521</v>
      </c>
      <c r="G1165" s="47" t="str">
        <f t="shared" si="44"/>
        <v>David</v>
      </c>
      <c r="H1165" s="49" t="s">
        <v>224</v>
      </c>
      <c r="I1165" s="49" t="s">
        <v>66</v>
      </c>
      <c r="J1165" s="47" t="str">
        <f t="shared" si="52"/>
        <v>Não</v>
      </c>
      <c r="K1165" s="97">
        <v>45187.0</v>
      </c>
      <c r="L1165" s="55">
        <v>45383.0</v>
      </c>
      <c r="M1165" s="62" t="s">
        <v>201</v>
      </c>
      <c r="N1165" s="98">
        <v>0.0</v>
      </c>
      <c r="O1165" s="47" t="s">
        <v>66</v>
      </c>
      <c r="P1165" s="99">
        <v>0.0</v>
      </c>
      <c r="Q1165" s="58"/>
      <c r="R1165" s="70"/>
      <c r="S1165" s="62" t="s">
        <v>194</v>
      </c>
      <c r="T1165" s="32" t="s">
        <v>9510</v>
      </c>
      <c r="U1165" s="33" t="s">
        <v>268</v>
      </c>
      <c r="V1165" s="33"/>
      <c r="W1165" s="33" t="s">
        <v>268</v>
      </c>
      <c r="X1165" s="23" t="s">
        <v>221</v>
      </c>
      <c r="Y1165" s="49" t="str">
        <f t="shared" si="46"/>
        <v>Encerrado</v>
      </c>
      <c r="Z1165" s="62"/>
      <c r="AA1165" s="62"/>
      <c r="AB1165" s="64" t="s">
        <v>269</v>
      </c>
      <c r="AC1165" s="79"/>
      <c r="AD1165" s="54">
        <v>45187.0</v>
      </c>
      <c r="AE1165" s="77"/>
      <c r="AF1165" s="79"/>
      <c r="AG1165" s="79"/>
      <c r="AH1165" s="79"/>
      <c r="AI1165" s="79"/>
      <c r="AJ1165" s="79"/>
      <c r="AK1165" s="79"/>
      <c r="AL1165" s="79"/>
      <c r="AM1165" s="79"/>
      <c r="AN1165" s="79"/>
      <c r="AO1165" s="79"/>
      <c r="AP1165" s="79"/>
      <c r="AQ1165" s="65">
        <v>271055.88</v>
      </c>
      <c r="AR1165" s="65">
        <v>268541.05</v>
      </c>
      <c r="AS1165" s="65">
        <v>286445.02</v>
      </c>
      <c r="AT1165" s="65">
        <v>302609.96</v>
      </c>
      <c r="AU1165" s="65">
        <v>295032.11</v>
      </c>
      <c r="AV1165" s="65">
        <v>294811.89</v>
      </c>
      <c r="AW1165" s="65">
        <v>0.0</v>
      </c>
      <c r="AX1165" s="65">
        <v>0.0</v>
      </c>
      <c r="AY1165" s="65">
        <v>0.0</v>
      </c>
      <c r="AZ1165" s="65">
        <v>0.0</v>
      </c>
      <c r="BA1165" s="65">
        <v>0.0</v>
      </c>
      <c r="BB1165" s="65">
        <v>0.0</v>
      </c>
      <c r="BC1165" s="65">
        <v>0.0</v>
      </c>
      <c r="BD1165" s="65">
        <v>0.0</v>
      </c>
      <c r="BE1165" s="65">
        <v>0.0</v>
      </c>
      <c r="BF1165" s="65">
        <v>0.0</v>
      </c>
      <c r="BG1165" s="65">
        <v>0.0</v>
      </c>
      <c r="BH1165" s="65">
        <v>0.0</v>
      </c>
      <c r="BI1165" s="65">
        <v>0.0</v>
      </c>
      <c r="BJ1165" s="65">
        <v>0.0</v>
      </c>
      <c r="BK1165" s="65">
        <v>0.0</v>
      </c>
      <c r="BL1165" s="65">
        <v>0.0</v>
      </c>
      <c r="BM1165" s="65">
        <v>0.0</v>
      </c>
      <c r="BN1165" s="65">
        <v>0.0</v>
      </c>
      <c r="BO1165" s="65">
        <v>0.0</v>
      </c>
      <c r="BP1165" s="65">
        <v>0.0</v>
      </c>
      <c r="BQ1165" s="65">
        <v>0.0</v>
      </c>
      <c r="BR1165" s="65">
        <v>0.0</v>
      </c>
      <c r="BS1165" s="65">
        <v>0.0</v>
      </c>
      <c r="BT1165" s="88">
        <v>0.0</v>
      </c>
      <c r="BU1165" s="65">
        <v>0.0</v>
      </c>
      <c r="BV1165" s="65">
        <v>0.0</v>
      </c>
      <c r="BW1165" s="90">
        <v>0.0</v>
      </c>
      <c r="BX1165" s="90">
        <v>0.0</v>
      </c>
      <c r="BY1165" s="90" t="str">
        <f t="array" ref="BY1165">XLOOKUP(C1165,'PL TOTAL D0'!$A$3:$A$1991,'PL TOTAL D0'!$C$3:$C$1991,"")</f>
        <v/>
      </c>
    </row>
    <row r="1166" ht="15.75" customHeight="1">
      <c r="A1166" s="50" t="s">
        <v>24</v>
      </c>
      <c r="B1166" s="191" t="s">
        <v>9514</v>
      </c>
      <c r="C1166" s="94" t="s">
        <v>9515</v>
      </c>
      <c r="D1166" s="81" t="s">
        <v>120</v>
      </c>
      <c r="E1166" s="95" t="s">
        <v>54</v>
      </c>
      <c r="F1166" s="81" t="s">
        <v>1393</v>
      </c>
      <c r="G1166" s="47" t="str">
        <f t="shared" si="44"/>
        <v>David</v>
      </c>
      <c r="H1166" s="49" t="s">
        <v>183</v>
      </c>
      <c r="I1166" s="49" t="s">
        <v>382</v>
      </c>
      <c r="J1166" s="47" t="str">
        <f t="shared" si="52"/>
        <v>Não</v>
      </c>
      <c r="K1166" s="97">
        <v>45189.0</v>
      </c>
      <c r="L1166" s="62"/>
      <c r="M1166" s="62" t="s">
        <v>61</v>
      </c>
      <c r="N1166" s="98">
        <v>0.012</v>
      </c>
      <c r="O1166" s="47" t="s">
        <v>66</v>
      </c>
      <c r="P1166" s="99">
        <v>0.0</v>
      </c>
      <c r="Q1166" s="58"/>
      <c r="R1166" s="135" t="s">
        <v>9516</v>
      </c>
      <c r="S1166" s="62" t="s">
        <v>194</v>
      </c>
      <c r="T1166" s="32" t="s">
        <v>9517</v>
      </c>
      <c r="U1166" s="33">
        <v>5.562999774856E12</v>
      </c>
      <c r="V1166" s="33" t="s">
        <v>9518</v>
      </c>
      <c r="W1166" s="34">
        <v>23110.0</v>
      </c>
      <c r="X1166" s="23" t="s">
        <v>54</v>
      </c>
      <c r="Y1166" s="49" t="str">
        <f t="shared" si="46"/>
        <v>Ativo</v>
      </c>
      <c r="Z1166" s="62"/>
      <c r="AA1166" s="62"/>
      <c r="AB1166" s="64" t="s">
        <v>269</v>
      </c>
      <c r="AC1166" s="79"/>
      <c r="AD1166" s="54">
        <v>45189.0</v>
      </c>
      <c r="AE1166" s="77">
        <v>4.9075100012059E13</v>
      </c>
      <c r="AF1166" s="79"/>
      <c r="AG1166" s="79"/>
      <c r="AH1166" s="79"/>
      <c r="AI1166" s="79"/>
      <c r="AJ1166" s="79"/>
      <c r="AK1166" s="79"/>
      <c r="AL1166" s="79"/>
      <c r="AM1166" s="79"/>
      <c r="AN1166" s="79"/>
      <c r="AO1166" s="79"/>
      <c r="AP1166" s="79"/>
      <c r="AQ1166" s="65">
        <v>0.0</v>
      </c>
      <c r="AR1166" s="65">
        <v>0.0</v>
      </c>
      <c r="AS1166" s="65">
        <v>0.0</v>
      </c>
      <c r="AT1166" s="65">
        <v>51961.14</v>
      </c>
      <c r="AU1166" s="65">
        <v>203719.11</v>
      </c>
      <c r="AV1166" s="65">
        <v>205270.52</v>
      </c>
      <c r="AW1166" s="65">
        <v>207011.53</v>
      </c>
      <c r="AX1166" s="65">
        <v>208476.23</v>
      </c>
      <c r="AY1166" s="65">
        <v>209902.7</v>
      </c>
      <c r="AZ1166" s="65">
        <v>211435.5</v>
      </c>
      <c r="BA1166" s="65">
        <v>213102.6</v>
      </c>
      <c r="BB1166" s="65">
        <v>214609.54</v>
      </c>
      <c r="BC1166" s="65">
        <v>215969.35</v>
      </c>
      <c r="BD1166" s="65">
        <v>217858.73</v>
      </c>
      <c r="BE1166" s="65">
        <v>219439.71</v>
      </c>
      <c r="BF1166" s="65">
        <v>220509.34</v>
      </c>
      <c r="BG1166" s="65">
        <v>221289.09</v>
      </c>
      <c r="BH1166" s="65">
        <v>223482.14</v>
      </c>
      <c r="BI1166" s="65">
        <v>225822.35</v>
      </c>
      <c r="BJ1166" s="65">
        <v>228076.08</v>
      </c>
      <c r="BK1166" s="65">
        <v>230484.66</v>
      </c>
      <c r="BL1166" s="65">
        <v>232605.72</v>
      </c>
      <c r="BM1166" s="65">
        <v>235323.31</v>
      </c>
      <c r="BN1166" s="65">
        <v>237817.2</v>
      </c>
      <c r="BO1166" s="65">
        <v>240223.63</v>
      </c>
      <c r="BP1166" s="65">
        <v>243234.6</v>
      </c>
      <c r="BQ1166" s="65">
        <v>245361.3</v>
      </c>
      <c r="BR1166" s="65">
        <v>246711.4</v>
      </c>
      <c r="BS1166" s="65">
        <v>248862.69</v>
      </c>
      <c r="BT1166" s="88">
        <v>251041.1</v>
      </c>
      <c r="BU1166" s="65">
        <v>7271.17</v>
      </c>
      <c r="BV1166" s="65">
        <v>7366.23</v>
      </c>
      <c r="BW1166" s="90">
        <v>7471.47</v>
      </c>
      <c r="BX1166" s="90">
        <v>0.0</v>
      </c>
      <c r="BY1166" s="90" t="str">
        <f t="array" ref="BY1166">XLOOKUP(C1166,'PL TOTAL D0'!$A$3:$A$1991,'PL TOTAL D0'!$C$3:$C$1991,"")</f>
        <v/>
      </c>
    </row>
    <row r="1167" ht="15.75" customHeight="1">
      <c r="A1167" s="50" t="s">
        <v>24</v>
      </c>
      <c r="B1167" s="191" t="s">
        <v>9519</v>
      </c>
      <c r="C1167" s="94" t="s">
        <v>9520</v>
      </c>
      <c r="D1167" s="81" t="s">
        <v>120</v>
      </c>
      <c r="E1167" s="95" t="s">
        <v>54</v>
      </c>
      <c r="F1167" s="81" t="s">
        <v>1393</v>
      </c>
      <c r="G1167" s="47" t="str">
        <f t="shared" si="44"/>
        <v>David</v>
      </c>
      <c r="H1167" s="49" t="s">
        <v>295</v>
      </c>
      <c r="I1167" s="74" t="s">
        <v>756</v>
      </c>
      <c r="J1167" s="47" t="str">
        <f t="shared" si="52"/>
        <v>Não</v>
      </c>
      <c r="K1167" s="97">
        <v>45266.0</v>
      </c>
      <c r="L1167" s="62"/>
      <c r="M1167" s="62" t="s">
        <v>61</v>
      </c>
      <c r="N1167" s="98">
        <v>0.012</v>
      </c>
      <c r="O1167" s="47" t="s">
        <v>66</v>
      </c>
      <c r="P1167" s="99">
        <v>0.0</v>
      </c>
      <c r="Q1167" s="58"/>
      <c r="R1167" s="135"/>
      <c r="S1167" s="62" t="s">
        <v>194</v>
      </c>
      <c r="T1167" s="32" t="s">
        <v>9521</v>
      </c>
      <c r="U1167" s="33">
        <v>5.562999774856E12</v>
      </c>
      <c r="V1167" s="33" t="s">
        <v>9518</v>
      </c>
      <c r="W1167" s="34">
        <v>23110.0</v>
      </c>
      <c r="X1167" s="23" t="s">
        <v>54</v>
      </c>
      <c r="Y1167" s="49" t="str">
        <f t="shared" si="46"/>
        <v>Inativo</v>
      </c>
      <c r="Z1167" s="62"/>
      <c r="AA1167" s="62"/>
      <c r="AB1167" s="64" t="s">
        <v>269</v>
      </c>
      <c r="AC1167" s="79"/>
      <c r="AD1167" s="54">
        <v>45266.0</v>
      </c>
      <c r="AE1167" s="77">
        <v>4.9075100013063E13</v>
      </c>
      <c r="AF1167" s="79"/>
      <c r="AG1167" s="79"/>
      <c r="AH1167" s="79"/>
      <c r="AI1167" s="79"/>
      <c r="AJ1167" s="79"/>
      <c r="AK1167" s="79"/>
      <c r="AL1167" s="79"/>
      <c r="AM1167" s="79"/>
      <c r="AN1167" s="79"/>
      <c r="AO1167" s="79"/>
      <c r="AP1167" s="79"/>
      <c r="AQ1167" s="79"/>
      <c r="AR1167" s="79"/>
      <c r="AS1167" s="79"/>
      <c r="AT1167" s="65">
        <v>0.0</v>
      </c>
      <c r="AU1167" s="65">
        <v>0.0</v>
      </c>
      <c r="AV1167" s="65">
        <v>0.0</v>
      </c>
      <c r="AW1167" s="65">
        <v>0.0</v>
      </c>
      <c r="AX1167" s="65">
        <v>0.0</v>
      </c>
      <c r="AY1167" s="65">
        <v>0.0</v>
      </c>
      <c r="AZ1167" s="65">
        <v>0.0</v>
      </c>
      <c r="BA1167" s="65">
        <v>0.0</v>
      </c>
      <c r="BB1167" s="65">
        <v>0.0</v>
      </c>
      <c r="BC1167" s="65">
        <v>0.0</v>
      </c>
      <c r="BD1167" s="65">
        <v>0.0</v>
      </c>
      <c r="BE1167" s="65">
        <v>0.0</v>
      </c>
      <c r="BF1167" s="65">
        <v>0.0</v>
      </c>
      <c r="BG1167" s="65">
        <v>0.0</v>
      </c>
      <c r="BH1167" s="65">
        <v>0.0</v>
      </c>
      <c r="BI1167" s="65">
        <v>0.0</v>
      </c>
      <c r="BJ1167" s="65">
        <v>0.0</v>
      </c>
      <c r="BK1167" s="65">
        <v>0.0</v>
      </c>
      <c r="BL1167" s="65">
        <v>0.0</v>
      </c>
      <c r="BM1167" s="65">
        <v>0.0</v>
      </c>
      <c r="BN1167" s="65">
        <v>0.0</v>
      </c>
      <c r="BO1167" s="65">
        <v>0.0</v>
      </c>
      <c r="BP1167" s="65">
        <v>0.0</v>
      </c>
      <c r="BQ1167" s="65">
        <v>0.0</v>
      </c>
      <c r="BR1167" s="65">
        <v>0.0</v>
      </c>
      <c r="BS1167" s="65">
        <v>0.0</v>
      </c>
      <c r="BT1167" s="88">
        <v>0.0</v>
      </c>
      <c r="BU1167" s="65">
        <v>0.0</v>
      </c>
      <c r="BV1167" s="65">
        <v>0.0</v>
      </c>
      <c r="BW1167" s="90">
        <v>0.0</v>
      </c>
      <c r="BX1167" s="90">
        <v>0.0</v>
      </c>
      <c r="BY1167" s="90" t="str">
        <f t="array" ref="BY1167">XLOOKUP(C1167,'PL TOTAL D0'!$A$3:$A$1991,'PL TOTAL D0'!$C$3:$C$1991,"")</f>
        <v/>
      </c>
    </row>
    <row r="1168" ht="15.75" customHeight="1">
      <c r="A1168" s="50" t="s">
        <v>24</v>
      </c>
      <c r="B1168" s="322" t="s">
        <v>9522</v>
      </c>
      <c r="C1168" s="94" t="s">
        <v>3381</v>
      </c>
      <c r="D1168" s="81" t="s">
        <v>120</v>
      </c>
      <c r="E1168" s="95" t="s">
        <v>54</v>
      </c>
      <c r="F1168" s="30" t="s">
        <v>125</v>
      </c>
      <c r="G1168" s="47" t="str">
        <f t="shared" si="44"/>
        <v>David</v>
      </c>
      <c r="H1168" s="49" t="s">
        <v>183</v>
      </c>
      <c r="I1168" s="49" t="s">
        <v>66</v>
      </c>
      <c r="J1168" s="47" t="str">
        <f t="shared" si="52"/>
        <v>Sim</v>
      </c>
      <c r="K1168" s="54">
        <v>45700.0</v>
      </c>
      <c r="L1168" s="62"/>
      <c r="M1168" s="32" t="s">
        <v>61</v>
      </c>
      <c r="N1168" s="56">
        <v>0.012</v>
      </c>
      <c r="O1168" s="23" t="s">
        <v>66</v>
      </c>
      <c r="P1168" s="57">
        <v>0.0</v>
      </c>
      <c r="Q1168" s="58" t="s">
        <v>9523</v>
      </c>
      <c r="R1168" s="135"/>
      <c r="S1168" s="32" t="s">
        <v>234</v>
      </c>
      <c r="T1168" s="32" t="s">
        <v>9524</v>
      </c>
      <c r="U1168" s="33">
        <v>5.548999028708E12</v>
      </c>
      <c r="V1168" s="33" t="s">
        <v>9525</v>
      </c>
      <c r="W1168" s="34">
        <v>44607.0</v>
      </c>
      <c r="X1168" s="23" t="s">
        <v>1387</v>
      </c>
      <c r="Y1168" s="49" t="str">
        <f t="shared" si="46"/>
        <v>Ativo</v>
      </c>
      <c r="Z1168" s="62"/>
      <c r="AA1168" s="32" t="s">
        <v>107</v>
      </c>
      <c r="AB1168" s="64"/>
      <c r="AC1168" s="79"/>
      <c r="AD1168" s="54">
        <v>45702.0</v>
      </c>
      <c r="AE1168" s="77">
        <v>4.9075100018162E13</v>
      </c>
      <c r="AF1168" s="79"/>
      <c r="AG1168" s="79"/>
      <c r="AH1168" s="79"/>
      <c r="AI1168" s="79"/>
      <c r="AJ1168" s="79"/>
      <c r="AK1168" s="79"/>
      <c r="AL1168" s="79"/>
      <c r="AM1168" s="79"/>
      <c r="AN1168" s="79"/>
      <c r="AO1168" s="79"/>
      <c r="AP1168" s="79"/>
      <c r="AQ1168" s="79"/>
      <c r="AR1168" s="79"/>
      <c r="AS1168" s="79"/>
      <c r="AT1168" s="65"/>
      <c r="AU1168" s="65"/>
      <c r="AV1168" s="65"/>
      <c r="AW1168" s="65"/>
      <c r="AX1168" s="65"/>
      <c r="AY1168" s="65"/>
      <c r="AZ1168" s="65"/>
      <c r="BA1168" s="65"/>
      <c r="BB1168" s="65"/>
      <c r="BC1168" s="65"/>
      <c r="BD1168" s="65"/>
      <c r="BE1168" s="65"/>
      <c r="BF1168" s="65"/>
      <c r="BG1168" s="65"/>
      <c r="BH1168" s="65">
        <v>83356.89</v>
      </c>
      <c r="BI1168" s="65">
        <v>84258.52</v>
      </c>
      <c r="BJ1168" s="65">
        <v>85217.64</v>
      </c>
      <c r="BK1168" s="65">
        <v>86007.43</v>
      </c>
      <c r="BL1168" s="65">
        <v>86666.21</v>
      </c>
      <c r="BM1168" s="65">
        <v>87727.5</v>
      </c>
      <c r="BN1168" s="65">
        <v>88391.8</v>
      </c>
      <c r="BO1168" s="65">
        <v>89340.46</v>
      </c>
      <c r="BP1168" s="65">
        <v>89821.34</v>
      </c>
      <c r="BQ1168" s="65">
        <v>90460.44</v>
      </c>
      <c r="BR1168" s="65">
        <v>91482.73</v>
      </c>
      <c r="BS1168" s="65">
        <v>92426.72</v>
      </c>
      <c r="BT1168" s="88">
        <v>92684.38</v>
      </c>
      <c r="BU1168" s="65">
        <v>73288.87</v>
      </c>
      <c r="BV1168" s="65">
        <v>73978.98</v>
      </c>
      <c r="BW1168" s="90">
        <v>74356.21</v>
      </c>
      <c r="BX1168" s="90">
        <v>74968.74</v>
      </c>
      <c r="BY1168" s="90">
        <f t="array" ref="BY1168">XLOOKUP(C1168,'PL TOTAL D0'!$A$3:$A$1991,'PL TOTAL D0'!$C$3:$C$1991,"")</f>
        <v>75688.3</v>
      </c>
    </row>
    <row r="1169" ht="15.75" customHeight="1">
      <c r="A1169" s="50" t="s">
        <v>24</v>
      </c>
      <c r="B1169" s="50" t="s">
        <v>9526</v>
      </c>
      <c r="C1169" s="94" t="s">
        <v>9527</v>
      </c>
      <c r="D1169" s="81" t="s">
        <v>120</v>
      </c>
      <c r="E1169" s="95" t="s">
        <v>199</v>
      </c>
      <c r="F1169" s="81" t="s">
        <v>677</v>
      </c>
      <c r="G1169" s="47" t="str">
        <f t="shared" si="44"/>
        <v>David</v>
      </c>
      <c r="H1169" s="49" t="s">
        <v>224</v>
      </c>
      <c r="I1169" s="49" t="s">
        <v>66</v>
      </c>
      <c r="J1169" s="47" t="str">
        <f t="shared" si="52"/>
        <v>Não</v>
      </c>
      <c r="K1169" s="97">
        <v>45036.0</v>
      </c>
      <c r="L1169" s="940">
        <v>45786.0</v>
      </c>
      <c r="M1169" s="62" t="s">
        <v>61</v>
      </c>
      <c r="N1169" s="98">
        <v>0.012</v>
      </c>
      <c r="O1169" s="47" t="s">
        <v>66</v>
      </c>
      <c r="P1169" s="99">
        <v>0.0</v>
      </c>
      <c r="Q1169" s="58"/>
      <c r="R1169" s="58" t="s">
        <v>8313</v>
      </c>
      <c r="S1169" s="62" t="s">
        <v>194</v>
      </c>
      <c r="T1169" s="32" t="s">
        <v>9528</v>
      </c>
      <c r="U1169" s="33" t="s">
        <v>268</v>
      </c>
      <c r="V1169" s="33"/>
      <c r="W1169" s="33" t="s">
        <v>268</v>
      </c>
      <c r="X1169" s="23" t="s">
        <v>397</v>
      </c>
      <c r="Y1169" s="49" t="str">
        <f t="shared" si="46"/>
        <v>Encerrado</v>
      </c>
      <c r="Z1169" s="62"/>
      <c r="AA1169" s="62"/>
      <c r="AB1169" s="64" t="s">
        <v>269</v>
      </c>
      <c r="AC1169" s="79"/>
      <c r="AD1169" s="54">
        <v>45036.0</v>
      </c>
      <c r="AE1169" s="77">
        <v>4.9075100009953E13</v>
      </c>
      <c r="AF1169" s="79"/>
      <c r="AG1169" s="79"/>
      <c r="AH1169" s="79"/>
      <c r="AI1169" s="79"/>
      <c r="AJ1169" s="79"/>
      <c r="AK1169" s="65">
        <v>0.0</v>
      </c>
      <c r="AL1169" s="65">
        <v>85514.69</v>
      </c>
      <c r="AM1169" s="65">
        <v>86409.5</v>
      </c>
      <c r="AN1169" s="65">
        <v>87159.14</v>
      </c>
      <c r="AO1169" s="65">
        <v>82858.01</v>
      </c>
      <c r="AP1169" s="65">
        <v>62827.66</v>
      </c>
      <c r="AQ1169" s="65">
        <v>63325.05</v>
      </c>
      <c r="AR1169" s="65">
        <v>63743.87</v>
      </c>
      <c r="AS1169" s="65">
        <v>64221.09</v>
      </c>
      <c r="AT1169" s="65">
        <v>64717.11</v>
      </c>
      <c r="AU1169" s="65">
        <v>60179.48</v>
      </c>
      <c r="AV1169" s="65">
        <v>72562.69</v>
      </c>
      <c r="AW1169" s="65">
        <v>73158.95</v>
      </c>
      <c r="AX1169" s="65">
        <v>68289.39</v>
      </c>
      <c r="AY1169" s="65">
        <v>62801.07</v>
      </c>
      <c r="AZ1169" s="65">
        <v>79304.91</v>
      </c>
      <c r="BA1169" s="65">
        <v>104595.4</v>
      </c>
      <c r="BB1169" s="65">
        <v>105467.55</v>
      </c>
      <c r="BC1169" s="65">
        <v>75533.95</v>
      </c>
      <c r="BD1169" s="65">
        <v>65568.77</v>
      </c>
      <c r="BE1169" s="65">
        <v>66008.7</v>
      </c>
      <c r="BF1169" s="65">
        <v>56509.43</v>
      </c>
      <c r="BG1169" s="65">
        <v>56952.8</v>
      </c>
      <c r="BH1169" s="65">
        <v>57296.8</v>
      </c>
      <c r="BI1169" s="65">
        <v>57851.7</v>
      </c>
      <c r="BJ1169" s="65">
        <v>58393.97</v>
      </c>
      <c r="BK1169" s="65">
        <v>0.0</v>
      </c>
      <c r="BL1169" s="65">
        <v>0.0</v>
      </c>
      <c r="BM1169" s="65">
        <v>0.0</v>
      </c>
      <c r="BN1169" s="65">
        <v>0.0</v>
      </c>
      <c r="BO1169" s="65">
        <v>0.0</v>
      </c>
      <c r="BP1169" s="65">
        <v>0.0</v>
      </c>
      <c r="BQ1169" s="65">
        <v>0.0</v>
      </c>
      <c r="BR1169" s="65">
        <v>0.0</v>
      </c>
      <c r="BS1169" s="65">
        <v>0.0</v>
      </c>
      <c r="BT1169" s="88">
        <v>0.0</v>
      </c>
      <c r="BU1169" s="65">
        <v>0.0</v>
      </c>
      <c r="BV1169" s="65">
        <v>0.0</v>
      </c>
      <c r="BW1169" s="90">
        <v>0.0</v>
      </c>
      <c r="BX1169" s="90">
        <v>0.0</v>
      </c>
      <c r="BY1169" s="90" t="str">
        <f t="array" ref="BY1169">XLOOKUP(C1169,'PL TOTAL D0'!$A$3:$A$1991,'PL TOTAL D0'!$C$3:$C$1991,"")</f>
        <v/>
      </c>
    </row>
    <row r="1170" ht="15.75" customHeight="1">
      <c r="A1170" s="50" t="s">
        <v>24</v>
      </c>
      <c r="B1170" s="50" t="s">
        <v>9529</v>
      </c>
      <c r="C1170" s="94" t="s">
        <v>2581</v>
      </c>
      <c r="D1170" s="30" t="s">
        <v>120</v>
      </c>
      <c r="E1170" s="95" t="s">
        <v>199</v>
      </c>
      <c r="F1170" s="30" t="s">
        <v>290</v>
      </c>
      <c r="G1170" s="47" t="str">
        <f t="shared" si="44"/>
        <v>Marcus</v>
      </c>
      <c r="H1170" s="74" t="s">
        <v>183</v>
      </c>
      <c r="I1170" s="74" t="s">
        <v>66</v>
      </c>
      <c r="J1170" s="47" t="str">
        <f t="shared" si="52"/>
        <v>Não</v>
      </c>
      <c r="K1170" s="97">
        <v>45007.0</v>
      </c>
      <c r="L1170" s="62"/>
      <c r="M1170" s="62" t="s">
        <v>61</v>
      </c>
      <c r="N1170" s="98">
        <v>0.008</v>
      </c>
      <c r="O1170" s="47" t="s">
        <v>66</v>
      </c>
      <c r="P1170" s="99">
        <v>0.0</v>
      </c>
      <c r="Q1170" s="58"/>
      <c r="R1170" s="635"/>
      <c r="S1170" s="62" t="s">
        <v>194</v>
      </c>
      <c r="T1170" s="32" t="s">
        <v>7656</v>
      </c>
      <c r="U1170" s="33">
        <v>5.561999090845E12</v>
      </c>
      <c r="V1170" s="33" t="s">
        <v>9530</v>
      </c>
      <c r="W1170" s="48">
        <v>19353.0</v>
      </c>
      <c r="X1170" s="23" t="s">
        <v>199</v>
      </c>
      <c r="Y1170" s="49" t="str">
        <f t="shared" si="46"/>
        <v>Ativo</v>
      </c>
      <c r="Z1170" s="62"/>
      <c r="AA1170" s="62"/>
      <c r="AB1170" s="64" t="s">
        <v>269</v>
      </c>
      <c r="AC1170" s="79"/>
      <c r="AD1170" s="54">
        <v>45007.0</v>
      </c>
      <c r="AE1170" s="77">
        <v>4.907510000957E13</v>
      </c>
      <c r="AF1170" s="79"/>
      <c r="AG1170" s="79"/>
      <c r="AH1170" s="79"/>
      <c r="AI1170" s="79"/>
      <c r="AJ1170" s="65">
        <v>0.0</v>
      </c>
      <c r="AK1170" s="65">
        <v>1114382.73</v>
      </c>
      <c r="AL1170" s="65">
        <v>1265154.49</v>
      </c>
      <c r="AM1170" s="65">
        <v>1292029.39</v>
      </c>
      <c r="AN1170" s="65">
        <v>1318217.79</v>
      </c>
      <c r="AO1170" s="65">
        <v>1335930.6</v>
      </c>
      <c r="AP1170" s="65">
        <v>1353480.45</v>
      </c>
      <c r="AQ1170" s="65">
        <v>1357618.63</v>
      </c>
      <c r="AR1170" s="65">
        <v>1363068.73</v>
      </c>
      <c r="AS1170" s="65">
        <v>1374316.22</v>
      </c>
      <c r="AT1170" s="65">
        <v>1396649.65</v>
      </c>
      <c r="AU1170" s="65">
        <v>1404760.32</v>
      </c>
      <c r="AV1170" s="65">
        <v>1415066.32</v>
      </c>
      <c r="AW1170" s="65">
        <v>1428887.09</v>
      </c>
      <c r="AX1170" s="65">
        <v>1435742.86</v>
      </c>
      <c r="AY1170" s="65">
        <v>1457062.0</v>
      </c>
      <c r="AZ1170" s="65">
        <v>1468738.0</v>
      </c>
      <c r="BA1170" s="65">
        <v>1500159.0</v>
      </c>
      <c r="BB1170" s="65">
        <v>1522481.91</v>
      </c>
      <c r="BC1170" s="65">
        <v>1532102.84</v>
      </c>
      <c r="BD1170" s="65">
        <v>1544569.2</v>
      </c>
      <c r="BE1170" s="65">
        <v>1569877.03</v>
      </c>
      <c r="BF1170" s="65">
        <v>1580732.18</v>
      </c>
      <c r="BG1170" s="65">
        <v>1596578.73</v>
      </c>
      <c r="BH1170" s="65">
        <v>1611892.86</v>
      </c>
      <c r="BI1170" s="65">
        <v>1655785.86</v>
      </c>
      <c r="BJ1170" s="65">
        <v>1674458.36</v>
      </c>
      <c r="BK1170" s="65">
        <v>1701019.74</v>
      </c>
      <c r="BL1170" s="65">
        <v>1716318.24</v>
      </c>
      <c r="BM1170" s="65">
        <v>1754347.55</v>
      </c>
      <c r="BN1170" s="65">
        <v>1771822.0</v>
      </c>
      <c r="BO1170" s="65">
        <v>1786767.41</v>
      </c>
      <c r="BP1170" s="65">
        <v>1804448.0</v>
      </c>
      <c r="BQ1170" s="65">
        <v>1818466.0</v>
      </c>
      <c r="BR1170" s="65">
        <v>1833764.0</v>
      </c>
      <c r="BS1170" s="65">
        <v>1851387.04</v>
      </c>
      <c r="BT1170" s="88">
        <v>1865219.0</v>
      </c>
      <c r="BU1170" s="65">
        <v>1886401.0</v>
      </c>
      <c r="BV1170" s="65">
        <v>1907884.0</v>
      </c>
      <c r="BW1170" s="90">
        <v>1926208.0</v>
      </c>
      <c r="BX1170" s="90">
        <v>1956296.78</v>
      </c>
      <c r="BY1170" s="90">
        <f t="array" ref="BY1170">XLOOKUP(C1170,'PL TOTAL D0'!$A$3:$A$1991,'PL TOTAL D0'!$C$3:$C$1991,"")</f>
        <v>1980195.46</v>
      </c>
    </row>
    <row r="1171" ht="15.75" customHeight="1">
      <c r="A1171" s="50" t="s">
        <v>24</v>
      </c>
      <c r="B1171" s="50" t="s">
        <v>2378</v>
      </c>
      <c r="C1171" s="94" t="s">
        <v>9531</v>
      </c>
      <c r="D1171" s="81" t="s">
        <v>120</v>
      </c>
      <c r="E1171" s="95" t="s">
        <v>199</v>
      </c>
      <c r="F1171" s="81" t="s">
        <v>212</v>
      </c>
      <c r="G1171" s="47" t="str">
        <f t="shared" si="44"/>
        <v>David</v>
      </c>
      <c r="H1171" s="49" t="s">
        <v>224</v>
      </c>
      <c r="I1171" s="49" t="s">
        <v>66</v>
      </c>
      <c r="J1171" s="47" t="str">
        <f t="shared" si="52"/>
        <v>Não</v>
      </c>
      <c r="K1171" s="97">
        <v>44973.0</v>
      </c>
      <c r="L1171" s="55">
        <v>46113.0</v>
      </c>
      <c r="M1171" s="62" t="s">
        <v>61</v>
      </c>
      <c r="N1171" s="98">
        <v>0.012</v>
      </c>
      <c r="O1171" s="47" t="s">
        <v>66</v>
      </c>
      <c r="P1171" s="99">
        <v>0.0</v>
      </c>
      <c r="Q1171" s="58"/>
      <c r="R1171" s="635"/>
      <c r="S1171" s="62" t="s">
        <v>194</v>
      </c>
      <c r="T1171" s="32" t="s">
        <v>2381</v>
      </c>
      <c r="U1171" s="33">
        <v>5.561992567828E12</v>
      </c>
      <c r="V1171" s="33" t="s">
        <v>9532</v>
      </c>
      <c r="W1171" s="34">
        <v>22748.0</v>
      </c>
      <c r="X1171" s="23" t="s">
        <v>199</v>
      </c>
      <c r="Y1171" s="49" t="str">
        <f t="shared" si="46"/>
        <v>Encerrado</v>
      </c>
      <c r="Z1171" s="62"/>
      <c r="AA1171" s="62"/>
      <c r="AB1171" s="64" t="s">
        <v>269</v>
      </c>
      <c r="AC1171" s="79"/>
      <c r="AD1171" s="54">
        <v>44973.0</v>
      </c>
      <c r="AE1171" s="77">
        <v>4.9075100006393E13</v>
      </c>
      <c r="AF1171" s="79"/>
      <c r="AG1171" s="79"/>
      <c r="AH1171" s="79"/>
      <c r="AI1171" s="65">
        <v>300030.53</v>
      </c>
      <c r="AJ1171" s="65">
        <v>594851.69</v>
      </c>
      <c r="AK1171" s="65">
        <v>600854.27</v>
      </c>
      <c r="AL1171" s="65">
        <v>605246.45</v>
      </c>
      <c r="AM1171" s="65">
        <v>611790.0</v>
      </c>
      <c r="AN1171" s="65">
        <v>622860.35</v>
      </c>
      <c r="AO1171" s="65">
        <v>628230.14</v>
      </c>
      <c r="AP1171" s="65">
        <v>604525.29</v>
      </c>
      <c r="AQ1171" s="65">
        <v>609812.97</v>
      </c>
      <c r="AR1171" s="65">
        <v>615699.79</v>
      </c>
      <c r="AS1171" s="65">
        <v>620481.32</v>
      </c>
      <c r="AT1171" s="65">
        <v>500838.24</v>
      </c>
      <c r="AU1171" s="65">
        <v>504606.41</v>
      </c>
      <c r="AV1171" s="65">
        <v>198582.56</v>
      </c>
      <c r="AW1171" s="65">
        <v>200155.63</v>
      </c>
      <c r="AX1171" s="65">
        <v>201749.15</v>
      </c>
      <c r="AY1171" s="65">
        <v>137815.0</v>
      </c>
      <c r="AZ1171" s="65">
        <v>138793.5</v>
      </c>
      <c r="BA1171" s="65">
        <v>140026.2</v>
      </c>
      <c r="BB1171" s="65">
        <v>141246.81</v>
      </c>
      <c r="BC1171" s="65">
        <v>141104.17</v>
      </c>
      <c r="BD1171" s="65">
        <v>142385.94</v>
      </c>
      <c r="BE1171" s="65">
        <v>143442.3</v>
      </c>
      <c r="BF1171" s="65">
        <v>143989.76</v>
      </c>
      <c r="BG1171" s="65">
        <v>145328.52</v>
      </c>
      <c r="BH1171" s="65">
        <v>146610.81</v>
      </c>
      <c r="BI1171" s="65">
        <v>147586.61</v>
      </c>
      <c r="BJ1171" s="65">
        <v>148990.7</v>
      </c>
      <c r="BK1171" s="65">
        <v>150493.22</v>
      </c>
      <c r="BL1171" s="65">
        <v>151142.63</v>
      </c>
      <c r="BM1171" s="65">
        <v>152830.23</v>
      </c>
      <c r="BN1171" s="65">
        <v>154336.8</v>
      </c>
      <c r="BO1171" s="65">
        <v>158990.21</v>
      </c>
      <c r="BP1171" s="65">
        <v>157259.6</v>
      </c>
      <c r="BQ1171" s="65">
        <v>158582.8</v>
      </c>
      <c r="BR1171" s="65">
        <v>160088.5</v>
      </c>
      <c r="BS1171" s="65">
        <v>0.0</v>
      </c>
      <c r="BT1171" s="88">
        <v>0.0</v>
      </c>
      <c r="BU1171" s="65">
        <v>0.0</v>
      </c>
      <c r="BV1171" s="65">
        <v>0.0</v>
      </c>
      <c r="BW1171" s="90">
        <v>0.0</v>
      </c>
      <c r="BX1171" s="90">
        <v>0.0</v>
      </c>
      <c r="BY1171" s="90" t="str">
        <f t="array" ref="BY1171">XLOOKUP(C1171,'PL TOTAL D0'!$A$3:$A$1991,'PL TOTAL D0'!$C$3:$C$1991,"")</f>
        <v/>
      </c>
    </row>
    <row r="1172" ht="15.75" customHeight="1">
      <c r="A1172" s="50" t="s">
        <v>24</v>
      </c>
      <c r="B1172" s="43" t="s">
        <v>9533</v>
      </c>
      <c r="C1172" s="53" t="s">
        <v>3183</v>
      </c>
      <c r="D1172" s="30" t="s">
        <v>142</v>
      </c>
      <c r="E1172" s="22" t="s">
        <v>54</v>
      </c>
      <c r="F1172" s="30" t="s">
        <v>158</v>
      </c>
      <c r="G1172" s="47" t="str">
        <f t="shared" si="44"/>
        <v>David</v>
      </c>
      <c r="H1172" s="49" t="s">
        <v>183</v>
      </c>
      <c r="I1172" s="49" t="s">
        <v>66</v>
      </c>
      <c r="J1172" s="47" t="str">
        <f t="shared" si="52"/>
        <v>Não</v>
      </c>
      <c r="K1172" s="54">
        <v>46174.0</v>
      </c>
      <c r="L1172" s="55"/>
      <c r="M1172" s="32" t="s">
        <v>61</v>
      </c>
      <c r="N1172" s="56">
        <v>0.012</v>
      </c>
      <c r="O1172" s="23" t="s">
        <v>66</v>
      </c>
      <c r="P1172" s="57">
        <v>0.0</v>
      </c>
      <c r="Q1172" s="58"/>
      <c r="R1172" s="635"/>
      <c r="S1172" s="32" t="s">
        <v>194</v>
      </c>
      <c r="T1172" s="32" t="s">
        <v>9534</v>
      </c>
      <c r="U1172" s="33" t="s">
        <v>9535</v>
      </c>
      <c r="V1172" s="33" t="s">
        <v>9536</v>
      </c>
      <c r="W1172" s="34">
        <v>19464.0</v>
      </c>
      <c r="X1172" s="23" t="s">
        <v>54</v>
      </c>
      <c r="Y1172" s="49" t="str">
        <f t="shared" si="46"/>
        <v>Ativo</v>
      </c>
      <c r="Z1172" s="62"/>
      <c r="AA1172" s="32" t="s">
        <v>47</v>
      </c>
      <c r="AB1172" s="64"/>
      <c r="AC1172" s="79"/>
      <c r="AD1172" s="54">
        <v>46203.0</v>
      </c>
      <c r="AE1172" s="77"/>
      <c r="AF1172" s="79"/>
      <c r="AG1172" s="79"/>
      <c r="AH1172" s="79"/>
      <c r="AI1172" s="65"/>
      <c r="AJ1172" s="65"/>
      <c r="AK1172" s="65"/>
      <c r="AL1172" s="65"/>
      <c r="AM1172" s="65"/>
      <c r="AN1172" s="65"/>
      <c r="AO1172" s="65"/>
      <c r="AP1172" s="65"/>
      <c r="AQ1172" s="65"/>
      <c r="AR1172" s="65"/>
      <c r="AS1172" s="65"/>
      <c r="AT1172" s="65"/>
      <c r="AU1172" s="65"/>
      <c r="AV1172" s="65"/>
      <c r="AW1172" s="65"/>
      <c r="AX1172" s="65"/>
      <c r="AY1172" s="65"/>
      <c r="AZ1172" s="65"/>
      <c r="BA1172" s="65"/>
      <c r="BB1172" s="65"/>
      <c r="BC1172" s="65"/>
      <c r="BD1172" s="65"/>
      <c r="BE1172" s="65"/>
      <c r="BF1172" s="65"/>
      <c r="BG1172" s="65"/>
      <c r="BH1172" s="65"/>
      <c r="BI1172" s="65"/>
      <c r="BJ1172" s="65"/>
      <c r="BK1172" s="65"/>
      <c r="BL1172" s="65"/>
      <c r="BM1172" s="65"/>
      <c r="BN1172" s="65"/>
      <c r="BO1172" s="65"/>
      <c r="BP1172" s="65"/>
      <c r="BQ1172" s="65"/>
      <c r="BR1172" s="65"/>
      <c r="BS1172" s="65"/>
      <c r="BT1172" s="88"/>
      <c r="BU1172" s="65"/>
      <c r="BV1172" s="65"/>
      <c r="BW1172" s="90"/>
      <c r="BX1172" s="90">
        <v>181073.15</v>
      </c>
      <c r="BY1172" s="90">
        <f t="array" ref="BY1172">XLOOKUP(C1172,'PL TOTAL D0'!$A$3:$A$1991,'PL TOTAL D0'!$C$3:$C$1991,"")</f>
        <v>183262.54</v>
      </c>
    </row>
    <row r="1173" ht="15.75" customHeight="1">
      <c r="A1173" s="50" t="s">
        <v>24</v>
      </c>
      <c r="B1173" s="50" t="s">
        <v>9537</v>
      </c>
      <c r="C1173" s="94" t="s">
        <v>9538</v>
      </c>
      <c r="D1173" s="81" t="s">
        <v>255</v>
      </c>
      <c r="E1173" s="95" t="s">
        <v>199</v>
      </c>
      <c r="F1173" s="81" t="s">
        <v>4952</v>
      </c>
      <c r="G1173" s="47" t="str">
        <f t="shared" si="44"/>
        <v>David</v>
      </c>
      <c r="H1173" s="74" t="s">
        <v>224</v>
      </c>
      <c r="I1173" s="74" t="s">
        <v>66</v>
      </c>
      <c r="J1173" s="47" t="str">
        <f t="shared" si="52"/>
        <v>Não</v>
      </c>
      <c r="K1173" s="97">
        <v>45068.0</v>
      </c>
      <c r="L1173" s="194">
        <v>45126.0</v>
      </c>
      <c r="M1173" s="62" t="s">
        <v>61</v>
      </c>
      <c r="N1173" s="98">
        <v>0.012</v>
      </c>
      <c r="O1173" s="47" t="s">
        <v>66</v>
      </c>
      <c r="P1173" s="99">
        <v>0.0</v>
      </c>
      <c r="Q1173" s="58"/>
      <c r="R1173" s="70"/>
      <c r="S1173" s="62" t="s">
        <v>194</v>
      </c>
      <c r="T1173" s="32" t="s">
        <v>9539</v>
      </c>
      <c r="U1173" s="33" t="s">
        <v>268</v>
      </c>
      <c r="V1173" s="33"/>
      <c r="W1173" s="33" t="s">
        <v>268</v>
      </c>
      <c r="X1173" s="23" t="s">
        <v>199</v>
      </c>
      <c r="Y1173" s="49" t="str">
        <f t="shared" si="46"/>
        <v>Encerrado</v>
      </c>
      <c r="Z1173" s="62"/>
      <c r="AA1173" s="62"/>
      <c r="AB1173" s="64"/>
      <c r="AC1173" s="79"/>
      <c r="AD1173" s="54">
        <v>45068.0</v>
      </c>
      <c r="AE1173" s="77"/>
      <c r="AF1173" s="79"/>
      <c r="AG1173" s="79"/>
      <c r="AH1173" s="79"/>
      <c r="AI1173" s="79"/>
      <c r="AJ1173" s="79"/>
      <c r="AK1173" s="79"/>
      <c r="AL1173" s="65">
        <v>0.0</v>
      </c>
      <c r="AM1173" s="65">
        <v>2455150.22</v>
      </c>
      <c r="AN1173" s="65">
        <v>2474330.36</v>
      </c>
      <c r="AO1173" s="65">
        <v>0.0</v>
      </c>
      <c r="AP1173" s="65">
        <v>0.0</v>
      </c>
      <c r="AQ1173" s="65">
        <v>0.0</v>
      </c>
      <c r="AR1173" s="65">
        <v>0.0</v>
      </c>
      <c r="AS1173" s="65">
        <v>0.0</v>
      </c>
      <c r="AT1173" s="65">
        <v>0.0</v>
      </c>
      <c r="AU1173" s="65">
        <v>0.0</v>
      </c>
      <c r="AV1173" s="65">
        <v>0.0</v>
      </c>
      <c r="AW1173" s="65">
        <v>0.0</v>
      </c>
      <c r="AX1173" s="65">
        <v>0.0</v>
      </c>
      <c r="AY1173" s="65">
        <v>0.0</v>
      </c>
      <c r="AZ1173" s="65">
        <v>0.0</v>
      </c>
      <c r="BA1173" s="65">
        <v>0.0</v>
      </c>
      <c r="BB1173" s="65">
        <v>0.0</v>
      </c>
      <c r="BC1173" s="65">
        <v>0.0</v>
      </c>
      <c r="BD1173" s="65">
        <v>0.0</v>
      </c>
      <c r="BE1173" s="65">
        <v>0.0</v>
      </c>
      <c r="BF1173" s="65">
        <v>0.0</v>
      </c>
      <c r="BG1173" s="65">
        <v>0.0</v>
      </c>
      <c r="BH1173" s="65">
        <v>0.0</v>
      </c>
      <c r="BI1173" s="65">
        <v>0.0</v>
      </c>
      <c r="BJ1173" s="65">
        <v>0.0</v>
      </c>
      <c r="BK1173" s="65">
        <v>0.0</v>
      </c>
      <c r="BL1173" s="65">
        <v>0.0</v>
      </c>
      <c r="BM1173" s="65">
        <v>0.0</v>
      </c>
      <c r="BN1173" s="65">
        <v>0.0</v>
      </c>
      <c r="BO1173" s="65">
        <v>0.0</v>
      </c>
      <c r="BP1173" s="65">
        <v>0.0</v>
      </c>
      <c r="BQ1173" s="65">
        <v>0.0</v>
      </c>
      <c r="BR1173" s="65">
        <v>0.0</v>
      </c>
      <c r="BS1173" s="65">
        <v>0.0</v>
      </c>
      <c r="BT1173" s="88">
        <v>0.0</v>
      </c>
      <c r="BU1173" s="65">
        <v>0.0</v>
      </c>
      <c r="BV1173" s="65">
        <v>0.0</v>
      </c>
      <c r="BW1173" s="90">
        <v>0.0</v>
      </c>
      <c r="BX1173" s="90">
        <v>0.0</v>
      </c>
      <c r="BY1173" s="90" t="str">
        <f t="array" ref="BY1173">XLOOKUP(C1173,'PL TOTAL D0'!$A$3:$A$1991,'PL TOTAL D0'!$C$3:$C$1991,"")</f>
        <v/>
      </c>
    </row>
    <row r="1174" ht="15.75" customHeight="1">
      <c r="A1174" s="50" t="s">
        <v>24</v>
      </c>
      <c r="B1174" s="43" t="s">
        <v>9540</v>
      </c>
      <c r="C1174" s="94" t="s">
        <v>2843</v>
      </c>
      <c r="D1174" s="30" t="s">
        <v>142</v>
      </c>
      <c r="E1174" s="22" t="s">
        <v>54</v>
      </c>
      <c r="F1174" s="30" t="s">
        <v>158</v>
      </c>
      <c r="G1174" s="47" t="str">
        <f t="shared" si="44"/>
        <v>Gabriel</v>
      </c>
      <c r="H1174" s="49" t="s">
        <v>183</v>
      </c>
      <c r="I1174" s="49" t="s">
        <v>66</v>
      </c>
      <c r="J1174" s="47" t="str">
        <f t="shared" si="52"/>
        <v>Sim</v>
      </c>
      <c r="K1174" s="54">
        <v>45463.0</v>
      </c>
      <c r="L1174" s="194"/>
      <c r="M1174" s="32" t="s">
        <v>61</v>
      </c>
      <c r="N1174" s="56">
        <v>0.012</v>
      </c>
      <c r="O1174" s="23" t="s">
        <v>66</v>
      </c>
      <c r="P1174" s="57">
        <v>0.0</v>
      </c>
      <c r="Q1174" s="58" t="s">
        <v>9541</v>
      </c>
      <c r="R1174" s="70"/>
      <c r="S1174" s="32" t="s">
        <v>194</v>
      </c>
      <c r="T1174" s="32" t="s">
        <v>9542</v>
      </c>
      <c r="U1174" s="33">
        <v>6.2991116903E10</v>
      </c>
      <c r="V1174" s="33" t="s">
        <v>9543</v>
      </c>
      <c r="W1174" s="34">
        <v>28095.0</v>
      </c>
      <c r="X1174" s="23" t="s">
        <v>54</v>
      </c>
      <c r="Y1174" s="49" t="str">
        <f t="shared" si="46"/>
        <v>Ativo</v>
      </c>
      <c r="Z1174" s="32"/>
      <c r="AA1174" s="32" t="s">
        <v>165</v>
      </c>
      <c r="AB1174" s="64" t="s">
        <v>269</v>
      </c>
      <c r="AC1174" s="79"/>
      <c r="AD1174" s="54">
        <v>45463.0</v>
      </c>
      <c r="AE1174" s="77">
        <v>4.9075100015201E13</v>
      </c>
      <c r="AF1174" s="79"/>
      <c r="AG1174" s="79"/>
      <c r="AH1174" s="79"/>
      <c r="AI1174" s="79"/>
      <c r="AJ1174" s="79"/>
      <c r="AK1174" s="79"/>
      <c r="AL1174" s="79"/>
      <c r="AM1174" s="79"/>
      <c r="AN1174" s="79"/>
      <c r="AO1174" s="79"/>
      <c r="AP1174" s="79"/>
      <c r="AQ1174" s="79"/>
      <c r="AR1174" s="79"/>
      <c r="AS1174" s="79"/>
      <c r="AT1174" s="79"/>
      <c r="AU1174" s="79"/>
      <c r="AV1174" s="65"/>
      <c r="AW1174" s="65"/>
      <c r="AX1174" s="65"/>
      <c r="AY1174" s="65"/>
      <c r="AZ1174" s="65">
        <v>422558.4</v>
      </c>
      <c r="BA1174" s="65">
        <v>748957.4</v>
      </c>
      <c r="BB1174" s="65">
        <v>754509.47</v>
      </c>
      <c r="BC1174" s="65">
        <v>758747.25</v>
      </c>
      <c r="BD1174" s="65">
        <v>775113.26</v>
      </c>
      <c r="BE1174" s="65">
        <v>780552.68</v>
      </c>
      <c r="BF1174" s="65">
        <v>786979.23</v>
      </c>
      <c r="BG1174" s="65">
        <v>742624.13</v>
      </c>
      <c r="BH1174" s="65">
        <v>748657.3</v>
      </c>
      <c r="BI1174" s="65">
        <v>755079.6</v>
      </c>
      <c r="BJ1174" s="65">
        <v>762343.97</v>
      </c>
      <c r="BK1174" s="65">
        <v>769116.28</v>
      </c>
      <c r="BL1174" s="65">
        <v>775205.25</v>
      </c>
      <c r="BM1174" s="65">
        <v>785406.56</v>
      </c>
      <c r="BN1174" s="65">
        <v>793687.7</v>
      </c>
      <c r="BO1174" s="65">
        <v>801976.2</v>
      </c>
      <c r="BP1174" s="65">
        <v>716595.0</v>
      </c>
      <c r="BQ1174" s="65">
        <v>718754.7</v>
      </c>
      <c r="BR1174" s="65">
        <v>727273.2</v>
      </c>
      <c r="BS1174" s="65">
        <v>634029.61</v>
      </c>
      <c r="BT1174" s="88">
        <v>634583.4</v>
      </c>
      <c r="BU1174" s="65">
        <v>624489.6</v>
      </c>
      <c r="BV1174" s="65">
        <v>652025.0</v>
      </c>
      <c r="BW1174" s="90">
        <v>670496.9</v>
      </c>
      <c r="BX1174" s="90">
        <v>669079.79</v>
      </c>
      <c r="BY1174" s="90">
        <f t="array" ref="BY1174">XLOOKUP(C1174,'PL TOTAL D0'!$A$3:$A$1991,'PL TOTAL D0'!$C$3:$C$1991,"")</f>
        <v>572291.63</v>
      </c>
    </row>
    <row r="1175" ht="15.75" customHeight="1">
      <c r="A1175" s="50" t="s">
        <v>24</v>
      </c>
      <c r="B1175" s="43" t="s">
        <v>9544</v>
      </c>
      <c r="C1175" s="94" t="s">
        <v>2618</v>
      </c>
      <c r="D1175" s="30" t="s">
        <v>89</v>
      </c>
      <c r="E1175" s="22" t="s">
        <v>91</v>
      </c>
      <c r="F1175" s="30" t="s">
        <v>5142</v>
      </c>
      <c r="G1175" s="47" t="str">
        <f t="shared" si="44"/>
        <v>David</v>
      </c>
      <c r="H1175" s="49" t="s">
        <v>183</v>
      </c>
      <c r="I1175" s="49" t="s">
        <v>66</v>
      </c>
      <c r="J1175" s="47" t="str">
        <f t="shared" si="52"/>
        <v>Sim</v>
      </c>
      <c r="K1175" s="54">
        <v>45952.0</v>
      </c>
      <c r="L1175" s="194"/>
      <c r="M1175" s="32" t="s">
        <v>61</v>
      </c>
      <c r="N1175" s="56">
        <v>0.012</v>
      </c>
      <c r="O1175" s="23" t="s">
        <v>66</v>
      </c>
      <c r="P1175" s="57">
        <v>0.0</v>
      </c>
      <c r="Q1175" s="58" t="s">
        <v>9545</v>
      </c>
      <c r="R1175" s="70"/>
      <c r="S1175" s="32" t="s">
        <v>234</v>
      </c>
      <c r="T1175" s="32" t="s">
        <v>9546</v>
      </c>
      <c r="U1175" s="33" t="s">
        <v>9547</v>
      </c>
      <c r="V1175" s="33" t="s">
        <v>9548</v>
      </c>
      <c r="W1175" s="34">
        <v>44161.0</v>
      </c>
      <c r="X1175" s="23" t="s">
        <v>221</v>
      </c>
      <c r="Y1175" s="49" t="str">
        <f t="shared" si="46"/>
        <v>Ativo</v>
      </c>
      <c r="Z1175" s="32"/>
      <c r="AA1175" s="32" t="s">
        <v>47</v>
      </c>
      <c r="AB1175" s="64"/>
      <c r="AC1175" s="79"/>
      <c r="AD1175" s="54"/>
      <c r="AE1175" s="77"/>
      <c r="AF1175" s="79"/>
      <c r="AG1175" s="79"/>
      <c r="AH1175" s="79"/>
      <c r="AI1175" s="79"/>
      <c r="AJ1175" s="79"/>
      <c r="AK1175" s="79"/>
      <c r="AL1175" s="79"/>
      <c r="AM1175" s="79"/>
      <c r="AN1175" s="79"/>
      <c r="AO1175" s="79"/>
      <c r="AP1175" s="79"/>
      <c r="AQ1175" s="79"/>
      <c r="AR1175" s="79"/>
      <c r="AS1175" s="79"/>
      <c r="AT1175" s="79"/>
      <c r="AU1175" s="79"/>
      <c r="AV1175" s="65"/>
      <c r="AW1175" s="65"/>
      <c r="AX1175" s="65"/>
      <c r="AY1175" s="65"/>
      <c r="AZ1175" s="65"/>
      <c r="BA1175" s="65"/>
      <c r="BB1175" s="65"/>
      <c r="BC1175" s="65"/>
      <c r="BD1175" s="65"/>
      <c r="BE1175" s="65"/>
      <c r="BF1175" s="65"/>
      <c r="BG1175" s="65"/>
      <c r="BH1175" s="65"/>
      <c r="BI1175" s="65"/>
      <c r="BJ1175" s="65"/>
      <c r="BK1175" s="65"/>
      <c r="BL1175" s="65"/>
      <c r="BM1175" s="65"/>
      <c r="BN1175" s="65"/>
      <c r="BO1175" s="65"/>
      <c r="BP1175" s="65">
        <v>0.0</v>
      </c>
      <c r="BQ1175" s="65">
        <v>0.0</v>
      </c>
      <c r="BR1175" s="65">
        <v>0.0</v>
      </c>
      <c r="BS1175" s="65">
        <v>0.0</v>
      </c>
      <c r="BT1175" s="88">
        <v>891079.0</v>
      </c>
      <c r="BU1175" s="65">
        <v>1046543.0</v>
      </c>
      <c r="BV1175" s="65">
        <v>1189773.0</v>
      </c>
      <c r="BW1175" s="90">
        <v>1362612.0</v>
      </c>
      <c r="BX1175" s="90">
        <v>1152006.16</v>
      </c>
      <c r="BY1175" s="90">
        <f t="array" ref="BY1175">XLOOKUP(C1175,'PL TOTAL D0'!$A$3:$A$1991,'PL TOTAL D0'!$C$3:$C$1991,"")</f>
        <v>1667706.75</v>
      </c>
    </row>
    <row r="1176" ht="15.75" customHeight="1">
      <c r="A1176" s="50" t="s">
        <v>24</v>
      </c>
      <c r="B1176" s="43" t="s">
        <v>9549</v>
      </c>
      <c r="C1176" s="94" t="s">
        <v>3300</v>
      </c>
      <c r="D1176" s="30" t="s">
        <v>89</v>
      </c>
      <c r="E1176" s="22" t="s">
        <v>91</v>
      </c>
      <c r="F1176" s="30" t="s">
        <v>521</v>
      </c>
      <c r="G1176" s="47" t="str">
        <f t="shared" si="44"/>
        <v>Marcus</v>
      </c>
      <c r="H1176" s="49" t="s">
        <v>183</v>
      </c>
      <c r="I1176" s="49" t="s">
        <v>66</v>
      </c>
      <c r="J1176" s="47" t="str">
        <f t="shared" si="52"/>
        <v>Não</v>
      </c>
      <c r="K1176" s="54">
        <v>46056.0</v>
      </c>
      <c r="L1176" s="194"/>
      <c r="M1176" s="32" t="s">
        <v>61</v>
      </c>
      <c r="N1176" s="56">
        <v>0.0065</v>
      </c>
      <c r="O1176" s="23" t="s">
        <v>66</v>
      </c>
      <c r="P1176" s="57">
        <v>0.0</v>
      </c>
      <c r="Q1176" s="58"/>
      <c r="R1176" s="70"/>
      <c r="S1176" s="32" t="s">
        <v>194</v>
      </c>
      <c r="T1176" s="32" t="s">
        <v>9550</v>
      </c>
      <c r="U1176" s="33" t="s">
        <v>9550</v>
      </c>
      <c r="V1176" s="33" t="s">
        <v>9551</v>
      </c>
      <c r="W1176" s="34">
        <v>34384.0</v>
      </c>
      <c r="X1176" s="23" t="s">
        <v>221</v>
      </c>
      <c r="Y1176" s="49" t="str">
        <f t="shared" si="46"/>
        <v>Ativo</v>
      </c>
      <c r="Z1176" s="32"/>
      <c r="AA1176" s="32" t="s">
        <v>47</v>
      </c>
      <c r="AB1176" s="64"/>
      <c r="AC1176" s="79"/>
      <c r="AD1176" s="54">
        <v>46203.0</v>
      </c>
      <c r="AE1176" s="77"/>
      <c r="AF1176" s="79"/>
      <c r="AG1176" s="79"/>
      <c r="AH1176" s="79"/>
      <c r="AI1176" s="79"/>
      <c r="AJ1176" s="79"/>
      <c r="AK1176" s="79"/>
      <c r="AL1176" s="79"/>
      <c r="AM1176" s="79"/>
      <c r="AN1176" s="79"/>
      <c r="AO1176" s="79"/>
      <c r="AP1176" s="79"/>
      <c r="AQ1176" s="79"/>
      <c r="AR1176" s="79"/>
      <c r="AS1176" s="79"/>
      <c r="AT1176" s="79"/>
      <c r="AU1176" s="79"/>
      <c r="AV1176" s="65"/>
      <c r="AW1176" s="65"/>
      <c r="AX1176" s="65"/>
      <c r="AY1176" s="65"/>
      <c r="AZ1176" s="65"/>
      <c r="BA1176" s="65"/>
      <c r="BB1176" s="65"/>
      <c r="BC1176" s="65"/>
      <c r="BD1176" s="65"/>
      <c r="BE1176" s="65"/>
      <c r="BF1176" s="65"/>
      <c r="BG1176" s="65"/>
      <c r="BH1176" s="65"/>
      <c r="BI1176" s="65"/>
      <c r="BJ1176" s="65"/>
      <c r="BK1176" s="65"/>
      <c r="BL1176" s="65"/>
      <c r="BM1176" s="65"/>
      <c r="BN1176" s="65"/>
      <c r="BO1176" s="65"/>
      <c r="BP1176" s="65"/>
      <c r="BQ1176" s="65"/>
      <c r="BR1176" s="65"/>
      <c r="BS1176" s="65" t="s">
        <v>1739</v>
      </c>
      <c r="BT1176" s="88">
        <v>71576.53</v>
      </c>
      <c r="BU1176" s="65">
        <v>72519.53</v>
      </c>
      <c r="BV1176" s="65">
        <v>103419.9</v>
      </c>
      <c r="BW1176" s="90">
        <v>104587.1</v>
      </c>
      <c r="BX1176" s="90">
        <v>105675.95</v>
      </c>
      <c r="BY1176" s="90">
        <f t="array" ref="BY1176">XLOOKUP(C1176,'PL TOTAL D0'!$A$3:$A$1991,'PL TOTAL D0'!$C$3:$C$1991,"")</f>
        <v>107013.44</v>
      </c>
    </row>
    <row r="1177" ht="15.75" customHeight="1">
      <c r="A1177" s="50" t="s">
        <v>24</v>
      </c>
      <c r="B1177" s="43" t="s">
        <v>9552</v>
      </c>
      <c r="C1177" s="94" t="s">
        <v>3425</v>
      </c>
      <c r="D1177" s="30" t="s">
        <v>142</v>
      </c>
      <c r="E1177" s="22" t="s">
        <v>54</v>
      </c>
      <c r="F1177" s="30" t="s">
        <v>158</v>
      </c>
      <c r="G1177" s="47" t="str">
        <f t="shared" si="44"/>
        <v>David</v>
      </c>
      <c r="H1177" s="49" t="s">
        <v>183</v>
      </c>
      <c r="I1177" s="49" t="s">
        <v>66</v>
      </c>
      <c r="J1177" s="47" t="str">
        <f t="shared" si="52"/>
        <v>Não</v>
      </c>
      <c r="K1177" s="54">
        <v>45798.0</v>
      </c>
      <c r="L1177" s="194"/>
      <c r="M1177" s="32" t="s">
        <v>61</v>
      </c>
      <c r="N1177" s="56">
        <v>0.012</v>
      </c>
      <c r="O1177" s="23" t="s">
        <v>66</v>
      </c>
      <c r="P1177" s="57">
        <v>0.0</v>
      </c>
      <c r="Q1177" s="58"/>
      <c r="R1177" s="70"/>
      <c r="S1177" s="32" t="s">
        <v>194</v>
      </c>
      <c r="T1177" s="32" t="s">
        <v>9553</v>
      </c>
      <c r="U1177" s="33">
        <v>5.562996073857E12</v>
      </c>
      <c r="V1177" s="33" t="s">
        <v>9554</v>
      </c>
      <c r="W1177" s="34">
        <v>26876.0</v>
      </c>
      <c r="X1177" s="23" t="s">
        <v>54</v>
      </c>
      <c r="Y1177" s="49" t="str">
        <f t="shared" si="46"/>
        <v>Ativo</v>
      </c>
      <c r="Z1177" s="32"/>
      <c r="AA1177" s="32" t="s">
        <v>47</v>
      </c>
      <c r="AB1177" s="64"/>
      <c r="AC1177" s="79"/>
      <c r="AD1177" s="54">
        <v>45798.0</v>
      </c>
      <c r="AE1177" s="77">
        <v>4.9075100018774E13</v>
      </c>
      <c r="AF1177" s="79"/>
      <c r="AG1177" s="79"/>
      <c r="AH1177" s="79"/>
      <c r="AI1177" s="79"/>
      <c r="AJ1177" s="79"/>
      <c r="AK1177" s="79"/>
      <c r="AL1177" s="79"/>
      <c r="AM1177" s="79"/>
      <c r="AN1177" s="79"/>
      <c r="AO1177" s="79"/>
      <c r="AP1177" s="79"/>
      <c r="AQ1177" s="79"/>
      <c r="AR1177" s="79"/>
      <c r="AS1177" s="79"/>
      <c r="AT1177" s="79"/>
      <c r="AU1177" s="79"/>
      <c r="AV1177" s="65"/>
      <c r="AW1177" s="65"/>
      <c r="AX1177" s="65"/>
      <c r="AY1177" s="65"/>
      <c r="AZ1177" s="65"/>
      <c r="BA1177" s="65"/>
      <c r="BB1177" s="65"/>
      <c r="BC1177" s="65"/>
      <c r="BD1177" s="65"/>
      <c r="BE1177" s="65"/>
      <c r="BF1177" s="65"/>
      <c r="BG1177" s="65"/>
      <c r="BH1177" s="65"/>
      <c r="BI1177" s="65"/>
      <c r="BJ1177" s="65"/>
      <c r="BK1177" s="65">
        <v>60197.01</v>
      </c>
      <c r="BL1177" s="65">
        <v>60841.89</v>
      </c>
      <c r="BM1177" s="65">
        <v>61540.09</v>
      </c>
      <c r="BN1177" s="65">
        <v>62176.92</v>
      </c>
      <c r="BO1177" s="65">
        <v>62723.2</v>
      </c>
      <c r="BP1177" s="65">
        <v>63551.96</v>
      </c>
      <c r="BQ1177" s="65">
        <v>62501.59</v>
      </c>
      <c r="BR1177" s="65">
        <v>62575.09</v>
      </c>
      <c r="BS1177" s="65">
        <v>62141.07</v>
      </c>
      <c r="BT1177" s="88">
        <v>60667.68</v>
      </c>
      <c r="BU1177" s="65">
        <v>59841.5</v>
      </c>
      <c r="BV1177" s="65">
        <v>59355.16</v>
      </c>
      <c r="BW1177" s="90">
        <v>58963.99</v>
      </c>
      <c r="BX1177" s="90">
        <v>59590.4</v>
      </c>
      <c r="BY1177" s="90">
        <f t="array" ref="BY1177">XLOOKUP(C1177,'PL TOTAL D0'!$A$3:$A$1991,'PL TOTAL D0'!$C$3:$C$1991,"")</f>
        <v>57263.2</v>
      </c>
    </row>
    <row r="1178" ht="15.75" customHeight="1">
      <c r="A1178" s="43" t="s">
        <v>24</v>
      </c>
      <c r="B1178" s="188" t="s">
        <v>9555</v>
      </c>
      <c r="C1178" s="94" t="s">
        <v>9556</v>
      </c>
      <c r="D1178" s="30" t="s">
        <v>120</v>
      </c>
      <c r="E1178" s="22" t="s">
        <v>199</v>
      </c>
      <c r="F1178" s="30" t="s">
        <v>1399</v>
      </c>
      <c r="G1178" s="47" t="str">
        <f t="shared" si="44"/>
        <v>David</v>
      </c>
      <c r="H1178" s="49" t="s">
        <v>224</v>
      </c>
      <c r="I1178" s="49" t="s">
        <v>66</v>
      </c>
      <c r="J1178" s="47" t="str">
        <f t="shared" si="52"/>
        <v>Não</v>
      </c>
      <c r="K1178" s="54">
        <v>45386.0</v>
      </c>
      <c r="L1178" s="55">
        <v>45581.0</v>
      </c>
      <c r="M1178" s="32" t="s">
        <v>61</v>
      </c>
      <c r="N1178" s="56">
        <v>0.012</v>
      </c>
      <c r="O1178" s="23" t="s">
        <v>66</v>
      </c>
      <c r="P1178" s="57">
        <v>0.0</v>
      </c>
      <c r="Q1178" s="58"/>
      <c r="R1178" s="58" t="s">
        <v>610</v>
      </c>
      <c r="S1178" s="32" t="s">
        <v>194</v>
      </c>
      <c r="T1178" s="32" t="s">
        <v>9557</v>
      </c>
      <c r="U1178" s="33" t="s">
        <v>268</v>
      </c>
      <c r="V1178" s="33"/>
      <c r="W1178" s="33" t="s">
        <v>268</v>
      </c>
      <c r="X1178" s="23" t="s">
        <v>199</v>
      </c>
      <c r="Y1178" s="49" t="str">
        <f t="shared" si="46"/>
        <v>Encerrado</v>
      </c>
      <c r="Z1178" s="62"/>
      <c r="AA1178" s="62"/>
      <c r="AB1178" s="64" t="s">
        <v>269</v>
      </c>
      <c r="AC1178" s="79"/>
      <c r="AD1178" s="54">
        <v>45386.0</v>
      </c>
      <c r="AE1178" s="77">
        <v>4.9075100014191E13</v>
      </c>
      <c r="AF1178" s="79"/>
      <c r="AG1178" s="79"/>
      <c r="AH1178" s="79"/>
      <c r="AI1178" s="79"/>
      <c r="AJ1178" s="79"/>
      <c r="AK1178" s="79"/>
      <c r="AL1178" s="79"/>
      <c r="AM1178" s="79"/>
      <c r="AN1178" s="79"/>
      <c r="AO1178" s="79"/>
      <c r="AP1178" s="79"/>
      <c r="AQ1178" s="79"/>
      <c r="AR1178" s="79"/>
      <c r="AS1178" s="79"/>
      <c r="AT1178" s="79"/>
      <c r="AU1178" s="79"/>
      <c r="AV1178" s="65"/>
      <c r="AW1178" s="65"/>
      <c r="AX1178" s="65">
        <v>64232.48</v>
      </c>
      <c r="AY1178" s="65">
        <v>96419.98</v>
      </c>
      <c r="AZ1178" s="65">
        <v>117083.7</v>
      </c>
      <c r="BA1178" s="65">
        <v>150002.4</v>
      </c>
      <c r="BB1178" s="65">
        <v>180068.75</v>
      </c>
      <c r="BC1178" s="65">
        <v>181379.22</v>
      </c>
      <c r="BD1178" s="65">
        <v>0.0</v>
      </c>
      <c r="BE1178" s="65">
        <v>0.0</v>
      </c>
      <c r="BF1178" s="65">
        <v>0.0</v>
      </c>
      <c r="BG1178" s="65">
        <v>0.0</v>
      </c>
      <c r="BH1178" s="65">
        <v>0.0</v>
      </c>
      <c r="BI1178" s="65">
        <v>0.0</v>
      </c>
      <c r="BJ1178" s="65">
        <v>0.0</v>
      </c>
      <c r="BK1178" s="65">
        <v>0.0</v>
      </c>
      <c r="BL1178" s="65">
        <v>0.0</v>
      </c>
      <c r="BM1178" s="65">
        <v>0.0</v>
      </c>
      <c r="BN1178" s="65">
        <v>0.0</v>
      </c>
      <c r="BO1178" s="65">
        <v>0.0</v>
      </c>
      <c r="BP1178" s="65">
        <v>0.0</v>
      </c>
      <c r="BQ1178" s="65">
        <v>0.0</v>
      </c>
      <c r="BR1178" s="65">
        <v>0.0</v>
      </c>
      <c r="BS1178" s="65">
        <v>0.0</v>
      </c>
      <c r="BT1178" s="88">
        <v>0.0</v>
      </c>
      <c r="BU1178" s="65">
        <v>0.0</v>
      </c>
      <c r="BV1178" s="65">
        <v>0.0</v>
      </c>
      <c r="BW1178" s="90">
        <v>0.0</v>
      </c>
      <c r="BX1178" s="90">
        <v>0.0</v>
      </c>
      <c r="BY1178" s="90" t="str">
        <f t="array" ref="BY1178">XLOOKUP(C1178,'PL TOTAL D0'!$A$3:$A$1991,'PL TOTAL D0'!$C$3:$C$1991,"")</f>
        <v/>
      </c>
    </row>
    <row r="1179" ht="15.75" customHeight="1">
      <c r="A1179" s="50" t="s">
        <v>24</v>
      </c>
      <c r="B1179" s="50" t="s">
        <v>9558</v>
      </c>
      <c r="C1179" s="94" t="s">
        <v>2933</v>
      </c>
      <c r="D1179" s="30" t="s">
        <v>120</v>
      </c>
      <c r="E1179" s="95" t="s">
        <v>91</v>
      </c>
      <c r="F1179" s="81" t="s">
        <v>884</v>
      </c>
      <c r="G1179" s="47" t="str">
        <f t="shared" si="44"/>
        <v>Gabriel</v>
      </c>
      <c r="H1179" s="74" t="s">
        <v>183</v>
      </c>
      <c r="I1179" s="74" t="s">
        <v>66</v>
      </c>
      <c r="J1179" s="47" t="str">
        <f t="shared" si="52"/>
        <v>Sim</v>
      </c>
      <c r="K1179" s="97">
        <v>45126.0</v>
      </c>
      <c r="L1179" s="189"/>
      <c r="M1179" s="62" t="s">
        <v>61</v>
      </c>
      <c r="N1179" s="98">
        <v>0.007</v>
      </c>
      <c r="O1179" s="47" t="s">
        <v>66</v>
      </c>
      <c r="P1179" s="99">
        <v>0.0</v>
      </c>
      <c r="Q1179" s="58" t="s">
        <v>9559</v>
      </c>
      <c r="R1179" s="635"/>
      <c r="S1179" s="62" t="s">
        <v>194</v>
      </c>
      <c r="T1179" s="32" t="s">
        <v>7380</v>
      </c>
      <c r="U1179" s="33">
        <v>5.543999149985E12</v>
      </c>
      <c r="V1179" s="33" t="s">
        <v>9560</v>
      </c>
      <c r="W1179" s="34">
        <v>30682.0</v>
      </c>
      <c r="X1179" s="23" t="s">
        <v>221</v>
      </c>
      <c r="Y1179" s="49" t="str">
        <f t="shared" si="46"/>
        <v>Ativo</v>
      </c>
      <c r="Z1179" s="62"/>
      <c r="AA1179" s="62"/>
      <c r="AB1179" s="64" t="s">
        <v>269</v>
      </c>
      <c r="AC1179" s="79"/>
      <c r="AD1179" s="54">
        <v>45126.0</v>
      </c>
      <c r="AE1179" s="77">
        <v>4.9075100008272E13</v>
      </c>
      <c r="AF1179" s="79"/>
      <c r="AG1179" s="79"/>
      <c r="AH1179" s="79"/>
      <c r="AI1179" s="79"/>
      <c r="AJ1179" s="79"/>
      <c r="AK1179" s="79"/>
      <c r="AL1179" s="65">
        <v>0.0</v>
      </c>
      <c r="AM1179" s="65">
        <v>0.0</v>
      </c>
      <c r="AN1179" s="65">
        <v>0.0</v>
      </c>
      <c r="AO1179" s="65">
        <v>86267.59</v>
      </c>
      <c r="AP1179" s="65">
        <v>87219.24</v>
      </c>
      <c r="AQ1179" s="65">
        <v>88005.57</v>
      </c>
      <c r="AR1179" s="65">
        <v>88869.13</v>
      </c>
      <c r="AS1179" s="65">
        <v>87191.79</v>
      </c>
      <c r="AT1179" s="65">
        <v>87854.91</v>
      </c>
      <c r="AU1179" s="65">
        <v>88648.81</v>
      </c>
      <c r="AV1179" s="65">
        <v>89326.77</v>
      </c>
      <c r="AW1179" s="65">
        <v>89547.54</v>
      </c>
      <c r="AX1179" s="65">
        <v>90219.4</v>
      </c>
      <c r="AY1179" s="65">
        <v>90937.61</v>
      </c>
      <c r="AZ1179" s="65">
        <v>91683.75</v>
      </c>
      <c r="BA1179" s="65">
        <v>92458.72</v>
      </c>
      <c r="BB1179" s="65">
        <v>93234.17</v>
      </c>
      <c r="BC1179" s="65">
        <v>93870.21</v>
      </c>
      <c r="BD1179" s="65">
        <v>94750.58</v>
      </c>
      <c r="BE1179" s="65">
        <v>95467.4</v>
      </c>
      <c r="BF1179" s="65">
        <v>95972.27</v>
      </c>
      <c r="BG1179" s="65">
        <v>96946.27</v>
      </c>
      <c r="BH1179" s="65">
        <v>97514.68</v>
      </c>
      <c r="BI1179" s="65">
        <v>98281.36</v>
      </c>
      <c r="BJ1179" s="65">
        <v>228347.57</v>
      </c>
      <c r="BK1179" s="65">
        <v>230346.58</v>
      </c>
      <c r="BL1179" s="65">
        <v>232678.57</v>
      </c>
      <c r="BM1179" s="65">
        <v>235472.93</v>
      </c>
      <c r="BN1179" s="65">
        <v>238093.3</v>
      </c>
      <c r="BO1179" s="65">
        <v>240461.69</v>
      </c>
      <c r="BP1179" s="65">
        <v>243733.8</v>
      </c>
      <c r="BQ1179" s="65">
        <v>245936.3</v>
      </c>
      <c r="BR1179" s="65">
        <v>248307.8</v>
      </c>
      <c r="BS1179" s="65">
        <v>398056.34</v>
      </c>
      <c r="BT1179" s="88">
        <v>431788.0</v>
      </c>
      <c r="BU1179" s="65">
        <v>436028.3</v>
      </c>
      <c r="BV1179" s="65">
        <v>439924.6</v>
      </c>
      <c r="BW1179" s="90">
        <v>443755.5</v>
      </c>
      <c r="BX1179" s="90">
        <v>448222.44</v>
      </c>
      <c r="BY1179" s="90">
        <f t="array" ref="BY1179">XLOOKUP(C1179,'PL TOTAL D0'!$A$3:$A$1991,'PL TOTAL D0'!$C$3:$C$1991,"")</f>
        <v>453151.04</v>
      </c>
    </row>
    <row r="1180" ht="15.75" customHeight="1">
      <c r="A1180" s="50" t="s">
        <v>24</v>
      </c>
      <c r="B1180" s="50" t="s">
        <v>9561</v>
      </c>
      <c r="C1180" s="94" t="s">
        <v>3108</v>
      </c>
      <c r="D1180" s="81" t="s">
        <v>120</v>
      </c>
      <c r="E1180" s="95" t="s">
        <v>199</v>
      </c>
      <c r="F1180" s="81" t="s">
        <v>290</v>
      </c>
      <c r="G1180" s="47" t="str">
        <f t="shared" si="44"/>
        <v>Gabriel</v>
      </c>
      <c r="H1180" s="74" t="s">
        <v>183</v>
      </c>
      <c r="I1180" s="74" t="s">
        <v>66</v>
      </c>
      <c r="J1180" s="47" t="str">
        <f t="shared" si="52"/>
        <v>Não</v>
      </c>
      <c r="K1180" s="97">
        <v>44956.0</v>
      </c>
      <c r="L1180" s="62"/>
      <c r="M1180" s="62" t="s">
        <v>61</v>
      </c>
      <c r="N1180" s="98">
        <v>0.01</v>
      </c>
      <c r="O1180" s="47" t="s">
        <v>66</v>
      </c>
      <c r="P1180" s="99">
        <v>0.0</v>
      </c>
      <c r="Q1180" s="58"/>
      <c r="R1180" s="635"/>
      <c r="S1180" s="62" t="s">
        <v>194</v>
      </c>
      <c r="T1180" s="32" t="s">
        <v>7686</v>
      </c>
      <c r="U1180" s="33">
        <v>5.56199958182E12</v>
      </c>
      <c r="V1180" s="33" t="s">
        <v>8807</v>
      </c>
      <c r="W1180" s="34">
        <v>32690.0</v>
      </c>
      <c r="X1180" s="23" t="s">
        <v>199</v>
      </c>
      <c r="Y1180" s="49" t="str">
        <f t="shared" si="46"/>
        <v>Ativo</v>
      </c>
      <c r="Z1180" s="62"/>
      <c r="AA1180" s="62"/>
      <c r="AB1180" s="64" t="s">
        <v>269</v>
      </c>
      <c r="AC1180" s="79"/>
      <c r="AD1180" s="54">
        <v>44956.0</v>
      </c>
      <c r="AE1180" s="77">
        <v>4.9075100006407E13</v>
      </c>
      <c r="AF1180" s="79"/>
      <c r="AG1180" s="79"/>
      <c r="AH1180" s="79"/>
      <c r="AI1180" s="65">
        <v>13533.31</v>
      </c>
      <c r="AJ1180" s="65">
        <v>176868.64</v>
      </c>
      <c r="AK1180" s="65">
        <v>178713.53</v>
      </c>
      <c r="AL1180" s="65">
        <v>179798.22</v>
      </c>
      <c r="AM1180" s="65">
        <v>181860.56</v>
      </c>
      <c r="AN1180" s="65">
        <v>183302.19</v>
      </c>
      <c r="AO1180" s="65">
        <v>184796.44</v>
      </c>
      <c r="AP1180" s="65">
        <v>186334.77</v>
      </c>
      <c r="AQ1180" s="65">
        <v>187400.52</v>
      </c>
      <c r="AR1180" s="65">
        <v>189010.76</v>
      </c>
      <c r="AS1180" s="65">
        <v>190356.42</v>
      </c>
      <c r="AT1180" s="65">
        <v>191855.37</v>
      </c>
      <c r="AU1180" s="65">
        <v>191282.94</v>
      </c>
      <c r="AV1180" s="65">
        <v>192558.17</v>
      </c>
      <c r="AW1180" s="65">
        <v>193588.35</v>
      </c>
      <c r="AX1180" s="65">
        <v>301647.38</v>
      </c>
      <c r="AY1180" s="65">
        <v>303817.7</v>
      </c>
      <c r="AZ1180" s="65">
        <v>285855.8</v>
      </c>
      <c r="BA1180" s="65">
        <v>283108.5</v>
      </c>
      <c r="BB1180" s="65">
        <v>285165.22</v>
      </c>
      <c r="BC1180" s="65">
        <v>287003.26</v>
      </c>
      <c r="BD1180" s="65">
        <v>297748.23</v>
      </c>
      <c r="BE1180" s="65">
        <v>299862.77</v>
      </c>
      <c r="BF1180" s="65">
        <v>302205.46</v>
      </c>
      <c r="BG1180" s="65">
        <v>309208.62</v>
      </c>
      <c r="BH1180" s="65">
        <v>316901.24</v>
      </c>
      <c r="BI1180" s="65">
        <v>319381.64</v>
      </c>
      <c r="BJ1180" s="65">
        <v>322356.4</v>
      </c>
      <c r="BK1180" s="65">
        <v>325768.5</v>
      </c>
      <c r="BL1180" s="65">
        <v>318403.47</v>
      </c>
      <c r="BM1180" s="65">
        <v>316721.76</v>
      </c>
      <c r="BN1180" s="65">
        <v>308956.9</v>
      </c>
      <c r="BO1180" s="65">
        <v>297108.38</v>
      </c>
      <c r="BP1180" s="65">
        <v>300293.7</v>
      </c>
      <c r="BQ1180" s="65">
        <v>302947.8</v>
      </c>
      <c r="BR1180" s="65">
        <v>305281.0</v>
      </c>
      <c r="BS1180" s="65">
        <v>282048.85</v>
      </c>
      <c r="BT1180" s="88">
        <v>284275.0</v>
      </c>
      <c r="BU1180" s="65">
        <v>278974.8</v>
      </c>
      <c r="BV1180" s="65">
        <v>263727.4</v>
      </c>
      <c r="BW1180" s="90">
        <v>266271.9</v>
      </c>
      <c r="BX1180" s="90">
        <v>255952.54</v>
      </c>
      <c r="BY1180" s="90">
        <f t="array" ref="BY1180">XLOOKUP(C1180,'PL TOTAL D0'!$A$3:$A$1991,'PL TOTAL D0'!$C$3:$C$1991,"")</f>
        <v>232793</v>
      </c>
    </row>
    <row r="1181" ht="15.75" customHeight="1">
      <c r="A1181" s="50" t="s">
        <v>24</v>
      </c>
      <c r="B1181" s="43" t="s">
        <v>9562</v>
      </c>
      <c r="C1181" s="94" t="s">
        <v>2923</v>
      </c>
      <c r="D1181" s="30" t="s">
        <v>120</v>
      </c>
      <c r="E1181" s="22" t="s">
        <v>199</v>
      </c>
      <c r="F1181" s="81" t="s">
        <v>290</v>
      </c>
      <c r="G1181" s="47" t="str">
        <f t="shared" si="44"/>
        <v>Gabriel</v>
      </c>
      <c r="H1181" s="49" t="s">
        <v>183</v>
      </c>
      <c r="I1181" s="49" t="s">
        <v>66</v>
      </c>
      <c r="J1181" s="47" t="str">
        <f t="shared" si="52"/>
        <v>Não</v>
      </c>
      <c r="K1181" s="54">
        <v>45371.0</v>
      </c>
      <c r="L1181" s="189"/>
      <c r="M1181" s="32" t="s">
        <v>61</v>
      </c>
      <c r="N1181" s="56">
        <v>0.008</v>
      </c>
      <c r="O1181" s="23" t="s">
        <v>66</v>
      </c>
      <c r="P1181" s="57">
        <v>0.0</v>
      </c>
      <c r="Q1181" s="58"/>
      <c r="R1181" s="635"/>
      <c r="S1181" s="32" t="s">
        <v>194</v>
      </c>
      <c r="T1181" s="177" t="s">
        <v>9563</v>
      </c>
      <c r="U1181" s="33">
        <v>6.1996562203E10</v>
      </c>
      <c r="V1181" s="33" t="s">
        <v>9564</v>
      </c>
      <c r="W1181" s="34">
        <v>28656.0</v>
      </c>
      <c r="X1181" s="23" t="s">
        <v>199</v>
      </c>
      <c r="Y1181" s="49" t="str">
        <f t="shared" si="46"/>
        <v>Ativo</v>
      </c>
      <c r="Z1181" s="62"/>
      <c r="AA1181" s="62"/>
      <c r="AB1181" s="64" t="s">
        <v>269</v>
      </c>
      <c r="AC1181" s="79"/>
      <c r="AD1181" s="54">
        <v>45371.0</v>
      </c>
      <c r="AE1181" s="77">
        <v>4.9075100013901E13</v>
      </c>
      <c r="AF1181" s="79"/>
      <c r="AG1181" s="79"/>
      <c r="AH1181" s="79"/>
      <c r="AI1181" s="79"/>
      <c r="AJ1181" s="79"/>
      <c r="AK1181" s="79"/>
      <c r="AL1181" s="79"/>
      <c r="AM1181" s="79"/>
      <c r="AN1181" s="79"/>
      <c r="AO1181" s="79"/>
      <c r="AP1181" s="79"/>
      <c r="AQ1181" s="79"/>
      <c r="AR1181" s="79"/>
      <c r="AS1181" s="79"/>
      <c r="AT1181" s="79"/>
      <c r="AU1181" s="79"/>
      <c r="AV1181" s="65"/>
      <c r="AW1181" s="65">
        <v>0.0</v>
      </c>
      <c r="AX1181" s="65">
        <v>0.0</v>
      </c>
      <c r="AY1181" s="65">
        <v>29905.52</v>
      </c>
      <c r="AZ1181" s="65">
        <v>34100.73</v>
      </c>
      <c r="BA1181" s="65">
        <v>92983.26</v>
      </c>
      <c r="BB1181" s="65">
        <v>481273.86</v>
      </c>
      <c r="BC1181" s="65">
        <v>486378.08</v>
      </c>
      <c r="BD1181" s="65">
        <v>492999.71</v>
      </c>
      <c r="BE1181" s="65">
        <v>498789.79</v>
      </c>
      <c r="BF1181" s="65">
        <v>502632.41</v>
      </c>
      <c r="BG1181" s="65">
        <v>507636.43</v>
      </c>
      <c r="BH1181" s="65">
        <v>512386.52</v>
      </c>
      <c r="BI1181" s="65">
        <v>517997.38</v>
      </c>
      <c r="BJ1181" s="65">
        <v>523015.32</v>
      </c>
      <c r="BK1181" s="65">
        <v>528212.81</v>
      </c>
      <c r="BL1181" s="65">
        <v>532802.7</v>
      </c>
      <c r="BM1181" s="65">
        <v>538520.03</v>
      </c>
      <c r="BN1181" s="65">
        <v>531776.0</v>
      </c>
      <c r="BO1181" s="65">
        <v>529718.16</v>
      </c>
      <c r="BP1181" s="65">
        <v>529032.7</v>
      </c>
      <c r="BQ1181" s="65">
        <v>522986.1</v>
      </c>
      <c r="BR1181" s="65">
        <v>516110.4</v>
      </c>
      <c r="BS1181" s="65">
        <v>510978.64</v>
      </c>
      <c r="BT1181" s="88">
        <v>503926.4</v>
      </c>
      <c r="BU1181" s="65">
        <v>495615.1</v>
      </c>
      <c r="BV1181" s="65">
        <v>490541.3</v>
      </c>
      <c r="BW1181" s="90">
        <v>485853.5</v>
      </c>
      <c r="BX1181" s="90">
        <v>480821.02</v>
      </c>
      <c r="BY1181" s="90">
        <f t="array" ref="BY1181">XLOOKUP(C1181,'PL TOTAL D0'!$A$3:$A$1991,'PL TOTAL D0'!$C$3:$C$1991,"")</f>
        <v>473385.49</v>
      </c>
    </row>
    <row r="1182" ht="15.75" customHeight="1">
      <c r="A1182" s="50" t="s">
        <v>24</v>
      </c>
      <c r="B1182" s="43" t="s">
        <v>2248</v>
      </c>
      <c r="C1182" s="94" t="s">
        <v>2894</v>
      </c>
      <c r="D1182" s="30" t="s">
        <v>89</v>
      </c>
      <c r="E1182" s="22" t="s">
        <v>91</v>
      </c>
      <c r="F1182" s="30" t="s">
        <v>521</v>
      </c>
      <c r="G1182" s="47" t="str">
        <f t="shared" si="44"/>
        <v>Gabriel</v>
      </c>
      <c r="H1182" s="49" t="s">
        <v>183</v>
      </c>
      <c r="I1182" s="49" t="s">
        <v>66</v>
      </c>
      <c r="J1182" s="47" t="str">
        <f t="shared" si="52"/>
        <v>Não</v>
      </c>
      <c r="K1182" s="54">
        <v>45695.0</v>
      </c>
      <c r="L1182" s="62"/>
      <c r="M1182" s="32" t="s">
        <v>1349</v>
      </c>
      <c r="N1182" s="56">
        <v>0.012</v>
      </c>
      <c r="O1182" s="23" t="s">
        <v>66</v>
      </c>
      <c r="P1182" s="57">
        <v>0.0</v>
      </c>
      <c r="Q1182" s="58"/>
      <c r="R1182" s="58" t="s">
        <v>9565</v>
      </c>
      <c r="S1182" s="32" t="s">
        <v>194</v>
      </c>
      <c r="T1182" s="32" t="s">
        <v>2254</v>
      </c>
      <c r="U1182" s="33">
        <v>5.543999146669E12</v>
      </c>
      <c r="V1182" s="33" t="s">
        <v>2256</v>
      </c>
      <c r="W1182" s="48">
        <v>29539.0</v>
      </c>
      <c r="X1182" s="23" t="s">
        <v>221</v>
      </c>
      <c r="Y1182" s="49" t="str">
        <f t="shared" si="46"/>
        <v>Ativo</v>
      </c>
      <c r="Z1182" s="62"/>
      <c r="AA1182" s="32" t="s">
        <v>47</v>
      </c>
      <c r="AB1182" s="64"/>
      <c r="AC1182" s="79"/>
      <c r="AD1182" s="54">
        <v>45713.0</v>
      </c>
      <c r="AE1182" s="77">
        <v>4.9075100018146E13</v>
      </c>
      <c r="AF1182" s="79"/>
      <c r="AG1182" s="79"/>
      <c r="AH1182" s="79"/>
      <c r="AI1182" s="65"/>
      <c r="AJ1182" s="65"/>
      <c r="AK1182" s="65"/>
      <c r="AL1182" s="65"/>
      <c r="AM1182" s="65"/>
      <c r="AN1182" s="65"/>
      <c r="AO1182" s="65"/>
      <c r="AP1182" s="65"/>
      <c r="AQ1182" s="65"/>
      <c r="AR1182" s="65"/>
      <c r="AS1182" s="65"/>
      <c r="AT1182" s="65"/>
      <c r="AU1182" s="65"/>
      <c r="AV1182" s="65"/>
      <c r="AW1182" s="65"/>
      <c r="AX1182" s="65"/>
      <c r="AY1182" s="65"/>
      <c r="AZ1182" s="65"/>
      <c r="BA1182" s="65"/>
      <c r="BB1182" s="65"/>
      <c r="BC1182" s="65"/>
      <c r="BD1182" s="65"/>
      <c r="BE1182" s="65"/>
      <c r="BF1182" s="65"/>
      <c r="BG1182" s="65"/>
      <c r="BH1182" s="65">
        <v>216275.21</v>
      </c>
      <c r="BI1182" s="65">
        <v>290529.49</v>
      </c>
      <c r="BJ1182" s="65">
        <v>436366.19</v>
      </c>
      <c r="BK1182" s="65">
        <v>495354.54</v>
      </c>
      <c r="BL1182" s="65">
        <v>500128.86</v>
      </c>
      <c r="BM1182" s="65">
        <v>548210.71</v>
      </c>
      <c r="BN1182" s="65">
        <v>539594.9</v>
      </c>
      <c r="BO1182" s="65">
        <v>572300.51</v>
      </c>
      <c r="BP1182" s="65">
        <v>604195.5</v>
      </c>
      <c r="BQ1182" s="65">
        <v>610034.2</v>
      </c>
      <c r="BR1182" s="65">
        <v>633861.9</v>
      </c>
      <c r="BS1182" s="65">
        <v>512552.2</v>
      </c>
      <c r="BT1182" s="88">
        <v>514259.6</v>
      </c>
      <c r="BU1182" s="65">
        <v>483813.9</v>
      </c>
      <c r="BV1182" s="65">
        <v>481359.9</v>
      </c>
      <c r="BW1182" s="90">
        <v>486095.6</v>
      </c>
      <c r="BX1182" s="90">
        <v>488497.4</v>
      </c>
      <c r="BY1182" s="90">
        <f t="array" ref="BY1182">XLOOKUP(C1182,'PL TOTAL D0'!$A$3:$A$1991,'PL TOTAL D0'!$C$3:$C$1991,"")</f>
        <v>508594.24</v>
      </c>
    </row>
    <row r="1183" ht="15.75" customHeight="1">
      <c r="A1183" s="50" t="s">
        <v>24</v>
      </c>
      <c r="B1183" s="43" t="s">
        <v>2248</v>
      </c>
      <c r="C1183" s="94" t="s">
        <v>3456</v>
      </c>
      <c r="D1183" s="30" t="s">
        <v>89</v>
      </c>
      <c r="E1183" s="22" t="s">
        <v>91</v>
      </c>
      <c r="F1183" s="30" t="s">
        <v>521</v>
      </c>
      <c r="G1183" s="47" t="str">
        <f t="shared" si="44"/>
        <v>David</v>
      </c>
      <c r="H1183" s="49" t="s">
        <v>183</v>
      </c>
      <c r="I1183" s="49" t="s">
        <v>66</v>
      </c>
      <c r="J1183" s="47" t="str">
        <f t="shared" si="52"/>
        <v>Não</v>
      </c>
      <c r="K1183" s="54">
        <v>46084.0</v>
      </c>
      <c r="L1183" s="62"/>
      <c r="M1183" s="32" t="s">
        <v>4551</v>
      </c>
      <c r="N1183" s="56">
        <v>0.01</v>
      </c>
      <c r="O1183" s="23" t="s">
        <v>66</v>
      </c>
      <c r="P1183" s="57">
        <v>0.0</v>
      </c>
      <c r="Q1183" s="58"/>
      <c r="R1183" s="58"/>
      <c r="S1183" s="32" t="s">
        <v>194</v>
      </c>
      <c r="T1183" s="32" t="s">
        <v>2254</v>
      </c>
      <c r="U1183" s="33">
        <v>5.543999146669E12</v>
      </c>
      <c r="V1183" s="33" t="s">
        <v>2256</v>
      </c>
      <c r="W1183" s="48">
        <v>29539.0</v>
      </c>
      <c r="X1183" s="23" t="s">
        <v>221</v>
      </c>
      <c r="Y1183" s="49" t="str">
        <f t="shared" si="46"/>
        <v>Ativo</v>
      </c>
      <c r="Z1183" s="62"/>
      <c r="AA1183" s="32" t="s">
        <v>47</v>
      </c>
      <c r="AB1183" s="64"/>
      <c r="AC1183" s="79"/>
      <c r="AD1183" s="54">
        <v>46203.0</v>
      </c>
      <c r="AE1183" s="77"/>
      <c r="AF1183" s="79"/>
      <c r="AG1183" s="79"/>
      <c r="AH1183" s="79"/>
      <c r="AI1183" s="65"/>
      <c r="AJ1183" s="65"/>
      <c r="AK1183" s="65"/>
      <c r="AL1183" s="65"/>
      <c r="AM1183" s="65"/>
      <c r="AN1183" s="65"/>
      <c r="AO1183" s="65"/>
      <c r="AP1183" s="65"/>
      <c r="AQ1183" s="65"/>
      <c r="AR1183" s="65"/>
      <c r="AS1183" s="65"/>
      <c r="AT1183" s="65"/>
      <c r="AU1183" s="65"/>
      <c r="AV1183" s="65"/>
      <c r="AW1183" s="65"/>
      <c r="AX1183" s="65"/>
      <c r="AY1183" s="65"/>
      <c r="AZ1183" s="65"/>
      <c r="BA1183" s="65"/>
      <c r="BB1183" s="65"/>
      <c r="BC1183" s="65"/>
      <c r="BD1183" s="65"/>
      <c r="BE1183" s="65"/>
      <c r="BF1183" s="65"/>
      <c r="BG1183" s="65"/>
      <c r="BH1183" s="65"/>
      <c r="BI1183" s="65"/>
      <c r="BJ1183" s="65"/>
      <c r="BK1183" s="65"/>
      <c r="BL1183" s="65"/>
      <c r="BM1183" s="65"/>
      <c r="BN1183" s="65"/>
      <c r="BO1183" s="65"/>
      <c r="BP1183" s="65"/>
      <c r="BQ1183" s="65"/>
      <c r="BR1183" s="65"/>
      <c r="BS1183" s="65"/>
      <c r="BT1183" s="88"/>
      <c r="BU1183" s="65">
        <v>5693.73</v>
      </c>
      <c r="BV1183" s="65">
        <v>6207.29</v>
      </c>
      <c r="BW1183" s="90">
        <v>52675.0</v>
      </c>
      <c r="BX1183" s="90">
        <v>46979.37</v>
      </c>
      <c r="BY1183" s="90">
        <f t="array" ref="BY1183">XLOOKUP(C1183,'PL TOTAL D0'!$A$3:$A$1991,'PL TOTAL D0'!$C$3:$C$1991,"")</f>
        <v>49207.39</v>
      </c>
    </row>
    <row r="1184" ht="15.75" customHeight="1">
      <c r="A1184" s="50" t="s">
        <v>24</v>
      </c>
      <c r="B1184" s="477" t="s">
        <v>7701</v>
      </c>
      <c r="C1184" s="94" t="s">
        <v>3559</v>
      </c>
      <c r="D1184" s="81" t="s">
        <v>120</v>
      </c>
      <c r="E1184" s="95" t="s">
        <v>199</v>
      </c>
      <c r="F1184" s="30" t="s">
        <v>1641</v>
      </c>
      <c r="G1184" s="47" t="str">
        <f t="shared" si="44"/>
        <v>David</v>
      </c>
      <c r="H1184" s="74" t="s">
        <v>183</v>
      </c>
      <c r="I1184" s="74" t="s">
        <v>66</v>
      </c>
      <c r="J1184" s="47" t="str">
        <f t="shared" si="52"/>
        <v>Não</v>
      </c>
      <c r="K1184" s="97">
        <v>45058.0</v>
      </c>
      <c r="L1184" s="62"/>
      <c r="M1184" s="62" t="s">
        <v>61</v>
      </c>
      <c r="N1184" s="98">
        <v>0.012</v>
      </c>
      <c r="O1184" s="47" t="s">
        <v>66</v>
      </c>
      <c r="P1184" s="99">
        <v>0.0</v>
      </c>
      <c r="Q1184" s="58"/>
      <c r="R1184" s="635"/>
      <c r="S1184" s="62" t="s">
        <v>194</v>
      </c>
      <c r="T1184" s="32" t="s">
        <v>7700</v>
      </c>
      <c r="U1184" s="33">
        <v>6.1995158888E10</v>
      </c>
      <c r="V1184" s="33" t="s">
        <v>9566</v>
      </c>
      <c r="W1184" s="34">
        <v>30502.0</v>
      </c>
      <c r="X1184" s="23" t="s">
        <v>199</v>
      </c>
      <c r="Y1184" s="49" t="str">
        <f t="shared" si="46"/>
        <v>Ativo</v>
      </c>
      <c r="Z1184" s="62"/>
      <c r="AA1184" s="62"/>
      <c r="AB1184" s="64" t="s">
        <v>269</v>
      </c>
      <c r="AC1184" s="79"/>
      <c r="AD1184" s="54">
        <v>45058.0</v>
      </c>
      <c r="AE1184" s="77">
        <v>4.9075100008973E13</v>
      </c>
      <c r="AF1184" s="79"/>
      <c r="AG1184" s="79"/>
      <c r="AH1184" s="79"/>
      <c r="AI1184" s="79"/>
      <c r="AJ1184" s="79"/>
      <c r="AK1184" s="79"/>
      <c r="AL1184" s="65">
        <v>0.0</v>
      </c>
      <c r="AM1184" s="65">
        <v>6409.45</v>
      </c>
      <c r="AN1184" s="65">
        <v>6480.83</v>
      </c>
      <c r="AO1184" s="65">
        <v>6541.24</v>
      </c>
      <c r="AP1184" s="65">
        <v>6607.98</v>
      </c>
      <c r="AQ1184" s="65">
        <v>6628.61</v>
      </c>
      <c r="AR1184" s="65">
        <v>6665.81</v>
      </c>
      <c r="AS1184" s="65">
        <v>6712.71</v>
      </c>
      <c r="AT1184" s="65">
        <v>6764.48</v>
      </c>
      <c r="AU1184" s="65">
        <v>6759.52</v>
      </c>
      <c r="AV1184" s="65">
        <v>6808.05</v>
      </c>
      <c r="AW1184" s="65">
        <v>6859.37</v>
      </c>
      <c r="AX1184" s="65">
        <v>6911.44</v>
      </c>
      <c r="AY1184" s="65">
        <v>6940.4</v>
      </c>
      <c r="AZ1184" s="65">
        <v>6988.19</v>
      </c>
      <c r="BA1184" s="65">
        <v>7043.03</v>
      </c>
      <c r="BB1184" s="65">
        <v>7094.1</v>
      </c>
      <c r="BC1184" s="65">
        <v>7141.16</v>
      </c>
      <c r="BD1184" s="65">
        <v>7178.83</v>
      </c>
      <c r="BE1184" s="65">
        <v>7191.93</v>
      </c>
      <c r="BF1184" s="65">
        <v>7249.8</v>
      </c>
      <c r="BG1184" s="65">
        <v>7316.27</v>
      </c>
      <c r="BH1184" s="65">
        <v>7378.86</v>
      </c>
      <c r="BI1184" s="65">
        <v>7440.49</v>
      </c>
      <c r="BJ1184" s="65">
        <v>7510.37</v>
      </c>
      <c r="BK1184" s="65">
        <v>7522.87</v>
      </c>
      <c r="BL1184" s="65">
        <v>7596.44</v>
      </c>
      <c r="BM1184" s="65">
        <v>7684.85</v>
      </c>
      <c r="BN1184" s="65">
        <v>7764.57</v>
      </c>
      <c r="BO1184" s="65">
        <v>7845.95</v>
      </c>
      <c r="BP1184" s="65">
        <v>7940.24</v>
      </c>
      <c r="BQ1184" s="65">
        <v>7933.11</v>
      </c>
      <c r="BR1184" s="65">
        <v>8021.93</v>
      </c>
      <c r="BS1184" s="65">
        <v>8106.64</v>
      </c>
      <c r="BT1184" s="88">
        <v>8178.92</v>
      </c>
      <c r="BU1184" s="65">
        <v>8271.49</v>
      </c>
      <c r="BV1184" s="65">
        <v>8350.42</v>
      </c>
      <c r="BW1184" s="90">
        <v>8348.98</v>
      </c>
      <c r="BX1184" s="90">
        <v>8425.93</v>
      </c>
      <c r="BY1184" s="90">
        <f t="array" ref="BY1184">XLOOKUP(C1184,'PL TOTAL D0'!$A$3:$A$1991,'PL TOTAL D0'!$C$3:$C$1991,"")</f>
        <v>8515.15</v>
      </c>
    </row>
    <row r="1185" ht="15.75" customHeight="1">
      <c r="A1185" s="50" t="s">
        <v>24</v>
      </c>
      <c r="B1185" s="188" t="s">
        <v>9567</v>
      </c>
      <c r="C1185" s="94" t="s">
        <v>2574</v>
      </c>
      <c r="D1185" s="30" t="s">
        <v>1257</v>
      </c>
      <c r="E1185" s="22" t="s">
        <v>199</v>
      </c>
      <c r="F1185" s="30" t="s">
        <v>1257</v>
      </c>
      <c r="G1185" s="23" t="s">
        <v>3075</v>
      </c>
      <c r="H1185" s="49" t="s">
        <v>183</v>
      </c>
      <c r="I1185" s="49" t="s">
        <v>66</v>
      </c>
      <c r="J1185" s="47" t="str">
        <f t="shared" si="52"/>
        <v>Não</v>
      </c>
      <c r="K1185" s="54">
        <v>46139.0</v>
      </c>
      <c r="L1185" s="55"/>
      <c r="M1185" s="32" t="s">
        <v>1262</v>
      </c>
      <c r="N1185" s="56"/>
      <c r="O1185" s="23" t="s">
        <v>66</v>
      </c>
      <c r="P1185" s="57">
        <v>0.0</v>
      </c>
      <c r="Q1185" s="58"/>
      <c r="R1185" s="58" t="s">
        <v>8716</v>
      </c>
      <c r="S1185" s="32" t="s">
        <v>194</v>
      </c>
      <c r="T1185" s="177" t="s">
        <v>9568</v>
      </c>
      <c r="U1185" s="33" t="s">
        <v>9569</v>
      </c>
      <c r="V1185" s="33" t="s">
        <v>8719</v>
      </c>
      <c r="W1185" s="48">
        <v>29854.0</v>
      </c>
      <c r="X1185" s="23" t="s">
        <v>8720</v>
      </c>
      <c r="Y1185" s="49" t="str">
        <f t="shared" si="46"/>
        <v>Ativo</v>
      </c>
      <c r="Z1185" s="32"/>
      <c r="AA1185" s="32" t="s">
        <v>47</v>
      </c>
      <c r="AB1185" s="64" t="s">
        <v>269</v>
      </c>
      <c r="AC1185" s="79"/>
      <c r="AD1185" s="54">
        <v>45401.0</v>
      </c>
      <c r="AE1185" s="77">
        <v>4.9075100014205E13</v>
      </c>
      <c r="AF1185" s="79"/>
      <c r="AG1185" s="79"/>
      <c r="AH1185" s="79"/>
      <c r="AI1185" s="79"/>
      <c r="AJ1185" s="79"/>
      <c r="AK1185" s="79"/>
      <c r="AL1185" s="79"/>
      <c r="AM1185" s="79"/>
      <c r="AN1185" s="79"/>
      <c r="AO1185" s="79"/>
      <c r="AP1185" s="79"/>
      <c r="AQ1185" s="79"/>
      <c r="AR1185" s="79"/>
      <c r="AS1185" s="79"/>
      <c r="AT1185" s="79"/>
      <c r="AU1185" s="79"/>
      <c r="AV1185" s="65"/>
      <c r="AW1185" s="65"/>
      <c r="AX1185" s="65">
        <v>397692.95</v>
      </c>
      <c r="AY1185" s="65">
        <v>441131.7</v>
      </c>
      <c r="AZ1185" s="65">
        <v>455070.1</v>
      </c>
      <c r="BA1185" s="65">
        <v>439482.9</v>
      </c>
      <c r="BB1185" s="65">
        <v>0.0</v>
      </c>
      <c r="BC1185" s="65">
        <v>0.0</v>
      </c>
      <c r="BD1185" s="65">
        <v>0.0</v>
      </c>
      <c r="BE1185" s="65">
        <v>0.0</v>
      </c>
      <c r="BF1185" s="65">
        <v>0.0</v>
      </c>
      <c r="BG1185" s="65">
        <v>0.0</v>
      </c>
      <c r="BH1185" s="65">
        <v>0.0</v>
      </c>
      <c r="BI1185" s="65">
        <v>0.0</v>
      </c>
      <c r="BJ1185" s="65">
        <v>0.0</v>
      </c>
      <c r="BK1185" s="65">
        <v>0.0</v>
      </c>
      <c r="BL1185" s="65">
        <v>0.0</v>
      </c>
      <c r="BM1185" s="65">
        <v>0.0</v>
      </c>
      <c r="BN1185" s="65">
        <v>0.0</v>
      </c>
      <c r="BO1185" s="65">
        <v>0.0</v>
      </c>
      <c r="BP1185" s="65">
        <v>0.0</v>
      </c>
      <c r="BQ1185" s="65">
        <v>0.0</v>
      </c>
      <c r="BR1185" s="65">
        <v>0.0</v>
      </c>
      <c r="BS1185" s="65">
        <v>0.0</v>
      </c>
      <c r="BT1185" s="88">
        <v>0.0</v>
      </c>
      <c r="BU1185" s="65">
        <v>0.0</v>
      </c>
      <c r="BV1185" s="65">
        <v>2132740.0</v>
      </c>
      <c r="BW1185" s="90">
        <v>2106078.0</v>
      </c>
      <c r="BX1185" s="90">
        <v>2122322.26</v>
      </c>
      <c r="BY1185" s="90">
        <f t="array" ref="BY1185">XLOOKUP(C1185,'PL TOTAL D0'!$A$3:$A$1991,'PL TOTAL D0'!$C$3:$C$1991,"")</f>
        <v>2132727.48</v>
      </c>
    </row>
    <row r="1186" ht="15.75" customHeight="1">
      <c r="A1186" s="50" t="s">
        <v>24</v>
      </c>
      <c r="B1186" s="200" t="s">
        <v>9570</v>
      </c>
      <c r="C1186" s="94" t="s">
        <v>3467</v>
      </c>
      <c r="D1186" s="30" t="s">
        <v>120</v>
      </c>
      <c r="E1186" s="22" t="s">
        <v>54</v>
      </c>
      <c r="F1186" s="30" t="s">
        <v>125</v>
      </c>
      <c r="G1186" s="47" t="str">
        <f t="shared" ref="G1186:G1189" si="53">IFS($BS$4:$BS$1280&lt;=250000,"David",$BS$4:$BS$1280&lt;=800000,"Gabriel", $BS$4:$BS$1280&gt;800000,"Marcus")</f>
        <v>David</v>
      </c>
      <c r="H1186" s="49" t="s">
        <v>183</v>
      </c>
      <c r="I1186" s="49" t="s">
        <v>66</v>
      </c>
      <c r="J1186" s="47" t="str">
        <f t="shared" si="52"/>
        <v>Sim</v>
      </c>
      <c r="K1186" s="54">
        <v>45548.0</v>
      </c>
      <c r="L1186" s="62"/>
      <c r="M1186" s="32" t="s">
        <v>61</v>
      </c>
      <c r="N1186" s="56">
        <v>0.012</v>
      </c>
      <c r="O1186" s="23" t="s">
        <v>66</v>
      </c>
      <c r="P1186" s="57">
        <v>0.0</v>
      </c>
      <c r="Q1186" s="58" t="s">
        <v>9571</v>
      </c>
      <c r="R1186" s="635"/>
      <c r="S1186" s="32" t="s">
        <v>194</v>
      </c>
      <c r="T1186" s="177" t="s">
        <v>9572</v>
      </c>
      <c r="U1186" s="33">
        <v>6.2981233993E10</v>
      </c>
      <c r="V1186" s="33" t="s">
        <v>9573</v>
      </c>
      <c r="W1186" s="34">
        <v>34007.0</v>
      </c>
      <c r="X1186" s="23" t="s">
        <v>54</v>
      </c>
      <c r="Y1186" s="49" t="str">
        <f t="shared" si="46"/>
        <v>Ativo</v>
      </c>
      <c r="Z1186" s="32"/>
      <c r="AA1186" s="32" t="s">
        <v>165</v>
      </c>
      <c r="AB1186" s="64"/>
      <c r="AC1186" s="79"/>
      <c r="AD1186" s="54">
        <v>45548.0</v>
      </c>
      <c r="AE1186" s="77">
        <v>4.9075100015716E13</v>
      </c>
      <c r="AF1186" s="79"/>
      <c r="AG1186" s="79"/>
      <c r="AH1186" s="79"/>
      <c r="AI1186" s="79"/>
      <c r="AJ1186" s="79"/>
      <c r="AK1186" s="79"/>
      <c r="AL1186" s="79"/>
      <c r="AM1186" s="79"/>
      <c r="AN1186" s="79"/>
      <c r="AO1186" s="79"/>
      <c r="AP1186" s="79"/>
      <c r="AQ1186" s="79"/>
      <c r="AR1186" s="79"/>
      <c r="AS1186" s="79"/>
      <c r="AT1186" s="79"/>
      <c r="AU1186" s="79"/>
      <c r="AV1186" s="65"/>
      <c r="AW1186" s="65"/>
      <c r="AX1186" s="65"/>
      <c r="AY1186" s="65"/>
      <c r="AZ1186" s="65"/>
      <c r="BA1186" s="65"/>
      <c r="BB1186" s="65"/>
      <c r="BC1186" s="65">
        <v>37116.94</v>
      </c>
      <c r="BD1186" s="65">
        <v>40882.23</v>
      </c>
      <c r="BE1186" s="65">
        <v>56541.08</v>
      </c>
      <c r="BF1186" s="65">
        <v>59952.01</v>
      </c>
      <c r="BG1186" s="65">
        <v>60488.14</v>
      </c>
      <c r="BH1186" s="65">
        <v>61012.73</v>
      </c>
      <c r="BI1186" s="65">
        <v>61610.78</v>
      </c>
      <c r="BJ1186" s="65">
        <v>62234.95</v>
      </c>
      <c r="BK1186" s="65">
        <v>62779.84</v>
      </c>
      <c r="BL1186" s="65">
        <v>63217.67</v>
      </c>
      <c r="BM1186" s="65">
        <v>63903.47</v>
      </c>
      <c r="BN1186" s="65">
        <v>64565.11</v>
      </c>
      <c r="BO1186" s="65">
        <v>65164.42</v>
      </c>
      <c r="BP1186" s="65">
        <v>65322.62</v>
      </c>
      <c r="BQ1186" s="65">
        <v>65751.6</v>
      </c>
      <c r="BR1186" s="65">
        <v>66430.08</v>
      </c>
      <c r="BS1186" s="65">
        <v>67124.09</v>
      </c>
      <c r="BT1186" s="88">
        <v>64134.62</v>
      </c>
      <c r="BU1186" s="65">
        <v>60804.44</v>
      </c>
      <c r="BV1186" s="65">
        <v>61299.8</v>
      </c>
      <c r="BW1186" s="90">
        <v>61845.38</v>
      </c>
      <c r="BX1186" s="90">
        <v>54349.05</v>
      </c>
      <c r="BY1186" s="90">
        <f t="array" ref="BY1186">XLOOKUP(C1186,'PL TOTAL D0'!$A$3:$A$1991,'PL TOTAL D0'!$C$3:$C$1991,"")</f>
        <v>42720.52</v>
      </c>
    </row>
    <row r="1187" ht="15.75" customHeight="1">
      <c r="A1187" s="50" t="s">
        <v>24</v>
      </c>
      <c r="B1187" s="50" t="s">
        <v>9574</v>
      </c>
      <c r="C1187" s="94" t="s">
        <v>9575</v>
      </c>
      <c r="D1187" s="81" t="s">
        <v>255</v>
      </c>
      <c r="E1187" s="95" t="s">
        <v>199</v>
      </c>
      <c r="F1187" s="81" t="s">
        <v>1369</v>
      </c>
      <c r="G1187" s="47" t="str">
        <f t="shared" si="53"/>
        <v>David</v>
      </c>
      <c r="H1187" s="74" t="s">
        <v>224</v>
      </c>
      <c r="I1187" s="74" t="s">
        <v>66</v>
      </c>
      <c r="J1187" s="47" t="str">
        <f t="shared" si="52"/>
        <v>Não</v>
      </c>
      <c r="K1187" s="97">
        <v>44959.0</v>
      </c>
      <c r="L1187" s="194">
        <v>45021.0</v>
      </c>
      <c r="M1187" s="62" t="s">
        <v>61</v>
      </c>
      <c r="N1187" s="98">
        <v>0.012</v>
      </c>
      <c r="O1187" s="47" t="s">
        <v>66</v>
      </c>
      <c r="P1187" s="99">
        <v>0.0</v>
      </c>
      <c r="Q1187" s="58"/>
      <c r="R1187" s="70"/>
      <c r="S1187" s="62" t="s">
        <v>194</v>
      </c>
      <c r="T1187" s="32" t="s">
        <v>9576</v>
      </c>
      <c r="U1187" s="33" t="s">
        <v>268</v>
      </c>
      <c r="V1187" s="33"/>
      <c r="W1187" s="33" t="s">
        <v>268</v>
      </c>
      <c r="X1187" s="23" t="s">
        <v>199</v>
      </c>
      <c r="Y1187" s="49" t="str">
        <f t="shared" si="46"/>
        <v>Encerrado</v>
      </c>
      <c r="Z1187" s="62"/>
      <c r="AA1187" s="62"/>
      <c r="AB1187" s="64"/>
      <c r="AC1187" s="79"/>
      <c r="AD1187" s="54">
        <v>44959.0</v>
      </c>
      <c r="AE1187" s="77"/>
      <c r="AF1187" s="79"/>
      <c r="AG1187" s="79"/>
      <c r="AH1187" s="79"/>
      <c r="AI1187" s="65">
        <v>50156.35</v>
      </c>
      <c r="AJ1187" s="65">
        <v>90779.2</v>
      </c>
      <c r="AK1187" s="65">
        <v>91750.46</v>
      </c>
      <c r="AL1187" s="65">
        <v>0.0</v>
      </c>
      <c r="AM1187" s="65">
        <v>0.0</v>
      </c>
      <c r="AN1187" s="65">
        <v>0.0</v>
      </c>
      <c r="AO1187" s="65">
        <v>0.0</v>
      </c>
      <c r="AP1187" s="65">
        <v>0.0</v>
      </c>
      <c r="AQ1187" s="65">
        <v>0.0</v>
      </c>
      <c r="AR1187" s="65">
        <v>0.0</v>
      </c>
      <c r="AS1187" s="65">
        <v>0.0</v>
      </c>
      <c r="AT1187" s="65">
        <v>0.0</v>
      </c>
      <c r="AU1187" s="65">
        <v>0.0</v>
      </c>
      <c r="AV1187" s="65">
        <v>0.0</v>
      </c>
      <c r="AW1187" s="65">
        <v>0.0</v>
      </c>
      <c r="AX1187" s="65">
        <v>0.0</v>
      </c>
      <c r="AY1187" s="65">
        <v>0.0</v>
      </c>
      <c r="AZ1187" s="65">
        <v>0.0</v>
      </c>
      <c r="BA1187" s="65">
        <v>0.0</v>
      </c>
      <c r="BB1187" s="65">
        <v>0.0</v>
      </c>
      <c r="BC1187" s="65">
        <v>0.0</v>
      </c>
      <c r="BD1187" s="65">
        <v>0.0</v>
      </c>
      <c r="BE1187" s="65">
        <v>0.0</v>
      </c>
      <c r="BF1187" s="65">
        <v>0.0</v>
      </c>
      <c r="BG1187" s="65">
        <v>0.0</v>
      </c>
      <c r="BH1187" s="65">
        <v>0.0</v>
      </c>
      <c r="BI1187" s="65">
        <v>0.0</v>
      </c>
      <c r="BJ1187" s="65">
        <v>0.0</v>
      </c>
      <c r="BK1187" s="65">
        <v>0.0</v>
      </c>
      <c r="BL1187" s="65">
        <v>0.0</v>
      </c>
      <c r="BM1187" s="65">
        <v>0.0</v>
      </c>
      <c r="BN1187" s="65">
        <v>0.0</v>
      </c>
      <c r="BO1187" s="65">
        <v>0.0</v>
      </c>
      <c r="BP1187" s="65">
        <v>0.0</v>
      </c>
      <c r="BQ1187" s="65">
        <v>0.0</v>
      </c>
      <c r="BR1187" s="65">
        <v>0.0</v>
      </c>
      <c r="BS1187" s="65">
        <v>0.0</v>
      </c>
      <c r="BT1187" s="88">
        <v>0.0</v>
      </c>
      <c r="BU1187" s="65">
        <v>0.0</v>
      </c>
      <c r="BV1187" s="65">
        <v>0.0</v>
      </c>
      <c r="BW1187" s="90">
        <v>0.0</v>
      </c>
      <c r="BX1187" s="90">
        <v>0.0</v>
      </c>
      <c r="BY1187" s="90" t="str">
        <f t="array" ref="BY1187">XLOOKUP(C1187,'PL TOTAL D0'!$A$3:$A$1991,'PL TOTAL D0'!$C$3:$C$1991,"")</f>
        <v/>
      </c>
    </row>
    <row r="1188" ht="15.75" customHeight="1">
      <c r="A1188" s="50" t="s">
        <v>24</v>
      </c>
      <c r="B1188" s="43" t="s">
        <v>9577</v>
      </c>
      <c r="C1188" s="94" t="s">
        <v>9578</v>
      </c>
      <c r="D1188" s="30" t="s">
        <v>249</v>
      </c>
      <c r="E1188" s="22" t="s">
        <v>199</v>
      </c>
      <c r="F1188" s="30" t="s">
        <v>251</v>
      </c>
      <c r="G1188" s="47" t="str">
        <f t="shared" si="53"/>
        <v>David</v>
      </c>
      <c r="H1188" s="49" t="s">
        <v>295</v>
      </c>
      <c r="I1188" s="49" t="s">
        <v>382</v>
      </c>
      <c r="J1188" s="47" t="str">
        <f t="shared" si="52"/>
        <v>Não</v>
      </c>
      <c r="K1188" s="54">
        <v>45869.0</v>
      </c>
      <c r="L1188" s="194"/>
      <c r="M1188" s="32" t="s">
        <v>390</v>
      </c>
      <c r="N1188" s="56">
        <v>0.005</v>
      </c>
      <c r="O1188" s="23" t="s">
        <v>66</v>
      </c>
      <c r="P1188" s="57">
        <v>0.0</v>
      </c>
      <c r="Q1188" s="58"/>
      <c r="R1188" s="70"/>
      <c r="S1188" s="32" t="s">
        <v>234</v>
      </c>
      <c r="T1188" s="32" t="s">
        <v>9579</v>
      </c>
      <c r="U1188" s="33">
        <v>5.5619819162E12</v>
      </c>
      <c r="V1188" s="33"/>
      <c r="W1188" s="34">
        <v>45602.0</v>
      </c>
      <c r="X1188" s="23" t="s">
        <v>199</v>
      </c>
      <c r="Y1188" s="49" t="str">
        <f t="shared" si="46"/>
        <v>Ativo</v>
      </c>
      <c r="Z1188" s="62"/>
      <c r="AA1188" s="32" t="s">
        <v>165</v>
      </c>
      <c r="AB1188" s="64"/>
      <c r="AC1188" s="79"/>
      <c r="AD1188" s="54"/>
      <c r="AE1188" s="77"/>
      <c r="AF1188" s="79"/>
      <c r="AG1188" s="79"/>
      <c r="AH1188" s="79"/>
      <c r="AI1188" s="65"/>
      <c r="AJ1188" s="65"/>
      <c r="AK1188" s="65"/>
      <c r="AL1188" s="65"/>
      <c r="AM1188" s="65"/>
      <c r="AN1188" s="65"/>
      <c r="AO1188" s="65"/>
      <c r="AP1188" s="65"/>
      <c r="AQ1188" s="65"/>
      <c r="AR1188" s="65"/>
      <c r="AS1188" s="65"/>
      <c r="AT1188" s="65"/>
      <c r="AU1188" s="65"/>
      <c r="AV1188" s="65"/>
      <c r="AW1188" s="65"/>
      <c r="AX1188" s="65"/>
      <c r="AY1188" s="65"/>
      <c r="AZ1188" s="65"/>
      <c r="BA1188" s="65"/>
      <c r="BB1188" s="65"/>
      <c r="BC1188" s="65"/>
      <c r="BD1188" s="65"/>
      <c r="BE1188" s="65"/>
      <c r="BF1188" s="65"/>
      <c r="BG1188" s="65"/>
      <c r="BH1188" s="65"/>
      <c r="BI1188" s="65"/>
      <c r="BJ1188" s="65"/>
      <c r="BK1188" s="65"/>
      <c r="BL1188" s="65"/>
      <c r="BM1188" s="65">
        <v>0.0</v>
      </c>
      <c r="BN1188" s="65">
        <v>0.0</v>
      </c>
      <c r="BO1188" s="65">
        <v>0.0</v>
      </c>
      <c r="BP1188" s="65">
        <v>0.0</v>
      </c>
      <c r="BQ1188" s="65">
        <v>0.0</v>
      </c>
      <c r="BR1188" s="65">
        <v>0.0</v>
      </c>
      <c r="BS1188" s="65">
        <v>0.0</v>
      </c>
      <c r="BT1188" s="88">
        <v>0.0</v>
      </c>
      <c r="BU1188" s="65">
        <v>0.0</v>
      </c>
      <c r="BV1188" s="65">
        <v>0.0</v>
      </c>
      <c r="BW1188" s="90">
        <v>0.0</v>
      </c>
      <c r="BX1188" s="90">
        <v>0.0</v>
      </c>
      <c r="BY1188" s="90" t="str">
        <f t="array" ref="BY1188">XLOOKUP(C1188,'PL TOTAL D0'!$A$3:$A$1991,'PL TOTAL D0'!$C$3:$C$1991,"")</f>
        <v/>
      </c>
    </row>
    <row r="1189" ht="15.75" customHeight="1">
      <c r="A1189" s="50" t="s">
        <v>24</v>
      </c>
      <c r="B1189" s="43" t="s">
        <v>9580</v>
      </c>
      <c r="C1189" s="94" t="s">
        <v>2965</v>
      </c>
      <c r="D1189" s="30" t="s">
        <v>89</v>
      </c>
      <c r="E1189" s="22" t="s">
        <v>91</v>
      </c>
      <c r="F1189" s="30" t="s">
        <v>1869</v>
      </c>
      <c r="G1189" s="47" t="str">
        <f t="shared" si="53"/>
        <v>Gabriel</v>
      </c>
      <c r="H1189" s="49" t="s">
        <v>183</v>
      </c>
      <c r="I1189" s="49" t="s">
        <v>66</v>
      </c>
      <c r="J1189" s="47" t="str">
        <f t="shared" si="52"/>
        <v>Sim</v>
      </c>
      <c r="K1189" s="54">
        <v>45693.0</v>
      </c>
      <c r="L1189" s="194"/>
      <c r="M1189" s="32" t="s">
        <v>34</v>
      </c>
      <c r="N1189" s="56">
        <v>0.012</v>
      </c>
      <c r="O1189" s="23" t="s">
        <v>35</v>
      </c>
      <c r="P1189" s="57">
        <v>0.1</v>
      </c>
      <c r="Q1189" s="58" t="s">
        <v>9581</v>
      </c>
      <c r="R1189" s="58" t="s">
        <v>9582</v>
      </c>
      <c r="S1189" s="32" t="s">
        <v>234</v>
      </c>
      <c r="T1189" s="32" t="s">
        <v>9583</v>
      </c>
      <c r="U1189" s="33">
        <v>5.543988172703E12</v>
      </c>
      <c r="V1189" s="33" t="s">
        <v>8503</v>
      </c>
      <c r="W1189" s="34">
        <v>43441.0</v>
      </c>
      <c r="X1189" s="23" t="s">
        <v>221</v>
      </c>
      <c r="Y1189" s="49" t="str">
        <f t="shared" si="46"/>
        <v>Ativo</v>
      </c>
      <c r="Z1189" s="62"/>
      <c r="AA1189" s="32" t="s">
        <v>47</v>
      </c>
      <c r="AB1189" s="64"/>
      <c r="AC1189" s="79"/>
      <c r="AD1189" s="54">
        <v>45701.0</v>
      </c>
      <c r="AE1189" s="77">
        <v>4.907510001834E13</v>
      </c>
      <c r="AF1189" s="79"/>
      <c r="AG1189" s="79"/>
      <c r="AH1189" s="79"/>
      <c r="AI1189" s="65"/>
      <c r="AJ1189" s="65"/>
      <c r="AK1189" s="65"/>
      <c r="AL1189" s="65"/>
      <c r="AM1189" s="65"/>
      <c r="AN1189" s="65"/>
      <c r="AO1189" s="65"/>
      <c r="AP1189" s="65"/>
      <c r="AQ1189" s="65"/>
      <c r="AR1189" s="65"/>
      <c r="AS1189" s="65"/>
      <c r="AT1189" s="65"/>
      <c r="AU1189" s="65"/>
      <c r="AV1189" s="65"/>
      <c r="AW1189" s="65"/>
      <c r="AX1189" s="65"/>
      <c r="AY1189" s="65"/>
      <c r="AZ1189" s="65"/>
      <c r="BA1189" s="65"/>
      <c r="BB1189" s="65"/>
      <c r="BC1189" s="65"/>
      <c r="BD1189" s="65"/>
      <c r="BE1189" s="65"/>
      <c r="BF1189" s="65"/>
      <c r="BG1189" s="65"/>
      <c r="BH1189" s="65">
        <v>221825.03</v>
      </c>
      <c r="BI1189" s="65">
        <v>397254.03</v>
      </c>
      <c r="BJ1189" s="65">
        <v>401444.47</v>
      </c>
      <c r="BK1189" s="65">
        <v>404494.02</v>
      </c>
      <c r="BL1189" s="65">
        <v>407766.26</v>
      </c>
      <c r="BM1189" s="65">
        <v>407688.44</v>
      </c>
      <c r="BN1189" s="65">
        <v>411862.6</v>
      </c>
      <c r="BO1189" s="65">
        <v>416325.04</v>
      </c>
      <c r="BP1189" s="65">
        <v>421390.0</v>
      </c>
      <c r="BQ1189" s="65">
        <v>422189.2</v>
      </c>
      <c r="BR1189" s="65">
        <v>425905.9</v>
      </c>
      <c r="BS1189" s="65">
        <v>400108.31</v>
      </c>
      <c r="BT1189" s="88">
        <v>403533.7</v>
      </c>
      <c r="BU1189" s="65">
        <v>408532.0</v>
      </c>
      <c r="BV1189" s="65">
        <v>413092.8</v>
      </c>
      <c r="BW1189" s="90">
        <v>506435.2</v>
      </c>
      <c r="BX1189" s="90">
        <v>412009.42</v>
      </c>
      <c r="BY1189" s="90">
        <f t="array" ref="BY1189">XLOOKUP(C1189,'PL TOTAL D0'!$A$3:$A$1991,'PL TOTAL D0'!$C$3:$C$1991,"")</f>
        <v>412707.91</v>
      </c>
    </row>
    <row r="1190" ht="15.75" customHeight="1">
      <c r="A1190" s="50" t="s">
        <v>24</v>
      </c>
      <c r="B1190" s="43" t="s">
        <v>9584</v>
      </c>
      <c r="C1190" s="94" t="s">
        <v>2848</v>
      </c>
      <c r="D1190" s="30" t="s">
        <v>142</v>
      </c>
      <c r="E1190" s="22" t="s">
        <v>54</v>
      </c>
      <c r="F1190" s="30" t="s">
        <v>158</v>
      </c>
      <c r="G1190" s="23" t="s">
        <v>829</v>
      </c>
      <c r="H1190" s="49" t="s">
        <v>183</v>
      </c>
      <c r="I1190" s="49" t="s">
        <v>66</v>
      </c>
      <c r="J1190" s="47" t="str">
        <f t="shared" si="52"/>
        <v>Não</v>
      </c>
      <c r="K1190" s="54">
        <v>46057.0</v>
      </c>
      <c r="L1190" s="194"/>
      <c r="M1190" s="32" t="s">
        <v>1678</v>
      </c>
      <c r="N1190" s="56">
        <v>0.015</v>
      </c>
      <c r="O1190" s="23" t="s">
        <v>66</v>
      </c>
      <c r="P1190" s="57">
        <v>0.0</v>
      </c>
      <c r="Q1190" s="58"/>
      <c r="R1190" s="58"/>
      <c r="S1190" s="32" t="s">
        <v>194</v>
      </c>
      <c r="T1190" s="32" t="s">
        <v>9585</v>
      </c>
      <c r="U1190" s="33" t="s">
        <v>9586</v>
      </c>
      <c r="V1190" s="33" t="s">
        <v>9587</v>
      </c>
      <c r="W1190" s="34">
        <v>28398.0</v>
      </c>
      <c r="X1190" s="23" t="s">
        <v>54</v>
      </c>
      <c r="Y1190" s="49" t="str">
        <f t="shared" si="46"/>
        <v>Ativo</v>
      </c>
      <c r="Z1190" s="62"/>
      <c r="AA1190" s="32" t="s">
        <v>165</v>
      </c>
      <c r="AB1190" s="64"/>
      <c r="AC1190" s="79"/>
      <c r="AD1190" s="54">
        <v>46203.0</v>
      </c>
      <c r="AE1190" s="77"/>
      <c r="AF1190" s="79"/>
      <c r="AG1190" s="79"/>
      <c r="AH1190" s="79"/>
      <c r="AI1190" s="65"/>
      <c r="AJ1190" s="65"/>
      <c r="AK1190" s="65"/>
      <c r="AL1190" s="65"/>
      <c r="AM1190" s="65"/>
      <c r="AN1190" s="65"/>
      <c r="AO1190" s="65"/>
      <c r="AP1190" s="65"/>
      <c r="AQ1190" s="65"/>
      <c r="AR1190" s="65"/>
      <c r="AS1190" s="65"/>
      <c r="AT1190" s="65"/>
      <c r="AU1190" s="65"/>
      <c r="AV1190" s="65"/>
      <c r="AW1190" s="65"/>
      <c r="AX1190" s="65"/>
      <c r="AY1190" s="65"/>
      <c r="AZ1190" s="65"/>
      <c r="BA1190" s="65"/>
      <c r="BB1190" s="65"/>
      <c r="BC1190" s="65"/>
      <c r="BD1190" s="65"/>
      <c r="BE1190" s="65"/>
      <c r="BF1190" s="65"/>
      <c r="BG1190" s="65"/>
      <c r="BH1190" s="65"/>
      <c r="BI1190" s="65"/>
      <c r="BJ1190" s="65"/>
      <c r="BK1190" s="65"/>
      <c r="BL1190" s="65"/>
      <c r="BM1190" s="65"/>
      <c r="BN1190" s="65"/>
      <c r="BO1190" s="65"/>
      <c r="BP1190" s="65"/>
      <c r="BQ1190" s="65"/>
      <c r="BR1190" s="65"/>
      <c r="BS1190" s="65" t="s">
        <v>1739</v>
      </c>
      <c r="BT1190" s="88">
        <v>339236.4</v>
      </c>
      <c r="BU1190" s="65">
        <v>491039.4</v>
      </c>
      <c r="BV1190" s="65">
        <v>571189.0</v>
      </c>
      <c r="BW1190" s="90">
        <v>574352.9</v>
      </c>
      <c r="BX1190" s="90">
        <v>556976.58</v>
      </c>
      <c r="BY1190" s="90">
        <f t="array" ref="BY1190">XLOOKUP(C1190,'PL TOTAL D0'!$A$3:$A$1991,'PL TOTAL D0'!$C$3:$C$1991,"")</f>
        <v>560802.87</v>
      </c>
    </row>
    <row r="1191" ht="15.75" customHeight="1">
      <c r="A1191" s="50" t="s">
        <v>24</v>
      </c>
      <c r="B1191" s="43" t="s">
        <v>1751</v>
      </c>
      <c r="C1191" s="94" t="s">
        <v>9588</v>
      </c>
      <c r="D1191" s="30" t="s">
        <v>120</v>
      </c>
      <c r="E1191" s="22" t="s">
        <v>475</v>
      </c>
      <c r="F1191" s="30" t="s">
        <v>502</v>
      </c>
      <c r="G1191" s="47" t="str">
        <f t="shared" ref="G1191:G1248" si="54">IFS($BS$4:$BS$1280&lt;=250000,"David",$BS$4:$BS$1280&lt;=800000,"Gabriel", $BS$4:$BS$1280&gt;800000,"Marcus")</f>
        <v>David</v>
      </c>
      <c r="H1191" s="49" t="s">
        <v>295</v>
      </c>
      <c r="I1191" s="49" t="s">
        <v>382</v>
      </c>
      <c r="J1191" s="47" t="str">
        <f t="shared" si="52"/>
        <v>Não</v>
      </c>
      <c r="K1191" s="54">
        <v>45754.0</v>
      </c>
      <c r="L1191" s="194"/>
      <c r="M1191" s="32" t="s">
        <v>201</v>
      </c>
      <c r="N1191" s="56">
        <v>0.0</v>
      </c>
      <c r="O1191" s="23" t="s">
        <v>66</v>
      </c>
      <c r="P1191" s="57">
        <v>0.0</v>
      </c>
      <c r="Q1191" s="58"/>
      <c r="R1191" s="70"/>
      <c r="S1191" s="32" t="s">
        <v>194</v>
      </c>
      <c r="T1191" s="32" t="s">
        <v>1752</v>
      </c>
      <c r="U1191" s="33">
        <v>5.562999227657E12</v>
      </c>
      <c r="V1191" s="33" t="s">
        <v>2264</v>
      </c>
      <c r="W1191" s="34">
        <v>33486.0</v>
      </c>
      <c r="X1191" s="23" t="s">
        <v>475</v>
      </c>
      <c r="Y1191" s="49" t="str">
        <f t="shared" si="46"/>
        <v>Ativo</v>
      </c>
      <c r="Z1191" s="62"/>
      <c r="AA1191" s="32" t="s">
        <v>107</v>
      </c>
      <c r="AB1191" s="64"/>
      <c r="AC1191" s="79"/>
      <c r="AD1191" s="54"/>
      <c r="AE1191" s="77"/>
      <c r="AF1191" s="79"/>
      <c r="AG1191" s="79"/>
      <c r="AH1191" s="79"/>
      <c r="AI1191" s="65"/>
      <c r="AJ1191" s="65"/>
      <c r="AK1191" s="65"/>
      <c r="AL1191" s="65"/>
      <c r="AM1191" s="65"/>
      <c r="AN1191" s="65"/>
      <c r="AO1191" s="65"/>
      <c r="AP1191" s="65"/>
      <c r="AQ1191" s="65"/>
      <c r="AR1191" s="65"/>
      <c r="AS1191" s="65"/>
      <c r="AT1191" s="65"/>
      <c r="AU1191" s="65"/>
      <c r="AV1191" s="65"/>
      <c r="AW1191" s="65"/>
      <c r="AX1191" s="65"/>
      <c r="AY1191" s="65"/>
      <c r="AZ1191" s="65"/>
      <c r="BA1191" s="65"/>
      <c r="BB1191" s="65"/>
      <c r="BC1191" s="65"/>
      <c r="BD1191" s="65"/>
      <c r="BE1191" s="65"/>
      <c r="BF1191" s="65"/>
      <c r="BG1191" s="65"/>
      <c r="BH1191" s="65"/>
      <c r="BI1191" s="65"/>
      <c r="BJ1191" s="65">
        <v>0.0</v>
      </c>
      <c r="BK1191" s="65">
        <v>0.0</v>
      </c>
      <c r="BL1191" s="65">
        <v>0.0</v>
      </c>
      <c r="BM1191" s="65">
        <v>0.0</v>
      </c>
      <c r="BN1191" s="65">
        <v>0.0</v>
      </c>
      <c r="BO1191" s="65">
        <v>0.0</v>
      </c>
      <c r="BP1191" s="65">
        <v>0.0</v>
      </c>
      <c r="BQ1191" s="65">
        <v>0.0</v>
      </c>
      <c r="BR1191" s="65">
        <v>0.0</v>
      </c>
      <c r="BS1191" s="65">
        <v>0.0</v>
      </c>
      <c r="BT1191" s="88">
        <v>0.0</v>
      </c>
      <c r="BU1191" s="65">
        <v>0.0</v>
      </c>
      <c r="BV1191" s="65">
        <v>0.0</v>
      </c>
      <c r="BW1191" s="90">
        <v>0.0</v>
      </c>
      <c r="BX1191" s="90">
        <v>0.0</v>
      </c>
      <c r="BY1191" s="90" t="str">
        <f t="array" ref="BY1191">XLOOKUP(C1191,'PL TOTAL D0'!$A$3:$A$1991,'PL TOTAL D0'!$C$3:$C$1991,"")</f>
        <v/>
      </c>
    </row>
    <row r="1192" ht="15.75" customHeight="1">
      <c r="A1192" s="50" t="s">
        <v>24</v>
      </c>
      <c r="B1192" s="43" t="s">
        <v>9589</v>
      </c>
      <c r="C1192" s="94" t="s">
        <v>9590</v>
      </c>
      <c r="D1192" s="30" t="s">
        <v>120</v>
      </c>
      <c r="E1192" s="22" t="s">
        <v>199</v>
      </c>
      <c r="F1192" s="30" t="s">
        <v>677</v>
      </c>
      <c r="G1192" s="47" t="str">
        <f t="shared" si="54"/>
        <v>David</v>
      </c>
      <c r="H1192" s="49" t="s">
        <v>224</v>
      </c>
      <c r="I1192" s="49" t="s">
        <v>66</v>
      </c>
      <c r="J1192" s="47" t="str">
        <f t="shared" si="52"/>
        <v>Não</v>
      </c>
      <c r="K1192" s="54">
        <v>45490.0</v>
      </c>
      <c r="L1192" s="55">
        <v>45793.0</v>
      </c>
      <c r="M1192" s="32" t="s">
        <v>34</v>
      </c>
      <c r="N1192" s="56">
        <v>0.012</v>
      </c>
      <c r="O1192" s="23" t="s">
        <v>35</v>
      </c>
      <c r="P1192" s="57">
        <v>0.1</v>
      </c>
      <c r="Q1192" s="58"/>
      <c r="R1192" s="58" t="s">
        <v>610</v>
      </c>
      <c r="S1192" s="32" t="s">
        <v>194</v>
      </c>
      <c r="T1192" s="32" t="s">
        <v>9591</v>
      </c>
      <c r="U1192" s="33" t="s">
        <v>268</v>
      </c>
      <c r="V1192" s="33"/>
      <c r="W1192" s="33" t="s">
        <v>268</v>
      </c>
      <c r="X1192" s="23" t="s">
        <v>199</v>
      </c>
      <c r="Y1192" s="49" t="str">
        <f t="shared" si="46"/>
        <v>Encerrado</v>
      </c>
      <c r="Z1192" s="32"/>
      <c r="AA1192" s="32" t="s">
        <v>165</v>
      </c>
      <c r="AB1192" s="64" t="s">
        <v>269</v>
      </c>
      <c r="AC1192" s="79"/>
      <c r="AD1192" s="54">
        <v>45490.0</v>
      </c>
      <c r="AE1192" s="77">
        <v>4.9075100015392E13</v>
      </c>
      <c r="AF1192" s="79"/>
      <c r="AG1192" s="79"/>
      <c r="AH1192" s="79"/>
      <c r="AI1192" s="79"/>
      <c r="AJ1192" s="79"/>
      <c r="AK1192" s="79"/>
      <c r="AL1192" s="79"/>
      <c r="AM1192" s="79"/>
      <c r="AN1192" s="79"/>
      <c r="AO1192" s="79"/>
      <c r="AP1192" s="79"/>
      <c r="AQ1192" s="79"/>
      <c r="AR1192" s="79"/>
      <c r="AS1192" s="79"/>
      <c r="AT1192" s="79"/>
      <c r="AU1192" s="79"/>
      <c r="AV1192" s="65"/>
      <c r="AW1192" s="65"/>
      <c r="AX1192" s="65"/>
      <c r="AY1192" s="65"/>
      <c r="AZ1192" s="65"/>
      <c r="BA1192" s="65">
        <v>464673.6</v>
      </c>
      <c r="BB1192" s="65">
        <v>719743.28</v>
      </c>
      <c r="BC1192" s="65">
        <v>724878.46</v>
      </c>
      <c r="BD1192" s="65">
        <v>0.0</v>
      </c>
      <c r="BE1192" s="65">
        <v>0.0</v>
      </c>
      <c r="BF1192" s="65">
        <v>0.0</v>
      </c>
      <c r="BG1192" s="65">
        <v>0.0</v>
      </c>
      <c r="BH1192" s="65">
        <v>0.0</v>
      </c>
      <c r="BI1192" s="65">
        <v>0.0</v>
      </c>
      <c r="BJ1192" s="65">
        <v>0.0</v>
      </c>
      <c r="BK1192" s="65">
        <v>0.0</v>
      </c>
      <c r="BL1192" s="65">
        <v>0.0</v>
      </c>
      <c r="BM1192" s="65">
        <v>0.0</v>
      </c>
      <c r="BN1192" s="65">
        <v>0.0</v>
      </c>
      <c r="BO1192" s="65">
        <v>0.0</v>
      </c>
      <c r="BP1192" s="65">
        <v>0.0</v>
      </c>
      <c r="BQ1192" s="65">
        <v>0.0</v>
      </c>
      <c r="BR1192" s="65">
        <v>0.0</v>
      </c>
      <c r="BS1192" s="65">
        <v>0.0</v>
      </c>
      <c r="BT1192" s="88">
        <v>0.0</v>
      </c>
      <c r="BU1192" s="65">
        <v>0.0</v>
      </c>
      <c r="BV1192" s="65">
        <v>0.0</v>
      </c>
      <c r="BW1192" s="90">
        <v>0.0</v>
      </c>
      <c r="BX1192" s="90">
        <v>0.0</v>
      </c>
      <c r="BY1192" s="90" t="str">
        <f t="array" ref="BY1192">XLOOKUP(C1192,'PL TOTAL D0'!$A$3:$A$1991,'PL TOTAL D0'!$C$3:$C$1991,"")</f>
        <v/>
      </c>
    </row>
    <row r="1193" ht="15.75" customHeight="1">
      <c r="A1193" s="50" t="s">
        <v>24</v>
      </c>
      <c r="B1193" s="43" t="s">
        <v>9592</v>
      </c>
      <c r="C1193" s="53" t="s">
        <v>3099</v>
      </c>
      <c r="D1193" s="30" t="s">
        <v>142</v>
      </c>
      <c r="E1193" s="22" t="s">
        <v>54</v>
      </c>
      <c r="F1193" s="30" t="s">
        <v>158</v>
      </c>
      <c r="G1193" s="47" t="str">
        <f t="shared" si="54"/>
        <v>David</v>
      </c>
      <c r="H1193" s="49" t="s">
        <v>183</v>
      </c>
      <c r="I1193" s="49" t="s">
        <v>66</v>
      </c>
      <c r="J1193" s="47" t="str">
        <f t="shared" si="52"/>
        <v>Não</v>
      </c>
      <c r="K1193" s="54">
        <v>46169.0</v>
      </c>
      <c r="L1193" s="55"/>
      <c r="M1193" s="32" t="s">
        <v>61</v>
      </c>
      <c r="N1193" s="56">
        <v>0.012</v>
      </c>
      <c r="O1193" s="23" t="s">
        <v>66</v>
      </c>
      <c r="P1193" s="57">
        <v>0.0</v>
      </c>
      <c r="Q1193" s="58"/>
      <c r="R1193" s="58"/>
      <c r="S1193" s="32" t="s">
        <v>194</v>
      </c>
      <c r="T1193" s="32" t="s">
        <v>9593</v>
      </c>
      <c r="U1193" s="33" t="s">
        <v>9594</v>
      </c>
      <c r="V1193" s="33" t="s">
        <v>9595</v>
      </c>
      <c r="W1193" s="48">
        <v>30612.0</v>
      </c>
      <c r="X1193" s="23" t="s">
        <v>54</v>
      </c>
      <c r="Y1193" s="49" t="str">
        <f t="shared" si="46"/>
        <v>Ativo</v>
      </c>
      <c r="Z1193" s="32"/>
      <c r="AA1193" s="32" t="s">
        <v>47</v>
      </c>
      <c r="AB1193" s="64"/>
      <c r="AC1193" s="79"/>
      <c r="AD1193" s="54">
        <v>46203.0</v>
      </c>
      <c r="AE1193" s="77"/>
      <c r="AF1193" s="79"/>
      <c r="AG1193" s="79"/>
      <c r="AH1193" s="79"/>
      <c r="AI1193" s="79"/>
      <c r="AJ1193" s="79"/>
      <c r="AK1193" s="79"/>
      <c r="AL1193" s="79"/>
      <c r="AM1193" s="79"/>
      <c r="AN1193" s="79"/>
      <c r="AO1193" s="79"/>
      <c r="AP1193" s="79"/>
      <c r="AQ1193" s="79"/>
      <c r="AR1193" s="79"/>
      <c r="AS1193" s="79"/>
      <c r="AT1193" s="79"/>
      <c r="AU1193" s="79"/>
      <c r="AV1193" s="65"/>
      <c r="AW1193" s="65"/>
      <c r="AX1193" s="65"/>
      <c r="AY1193" s="65"/>
      <c r="AZ1193" s="65"/>
      <c r="BA1193" s="65"/>
      <c r="BB1193" s="65"/>
      <c r="BC1193" s="65"/>
      <c r="BD1193" s="65"/>
      <c r="BE1193" s="65"/>
      <c r="BF1193" s="65"/>
      <c r="BG1193" s="65"/>
      <c r="BH1193" s="65"/>
      <c r="BI1193" s="65"/>
      <c r="BJ1193" s="65"/>
      <c r="BK1193" s="65"/>
      <c r="BL1193" s="65"/>
      <c r="BM1193" s="65"/>
      <c r="BN1193" s="65"/>
      <c r="BO1193" s="65"/>
      <c r="BP1193" s="65"/>
      <c r="BQ1193" s="65"/>
      <c r="BR1193" s="65"/>
      <c r="BS1193" s="65"/>
      <c r="BT1193" s="88"/>
      <c r="BU1193" s="65"/>
      <c r="BV1193" s="65"/>
      <c r="BW1193" s="90">
        <v>0.0</v>
      </c>
      <c r="BX1193" s="90">
        <v>252307.85</v>
      </c>
      <c r="BY1193" s="90">
        <f t="array" ref="BY1193">XLOOKUP(C1193,'PL TOTAL D0'!$A$3:$A$1991,'PL TOTAL D0'!$C$3:$C$1991,"")</f>
        <v>255456.82</v>
      </c>
    </row>
    <row r="1194" ht="15.75" customHeight="1">
      <c r="A1194" s="50" t="s">
        <v>24</v>
      </c>
      <c r="B1194" s="50" t="s">
        <v>9596</v>
      </c>
      <c r="C1194" s="94" t="s">
        <v>3279</v>
      </c>
      <c r="D1194" s="81" t="s">
        <v>120</v>
      </c>
      <c r="E1194" s="95" t="s">
        <v>54</v>
      </c>
      <c r="F1194" s="81" t="s">
        <v>125</v>
      </c>
      <c r="G1194" s="47" t="str">
        <f t="shared" si="54"/>
        <v>David</v>
      </c>
      <c r="H1194" s="74" t="s">
        <v>183</v>
      </c>
      <c r="I1194" s="74" t="s">
        <v>66</v>
      </c>
      <c r="J1194" s="47" t="str">
        <f t="shared" si="52"/>
        <v>Não</v>
      </c>
      <c r="K1194" s="97">
        <v>44895.0</v>
      </c>
      <c r="L1194" s="62"/>
      <c r="M1194" s="62" t="s">
        <v>61</v>
      </c>
      <c r="N1194" s="98">
        <v>0.01</v>
      </c>
      <c r="O1194" s="47" t="s">
        <v>66</v>
      </c>
      <c r="P1194" s="99">
        <v>0.0</v>
      </c>
      <c r="Q1194" s="58"/>
      <c r="R1194" s="635"/>
      <c r="S1194" s="62" t="s">
        <v>194</v>
      </c>
      <c r="T1194" s="32" t="s">
        <v>9597</v>
      </c>
      <c r="U1194" s="33">
        <v>5.562985884659E12</v>
      </c>
      <c r="V1194" s="33" t="s">
        <v>9598</v>
      </c>
      <c r="W1194" s="34">
        <v>33051.0</v>
      </c>
      <c r="X1194" s="23" t="s">
        <v>54</v>
      </c>
      <c r="Y1194" s="49" t="str">
        <f t="shared" si="46"/>
        <v>Ativo</v>
      </c>
      <c r="Z1194" s="62"/>
      <c r="AA1194" s="62"/>
      <c r="AB1194" s="64" t="s">
        <v>244</v>
      </c>
      <c r="AC1194" s="79"/>
      <c r="AD1194" s="54">
        <v>44895.0</v>
      </c>
      <c r="AE1194" s="77">
        <v>4.9075100006423E13</v>
      </c>
      <c r="AF1194" s="79"/>
      <c r="AG1194" s="79"/>
      <c r="AH1194" s="65">
        <v>101023.51</v>
      </c>
      <c r="AI1194" s="65">
        <v>117061.16</v>
      </c>
      <c r="AJ1194" s="65">
        <v>118025.41</v>
      </c>
      <c r="AK1194" s="65">
        <v>119332.76</v>
      </c>
      <c r="AL1194" s="65">
        <v>120271.08</v>
      </c>
      <c r="AM1194" s="65">
        <v>121542.65</v>
      </c>
      <c r="AN1194" s="65">
        <v>122676.85</v>
      </c>
      <c r="AO1194" s="65">
        <v>123793.05</v>
      </c>
      <c r="AP1194" s="65">
        <v>125031.02</v>
      </c>
      <c r="AQ1194" s="65">
        <v>126098.17</v>
      </c>
      <c r="AR1194" s="65">
        <v>127288.0</v>
      </c>
      <c r="AS1194" s="65">
        <v>138228.18</v>
      </c>
      <c r="AT1194" s="65">
        <v>139092.64</v>
      </c>
      <c r="AU1194" s="65">
        <v>149727.91</v>
      </c>
      <c r="AV1194" s="65">
        <v>150850.99</v>
      </c>
      <c r="AW1194" s="65">
        <v>152100.88</v>
      </c>
      <c r="AX1194" s="65">
        <v>153294.17</v>
      </c>
      <c r="AY1194" s="65">
        <v>154447.7</v>
      </c>
      <c r="AZ1194" s="65">
        <v>124094.0</v>
      </c>
      <c r="BA1194" s="65">
        <v>124712.0</v>
      </c>
      <c r="BB1194" s="65">
        <v>125761.59</v>
      </c>
      <c r="BC1194" s="65">
        <v>126650.75</v>
      </c>
      <c r="BD1194" s="65">
        <v>137717.65</v>
      </c>
      <c r="BE1194" s="65">
        <v>138612.91</v>
      </c>
      <c r="BF1194" s="65">
        <v>139349.1</v>
      </c>
      <c r="BG1194" s="65">
        <v>140664.04</v>
      </c>
      <c r="BH1194" s="65">
        <v>141433.22</v>
      </c>
      <c r="BI1194" s="65">
        <v>142867.39</v>
      </c>
      <c r="BJ1194" s="65">
        <v>144387.06</v>
      </c>
      <c r="BK1194" s="65">
        <v>145884.03</v>
      </c>
      <c r="BL1194" s="65">
        <v>147162.96</v>
      </c>
      <c r="BM1194" s="65">
        <v>148858.17</v>
      </c>
      <c r="BN1194" s="65">
        <v>155078.5</v>
      </c>
      <c r="BO1194" s="65">
        <v>156397.19</v>
      </c>
      <c r="BP1194" s="65">
        <v>158058.4</v>
      </c>
      <c r="BQ1194" s="65">
        <v>159310.5</v>
      </c>
      <c r="BR1194" s="65">
        <v>160063.9</v>
      </c>
      <c r="BS1194" s="65">
        <v>157477.0</v>
      </c>
      <c r="BT1194" s="88">
        <v>158828.4</v>
      </c>
      <c r="BU1194" s="65">
        <v>109291.8</v>
      </c>
      <c r="BV1194" s="65">
        <v>110346.3</v>
      </c>
      <c r="BW1194" s="90">
        <v>112557.6</v>
      </c>
      <c r="BX1194" s="90">
        <v>113591.52</v>
      </c>
      <c r="BY1194" s="90">
        <f t="array" ref="BY1194">XLOOKUP(C1194,'PL TOTAL D0'!$A$3:$A$1991,'PL TOTAL D0'!$C$3:$C$1991,"")</f>
        <v>114907.47</v>
      </c>
    </row>
    <row r="1195" ht="15.75" customHeight="1">
      <c r="A1195" s="50" t="s">
        <v>24</v>
      </c>
      <c r="B1195" s="43" t="s">
        <v>9599</v>
      </c>
      <c r="C1195" s="94" t="s">
        <v>9600</v>
      </c>
      <c r="D1195" s="81" t="s">
        <v>120</v>
      </c>
      <c r="E1195" s="95" t="s">
        <v>54</v>
      </c>
      <c r="F1195" s="81" t="s">
        <v>125</v>
      </c>
      <c r="G1195" s="47" t="str">
        <f t="shared" si="54"/>
        <v>David</v>
      </c>
      <c r="H1195" s="74" t="s">
        <v>295</v>
      </c>
      <c r="I1195" s="49" t="s">
        <v>382</v>
      </c>
      <c r="J1195" s="47" t="str">
        <f t="shared" si="52"/>
        <v>Não</v>
      </c>
      <c r="K1195" s="97">
        <v>45163.0</v>
      </c>
      <c r="L1195" s="189"/>
      <c r="M1195" s="62" t="s">
        <v>61</v>
      </c>
      <c r="N1195" s="98">
        <v>0.012</v>
      </c>
      <c r="O1195" s="47" t="s">
        <v>66</v>
      </c>
      <c r="P1195" s="99">
        <v>0.0</v>
      </c>
      <c r="Q1195" s="58"/>
      <c r="R1195" s="635"/>
      <c r="S1195" s="62" t="s">
        <v>194</v>
      </c>
      <c r="T1195" s="32" t="s">
        <v>9601</v>
      </c>
      <c r="U1195" s="33">
        <v>5.562992331221E12</v>
      </c>
      <c r="V1195" s="33" t="s">
        <v>9602</v>
      </c>
      <c r="W1195" s="34">
        <v>31955.0</v>
      </c>
      <c r="X1195" s="23" t="s">
        <v>54</v>
      </c>
      <c r="Y1195" s="49" t="str">
        <f t="shared" si="46"/>
        <v>Inativo</v>
      </c>
      <c r="Z1195" s="62"/>
      <c r="AA1195" s="62"/>
      <c r="AB1195" s="64" t="s">
        <v>269</v>
      </c>
      <c r="AC1195" s="79"/>
      <c r="AD1195" s="54">
        <v>45163.0</v>
      </c>
      <c r="AE1195" s="77">
        <v>4.9075100007748E13</v>
      </c>
      <c r="AF1195" s="79"/>
      <c r="AG1195" s="79"/>
      <c r="AH1195" s="79"/>
      <c r="AI1195" s="79"/>
      <c r="AJ1195" s="79"/>
      <c r="AK1195" s="79"/>
      <c r="AL1195" s="65">
        <v>0.0</v>
      </c>
      <c r="AM1195" s="65">
        <v>0.0</v>
      </c>
      <c r="AN1195" s="65">
        <v>0.0</v>
      </c>
      <c r="AO1195" s="65">
        <v>0.0</v>
      </c>
      <c r="AP1195" s="65">
        <v>0.0</v>
      </c>
      <c r="AQ1195" s="65">
        <v>0.0</v>
      </c>
      <c r="AR1195" s="65">
        <v>0.0</v>
      </c>
      <c r="AS1195" s="65">
        <v>0.0</v>
      </c>
      <c r="AT1195" s="65">
        <v>0.0</v>
      </c>
      <c r="AU1195" s="65">
        <v>0.0</v>
      </c>
      <c r="AV1195" s="65">
        <v>0.0</v>
      </c>
      <c r="AW1195" s="65">
        <v>0.0</v>
      </c>
      <c r="AX1195" s="65">
        <v>0.0</v>
      </c>
      <c r="AY1195" s="65">
        <v>0.0</v>
      </c>
      <c r="AZ1195" s="65">
        <v>0.0</v>
      </c>
      <c r="BA1195" s="65">
        <v>0.0</v>
      </c>
      <c r="BB1195" s="65">
        <v>0.0</v>
      </c>
      <c r="BC1195" s="65">
        <v>0.0</v>
      </c>
      <c r="BD1195" s="65">
        <v>0.0</v>
      </c>
      <c r="BE1195" s="65">
        <v>0.0</v>
      </c>
      <c r="BF1195" s="65">
        <v>0.0</v>
      </c>
      <c r="BG1195" s="65">
        <v>0.0</v>
      </c>
      <c r="BH1195" s="65">
        <v>0.0</v>
      </c>
      <c r="BI1195" s="65">
        <v>0.0</v>
      </c>
      <c r="BJ1195" s="65">
        <v>0.0</v>
      </c>
      <c r="BK1195" s="65">
        <v>0.0</v>
      </c>
      <c r="BL1195" s="65">
        <v>0.0</v>
      </c>
      <c r="BM1195" s="65">
        <v>0.0</v>
      </c>
      <c r="BN1195" s="65">
        <v>0.0</v>
      </c>
      <c r="BO1195" s="65">
        <v>0.0</v>
      </c>
      <c r="BP1195" s="65">
        <v>0.0</v>
      </c>
      <c r="BQ1195" s="65">
        <v>0.0</v>
      </c>
      <c r="BR1195" s="65">
        <v>0.0</v>
      </c>
      <c r="BS1195" s="65">
        <v>0.0</v>
      </c>
      <c r="BT1195" s="88">
        <v>0.0</v>
      </c>
      <c r="BU1195" s="65">
        <v>0.0</v>
      </c>
      <c r="BV1195" s="65">
        <v>0.0</v>
      </c>
      <c r="BW1195" s="90">
        <v>0.0</v>
      </c>
      <c r="BX1195" s="90">
        <v>0.0</v>
      </c>
      <c r="BY1195" s="90" t="str">
        <f t="array" ref="BY1195">XLOOKUP(C1195,'PL TOTAL D0'!$A$3:$A$1991,'PL TOTAL D0'!$C$3:$C$1991,"")</f>
        <v/>
      </c>
    </row>
    <row r="1196" ht="15.75" customHeight="1">
      <c r="A1196" s="50" t="s">
        <v>24</v>
      </c>
      <c r="B1196" s="43" t="s">
        <v>9599</v>
      </c>
      <c r="C1196" s="94" t="s">
        <v>9603</v>
      </c>
      <c r="D1196" s="81" t="s">
        <v>120</v>
      </c>
      <c r="E1196" s="95" t="s">
        <v>54</v>
      </c>
      <c r="F1196" s="81" t="s">
        <v>125</v>
      </c>
      <c r="G1196" s="47" t="str">
        <f t="shared" si="54"/>
        <v>David</v>
      </c>
      <c r="H1196" s="49" t="s">
        <v>295</v>
      </c>
      <c r="I1196" s="49" t="s">
        <v>756</v>
      </c>
      <c r="J1196" s="47" t="str">
        <f t="shared" si="52"/>
        <v>Sim</v>
      </c>
      <c r="K1196" s="54">
        <v>45670.0</v>
      </c>
      <c r="L1196" s="189"/>
      <c r="M1196" s="32" t="s">
        <v>4551</v>
      </c>
      <c r="N1196" s="56">
        <v>0.01</v>
      </c>
      <c r="O1196" s="23" t="s">
        <v>66</v>
      </c>
      <c r="P1196" s="57">
        <v>0.0</v>
      </c>
      <c r="Q1196" s="58" t="s">
        <v>9604</v>
      </c>
      <c r="R1196" s="635"/>
      <c r="S1196" s="32" t="s">
        <v>194</v>
      </c>
      <c r="T1196" s="32" t="s">
        <v>9601</v>
      </c>
      <c r="U1196" s="33">
        <v>5.562992331221E12</v>
      </c>
      <c r="V1196" s="33" t="s">
        <v>9602</v>
      </c>
      <c r="W1196" s="34">
        <v>31955.0</v>
      </c>
      <c r="X1196" s="23" t="s">
        <v>54</v>
      </c>
      <c r="Y1196" s="49" t="str">
        <f t="shared" si="46"/>
        <v>Ativo</v>
      </c>
      <c r="Z1196" s="62"/>
      <c r="AA1196" s="32" t="s">
        <v>47</v>
      </c>
      <c r="AB1196" s="64"/>
      <c r="AC1196" s="79"/>
      <c r="AD1196" s="54">
        <v>45670.0</v>
      </c>
      <c r="AE1196" s="77">
        <v>4.9075100017654E13</v>
      </c>
      <c r="AF1196" s="79"/>
      <c r="AG1196" s="79"/>
      <c r="AH1196" s="79"/>
      <c r="AI1196" s="79"/>
      <c r="AJ1196" s="79"/>
      <c r="AK1196" s="79"/>
      <c r="AL1196" s="65"/>
      <c r="AM1196" s="65"/>
      <c r="AN1196" s="65"/>
      <c r="AO1196" s="65"/>
      <c r="AP1196" s="65"/>
      <c r="AQ1196" s="65"/>
      <c r="AR1196" s="65"/>
      <c r="AS1196" s="65"/>
      <c r="AT1196" s="65"/>
      <c r="AU1196" s="65"/>
      <c r="AV1196" s="65"/>
      <c r="AW1196" s="65"/>
      <c r="AX1196" s="65"/>
      <c r="AY1196" s="65"/>
      <c r="AZ1196" s="65"/>
      <c r="BA1196" s="65"/>
      <c r="BB1196" s="65"/>
      <c r="BC1196" s="65"/>
      <c r="BD1196" s="65"/>
      <c r="BE1196" s="65"/>
      <c r="BF1196" s="65"/>
      <c r="BG1196" s="65">
        <v>0.0</v>
      </c>
      <c r="BH1196" s="65">
        <v>0.0</v>
      </c>
      <c r="BI1196" s="65">
        <v>0.0</v>
      </c>
      <c r="BJ1196" s="65">
        <v>0.0</v>
      </c>
      <c r="BK1196" s="65">
        <v>0.0</v>
      </c>
      <c r="BL1196" s="65">
        <v>0.0</v>
      </c>
      <c r="BM1196" s="65">
        <v>0.0</v>
      </c>
      <c r="BN1196" s="65">
        <v>0.0</v>
      </c>
      <c r="BO1196" s="65">
        <v>0.0</v>
      </c>
      <c r="BP1196" s="65">
        <v>0.0</v>
      </c>
      <c r="BQ1196" s="65">
        <v>0.0</v>
      </c>
      <c r="BR1196" s="65">
        <v>0.0</v>
      </c>
      <c r="BS1196" s="65">
        <v>0.0</v>
      </c>
      <c r="BT1196" s="88">
        <v>0.0</v>
      </c>
      <c r="BU1196" s="65">
        <v>0.0</v>
      </c>
      <c r="BV1196" s="65">
        <v>0.0</v>
      </c>
      <c r="BW1196" s="90">
        <v>0.0</v>
      </c>
      <c r="BX1196" s="90">
        <v>0.0</v>
      </c>
      <c r="BY1196" s="90" t="str">
        <f t="array" ref="BY1196">XLOOKUP(C1196,'PL TOTAL D0'!$A$3:$A$1991,'PL TOTAL D0'!$C$3:$C$1991,"")</f>
        <v/>
      </c>
    </row>
    <row r="1197" ht="15.75" customHeight="1">
      <c r="A1197" s="50" t="s">
        <v>24</v>
      </c>
      <c r="B1197" s="50" t="s">
        <v>9605</v>
      </c>
      <c r="C1197" s="94" t="s">
        <v>3189</v>
      </c>
      <c r="D1197" s="81" t="s">
        <v>120</v>
      </c>
      <c r="E1197" s="95" t="s">
        <v>199</v>
      </c>
      <c r="F1197" s="81" t="s">
        <v>212</v>
      </c>
      <c r="G1197" s="47" t="str">
        <f t="shared" si="54"/>
        <v>David</v>
      </c>
      <c r="H1197" s="74" t="s">
        <v>183</v>
      </c>
      <c r="I1197" s="74" t="s">
        <v>66</v>
      </c>
      <c r="J1197" s="47" t="str">
        <f t="shared" si="52"/>
        <v>Não</v>
      </c>
      <c r="K1197" s="97">
        <v>44986.0</v>
      </c>
      <c r="L1197" s="62"/>
      <c r="M1197" s="62" t="s">
        <v>61</v>
      </c>
      <c r="N1197" s="98">
        <v>0.012</v>
      </c>
      <c r="O1197" s="47" t="s">
        <v>66</v>
      </c>
      <c r="P1197" s="99">
        <v>0.0</v>
      </c>
      <c r="Q1197" s="58"/>
      <c r="R1197" s="635"/>
      <c r="S1197" s="62" t="s">
        <v>194</v>
      </c>
      <c r="T1197" s="32" t="s">
        <v>7711</v>
      </c>
      <c r="U1197" s="33">
        <v>6.2981207456E10</v>
      </c>
      <c r="V1197" s="33" t="s">
        <v>9606</v>
      </c>
      <c r="W1197" s="34">
        <v>29230.0</v>
      </c>
      <c r="X1197" s="23" t="s">
        <v>54</v>
      </c>
      <c r="Y1197" s="49" t="str">
        <f t="shared" si="46"/>
        <v>Ativo</v>
      </c>
      <c r="Z1197" s="62"/>
      <c r="AA1197" s="62"/>
      <c r="AB1197" s="64" t="s">
        <v>269</v>
      </c>
      <c r="AC1197" s="79"/>
      <c r="AD1197" s="54">
        <v>44986.0</v>
      </c>
      <c r="AE1197" s="77">
        <v>4.9075100009384E13</v>
      </c>
      <c r="AF1197" s="79"/>
      <c r="AG1197" s="79"/>
      <c r="AH1197" s="79"/>
      <c r="AI1197" s="79"/>
      <c r="AJ1197" s="65">
        <v>0.0</v>
      </c>
      <c r="AK1197" s="65">
        <v>141660.3</v>
      </c>
      <c r="AL1197" s="65">
        <v>149651.12</v>
      </c>
      <c r="AM1197" s="65">
        <v>151242.98</v>
      </c>
      <c r="AN1197" s="65">
        <v>152615.25</v>
      </c>
      <c r="AO1197" s="65">
        <v>154003.32</v>
      </c>
      <c r="AP1197" s="65">
        <v>155535.53</v>
      </c>
      <c r="AQ1197" s="65">
        <v>156942.1</v>
      </c>
      <c r="AR1197" s="65">
        <v>158432.58</v>
      </c>
      <c r="AS1197" s="65">
        <v>159543.84</v>
      </c>
      <c r="AT1197" s="65">
        <v>160836.33</v>
      </c>
      <c r="AU1197" s="65">
        <v>162179.09</v>
      </c>
      <c r="AV1197" s="65">
        <v>163215.8</v>
      </c>
      <c r="AW1197" s="65">
        <v>164501.49</v>
      </c>
      <c r="AX1197" s="65">
        <v>165735.37</v>
      </c>
      <c r="AY1197" s="65">
        <v>166825.2</v>
      </c>
      <c r="AZ1197" s="65">
        <v>167971.9</v>
      </c>
      <c r="BA1197" s="65">
        <v>168839.5</v>
      </c>
      <c r="BB1197" s="65">
        <v>170206.63</v>
      </c>
      <c r="BC1197" s="65">
        <v>171024.7</v>
      </c>
      <c r="BD1197" s="65">
        <v>172504.06</v>
      </c>
      <c r="BE1197" s="65">
        <v>173732.41</v>
      </c>
      <c r="BF1197" s="65">
        <v>174920.96</v>
      </c>
      <c r="BG1197" s="65">
        <v>176531.88</v>
      </c>
      <c r="BH1197" s="65">
        <v>177896.88</v>
      </c>
      <c r="BI1197" s="65">
        <v>179467.42</v>
      </c>
      <c r="BJ1197" s="65">
        <v>181335.89</v>
      </c>
      <c r="BK1197" s="65">
        <v>172859.71</v>
      </c>
      <c r="BL1197" s="65">
        <v>174442.66</v>
      </c>
      <c r="BM1197" s="65">
        <v>176555.57</v>
      </c>
      <c r="BN1197" s="65">
        <v>178457.4</v>
      </c>
      <c r="BO1197" s="65">
        <v>180003.6</v>
      </c>
      <c r="BP1197" s="65">
        <v>171957.9</v>
      </c>
      <c r="BQ1197" s="65">
        <v>173629.7</v>
      </c>
      <c r="BR1197" s="65">
        <v>175462.8</v>
      </c>
      <c r="BS1197" s="65">
        <v>177372.81</v>
      </c>
      <c r="BT1197" s="88">
        <v>178925.5</v>
      </c>
      <c r="BU1197" s="65">
        <v>180836.3</v>
      </c>
      <c r="BV1197" s="65">
        <v>182782.4</v>
      </c>
      <c r="BW1197" s="90">
        <v>169548.0</v>
      </c>
      <c r="BX1197" s="90">
        <v>171227.14</v>
      </c>
      <c r="BY1197" s="90">
        <f t="array" ref="BY1197">XLOOKUP(C1197,'PL TOTAL D0'!$A$3:$A$1991,'PL TOTAL D0'!$C$3:$C$1991,"")</f>
        <v>173107.73</v>
      </c>
    </row>
    <row r="1198" ht="15.75" customHeight="1">
      <c r="A1198" s="50" t="s">
        <v>24</v>
      </c>
      <c r="B1198" s="50" t="s">
        <v>257</v>
      </c>
      <c r="C1198" s="94" t="s">
        <v>9607</v>
      </c>
      <c r="D1198" s="81" t="s">
        <v>255</v>
      </c>
      <c r="E1198" s="95" t="s">
        <v>199</v>
      </c>
      <c r="F1198" s="81" t="s">
        <v>257</v>
      </c>
      <c r="G1198" s="47" t="str">
        <f t="shared" si="54"/>
        <v>David</v>
      </c>
      <c r="H1198" s="49" t="s">
        <v>224</v>
      </c>
      <c r="I1198" s="49" t="s">
        <v>66</v>
      </c>
      <c r="J1198" s="47" t="str">
        <f t="shared" si="52"/>
        <v>Não</v>
      </c>
      <c r="K1198" s="189">
        <v>45140.0</v>
      </c>
      <c r="L1198" s="55">
        <v>45525.0</v>
      </c>
      <c r="M1198" s="47" t="s">
        <v>201</v>
      </c>
      <c r="N1198" s="98">
        <v>0.0</v>
      </c>
      <c r="O1198" s="47" t="s">
        <v>66</v>
      </c>
      <c r="P1198" s="99">
        <v>0.0</v>
      </c>
      <c r="Q1198" s="58"/>
      <c r="R1198" s="190"/>
      <c r="S1198" s="62" t="s">
        <v>194</v>
      </c>
      <c r="T1198" s="32" t="s">
        <v>9608</v>
      </c>
      <c r="U1198" s="33" t="s">
        <v>268</v>
      </c>
      <c r="V1198" s="33"/>
      <c r="W1198" s="33" t="s">
        <v>268</v>
      </c>
      <c r="X1198" s="941" t="s">
        <v>199</v>
      </c>
      <c r="Y1198" s="49" t="str">
        <f t="shared" si="46"/>
        <v>Encerrado</v>
      </c>
      <c r="Z1198" s="62"/>
      <c r="AA1198" s="62"/>
      <c r="AB1198" s="64" t="s">
        <v>244</v>
      </c>
      <c r="AC1198" s="79"/>
      <c r="AD1198" s="54">
        <v>45140.0</v>
      </c>
      <c r="AE1198" s="77">
        <v>4.9075100007012E13</v>
      </c>
      <c r="AF1198" s="79"/>
      <c r="AG1198" s="79"/>
      <c r="AH1198" s="79"/>
      <c r="AI1198" s="79"/>
      <c r="AJ1198" s="79"/>
      <c r="AK1198" s="79"/>
      <c r="AL1198" s="79"/>
      <c r="AM1198" s="79"/>
      <c r="AN1198" s="79"/>
      <c r="AO1198" s="79"/>
      <c r="AP1198" s="65">
        <v>157315.27</v>
      </c>
      <c r="AQ1198" s="65">
        <v>151570.12</v>
      </c>
      <c r="AR1198" s="65">
        <v>151948.12</v>
      </c>
      <c r="AS1198" s="65">
        <v>195432.93</v>
      </c>
      <c r="AT1198" s="65">
        <v>198872.24</v>
      </c>
      <c r="AU1198" s="65">
        <v>261540.82</v>
      </c>
      <c r="AV1198" s="65">
        <v>264194.52</v>
      </c>
      <c r="AW1198" s="65">
        <v>267336.43</v>
      </c>
      <c r="AX1198" s="65">
        <v>265366.63</v>
      </c>
      <c r="AY1198" s="65">
        <v>264471.1</v>
      </c>
      <c r="AZ1198" s="65">
        <v>0.0</v>
      </c>
      <c r="BA1198" s="65">
        <v>0.0</v>
      </c>
      <c r="BB1198" s="65">
        <v>0.0</v>
      </c>
      <c r="BC1198" s="65">
        <v>0.0</v>
      </c>
      <c r="BD1198" s="65">
        <v>0.0</v>
      </c>
      <c r="BE1198" s="65">
        <v>0.0</v>
      </c>
      <c r="BF1198" s="65">
        <v>0.0</v>
      </c>
      <c r="BG1198" s="65">
        <v>0.0</v>
      </c>
      <c r="BH1198" s="65">
        <v>0.0</v>
      </c>
      <c r="BI1198" s="65">
        <v>0.0</v>
      </c>
      <c r="BJ1198" s="65">
        <v>0.0</v>
      </c>
      <c r="BK1198" s="65">
        <v>0.0</v>
      </c>
      <c r="BL1198" s="65">
        <v>0.0</v>
      </c>
      <c r="BM1198" s="65">
        <v>0.0</v>
      </c>
      <c r="BN1198" s="65">
        <v>0.0</v>
      </c>
      <c r="BO1198" s="65">
        <v>0.0</v>
      </c>
      <c r="BP1198" s="65">
        <v>0.0</v>
      </c>
      <c r="BQ1198" s="65">
        <v>0.0</v>
      </c>
      <c r="BR1198" s="65">
        <v>0.0</v>
      </c>
      <c r="BS1198" s="65">
        <v>0.0</v>
      </c>
      <c r="BT1198" s="88">
        <v>0.0</v>
      </c>
      <c r="BU1198" s="65">
        <v>0.0</v>
      </c>
      <c r="BV1198" s="65">
        <v>0.0</v>
      </c>
      <c r="BW1198" s="90">
        <v>0.0</v>
      </c>
      <c r="BX1198" s="90">
        <v>0.0</v>
      </c>
      <c r="BY1198" s="90" t="str">
        <f t="array" ref="BY1198">XLOOKUP(C1198,'PL TOTAL D0'!$A$3:$A$1991,'PL TOTAL D0'!$C$3:$C$1991,"")</f>
        <v/>
      </c>
    </row>
    <row r="1199" ht="15.75" customHeight="1">
      <c r="A1199" s="50" t="s">
        <v>24</v>
      </c>
      <c r="B1199" s="188" t="s">
        <v>7721</v>
      </c>
      <c r="C1199" s="94" t="s">
        <v>9609</v>
      </c>
      <c r="D1199" s="30" t="s">
        <v>255</v>
      </c>
      <c r="E1199" s="22" t="s">
        <v>199</v>
      </c>
      <c r="F1199" s="81" t="s">
        <v>1538</v>
      </c>
      <c r="G1199" s="47" t="str">
        <f t="shared" si="54"/>
        <v>David</v>
      </c>
      <c r="H1199" s="49" t="s">
        <v>224</v>
      </c>
      <c r="I1199" s="49" t="s">
        <v>66</v>
      </c>
      <c r="J1199" s="47" t="str">
        <f t="shared" si="52"/>
        <v>Não</v>
      </c>
      <c r="K1199" s="54">
        <v>45419.0</v>
      </c>
      <c r="L1199" s="362">
        <v>45592.0</v>
      </c>
      <c r="M1199" s="23" t="s">
        <v>34</v>
      </c>
      <c r="N1199" s="56">
        <v>0.014</v>
      </c>
      <c r="O1199" s="23" t="s">
        <v>35</v>
      </c>
      <c r="P1199" s="57">
        <v>0.1</v>
      </c>
      <c r="Q1199" s="58"/>
      <c r="R1199" s="58" t="s">
        <v>610</v>
      </c>
      <c r="S1199" s="32" t="s">
        <v>194</v>
      </c>
      <c r="T1199" s="32" t="s">
        <v>7720</v>
      </c>
      <c r="U1199" s="33" t="s">
        <v>268</v>
      </c>
      <c r="V1199" s="33"/>
      <c r="W1199" s="33" t="s">
        <v>268</v>
      </c>
      <c r="X1199" s="23" t="s">
        <v>199</v>
      </c>
      <c r="Y1199" s="49" t="str">
        <f t="shared" si="46"/>
        <v>Encerrado</v>
      </c>
      <c r="Z1199" s="32"/>
      <c r="AA1199" s="32" t="s">
        <v>47</v>
      </c>
      <c r="AB1199" s="64" t="s">
        <v>269</v>
      </c>
      <c r="AC1199" s="79"/>
      <c r="AD1199" s="54">
        <v>45419.0</v>
      </c>
      <c r="AE1199" s="77">
        <v>4.9075100014612E13</v>
      </c>
      <c r="AF1199" s="79"/>
      <c r="AG1199" s="79"/>
      <c r="AH1199" s="79"/>
      <c r="AI1199" s="79"/>
      <c r="AJ1199" s="79"/>
      <c r="AK1199" s="79"/>
      <c r="AL1199" s="79"/>
      <c r="AM1199" s="79"/>
      <c r="AN1199" s="79"/>
      <c r="AO1199" s="79"/>
      <c r="AP1199" s="79"/>
      <c r="AQ1199" s="79"/>
      <c r="AR1199" s="79"/>
      <c r="AS1199" s="79"/>
      <c r="AT1199" s="79"/>
      <c r="AU1199" s="79"/>
      <c r="AV1199" s="65"/>
      <c r="AW1199" s="65"/>
      <c r="AX1199" s="65"/>
      <c r="AY1199" s="65">
        <v>3741018.0</v>
      </c>
      <c r="AZ1199" s="65">
        <v>4327111.0</v>
      </c>
      <c r="BA1199" s="65">
        <v>4453749.0</v>
      </c>
      <c r="BB1199" s="65">
        <v>0.0</v>
      </c>
      <c r="BC1199" s="65">
        <v>0.0</v>
      </c>
      <c r="BD1199" s="65">
        <v>0.0</v>
      </c>
      <c r="BE1199" s="65">
        <v>0.0</v>
      </c>
      <c r="BF1199" s="65">
        <v>0.0</v>
      </c>
      <c r="BG1199" s="65">
        <v>0.0</v>
      </c>
      <c r="BH1199" s="65">
        <v>0.0</v>
      </c>
      <c r="BI1199" s="65">
        <v>0.0</v>
      </c>
      <c r="BJ1199" s="65">
        <v>0.0</v>
      </c>
      <c r="BK1199" s="65">
        <v>0.0</v>
      </c>
      <c r="BL1199" s="65">
        <v>0.0</v>
      </c>
      <c r="BM1199" s="65">
        <v>0.0</v>
      </c>
      <c r="BN1199" s="65">
        <v>0.0</v>
      </c>
      <c r="BO1199" s="65">
        <v>0.0</v>
      </c>
      <c r="BP1199" s="65">
        <v>0.0</v>
      </c>
      <c r="BQ1199" s="65">
        <v>0.0</v>
      </c>
      <c r="BR1199" s="65">
        <v>0.0</v>
      </c>
      <c r="BS1199" s="65">
        <v>0.0</v>
      </c>
      <c r="BT1199" s="88">
        <v>0.0</v>
      </c>
      <c r="BU1199" s="65">
        <v>0.0</v>
      </c>
      <c r="BV1199" s="65">
        <v>0.0</v>
      </c>
      <c r="BW1199" s="90">
        <v>0.0</v>
      </c>
      <c r="BX1199" s="90">
        <v>0.0</v>
      </c>
      <c r="BY1199" s="90" t="str">
        <f t="array" ref="BY1199">XLOOKUP(C1199,'PL TOTAL D0'!$A$3:$A$1991,'PL TOTAL D0'!$C$3:$C$1991,"")</f>
        <v/>
      </c>
    </row>
    <row r="1200" ht="15.75" customHeight="1">
      <c r="A1200" s="50" t="s">
        <v>24</v>
      </c>
      <c r="B1200" s="510" t="s">
        <v>9610</v>
      </c>
      <c r="C1200" s="94" t="s">
        <v>9611</v>
      </c>
      <c r="D1200" s="81" t="s">
        <v>255</v>
      </c>
      <c r="E1200" s="95" t="s">
        <v>199</v>
      </c>
      <c r="F1200" s="81" t="s">
        <v>1538</v>
      </c>
      <c r="G1200" s="47" t="str">
        <f t="shared" si="54"/>
        <v>David</v>
      </c>
      <c r="H1200" s="49" t="s">
        <v>224</v>
      </c>
      <c r="I1200" s="49" t="s">
        <v>66</v>
      </c>
      <c r="J1200" s="47" t="str">
        <f t="shared" si="52"/>
        <v>Não</v>
      </c>
      <c r="K1200" s="97">
        <v>45042.0</v>
      </c>
      <c r="L1200" s="362">
        <v>46213.0</v>
      </c>
      <c r="M1200" s="47" t="s">
        <v>361</v>
      </c>
      <c r="N1200" s="98">
        <v>0.02</v>
      </c>
      <c r="O1200" s="47" t="s">
        <v>35</v>
      </c>
      <c r="P1200" s="99">
        <v>0.2</v>
      </c>
      <c r="Q1200" s="58"/>
      <c r="R1200" s="70"/>
      <c r="S1200" s="62" t="s">
        <v>194</v>
      </c>
      <c r="T1200" s="32" t="s">
        <v>7720</v>
      </c>
      <c r="U1200" s="33" t="s">
        <v>268</v>
      </c>
      <c r="V1200" s="33"/>
      <c r="W1200" s="33" t="s">
        <v>268</v>
      </c>
      <c r="X1200" s="23" t="s">
        <v>199</v>
      </c>
      <c r="Y1200" s="49" t="str">
        <f t="shared" si="46"/>
        <v>Encerrado</v>
      </c>
      <c r="Z1200" s="32"/>
      <c r="AA1200" s="32" t="s">
        <v>47</v>
      </c>
      <c r="AB1200" s="64" t="s">
        <v>269</v>
      </c>
      <c r="AC1200" s="79"/>
      <c r="AD1200" s="54">
        <v>45042.0</v>
      </c>
      <c r="AE1200" s="77">
        <v>4.9075100009392E13</v>
      </c>
      <c r="AF1200" s="79"/>
      <c r="AG1200" s="79"/>
      <c r="AH1200" s="79"/>
      <c r="AI1200" s="79"/>
      <c r="AJ1200" s="79"/>
      <c r="AK1200" s="65">
        <v>0.0</v>
      </c>
      <c r="AL1200" s="65">
        <v>616485.77</v>
      </c>
      <c r="AM1200" s="65">
        <v>628636.38</v>
      </c>
      <c r="AN1200" s="65">
        <v>645478.28</v>
      </c>
      <c r="AO1200" s="65">
        <v>661276.45</v>
      </c>
      <c r="AP1200" s="65">
        <v>648264.32</v>
      </c>
      <c r="AQ1200" s="65">
        <v>648027.67</v>
      </c>
      <c r="AR1200" s="65">
        <v>638633.82</v>
      </c>
      <c r="AS1200" s="65">
        <v>660375.26</v>
      </c>
      <c r="AT1200" s="65">
        <v>679276.41</v>
      </c>
      <c r="AU1200" s="65">
        <v>657821.24</v>
      </c>
      <c r="AV1200" s="65">
        <v>663047.43</v>
      </c>
      <c r="AW1200" s="65">
        <v>668407.4</v>
      </c>
      <c r="AX1200" s="65">
        <v>651517.16</v>
      </c>
      <c r="AY1200" s="65">
        <v>643732.4</v>
      </c>
      <c r="AZ1200" s="65">
        <v>85879.26</v>
      </c>
      <c r="BA1200" s="65">
        <v>2179.05</v>
      </c>
      <c r="BB1200" s="65">
        <v>2215.2</v>
      </c>
      <c r="BC1200" s="65">
        <v>2217.48</v>
      </c>
      <c r="BD1200" s="65">
        <v>2221.33</v>
      </c>
      <c r="BE1200" s="65">
        <v>2223.78</v>
      </c>
      <c r="BF1200" s="65">
        <v>2230.17</v>
      </c>
      <c r="BG1200" s="65">
        <v>2244.91</v>
      </c>
      <c r="BH1200" s="65">
        <v>2261.69</v>
      </c>
      <c r="BI1200" s="65">
        <v>2278.24</v>
      </c>
      <c r="BJ1200" s="65">
        <v>2296.51</v>
      </c>
      <c r="BK1200" s="65">
        <v>2302.82</v>
      </c>
      <c r="BL1200" s="65">
        <v>2322.19</v>
      </c>
      <c r="BM1200" s="65">
        <v>2345.07</v>
      </c>
      <c r="BN1200" s="65">
        <v>0.0</v>
      </c>
      <c r="BO1200" s="65">
        <v>0.0</v>
      </c>
      <c r="BP1200" s="65">
        <v>0.0</v>
      </c>
      <c r="BQ1200" s="65">
        <v>0.0</v>
      </c>
      <c r="BR1200" s="65">
        <v>0.0</v>
      </c>
      <c r="BS1200" s="65">
        <v>0.0</v>
      </c>
      <c r="BT1200" s="88">
        <v>0.0</v>
      </c>
      <c r="BU1200" s="65">
        <v>0.0</v>
      </c>
      <c r="BV1200" s="65">
        <v>0.0</v>
      </c>
      <c r="BW1200" s="90">
        <v>0.0</v>
      </c>
      <c r="BX1200" s="90">
        <v>0.0</v>
      </c>
      <c r="BY1200" s="90" t="str">
        <f t="array" ref="BY1200">XLOOKUP(C1200,'PL TOTAL D0'!$A$3:$A$1991,'PL TOTAL D0'!$C$3:$C$1991,"")</f>
        <v/>
      </c>
    </row>
    <row r="1201" ht="15.75" customHeight="1">
      <c r="A1201" s="50" t="s">
        <v>24</v>
      </c>
      <c r="B1201" s="50" t="s">
        <v>9612</v>
      </c>
      <c r="C1201" s="94" t="s">
        <v>9613</v>
      </c>
      <c r="D1201" s="81" t="s">
        <v>255</v>
      </c>
      <c r="E1201" s="95" t="s">
        <v>199</v>
      </c>
      <c r="F1201" s="81" t="s">
        <v>1538</v>
      </c>
      <c r="G1201" s="47" t="str">
        <f t="shared" si="54"/>
        <v>David</v>
      </c>
      <c r="H1201" s="49" t="s">
        <v>224</v>
      </c>
      <c r="I1201" s="49" t="s">
        <v>66</v>
      </c>
      <c r="J1201" s="47" t="str">
        <f t="shared" si="52"/>
        <v>Não</v>
      </c>
      <c r="K1201" s="97">
        <v>44874.0</v>
      </c>
      <c r="L1201" s="121">
        <v>45278.0</v>
      </c>
      <c r="M1201" s="62" t="s">
        <v>1142</v>
      </c>
      <c r="N1201" s="98">
        <v>0.008</v>
      </c>
      <c r="O1201" s="47" t="s">
        <v>66</v>
      </c>
      <c r="P1201" s="99">
        <v>0.0</v>
      </c>
      <c r="Q1201" s="58"/>
      <c r="R1201" s="58" t="s">
        <v>1767</v>
      </c>
      <c r="S1201" s="62" t="s">
        <v>194</v>
      </c>
      <c r="T1201" s="32" t="s">
        <v>9614</v>
      </c>
      <c r="U1201" s="33" t="s">
        <v>268</v>
      </c>
      <c r="V1201" s="33"/>
      <c r="W1201" s="33" t="s">
        <v>268</v>
      </c>
      <c r="X1201" s="23" t="s">
        <v>199</v>
      </c>
      <c r="Y1201" s="49" t="str">
        <f t="shared" si="46"/>
        <v>Encerrado</v>
      </c>
      <c r="Z1201" s="62"/>
      <c r="AA1201" s="62"/>
      <c r="AB1201" s="64"/>
      <c r="AC1201" s="79"/>
      <c r="AD1201" s="54">
        <v>44874.0</v>
      </c>
      <c r="AE1201" s="77"/>
      <c r="AF1201" s="79"/>
      <c r="AG1201" s="79"/>
      <c r="AH1201" s="65">
        <v>673366.33</v>
      </c>
      <c r="AI1201" s="65">
        <v>663854.43</v>
      </c>
      <c r="AJ1201" s="65">
        <v>648209.98</v>
      </c>
      <c r="AK1201" s="65">
        <v>639901.8</v>
      </c>
      <c r="AL1201" s="65">
        <v>640706.5</v>
      </c>
      <c r="AM1201" s="65">
        <v>667808.17</v>
      </c>
      <c r="AN1201" s="65">
        <v>0.0</v>
      </c>
      <c r="AO1201" s="65">
        <v>0.0</v>
      </c>
      <c r="AP1201" s="65">
        <v>0.0</v>
      </c>
      <c r="AQ1201" s="65">
        <v>0.0</v>
      </c>
      <c r="AR1201" s="65">
        <v>0.0</v>
      </c>
      <c r="AS1201" s="65">
        <v>0.0</v>
      </c>
      <c r="AT1201" s="65">
        <v>0.0</v>
      </c>
      <c r="AU1201" s="65">
        <v>0.0</v>
      </c>
      <c r="AV1201" s="65">
        <v>0.0</v>
      </c>
      <c r="AW1201" s="65">
        <v>0.0</v>
      </c>
      <c r="AX1201" s="65">
        <v>0.0</v>
      </c>
      <c r="AY1201" s="65">
        <v>0.0</v>
      </c>
      <c r="AZ1201" s="65">
        <v>0.0</v>
      </c>
      <c r="BA1201" s="65">
        <v>0.0</v>
      </c>
      <c r="BB1201" s="65">
        <v>0.0</v>
      </c>
      <c r="BC1201" s="65">
        <v>0.0</v>
      </c>
      <c r="BD1201" s="65">
        <v>0.0</v>
      </c>
      <c r="BE1201" s="65">
        <v>0.0</v>
      </c>
      <c r="BF1201" s="65">
        <v>0.0</v>
      </c>
      <c r="BG1201" s="65">
        <v>0.0</v>
      </c>
      <c r="BH1201" s="65">
        <v>0.0</v>
      </c>
      <c r="BI1201" s="65">
        <v>0.0</v>
      </c>
      <c r="BJ1201" s="65">
        <v>0.0</v>
      </c>
      <c r="BK1201" s="65">
        <v>0.0</v>
      </c>
      <c r="BL1201" s="65">
        <v>0.0</v>
      </c>
      <c r="BM1201" s="65">
        <v>0.0</v>
      </c>
      <c r="BN1201" s="65">
        <v>0.0</v>
      </c>
      <c r="BO1201" s="65">
        <v>0.0</v>
      </c>
      <c r="BP1201" s="65">
        <v>0.0</v>
      </c>
      <c r="BQ1201" s="65">
        <v>0.0</v>
      </c>
      <c r="BR1201" s="65">
        <v>0.0</v>
      </c>
      <c r="BS1201" s="65">
        <v>0.0</v>
      </c>
      <c r="BT1201" s="88">
        <v>0.0</v>
      </c>
      <c r="BU1201" s="65">
        <v>0.0</v>
      </c>
      <c r="BV1201" s="65">
        <v>0.0</v>
      </c>
      <c r="BW1201" s="90">
        <v>0.0</v>
      </c>
      <c r="BX1201" s="90">
        <v>0.0</v>
      </c>
      <c r="BY1201" s="90" t="str">
        <f t="array" ref="BY1201">XLOOKUP(C1201,'PL TOTAL D0'!$A$3:$A$1991,'PL TOTAL D0'!$C$3:$C$1991,"")</f>
        <v/>
      </c>
    </row>
    <row r="1202" ht="15.75" customHeight="1">
      <c r="A1202" s="50" t="s">
        <v>24</v>
      </c>
      <c r="B1202" s="50" t="s">
        <v>9615</v>
      </c>
      <c r="C1202" s="94" t="s">
        <v>3098</v>
      </c>
      <c r="D1202" s="81" t="s">
        <v>89</v>
      </c>
      <c r="E1202" s="95" t="s">
        <v>91</v>
      </c>
      <c r="F1202" s="81" t="s">
        <v>193</v>
      </c>
      <c r="G1202" s="47" t="str">
        <f t="shared" si="54"/>
        <v>David</v>
      </c>
      <c r="H1202" s="49" t="s">
        <v>183</v>
      </c>
      <c r="I1202" s="49" t="s">
        <v>66</v>
      </c>
      <c r="J1202" s="47" t="str">
        <f t="shared" si="52"/>
        <v>Não</v>
      </c>
      <c r="K1202" s="97">
        <v>46027.0</v>
      </c>
      <c r="L1202" s="121"/>
      <c r="M1202" s="62" t="s">
        <v>61</v>
      </c>
      <c r="N1202" s="98">
        <v>0.012</v>
      </c>
      <c r="O1202" s="47" t="s">
        <v>66</v>
      </c>
      <c r="P1202" s="99">
        <v>0.0</v>
      </c>
      <c r="Q1202" s="58"/>
      <c r="R1202" s="58"/>
      <c r="S1202" s="62" t="s">
        <v>194</v>
      </c>
      <c r="T1202" s="32" t="s">
        <v>9616</v>
      </c>
      <c r="U1202" s="33" t="s">
        <v>9617</v>
      </c>
      <c r="V1202" s="33" t="s">
        <v>9618</v>
      </c>
      <c r="W1202" s="33">
        <v>29855.0</v>
      </c>
      <c r="X1202" s="23" t="s">
        <v>221</v>
      </c>
      <c r="Y1202" s="49" t="str">
        <f t="shared" si="46"/>
        <v>Ativo</v>
      </c>
      <c r="Z1202" s="62"/>
      <c r="AA1202" s="62" t="s">
        <v>107</v>
      </c>
      <c r="AB1202" s="64"/>
      <c r="AC1202" s="79"/>
      <c r="AD1202" s="54">
        <v>46203.0</v>
      </c>
      <c r="AE1202" s="77"/>
      <c r="AF1202" s="79"/>
      <c r="AG1202" s="79"/>
      <c r="AH1202" s="65"/>
      <c r="AI1202" s="65"/>
      <c r="AJ1202" s="65"/>
      <c r="AK1202" s="65"/>
      <c r="AL1202" s="65"/>
      <c r="AM1202" s="65"/>
      <c r="AN1202" s="65"/>
      <c r="AO1202" s="65"/>
      <c r="AP1202" s="65"/>
      <c r="AQ1202" s="65"/>
      <c r="AR1202" s="65"/>
      <c r="AS1202" s="65"/>
      <c r="AT1202" s="65"/>
      <c r="AU1202" s="65"/>
      <c r="AV1202" s="65"/>
      <c r="AW1202" s="65"/>
      <c r="AX1202" s="65"/>
      <c r="AY1202" s="65"/>
      <c r="AZ1202" s="65"/>
      <c r="BA1202" s="65"/>
      <c r="BB1202" s="65"/>
      <c r="BC1202" s="65"/>
      <c r="BD1202" s="65"/>
      <c r="BE1202" s="65"/>
      <c r="BF1202" s="65"/>
      <c r="BG1202" s="65"/>
      <c r="BH1202" s="65"/>
      <c r="BI1202" s="65"/>
      <c r="BJ1202" s="65"/>
      <c r="BK1202" s="65"/>
      <c r="BL1202" s="65"/>
      <c r="BM1202" s="65"/>
      <c r="BN1202" s="65"/>
      <c r="BO1202" s="65"/>
      <c r="BP1202" s="65"/>
      <c r="BQ1202" s="65"/>
      <c r="BR1202" s="65"/>
      <c r="BS1202" s="65">
        <v>244706.63</v>
      </c>
      <c r="BT1202" s="88">
        <v>246655.8</v>
      </c>
      <c r="BU1202" s="65">
        <v>248163.6</v>
      </c>
      <c r="BV1202" s="65">
        <v>253419.4</v>
      </c>
      <c r="BW1202" s="90">
        <v>250676.8</v>
      </c>
      <c r="BX1202" s="90">
        <v>253204.23</v>
      </c>
      <c r="BY1202" s="90">
        <f t="array" ref="BY1202">XLOOKUP(C1202,'PL TOTAL D0'!$A$3:$A$1991,'PL TOTAL D0'!$C$3:$C$1991,"")</f>
        <v>255535.66</v>
      </c>
    </row>
    <row r="1203" ht="15.75" customHeight="1">
      <c r="A1203" s="50" t="s">
        <v>24</v>
      </c>
      <c r="B1203" s="510" t="s">
        <v>9619</v>
      </c>
      <c r="C1203" s="94" t="s">
        <v>9620</v>
      </c>
      <c r="D1203" s="81" t="s">
        <v>120</v>
      </c>
      <c r="E1203" s="95" t="s">
        <v>199</v>
      </c>
      <c r="F1203" s="81" t="s">
        <v>290</v>
      </c>
      <c r="G1203" s="47" t="str">
        <f t="shared" si="54"/>
        <v>David</v>
      </c>
      <c r="H1203" s="49" t="s">
        <v>295</v>
      </c>
      <c r="I1203" s="49" t="s">
        <v>447</v>
      </c>
      <c r="J1203" s="47" t="str">
        <f t="shared" si="52"/>
        <v>Não</v>
      </c>
      <c r="K1203" s="97">
        <v>44879.0</v>
      </c>
      <c r="L1203" s="942"/>
      <c r="M1203" s="47" t="s">
        <v>209</v>
      </c>
      <c r="N1203" s="98">
        <v>0.0</v>
      </c>
      <c r="O1203" s="47" t="s">
        <v>66</v>
      </c>
      <c r="P1203" s="99">
        <v>0.0</v>
      </c>
      <c r="Q1203" s="58"/>
      <c r="R1203" s="58" t="s">
        <v>9621</v>
      </c>
      <c r="S1203" s="62" t="s">
        <v>194</v>
      </c>
      <c r="T1203" s="32" t="s">
        <v>9622</v>
      </c>
      <c r="U1203" s="33">
        <v>6.1991393813E10</v>
      </c>
      <c r="V1203" s="33" t="s">
        <v>9623</v>
      </c>
      <c r="W1203" s="48">
        <v>36480.0</v>
      </c>
      <c r="X1203" s="23" t="s">
        <v>199</v>
      </c>
      <c r="Y1203" s="49" t="str">
        <f t="shared" si="46"/>
        <v>Ativo</v>
      </c>
      <c r="Z1203" s="62"/>
      <c r="AA1203" s="62"/>
      <c r="AB1203" s="64" t="s">
        <v>244</v>
      </c>
      <c r="AC1203" s="79"/>
      <c r="AD1203" s="54">
        <v>44879.0</v>
      </c>
      <c r="AE1203" s="77">
        <v>4.9075100006441E13</v>
      </c>
      <c r="AF1203" s="79"/>
      <c r="AG1203" s="79"/>
      <c r="AH1203" s="65">
        <v>119680.47</v>
      </c>
      <c r="AI1203" s="65">
        <v>102763.73</v>
      </c>
      <c r="AJ1203" s="65">
        <v>97885.87</v>
      </c>
      <c r="AK1203" s="65">
        <v>98175.52</v>
      </c>
      <c r="AL1203" s="65">
        <v>102305.34</v>
      </c>
      <c r="AM1203" s="65">
        <v>87335.75</v>
      </c>
      <c r="AN1203" s="65">
        <v>83184.68</v>
      </c>
      <c r="AO1203" s="65">
        <v>85646.08</v>
      </c>
      <c r="AP1203" s="65">
        <v>85868.25</v>
      </c>
      <c r="AQ1203" s="65">
        <v>8182.97</v>
      </c>
      <c r="AR1203" s="65">
        <v>8255.62</v>
      </c>
      <c r="AS1203" s="65">
        <v>37.12</v>
      </c>
      <c r="AT1203" s="65">
        <v>2750.49</v>
      </c>
      <c r="AU1203" s="65">
        <v>18.32</v>
      </c>
      <c r="AV1203" s="65">
        <v>3294.62</v>
      </c>
      <c r="AW1203" s="65">
        <v>3322.39</v>
      </c>
      <c r="AX1203" s="65">
        <v>18.32</v>
      </c>
      <c r="AY1203" s="65">
        <v>1924.52</v>
      </c>
      <c r="AZ1203" s="65">
        <v>18.37</v>
      </c>
      <c r="BA1203" s="65">
        <v>18.37</v>
      </c>
      <c r="BB1203" s="65">
        <v>201.82</v>
      </c>
      <c r="BC1203" s="65">
        <v>1005.27</v>
      </c>
      <c r="BD1203" s="65">
        <v>1191.0</v>
      </c>
      <c r="BE1203" s="65">
        <v>1712.39</v>
      </c>
      <c r="BF1203" s="65">
        <v>1699.22</v>
      </c>
      <c r="BG1203" s="65">
        <v>1898.95</v>
      </c>
      <c r="BH1203" s="65">
        <v>2337.7</v>
      </c>
      <c r="BI1203" s="65">
        <v>22730.79</v>
      </c>
      <c r="BJ1203" s="65">
        <v>29990.15</v>
      </c>
      <c r="BK1203" s="65">
        <v>35728.25</v>
      </c>
      <c r="BL1203" s="65">
        <v>36378.99</v>
      </c>
      <c r="BM1203" s="65">
        <v>22930.79</v>
      </c>
      <c r="BN1203" s="65">
        <v>18690.6</v>
      </c>
      <c r="BO1203" s="65">
        <v>19622.88</v>
      </c>
      <c r="BP1203" s="65">
        <v>6597.13</v>
      </c>
      <c r="BQ1203" s="65">
        <v>34811.59</v>
      </c>
      <c r="BR1203" s="65">
        <v>29305.01</v>
      </c>
      <c r="BS1203" s="65">
        <v>28810.68</v>
      </c>
      <c r="BT1203" s="88">
        <v>20531.18</v>
      </c>
      <c r="BU1203" s="65">
        <v>12471.5</v>
      </c>
      <c r="BV1203" s="65">
        <v>7077.19</v>
      </c>
      <c r="BW1203" s="90">
        <v>7162.78</v>
      </c>
      <c r="BX1203" s="90">
        <v>7562.91</v>
      </c>
      <c r="BY1203" s="90" t="str">
        <f t="array" ref="BY1203">XLOOKUP(C1203,'PL TOTAL D0'!$A$3:$A$1991,'PL TOTAL D0'!$C$3:$C$1991,"")</f>
        <v/>
      </c>
    </row>
    <row r="1204" ht="15.75" customHeight="1">
      <c r="A1204" s="50" t="s">
        <v>24</v>
      </c>
      <c r="B1204" s="191" t="s">
        <v>9624</v>
      </c>
      <c r="C1204" s="94" t="s">
        <v>9625</v>
      </c>
      <c r="D1204" s="81" t="s">
        <v>255</v>
      </c>
      <c r="E1204" s="95" t="s">
        <v>199</v>
      </c>
      <c r="F1204" s="81" t="s">
        <v>257</v>
      </c>
      <c r="G1204" s="47" t="str">
        <f t="shared" si="54"/>
        <v>David</v>
      </c>
      <c r="H1204" s="49" t="s">
        <v>224</v>
      </c>
      <c r="I1204" s="49" t="s">
        <v>66</v>
      </c>
      <c r="J1204" s="47" t="str">
        <f t="shared" si="52"/>
        <v>Não</v>
      </c>
      <c r="K1204" s="97">
        <v>45230.0</v>
      </c>
      <c r="L1204" s="362">
        <v>45504.0</v>
      </c>
      <c r="M1204" s="47" t="s">
        <v>34</v>
      </c>
      <c r="N1204" s="98">
        <v>0.012</v>
      </c>
      <c r="O1204" s="47" t="s">
        <v>35</v>
      </c>
      <c r="P1204" s="99">
        <v>0.1</v>
      </c>
      <c r="Q1204" s="58"/>
      <c r="R1204" s="58" t="s">
        <v>610</v>
      </c>
      <c r="S1204" s="62" t="s">
        <v>194</v>
      </c>
      <c r="T1204" s="32" t="s">
        <v>9626</v>
      </c>
      <c r="U1204" s="33" t="s">
        <v>268</v>
      </c>
      <c r="V1204" s="33"/>
      <c r="W1204" s="33" t="s">
        <v>268</v>
      </c>
      <c r="X1204" s="23" t="s">
        <v>199</v>
      </c>
      <c r="Y1204" s="49" t="str">
        <f t="shared" si="46"/>
        <v>Encerrado</v>
      </c>
      <c r="Z1204" s="62"/>
      <c r="AA1204" s="62"/>
      <c r="AB1204" s="64" t="s">
        <v>244</v>
      </c>
      <c r="AC1204" s="79"/>
      <c r="AD1204" s="54">
        <v>45230.0</v>
      </c>
      <c r="AE1204" s="77">
        <v>4.907510001283E13</v>
      </c>
      <c r="AF1204" s="79"/>
      <c r="AG1204" s="79"/>
      <c r="AH1204" s="79"/>
      <c r="AI1204" s="79"/>
      <c r="AJ1204" s="79"/>
      <c r="AK1204" s="79"/>
      <c r="AL1204" s="79"/>
      <c r="AM1204" s="79"/>
      <c r="AN1204" s="79"/>
      <c r="AO1204" s="79"/>
      <c r="AP1204" s="79"/>
      <c r="AQ1204" s="79"/>
      <c r="AR1204" s="65">
        <v>0.0</v>
      </c>
      <c r="AS1204" s="65">
        <v>17527.81</v>
      </c>
      <c r="AT1204" s="65">
        <v>67908.85</v>
      </c>
      <c r="AU1204" s="65">
        <v>67865.26</v>
      </c>
      <c r="AV1204" s="65">
        <v>68473.85</v>
      </c>
      <c r="AW1204" s="65">
        <v>67105.66</v>
      </c>
      <c r="AX1204" s="65">
        <v>100413.4</v>
      </c>
      <c r="AY1204" s="65">
        <v>67230.76</v>
      </c>
      <c r="AZ1204" s="65">
        <v>67417.53</v>
      </c>
      <c r="BA1204" s="65">
        <v>67929.03</v>
      </c>
      <c r="BB1204" s="65">
        <v>0.0</v>
      </c>
      <c r="BC1204" s="65">
        <v>0.0</v>
      </c>
      <c r="BD1204" s="65">
        <v>0.0</v>
      </c>
      <c r="BE1204" s="65">
        <v>0.0</v>
      </c>
      <c r="BF1204" s="65">
        <v>0.0</v>
      </c>
      <c r="BG1204" s="65">
        <v>0.0</v>
      </c>
      <c r="BH1204" s="65">
        <v>0.0</v>
      </c>
      <c r="BI1204" s="65">
        <v>0.0</v>
      </c>
      <c r="BJ1204" s="65">
        <v>0.0</v>
      </c>
      <c r="BK1204" s="65">
        <v>0.0</v>
      </c>
      <c r="BL1204" s="65">
        <v>0.0</v>
      </c>
      <c r="BM1204" s="65">
        <v>0.0</v>
      </c>
      <c r="BN1204" s="65">
        <v>0.0</v>
      </c>
      <c r="BO1204" s="65">
        <v>0.0</v>
      </c>
      <c r="BP1204" s="65">
        <v>0.0</v>
      </c>
      <c r="BQ1204" s="65">
        <v>0.0</v>
      </c>
      <c r="BR1204" s="65">
        <v>0.0</v>
      </c>
      <c r="BS1204" s="65">
        <v>0.0</v>
      </c>
      <c r="BT1204" s="88">
        <v>0.0</v>
      </c>
      <c r="BU1204" s="65">
        <v>0.0</v>
      </c>
      <c r="BV1204" s="65">
        <v>0.0</v>
      </c>
      <c r="BW1204" s="90">
        <v>0.0</v>
      </c>
      <c r="BX1204" s="90">
        <v>0.0</v>
      </c>
      <c r="BY1204" s="90" t="str">
        <f t="array" ref="BY1204">XLOOKUP(C1204,'PL TOTAL D0'!$A$3:$A$1991,'PL TOTAL D0'!$C$3:$C$1991,"")</f>
        <v/>
      </c>
    </row>
    <row r="1205" ht="15.75" customHeight="1">
      <c r="A1205" s="50" t="s">
        <v>24</v>
      </c>
      <c r="B1205" s="428" t="s">
        <v>9627</v>
      </c>
      <c r="C1205" s="94" t="s">
        <v>9628</v>
      </c>
      <c r="D1205" s="81" t="s">
        <v>120</v>
      </c>
      <c r="E1205" s="95" t="s">
        <v>199</v>
      </c>
      <c r="F1205" s="30" t="s">
        <v>332</v>
      </c>
      <c r="G1205" s="47" t="str">
        <f t="shared" si="54"/>
        <v>David</v>
      </c>
      <c r="H1205" s="74" t="s">
        <v>183</v>
      </c>
      <c r="I1205" s="74" t="s">
        <v>66</v>
      </c>
      <c r="J1205" s="47" t="str">
        <f t="shared" si="52"/>
        <v>Não</v>
      </c>
      <c r="K1205" s="97">
        <v>44973.0</v>
      </c>
      <c r="L1205" s="47"/>
      <c r="M1205" s="62" t="s">
        <v>231</v>
      </c>
      <c r="N1205" s="98">
        <v>0.025</v>
      </c>
      <c r="O1205" s="23" t="s">
        <v>233</v>
      </c>
      <c r="P1205" s="99">
        <v>0.2</v>
      </c>
      <c r="Q1205" s="58"/>
      <c r="R1205" s="70"/>
      <c r="S1205" s="62" t="s">
        <v>194</v>
      </c>
      <c r="T1205" s="21" t="s">
        <v>7738</v>
      </c>
      <c r="U1205" s="33">
        <v>5.561993216868E12</v>
      </c>
      <c r="V1205" s="33" t="s">
        <v>9629</v>
      </c>
      <c r="W1205" s="48">
        <v>32791.0</v>
      </c>
      <c r="X1205" s="23" t="s">
        <v>199</v>
      </c>
      <c r="Y1205" s="49" t="str">
        <f t="shared" si="46"/>
        <v>Ativo</v>
      </c>
      <c r="Z1205" s="62"/>
      <c r="AA1205" s="62"/>
      <c r="AB1205" s="64" t="s">
        <v>269</v>
      </c>
      <c r="AC1205" s="79"/>
      <c r="AD1205" s="54">
        <v>44973.0</v>
      </c>
      <c r="AE1205" s="77">
        <v>4.9075100009724E13</v>
      </c>
      <c r="AF1205" s="79"/>
      <c r="AG1205" s="79"/>
      <c r="AH1205" s="79"/>
      <c r="AI1205" s="65">
        <v>0.0</v>
      </c>
      <c r="AJ1205" s="65">
        <v>0.0</v>
      </c>
      <c r="AK1205" s="65">
        <v>452250.65</v>
      </c>
      <c r="AL1205" s="65">
        <v>448793.99</v>
      </c>
      <c r="AM1205" s="65">
        <v>468483.92</v>
      </c>
      <c r="AN1205" s="65">
        <v>507653.15</v>
      </c>
      <c r="AO1205" s="65">
        <v>534109.97</v>
      </c>
      <c r="AP1205" s="65">
        <v>510876.26</v>
      </c>
      <c r="AQ1205" s="65">
        <v>509020.56</v>
      </c>
      <c r="AR1205" s="65">
        <v>455605.43</v>
      </c>
      <c r="AS1205" s="65">
        <v>489699.46</v>
      </c>
      <c r="AT1205" s="65">
        <v>513079.42</v>
      </c>
      <c r="AU1205" s="65">
        <v>477677.57</v>
      </c>
      <c r="AV1205" s="65">
        <v>484364.28</v>
      </c>
      <c r="AW1205" s="65">
        <v>493164.06</v>
      </c>
      <c r="AX1205" s="65">
        <v>473624.31</v>
      </c>
      <c r="AY1205" s="65">
        <v>458234.4</v>
      </c>
      <c r="AZ1205" s="65">
        <v>407932.2</v>
      </c>
      <c r="BA1205" s="65">
        <v>419132.5</v>
      </c>
      <c r="BB1205" s="65">
        <v>428729.85</v>
      </c>
      <c r="BC1205" s="65">
        <v>420684.74</v>
      </c>
      <c r="BD1205" s="65">
        <v>401101.99</v>
      </c>
      <c r="BE1205" s="65">
        <v>385918.78</v>
      </c>
      <c r="BF1205" s="65">
        <v>339972.39</v>
      </c>
      <c r="BG1205" s="65">
        <v>350298.22</v>
      </c>
      <c r="BH1205" s="65">
        <v>311064.2</v>
      </c>
      <c r="BI1205" s="65">
        <v>9202.15</v>
      </c>
      <c r="BJ1205" s="65">
        <v>8899.42</v>
      </c>
      <c r="BK1205" s="65">
        <v>8930.11</v>
      </c>
      <c r="BL1205" s="65">
        <v>3004.14</v>
      </c>
      <c r="BM1205" s="65">
        <v>1819.67</v>
      </c>
      <c r="BN1205" s="65">
        <v>1821.11</v>
      </c>
      <c r="BO1205" s="65">
        <v>1830.21</v>
      </c>
      <c r="BP1205" s="65">
        <v>1840.69</v>
      </c>
      <c r="BQ1205" s="65">
        <v>1843.1</v>
      </c>
      <c r="BR1205" s="65">
        <v>1853.53</v>
      </c>
      <c r="BS1205" s="65">
        <v>1874.98</v>
      </c>
      <c r="BT1205" s="88">
        <v>1893.59</v>
      </c>
      <c r="BU1205" s="65">
        <v>0.08</v>
      </c>
      <c r="BV1205" s="65">
        <v>0.09</v>
      </c>
      <c r="BW1205" s="90">
        <v>0.09</v>
      </c>
      <c r="BX1205" s="90">
        <v>0.09</v>
      </c>
      <c r="BY1205" s="90" t="str">
        <f t="array" ref="BY1205">XLOOKUP(C1205,'PL TOTAL D0'!$A$3:$A$1991,'PL TOTAL D0'!$C$3:$C$1991,"")</f>
        <v/>
      </c>
    </row>
    <row r="1206" ht="15.75" customHeight="1">
      <c r="A1206" s="50" t="s">
        <v>24</v>
      </c>
      <c r="B1206" s="428" t="s">
        <v>1773</v>
      </c>
      <c r="C1206" s="94" t="s">
        <v>2801</v>
      </c>
      <c r="D1206" s="30" t="s">
        <v>53</v>
      </c>
      <c r="E1206" s="22" t="s">
        <v>54</v>
      </c>
      <c r="F1206" s="30" t="s">
        <v>507</v>
      </c>
      <c r="G1206" s="47" t="str">
        <f t="shared" si="54"/>
        <v>Gabriel</v>
      </c>
      <c r="H1206" s="49" t="s">
        <v>183</v>
      </c>
      <c r="I1206" s="49" t="s">
        <v>66</v>
      </c>
      <c r="J1206" s="47" t="str">
        <f t="shared" si="52"/>
        <v>Não</v>
      </c>
      <c r="K1206" s="54">
        <v>45748.0</v>
      </c>
      <c r="L1206" s="47"/>
      <c r="M1206" s="32" t="s">
        <v>209</v>
      </c>
      <c r="N1206" s="56">
        <v>0.015</v>
      </c>
      <c r="O1206" s="23" t="s">
        <v>35</v>
      </c>
      <c r="P1206" s="57">
        <v>0.1</v>
      </c>
      <c r="Q1206" s="58"/>
      <c r="R1206" s="58" t="s">
        <v>9630</v>
      </c>
      <c r="S1206" s="32" t="s">
        <v>194</v>
      </c>
      <c r="T1206" s="21" t="s">
        <v>1776</v>
      </c>
      <c r="U1206" s="33">
        <v>5.56298159411E12</v>
      </c>
      <c r="V1206" s="33" t="s">
        <v>1778</v>
      </c>
      <c r="W1206" s="34">
        <v>33089.0</v>
      </c>
      <c r="X1206" s="23" t="s">
        <v>54</v>
      </c>
      <c r="Y1206" s="49" t="str">
        <f t="shared" si="46"/>
        <v>Ativo</v>
      </c>
      <c r="Z1206" s="62"/>
      <c r="AA1206" s="32" t="s">
        <v>47</v>
      </c>
      <c r="AB1206" s="64"/>
      <c r="AC1206" s="79"/>
      <c r="AD1206" s="54">
        <v>45750.0</v>
      </c>
      <c r="AE1206" s="77">
        <v>4.9075100018545E13</v>
      </c>
      <c r="AF1206" s="79"/>
      <c r="AG1206" s="79"/>
      <c r="AH1206" s="79"/>
      <c r="AI1206" s="65"/>
      <c r="AJ1206" s="65"/>
      <c r="AK1206" s="65"/>
      <c r="AL1206" s="65"/>
      <c r="AM1206" s="65"/>
      <c r="AN1206" s="65"/>
      <c r="AO1206" s="65"/>
      <c r="AP1206" s="65"/>
      <c r="AQ1206" s="65"/>
      <c r="AR1206" s="65"/>
      <c r="AS1206" s="65"/>
      <c r="AT1206" s="65"/>
      <c r="AU1206" s="65"/>
      <c r="AV1206" s="65"/>
      <c r="AW1206" s="65"/>
      <c r="AX1206" s="65"/>
      <c r="AY1206" s="65"/>
      <c r="AZ1206" s="65"/>
      <c r="BA1206" s="65"/>
      <c r="BB1206" s="65"/>
      <c r="BC1206" s="65"/>
      <c r="BD1206" s="65"/>
      <c r="BE1206" s="65"/>
      <c r="BF1206" s="65"/>
      <c r="BG1206" s="65"/>
      <c r="BH1206" s="65"/>
      <c r="BI1206" s="65"/>
      <c r="BJ1206" s="65">
        <v>393706.42</v>
      </c>
      <c r="BK1206" s="65">
        <v>397938.47</v>
      </c>
      <c r="BL1206" s="65">
        <v>392071.05</v>
      </c>
      <c r="BM1206" s="65">
        <v>380866.84</v>
      </c>
      <c r="BN1206" s="65">
        <v>373509.3</v>
      </c>
      <c r="BO1206" s="65">
        <v>652514.72</v>
      </c>
      <c r="BP1206" s="65">
        <v>662239.2</v>
      </c>
      <c r="BQ1206" s="65">
        <v>663016.2</v>
      </c>
      <c r="BR1206" s="65">
        <v>661489.4</v>
      </c>
      <c r="BS1206" s="65">
        <v>685917.21</v>
      </c>
      <c r="BT1206" s="88">
        <v>686594.6</v>
      </c>
      <c r="BU1206" s="65">
        <v>689260.6</v>
      </c>
      <c r="BV1206" s="65">
        <v>695178.8</v>
      </c>
      <c r="BW1206" s="90">
        <v>679018.7</v>
      </c>
      <c r="BX1206" s="90">
        <v>675183.27</v>
      </c>
      <c r="BY1206" s="90">
        <f t="array" ref="BY1206">XLOOKUP(C1206,'PL TOTAL D0'!$A$3:$A$1991,'PL TOTAL D0'!$C$3:$C$1991,"")</f>
        <v>672831.51</v>
      </c>
    </row>
    <row r="1207" ht="15.75" customHeight="1">
      <c r="A1207" s="50" t="s">
        <v>24</v>
      </c>
      <c r="B1207" s="428" t="s">
        <v>1773</v>
      </c>
      <c r="C1207" s="94" t="s">
        <v>3016</v>
      </c>
      <c r="D1207" s="30" t="s">
        <v>53</v>
      </c>
      <c r="E1207" s="22" t="s">
        <v>54</v>
      </c>
      <c r="F1207" s="30" t="s">
        <v>507</v>
      </c>
      <c r="G1207" s="47" t="str">
        <f t="shared" si="54"/>
        <v>Gabriel</v>
      </c>
      <c r="H1207" s="49" t="s">
        <v>183</v>
      </c>
      <c r="I1207" s="49" t="s">
        <v>66</v>
      </c>
      <c r="J1207" s="47" t="str">
        <f t="shared" si="52"/>
        <v>Sim</v>
      </c>
      <c r="K1207" s="54">
        <v>45754.0</v>
      </c>
      <c r="L1207" s="47"/>
      <c r="M1207" s="32" t="s">
        <v>1678</v>
      </c>
      <c r="N1207" s="56">
        <v>0.015</v>
      </c>
      <c r="O1207" s="23" t="s">
        <v>66</v>
      </c>
      <c r="P1207" s="57">
        <v>0.0</v>
      </c>
      <c r="Q1207" s="58" t="s">
        <v>5780</v>
      </c>
      <c r="R1207" s="58" t="s">
        <v>9631</v>
      </c>
      <c r="S1207" s="32" t="s">
        <v>194</v>
      </c>
      <c r="T1207" s="21" t="s">
        <v>1776</v>
      </c>
      <c r="U1207" s="33">
        <v>5.56298159411E12</v>
      </c>
      <c r="V1207" s="33" t="s">
        <v>1778</v>
      </c>
      <c r="W1207" s="34">
        <v>33089.0</v>
      </c>
      <c r="X1207" s="23" t="s">
        <v>54</v>
      </c>
      <c r="Y1207" s="49" t="str">
        <f t="shared" si="46"/>
        <v>Ativo</v>
      </c>
      <c r="Z1207" s="62"/>
      <c r="AA1207" s="32" t="s">
        <v>47</v>
      </c>
      <c r="AB1207" s="64"/>
      <c r="AC1207" s="79"/>
      <c r="AD1207" s="54">
        <v>45754.0</v>
      </c>
      <c r="AE1207" s="77">
        <v>4.9075100018596E13</v>
      </c>
      <c r="AF1207" s="79"/>
      <c r="AG1207" s="79"/>
      <c r="AH1207" s="79"/>
      <c r="AI1207" s="65"/>
      <c r="AJ1207" s="65"/>
      <c r="AK1207" s="65"/>
      <c r="AL1207" s="65"/>
      <c r="AM1207" s="65"/>
      <c r="AN1207" s="65"/>
      <c r="AO1207" s="65"/>
      <c r="AP1207" s="65"/>
      <c r="AQ1207" s="65"/>
      <c r="AR1207" s="65"/>
      <c r="AS1207" s="65"/>
      <c r="AT1207" s="65"/>
      <c r="AU1207" s="65"/>
      <c r="AV1207" s="65"/>
      <c r="AW1207" s="65"/>
      <c r="AX1207" s="65"/>
      <c r="AY1207" s="65"/>
      <c r="AZ1207" s="65"/>
      <c r="BA1207" s="65"/>
      <c r="BB1207" s="65"/>
      <c r="BC1207" s="65"/>
      <c r="BD1207" s="65"/>
      <c r="BE1207" s="65"/>
      <c r="BF1207" s="65"/>
      <c r="BG1207" s="65"/>
      <c r="BH1207" s="65"/>
      <c r="BI1207" s="65"/>
      <c r="BJ1207" s="65">
        <v>159437.91</v>
      </c>
      <c r="BK1207" s="65">
        <v>161305.83</v>
      </c>
      <c r="BL1207" s="65">
        <v>162951.21</v>
      </c>
      <c r="BM1207" s="65">
        <v>146597.94</v>
      </c>
      <c r="BN1207" s="65">
        <v>142443.3</v>
      </c>
      <c r="BO1207" s="65">
        <v>360756.65</v>
      </c>
      <c r="BP1207" s="65">
        <v>364085.6</v>
      </c>
      <c r="BQ1207" s="65">
        <v>357574.9</v>
      </c>
      <c r="BR1207" s="65">
        <v>352110.8</v>
      </c>
      <c r="BS1207" s="65">
        <v>349625.17</v>
      </c>
      <c r="BT1207" s="88">
        <v>348105.2</v>
      </c>
      <c r="BU1207" s="65">
        <v>347081.0</v>
      </c>
      <c r="BV1207" s="65">
        <v>344792.3</v>
      </c>
      <c r="BW1207" s="90">
        <v>343472.2</v>
      </c>
      <c r="BX1207" s="90">
        <v>335325.86</v>
      </c>
      <c r="BY1207" s="90">
        <f t="array" ref="BY1207">XLOOKUP(C1207,'PL TOTAL D0'!$A$3:$A$1991,'PL TOTAL D0'!$C$3:$C$1991,"")</f>
        <v>333745.59</v>
      </c>
    </row>
    <row r="1208" ht="15.75" customHeight="1">
      <c r="A1208" s="50" t="s">
        <v>24</v>
      </c>
      <c r="B1208" s="428" t="s">
        <v>9632</v>
      </c>
      <c r="C1208" s="94" t="s">
        <v>9633</v>
      </c>
      <c r="D1208" s="30" t="s">
        <v>53</v>
      </c>
      <c r="E1208" s="22" t="s">
        <v>54</v>
      </c>
      <c r="F1208" s="30" t="s">
        <v>401</v>
      </c>
      <c r="G1208" s="47" t="str">
        <f t="shared" si="54"/>
        <v>David</v>
      </c>
      <c r="H1208" s="49" t="s">
        <v>224</v>
      </c>
      <c r="I1208" s="49" t="s">
        <v>66</v>
      </c>
      <c r="J1208" s="47" t="str">
        <f t="shared" si="52"/>
        <v>Não</v>
      </c>
      <c r="K1208" s="54">
        <v>46058.0</v>
      </c>
      <c r="L1208" s="362">
        <v>46094.0</v>
      </c>
      <c r="M1208" s="32" t="s">
        <v>716</v>
      </c>
      <c r="N1208" s="56">
        <v>0.012</v>
      </c>
      <c r="O1208" s="23" t="s">
        <v>66</v>
      </c>
      <c r="P1208" s="57">
        <v>0.0</v>
      </c>
      <c r="Q1208" s="58"/>
      <c r="R1208" s="58"/>
      <c r="S1208" s="32" t="s">
        <v>194</v>
      </c>
      <c r="T1208" s="21" t="s">
        <v>9634</v>
      </c>
      <c r="U1208" s="33" t="s">
        <v>9635</v>
      </c>
      <c r="V1208" s="33" t="s">
        <v>9636</v>
      </c>
      <c r="W1208" s="34">
        <v>31705.0</v>
      </c>
      <c r="X1208" s="23" t="s">
        <v>199</v>
      </c>
      <c r="Y1208" s="49" t="str">
        <f t="shared" si="46"/>
        <v>Encerrado</v>
      </c>
      <c r="Z1208" s="62"/>
      <c r="AA1208" s="32" t="s">
        <v>47</v>
      </c>
      <c r="AB1208" s="64"/>
      <c r="AC1208" s="79"/>
      <c r="AD1208" s="54"/>
      <c r="AE1208" s="77"/>
      <c r="AF1208" s="79"/>
      <c r="AG1208" s="79"/>
      <c r="AH1208" s="79"/>
      <c r="AI1208" s="65"/>
      <c r="AJ1208" s="65"/>
      <c r="AK1208" s="65"/>
      <c r="AL1208" s="65"/>
      <c r="AM1208" s="65"/>
      <c r="AN1208" s="65"/>
      <c r="AO1208" s="65"/>
      <c r="AP1208" s="65"/>
      <c r="AQ1208" s="65"/>
      <c r="AR1208" s="65"/>
      <c r="AS1208" s="65"/>
      <c r="AT1208" s="65"/>
      <c r="AU1208" s="65"/>
      <c r="AV1208" s="65"/>
      <c r="AW1208" s="65"/>
      <c r="AX1208" s="65"/>
      <c r="AY1208" s="65"/>
      <c r="AZ1208" s="65"/>
      <c r="BA1208" s="65"/>
      <c r="BB1208" s="65"/>
      <c r="BC1208" s="65"/>
      <c r="BD1208" s="65"/>
      <c r="BE1208" s="65"/>
      <c r="BF1208" s="65"/>
      <c r="BG1208" s="65"/>
      <c r="BH1208" s="65"/>
      <c r="BI1208" s="65"/>
      <c r="BJ1208" s="65"/>
      <c r="BK1208" s="65"/>
      <c r="BL1208" s="65"/>
      <c r="BM1208" s="65"/>
      <c r="BN1208" s="65"/>
      <c r="BO1208" s="65"/>
      <c r="BP1208" s="65"/>
      <c r="BQ1208" s="65"/>
      <c r="BR1208" s="65"/>
      <c r="BS1208" s="65"/>
      <c r="BT1208" s="88">
        <v>154162.4</v>
      </c>
      <c r="BU1208" s="65">
        <v>0.0</v>
      </c>
      <c r="BV1208" s="65">
        <v>0.0</v>
      </c>
      <c r="BW1208" s="90">
        <v>0.0</v>
      </c>
      <c r="BX1208" s="90">
        <v>0.0</v>
      </c>
      <c r="BY1208" s="90" t="str">
        <f t="array" ref="BY1208">XLOOKUP(C1208,'PL TOTAL D0'!$A$3:$A$1991,'PL TOTAL D0'!$C$3:$C$1991,"")</f>
        <v/>
      </c>
    </row>
    <row r="1209" ht="15.75" customHeight="1">
      <c r="A1209" s="43" t="s">
        <v>24</v>
      </c>
      <c r="B1209" s="428" t="s">
        <v>2265</v>
      </c>
      <c r="C1209" s="94" t="s">
        <v>3107</v>
      </c>
      <c r="D1209" s="30" t="s">
        <v>53</v>
      </c>
      <c r="E1209" s="22" t="s">
        <v>54</v>
      </c>
      <c r="F1209" s="30" t="s">
        <v>608</v>
      </c>
      <c r="G1209" s="47" t="str">
        <f t="shared" si="54"/>
        <v>David</v>
      </c>
      <c r="H1209" s="49" t="s">
        <v>183</v>
      </c>
      <c r="I1209" s="49" t="s">
        <v>66</v>
      </c>
      <c r="J1209" s="47" t="str">
        <f t="shared" si="52"/>
        <v>Não</v>
      </c>
      <c r="K1209" s="54">
        <v>46065.0</v>
      </c>
      <c r="L1209" s="47"/>
      <c r="M1209" s="32" t="s">
        <v>231</v>
      </c>
      <c r="N1209" s="56">
        <v>0.02</v>
      </c>
      <c r="O1209" s="23" t="s">
        <v>233</v>
      </c>
      <c r="P1209" s="57">
        <v>0.2</v>
      </c>
      <c r="Q1209" s="58"/>
      <c r="R1209" s="58"/>
      <c r="S1209" s="32" t="s">
        <v>194</v>
      </c>
      <c r="T1209" s="32" t="s">
        <v>2273</v>
      </c>
      <c r="U1209" s="33" t="s">
        <v>9637</v>
      </c>
      <c r="V1209" s="33" t="s">
        <v>2275</v>
      </c>
      <c r="W1209" s="48">
        <v>31636.0</v>
      </c>
      <c r="X1209" s="23" t="s">
        <v>54</v>
      </c>
      <c r="Y1209" s="49" t="str">
        <f t="shared" si="46"/>
        <v>Ativo</v>
      </c>
      <c r="Z1209" s="62"/>
      <c r="AA1209" s="32" t="s">
        <v>47</v>
      </c>
      <c r="AB1209" s="64"/>
      <c r="AC1209" s="79"/>
      <c r="AD1209" s="54">
        <v>46203.0</v>
      </c>
      <c r="AE1209" s="77"/>
      <c r="AF1209" s="79"/>
      <c r="AG1209" s="79"/>
      <c r="AH1209" s="79"/>
      <c r="AI1209" s="65"/>
      <c r="AJ1209" s="65"/>
      <c r="AK1209" s="65"/>
      <c r="AL1209" s="65"/>
      <c r="AM1209" s="65"/>
      <c r="AN1209" s="65"/>
      <c r="AO1209" s="65"/>
      <c r="AP1209" s="65"/>
      <c r="AQ1209" s="65"/>
      <c r="AR1209" s="65"/>
      <c r="AS1209" s="65"/>
      <c r="AT1209" s="65"/>
      <c r="AU1209" s="65"/>
      <c r="AV1209" s="65"/>
      <c r="AW1209" s="65"/>
      <c r="AX1209" s="65"/>
      <c r="AY1209" s="65"/>
      <c r="AZ1209" s="65"/>
      <c r="BA1209" s="65"/>
      <c r="BB1209" s="65"/>
      <c r="BC1209" s="65"/>
      <c r="BD1209" s="65"/>
      <c r="BE1209" s="65"/>
      <c r="BF1209" s="65"/>
      <c r="BG1209" s="65"/>
      <c r="BH1209" s="65"/>
      <c r="BI1209" s="65"/>
      <c r="BJ1209" s="65"/>
      <c r="BK1209" s="65"/>
      <c r="BL1209" s="65"/>
      <c r="BM1209" s="65"/>
      <c r="BN1209" s="65"/>
      <c r="BO1209" s="65"/>
      <c r="BP1209" s="65"/>
      <c r="BQ1209" s="65"/>
      <c r="BR1209" s="65"/>
      <c r="BS1209" s="65"/>
      <c r="BT1209" s="88">
        <v>249410.9</v>
      </c>
      <c r="BU1209" s="65">
        <v>247044.3</v>
      </c>
      <c r="BV1209" s="65">
        <v>247252.0</v>
      </c>
      <c r="BW1209" s="90">
        <v>234390.4</v>
      </c>
      <c r="BX1209" s="90">
        <v>238522.77</v>
      </c>
      <c r="BY1209" s="90">
        <f t="array" ref="BY1209">XLOOKUP(C1209,'PL TOTAL D0'!$A$3:$A$1991,'PL TOTAL D0'!$C$3:$C$1991,"")</f>
        <v>236799.14</v>
      </c>
    </row>
    <row r="1210" ht="15.75" customHeight="1">
      <c r="A1210" s="50" t="s">
        <v>24</v>
      </c>
      <c r="B1210" s="510" t="s">
        <v>9638</v>
      </c>
      <c r="C1210" s="94" t="s">
        <v>9639</v>
      </c>
      <c r="D1210" s="81" t="s">
        <v>120</v>
      </c>
      <c r="E1210" s="95" t="s">
        <v>54</v>
      </c>
      <c r="F1210" s="81" t="s">
        <v>125</v>
      </c>
      <c r="G1210" s="47" t="str">
        <f t="shared" si="54"/>
        <v>David</v>
      </c>
      <c r="H1210" s="49" t="s">
        <v>224</v>
      </c>
      <c r="I1210" s="49" t="s">
        <v>66</v>
      </c>
      <c r="J1210" s="47" t="str">
        <f t="shared" si="52"/>
        <v>Não</v>
      </c>
      <c r="K1210" s="97">
        <v>44999.0</v>
      </c>
      <c r="L1210" s="943">
        <v>45621.0</v>
      </c>
      <c r="M1210" s="62" t="s">
        <v>61</v>
      </c>
      <c r="N1210" s="98">
        <v>0.01</v>
      </c>
      <c r="O1210" s="47" t="s">
        <v>66</v>
      </c>
      <c r="P1210" s="99">
        <v>0.0</v>
      </c>
      <c r="Q1210" s="58"/>
      <c r="R1210" s="70"/>
      <c r="S1210" s="62" t="s">
        <v>194</v>
      </c>
      <c r="T1210" s="32" t="s">
        <v>7749</v>
      </c>
      <c r="U1210" s="33" t="s">
        <v>268</v>
      </c>
      <c r="V1210" s="33"/>
      <c r="W1210" s="33" t="s">
        <v>268</v>
      </c>
      <c r="X1210" s="23" t="s">
        <v>618</v>
      </c>
      <c r="Y1210" s="49" t="str">
        <f t="shared" si="46"/>
        <v>Encerrado</v>
      </c>
      <c r="Z1210" s="62"/>
      <c r="AA1210" s="62"/>
      <c r="AB1210" s="64" t="s">
        <v>244</v>
      </c>
      <c r="AC1210" s="79"/>
      <c r="AD1210" s="54">
        <v>44999.0</v>
      </c>
      <c r="AE1210" s="77">
        <v>4.9075100008752E13</v>
      </c>
      <c r="AF1210" s="79"/>
      <c r="AG1210" s="79"/>
      <c r="AH1210" s="79"/>
      <c r="AI1210" s="65">
        <v>0.0</v>
      </c>
      <c r="AJ1210" s="65">
        <v>0.0</v>
      </c>
      <c r="AK1210" s="65">
        <v>62447.48</v>
      </c>
      <c r="AL1210" s="65">
        <v>62942.91</v>
      </c>
      <c r="AM1210" s="65">
        <v>63991.85</v>
      </c>
      <c r="AN1210" s="65">
        <v>64634.52</v>
      </c>
      <c r="AO1210" s="65">
        <v>80567.8</v>
      </c>
      <c r="AP1210" s="65">
        <v>105473.89</v>
      </c>
      <c r="AQ1210" s="65">
        <v>110320.0</v>
      </c>
      <c r="AR1210" s="65">
        <v>111815.67</v>
      </c>
      <c r="AS1210" s="65">
        <v>77587.7</v>
      </c>
      <c r="AT1210" s="65">
        <v>116259.59</v>
      </c>
      <c r="AU1210" s="65">
        <v>118070.07</v>
      </c>
      <c r="AV1210" s="65">
        <v>107765.73</v>
      </c>
      <c r="AW1210" s="65">
        <v>103594.28</v>
      </c>
      <c r="AX1210" s="65">
        <v>59743.94</v>
      </c>
      <c r="AY1210" s="65">
        <v>59984.79</v>
      </c>
      <c r="AZ1210" s="65">
        <v>60083.86</v>
      </c>
      <c r="BA1210" s="65">
        <v>60514.71</v>
      </c>
      <c r="BB1210" s="65">
        <v>60905.44</v>
      </c>
      <c r="BC1210" s="65">
        <v>61350.7</v>
      </c>
      <c r="BD1210" s="65">
        <v>18403.79</v>
      </c>
      <c r="BE1210" s="65">
        <v>0.0</v>
      </c>
      <c r="BF1210" s="65">
        <v>0.0</v>
      </c>
      <c r="BG1210" s="65">
        <v>0.0</v>
      </c>
      <c r="BH1210" s="65">
        <v>0.0</v>
      </c>
      <c r="BI1210" s="65">
        <v>0.0</v>
      </c>
      <c r="BJ1210" s="65">
        <v>0.0</v>
      </c>
      <c r="BK1210" s="65">
        <v>0.0</v>
      </c>
      <c r="BL1210" s="65">
        <v>0.0</v>
      </c>
      <c r="BM1210" s="65">
        <v>0.0</v>
      </c>
      <c r="BN1210" s="65">
        <v>0.0</v>
      </c>
      <c r="BO1210" s="65">
        <v>0.0</v>
      </c>
      <c r="BP1210" s="65">
        <v>0.0</v>
      </c>
      <c r="BQ1210" s="65">
        <v>0.0</v>
      </c>
      <c r="BR1210" s="65">
        <v>0.0</v>
      </c>
      <c r="BS1210" s="65">
        <v>0.0</v>
      </c>
      <c r="BT1210" s="88">
        <v>0.0</v>
      </c>
      <c r="BU1210" s="65">
        <v>0.0</v>
      </c>
      <c r="BV1210" s="65">
        <v>0.0</v>
      </c>
      <c r="BW1210" s="90">
        <v>0.0</v>
      </c>
      <c r="BX1210" s="90">
        <v>0.0</v>
      </c>
      <c r="BY1210" s="90" t="str">
        <f t="array" ref="BY1210">XLOOKUP(C1210,'PL TOTAL D0'!$A$3:$A$1991,'PL TOTAL D0'!$C$3:$C$1991,"")</f>
        <v/>
      </c>
    </row>
    <row r="1211" ht="15.75" customHeight="1">
      <c r="A1211" s="50" t="s">
        <v>24</v>
      </c>
      <c r="B1211" s="428" t="s">
        <v>9640</v>
      </c>
      <c r="C1211" s="94" t="s">
        <v>2954</v>
      </c>
      <c r="D1211" s="30" t="s">
        <v>120</v>
      </c>
      <c r="E1211" s="22" t="s">
        <v>54</v>
      </c>
      <c r="F1211" s="81" t="s">
        <v>125</v>
      </c>
      <c r="G1211" s="47" t="str">
        <f t="shared" si="54"/>
        <v>Gabriel</v>
      </c>
      <c r="H1211" s="49" t="s">
        <v>183</v>
      </c>
      <c r="I1211" s="49" t="s">
        <v>66</v>
      </c>
      <c r="J1211" s="47" t="str">
        <f t="shared" si="52"/>
        <v>Sim</v>
      </c>
      <c r="K1211" s="54">
        <v>45560.0</v>
      </c>
      <c r="L1211" s="47"/>
      <c r="M1211" s="32" t="s">
        <v>61</v>
      </c>
      <c r="N1211" s="56">
        <v>0.012</v>
      </c>
      <c r="O1211" s="23" t="s">
        <v>66</v>
      </c>
      <c r="P1211" s="57">
        <v>0.0</v>
      </c>
      <c r="Q1211" s="58" t="s">
        <v>9641</v>
      </c>
      <c r="R1211" s="70"/>
      <c r="S1211" s="32" t="s">
        <v>194</v>
      </c>
      <c r="T1211" s="32" t="s">
        <v>7749</v>
      </c>
      <c r="U1211" s="33">
        <v>5.534991372642E12</v>
      </c>
      <c r="V1211" s="33" t="s">
        <v>9642</v>
      </c>
      <c r="W1211" s="34">
        <v>32543.0</v>
      </c>
      <c r="X1211" s="23" t="s">
        <v>54</v>
      </c>
      <c r="Y1211" s="49" t="str">
        <f t="shared" si="46"/>
        <v>Ativo</v>
      </c>
      <c r="Z1211" s="62"/>
      <c r="AA1211" s="32" t="s">
        <v>47</v>
      </c>
      <c r="AB1211" s="64"/>
      <c r="AC1211" s="79"/>
      <c r="AD1211" s="54">
        <v>45566.0</v>
      </c>
      <c r="AE1211" s="77">
        <v>4.9075100015953E13</v>
      </c>
      <c r="AF1211" s="79"/>
      <c r="AG1211" s="79"/>
      <c r="AH1211" s="79"/>
      <c r="AI1211" s="65"/>
      <c r="AJ1211" s="65"/>
      <c r="AK1211" s="65"/>
      <c r="AL1211" s="65"/>
      <c r="AM1211" s="65"/>
      <c r="AN1211" s="65"/>
      <c r="AO1211" s="65"/>
      <c r="AP1211" s="65"/>
      <c r="AQ1211" s="65"/>
      <c r="AR1211" s="65"/>
      <c r="AS1211" s="65"/>
      <c r="AT1211" s="65"/>
      <c r="AU1211" s="65"/>
      <c r="AV1211" s="65"/>
      <c r="AW1211" s="65"/>
      <c r="AX1211" s="65"/>
      <c r="AY1211" s="65"/>
      <c r="AZ1211" s="65"/>
      <c r="BA1211" s="65"/>
      <c r="BB1211" s="65"/>
      <c r="BC1211" s="65">
        <v>0.0</v>
      </c>
      <c r="BD1211" s="65">
        <v>70502.68</v>
      </c>
      <c r="BE1211" s="65">
        <v>94720.47</v>
      </c>
      <c r="BF1211" s="65">
        <v>100652.8</v>
      </c>
      <c r="BG1211" s="65">
        <v>101680.31</v>
      </c>
      <c r="BH1211" s="65">
        <v>115652.18</v>
      </c>
      <c r="BI1211" s="65">
        <v>116717.69</v>
      </c>
      <c r="BJ1211" s="65">
        <v>187349.61</v>
      </c>
      <c r="BK1211" s="65">
        <v>230067.49</v>
      </c>
      <c r="BL1211" s="65">
        <v>332768.52</v>
      </c>
      <c r="BM1211" s="65">
        <v>336385.45</v>
      </c>
      <c r="BN1211" s="65">
        <v>344047.3</v>
      </c>
      <c r="BO1211" s="65">
        <v>368330.59</v>
      </c>
      <c r="BP1211" s="65">
        <v>377894.2</v>
      </c>
      <c r="BQ1211" s="65">
        <v>402388.9</v>
      </c>
      <c r="BR1211" s="65">
        <v>406124.9</v>
      </c>
      <c r="BS1211" s="65">
        <v>420694.82</v>
      </c>
      <c r="BT1211" s="88">
        <v>424175.1</v>
      </c>
      <c r="BU1211" s="65">
        <v>434667.6</v>
      </c>
      <c r="BV1211" s="65">
        <v>443855.6</v>
      </c>
      <c r="BW1211" s="90">
        <v>294885.4</v>
      </c>
      <c r="BX1211" s="90">
        <v>346554.03</v>
      </c>
      <c r="BY1211" s="90">
        <f t="array" ref="BY1211">XLOOKUP(C1211,'PL TOTAL D0'!$A$3:$A$1991,'PL TOTAL D0'!$C$3:$C$1991,"")</f>
        <v>427037.61</v>
      </c>
    </row>
    <row r="1212" ht="15.75" customHeight="1">
      <c r="A1212" s="43" t="s">
        <v>24</v>
      </c>
      <c r="B1212" s="510" t="s">
        <v>9640</v>
      </c>
      <c r="C1212" s="94" t="s">
        <v>3538</v>
      </c>
      <c r="D1212" s="30" t="s">
        <v>120</v>
      </c>
      <c r="E1212" s="22" t="s">
        <v>54</v>
      </c>
      <c r="F1212" s="81" t="s">
        <v>125</v>
      </c>
      <c r="G1212" s="47" t="str">
        <f t="shared" si="54"/>
        <v>David</v>
      </c>
      <c r="H1212" s="49" t="s">
        <v>183</v>
      </c>
      <c r="I1212" s="49" t="s">
        <v>66</v>
      </c>
      <c r="J1212" s="47" t="str">
        <f t="shared" si="52"/>
        <v>Sim</v>
      </c>
      <c r="K1212" s="54">
        <v>45924.0</v>
      </c>
      <c r="L1212" s="47"/>
      <c r="M1212" s="32" t="s">
        <v>4551</v>
      </c>
      <c r="N1212" s="56">
        <v>0.01</v>
      </c>
      <c r="O1212" s="23" t="s">
        <v>66</v>
      </c>
      <c r="P1212" s="57">
        <v>0.0</v>
      </c>
      <c r="Q1212" s="58" t="s">
        <v>9643</v>
      </c>
      <c r="R1212" s="70"/>
      <c r="S1212" s="32" t="s">
        <v>194</v>
      </c>
      <c r="T1212" s="32" t="s">
        <v>7749</v>
      </c>
      <c r="U1212" s="33">
        <v>5.534991372642E12</v>
      </c>
      <c r="V1212" s="33" t="s">
        <v>9642</v>
      </c>
      <c r="W1212" s="34">
        <v>32543.0</v>
      </c>
      <c r="X1212" s="23" t="s">
        <v>54</v>
      </c>
      <c r="Y1212" s="49" t="str">
        <f t="shared" si="46"/>
        <v>Ativo</v>
      </c>
      <c r="Z1212" s="62"/>
      <c r="AA1212" s="32" t="s">
        <v>47</v>
      </c>
      <c r="AB1212" s="64"/>
      <c r="AC1212" s="79"/>
      <c r="AD1212" s="54">
        <v>45925.0</v>
      </c>
      <c r="AE1212" s="77">
        <v>4.9075100019533E13</v>
      </c>
      <c r="AF1212" s="79"/>
      <c r="AG1212" s="79"/>
      <c r="AH1212" s="79"/>
      <c r="AI1212" s="65"/>
      <c r="AJ1212" s="65"/>
      <c r="AK1212" s="65"/>
      <c r="AL1212" s="65"/>
      <c r="AM1212" s="65"/>
      <c r="AN1212" s="65"/>
      <c r="AO1212" s="65"/>
      <c r="AP1212" s="65"/>
      <c r="AQ1212" s="65"/>
      <c r="AR1212" s="65"/>
      <c r="AS1212" s="65"/>
      <c r="AT1212" s="65"/>
      <c r="AU1212" s="65"/>
      <c r="AV1212" s="65"/>
      <c r="AW1212" s="65"/>
      <c r="AX1212" s="65"/>
      <c r="AY1212" s="65"/>
      <c r="AZ1212" s="65"/>
      <c r="BA1212" s="65"/>
      <c r="BB1212" s="65"/>
      <c r="BC1212" s="65"/>
      <c r="BD1212" s="65"/>
      <c r="BE1212" s="65"/>
      <c r="BF1212" s="65"/>
      <c r="BG1212" s="65"/>
      <c r="BH1212" s="65"/>
      <c r="BI1212" s="65"/>
      <c r="BJ1212" s="65"/>
      <c r="BK1212" s="65"/>
      <c r="BL1212" s="65"/>
      <c r="BM1212" s="65"/>
      <c r="BN1212" s="65"/>
      <c r="BO1212" s="65">
        <v>10036.84</v>
      </c>
      <c r="BP1212" s="65">
        <v>9798.09</v>
      </c>
      <c r="BQ1212" s="65">
        <v>8255.96</v>
      </c>
      <c r="BR1212" s="65">
        <v>8222.37</v>
      </c>
      <c r="BS1212" s="65">
        <v>7109.14</v>
      </c>
      <c r="BT1212" s="88">
        <v>6013.66</v>
      </c>
      <c r="BU1212" s="65">
        <v>9043.78</v>
      </c>
      <c r="BV1212" s="65">
        <v>9928.09</v>
      </c>
      <c r="BW1212" s="90">
        <v>13378.74</v>
      </c>
      <c r="BX1212" s="90">
        <v>15089.16</v>
      </c>
      <c r="BY1212" s="90">
        <f t="array" ref="BY1212">XLOOKUP(C1212,'PL TOTAL D0'!$A$3:$A$1991,'PL TOTAL D0'!$C$3:$C$1991,"")</f>
        <v>15647.92</v>
      </c>
    </row>
    <row r="1213" ht="15.75" customHeight="1">
      <c r="A1213" s="43" t="s">
        <v>24</v>
      </c>
      <c r="B1213" s="428" t="s">
        <v>9644</v>
      </c>
      <c r="C1213" s="53" t="s">
        <v>3378</v>
      </c>
      <c r="D1213" s="30" t="s">
        <v>120</v>
      </c>
      <c r="E1213" s="22" t="s">
        <v>54</v>
      </c>
      <c r="F1213" s="30" t="s">
        <v>1883</v>
      </c>
      <c r="G1213" s="47" t="str">
        <f t="shared" si="54"/>
        <v>David</v>
      </c>
      <c r="H1213" s="49" t="s">
        <v>183</v>
      </c>
      <c r="I1213" s="49" t="s">
        <v>66</v>
      </c>
      <c r="J1213" s="47" t="str">
        <f t="shared" si="52"/>
        <v>Não</v>
      </c>
      <c r="K1213" s="54">
        <v>46157.0</v>
      </c>
      <c r="L1213" s="47"/>
      <c r="M1213" s="32" t="s">
        <v>61</v>
      </c>
      <c r="N1213" s="56">
        <v>0.012</v>
      </c>
      <c r="O1213" s="23" t="s">
        <v>66</v>
      </c>
      <c r="P1213" s="57">
        <v>0.0</v>
      </c>
      <c r="Q1213" s="58"/>
      <c r="R1213" s="70"/>
      <c r="S1213" s="32" t="s">
        <v>234</v>
      </c>
      <c r="T1213" s="32" t="s">
        <v>9645</v>
      </c>
      <c r="U1213" s="33" t="s">
        <v>9646</v>
      </c>
      <c r="V1213" s="33" t="s">
        <v>9647</v>
      </c>
      <c r="W1213" s="34">
        <v>45798.0</v>
      </c>
      <c r="X1213" s="23" t="s">
        <v>54</v>
      </c>
      <c r="Y1213" s="49" t="str">
        <f t="shared" si="46"/>
        <v>Ativo</v>
      </c>
      <c r="Z1213" s="62"/>
      <c r="AA1213" s="32" t="s">
        <v>47</v>
      </c>
      <c r="AB1213" s="64"/>
      <c r="AC1213" s="79"/>
      <c r="AD1213" s="54">
        <v>46203.0</v>
      </c>
      <c r="AE1213" s="77"/>
      <c r="AF1213" s="79"/>
      <c r="AG1213" s="79"/>
      <c r="AH1213" s="79"/>
      <c r="AI1213" s="65"/>
      <c r="AJ1213" s="65"/>
      <c r="AK1213" s="65"/>
      <c r="AL1213" s="65"/>
      <c r="AM1213" s="65"/>
      <c r="AN1213" s="65"/>
      <c r="AO1213" s="65"/>
      <c r="AP1213" s="65"/>
      <c r="AQ1213" s="65"/>
      <c r="AR1213" s="65"/>
      <c r="AS1213" s="65"/>
      <c r="AT1213" s="65"/>
      <c r="AU1213" s="65"/>
      <c r="AV1213" s="65"/>
      <c r="AW1213" s="65"/>
      <c r="AX1213" s="65"/>
      <c r="AY1213" s="65"/>
      <c r="AZ1213" s="65"/>
      <c r="BA1213" s="65"/>
      <c r="BB1213" s="65"/>
      <c r="BC1213" s="65"/>
      <c r="BD1213" s="65"/>
      <c r="BE1213" s="65"/>
      <c r="BF1213" s="65"/>
      <c r="BG1213" s="65"/>
      <c r="BH1213" s="65"/>
      <c r="BI1213" s="65"/>
      <c r="BJ1213" s="65"/>
      <c r="BK1213" s="65"/>
      <c r="BL1213" s="65"/>
      <c r="BM1213" s="65"/>
      <c r="BN1213" s="65"/>
      <c r="BO1213" s="65"/>
      <c r="BP1213" s="65"/>
      <c r="BQ1213" s="65"/>
      <c r="BR1213" s="65"/>
      <c r="BS1213" s="65"/>
      <c r="BT1213" s="88"/>
      <c r="BU1213" s="65"/>
      <c r="BV1213" s="65"/>
      <c r="BW1213" s="90">
        <v>15333.54</v>
      </c>
      <c r="BX1213" s="90">
        <v>60279.51</v>
      </c>
      <c r="BY1213" s="90">
        <f t="array" ref="BY1213">XLOOKUP(C1213,'PL TOTAL D0'!$A$3:$A$1991,'PL TOTAL D0'!$C$3:$C$1991,"")</f>
        <v>77445.47</v>
      </c>
    </row>
    <row r="1214" ht="15.75" customHeight="1">
      <c r="A1214" s="43" t="s">
        <v>24</v>
      </c>
      <c r="B1214" s="428" t="s">
        <v>9648</v>
      </c>
      <c r="C1214" s="94" t="s">
        <v>3363</v>
      </c>
      <c r="D1214" s="30" t="s">
        <v>89</v>
      </c>
      <c r="E1214" s="22" t="s">
        <v>91</v>
      </c>
      <c r="F1214" s="30" t="s">
        <v>521</v>
      </c>
      <c r="G1214" s="47" t="str">
        <f t="shared" si="54"/>
        <v>David</v>
      </c>
      <c r="H1214" s="49" t="s">
        <v>183</v>
      </c>
      <c r="I1214" s="49" t="s">
        <v>66</v>
      </c>
      <c r="J1214" s="47" t="str">
        <f t="shared" si="52"/>
        <v>Não</v>
      </c>
      <c r="K1214" s="54">
        <v>45985.0</v>
      </c>
      <c r="L1214" s="47"/>
      <c r="M1214" s="32" t="s">
        <v>61</v>
      </c>
      <c r="N1214" s="56">
        <v>0.012</v>
      </c>
      <c r="O1214" s="23" t="s">
        <v>66</v>
      </c>
      <c r="P1214" s="57">
        <v>0.0</v>
      </c>
      <c r="Q1214" s="58"/>
      <c r="R1214" s="70"/>
      <c r="S1214" s="32" t="s">
        <v>194</v>
      </c>
      <c r="T1214" s="32" t="s">
        <v>9649</v>
      </c>
      <c r="U1214" s="33" t="s">
        <v>9650</v>
      </c>
      <c r="V1214" s="33" t="s">
        <v>9651</v>
      </c>
      <c r="W1214" s="34">
        <v>29146.0</v>
      </c>
      <c r="X1214" s="23" t="s">
        <v>221</v>
      </c>
      <c r="Y1214" s="49" t="str">
        <f t="shared" si="46"/>
        <v>Ativo</v>
      </c>
      <c r="Z1214" s="62"/>
      <c r="AA1214" s="32" t="s">
        <v>165</v>
      </c>
      <c r="AB1214" s="64"/>
      <c r="AC1214" s="79"/>
      <c r="AD1214" s="54">
        <v>45985.0</v>
      </c>
      <c r="AE1214" s="148">
        <v>4.9075100019762E13</v>
      </c>
      <c r="AF1214" s="79"/>
      <c r="AG1214" s="79"/>
      <c r="AH1214" s="79"/>
      <c r="AI1214" s="65"/>
      <c r="AJ1214" s="65"/>
      <c r="AK1214" s="65"/>
      <c r="AL1214" s="65"/>
      <c r="AM1214" s="65"/>
      <c r="AN1214" s="65"/>
      <c r="AO1214" s="65"/>
      <c r="AP1214" s="65"/>
      <c r="AQ1214" s="65"/>
      <c r="AR1214" s="65"/>
      <c r="AS1214" s="65"/>
      <c r="AT1214" s="65"/>
      <c r="AU1214" s="65"/>
      <c r="AV1214" s="65"/>
      <c r="AW1214" s="65"/>
      <c r="AX1214" s="65"/>
      <c r="AY1214" s="65"/>
      <c r="AZ1214" s="65"/>
      <c r="BA1214" s="65"/>
      <c r="BB1214" s="65"/>
      <c r="BC1214" s="65"/>
      <c r="BD1214" s="65"/>
      <c r="BE1214" s="65"/>
      <c r="BF1214" s="65"/>
      <c r="BG1214" s="65"/>
      <c r="BH1214" s="65"/>
      <c r="BI1214" s="65"/>
      <c r="BJ1214" s="65"/>
      <c r="BK1214" s="65"/>
      <c r="BL1214" s="65"/>
      <c r="BM1214" s="65"/>
      <c r="BN1214" s="65"/>
      <c r="BO1214" s="65"/>
      <c r="BP1214" s="65"/>
      <c r="BQ1214" s="65">
        <v>99010.84</v>
      </c>
      <c r="BR1214" s="65">
        <v>101144.2</v>
      </c>
      <c r="BS1214" s="65">
        <v>76969.13</v>
      </c>
      <c r="BT1214" s="88">
        <v>77633.24</v>
      </c>
      <c r="BU1214" s="65">
        <v>78503.2</v>
      </c>
      <c r="BV1214" s="65">
        <v>79304.97</v>
      </c>
      <c r="BW1214" s="90">
        <v>79769.24</v>
      </c>
      <c r="BX1214" s="90">
        <v>80515.42</v>
      </c>
      <c r="BY1214" s="90">
        <f t="array" ref="BY1214">XLOOKUP(C1214,'PL TOTAL D0'!$A$3:$A$1991,'PL TOTAL D0'!$C$3:$C$1991,"")</f>
        <v>81408.32</v>
      </c>
    </row>
    <row r="1215" ht="15.75" customHeight="1">
      <c r="A1215" s="43" t="s">
        <v>24</v>
      </c>
      <c r="B1215" s="428" t="s">
        <v>5285</v>
      </c>
      <c r="C1215" s="53" t="s">
        <v>9652</v>
      </c>
      <c r="D1215" s="30" t="s">
        <v>3843</v>
      </c>
      <c r="E1215" s="22" t="s">
        <v>54</v>
      </c>
      <c r="F1215" s="30" t="s">
        <v>3844</v>
      </c>
      <c r="G1215" s="47" t="str">
        <f t="shared" si="54"/>
        <v>David</v>
      </c>
      <c r="H1215" s="49" t="s">
        <v>295</v>
      </c>
      <c r="I1215" s="49" t="s">
        <v>447</v>
      </c>
      <c r="J1215" s="47" t="str">
        <f t="shared" si="52"/>
        <v>Não</v>
      </c>
      <c r="K1215" s="54">
        <v>46162.0</v>
      </c>
      <c r="L1215" s="47"/>
      <c r="M1215" s="32" t="s">
        <v>201</v>
      </c>
      <c r="N1215" s="56">
        <v>0.0</v>
      </c>
      <c r="O1215" s="23" t="s">
        <v>66</v>
      </c>
      <c r="P1215" s="57">
        <v>0.0</v>
      </c>
      <c r="Q1215" s="58"/>
      <c r="R1215" s="70"/>
      <c r="S1215" s="32" t="s">
        <v>194</v>
      </c>
      <c r="T1215" s="32" t="s">
        <v>7767</v>
      </c>
      <c r="U1215" s="33" t="s">
        <v>9653</v>
      </c>
      <c r="V1215" s="33" t="s">
        <v>9654</v>
      </c>
      <c r="W1215" s="34">
        <v>30026.0</v>
      </c>
      <c r="X1215" s="23" t="s">
        <v>54</v>
      </c>
      <c r="Y1215" s="49" t="str">
        <f t="shared" si="46"/>
        <v>Ativo</v>
      </c>
      <c r="Z1215" s="62"/>
      <c r="AA1215" s="32" t="s">
        <v>165</v>
      </c>
      <c r="AB1215" s="64"/>
      <c r="AC1215" s="79"/>
      <c r="AD1215" s="54">
        <v>46203.0</v>
      </c>
      <c r="AE1215" s="77"/>
      <c r="AF1215" s="79"/>
      <c r="AG1215" s="79"/>
      <c r="AH1215" s="79"/>
      <c r="AI1215" s="65"/>
      <c r="AJ1215" s="65"/>
      <c r="AK1215" s="65"/>
      <c r="AL1215" s="65"/>
      <c r="AM1215" s="65"/>
      <c r="AN1215" s="65"/>
      <c r="AO1215" s="65"/>
      <c r="AP1215" s="65"/>
      <c r="AQ1215" s="65"/>
      <c r="AR1215" s="65"/>
      <c r="AS1215" s="65"/>
      <c r="AT1215" s="65"/>
      <c r="AU1215" s="65"/>
      <c r="AV1215" s="65"/>
      <c r="AW1215" s="65"/>
      <c r="AX1215" s="65"/>
      <c r="AY1215" s="65"/>
      <c r="AZ1215" s="65"/>
      <c r="BA1215" s="65"/>
      <c r="BB1215" s="65"/>
      <c r="BC1215" s="65"/>
      <c r="BD1215" s="65"/>
      <c r="BE1215" s="65"/>
      <c r="BF1215" s="65"/>
      <c r="BG1215" s="65"/>
      <c r="BH1215" s="65"/>
      <c r="BI1215" s="65"/>
      <c r="BJ1215" s="65"/>
      <c r="BK1215" s="65"/>
      <c r="BL1215" s="65"/>
      <c r="BM1215" s="65"/>
      <c r="BN1215" s="65"/>
      <c r="BO1215" s="65"/>
      <c r="BP1215" s="65"/>
      <c r="BQ1215" s="65"/>
      <c r="BR1215" s="65"/>
      <c r="BS1215" s="65"/>
      <c r="BT1215" s="88"/>
      <c r="BU1215" s="65"/>
      <c r="BV1215" s="65"/>
      <c r="BW1215" s="90">
        <v>104177.1</v>
      </c>
      <c r="BX1215" s="90">
        <v>104817.95</v>
      </c>
      <c r="BY1215" s="90" t="str">
        <f t="array" ref="BY1215">XLOOKUP(C1215,'PL TOTAL D0'!$A$3:$A$1991,'PL TOTAL D0'!$C$3:$C$1991,"")</f>
        <v/>
      </c>
    </row>
    <row r="1216" ht="15.75" customHeight="1">
      <c r="A1216" s="50" t="s">
        <v>24</v>
      </c>
      <c r="B1216" s="510" t="s">
        <v>7783</v>
      </c>
      <c r="C1216" s="94" t="s">
        <v>9655</v>
      </c>
      <c r="D1216" s="81" t="s">
        <v>255</v>
      </c>
      <c r="E1216" s="95" t="s">
        <v>199</v>
      </c>
      <c r="F1216" s="81" t="s">
        <v>8389</v>
      </c>
      <c r="G1216" s="47" t="str">
        <f t="shared" si="54"/>
        <v>David</v>
      </c>
      <c r="H1216" s="49" t="s">
        <v>295</v>
      </c>
      <c r="I1216" s="49" t="s">
        <v>382</v>
      </c>
      <c r="J1216" s="47" t="str">
        <f t="shared" si="52"/>
        <v>Não</v>
      </c>
      <c r="K1216" s="97">
        <v>44973.0</v>
      </c>
      <c r="L1216" s="47"/>
      <c r="M1216" s="62" t="s">
        <v>1142</v>
      </c>
      <c r="N1216" s="144">
        <v>0.008</v>
      </c>
      <c r="O1216" s="62" t="s">
        <v>1143</v>
      </c>
      <c r="P1216" s="520">
        <v>0.1</v>
      </c>
      <c r="Q1216" s="58"/>
      <c r="R1216" s="70"/>
      <c r="S1216" s="62" t="s">
        <v>194</v>
      </c>
      <c r="T1216" s="32" t="s">
        <v>7782</v>
      </c>
      <c r="U1216" s="33">
        <v>5.561981240005E12</v>
      </c>
      <c r="V1216" s="33" t="s">
        <v>9656</v>
      </c>
      <c r="W1216" s="34">
        <v>27833.0</v>
      </c>
      <c r="X1216" s="23" t="s">
        <v>199</v>
      </c>
      <c r="Y1216" s="49" t="str">
        <f t="shared" si="46"/>
        <v>Ativo</v>
      </c>
      <c r="Z1216" s="62"/>
      <c r="AA1216" s="62"/>
      <c r="AB1216" s="64" t="s">
        <v>269</v>
      </c>
      <c r="AC1216" s="79"/>
      <c r="AD1216" s="54">
        <v>44973.0</v>
      </c>
      <c r="AE1216" s="77">
        <v>4.9075100012067E13</v>
      </c>
      <c r="AF1216" s="79"/>
      <c r="AG1216" s="79"/>
      <c r="AH1216" s="79"/>
      <c r="AI1216" s="65">
        <v>0.0</v>
      </c>
      <c r="AJ1216" s="65">
        <v>0.0</v>
      </c>
      <c r="AK1216" s="65">
        <v>0.0</v>
      </c>
      <c r="AL1216" s="65">
        <v>289978.59</v>
      </c>
      <c r="AM1216" s="65">
        <v>306493.43</v>
      </c>
      <c r="AN1216" s="65">
        <v>328944.06</v>
      </c>
      <c r="AO1216" s="65">
        <v>341722.93</v>
      </c>
      <c r="AP1216" s="65">
        <v>348232.2</v>
      </c>
      <c r="AQ1216" s="65">
        <v>353899.78</v>
      </c>
      <c r="AR1216" s="65">
        <v>350742.28</v>
      </c>
      <c r="AS1216" s="65">
        <v>357997.75</v>
      </c>
      <c r="AT1216" s="65">
        <v>366779.82</v>
      </c>
      <c r="AU1216" s="65">
        <v>366822.72</v>
      </c>
      <c r="AV1216" s="65">
        <v>374204.45</v>
      </c>
      <c r="AW1216" s="65">
        <v>377147.44</v>
      </c>
      <c r="AX1216" s="65">
        <v>372068.96</v>
      </c>
      <c r="AY1216" s="65">
        <v>370458.7</v>
      </c>
      <c r="AZ1216" s="65">
        <v>367939.9</v>
      </c>
      <c r="BA1216" s="65">
        <v>372067.9</v>
      </c>
      <c r="BB1216" s="65">
        <v>4.8</v>
      </c>
      <c r="BC1216" s="65">
        <v>4.8</v>
      </c>
      <c r="BD1216" s="65">
        <v>0.0</v>
      </c>
      <c r="BE1216" s="65">
        <v>0.0</v>
      </c>
      <c r="BF1216" s="65">
        <v>0.71</v>
      </c>
      <c r="BG1216" s="65">
        <v>0.71</v>
      </c>
      <c r="BH1216" s="65">
        <v>0.71</v>
      </c>
      <c r="BI1216" s="65">
        <v>0.71</v>
      </c>
      <c r="BJ1216" s="65">
        <v>0.0</v>
      </c>
      <c r="BK1216" s="65">
        <v>0.0</v>
      </c>
      <c r="BL1216" s="65">
        <v>0.0</v>
      </c>
      <c r="BM1216" s="65">
        <v>0.0</v>
      </c>
      <c r="BN1216" s="65">
        <v>0.0</v>
      </c>
      <c r="BO1216" s="65">
        <v>0.0</v>
      </c>
      <c r="BP1216" s="65">
        <v>0.0</v>
      </c>
      <c r="BQ1216" s="65">
        <v>0.0</v>
      </c>
      <c r="BR1216" s="65">
        <v>0.0</v>
      </c>
      <c r="BS1216" s="65">
        <v>0.0</v>
      </c>
      <c r="BT1216" s="88">
        <v>0.0</v>
      </c>
      <c r="BU1216" s="65">
        <v>0.0</v>
      </c>
      <c r="BV1216" s="65">
        <v>0.0</v>
      </c>
      <c r="BW1216" s="90">
        <v>0.0</v>
      </c>
      <c r="BX1216" s="90">
        <v>0.0</v>
      </c>
      <c r="BY1216" s="90" t="str">
        <f t="array" ref="BY1216">XLOOKUP(C1216,'PL TOTAL D0'!$A$3:$A$1991,'PL TOTAL D0'!$C$3:$C$1991,"")</f>
        <v/>
      </c>
    </row>
    <row r="1217" ht="15.75" customHeight="1">
      <c r="A1217" s="50" t="s">
        <v>24</v>
      </c>
      <c r="B1217" s="50" t="s">
        <v>9657</v>
      </c>
      <c r="C1217" s="94" t="s">
        <v>3327</v>
      </c>
      <c r="D1217" s="30" t="s">
        <v>89</v>
      </c>
      <c r="E1217" s="95" t="s">
        <v>91</v>
      </c>
      <c r="F1217" s="81" t="s">
        <v>521</v>
      </c>
      <c r="G1217" s="47" t="str">
        <f t="shared" si="54"/>
        <v>David</v>
      </c>
      <c r="H1217" s="74" t="s">
        <v>183</v>
      </c>
      <c r="I1217" s="74" t="s">
        <v>66</v>
      </c>
      <c r="J1217" s="47" t="str">
        <f t="shared" si="52"/>
        <v>Sim</v>
      </c>
      <c r="K1217" s="97">
        <v>45096.0</v>
      </c>
      <c r="L1217" s="97"/>
      <c r="M1217" s="62" t="s">
        <v>61</v>
      </c>
      <c r="N1217" s="144">
        <v>0.012</v>
      </c>
      <c r="O1217" s="47" t="s">
        <v>66</v>
      </c>
      <c r="P1217" s="99">
        <v>0.0</v>
      </c>
      <c r="Q1217" s="58" t="s">
        <v>9658</v>
      </c>
      <c r="R1217" s="70"/>
      <c r="S1217" s="62" t="s">
        <v>194</v>
      </c>
      <c r="T1217" s="32" t="s">
        <v>7458</v>
      </c>
      <c r="U1217" s="33">
        <v>4.3996306454E10</v>
      </c>
      <c r="V1217" s="33" t="s">
        <v>9659</v>
      </c>
      <c r="W1217" s="34">
        <v>28535.0</v>
      </c>
      <c r="X1217" s="23" t="s">
        <v>221</v>
      </c>
      <c r="Y1217" s="49" t="str">
        <f t="shared" si="46"/>
        <v>Ativo</v>
      </c>
      <c r="Z1217" s="62"/>
      <c r="AA1217" s="62"/>
      <c r="AB1217" s="64" t="s">
        <v>244</v>
      </c>
      <c r="AC1217" s="79"/>
      <c r="AD1217" s="54">
        <v>45096.0</v>
      </c>
      <c r="AE1217" s="77">
        <v>4.9075100006717E13</v>
      </c>
      <c r="AF1217" s="79"/>
      <c r="AG1217" s="79"/>
      <c r="AH1217" s="79"/>
      <c r="AI1217" s="79"/>
      <c r="AJ1217" s="79"/>
      <c r="AK1217" s="79"/>
      <c r="AL1217" s="65">
        <v>0.0</v>
      </c>
      <c r="AM1217" s="65">
        <v>98581.04</v>
      </c>
      <c r="AN1217" s="65">
        <v>111588.77</v>
      </c>
      <c r="AO1217" s="65">
        <v>112674.22</v>
      </c>
      <c r="AP1217" s="65">
        <v>113054.22</v>
      </c>
      <c r="AQ1217" s="65">
        <v>113905.94</v>
      </c>
      <c r="AR1217" s="65">
        <v>114841.84</v>
      </c>
      <c r="AS1217" s="65">
        <v>115658.22</v>
      </c>
      <c r="AT1217" s="65">
        <v>116571.81</v>
      </c>
      <c r="AU1217" s="65">
        <v>117482.91</v>
      </c>
      <c r="AV1217" s="65">
        <v>116711.03</v>
      </c>
      <c r="AW1217" s="65">
        <v>115044.75</v>
      </c>
      <c r="AX1217" s="65">
        <v>114847.27</v>
      </c>
      <c r="AY1217" s="65">
        <v>115730.0</v>
      </c>
      <c r="AZ1217" s="65">
        <v>116620.2</v>
      </c>
      <c r="BA1217" s="65">
        <v>117539.6</v>
      </c>
      <c r="BB1217" s="65">
        <v>114233.78</v>
      </c>
      <c r="BC1217" s="65">
        <v>107854.04</v>
      </c>
      <c r="BD1217" s="65">
        <v>98459.56</v>
      </c>
      <c r="BE1217" s="65">
        <v>99194.24</v>
      </c>
      <c r="BF1217" s="65">
        <v>99830.12</v>
      </c>
      <c r="BG1217" s="65">
        <v>100723.48</v>
      </c>
      <c r="BH1217" s="65">
        <v>100697.05</v>
      </c>
      <c r="BI1217" s="65">
        <v>100232.12</v>
      </c>
      <c r="BJ1217" s="65">
        <v>96221.24</v>
      </c>
      <c r="BK1217" s="65">
        <v>96098.39</v>
      </c>
      <c r="BL1217" s="65">
        <v>94446.99</v>
      </c>
      <c r="BM1217" s="65">
        <v>93661.75</v>
      </c>
      <c r="BN1217" s="65">
        <v>94511.2</v>
      </c>
      <c r="BO1217" s="65">
        <v>92886.96</v>
      </c>
      <c r="BP1217" s="65">
        <v>193881.6</v>
      </c>
      <c r="BQ1217" s="65">
        <v>91494.69</v>
      </c>
      <c r="BR1217" s="65">
        <v>92368.3</v>
      </c>
      <c r="BS1217" s="65">
        <v>93401.68</v>
      </c>
      <c r="BT1217" s="88">
        <v>114155.6</v>
      </c>
      <c r="BU1217" s="65">
        <v>165285.6</v>
      </c>
      <c r="BV1217" s="65">
        <v>104041.0</v>
      </c>
      <c r="BW1217" s="90">
        <v>99412.35</v>
      </c>
      <c r="BX1217" s="90">
        <v>100373.55</v>
      </c>
      <c r="BY1217" s="90">
        <f t="array" ref="BY1217">XLOOKUP(C1217,'PL TOTAL D0'!$A$3:$A$1991,'PL TOTAL D0'!$C$3:$C$1991,"")</f>
        <v>96204.1</v>
      </c>
    </row>
    <row r="1218" ht="15.75" customHeight="1">
      <c r="A1218" s="50" t="s">
        <v>24</v>
      </c>
      <c r="B1218" s="43" t="s">
        <v>9660</v>
      </c>
      <c r="C1218" s="94" t="s">
        <v>9661</v>
      </c>
      <c r="D1218" s="81" t="s">
        <v>120</v>
      </c>
      <c r="E1218" s="95" t="s">
        <v>54</v>
      </c>
      <c r="F1218" s="81" t="s">
        <v>348</v>
      </c>
      <c r="G1218" s="47" t="str">
        <f t="shared" si="54"/>
        <v>David</v>
      </c>
      <c r="H1218" s="49" t="s">
        <v>224</v>
      </c>
      <c r="I1218" s="49" t="s">
        <v>66</v>
      </c>
      <c r="J1218" s="47" t="str">
        <f t="shared" si="52"/>
        <v>Não</v>
      </c>
      <c r="K1218" s="54">
        <v>45520.0</v>
      </c>
      <c r="L1218" s="55">
        <v>45922.0</v>
      </c>
      <c r="M1218" s="32" t="s">
        <v>1142</v>
      </c>
      <c r="N1218" s="56">
        <v>0.008</v>
      </c>
      <c r="O1218" s="23" t="s">
        <v>1143</v>
      </c>
      <c r="P1218" s="57">
        <v>0.1</v>
      </c>
      <c r="Q1218" s="58"/>
      <c r="R1218" s="58" t="s">
        <v>610</v>
      </c>
      <c r="S1218" s="32" t="s">
        <v>194</v>
      </c>
      <c r="T1218" s="32" t="s">
        <v>7785</v>
      </c>
      <c r="U1218" s="33" t="s">
        <v>268</v>
      </c>
      <c r="V1218" s="33"/>
      <c r="W1218" s="33" t="s">
        <v>268</v>
      </c>
      <c r="X1218" s="23" t="s">
        <v>54</v>
      </c>
      <c r="Y1218" s="49" t="str">
        <f t="shared" si="46"/>
        <v>Encerrado</v>
      </c>
      <c r="Z1218" s="32"/>
      <c r="AA1218" s="32" t="s">
        <v>47</v>
      </c>
      <c r="AB1218" s="64" t="s">
        <v>269</v>
      </c>
      <c r="AC1218" s="79"/>
      <c r="AD1218" s="54">
        <v>45533.0</v>
      </c>
      <c r="AE1218" s="77">
        <v>4.9075100015554E13</v>
      </c>
      <c r="AF1218" s="79"/>
      <c r="AG1218" s="79"/>
      <c r="AH1218" s="79"/>
      <c r="AI1218" s="79"/>
      <c r="AJ1218" s="79"/>
      <c r="AK1218" s="79"/>
      <c r="AL1218" s="79"/>
      <c r="AM1218" s="79"/>
      <c r="AN1218" s="79"/>
      <c r="AO1218" s="79"/>
      <c r="AP1218" s="79"/>
      <c r="AQ1218" s="79"/>
      <c r="AR1218" s="79"/>
      <c r="AS1218" s="79"/>
      <c r="AT1218" s="79"/>
      <c r="AU1218" s="79"/>
      <c r="AV1218" s="65"/>
      <c r="AW1218" s="65"/>
      <c r="AX1218" s="65"/>
      <c r="AY1218" s="65"/>
      <c r="AZ1218" s="65"/>
      <c r="BA1218" s="65"/>
      <c r="BB1218" s="65">
        <v>49889.84</v>
      </c>
      <c r="BC1218" s="65">
        <v>49077.47</v>
      </c>
      <c r="BD1218" s="65">
        <v>73776.65</v>
      </c>
      <c r="BE1218" s="65">
        <v>72956.41</v>
      </c>
      <c r="BF1218" s="65">
        <v>73187.17</v>
      </c>
      <c r="BG1218" s="65">
        <v>72886.42</v>
      </c>
      <c r="BH1218" s="65">
        <v>73952.72</v>
      </c>
      <c r="BI1218" s="65">
        <v>76377.35</v>
      </c>
      <c r="BJ1218" s="65">
        <v>79347.97</v>
      </c>
      <c r="BK1218" s="65">
        <v>79498.13</v>
      </c>
      <c r="BL1218" s="65">
        <v>0.0</v>
      </c>
      <c r="BM1218" s="65">
        <v>0.0</v>
      </c>
      <c r="BN1218" s="65">
        <v>0.0</v>
      </c>
      <c r="BO1218" s="65">
        <v>0.0</v>
      </c>
      <c r="BP1218" s="65">
        <v>0.0</v>
      </c>
      <c r="BQ1218" s="65">
        <v>0.0</v>
      </c>
      <c r="BR1218" s="65">
        <v>0.0</v>
      </c>
      <c r="BS1218" s="65">
        <v>0.0</v>
      </c>
      <c r="BT1218" s="88">
        <v>0.0</v>
      </c>
      <c r="BU1218" s="65">
        <v>0.0</v>
      </c>
      <c r="BV1218" s="65">
        <v>0.0</v>
      </c>
      <c r="BW1218" s="90">
        <v>0.0</v>
      </c>
      <c r="BX1218" s="90">
        <v>0.0</v>
      </c>
      <c r="BY1218" s="90" t="str">
        <f t="array" ref="BY1218">XLOOKUP(C1218,'PL TOTAL D0'!$A$3:$A$1991,'PL TOTAL D0'!$C$3:$C$1991,"")</f>
        <v/>
      </c>
    </row>
    <row r="1219" ht="15.75" customHeight="1">
      <c r="A1219" s="50" t="s">
        <v>24</v>
      </c>
      <c r="B1219" s="50" t="s">
        <v>9662</v>
      </c>
      <c r="C1219" s="94" t="s">
        <v>9663</v>
      </c>
      <c r="D1219" s="81" t="s">
        <v>120</v>
      </c>
      <c r="E1219" s="95" t="s">
        <v>54</v>
      </c>
      <c r="F1219" s="81" t="s">
        <v>348</v>
      </c>
      <c r="G1219" s="47" t="str">
        <f t="shared" si="54"/>
        <v>David</v>
      </c>
      <c r="H1219" s="49" t="s">
        <v>224</v>
      </c>
      <c r="I1219" s="49" t="s">
        <v>66</v>
      </c>
      <c r="J1219" s="47" t="str">
        <f t="shared" si="52"/>
        <v>Não</v>
      </c>
      <c r="K1219" s="97">
        <v>44979.0</v>
      </c>
      <c r="L1219" s="55">
        <v>45922.0</v>
      </c>
      <c r="M1219" s="62" t="s">
        <v>61</v>
      </c>
      <c r="N1219" s="98">
        <v>0.012</v>
      </c>
      <c r="O1219" s="47" t="s">
        <v>66</v>
      </c>
      <c r="P1219" s="99">
        <v>0.0</v>
      </c>
      <c r="Q1219" s="58"/>
      <c r="R1219" s="58" t="s">
        <v>610</v>
      </c>
      <c r="S1219" s="62" t="s">
        <v>194</v>
      </c>
      <c r="T1219" s="32" t="s">
        <v>7785</v>
      </c>
      <c r="U1219" s="33" t="s">
        <v>268</v>
      </c>
      <c r="V1219" s="33"/>
      <c r="W1219" s="33" t="s">
        <v>268</v>
      </c>
      <c r="X1219" s="23" t="s">
        <v>54</v>
      </c>
      <c r="Y1219" s="49" t="str">
        <f t="shared" si="46"/>
        <v>Encerrado</v>
      </c>
      <c r="Z1219" s="62"/>
      <c r="AA1219" s="62"/>
      <c r="AB1219" s="64" t="s">
        <v>269</v>
      </c>
      <c r="AC1219" s="79"/>
      <c r="AD1219" s="54">
        <v>44979.0</v>
      </c>
      <c r="AE1219" s="77">
        <v>4.9075100006474E13</v>
      </c>
      <c r="AF1219" s="79"/>
      <c r="AG1219" s="79"/>
      <c r="AH1219" s="79"/>
      <c r="AI1219" s="79"/>
      <c r="AJ1219" s="65">
        <v>473873.6</v>
      </c>
      <c r="AK1219" s="65">
        <v>481691.48</v>
      </c>
      <c r="AL1219" s="65">
        <v>485613.74</v>
      </c>
      <c r="AM1219" s="65">
        <v>493663.84</v>
      </c>
      <c r="AN1219" s="65">
        <v>500079.13</v>
      </c>
      <c r="AO1219" s="65">
        <v>503634.65</v>
      </c>
      <c r="AP1219" s="65">
        <v>506892.03</v>
      </c>
      <c r="AQ1219" s="65">
        <v>505887.98</v>
      </c>
      <c r="AR1219" s="65">
        <v>509208.33</v>
      </c>
      <c r="AS1219" s="65">
        <v>511261.68</v>
      </c>
      <c r="AT1219" s="65">
        <v>517830.29</v>
      </c>
      <c r="AU1219" s="65">
        <v>520086.43</v>
      </c>
      <c r="AV1219" s="65">
        <v>523896.73</v>
      </c>
      <c r="AW1219" s="65">
        <v>525434.07</v>
      </c>
      <c r="AX1219" s="65">
        <v>521989.28</v>
      </c>
      <c r="AY1219" s="65">
        <v>525225.7</v>
      </c>
      <c r="AZ1219" s="65">
        <v>528962.3</v>
      </c>
      <c r="BA1219" s="65">
        <v>533792.5</v>
      </c>
      <c r="BB1219" s="65">
        <v>542099.65</v>
      </c>
      <c r="BC1219" s="65">
        <v>545481.4</v>
      </c>
      <c r="BD1219" s="65">
        <v>624926.32</v>
      </c>
      <c r="BE1219" s="65">
        <v>629710.76</v>
      </c>
      <c r="BF1219" s="65">
        <v>634744.95</v>
      </c>
      <c r="BG1219" s="65">
        <v>640905.38</v>
      </c>
      <c r="BH1219" s="65">
        <v>646212.41</v>
      </c>
      <c r="BI1219" s="65">
        <v>651816.03</v>
      </c>
      <c r="BJ1219" s="65">
        <v>655846.82</v>
      </c>
      <c r="BK1219" s="65">
        <v>662059.82</v>
      </c>
      <c r="BL1219" s="65">
        <v>0.0</v>
      </c>
      <c r="BM1219" s="65">
        <v>0.0</v>
      </c>
      <c r="BN1219" s="65">
        <v>0.0</v>
      </c>
      <c r="BO1219" s="65">
        <v>0.0</v>
      </c>
      <c r="BP1219" s="65">
        <v>0.0</v>
      </c>
      <c r="BQ1219" s="65">
        <v>0.0</v>
      </c>
      <c r="BR1219" s="65">
        <v>0.0</v>
      </c>
      <c r="BS1219" s="65">
        <v>0.0</v>
      </c>
      <c r="BT1219" s="88">
        <v>0.0</v>
      </c>
      <c r="BU1219" s="65">
        <v>0.0</v>
      </c>
      <c r="BV1219" s="65">
        <v>0.0</v>
      </c>
      <c r="BW1219" s="90">
        <v>0.0</v>
      </c>
      <c r="BX1219" s="90">
        <v>0.0</v>
      </c>
      <c r="BY1219" s="90" t="str">
        <f t="array" ref="BY1219">XLOOKUP(C1219,'PL TOTAL D0'!$A$3:$A$1991,'PL TOTAL D0'!$C$3:$C$1991,"")</f>
        <v/>
      </c>
    </row>
    <row r="1220" ht="15.75" customHeight="1">
      <c r="A1220" s="50" t="s">
        <v>24</v>
      </c>
      <c r="B1220" s="50" t="s">
        <v>9664</v>
      </c>
      <c r="C1220" s="94" t="s">
        <v>3390</v>
      </c>
      <c r="D1220" s="81" t="s">
        <v>120</v>
      </c>
      <c r="E1220" s="95" t="s">
        <v>199</v>
      </c>
      <c r="F1220" s="81" t="s">
        <v>212</v>
      </c>
      <c r="G1220" s="47" t="str">
        <f t="shared" si="54"/>
        <v>David</v>
      </c>
      <c r="H1220" s="49" t="s">
        <v>183</v>
      </c>
      <c r="I1220" s="49" t="s">
        <v>66</v>
      </c>
      <c r="J1220" s="47" t="str">
        <f t="shared" si="52"/>
        <v>Sim</v>
      </c>
      <c r="K1220" s="97">
        <v>46087.0</v>
      </c>
      <c r="L1220" s="55"/>
      <c r="M1220" s="62" t="s">
        <v>213</v>
      </c>
      <c r="N1220" s="98">
        <v>0.003</v>
      </c>
      <c r="O1220" s="47" t="s">
        <v>66</v>
      </c>
      <c r="P1220" s="99">
        <v>0.0</v>
      </c>
      <c r="Q1220" s="58" t="s">
        <v>9665</v>
      </c>
      <c r="R1220" s="58"/>
      <c r="S1220" s="62" t="s">
        <v>234</v>
      </c>
      <c r="T1220" s="32" t="s">
        <v>9666</v>
      </c>
      <c r="U1220" s="33" t="s">
        <v>9667</v>
      </c>
      <c r="V1220" s="33" t="s">
        <v>9668</v>
      </c>
      <c r="W1220" s="33">
        <v>46001.0</v>
      </c>
      <c r="X1220" s="23" t="s">
        <v>199</v>
      </c>
      <c r="Y1220" s="49" t="str">
        <f t="shared" si="46"/>
        <v>Ativo</v>
      </c>
      <c r="Z1220" s="62"/>
      <c r="AA1220" s="62" t="s">
        <v>107</v>
      </c>
      <c r="AB1220" s="64"/>
      <c r="AC1220" s="79"/>
      <c r="AD1220" s="54">
        <v>46203.0</v>
      </c>
      <c r="AE1220" s="77"/>
      <c r="AF1220" s="79"/>
      <c r="AG1220" s="79"/>
      <c r="AH1220" s="79"/>
      <c r="AI1220" s="79"/>
      <c r="AJ1220" s="65"/>
      <c r="AK1220" s="65"/>
      <c r="AL1220" s="65"/>
      <c r="AM1220" s="65"/>
      <c r="AN1220" s="65"/>
      <c r="AO1220" s="65"/>
      <c r="AP1220" s="65"/>
      <c r="AQ1220" s="65"/>
      <c r="AR1220" s="65"/>
      <c r="AS1220" s="65"/>
      <c r="AT1220" s="65"/>
      <c r="AU1220" s="65"/>
      <c r="AV1220" s="65"/>
      <c r="AW1220" s="65"/>
      <c r="AX1220" s="65"/>
      <c r="AY1220" s="65"/>
      <c r="AZ1220" s="65"/>
      <c r="BA1220" s="65"/>
      <c r="BB1220" s="65"/>
      <c r="BC1220" s="65"/>
      <c r="BD1220" s="65"/>
      <c r="BE1220" s="65"/>
      <c r="BF1220" s="65"/>
      <c r="BG1220" s="65"/>
      <c r="BH1220" s="65"/>
      <c r="BI1220" s="65"/>
      <c r="BJ1220" s="65"/>
      <c r="BK1220" s="65"/>
      <c r="BL1220" s="65"/>
      <c r="BM1220" s="65"/>
      <c r="BN1220" s="65"/>
      <c r="BO1220" s="65"/>
      <c r="BP1220" s="65"/>
      <c r="BQ1220" s="65"/>
      <c r="BR1220" s="65"/>
      <c r="BS1220" s="65"/>
      <c r="BT1220" s="88" t="s">
        <v>1739</v>
      </c>
      <c r="BU1220" s="65">
        <v>0.0</v>
      </c>
      <c r="BV1220" s="65">
        <v>0.0</v>
      </c>
      <c r="BW1220" s="90">
        <v>0.0</v>
      </c>
      <c r="BX1220" s="90">
        <v>70086.37</v>
      </c>
      <c r="BY1220" s="90">
        <f t="array" ref="BY1220">XLOOKUP(C1220,'PL TOTAL D0'!$A$3:$A$1991,'PL TOTAL D0'!$C$3:$C$1991,"")</f>
        <v>70986.47</v>
      </c>
    </row>
    <row r="1221" ht="15.75" customHeight="1">
      <c r="A1221" s="50" t="s">
        <v>24</v>
      </c>
      <c r="B1221" s="50" t="s">
        <v>9669</v>
      </c>
      <c r="C1221" s="94" t="s">
        <v>9670</v>
      </c>
      <c r="D1221" s="81" t="s">
        <v>255</v>
      </c>
      <c r="E1221" s="95" t="s">
        <v>199</v>
      </c>
      <c r="F1221" s="81" t="s">
        <v>2328</v>
      </c>
      <c r="G1221" s="47" t="str">
        <f t="shared" si="54"/>
        <v>David</v>
      </c>
      <c r="H1221" s="49" t="s">
        <v>224</v>
      </c>
      <c r="I1221" s="49" t="s">
        <v>66</v>
      </c>
      <c r="J1221" s="47" t="str">
        <f t="shared" si="52"/>
        <v>Não</v>
      </c>
      <c r="K1221" s="97">
        <v>45168.0</v>
      </c>
      <c r="L1221" s="54">
        <v>45510.0</v>
      </c>
      <c r="M1221" s="62" t="s">
        <v>557</v>
      </c>
      <c r="N1221" s="144">
        <v>0.005</v>
      </c>
      <c r="O1221" s="62" t="s">
        <v>66</v>
      </c>
      <c r="P1221" s="520">
        <v>0.0</v>
      </c>
      <c r="Q1221" s="58"/>
      <c r="R1221" s="58" t="s">
        <v>610</v>
      </c>
      <c r="S1221" s="62" t="s">
        <v>194</v>
      </c>
      <c r="T1221" s="32" t="s">
        <v>9671</v>
      </c>
      <c r="U1221" s="33" t="s">
        <v>268</v>
      </c>
      <c r="V1221" s="33"/>
      <c r="W1221" s="33" t="s">
        <v>268</v>
      </c>
      <c r="X1221" s="23" t="s">
        <v>199</v>
      </c>
      <c r="Y1221" s="49" t="str">
        <f t="shared" si="46"/>
        <v>Encerrado</v>
      </c>
      <c r="Z1221" s="62"/>
      <c r="AA1221" s="62"/>
      <c r="AB1221" s="64" t="s">
        <v>244</v>
      </c>
      <c r="AC1221" s="79"/>
      <c r="AD1221" s="54">
        <v>45168.0</v>
      </c>
      <c r="AE1221" s="77">
        <v>4.9075100006105E13</v>
      </c>
      <c r="AF1221" s="79"/>
      <c r="AG1221" s="79"/>
      <c r="AH1221" s="79"/>
      <c r="AI1221" s="79"/>
      <c r="AJ1221" s="79"/>
      <c r="AK1221" s="79"/>
      <c r="AL1221" s="79"/>
      <c r="AM1221" s="79"/>
      <c r="AN1221" s="79"/>
      <c r="AO1221" s="79"/>
      <c r="AP1221" s="65">
        <v>1967966.43</v>
      </c>
      <c r="AQ1221" s="65">
        <v>1988281.0</v>
      </c>
      <c r="AR1221" s="65">
        <v>3881924.48</v>
      </c>
      <c r="AS1221" s="65">
        <v>3904486.3</v>
      </c>
      <c r="AT1221" s="65">
        <v>3938265.36</v>
      </c>
      <c r="AU1221" s="65">
        <v>3974332.28</v>
      </c>
      <c r="AV1221" s="65">
        <v>4004896.65</v>
      </c>
      <c r="AW1221" s="65">
        <v>4039125.48</v>
      </c>
      <c r="AX1221" s="65">
        <v>4073871.85</v>
      </c>
      <c r="AY1221" s="65">
        <v>4106159.0</v>
      </c>
      <c r="AZ1221" s="65">
        <v>4136869.0</v>
      </c>
      <c r="BA1221" s="65">
        <v>0.0</v>
      </c>
      <c r="BB1221" s="65">
        <v>0.0</v>
      </c>
      <c r="BC1221" s="65">
        <v>0.0</v>
      </c>
      <c r="BD1221" s="65">
        <v>0.0</v>
      </c>
      <c r="BE1221" s="65">
        <v>0.0</v>
      </c>
      <c r="BF1221" s="65">
        <v>0.0</v>
      </c>
      <c r="BG1221" s="65">
        <v>0.0</v>
      </c>
      <c r="BH1221" s="65">
        <v>0.0</v>
      </c>
      <c r="BI1221" s="65">
        <v>0.0</v>
      </c>
      <c r="BJ1221" s="65">
        <v>0.0</v>
      </c>
      <c r="BK1221" s="65">
        <v>0.0</v>
      </c>
      <c r="BL1221" s="65">
        <v>0.0</v>
      </c>
      <c r="BM1221" s="65">
        <v>0.0</v>
      </c>
      <c r="BN1221" s="65">
        <v>0.0</v>
      </c>
      <c r="BO1221" s="65">
        <v>0.0</v>
      </c>
      <c r="BP1221" s="65">
        <v>0.0</v>
      </c>
      <c r="BQ1221" s="65">
        <v>0.0</v>
      </c>
      <c r="BR1221" s="65">
        <v>0.0</v>
      </c>
      <c r="BS1221" s="65">
        <v>0.0</v>
      </c>
      <c r="BT1221" s="88">
        <v>0.0</v>
      </c>
      <c r="BU1221" s="65">
        <v>0.0</v>
      </c>
      <c r="BV1221" s="65">
        <v>0.0</v>
      </c>
      <c r="BW1221" s="90">
        <v>0.0</v>
      </c>
      <c r="BX1221" s="90">
        <v>0.0</v>
      </c>
      <c r="BY1221" s="90" t="str">
        <f t="array" ref="BY1221">XLOOKUP(C1221,'PL TOTAL D0'!$A$3:$A$1991,'PL TOTAL D0'!$C$3:$C$1991,"")</f>
        <v/>
      </c>
    </row>
    <row r="1222" ht="15.75" customHeight="1">
      <c r="A1222" s="50" t="s">
        <v>24</v>
      </c>
      <c r="B1222" s="43" t="s">
        <v>9672</v>
      </c>
      <c r="C1222" s="94" t="s">
        <v>9673</v>
      </c>
      <c r="D1222" s="30" t="s">
        <v>365</v>
      </c>
      <c r="E1222" s="22" t="s">
        <v>199</v>
      </c>
      <c r="F1222" s="30" t="s">
        <v>4481</v>
      </c>
      <c r="G1222" s="47" t="str">
        <f t="shared" si="54"/>
        <v>David</v>
      </c>
      <c r="H1222" s="49" t="s">
        <v>295</v>
      </c>
      <c r="I1222" s="49" t="s">
        <v>382</v>
      </c>
      <c r="J1222" s="47" t="str">
        <f t="shared" si="52"/>
        <v>Não</v>
      </c>
      <c r="K1222" s="54">
        <v>45726.0</v>
      </c>
      <c r="L1222" s="54"/>
      <c r="M1222" s="32" t="s">
        <v>213</v>
      </c>
      <c r="N1222" s="199">
        <v>0.007</v>
      </c>
      <c r="O1222" s="32" t="s">
        <v>66</v>
      </c>
      <c r="P1222" s="702">
        <v>0.0</v>
      </c>
      <c r="Q1222" s="58"/>
      <c r="R1222" s="58"/>
      <c r="S1222" s="32" t="s">
        <v>234</v>
      </c>
      <c r="T1222" s="32" t="s">
        <v>9674</v>
      </c>
      <c r="U1222" s="33">
        <v>5.561998441973E12</v>
      </c>
      <c r="V1222" s="33" t="s">
        <v>9675</v>
      </c>
      <c r="W1222" s="34">
        <v>45105.0</v>
      </c>
      <c r="X1222" s="23" t="s">
        <v>199</v>
      </c>
      <c r="Y1222" s="49" t="str">
        <f t="shared" si="46"/>
        <v>Ativo</v>
      </c>
      <c r="Z1222" s="62"/>
      <c r="AA1222" s="32" t="s">
        <v>107</v>
      </c>
      <c r="AB1222" s="64"/>
      <c r="AC1222" s="79"/>
      <c r="AD1222" s="54">
        <v>45740.0</v>
      </c>
      <c r="AE1222" s="77">
        <v>4.9075100018405E13</v>
      </c>
      <c r="AF1222" s="79"/>
      <c r="AG1222" s="79"/>
      <c r="AH1222" s="79"/>
      <c r="AI1222" s="79"/>
      <c r="AJ1222" s="79"/>
      <c r="AK1222" s="79"/>
      <c r="AL1222" s="79"/>
      <c r="AM1222" s="79"/>
      <c r="AN1222" s="79"/>
      <c r="AO1222" s="79"/>
      <c r="AP1222" s="65"/>
      <c r="AQ1222" s="65"/>
      <c r="AR1222" s="65"/>
      <c r="AS1222" s="65"/>
      <c r="AT1222" s="65"/>
      <c r="AU1222" s="65"/>
      <c r="AV1222" s="65"/>
      <c r="AW1222" s="65"/>
      <c r="AX1222" s="65"/>
      <c r="AY1222" s="65"/>
      <c r="AZ1222" s="65"/>
      <c r="BA1222" s="65"/>
      <c r="BB1222" s="65"/>
      <c r="BC1222" s="65"/>
      <c r="BD1222" s="65"/>
      <c r="BE1222" s="65"/>
      <c r="BF1222" s="65"/>
      <c r="BG1222" s="65"/>
      <c r="BH1222" s="65"/>
      <c r="BI1222" s="65">
        <v>41492.0</v>
      </c>
      <c r="BJ1222" s="65">
        <v>74498.09</v>
      </c>
      <c r="BK1222" s="65">
        <v>75097.14</v>
      </c>
      <c r="BL1222" s="65">
        <v>75870.66</v>
      </c>
      <c r="BM1222" s="65">
        <v>106728.8</v>
      </c>
      <c r="BN1222" s="65">
        <v>62488.74</v>
      </c>
      <c r="BO1222" s="65">
        <v>63089.2</v>
      </c>
      <c r="BP1222" s="65">
        <v>63896.97</v>
      </c>
      <c r="BQ1222" s="65">
        <v>43964.78</v>
      </c>
      <c r="BR1222" s="65">
        <v>44457.71</v>
      </c>
      <c r="BS1222" s="65">
        <v>0.0</v>
      </c>
      <c r="BT1222" s="88">
        <v>0.37</v>
      </c>
      <c r="BU1222" s="65">
        <v>0.37</v>
      </c>
      <c r="BV1222" s="65">
        <v>0.37</v>
      </c>
      <c r="BW1222" s="90">
        <v>0.37</v>
      </c>
      <c r="BX1222" s="90">
        <v>0.37</v>
      </c>
      <c r="BY1222" s="90" t="str">
        <f t="array" ref="BY1222">XLOOKUP(C1222,'PL TOTAL D0'!$A$3:$A$1991,'PL TOTAL D0'!$C$3:$C$1991,"")</f>
        <v/>
      </c>
    </row>
    <row r="1223" ht="15.75" customHeight="1">
      <c r="A1223" s="50" t="s">
        <v>24</v>
      </c>
      <c r="B1223" s="510" t="s">
        <v>9676</v>
      </c>
      <c r="C1223" s="94" t="s">
        <v>9677</v>
      </c>
      <c r="D1223" s="81" t="s">
        <v>120</v>
      </c>
      <c r="E1223" s="95" t="s">
        <v>199</v>
      </c>
      <c r="F1223" s="81" t="s">
        <v>290</v>
      </c>
      <c r="G1223" s="47" t="str">
        <f t="shared" si="54"/>
        <v>David</v>
      </c>
      <c r="H1223" s="74" t="s">
        <v>295</v>
      </c>
      <c r="I1223" s="74" t="s">
        <v>382</v>
      </c>
      <c r="J1223" s="47" t="str">
        <f t="shared" si="52"/>
        <v>Não</v>
      </c>
      <c r="K1223" s="97">
        <v>45163.0</v>
      </c>
      <c r="L1223" s="97"/>
      <c r="M1223" s="62" t="s">
        <v>213</v>
      </c>
      <c r="N1223" s="144">
        <v>0.005</v>
      </c>
      <c r="O1223" s="62" t="s">
        <v>66</v>
      </c>
      <c r="P1223" s="520">
        <v>0.0</v>
      </c>
      <c r="Q1223" s="58"/>
      <c r="R1223" s="812" t="s">
        <v>9678</v>
      </c>
      <c r="S1223" s="62" t="s">
        <v>234</v>
      </c>
      <c r="T1223" s="32" t="s">
        <v>9679</v>
      </c>
      <c r="U1223" s="33">
        <v>5.561981212666E12</v>
      </c>
      <c r="V1223" s="33" t="s">
        <v>4882</v>
      </c>
      <c r="W1223" s="48">
        <v>32862.0</v>
      </c>
      <c r="X1223" s="23" t="s">
        <v>199</v>
      </c>
      <c r="Y1223" s="49" t="str">
        <f t="shared" si="46"/>
        <v>Inativo</v>
      </c>
      <c r="Z1223" s="62"/>
      <c r="AA1223" s="62"/>
      <c r="AB1223" s="64" t="s">
        <v>2099</v>
      </c>
      <c r="AC1223" s="79"/>
      <c r="AD1223" s="54">
        <v>45163.0</v>
      </c>
      <c r="AE1223" s="77">
        <v>4.9075100012075E13</v>
      </c>
      <c r="AF1223" s="79"/>
      <c r="AG1223" s="79"/>
      <c r="AH1223" s="79"/>
      <c r="AI1223" s="65">
        <v>0.0</v>
      </c>
      <c r="AJ1223" s="65">
        <v>0.0</v>
      </c>
      <c r="AK1223" s="65">
        <v>0.0</v>
      </c>
      <c r="AL1223" s="65">
        <v>0.0</v>
      </c>
      <c r="AM1223" s="65">
        <v>0.0</v>
      </c>
      <c r="AN1223" s="65">
        <v>0.0</v>
      </c>
      <c r="AO1223" s="65">
        <v>0.0</v>
      </c>
      <c r="AP1223" s="65">
        <v>0.0</v>
      </c>
      <c r="AQ1223" s="65">
        <v>0.0</v>
      </c>
      <c r="AR1223" s="65">
        <v>0.0</v>
      </c>
      <c r="AS1223" s="65">
        <v>0.0</v>
      </c>
      <c r="AT1223" s="65">
        <v>0.0</v>
      </c>
      <c r="AU1223" s="65">
        <v>0.0</v>
      </c>
      <c r="AV1223" s="65">
        <v>0.0</v>
      </c>
      <c r="AW1223" s="65">
        <v>0.0</v>
      </c>
      <c r="AX1223" s="65">
        <v>0.0</v>
      </c>
      <c r="AY1223" s="65">
        <v>0.0</v>
      </c>
      <c r="AZ1223" s="65">
        <v>0.0</v>
      </c>
      <c r="BA1223" s="65">
        <v>0.0</v>
      </c>
      <c r="BB1223" s="65">
        <v>0.0</v>
      </c>
      <c r="BC1223" s="65">
        <v>0.0</v>
      </c>
      <c r="BD1223" s="65">
        <v>0.0</v>
      </c>
      <c r="BE1223" s="65">
        <v>0.0</v>
      </c>
      <c r="BF1223" s="65">
        <v>0.0</v>
      </c>
      <c r="BG1223" s="65">
        <v>0.0</v>
      </c>
      <c r="BH1223" s="65">
        <v>0.0</v>
      </c>
      <c r="BI1223" s="65">
        <v>0.0</v>
      </c>
      <c r="BJ1223" s="65">
        <v>0.0</v>
      </c>
      <c r="BK1223" s="65">
        <v>0.0</v>
      </c>
      <c r="BL1223" s="65">
        <v>0.0</v>
      </c>
      <c r="BM1223" s="65">
        <v>0.0</v>
      </c>
      <c r="BN1223" s="65">
        <v>0.0</v>
      </c>
      <c r="BO1223" s="65">
        <v>0.0</v>
      </c>
      <c r="BP1223" s="65">
        <v>0.0</v>
      </c>
      <c r="BQ1223" s="65">
        <v>0.0</v>
      </c>
      <c r="BR1223" s="65">
        <v>0.0</v>
      </c>
      <c r="BS1223" s="65">
        <v>0.0</v>
      </c>
      <c r="BT1223" s="88">
        <v>0.0</v>
      </c>
      <c r="BU1223" s="65">
        <v>0.0</v>
      </c>
      <c r="BV1223" s="65">
        <v>0.0</v>
      </c>
      <c r="BW1223" s="90">
        <v>0.0</v>
      </c>
      <c r="BX1223" s="90">
        <v>0.0</v>
      </c>
      <c r="BY1223" s="90" t="str">
        <f t="array" ref="BY1223">XLOOKUP(C1223,'PL TOTAL D0'!$A$3:$A$1991,'PL TOTAL D0'!$C$3:$C$1991,"")</f>
        <v/>
      </c>
    </row>
    <row r="1224" ht="15.75" customHeight="1">
      <c r="A1224" s="50" t="s">
        <v>24</v>
      </c>
      <c r="B1224" s="43" t="s">
        <v>9680</v>
      </c>
      <c r="C1224" s="94" t="s">
        <v>2863</v>
      </c>
      <c r="D1224" s="30" t="s">
        <v>142</v>
      </c>
      <c r="E1224" s="22" t="s">
        <v>54</v>
      </c>
      <c r="F1224" s="30" t="s">
        <v>158</v>
      </c>
      <c r="G1224" s="47" t="str">
        <f t="shared" si="54"/>
        <v>Gabriel</v>
      </c>
      <c r="H1224" s="49" t="s">
        <v>183</v>
      </c>
      <c r="I1224" s="49" t="s">
        <v>66</v>
      </c>
      <c r="J1224" s="47" t="str">
        <f t="shared" si="52"/>
        <v>Não</v>
      </c>
      <c r="K1224" s="54">
        <v>45951.0</v>
      </c>
      <c r="L1224" s="97"/>
      <c r="M1224" s="32" t="s">
        <v>716</v>
      </c>
      <c r="N1224" s="199">
        <v>0.012</v>
      </c>
      <c r="O1224" s="32" t="s">
        <v>66</v>
      </c>
      <c r="P1224" s="702">
        <v>0.0</v>
      </c>
      <c r="Q1224" s="58"/>
      <c r="R1224" s="944"/>
      <c r="S1224" s="32" t="s">
        <v>194</v>
      </c>
      <c r="T1224" s="32" t="s">
        <v>9681</v>
      </c>
      <c r="U1224" s="33" t="s">
        <v>9682</v>
      </c>
      <c r="V1224" s="33" t="s">
        <v>9683</v>
      </c>
      <c r="W1224" s="34">
        <v>25142.0</v>
      </c>
      <c r="X1224" s="23" t="s">
        <v>54</v>
      </c>
      <c r="Y1224" s="49" t="str">
        <f t="shared" si="46"/>
        <v>Ativo</v>
      </c>
      <c r="Z1224" s="62"/>
      <c r="AA1224" s="32" t="s">
        <v>47</v>
      </c>
      <c r="AB1224" s="64"/>
      <c r="AC1224" s="79"/>
      <c r="AD1224" s="54">
        <v>45952.0</v>
      </c>
      <c r="AE1224" s="148">
        <v>4.9075100019584E13</v>
      </c>
      <c r="AF1224" s="79"/>
      <c r="AG1224" s="79"/>
      <c r="AH1224" s="79"/>
      <c r="AI1224" s="79"/>
      <c r="AJ1224" s="79"/>
      <c r="AK1224" s="79"/>
      <c r="AL1224" s="79"/>
      <c r="AM1224" s="79"/>
      <c r="AN1224" s="79"/>
      <c r="AO1224" s="79"/>
      <c r="AP1224" s="79"/>
      <c r="AQ1224" s="79"/>
      <c r="AR1224" s="79"/>
      <c r="AS1224" s="65"/>
      <c r="AT1224" s="65"/>
      <c r="AU1224" s="65"/>
      <c r="AV1224" s="65"/>
      <c r="AW1224" s="65"/>
      <c r="AX1224" s="65"/>
      <c r="AY1224" s="65"/>
      <c r="AZ1224" s="65"/>
      <c r="BA1224" s="65"/>
      <c r="BB1224" s="65"/>
      <c r="BC1224" s="65"/>
      <c r="BD1224" s="65"/>
      <c r="BE1224" s="65"/>
      <c r="BF1224" s="65"/>
      <c r="BG1224" s="65"/>
      <c r="BH1224" s="65"/>
      <c r="BI1224" s="65"/>
      <c r="BJ1224" s="65"/>
      <c r="BK1224" s="65"/>
      <c r="BL1224" s="65"/>
      <c r="BM1224" s="65"/>
      <c r="BN1224" s="65"/>
      <c r="BO1224" s="65"/>
      <c r="BP1224" s="65">
        <v>501466.1</v>
      </c>
      <c r="BQ1224" s="65">
        <v>505827.0</v>
      </c>
      <c r="BR1224" s="65">
        <v>511198.0</v>
      </c>
      <c r="BS1224" s="65">
        <v>516548.5</v>
      </c>
      <c r="BT1224" s="88">
        <v>521092.9</v>
      </c>
      <c r="BU1224" s="65">
        <v>527380.1</v>
      </c>
      <c r="BV1224" s="65">
        <v>533144.2</v>
      </c>
      <c r="BW1224" s="90">
        <v>536552.1</v>
      </c>
      <c r="BX1224" s="90">
        <v>541692.34</v>
      </c>
      <c r="BY1224" s="90">
        <f t="array" ref="BY1224">XLOOKUP(C1224,'PL TOTAL D0'!$A$3:$A$1991,'PL TOTAL D0'!$C$3:$C$1991,"")</f>
        <v>547936.6</v>
      </c>
    </row>
    <row r="1225" ht="15.75" customHeight="1">
      <c r="A1225" s="50" t="s">
        <v>24</v>
      </c>
      <c r="B1225" s="43" t="s">
        <v>9684</v>
      </c>
      <c r="C1225" s="53" t="s">
        <v>2654</v>
      </c>
      <c r="D1225" s="30" t="s">
        <v>89</v>
      </c>
      <c r="E1225" s="22" t="s">
        <v>91</v>
      </c>
      <c r="F1225" s="30" t="s">
        <v>193</v>
      </c>
      <c r="G1225" s="47" t="str">
        <f t="shared" si="54"/>
        <v>David</v>
      </c>
      <c r="H1225" s="49" t="s">
        <v>183</v>
      </c>
      <c r="I1225" s="49" t="s">
        <v>66</v>
      </c>
      <c r="J1225" s="47" t="str">
        <f t="shared" si="52"/>
        <v>Não</v>
      </c>
      <c r="K1225" s="54">
        <v>46220.0</v>
      </c>
      <c r="L1225" s="97"/>
      <c r="M1225" s="32" t="s">
        <v>209</v>
      </c>
      <c r="N1225" s="199">
        <v>0.0125</v>
      </c>
      <c r="O1225" s="32" t="s">
        <v>35</v>
      </c>
      <c r="P1225" s="702">
        <v>0.1</v>
      </c>
      <c r="Q1225" s="58"/>
      <c r="R1225" s="944"/>
      <c r="S1225" s="32" t="s">
        <v>194</v>
      </c>
      <c r="T1225" s="32" t="s">
        <v>9685</v>
      </c>
      <c r="U1225" s="33" t="s">
        <v>9686</v>
      </c>
      <c r="V1225" s="33" t="s">
        <v>9687</v>
      </c>
      <c r="W1225" s="34">
        <v>30438.0</v>
      </c>
      <c r="X1225" s="23" t="s">
        <v>221</v>
      </c>
      <c r="Y1225" s="49" t="str">
        <f t="shared" si="46"/>
        <v>Ativo</v>
      </c>
      <c r="Z1225" s="62"/>
      <c r="AA1225" s="32" t="s">
        <v>165</v>
      </c>
      <c r="AB1225" s="64"/>
      <c r="AC1225" s="79"/>
      <c r="AD1225" s="54"/>
      <c r="AE1225" s="148"/>
      <c r="AF1225" s="79"/>
      <c r="AG1225" s="79"/>
      <c r="AH1225" s="79"/>
      <c r="AI1225" s="79"/>
      <c r="AJ1225" s="79"/>
      <c r="AK1225" s="79"/>
      <c r="AL1225" s="79"/>
      <c r="AM1225" s="79"/>
      <c r="AN1225" s="79"/>
      <c r="AO1225" s="79"/>
      <c r="AP1225" s="79"/>
      <c r="AQ1225" s="79"/>
      <c r="AR1225" s="79"/>
      <c r="AS1225" s="65"/>
      <c r="AT1225" s="65"/>
      <c r="AU1225" s="65"/>
      <c r="AV1225" s="65"/>
      <c r="AW1225" s="65"/>
      <c r="AX1225" s="65"/>
      <c r="AY1225" s="65"/>
      <c r="AZ1225" s="65"/>
      <c r="BA1225" s="65"/>
      <c r="BB1225" s="65"/>
      <c r="BC1225" s="65"/>
      <c r="BD1225" s="65"/>
      <c r="BE1225" s="65"/>
      <c r="BF1225" s="65"/>
      <c r="BG1225" s="65"/>
      <c r="BH1225" s="65"/>
      <c r="BI1225" s="65"/>
      <c r="BJ1225" s="65"/>
      <c r="BK1225" s="65"/>
      <c r="BL1225" s="65"/>
      <c r="BM1225" s="65"/>
      <c r="BN1225" s="65"/>
      <c r="BO1225" s="65"/>
      <c r="BP1225" s="65"/>
      <c r="BQ1225" s="65"/>
      <c r="BR1225" s="65"/>
      <c r="BS1225" s="65"/>
      <c r="BT1225" s="88"/>
      <c r="BU1225" s="65"/>
      <c r="BV1225" s="65"/>
      <c r="BW1225" s="90"/>
      <c r="BX1225" s="90"/>
      <c r="BY1225" s="90"/>
    </row>
    <row r="1226" ht="15.75" customHeight="1">
      <c r="A1226" s="50" t="s">
        <v>24</v>
      </c>
      <c r="B1226" s="50" t="s">
        <v>9688</v>
      </c>
      <c r="C1226" s="94" t="s">
        <v>2941</v>
      </c>
      <c r="D1226" s="81" t="s">
        <v>142</v>
      </c>
      <c r="E1226" s="95" t="s">
        <v>54</v>
      </c>
      <c r="F1226" s="81" t="s">
        <v>158</v>
      </c>
      <c r="G1226" s="47" t="str">
        <f t="shared" si="54"/>
        <v>Gabriel</v>
      </c>
      <c r="H1226" s="74" t="s">
        <v>183</v>
      </c>
      <c r="I1226" s="74" t="s">
        <v>66</v>
      </c>
      <c r="J1226" s="47" t="str">
        <f t="shared" si="52"/>
        <v>Não</v>
      </c>
      <c r="K1226" s="97">
        <v>45252.0</v>
      </c>
      <c r="L1226" s="97"/>
      <c r="M1226" s="62" t="s">
        <v>61</v>
      </c>
      <c r="N1226" s="144">
        <v>0.01</v>
      </c>
      <c r="O1226" s="62" t="s">
        <v>66</v>
      </c>
      <c r="P1226" s="520">
        <v>0.0</v>
      </c>
      <c r="Q1226" s="58"/>
      <c r="R1226" s="944"/>
      <c r="S1226" s="62" t="s">
        <v>194</v>
      </c>
      <c r="T1226" s="32" t="s">
        <v>9689</v>
      </c>
      <c r="U1226" s="33">
        <v>6.2999754679E10</v>
      </c>
      <c r="V1226" s="33" t="s">
        <v>9690</v>
      </c>
      <c r="W1226" s="34">
        <v>24643.0</v>
      </c>
      <c r="X1226" s="23" t="s">
        <v>54</v>
      </c>
      <c r="Y1226" s="49" t="str">
        <f t="shared" si="46"/>
        <v>Ativo</v>
      </c>
      <c r="Z1226" s="62"/>
      <c r="AA1226" s="62"/>
      <c r="AB1226" s="64" t="s">
        <v>269</v>
      </c>
      <c r="AC1226" s="79"/>
      <c r="AD1226" s="54">
        <v>45252.0</v>
      </c>
      <c r="AE1226" s="77">
        <v>4.9075100012849E13</v>
      </c>
      <c r="AF1226" s="79"/>
      <c r="AG1226" s="79"/>
      <c r="AH1226" s="79"/>
      <c r="AI1226" s="79"/>
      <c r="AJ1226" s="79"/>
      <c r="AK1226" s="79"/>
      <c r="AL1226" s="79"/>
      <c r="AM1226" s="79"/>
      <c r="AN1226" s="79"/>
      <c r="AO1226" s="79"/>
      <c r="AP1226" s="79"/>
      <c r="AQ1226" s="79"/>
      <c r="AR1226" s="79"/>
      <c r="AS1226" s="65">
        <v>480118.49</v>
      </c>
      <c r="AT1226" s="65">
        <v>483878.05</v>
      </c>
      <c r="AU1226" s="65">
        <v>487891.47</v>
      </c>
      <c r="AV1226" s="65">
        <v>491356.64</v>
      </c>
      <c r="AW1226" s="65">
        <v>494699.39</v>
      </c>
      <c r="AX1226" s="65">
        <v>497748.6</v>
      </c>
      <c r="AY1226" s="65">
        <v>501009.7</v>
      </c>
      <c r="AZ1226" s="65">
        <v>505061.2</v>
      </c>
      <c r="BA1226" s="65">
        <v>726433.5</v>
      </c>
      <c r="BB1226" s="65">
        <v>731133.86</v>
      </c>
      <c r="BC1226" s="65">
        <v>735417.95</v>
      </c>
      <c r="BD1226" s="65">
        <v>741211.17</v>
      </c>
      <c r="BE1226" s="65">
        <v>763643.68</v>
      </c>
      <c r="BF1226" s="65">
        <v>611690.96</v>
      </c>
      <c r="BG1226" s="65">
        <v>620108.84</v>
      </c>
      <c r="BH1226" s="65">
        <v>334683.62</v>
      </c>
      <c r="BI1226" s="65">
        <v>323314.49</v>
      </c>
      <c r="BJ1226" s="65">
        <v>323299.81</v>
      </c>
      <c r="BK1226" s="65">
        <v>337533.01</v>
      </c>
      <c r="BL1226" s="65">
        <v>351190.71</v>
      </c>
      <c r="BM1226" s="65">
        <v>364738.77</v>
      </c>
      <c r="BN1226" s="65">
        <v>372276.0</v>
      </c>
      <c r="BO1226" s="65">
        <v>379877.25</v>
      </c>
      <c r="BP1226" s="65">
        <v>396346.7</v>
      </c>
      <c r="BQ1226" s="65">
        <v>394436.6</v>
      </c>
      <c r="BR1226" s="65">
        <v>400584.4</v>
      </c>
      <c r="BS1226" s="65">
        <v>406371.99</v>
      </c>
      <c r="BT1226" s="88">
        <v>407134.8</v>
      </c>
      <c r="BU1226" s="65">
        <v>381248.6</v>
      </c>
      <c r="BV1226" s="65">
        <v>420801.7</v>
      </c>
      <c r="BW1226" s="90">
        <v>441633.2</v>
      </c>
      <c r="BX1226" s="90">
        <v>436069.3</v>
      </c>
      <c r="BY1226" s="90">
        <f t="array" ref="BY1226">XLOOKUP(C1226,'PL TOTAL D0'!$A$3:$A$1991,'PL TOTAL D0'!$C$3:$C$1991,"")</f>
        <v>442004.19</v>
      </c>
    </row>
    <row r="1227" ht="15.75" customHeight="1">
      <c r="A1227" s="50" t="s">
        <v>24</v>
      </c>
      <c r="B1227" s="510" t="s">
        <v>9691</v>
      </c>
      <c r="C1227" s="94" t="s">
        <v>9692</v>
      </c>
      <c r="D1227" s="81" t="s">
        <v>120</v>
      </c>
      <c r="E1227" s="95" t="s">
        <v>54</v>
      </c>
      <c r="F1227" s="81" t="s">
        <v>348</v>
      </c>
      <c r="G1227" s="47" t="str">
        <f t="shared" si="54"/>
        <v>David</v>
      </c>
      <c r="H1227" s="49" t="s">
        <v>224</v>
      </c>
      <c r="I1227" s="49" t="s">
        <v>66</v>
      </c>
      <c r="J1227" s="47" t="str">
        <f t="shared" si="52"/>
        <v>Não</v>
      </c>
      <c r="K1227" s="97">
        <v>44945.0</v>
      </c>
      <c r="L1227" s="362">
        <v>45922.0</v>
      </c>
      <c r="M1227" s="62" t="s">
        <v>61</v>
      </c>
      <c r="N1227" s="144">
        <v>0.012</v>
      </c>
      <c r="O1227" s="47" t="s">
        <v>66</v>
      </c>
      <c r="P1227" s="99">
        <v>0.0</v>
      </c>
      <c r="Q1227" s="58"/>
      <c r="R1227" s="58" t="s">
        <v>610</v>
      </c>
      <c r="S1227" s="62" t="s">
        <v>194</v>
      </c>
      <c r="T1227" s="32" t="s">
        <v>9693</v>
      </c>
      <c r="U1227" s="33" t="s">
        <v>268</v>
      </c>
      <c r="V1227" s="33"/>
      <c r="W1227" s="33" t="s">
        <v>268</v>
      </c>
      <c r="X1227" s="23" t="s">
        <v>54</v>
      </c>
      <c r="Y1227" s="49" t="str">
        <f t="shared" si="46"/>
        <v>Encerrado</v>
      </c>
      <c r="Z1227" s="62"/>
      <c r="AA1227" s="62"/>
      <c r="AB1227" s="64" t="s">
        <v>269</v>
      </c>
      <c r="AC1227" s="79"/>
      <c r="AD1227" s="54">
        <v>44945.0</v>
      </c>
      <c r="AE1227" s="77">
        <v>4.9075100006482E13</v>
      </c>
      <c r="AF1227" s="79"/>
      <c r="AG1227" s="79"/>
      <c r="AH1227" s="79"/>
      <c r="AI1227" s="65">
        <v>788175.45</v>
      </c>
      <c r="AJ1227" s="65">
        <v>794794.76</v>
      </c>
      <c r="AK1227" s="65">
        <v>803301.69</v>
      </c>
      <c r="AL1227" s="65">
        <v>808932.47</v>
      </c>
      <c r="AM1227" s="65">
        <v>817587.84</v>
      </c>
      <c r="AN1227" s="65">
        <v>824932.72</v>
      </c>
      <c r="AO1227" s="65">
        <v>831994.21</v>
      </c>
      <c r="AP1227" s="65">
        <v>840143.99</v>
      </c>
      <c r="AQ1227" s="65">
        <v>846924.5</v>
      </c>
      <c r="AR1227" s="65">
        <v>854397.79</v>
      </c>
      <c r="AS1227" s="65">
        <v>860467.18</v>
      </c>
      <c r="AT1227" s="65">
        <v>866851.66</v>
      </c>
      <c r="AU1227" s="65">
        <v>867115.02</v>
      </c>
      <c r="AV1227" s="65">
        <v>873789.21</v>
      </c>
      <c r="AW1227" s="65">
        <v>880475.5</v>
      </c>
      <c r="AX1227" s="65">
        <v>884553.95</v>
      </c>
      <c r="AY1227" s="65">
        <v>890839.1</v>
      </c>
      <c r="AZ1227" s="65">
        <v>927297.1</v>
      </c>
      <c r="BA1227" s="65">
        <v>934293.0</v>
      </c>
      <c r="BB1227" s="65">
        <v>88238.51</v>
      </c>
      <c r="BC1227" s="65">
        <v>88232.56</v>
      </c>
      <c r="BD1227" s="65">
        <v>89027.42</v>
      </c>
      <c r="BE1227" s="65">
        <v>89681.7</v>
      </c>
      <c r="BF1227" s="65">
        <v>120527.55</v>
      </c>
      <c r="BG1227" s="65">
        <v>121729.61</v>
      </c>
      <c r="BH1227" s="65">
        <v>122848.58</v>
      </c>
      <c r="BI1227" s="65">
        <v>123935.53</v>
      </c>
      <c r="BJ1227" s="65">
        <v>325862.95</v>
      </c>
      <c r="BK1227" s="65">
        <v>329252.12</v>
      </c>
      <c r="BL1227" s="65">
        <v>0.0</v>
      </c>
      <c r="BM1227" s="65">
        <v>0.0</v>
      </c>
      <c r="BN1227" s="65">
        <v>0.0</v>
      </c>
      <c r="BO1227" s="65">
        <v>0.0</v>
      </c>
      <c r="BP1227" s="65">
        <v>0.0</v>
      </c>
      <c r="BQ1227" s="65">
        <v>0.0</v>
      </c>
      <c r="BR1227" s="65">
        <v>0.0</v>
      </c>
      <c r="BS1227" s="65">
        <v>0.0</v>
      </c>
      <c r="BT1227" s="88">
        <v>0.0</v>
      </c>
      <c r="BU1227" s="65">
        <v>0.0</v>
      </c>
      <c r="BV1227" s="65">
        <v>0.0</v>
      </c>
      <c r="BW1227" s="90">
        <v>0.0</v>
      </c>
      <c r="BX1227" s="90">
        <v>0.0</v>
      </c>
      <c r="BY1227" s="90" t="str">
        <f t="array" ref="BY1227">XLOOKUP(C1227,'PL TOTAL D0'!$A$3:$A$1991,'PL TOTAL D0'!$C$3:$C$1991,"")</f>
        <v/>
      </c>
    </row>
    <row r="1228" ht="15.75" customHeight="1">
      <c r="A1228" s="50" t="s">
        <v>24</v>
      </c>
      <c r="B1228" s="188" t="s">
        <v>9694</v>
      </c>
      <c r="C1228" s="94" t="s">
        <v>3162</v>
      </c>
      <c r="D1228" s="30" t="s">
        <v>142</v>
      </c>
      <c r="E1228" s="22" t="s">
        <v>54</v>
      </c>
      <c r="F1228" s="30" t="s">
        <v>4568</v>
      </c>
      <c r="G1228" s="47" t="str">
        <f t="shared" si="54"/>
        <v>David</v>
      </c>
      <c r="H1228" s="49" t="s">
        <v>183</v>
      </c>
      <c r="I1228" s="49" t="s">
        <v>66</v>
      </c>
      <c r="J1228" s="47" t="str">
        <f t="shared" si="52"/>
        <v>Não</v>
      </c>
      <c r="K1228" s="54">
        <v>45457.0</v>
      </c>
      <c r="L1228" s="362"/>
      <c r="M1228" s="32" t="s">
        <v>61</v>
      </c>
      <c r="N1228" s="199">
        <v>0.012</v>
      </c>
      <c r="O1228" s="23" t="s">
        <v>66</v>
      </c>
      <c r="P1228" s="57">
        <v>0.0</v>
      </c>
      <c r="Q1228" s="58"/>
      <c r="R1228" s="70"/>
      <c r="S1228" s="32" t="s">
        <v>194</v>
      </c>
      <c r="T1228" s="22" t="s">
        <v>9695</v>
      </c>
      <c r="U1228" s="33">
        <v>6.2981703364E10</v>
      </c>
      <c r="V1228" s="33" t="s">
        <v>9696</v>
      </c>
      <c r="W1228" s="34">
        <v>29831.0</v>
      </c>
      <c r="X1228" s="23" t="s">
        <v>54</v>
      </c>
      <c r="Y1228" s="49" t="str">
        <f t="shared" si="46"/>
        <v>Ativo</v>
      </c>
      <c r="Z1228" s="32"/>
      <c r="AA1228" s="32" t="s">
        <v>47</v>
      </c>
      <c r="AB1228" s="64" t="s">
        <v>269</v>
      </c>
      <c r="AC1228" s="79"/>
      <c r="AD1228" s="54">
        <v>45457.0</v>
      </c>
      <c r="AE1228" s="77">
        <v>4.9075100015155E13</v>
      </c>
      <c r="AF1228" s="79"/>
      <c r="AG1228" s="79"/>
      <c r="AH1228" s="79"/>
      <c r="AI1228" s="79"/>
      <c r="AJ1228" s="79"/>
      <c r="AK1228" s="79"/>
      <c r="AL1228" s="79"/>
      <c r="AM1228" s="79"/>
      <c r="AN1228" s="79"/>
      <c r="AO1228" s="79"/>
      <c r="AP1228" s="79"/>
      <c r="AQ1228" s="79"/>
      <c r="AR1228" s="79"/>
      <c r="AS1228" s="79"/>
      <c r="AT1228" s="79"/>
      <c r="AU1228" s="79"/>
      <c r="AV1228" s="65"/>
      <c r="AW1228" s="65"/>
      <c r="AX1228" s="65"/>
      <c r="AY1228" s="65"/>
      <c r="AZ1228" s="65">
        <v>314913.7</v>
      </c>
      <c r="BA1228" s="65">
        <v>319047.4</v>
      </c>
      <c r="BB1228" s="65">
        <v>331479.13</v>
      </c>
      <c r="BC1228" s="65">
        <v>305005.9</v>
      </c>
      <c r="BD1228" s="65">
        <v>312171.54</v>
      </c>
      <c r="BE1228" s="65">
        <v>342960.67</v>
      </c>
      <c r="BF1228" s="65">
        <v>306630.25</v>
      </c>
      <c r="BG1228" s="65">
        <v>287863.39</v>
      </c>
      <c r="BH1228" s="65">
        <v>285100.66</v>
      </c>
      <c r="BI1228" s="65">
        <v>284481.73</v>
      </c>
      <c r="BJ1228" s="65">
        <v>292469.2</v>
      </c>
      <c r="BK1228" s="65">
        <v>293129.22</v>
      </c>
      <c r="BL1228" s="65">
        <v>278312.06</v>
      </c>
      <c r="BM1228" s="65">
        <v>254470.79</v>
      </c>
      <c r="BN1228" s="65">
        <v>243787.4</v>
      </c>
      <c r="BO1228" s="65">
        <v>227425.84</v>
      </c>
      <c r="BP1228" s="65">
        <v>201542.9</v>
      </c>
      <c r="BQ1228" s="65">
        <v>201407.4</v>
      </c>
      <c r="BR1228" s="65">
        <v>203389.7</v>
      </c>
      <c r="BS1228" s="65">
        <v>205285.35</v>
      </c>
      <c r="BT1228" s="88">
        <v>203988.7</v>
      </c>
      <c r="BU1228" s="65">
        <v>177645.5</v>
      </c>
      <c r="BV1228" s="65">
        <v>198935.2</v>
      </c>
      <c r="BW1228" s="90">
        <v>210391.6</v>
      </c>
      <c r="BX1228" s="90">
        <v>192452.32</v>
      </c>
      <c r="BY1228" s="90">
        <f t="array" ref="BY1228">XLOOKUP(C1228,'PL TOTAL D0'!$A$3:$A$1991,'PL TOTAL D0'!$C$3:$C$1991,"")</f>
        <v>194734.79</v>
      </c>
    </row>
    <row r="1229" ht="15.75" customHeight="1">
      <c r="A1229" s="50" t="s">
        <v>24</v>
      </c>
      <c r="B1229" s="188" t="s">
        <v>9694</v>
      </c>
      <c r="C1229" s="94" t="s">
        <v>9697</v>
      </c>
      <c r="D1229" s="30" t="s">
        <v>142</v>
      </c>
      <c r="E1229" s="22" t="s">
        <v>54</v>
      </c>
      <c r="F1229" s="30" t="s">
        <v>4568</v>
      </c>
      <c r="G1229" s="47" t="str">
        <f t="shared" si="54"/>
        <v>David</v>
      </c>
      <c r="H1229" s="49" t="s">
        <v>224</v>
      </c>
      <c r="I1229" s="49" t="s">
        <v>66</v>
      </c>
      <c r="J1229" s="47" t="str">
        <f t="shared" si="52"/>
        <v>Não</v>
      </c>
      <c r="K1229" s="54">
        <v>45422.0</v>
      </c>
      <c r="L1229" s="362">
        <v>45457.0</v>
      </c>
      <c r="M1229" s="32" t="s">
        <v>61</v>
      </c>
      <c r="N1229" s="199">
        <v>0.012</v>
      </c>
      <c r="O1229" s="23" t="s">
        <v>66</v>
      </c>
      <c r="P1229" s="57">
        <v>0.0</v>
      </c>
      <c r="Q1229" s="58"/>
      <c r="R1229" s="58" t="s">
        <v>9698</v>
      </c>
      <c r="S1229" s="32" t="s">
        <v>194</v>
      </c>
      <c r="T1229" s="22" t="s">
        <v>9695</v>
      </c>
      <c r="U1229" s="33" t="s">
        <v>268</v>
      </c>
      <c r="V1229" s="33"/>
      <c r="W1229" s="33" t="s">
        <v>268</v>
      </c>
      <c r="X1229" s="23" t="s">
        <v>54</v>
      </c>
      <c r="Y1229" s="49" t="str">
        <f t="shared" si="46"/>
        <v>Encerrado</v>
      </c>
      <c r="Z1229" s="32"/>
      <c r="AA1229" s="32" t="s">
        <v>47</v>
      </c>
      <c r="AB1229" s="64"/>
      <c r="AC1229" s="79"/>
      <c r="AD1229" s="54">
        <v>45422.0</v>
      </c>
      <c r="AE1229" s="77"/>
      <c r="AF1229" s="79"/>
      <c r="AG1229" s="79"/>
      <c r="AH1229" s="79"/>
      <c r="AI1229" s="79"/>
      <c r="AJ1229" s="79"/>
      <c r="AK1229" s="79"/>
      <c r="AL1229" s="79"/>
      <c r="AM1229" s="79"/>
      <c r="AN1229" s="79"/>
      <c r="AO1229" s="79"/>
      <c r="AP1229" s="79"/>
      <c r="AQ1229" s="79"/>
      <c r="AR1229" s="79"/>
      <c r="AS1229" s="79"/>
      <c r="AT1229" s="79"/>
      <c r="AU1229" s="79"/>
      <c r="AV1229" s="65"/>
      <c r="AW1229" s="65"/>
      <c r="AX1229" s="65"/>
      <c r="AY1229" s="65">
        <v>0.0</v>
      </c>
      <c r="AZ1229" s="65">
        <v>0.0</v>
      </c>
      <c r="BA1229" s="65">
        <v>0.0</v>
      </c>
      <c r="BB1229" s="65">
        <v>0.0</v>
      </c>
      <c r="BC1229" s="65">
        <v>0.0</v>
      </c>
      <c r="BD1229" s="65">
        <v>0.0</v>
      </c>
      <c r="BE1229" s="65">
        <v>0.0</v>
      </c>
      <c r="BF1229" s="65">
        <v>0.0</v>
      </c>
      <c r="BG1229" s="65">
        <v>0.0</v>
      </c>
      <c r="BH1229" s="65">
        <v>0.0</v>
      </c>
      <c r="BI1229" s="65">
        <v>0.0</v>
      </c>
      <c r="BJ1229" s="65">
        <v>0.0</v>
      </c>
      <c r="BK1229" s="65">
        <v>0.0</v>
      </c>
      <c r="BL1229" s="65">
        <v>0.0</v>
      </c>
      <c r="BM1229" s="65">
        <v>0.0</v>
      </c>
      <c r="BN1229" s="65">
        <v>0.0</v>
      </c>
      <c r="BO1229" s="65">
        <v>0.0</v>
      </c>
      <c r="BP1229" s="65">
        <v>0.0</v>
      </c>
      <c r="BQ1229" s="65">
        <v>0.0</v>
      </c>
      <c r="BR1229" s="65">
        <v>0.0</v>
      </c>
      <c r="BS1229" s="65">
        <v>0.0</v>
      </c>
      <c r="BT1229" s="88">
        <v>0.0</v>
      </c>
      <c r="BU1229" s="65">
        <v>0.0</v>
      </c>
      <c r="BV1229" s="65">
        <v>0.0</v>
      </c>
      <c r="BW1229" s="90">
        <v>0.0</v>
      </c>
      <c r="BX1229" s="90">
        <v>0.0</v>
      </c>
      <c r="BY1229" s="90" t="str">
        <f t="array" ref="BY1229">XLOOKUP(C1229,'PL TOTAL D0'!$A$3:$A$1991,'PL TOTAL D0'!$C$3:$C$1991,"")</f>
        <v/>
      </c>
    </row>
    <row r="1230" ht="15.75" customHeight="1">
      <c r="A1230" s="50" t="s">
        <v>24</v>
      </c>
      <c r="B1230" s="200" t="s">
        <v>9699</v>
      </c>
      <c r="C1230" s="94" t="s">
        <v>9700</v>
      </c>
      <c r="D1230" s="30" t="s">
        <v>365</v>
      </c>
      <c r="E1230" s="22" t="s">
        <v>199</v>
      </c>
      <c r="F1230" s="30" t="s">
        <v>368</v>
      </c>
      <c r="G1230" s="47" t="str">
        <f t="shared" si="54"/>
        <v>David</v>
      </c>
      <c r="H1230" s="49" t="s">
        <v>224</v>
      </c>
      <c r="I1230" s="49" t="s">
        <v>66</v>
      </c>
      <c r="J1230" s="47" t="str">
        <f t="shared" si="52"/>
        <v>Não</v>
      </c>
      <c r="K1230" s="54">
        <v>45699.0</v>
      </c>
      <c r="L1230" s="362">
        <v>45922.0</v>
      </c>
      <c r="M1230" s="32" t="s">
        <v>61</v>
      </c>
      <c r="N1230" s="199">
        <v>0.01</v>
      </c>
      <c r="O1230" s="23" t="s">
        <v>66</v>
      </c>
      <c r="P1230" s="57">
        <v>0.0</v>
      </c>
      <c r="Q1230" s="58"/>
      <c r="R1230" s="58" t="s">
        <v>610</v>
      </c>
      <c r="S1230" s="32" t="s">
        <v>194</v>
      </c>
      <c r="T1230" s="22" t="s">
        <v>9701</v>
      </c>
      <c r="U1230" s="33" t="s">
        <v>268</v>
      </c>
      <c r="V1230" s="33"/>
      <c r="W1230" s="33" t="s">
        <v>268</v>
      </c>
      <c r="X1230" s="23" t="s">
        <v>199</v>
      </c>
      <c r="Y1230" s="49" t="str">
        <f t="shared" si="46"/>
        <v>Encerrado</v>
      </c>
      <c r="Z1230" s="32"/>
      <c r="AA1230" s="32" t="s">
        <v>47</v>
      </c>
      <c r="AB1230" s="64"/>
      <c r="AC1230" s="79"/>
      <c r="AD1230" s="54">
        <v>45699.0</v>
      </c>
      <c r="AE1230" s="77">
        <v>4.9075100018154E13</v>
      </c>
      <c r="AF1230" s="79"/>
      <c r="AG1230" s="79"/>
      <c r="AH1230" s="79"/>
      <c r="AI1230" s="79"/>
      <c r="AJ1230" s="79"/>
      <c r="AK1230" s="79"/>
      <c r="AL1230" s="79"/>
      <c r="AM1230" s="79"/>
      <c r="AN1230" s="79"/>
      <c r="AO1230" s="79"/>
      <c r="AP1230" s="79"/>
      <c r="AQ1230" s="79"/>
      <c r="AR1230" s="79"/>
      <c r="AS1230" s="79"/>
      <c r="AT1230" s="79"/>
      <c r="AU1230" s="79"/>
      <c r="AV1230" s="65"/>
      <c r="AW1230" s="65"/>
      <c r="AX1230" s="65"/>
      <c r="AY1230" s="65"/>
      <c r="AZ1230" s="65"/>
      <c r="BA1230" s="65"/>
      <c r="BB1230" s="65"/>
      <c r="BC1230" s="65"/>
      <c r="BD1230" s="65"/>
      <c r="BE1230" s="65"/>
      <c r="BF1230" s="65"/>
      <c r="BG1230" s="65"/>
      <c r="BH1230" s="65">
        <v>1196536.6</v>
      </c>
      <c r="BI1230" s="65">
        <v>1213268.02</v>
      </c>
      <c r="BJ1230" s="65">
        <v>1226864.12</v>
      </c>
      <c r="BK1230" s="65">
        <v>0.0</v>
      </c>
      <c r="BL1230" s="65">
        <v>0.0</v>
      </c>
      <c r="BM1230" s="65">
        <v>0.0</v>
      </c>
      <c r="BN1230" s="65">
        <v>0.0</v>
      </c>
      <c r="BO1230" s="65">
        <v>0.0</v>
      </c>
      <c r="BP1230" s="65">
        <v>0.0</v>
      </c>
      <c r="BQ1230" s="65">
        <v>0.0</v>
      </c>
      <c r="BR1230" s="65">
        <v>0.0</v>
      </c>
      <c r="BS1230" s="65">
        <v>0.0</v>
      </c>
      <c r="BT1230" s="88">
        <v>0.0</v>
      </c>
      <c r="BU1230" s="65">
        <v>0.0</v>
      </c>
      <c r="BV1230" s="65">
        <v>0.0</v>
      </c>
      <c r="BW1230" s="90">
        <v>0.0</v>
      </c>
      <c r="BX1230" s="90">
        <v>0.0</v>
      </c>
      <c r="BY1230" s="90" t="str">
        <f t="array" ref="BY1230">XLOOKUP(C1230,'PL TOTAL D0'!$A$3:$A$1991,'PL TOTAL D0'!$C$3:$C$1991,"")</f>
        <v/>
      </c>
    </row>
    <row r="1231" ht="15.75" customHeight="1">
      <c r="A1231" s="50" t="s">
        <v>24</v>
      </c>
      <c r="B1231" s="50" t="s">
        <v>1557</v>
      </c>
      <c r="C1231" s="94" t="s">
        <v>9702</v>
      </c>
      <c r="D1231" s="30" t="s">
        <v>89</v>
      </c>
      <c r="E1231" s="95" t="s">
        <v>91</v>
      </c>
      <c r="F1231" s="81" t="s">
        <v>193</v>
      </c>
      <c r="G1231" s="47" t="str">
        <f t="shared" si="54"/>
        <v>David</v>
      </c>
      <c r="H1231" s="49" t="s">
        <v>224</v>
      </c>
      <c r="I1231" s="49" t="s">
        <v>66</v>
      </c>
      <c r="J1231" s="47" t="str">
        <f t="shared" si="52"/>
        <v>Não</v>
      </c>
      <c r="K1231" s="97">
        <v>45029.0</v>
      </c>
      <c r="L1231" s="362">
        <v>45764.0</v>
      </c>
      <c r="M1231" s="62" t="s">
        <v>61</v>
      </c>
      <c r="N1231" s="144">
        <v>0.012</v>
      </c>
      <c r="O1231" s="47" t="s">
        <v>66</v>
      </c>
      <c r="P1231" s="99">
        <v>0.0</v>
      </c>
      <c r="Q1231" s="58"/>
      <c r="R1231" s="58" t="s">
        <v>9703</v>
      </c>
      <c r="S1231" s="62" t="s">
        <v>194</v>
      </c>
      <c r="T1231" s="32" t="s">
        <v>1563</v>
      </c>
      <c r="U1231" s="33" t="s">
        <v>268</v>
      </c>
      <c r="V1231" s="33"/>
      <c r="W1231" s="33" t="s">
        <v>268</v>
      </c>
      <c r="X1231" s="23" t="s">
        <v>221</v>
      </c>
      <c r="Y1231" s="49" t="str">
        <f t="shared" si="46"/>
        <v>Encerrado</v>
      </c>
      <c r="Z1231" s="62"/>
      <c r="AA1231" s="62"/>
      <c r="AB1231" s="64" t="s">
        <v>269</v>
      </c>
      <c r="AC1231" s="79"/>
      <c r="AD1231" s="54">
        <v>45029.0</v>
      </c>
      <c r="AE1231" s="77">
        <v>4.9075100009023E13</v>
      </c>
      <c r="AF1231" s="79"/>
      <c r="AG1231" s="79"/>
      <c r="AH1231" s="79"/>
      <c r="AI1231" s="79"/>
      <c r="AJ1231" s="79"/>
      <c r="AK1231" s="65">
        <v>0.0</v>
      </c>
      <c r="AL1231" s="65">
        <v>134455.91</v>
      </c>
      <c r="AM1231" s="65">
        <v>76467.35</v>
      </c>
      <c r="AN1231" s="65">
        <v>82627.98</v>
      </c>
      <c r="AO1231" s="65">
        <v>83258.8</v>
      </c>
      <c r="AP1231" s="65">
        <v>90781.64</v>
      </c>
      <c r="AQ1231" s="65">
        <v>91587.3</v>
      </c>
      <c r="AR1231" s="65">
        <v>92396.3</v>
      </c>
      <c r="AS1231" s="65">
        <v>120183.45</v>
      </c>
      <c r="AT1231" s="65">
        <v>121206.67</v>
      </c>
      <c r="AU1231" s="65">
        <v>122210.89</v>
      </c>
      <c r="AV1231" s="65">
        <v>133178.72</v>
      </c>
      <c r="AW1231" s="65">
        <v>134379.96</v>
      </c>
      <c r="AX1231" s="65">
        <v>135558.38</v>
      </c>
      <c r="AY1231" s="65">
        <v>1160.0</v>
      </c>
      <c r="AZ1231" s="65">
        <v>0.0</v>
      </c>
      <c r="BA1231" s="65">
        <v>0.0</v>
      </c>
      <c r="BB1231" s="65">
        <v>0.0</v>
      </c>
      <c r="BC1231" s="65">
        <v>0.0</v>
      </c>
      <c r="BD1231" s="65">
        <v>0.0</v>
      </c>
      <c r="BE1231" s="65">
        <v>0.0</v>
      </c>
      <c r="BF1231" s="65">
        <v>0.0</v>
      </c>
      <c r="BG1231" s="65">
        <v>0.0</v>
      </c>
      <c r="BH1231" s="65">
        <v>0.0</v>
      </c>
      <c r="BI1231" s="65">
        <v>0.0</v>
      </c>
      <c r="BJ1231" s="65">
        <v>0.0</v>
      </c>
      <c r="BK1231" s="65">
        <v>0.0</v>
      </c>
      <c r="BL1231" s="65">
        <v>0.0</v>
      </c>
      <c r="BM1231" s="65">
        <v>0.0</v>
      </c>
      <c r="BN1231" s="65">
        <v>0.0</v>
      </c>
      <c r="BO1231" s="65">
        <v>0.0</v>
      </c>
      <c r="BP1231" s="65">
        <v>0.0</v>
      </c>
      <c r="BQ1231" s="65">
        <v>0.0</v>
      </c>
      <c r="BR1231" s="65">
        <v>0.0</v>
      </c>
      <c r="BS1231" s="65">
        <v>0.0</v>
      </c>
      <c r="BT1231" s="88">
        <v>0.0</v>
      </c>
      <c r="BU1231" s="65">
        <v>0.0</v>
      </c>
      <c r="BV1231" s="65">
        <v>0.0</v>
      </c>
      <c r="BW1231" s="90">
        <v>0.0</v>
      </c>
      <c r="BX1231" s="90">
        <v>0.0</v>
      </c>
      <c r="BY1231" s="90" t="str">
        <f t="array" ref="BY1231">XLOOKUP(C1231,'PL TOTAL D0'!$A$3:$A$1991,'PL TOTAL D0'!$C$3:$C$1991,"")</f>
        <v/>
      </c>
    </row>
    <row r="1232" ht="15.75" customHeight="1">
      <c r="A1232" s="50" t="s">
        <v>24</v>
      </c>
      <c r="B1232" s="50" t="s">
        <v>9704</v>
      </c>
      <c r="C1232" s="94" t="s">
        <v>9705</v>
      </c>
      <c r="D1232" s="81" t="s">
        <v>255</v>
      </c>
      <c r="E1232" s="95" t="s">
        <v>199</v>
      </c>
      <c r="F1232" s="81" t="s">
        <v>257</v>
      </c>
      <c r="G1232" s="47" t="str">
        <f t="shared" si="54"/>
        <v>David</v>
      </c>
      <c r="H1232" s="49" t="s">
        <v>224</v>
      </c>
      <c r="I1232" s="74" t="s">
        <v>66</v>
      </c>
      <c r="J1232" s="47" t="str">
        <f t="shared" si="52"/>
        <v>Não</v>
      </c>
      <c r="K1232" s="97">
        <v>45145.0</v>
      </c>
      <c r="L1232" s="362">
        <v>45341.0</v>
      </c>
      <c r="M1232" s="62" t="s">
        <v>34</v>
      </c>
      <c r="N1232" s="144">
        <v>0.012</v>
      </c>
      <c r="O1232" s="62" t="s">
        <v>35</v>
      </c>
      <c r="P1232" s="520">
        <v>0.1</v>
      </c>
      <c r="Q1232" s="58"/>
      <c r="R1232" s="70"/>
      <c r="S1232" s="62" t="s">
        <v>194</v>
      </c>
      <c r="T1232" s="32" t="s">
        <v>9706</v>
      </c>
      <c r="U1232" s="33" t="s">
        <v>268</v>
      </c>
      <c r="V1232" s="33"/>
      <c r="W1232" s="33" t="s">
        <v>268</v>
      </c>
      <c r="X1232" s="23" t="s">
        <v>199</v>
      </c>
      <c r="Y1232" s="49" t="str">
        <f t="shared" si="46"/>
        <v>Encerrado</v>
      </c>
      <c r="Z1232" s="62"/>
      <c r="AA1232" s="62"/>
      <c r="AB1232" s="64"/>
      <c r="AC1232" s="79"/>
      <c r="AD1232" s="54">
        <v>45145.0</v>
      </c>
      <c r="AE1232" s="77"/>
      <c r="AF1232" s="79"/>
      <c r="AG1232" s="79"/>
      <c r="AH1232" s="79"/>
      <c r="AI1232" s="79"/>
      <c r="AJ1232" s="79"/>
      <c r="AK1232" s="79"/>
      <c r="AL1232" s="79"/>
      <c r="AM1232" s="79"/>
      <c r="AN1232" s="79"/>
      <c r="AO1232" s="79"/>
      <c r="AP1232" s="65">
        <v>847092.01</v>
      </c>
      <c r="AQ1232" s="65">
        <v>1054776.97</v>
      </c>
      <c r="AR1232" s="65">
        <v>1054650.81</v>
      </c>
      <c r="AS1232" s="65">
        <v>1072685.68</v>
      </c>
      <c r="AT1232" s="65">
        <v>1099271.98</v>
      </c>
      <c r="AU1232" s="65">
        <v>1098794.75</v>
      </c>
      <c r="AV1232" s="65">
        <v>0.0</v>
      </c>
      <c r="AW1232" s="65">
        <v>0.0</v>
      </c>
      <c r="AX1232" s="65">
        <v>0.0</v>
      </c>
      <c r="AY1232" s="65">
        <v>0.0</v>
      </c>
      <c r="AZ1232" s="65">
        <v>0.0</v>
      </c>
      <c r="BA1232" s="65">
        <v>0.0</v>
      </c>
      <c r="BB1232" s="65">
        <v>0.0</v>
      </c>
      <c r="BC1232" s="65">
        <v>0.0</v>
      </c>
      <c r="BD1232" s="65">
        <v>0.0</v>
      </c>
      <c r="BE1232" s="65">
        <v>0.0</v>
      </c>
      <c r="BF1232" s="65">
        <v>0.0</v>
      </c>
      <c r="BG1232" s="65">
        <v>0.0</v>
      </c>
      <c r="BH1232" s="65">
        <v>0.0</v>
      </c>
      <c r="BI1232" s="65">
        <v>0.0</v>
      </c>
      <c r="BJ1232" s="65">
        <v>0.0</v>
      </c>
      <c r="BK1232" s="65">
        <v>0.0</v>
      </c>
      <c r="BL1232" s="65">
        <v>0.0</v>
      </c>
      <c r="BM1232" s="65">
        <v>0.0</v>
      </c>
      <c r="BN1232" s="65">
        <v>0.0</v>
      </c>
      <c r="BO1232" s="65">
        <v>0.0</v>
      </c>
      <c r="BP1232" s="65">
        <v>0.0</v>
      </c>
      <c r="BQ1232" s="65">
        <v>0.0</v>
      </c>
      <c r="BR1232" s="65">
        <v>0.0</v>
      </c>
      <c r="BS1232" s="65">
        <v>0.0</v>
      </c>
      <c r="BT1232" s="88">
        <v>0.0</v>
      </c>
      <c r="BU1232" s="65">
        <v>0.0</v>
      </c>
      <c r="BV1232" s="65">
        <v>0.0</v>
      </c>
      <c r="BW1232" s="90">
        <v>0.0</v>
      </c>
      <c r="BX1232" s="90">
        <v>0.0</v>
      </c>
      <c r="BY1232" s="90" t="str">
        <f t="array" ref="BY1232">XLOOKUP(C1232,'PL TOTAL D0'!$A$3:$A$1991,'PL TOTAL D0'!$C$3:$C$1991,"")</f>
        <v/>
      </c>
    </row>
    <row r="1233" ht="15.75" customHeight="1">
      <c r="A1233" s="50" t="s">
        <v>24</v>
      </c>
      <c r="B1233" s="191" t="s">
        <v>9704</v>
      </c>
      <c r="C1233" s="94" t="s">
        <v>9707</v>
      </c>
      <c r="D1233" s="81" t="s">
        <v>255</v>
      </c>
      <c r="E1233" s="95" t="s">
        <v>199</v>
      </c>
      <c r="F1233" s="81" t="s">
        <v>257</v>
      </c>
      <c r="G1233" s="47" t="str">
        <f t="shared" si="54"/>
        <v>David</v>
      </c>
      <c r="H1233" s="74" t="s">
        <v>295</v>
      </c>
      <c r="I1233" s="74" t="s">
        <v>382</v>
      </c>
      <c r="J1233" s="47" t="str">
        <f t="shared" si="52"/>
        <v>Não</v>
      </c>
      <c r="K1233" s="97">
        <v>45187.0</v>
      </c>
      <c r="L1233" s="47"/>
      <c r="M1233" s="62" t="s">
        <v>774</v>
      </c>
      <c r="N1233" s="144">
        <v>0.014</v>
      </c>
      <c r="O1233" s="62" t="s">
        <v>35</v>
      </c>
      <c r="P1233" s="520">
        <v>0.1</v>
      </c>
      <c r="Q1233" s="58"/>
      <c r="R1233" s="70"/>
      <c r="S1233" s="62" t="s">
        <v>194</v>
      </c>
      <c r="T1233" s="32" t="s">
        <v>9706</v>
      </c>
      <c r="U1233" s="33">
        <v>5.561999798654E12</v>
      </c>
      <c r="V1233" s="33" t="s">
        <v>9708</v>
      </c>
      <c r="W1233" s="34">
        <v>25612.0</v>
      </c>
      <c r="X1233" s="23" t="s">
        <v>199</v>
      </c>
      <c r="Y1233" s="49" t="str">
        <f t="shared" si="46"/>
        <v>Inativo</v>
      </c>
      <c r="Z1233" s="62"/>
      <c r="AA1233" s="62"/>
      <c r="AB1233" s="64" t="s">
        <v>269</v>
      </c>
      <c r="AC1233" s="79"/>
      <c r="AD1233" s="54">
        <v>45187.0</v>
      </c>
      <c r="AE1233" s="77">
        <v>4.9075100012083E13</v>
      </c>
      <c r="AF1233" s="79"/>
      <c r="AG1233" s="79"/>
      <c r="AH1233" s="79"/>
      <c r="AI1233" s="79"/>
      <c r="AJ1233" s="79"/>
      <c r="AK1233" s="79"/>
      <c r="AL1233" s="79"/>
      <c r="AM1233" s="79"/>
      <c r="AN1233" s="79"/>
      <c r="AO1233" s="79"/>
      <c r="AP1233" s="79"/>
      <c r="AQ1233" s="65">
        <v>0.0</v>
      </c>
      <c r="AR1233" s="65">
        <v>0.0</v>
      </c>
      <c r="AS1233" s="65">
        <v>0.0</v>
      </c>
      <c r="AT1233" s="65">
        <v>0.0</v>
      </c>
      <c r="AU1233" s="65">
        <v>0.0</v>
      </c>
      <c r="AV1233" s="65">
        <v>0.0</v>
      </c>
      <c r="AW1233" s="65">
        <v>0.0</v>
      </c>
      <c r="AX1233" s="65">
        <v>0.0</v>
      </c>
      <c r="AY1233" s="65">
        <v>0.0</v>
      </c>
      <c r="AZ1233" s="65">
        <v>0.0</v>
      </c>
      <c r="BA1233" s="65">
        <v>0.0</v>
      </c>
      <c r="BB1233" s="65">
        <v>0.0</v>
      </c>
      <c r="BC1233" s="65">
        <v>0.0</v>
      </c>
      <c r="BD1233" s="65">
        <v>0.0</v>
      </c>
      <c r="BE1233" s="65">
        <v>0.0</v>
      </c>
      <c r="BF1233" s="65">
        <v>0.0</v>
      </c>
      <c r="BG1233" s="65">
        <v>0.0</v>
      </c>
      <c r="BH1233" s="65">
        <v>0.0</v>
      </c>
      <c r="BI1233" s="65">
        <v>0.0</v>
      </c>
      <c r="BJ1233" s="65">
        <v>0.0</v>
      </c>
      <c r="BK1233" s="65">
        <v>0.0</v>
      </c>
      <c r="BL1233" s="65">
        <v>0.0</v>
      </c>
      <c r="BM1233" s="65">
        <v>0.0</v>
      </c>
      <c r="BN1233" s="65">
        <v>0.0</v>
      </c>
      <c r="BO1233" s="65">
        <v>0.0</v>
      </c>
      <c r="BP1233" s="65">
        <v>0.0</v>
      </c>
      <c r="BQ1233" s="65">
        <v>0.0</v>
      </c>
      <c r="BR1233" s="65">
        <v>0.0</v>
      </c>
      <c r="BS1233" s="65">
        <v>0.0</v>
      </c>
      <c r="BT1233" s="88">
        <v>0.0</v>
      </c>
      <c r="BU1233" s="65">
        <v>0.0</v>
      </c>
      <c r="BV1233" s="65">
        <v>0.0</v>
      </c>
      <c r="BW1233" s="90">
        <v>0.0</v>
      </c>
      <c r="BX1233" s="90">
        <v>0.0</v>
      </c>
      <c r="BY1233" s="90" t="str">
        <f t="array" ref="BY1233">XLOOKUP(C1233,'PL TOTAL D0'!$A$3:$A$1991,'PL TOTAL D0'!$C$3:$C$1991,"")</f>
        <v/>
      </c>
    </row>
    <row r="1234" ht="15.75" customHeight="1">
      <c r="A1234" s="43" t="s">
        <v>24</v>
      </c>
      <c r="B1234" s="43" t="s">
        <v>9709</v>
      </c>
      <c r="C1234" s="94" t="s">
        <v>3247</v>
      </c>
      <c r="D1234" s="30" t="s">
        <v>120</v>
      </c>
      <c r="E1234" s="22" t="s">
        <v>54</v>
      </c>
      <c r="F1234" s="95" t="s">
        <v>125</v>
      </c>
      <c r="G1234" s="47" t="str">
        <f t="shared" si="54"/>
        <v>David</v>
      </c>
      <c r="H1234" s="49" t="s">
        <v>183</v>
      </c>
      <c r="I1234" s="49" t="s">
        <v>66</v>
      </c>
      <c r="J1234" s="47" t="str">
        <f t="shared" si="52"/>
        <v>Não</v>
      </c>
      <c r="K1234" s="54">
        <v>45282.0</v>
      </c>
      <c r="L1234" s="47"/>
      <c r="M1234" s="27" t="s">
        <v>557</v>
      </c>
      <c r="N1234" s="29">
        <v>0.007</v>
      </c>
      <c r="O1234" s="30" t="s">
        <v>66</v>
      </c>
      <c r="P1234" s="31">
        <v>0.0</v>
      </c>
      <c r="Q1234" s="58"/>
      <c r="R1234" s="190"/>
      <c r="S1234" s="32" t="s">
        <v>194</v>
      </c>
      <c r="T1234" s="32" t="s">
        <v>9710</v>
      </c>
      <c r="U1234" s="33">
        <v>5.56298414086E12</v>
      </c>
      <c r="V1234" s="33" t="s">
        <v>9711</v>
      </c>
      <c r="W1234" s="48">
        <v>24764.0</v>
      </c>
      <c r="X1234" s="23" t="s">
        <v>54</v>
      </c>
      <c r="Y1234" s="49" t="str">
        <f t="shared" si="46"/>
        <v>Ativo</v>
      </c>
      <c r="Z1234" s="62"/>
      <c r="AA1234" s="62"/>
      <c r="AB1234" s="64" t="s">
        <v>269</v>
      </c>
      <c r="AC1234" s="79"/>
      <c r="AD1234" s="54">
        <v>45282.0</v>
      </c>
      <c r="AE1234" s="77">
        <v>4.9075100013071E13</v>
      </c>
      <c r="AF1234" s="79"/>
      <c r="AG1234" s="79"/>
      <c r="AH1234" s="79"/>
      <c r="AI1234" s="79"/>
      <c r="AJ1234" s="79"/>
      <c r="AK1234" s="79"/>
      <c r="AL1234" s="79"/>
      <c r="AM1234" s="79"/>
      <c r="AN1234" s="79"/>
      <c r="AO1234" s="79"/>
      <c r="AP1234" s="79"/>
      <c r="AQ1234" s="79"/>
      <c r="AR1234" s="79"/>
      <c r="AS1234" s="79"/>
      <c r="AT1234" s="65">
        <v>100024.17</v>
      </c>
      <c r="AU1234" s="65">
        <v>101072.51</v>
      </c>
      <c r="AV1234" s="65">
        <v>101920.12</v>
      </c>
      <c r="AW1234" s="65">
        <v>102856.91</v>
      </c>
      <c r="AX1234" s="65">
        <v>103752.78</v>
      </c>
      <c r="AY1234" s="65">
        <v>104522.4</v>
      </c>
      <c r="AZ1234" s="65">
        <v>105388.7</v>
      </c>
      <c r="BA1234" s="65">
        <v>106321.1</v>
      </c>
      <c r="BB1234" s="65">
        <v>107321.01</v>
      </c>
      <c r="BC1234" s="65">
        <v>108175.63</v>
      </c>
      <c r="BD1234" s="65">
        <v>109116.42</v>
      </c>
      <c r="BE1234" s="65">
        <v>109901.94</v>
      </c>
      <c r="BF1234" s="65">
        <v>110596.11</v>
      </c>
      <c r="BG1234" s="65">
        <v>111724.59</v>
      </c>
      <c r="BH1234" s="65">
        <v>112819.89</v>
      </c>
      <c r="BI1234" s="65">
        <v>113951.92</v>
      </c>
      <c r="BJ1234" s="65">
        <v>115072.66</v>
      </c>
      <c r="BK1234" s="65">
        <v>116415.33</v>
      </c>
      <c r="BL1234" s="65">
        <v>117671.74</v>
      </c>
      <c r="BM1234" s="65">
        <v>119167.41</v>
      </c>
      <c r="BN1234" s="65">
        <v>120667.0</v>
      </c>
      <c r="BO1234" s="65">
        <v>122054.05</v>
      </c>
      <c r="BP1234" s="65">
        <v>123479.3</v>
      </c>
      <c r="BQ1234" s="65">
        <v>124700.6</v>
      </c>
      <c r="BR1234" s="65">
        <v>126109.4</v>
      </c>
      <c r="BS1234" s="65">
        <v>127564.16</v>
      </c>
      <c r="BT1234" s="88">
        <v>128657.4</v>
      </c>
      <c r="BU1234" s="65">
        <v>129849.4</v>
      </c>
      <c r="BV1234" s="65">
        <v>131153.7</v>
      </c>
      <c r="BW1234" s="90">
        <v>132646.5</v>
      </c>
      <c r="BX1234" s="90">
        <v>134004.55</v>
      </c>
      <c r="BY1234" s="90">
        <f t="array" ref="BY1234">XLOOKUP(C1234,'PL TOTAL D0'!$A$3:$A$1991,'PL TOTAL D0'!$C$3:$C$1991,"")</f>
        <v>135620.67</v>
      </c>
    </row>
    <row r="1235" ht="15.75" customHeight="1">
      <c r="A1235" s="50" t="s">
        <v>24</v>
      </c>
      <c r="B1235" s="50" t="s">
        <v>9709</v>
      </c>
      <c r="C1235" s="94" t="s">
        <v>2514</v>
      </c>
      <c r="D1235" s="81" t="s">
        <v>120</v>
      </c>
      <c r="E1235" s="95" t="s">
        <v>54</v>
      </c>
      <c r="F1235" s="95" t="s">
        <v>125</v>
      </c>
      <c r="G1235" s="47" t="str">
        <f t="shared" si="54"/>
        <v>Marcus</v>
      </c>
      <c r="H1235" s="74" t="s">
        <v>183</v>
      </c>
      <c r="I1235" s="74" t="s">
        <v>66</v>
      </c>
      <c r="J1235" s="47" t="str">
        <f t="shared" si="52"/>
        <v>Não</v>
      </c>
      <c r="K1235" s="97">
        <v>45127.0</v>
      </c>
      <c r="L1235" s="47"/>
      <c r="M1235" s="62" t="s">
        <v>61</v>
      </c>
      <c r="N1235" s="144">
        <v>0.012</v>
      </c>
      <c r="O1235" s="47" t="s">
        <v>66</v>
      </c>
      <c r="P1235" s="99">
        <v>0.0</v>
      </c>
      <c r="Q1235" s="58"/>
      <c r="R1235" s="190"/>
      <c r="S1235" s="62" t="s">
        <v>194</v>
      </c>
      <c r="T1235" s="32" t="s">
        <v>9710</v>
      </c>
      <c r="U1235" s="33">
        <v>5.56298414086E12</v>
      </c>
      <c r="V1235" s="33" t="s">
        <v>9711</v>
      </c>
      <c r="W1235" s="48">
        <v>24764.0</v>
      </c>
      <c r="X1235" s="23" t="s">
        <v>54</v>
      </c>
      <c r="Y1235" s="49" t="str">
        <f t="shared" si="46"/>
        <v>Ativo</v>
      </c>
      <c r="Z1235" s="62"/>
      <c r="AA1235" s="62"/>
      <c r="AB1235" s="64" t="s">
        <v>269</v>
      </c>
      <c r="AC1235" s="79"/>
      <c r="AD1235" s="54">
        <v>45127.0</v>
      </c>
      <c r="AE1235" s="77">
        <v>4.9075100008205E13</v>
      </c>
      <c r="AF1235" s="79"/>
      <c r="AG1235" s="79"/>
      <c r="AH1235" s="79"/>
      <c r="AI1235" s="79"/>
      <c r="AJ1235" s="79"/>
      <c r="AK1235" s="79"/>
      <c r="AL1235" s="79"/>
      <c r="AM1235" s="79"/>
      <c r="AN1235" s="65">
        <v>0.0</v>
      </c>
      <c r="AO1235" s="65">
        <v>1875447.01</v>
      </c>
      <c r="AP1235" s="65">
        <v>1896446.3</v>
      </c>
      <c r="AQ1235" s="65">
        <v>1503271.83</v>
      </c>
      <c r="AR1235" s="65">
        <v>1516384.23</v>
      </c>
      <c r="AS1235" s="65">
        <v>1527561.79</v>
      </c>
      <c r="AT1235" s="65">
        <v>1800247.93</v>
      </c>
      <c r="AU1235" s="65">
        <v>1809687.32</v>
      </c>
      <c r="AV1235" s="65">
        <v>1813405.43</v>
      </c>
      <c r="AW1235" s="65">
        <v>1823412.12</v>
      </c>
      <c r="AX1235" s="65">
        <v>1826537.8</v>
      </c>
      <c r="AY1235" s="65">
        <v>1833408.0</v>
      </c>
      <c r="AZ1235" s="65">
        <v>2138816.0</v>
      </c>
      <c r="BA1235" s="65">
        <v>2099112.0</v>
      </c>
      <c r="BB1235" s="65">
        <v>2112064.41</v>
      </c>
      <c r="BC1235" s="65">
        <v>1822305.67</v>
      </c>
      <c r="BD1235" s="65">
        <v>1838239.96</v>
      </c>
      <c r="BE1235" s="65">
        <v>1843723.26</v>
      </c>
      <c r="BF1235" s="65">
        <v>2258389.13</v>
      </c>
      <c r="BG1235" s="65">
        <v>2272607.05</v>
      </c>
      <c r="BH1235" s="65">
        <v>2285725.49</v>
      </c>
      <c r="BI1235" s="65">
        <v>2300836.0</v>
      </c>
      <c r="BJ1235" s="65">
        <v>2566091.69</v>
      </c>
      <c r="BK1235" s="65">
        <v>2577369.99</v>
      </c>
      <c r="BL1235" s="65">
        <v>2924637.55</v>
      </c>
      <c r="BM1235" s="65">
        <v>2944296.64</v>
      </c>
      <c r="BN1235" s="65">
        <v>2963209.0</v>
      </c>
      <c r="BO1235" s="65">
        <v>2969767.94</v>
      </c>
      <c r="BP1235" s="65">
        <v>2976330.0</v>
      </c>
      <c r="BQ1235" s="65">
        <v>2943045.0</v>
      </c>
      <c r="BR1235" s="65">
        <v>3340040.0</v>
      </c>
      <c r="BS1235" s="65">
        <v>3351185.13</v>
      </c>
      <c r="BT1235" s="88">
        <v>3212774.0</v>
      </c>
      <c r="BU1235" s="65">
        <v>3227958.0</v>
      </c>
      <c r="BV1235" s="65">
        <v>3231357.0</v>
      </c>
      <c r="BW1235" s="90">
        <v>3233411.0</v>
      </c>
      <c r="BX1235" s="90">
        <v>3629008.48</v>
      </c>
      <c r="BY1235" s="90">
        <f t="array" ref="BY1235">XLOOKUP(C1235,'PL TOTAL D0'!$A$3:$A$1991,'PL TOTAL D0'!$C$3:$C$1991,"")</f>
        <v>3632469.07</v>
      </c>
    </row>
    <row r="1236" ht="15.75" customHeight="1">
      <c r="A1236" s="50" t="s">
        <v>24</v>
      </c>
      <c r="B1236" s="50" t="s">
        <v>9712</v>
      </c>
      <c r="C1236" s="94" t="s">
        <v>9713</v>
      </c>
      <c r="D1236" s="81" t="s">
        <v>120</v>
      </c>
      <c r="E1236" s="95" t="s">
        <v>54</v>
      </c>
      <c r="F1236" s="95" t="s">
        <v>125</v>
      </c>
      <c r="G1236" s="47" t="str">
        <f t="shared" si="54"/>
        <v>David</v>
      </c>
      <c r="H1236" s="49" t="s">
        <v>183</v>
      </c>
      <c r="I1236" s="49" t="s">
        <v>382</v>
      </c>
      <c r="J1236" s="47" t="str">
        <f t="shared" si="52"/>
        <v>Não</v>
      </c>
      <c r="K1236" s="97">
        <v>45246.0</v>
      </c>
      <c r="L1236" s="47"/>
      <c r="M1236" s="32" t="s">
        <v>61</v>
      </c>
      <c r="N1236" s="199">
        <v>0.012</v>
      </c>
      <c r="O1236" s="23" t="s">
        <v>66</v>
      </c>
      <c r="P1236" s="57">
        <v>0.0</v>
      </c>
      <c r="Q1236" s="58"/>
      <c r="R1236" s="167" t="s">
        <v>9714</v>
      </c>
      <c r="S1236" s="62" t="s">
        <v>194</v>
      </c>
      <c r="T1236" s="32" t="s">
        <v>1863</v>
      </c>
      <c r="U1236" s="33">
        <v>5.5629962616E12</v>
      </c>
      <c r="V1236" s="33" t="s">
        <v>9715</v>
      </c>
      <c r="W1236" s="34">
        <v>22762.0</v>
      </c>
      <c r="X1236" s="23" t="s">
        <v>54</v>
      </c>
      <c r="Y1236" s="49" t="str">
        <f t="shared" si="46"/>
        <v>Ativo</v>
      </c>
      <c r="Z1236" s="62"/>
      <c r="AA1236" s="32" t="s">
        <v>107</v>
      </c>
      <c r="AB1236" s="64" t="s">
        <v>269</v>
      </c>
      <c r="AC1236" s="79"/>
      <c r="AD1236" s="54">
        <v>45246.0</v>
      </c>
      <c r="AE1236" s="77">
        <v>4.9075100012857E13</v>
      </c>
      <c r="AF1236" s="79"/>
      <c r="AG1236" s="79"/>
      <c r="AH1236" s="79"/>
      <c r="AI1236" s="79"/>
      <c r="AJ1236" s="79"/>
      <c r="AK1236" s="79"/>
      <c r="AL1236" s="79"/>
      <c r="AM1236" s="79"/>
      <c r="AN1236" s="79"/>
      <c r="AO1236" s="79"/>
      <c r="AP1236" s="79"/>
      <c r="AQ1236" s="79"/>
      <c r="AR1236" s="79"/>
      <c r="AS1236" s="65">
        <v>0.0</v>
      </c>
      <c r="AT1236" s="65">
        <v>191604.91</v>
      </c>
      <c r="AU1236" s="65">
        <v>231090.55</v>
      </c>
      <c r="AV1236" s="65">
        <v>322944.63</v>
      </c>
      <c r="AW1236" s="65">
        <v>325691.07</v>
      </c>
      <c r="AX1236" s="65">
        <v>324436.52</v>
      </c>
      <c r="AY1236" s="65">
        <v>323185.2</v>
      </c>
      <c r="AZ1236" s="65">
        <v>325243.3</v>
      </c>
      <c r="BA1236" s="65">
        <v>241760.4</v>
      </c>
      <c r="BB1236" s="65">
        <v>244551.64</v>
      </c>
      <c r="BC1236" s="65">
        <v>244230.5</v>
      </c>
      <c r="BD1236" s="65">
        <v>242705.17</v>
      </c>
      <c r="BE1236" s="65">
        <v>240953.4</v>
      </c>
      <c r="BF1236" s="65">
        <v>241039.16</v>
      </c>
      <c r="BG1236" s="65">
        <v>244528.07</v>
      </c>
      <c r="BH1236" s="65">
        <v>247022.38</v>
      </c>
      <c r="BI1236" s="65">
        <v>249061.55</v>
      </c>
      <c r="BJ1236" s="65">
        <v>251803.25</v>
      </c>
      <c r="BK1236" s="65">
        <v>213417.81</v>
      </c>
      <c r="BL1236" s="65">
        <v>215441.72</v>
      </c>
      <c r="BM1236" s="65">
        <v>217816.87</v>
      </c>
      <c r="BN1236" s="65">
        <v>219934.2</v>
      </c>
      <c r="BO1236" s="65">
        <v>221899.54</v>
      </c>
      <c r="BP1236" s="65">
        <v>224518.0</v>
      </c>
      <c r="BQ1236" s="65">
        <v>226338.8</v>
      </c>
      <c r="BR1236" s="65">
        <v>226248.0</v>
      </c>
      <c r="BS1236" s="65">
        <v>228305.89</v>
      </c>
      <c r="BT1236" s="88">
        <v>230329.9</v>
      </c>
      <c r="BU1236" s="65">
        <v>232110.0</v>
      </c>
      <c r="BV1236" s="65">
        <v>234814.9</v>
      </c>
      <c r="BW1236" s="90">
        <v>154671.4</v>
      </c>
      <c r="BX1236" s="90">
        <v>156285.51</v>
      </c>
      <c r="BY1236" s="90" t="str">
        <f t="array" ref="BY1236">XLOOKUP(C1236,'PL TOTAL D0'!$A$3:$A$1991,'PL TOTAL D0'!$C$3:$C$1991,"")</f>
        <v/>
      </c>
    </row>
    <row r="1237" ht="15.75" customHeight="1">
      <c r="A1237" s="50" t="s">
        <v>24</v>
      </c>
      <c r="B1237" s="50" t="s">
        <v>9716</v>
      </c>
      <c r="C1237" s="94" t="s">
        <v>3029</v>
      </c>
      <c r="D1237" s="30" t="s">
        <v>89</v>
      </c>
      <c r="E1237" s="95" t="s">
        <v>91</v>
      </c>
      <c r="F1237" s="95" t="s">
        <v>521</v>
      </c>
      <c r="G1237" s="47" t="str">
        <f t="shared" si="54"/>
        <v>Gabriel</v>
      </c>
      <c r="H1237" s="74" t="s">
        <v>183</v>
      </c>
      <c r="I1237" s="74" t="s">
        <v>66</v>
      </c>
      <c r="J1237" s="47" t="str">
        <f t="shared" si="52"/>
        <v>Não</v>
      </c>
      <c r="K1237" s="97">
        <v>45163.0</v>
      </c>
      <c r="L1237" s="97"/>
      <c r="M1237" s="62" t="s">
        <v>4824</v>
      </c>
      <c r="N1237" s="144">
        <v>0.007</v>
      </c>
      <c r="O1237" s="62" t="s">
        <v>66</v>
      </c>
      <c r="P1237" s="520">
        <v>0.0</v>
      </c>
      <c r="Q1237" s="58"/>
      <c r="R1237" s="70"/>
      <c r="S1237" s="62" t="s">
        <v>194</v>
      </c>
      <c r="T1237" s="32" t="s">
        <v>9717</v>
      </c>
      <c r="U1237" s="33">
        <v>5.54399115901E12</v>
      </c>
      <c r="V1237" s="33" t="s">
        <v>2052</v>
      </c>
      <c r="W1237" s="34">
        <v>19671.0</v>
      </c>
      <c r="X1237" s="23" t="s">
        <v>618</v>
      </c>
      <c r="Y1237" s="49" t="str">
        <f t="shared" si="46"/>
        <v>Ativo</v>
      </c>
      <c r="Z1237" s="62"/>
      <c r="AA1237" s="62"/>
      <c r="AB1237" s="64" t="s">
        <v>269</v>
      </c>
      <c r="AC1237" s="79"/>
      <c r="AD1237" s="54">
        <v>45163.0</v>
      </c>
      <c r="AE1237" s="77">
        <v>4.9075100006301E13</v>
      </c>
      <c r="AF1237" s="79"/>
      <c r="AG1237" s="79"/>
      <c r="AH1237" s="79"/>
      <c r="AI1237" s="79"/>
      <c r="AJ1237" s="79"/>
      <c r="AK1237" s="79"/>
      <c r="AL1237" s="79"/>
      <c r="AM1237" s="79"/>
      <c r="AN1237" s="65">
        <v>0.0</v>
      </c>
      <c r="AO1237" s="65">
        <v>0.0</v>
      </c>
      <c r="AP1237" s="65">
        <v>232512.44</v>
      </c>
      <c r="AQ1237" s="65">
        <v>234923.98</v>
      </c>
      <c r="AR1237" s="65">
        <v>237389.47</v>
      </c>
      <c r="AS1237" s="65">
        <v>239009.45</v>
      </c>
      <c r="AT1237" s="65">
        <v>241044.65</v>
      </c>
      <c r="AU1237" s="65">
        <v>243169.14</v>
      </c>
      <c r="AV1237" s="65">
        <v>244996.03</v>
      </c>
      <c r="AW1237" s="65">
        <v>247051.88</v>
      </c>
      <c r="AX1237" s="65">
        <v>249136.81</v>
      </c>
      <c r="AY1237" s="65">
        <v>251061.3</v>
      </c>
      <c r="AZ1237" s="65">
        <v>252946.6</v>
      </c>
      <c r="BA1237" s="65">
        <v>255031.7</v>
      </c>
      <c r="BB1237" s="65">
        <v>257235.34</v>
      </c>
      <c r="BC1237" s="65">
        <v>259220.2</v>
      </c>
      <c r="BD1237" s="65">
        <v>261508.16</v>
      </c>
      <c r="BE1237" s="65">
        <v>263608.71</v>
      </c>
      <c r="BF1237" s="65">
        <v>265958.64</v>
      </c>
      <c r="BG1237" s="65">
        <v>268740.26</v>
      </c>
      <c r="BH1237" s="65">
        <v>271272.34</v>
      </c>
      <c r="BI1237" s="65">
        <v>273866.84</v>
      </c>
      <c r="BJ1237" s="65">
        <v>276893.43</v>
      </c>
      <c r="BK1237" s="65">
        <v>280065.72</v>
      </c>
      <c r="BL1237" s="65">
        <v>282996.7</v>
      </c>
      <c r="BM1237" s="65">
        <v>286383.54</v>
      </c>
      <c r="BN1237" s="65">
        <v>289872.6</v>
      </c>
      <c r="BO1237" s="65">
        <v>292930.52</v>
      </c>
      <c r="BP1237" s="65">
        <v>296504.1</v>
      </c>
      <c r="BQ1237" s="65">
        <v>299603.9</v>
      </c>
      <c r="BR1237" s="65">
        <v>303289.8</v>
      </c>
      <c r="BS1237" s="65">
        <v>306476.69</v>
      </c>
      <c r="BT1237" s="88">
        <v>309379.7</v>
      </c>
      <c r="BU1237" s="65">
        <v>312875.3</v>
      </c>
      <c r="BV1237" s="65">
        <v>316266.8</v>
      </c>
      <c r="BW1237" s="90">
        <v>319484.3</v>
      </c>
      <c r="BX1237" s="90">
        <v>322723.64</v>
      </c>
      <c r="BY1237" s="90">
        <f t="array" ref="BY1237">XLOOKUP(C1237,'PL TOTAL D0'!$A$3:$A$1991,'PL TOTAL D0'!$C$3:$C$1991,"")</f>
        <v>326463.5</v>
      </c>
    </row>
    <row r="1238" ht="15.75" customHeight="1">
      <c r="A1238" s="50" t="s">
        <v>24</v>
      </c>
      <c r="B1238" s="249" t="s">
        <v>9718</v>
      </c>
      <c r="C1238" s="94" t="s">
        <v>3353</v>
      </c>
      <c r="D1238" s="30" t="s">
        <v>89</v>
      </c>
      <c r="E1238" s="95" t="s">
        <v>91</v>
      </c>
      <c r="F1238" s="81" t="s">
        <v>193</v>
      </c>
      <c r="G1238" s="47" t="str">
        <f t="shared" si="54"/>
        <v>David</v>
      </c>
      <c r="H1238" s="74" t="s">
        <v>183</v>
      </c>
      <c r="I1238" s="74" t="s">
        <v>66</v>
      </c>
      <c r="J1238" s="47" t="str">
        <f t="shared" si="52"/>
        <v>Sim</v>
      </c>
      <c r="K1238" s="97">
        <v>45190.0</v>
      </c>
      <c r="L1238" s="97"/>
      <c r="M1238" s="62" t="s">
        <v>61</v>
      </c>
      <c r="N1238" s="144">
        <v>0.012</v>
      </c>
      <c r="O1238" s="62" t="s">
        <v>66</v>
      </c>
      <c r="P1238" s="520">
        <v>0.0</v>
      </c>
      <c r="Q1238" s="58" t="s">
        <v>9719</v>
      </c>
      <c r="R1238" s="70"/>
      <c r="S1238" s="62" t="s">
        <v>194</v>
      </c>
      <c r="T1238" s="32" t="s">
        <v>9720</v>
      </c>
      <c r="U1238" s="33">
        <v>5.543999059999E12</v>
      </c>
      <c r="V1238" s="33" t="s">
        <v>3879</v>
      </c>
      <c r="W1238" s="34">
        <v>18486.0</v>
      </c>
      <c r="X1238" s="23" t="s">
        <v>475</v>
      </c>
      <c r="Y1238" s="49" t="str">
        <f t="shared" si="46"/>
        <v>Ativo</v>
      </c>
      <c r="Z1238" s="62"/>
      <c r="AA1238" s="62"/>
      <c r="AB1238" s="64" t="s">
        <v>269</v>
      </c>
      <c r="AC1238" s="79"/>
      <c r="AD1238" s="54">
        <v>45190.0</v>
      </c>
      <c r="AE1238" s="77">
        <v>4.9075100012091E13</v>
      </c>
      <c r="AF1238" s="79"/>
      <c r="AG1238" s="79"/>
      <c r="AH1238" s="79"/>
      <c r="AI1238" s="79"/>
      <c r="AJ1238" s="79"/>
      <c r="AK1238" s="79"/>
      <c r="AL1238" s="79"/>
      <c r="AM1238" s="79"/>
      <c r="AN1238" s="79"/>
      <c r="AO1238" s="79"/>
      <c r="AP1238" s="79"/>
      <c r="AQ1238" s="65">
        <v>50021.25</v>
      </c>
      <c r="AR1238" s="65">
        <v>450886.23</v>
      </c>
      <c r="AS1238" s="65">
        <v>454556.5</v>
      </c>
      <c r="AT1238" s="65">
        <v>456141.06</v>
      </c>
      <c r="AU1238" s="65">
        <v>459171.94</v>
      </c>
      <c r="AV1238" s="65">
        <v>445108.27</v>
      </c>
      <c r="AW1238" s="65">
        <v>438530.77</v>
      </c>
      <c r="AX1238" s="65">
        <v>433722.6</v>
      </c>
      <c r="AY1238" s="65">
        <v>411920.8</v>
      </c>
      <c r="AZ1238" s="65">
        <v>403187.2</v>
      </c>
      <c r="BA1238" s="65">
        <v>388234.7</v>
      </c>
      <c r="BB1238" s="65">
        <v>377400.15</v>
      </c>
      <c r="BC1238" s="65">
        <v>364543.98</v>
      </c>
      <c r="BD1238" s="65">
        <v>345565.45</v>
      </c>
      <c r="BE1238" s="65">
        <v>337522.23</v>
      </c>
      <c r="BF1238" s="65">
        <v>323139.91</v>
      </c>
      <c r="BG1238" s="65">
        <v>305932.74</v>
      </c>
      <c r="BH1238" s="65">
        <v>298506.61</v>
      </c>
      <c r="BI1238" s="65">
        <v>285625.58</v>
      </c>
      <c r="BJ1238" s="65">
        <v>275387.91</v>
      </c>
      <c r="BK1238" s="65">
        <v>267055.14</v>
      </c>
      <c r="BL1238" s="65">
        <v>251060.47</v>
      </c>
      <c r="BM1238" s="65">
        <v>236569.35</v>
      </c>
      <c r="BN1238" s="65">
        <v>226388.3</v>
      </c>
      <c r="BO1238" s="65">
        <v>204120.32</v>
      </c>
      <c r="BP1238" s="65">
        <v>186075.0</v>
      </c>
      <c r="BQ1238" s="65">
        <v>187834.6</v>
      </c>
      <c r="BR1238" s="65">
        <v>166109.1</v>
      </c>
      <c r="BS1238" s="65">
        <v>152442.99</v>
      </c>
      <c r="BT1238" s="88">
        <v>143554.4</v>
      </c>
      <c r="BU1238" s="65">
        <v>130041.0</v>
      </c>
      <c r="BV1238" s="65">
        <v>120619.6</v>
      </c>
      <c r="BW1238" s="90">
        <v>101777.4</v>
      </c>
      <c r="BX1238" s="90">
        <v>94133.26</v>
      </c>
      <c r="BY1238" s="90">
        <f t="array" ref="BY1238">XLOOKUP(C1238,'PL TOTAL D0'!$A$3:$A$1991,'PL TOTAL D0'!$C$3:$C$1991,"")</f>
        <v>87136.24</v>
      </c>
    </row>
    <row r="1239" ht="15.75" customHeight="1">
      <c r="A1239" s="50" t="s">
        <v>24</v>
      </c>
      <c r="B1239" s="678" t="s">
        <v>9721</v>
      </c>
      <c r="C1239" s="94" t="s">
        <v>3447</v>
      </c>
      <c r="D1239" s="30" t="s">
        <v>120</v>
      </c>
      <c r="E1239" s="22" t="s">
        <v>199</v>
      </c>
      <c r="F1239" s="30" t="s">
        <v>212</v>
      </c>
      <c r="G1239" s="47" t="str">
        <f t="shared" si="54"/>
        <v>David</v>
      </c>
      <c r="H1239" s="49" t="s">
        <v>183</v>
      </c>
      <c r="I1239" s="49" t="s">
        <v>66</v>
      </c>
      <c r="J1239" s="47" t="str">
        <f t="shared" si="52"/>
        <v>Sim</v>
      </c>
      <c r="K1239" s="54">
        <v>46087.0</v>
      </c>
      <c r="L1239" s="97"/>
      <c r="M1239" s="32" t="s">
        <v>213</v>
      </c>
      <c r="N1239" s="199">
        <v>0.003</v>
      </c>
      <c r="O1239" s="32" t="s">
        <v>66</v>
      </c>
      <c r="P1239" s="702">
        <v>0.0</v>
      </c>
      <c r="Q1239" s="58" t="s">
        <v>9665</v>
      </c>
      <c r="R1239" s="70"/>
      <c r="S1239" s="32" t="s">
        <v>234</v>
      </c>
      <c r="T1239" s="32" t="s">
        <v>9722</v>
      </c>
      <c r="U1239" s="33" t="s">
        <v>1516</v>
      </c>
      <c r="V1239" s="33" t="s">
        <v>9723</v>
      </c>
      <c r="W1239" s="34">
        <v>46001.0</v>
      </c>
      <c r="X1239" s="23" t="s">
        <v>199</v>
      </c>
      <c r="Y1239" s="49" t="str">
        <f t="shared" si="46"/>
        <v>Ativo</v>
      </c>
      <c r="Z1239" s="62"/>
      <c r="AA1239" s="32" t="s">
        <v>47</v>
      </c>
      <c r="AB1239" s="64"/>
      <c r="AC1239" s="79"/>
      <c r="AD1239" s="54">
        <v>46203.0</v>
      </c>
      <c r="AE1239" s="77"/>
      <c r="AF1239" s="79"/>
      <c r="AG1239" s="79"/>
      <c r="AH1239" s="79"/>
      <c r="AI1239" s="79"/>
      <c r="AJ1239" s="79"/>
      <c r="AK1239" s="79"/>
      <c r="AL1239" s="79"/>
      <c r="AM1239" s="79"/>
      <c r="AN1239" s="79"/>
      <c r="AO1239" s="79"/>
      <c r="AP1239" s="79"/>
      <c r="AQ1239" s="65"/>
      <c r="AR1239" s="65"/>
      <c r="AS1239" s="65"/>
      <c r="AT1239" s="65"/>
      <c r="AU1239" s="65"/>
      <c r="AV1239" s="65"/>
      <c r="AW1239" s="65"/>
      <c r="AX1239" s="65"/>
      <c r="AY1239" s="65"/>
      <c r="AZ1239" s="65"/>
      <c r="BA1239" s="65"/>
      <c r="BB1239" s="65"/>
      <c r="BC1239" s="65"/>
      <c r="BD1239" s="65"/>
      <c r="BE1239" s="65"/>
      <c r="BF1239" s="65"/>
      <c r="BG1239" s="65"/>
      <c r="BH1239" s="65"/>
      <c r="BI1239" s="65"/>
      <c r="BJ1239" s="65"/>
      <c r="BK1239" s="65"/>
      <c r="BL1239" s="65"/>
      <c r="BM1239" s="65"/>
      <c r="BN1239" s="65"/>
      <c r="BO1239" s="65"/>
      <c r="BP1239" s="65"/>
      <c r="BQ1239" s="65"/>
      <c r="BR1239" s="65"/>
      <c r="BS1239" s="65"/>
      <c r="BT1239" s="88" t="s">
        <v>1739</v>
      </c>
      <c r="BU1239" s="65">
        <v>50189.65</v>
      </c>
      <c r="BV1239" s="65">
        <v>50729.75</v>
      </c>
      <c r="BW1239" s="90">
        <v>51071.11</v>
      </c>
      <c r="BX1239" s="90">
        <v>51594.86</v>
      </c>
      <c r="BY1239" s="90">
        <f t="array" ref="BY1239">XLOOKUP(C1239,'PL TOTAL D0'!$A$3:$A$1991,'PL TOTAL D0'!$C$3:$C$1991,"")</f>
        <v>52244.02</v>
      </c>
    </row>
    <row r="1240" ht="15.75" customHeight="1">
      <c r="A1240" s="50" t="s">
        <v>24</v>
      </c>
      <c r="B1240" s="945" t="s">
        <v>9724</v>
      </c>
      <c r="C1240" s="94" t="s">
        <v>9725</v>
      </c>
      <c r="D1240" s="30" t="s">
        <v>1664</v>
      </c>
      <c r="E1240" s="22" t="s">
        <v>54</v>
      </c>
      <c r="F1240" s="30" t="s">
        <v>1667</v>
      </c>
      <c r="G1240" s="47" t="str">
        <f t="shared" si="54"/>
        <v>David</v>
      </c>
      <c r="H1240" s="49" t="s">
        <v>224</v>
      </c>
      <c r="I1240" s="49" t="s">
        <v>66</v>
      </c>
      <c r="J1240" s="47" t="str">
        <f t="shared" si="52"/>
        <v>Não</v>
      </c>
      <c r="K1240" s="54">
        <v>45566.0</v>
      </c>
      <c r="L1240" s="54">
        <v>45937.0</v>
      </c>
      <c r="M1240" s="32" t="s">
        <v>61</v>
      </c>
      <c r="N1240" s="199">
        <v>0.012</v>
      </c>
      <c r="O1240" s="32" t="s">
        <v>66</v>
      </c>
      <c r="P1240" s="702">
        <v>0.0</v>
      </c>
      <c r="Q1240" s="58"/>
      <c r="R1240" s="70"/>
      <c r="S1240" s="32" t="s">
        <v>194</v>
      </c>
      <c r="T1240" s="32" t="s">
        <v>9726</v>
      </c>
      <c r="U1240" s="33" t="s">
        <v>268</v>
      </c>
      <c r="V1240" s="33"/>
      <c r="W1240" s="33" t="s">
        <v>268</v>
      </c>
      <c r="X1240" s="23" t="s">
        <v>54</v>
      </c>
      <c r="Y1240" s="49" t="str">
        <f t="shared" si="46"/>
        <v>Encerrado</v>
      </c>
      <c r="Z1240" s="62"/>
      <c r="AA1240" s="32" t="s">
        <v>107</v>
      </c>
      <c r="AB1240" s="64"/>
      <c r="AC1240" s="79"/>
      <c r="AD1240" s="54">
        <v>45568.0</v>
      </c>
      <c r="AE1240" s="77">
        <v>4.9075100015961E13</v>
      </c>
      <c r="AF1240" s="79"/>
      <c r="AG1240" s="79"/>
      <c r="AH1240" s="79"/>
      <c r="AI1240" s="79"/>
      <c r="AJ1240" s="79"/>
      <c r="AK1240" s="79"/>
      <c r="AL1240" s="79"/>
      <c r="AM1240" s="79"/>
      <c r="AN1240" s="79"/>
      <c r="AO1240" s="79"/>
      <c r="AP1240" s="79"/>
      <c r="AQ1240" s="65"/>
      <c r="AR1240" s="65"/>
      <c r="AS1240" s="65"/>
      <c r="AT1240" s="65"/>
      <c r="AU1240" s="65"/>
      <c r="AV1240" s="65"/>
      <c r="AW1240" s="65"/>
      <c r="AX1240" s="65"/>
      <c r="AY1240" s="65"/>
      <c r="AZ1240" s="65"/>
      <c r="BA1240" s="65"/>
      <c r="BB1240" s="65"/>
      <c r="BC1240" s="65"/>
      <c r="BD1240" s="65">
        <v>50406.38</v>
      </c>
      <c r="BE1240" s="65">
        <v>50811.33</v>
      </c>
      <c r="BF1240" s="65">
        <v>51290.4</v>
      </c>
      <c r="BG1240" s="65">
        <v>51786.64</v>
      </c>
      <c r="BH1240" s="65">
        <v>52220.13</v>
      </c>
      <c r="BI1240" s="65">
        <v>52760.03</v>
      </c>
      <c r="BJ1240" s="65">
        <v>53292.06</v>
      </c>
      <c r="BK1240" s="65">
        <v>53794.67</v>
      </c>
      <c r="BL1240" s="65">
        <v>54195.23</v>
      </c>
      <c r="BM1240" s="65">
        <v>0.0</v>
      </c>
      <c r="BN1240" s="65">
        <v>0.0</v>
      </c>
      <c r="BO1240" s="65">
        <v>0.0</v>
      </c>
      <c r="BP1240" s="65">
        <v>0.0</v>
      </c>
      <c r="BQ1240" s="65">
        <v>0.0</v>
      </c>
      <c r="BR1240" s="65">
        <v>0.0</v>
      </c>
      <c r="BS1240" s="65">
        <v>0.0</v>
      </c>
      <c r="BT1240" s="88">
        <v>0.0</v>
      </c>
      <c r="BU1240" s="65">
        <v>0.0</v>
      </c>
      <c r="BV1240" s="65">
        <v>0.0</v>
      </c>
      <c r="BW1240" s="90">
        <v>0.0</v>
      </c>
      <c r="BX1240" s="90">
        <v>0.0</v>
      </c>
      <c r="BY1240" s="90" t="str">
        <f t="array" ref="BY1240">XLOOKUP(C1240,'PL TOTAL D0'!$A$3:$A$1991,'PL TOTAL D0'!$C$3:$C$1991,"")</f>
        <v/>
      </c>
    </row>
    <row r="1241" ht="15.75" customHeight="1">
      <c r="A1241" s="50" t="s">
        <v>24</v>
      </c>
      <c r="B1241" s="50" t="s">
        <v>9727</v>
      </c>
      <c r="C1241" s="94" t="s">
        <v>9728</v>
      </c>
      <c r="D1241" s="81" t="s">
        <v>120</v>
      </c>
      <c r="E1241" s="95" t="s">
        <v>199</v>
      </c>
      <c r="F1241" s="81" t="s">
        <v>677</v>
      </c>
      <c r="G1241" s="47" t="str">
        <f t="shared" si="54"/>
        <v>David</v>
      </c>
      <c r="H1241" s="49" t="s">
        <v>224</v>
      </c>
      <c r="I1241" s="49" t="s">
        <v>66</v>
      </c>
      <c r="J1241" s="47" t="str">
        <f t="shared" si="52"/>
        <v>Não</v>
      </c>
      <c r="K1241" s="97">
        <v>45042.0</v>
      </c>
      <c r="L1241" s="362">
        <v>45769.0</v>
      </c>
      <c r="M1241" s="62" t="s">
        <v>209</v>
      </c>
      <c r="N1241" s="144">
        <v>0.015</v>
      </c>
      <c r="O1241" s="62" t="s">
        <v>35</v>
      </c>
      <c r="P1241" s="520">
        <v>0.1</v>
      </c>
      <c r="Q1241" s="58"/>
      <c r="R1241" s="70"/>
      <c r="S1241" s="62" t="s">
        <v>194</v>
      </c>
      <c r="T1241" s="32" t="s">
        <v>9729</v>
      </c>
      <c r="U1241" s="33" t="s">
        <v>268</v>
      </c>
      <c r="V1241" s="33"/>
      <c r="W1241" s="33" t="s">
        <v>268</v>
      </c>
      <c r="X1241" s="23" t="s">
        <v>199</v>
      </c>
      <c r="Y1241" s="49" t="str">
        <f t="shared" si="46"/>
        <v>Encerrado</v>
      </c>
      <c r="Z1241" s="62"/>
      <c r="AA1241" s="62"/>
      <c r="AB1241" s="64" t="s">
        <v>244</v>
      </c>
      <c r="AC1241" s="79"/>
      <c r="AD1241" s="54">
        <v>45042.0</v>
      </c>
      <c r="AE1241" s="77">
        <v>4.9075100004692E13</v>
      </c>
      <c r="AF1241" s="79"/>
      <c r="AG1241" s="79"/>
      <c r="AH1241" s="79"/>
      <c r="AI1241" s="79"/>
      <c r="AJ1241" s="79"/>
      <c r="AK1241" s="79"/>
      <c r="AL1241" s="65">
        <v>112366.37</v>
      </c>
      <c r="AM1241" s="65">
        <v>113918.96</v>
      </c>
      <c r="AN1241" s="65">
        <v>200612.93</v>
      </c>
      <c r="AO1241" s="65">
        <v>282738.0</v>
      </c>
      <c r="AP1241" s="65">
        <v>231160.19</v>
      </c>
      <c r="AQ1241" s="65">
        <v>181973.47</v>
      </c>
      <c r="AR1241" s="65">
        <v>181576.12</v>
      </c>
      <c r="AS1241" s="65">
        <v>134747.78</v>
      </c>
      <c r="AT1241" s="65">
        <v>87143.73</v>
      </c>
      <c r="AU1241" s="65">
        <v>7174.63</v>
      </c>
      <c r="AV1241" s="65">
        <v>7279.92</v>
      </c>
      <c r="AW1241" s="65">
        <v>7323.91</v>
      </c>
      <c r="AX1241" s="65">
        <v>7373.52</v>
      </c>
      <c r="AY1241" s="65">
        <v>7413.53</v>
      </c>
      <c r="AZ1241" s="65">
        <v>7460.79</v>
      </c>
      <c r="BA1241" s="65">
        <v>17560.94</v>
      </c>
      <c r="BB1241" s="65">
        <v>17693.52</v>
      </c>
      <c r="BC1241" s="65">
        <v>7725.91</v>
      </c>
      <c r="BD1241" s="65">
        <v>7782.81</v>
      </c>
      <c r="BE1241" s="65">
        <v>7776.08</v>
      </c>
      <c r="BF1241" s="65">
        <v>7837.38</v>
      </c>
      <c r="BG1241" s="65">
        <v>37962.25</v>
      </c>
      <c r="BH1241" s="65">
        <v>0.0</v>
      </c>
      <c r="BI1241" s="65">
        <v>0.0</v>
      </c>
      <c r="BJ1241" s="65">
        <v>0.0</v>
      </c>
      <c r="BK1241" s="65">
        <v>0.0</v>
      </c>
      <c r="BL1241" s="65">
        <v>0.0</v>
      </c>
      <c r="BM1241" s="65">
        <v>0.0</v>
      </c>
      <c r="BN1241" s="65">
        <v>0.0</v>
      </c>
      <c r="BO1241" s="65">
        <v>0.0</v>
      </c>
      <c r="BP1241" s="65">
        <v>0.0</v>
      </c>
      <c r="BQ1241" s="65">
        <v>0.0</v>
      </c>
      <c r="BR1241" s="65">
        <v>0.0</v>
      </c>
      <c r="BS1241" s="65">
        <v>0.0</v>
      </c>
      <c r="BT1241" s="88">
        <v>0.0</v>
      </c>
      <c r="BU1241" s="65">
        <v>0.0</v>
      </c>
      <c r="BV1241" s="65">
        <v>0.0</v>
      </c>
      <c r="BW1241" s="90">
        <v>0.0</v>
      </c>
      <c r="BX1241" s="90">
        <v>0.0</v>
      </c>
      <c r="BY1241" s="90" t="str">
        <f t="array" ref="BY1241">XLOOKUP(C1241,'PL TOTAL D0'!$A$3:$A$1991,'PL TOTAL D0'!$C$3:$C$1991,"")</f>
        <v/>
      </c>
    </row>
    <row r="1242" ht="15.75" customHeight="1">
      <c r="A1242" s="50" t="s">
        <v>24</v>
      </c>
      <c r="B1242" s="188" t="s">
        <v>9730</v>
      </c>
      <c r="C1242" s="94" t="s">
        <v>9731</v>
      </c>
      <c r="D1242" s="30" t="s">
        <v>120</v>
      </c>
      <c r="E1242" s="22" t="s">
        <v>199</v>
      </c>
      <c r="F1242" s="30" t="s">
        <v>290</v>
      </c>
      <c r="G1242" s="47" t="str">
        <f t="shared" si="54"/>
        <v>David</v>
      </c>
      <c r="H1242" s="49" t="s">
        <v>224</v>
      </c>
      <c r="I1242" s="49" t="s">
        <v>66</v>
      </c>
      <c r="J1242" s="47" t="str">
        <f t="shared" si="52"/>
        <v>Não</v>
      </c>
      <c r="K1242" s="54">
        <v>45385.0</v>
      </c>
      <c r="L1242" s="362">
        <v>45414.0</v>
      </c>
      <c r="M1242" s="32" t="s">
        <v>201</v>
      </c>
      <c r="N1242" s="199">
        <v>0.0</v>
      </c>
      <c r="O1242" s="32" t="s">
        <v>66</v>
      </c>
      <c r="P1242" s="702">
        <v>0.0</v>
      </c>
      <c r="Q1242" s="58"/>
      <c r="R1242" s="70"/>
      <c r="S1242" s="32" t="s">
        <v>194</v>
      </c>
      <c r="T1242" s="177" t="s">
        <v>9732</v>
      </c>
      <c r="U1242" s="33" t="s">
        <v>268</v>
      </c>
      <c r="V1242" s="33"/>
      <c r="W1242" s="33" t="s">
        <v>268</v>
      </c>
      <c r="X1242" s="23" t="s">
        <v>199</v>
      </c>
      <c r="Y1242" s="49" t="str">
        <f t="shared" si="46"/>
        <v>Encerrado</v>
      </c>
      <c r="Z1242" s="62"/>
      <c r="AA1242" s="62"/>
      <c r="AB1242" s="64"/>
      <c r="AC1242" s="79"/>
      <c r="AD1242" s="54">
        <v>45385.0</v>
      </c>
      <c r="AE1242" s="77">
        <v>4.9075100014213E13</v>
      </c>
      <c r="AF1242" s="79"/>
      <c r="AG1242" s="79"/>
      <c r="AH1242" s="79"/>
      <c r="AI1242" s="79"/>
      <c r="AJ1242" s="79"/>
      <c r="AK1242" s="79"/>
      <c r="AL1242" s="79"/>
      <c r="AM1242" s="79"/>
      <c r="AN1242" s="79"/>
      <c r="AO1242" s="79"/>
      <c r="AP1242" s="79"/>
      <c r="AQ1242" s="79"/>
      <c r="AR1242" s="79"/>
      <c r="AS1242" s="79"/>
      <c r="AT1242" s="79"/>
      <c r="AU1242" s="79"/>
      <c r="AV1242" s="65"/>
      <c r="AW1242" s="65"/>
      <c r="AX1242" s="65">
        <v>0.0</v>
      </c>
      <c r="AY1242" s="65">
        <v>0.0</v>
      </c>
      <c r="AZ1242" s="65">
        <v>0.0</v>
      </c>
      <c r="BA1242" s="65">
        <v>0.0</v>
      </c>
      <c r="BB1242" s="65">
        <v>0.0</v>
      </c>
      <c r="BC1242" s="65">
        <v>0.0</v>
      </c>
      <c r="BD1242" s="65">
        <v>0.0</v>
      </c>
      <c r="BE1242" s="65">
        <v>0.0</v>
      </c>
      <c r="BF1242" s="65">
        <v>0.0</v>
      </c>
      <c r="BG1242" s="65">
        <v>0.0</v>
      </c>
      <c r="BH1242" s="65">
        <v>0.0</v>
      </c>
      <c r="BI1242" s="65">
        <v>0.0</v>
      </c>
      <c r="BJ1242" s="65">
        <v>0.0</v>
      </c>
      <c r="BK1242" s="65">
        <v>0.0</v>
      </c>
      <c r="BL1242" s="65">
        <v>0.0</v>
      </c>
      <c r="BM1242" s="65">
        <v>0.0</v>
      </c>
      <c r="BN1242" s="65">
        <v>0.0</v>
      </c>
      <c r="BO1242" s="65">
        <v>0.0</v>
      </c>
      <c r="BP1242" s="65">
        <v>0.0</v>
      </c>
      <c r="BQ1242" s="65">
        <v>0.0</v>
      </c>
      <c r="BR1242" s="65">
        <v>0.0</v>
      </c>
      <c r="BS1242" s="65">
        <v>0.0</v>
      </c>
      <c r="BT1242" s="88">
        <v>0.0</v>
      </c>
      <c r="BU1242" s="65">
        <v>0.0</v>
      </c>
      <c r="BV1242" s="65">
        <v>0.0</v>
      </c>
      <c r="BW1242" s="90">
        <v>0.0</v>
      </c>
      <c r="BX1242" s="90">
        <v>0.0</v>
      </c>
      <c r="BY1242" s="90" t="str">
        <f t="array" ref="BY1242">XLOOKUP(C1242,'PL TOTAL D0'!$A$3:$A$1991,'PL TOTAL D0'!$C$3:$C$1991,"")</f>
        <v/>
      </c>
    </row>
    <row r="1243" ht="15.75" customHeight="1">
      <c r="A1243" s="50" t="s">
        <v>24</v>
      </c>
      <c r="B1243" s="510" t="s">
        <v>9733</v>
      </c>
      <c r="C1243" s="94" t="s">
        <v>9734</v>
      </c>
      <c r="D1243" s="81" t="s">
        <v>120</v>
      </c>
      <c r="E1243" s="95" t="s">
        <v>54</v>
      </c>
      <c r="F1243" s="81" t="s">
        <v>2393</v>
      </c>
      <c r="G1243" s="47" t="str">
        <f t="shared" si="54"/>
        <v>David</v>
      </c>
      <c r="H1243" s="49" t="s">
        <v>295</v>
      </c>
      <c r="I1243" s="49" t="s">
        <v>382</v>
      </c>
      <c r="J1243" s="47" t="str">
        <f t="shared" si="52"/>
        <v>Não</v>
      </c>
      <c r="K1243" s="97">
        <v>45099.0</v>
      </c>
      <c r="L1243" s="97"/>
      <c r="M1243" s="62" t="s">
        <v>209</v>
      </c>
      <c r="N1243" s="144">
        <v>0.015</v>
      </c>
      <c r="O1243" s="47" t="s">
        <v>35</v>
      </c>
      <c r="P1243" s="99">
        <v>0.1</v>
      </c>
      <c r="Q1243" s="58"/>
      <c r="R1243" s="70"/>
      <c r="S1243" s="62" t="s">
        <v>194</v>
      </c>
      <c r="T1243" s="32" t="s">
        <v>9735</v>
      </c>
      <c r="U1243" s="33">
        <v>6.2985580404E10</v>
      </c>
      <c r="V1243" s="33" t="s">
        <v>9736</v>
      </c>
      <c r="W1243" s="34">
        <v>21591.0</v>
      </c>
      <c r="X1243" s="23" t="s">
        <v>54</v>
      </c>
      <c r="Y1243" s="49" t="str">
        <f t="shared" si="46"/>
        <v>Ativo</v>
      </c>
      <c r="Z1243" s="62"/>
      <c r="AA1243" s="62"/>
      <c r="AB1243" s="64" t="s">
        <v>269</v>
      </c>
      <c r="AC1243" s="79"/>
      <c r="AD1243" s="54">
        <v>45099.0</v>
      </c>
      <c r="AE1243" s="77">
        <v>4.9075100013918E13</v>
      </c>
      <c r="AF1243" s="79"/>
      <c r="AG1243" s="79"/>
      <c r="AH1243" s="79"/>
      <c r="AI1243" s="79"/>
      <c r="AJ1243" s="65">
        <v>15000.0</v>
      </c>
      <c r="AK1243" s="65">
        <v>15000.0</v>
      </c>
      <c r="AL1243" s="65">
        <v>15000.0</v>
      </c>
      <c r="AM1243" s="65">
        <v>15000.0</v>
      </c>
      <c r="AN1243" s="65">
        <v>15046.9</v>
      </c>
      <c r="AO1243" s="65">
        <v>0.01</v>
      </c>
      <c r="AP1243" s="65">
        <v>0.0</v>
      </c>
      <c r="AQ1243" s="65">
        <v>0.0</v>
      </c>
      <c r="AR1243" s="65">
        <v>0.0</v>
      </c>
      <c r="AS1243" s="65">
        <v>0.01</v>
      </c>
      <c r="AT1243" s="65">
        <v>0.01</v>
      </c>
      <c r="AU1243" s="65">
        <v>0.01</v>
      </c>
      <c r="AV1243" s="65">
        <v>0.01</v>
      </c>
      <c r="AW1243" s="65">
        <v>0.01</v>
      </c>
      <c r="AX1243" s="65">
        <v>0.01</v>
      </c>
      <c r="AY1243" s="65">
        <v>0.01</v>
      </c>
      <c r="AZ1243" s="65">
        <v>0.01</v>
      </c>
      <c r="BA1243" s="65">
        <v>0.01</v>
      </c>
      <c r="BB1243" s="65">
        <v>0.01</v>
      </c>
      <c r="BC1243" s="65">
        <v>0.01</v>
      </c>
      <c r="BD1243" s="65">
        <v>0.01</v>
      </c>
      <c r="BE1243" s="65">
        <v>0.01</v>
      </c>
      <c r="BF1243" s="65">
        <v>0.01</v>
      </c>
      <c r="BG1243" s="65">
        <v>0.01</v>
      </c>
      <c r="BH1243" s="65">
        <v>0.01</v>
      </c>
      <c r="BI1243" s="65">
        <v>0.01</v>
      </c>
      <c r="BJ1243" s="65">
        <v>0.0</v>
      </c>
      <c r="BK1243" s="65">
        <v>0.0</v>
      </c>
      <c r="BL1243" s="65">
        <v>0.0</v>
      </c>
      <c r="BM1243" s="65">
        <v>0.0</v>
      </c>
      <c r="BN1243" s="65">
        <v>0.0</v>
      </c>
      <c r="BO1243" s="65">
        <v>0.0</v>
      </c>
      <c r="BP1243" s="65">
        <v>0.0</v>
      </c>
      <c r="BQ1243" s="65">
        <v>0.0</v>
      </c>
      <c r="BR1243" s="65">
        <v>0.0</v>
      </c>
      <c r="BS1243" s="65">
        <v>0.0</v>
      </c>
      <c r="BT1243" s="88">
        <v>0.0</v>
      </c>
      <c r="BU1243" s="65">
        <v>0.0</v>
      </c>
      <c r="BV1243" s="65">
        <v>0.0</v>
      </c>
      <c r="BW1243" s="90">
        <v>0.0</v>
      </c>
      <c r="BX1243" s="90">
        <v>0.0</v>
      </c>
      <c r="BY1243" s="90" t="str">
        <f t="array" ref="BY1243">XLOOKUP(C1243,'PL TOTAL D0'!$A$3:$A$1991,'PL TOTAL D0'!$C$3:$C$1991,"")</f>
        <v/>
      </c>
    </row>
    <row r="1244" ht="15.75" customHeight="1">
      <c r="A1244" s="50" t="s">
        <v>24</v>
      </c>
      <c r="B1244" s="428" t="s">
        <v>9737</v>
      </c>
      <c r="C1244" s="94" t="s">
        <v>3459</v>
      </c>
      <c r="D1244" s="30" t="s">
        <v>89</v>
      </c>
      <c r="E1244" s="22" t="s">
        <v>91</v>
      </c>
      <c r="F1244" s="30" t="s">
        <v>193</v>
      </c>
      <c r="G1244" s="47" t="str">
        <f t="shared" si="54"/>
        <v>Gabriel</v>
      </c>
      <c r="H1244" s="49" t="s">
        <v>183</v>
      </c>
      <c r="I1244" s="49" t="s">
        <v>66</v>
      </c>
      <c r="J1244" s="47" t="str">
        <f t="shared" si="52"/>
        <v>Sim</v>
      </c>
      <c r="K1244" s="54">
        <v>45576.0</v>
      </c>
      <c r="L1244" s="97"/>
      <c r="M1244" s="32" t="s">
        <v>34</v>
      </c>
      <c r="N1244" s="199">
        <v>0.012</v>
      </c>
      <c r="O1244" s="23" t="s">
        <v>35</v>
      </c>
      <c r="P1244" s="57">
        <v>0.1</v>
      </c>
      <c r="Q1244" s="58" t="s">
        <v>9738</v>
      </c>
      <c r="R1244" s="70"/>
      <c r="S1244" s="32" t="s">
        <v>194</v>
      </c>
      <c r="T1244" s="32" t="s">
        <v>9739</v>
      </c>
      <c r="U1244" s="33">
        <v>5.515997386505E12</v>
      </c>
      <c r="V1244" s="33" t="s">
        <v>9740</v>
      </c>
      <c r="W1244" s="34">
        <v>32023.0</v>
      </c>
      <c r="X1244" s="23" t="s">
        <v>221</v>
      </c>
      <c r="Y1244" s="49" t="str">
        <f t="shared" si="46"/>
        <v>Ativo</v>
      </c>
      <c r="Z1244" s="62"/>
      <c r="AA1244" s="32" t="s">
        <v>165</v>
      </c>
      <c r="AB1244" s="64"/>
      <c r="AC1244" s="79"/>
      <c r="AD1244" s="54">
        <v>45576.0</v>
      </c>
      <c r="AE1244" s="77">
        <v>4.9075100016119E13</v>
      </c>
      <c r="AF1244" s="79"/>
      <c r="AG1244" s="79"/>
      <c r="AH1244" s="79"/>
      <c r="AI1244" s="79"/>
      <c r="AJ1244" s="65"/>
      <c r="AK1244" s="65"/>
      <c r="AL1244" s="65"/>
      <c r="AM1244" s="65"/>
      <c r="AN1244" s="65"/>
      <c r="AO1244" s="65"/>
      <c r="AP1244" s="65"/>
      <c r="AQ1244" s="65"/>
      <c r="AR1244" s="65"/>
      <c r="AS1244" s="65"/>
      <c r="AT1244" s="65"/>
      <c r="AU1244" s="65"/>
      <c r="AV1244" s="65"/>
      <c r="AW1244" s="65"/>
      <c r="AX1244" s="65"/>
      <c r="AY1244" s="65"/>
      <c r="AZ1244" s="65"/>
      <c r="BA1244" s="65"/>
      <c r="BB1244" s="65"/>
      <c r="BC1244" s="65"/>
      <c r="BD1244" s="65">
        <v>984436.11</v>
      </c>
      <c r="BE1244" s="65">
        <v>854650.98</v>
      </c>
      <c r="BF1244" s="65">
        <v>853366.39</v>
      </c>
      <c r="BG1244" s="65">
        <v>385824.31</v>
      </c>
      <c r="BH1244" s="65">
        <v>386393.24</v>
      </c>
      <c r="BI1244" s="65">
        <v>390031.61</v>
      </c>
      <c r="BJ1244" s="65">
        <v>390466.53</v>
      </c>
      <c r="BK1244" s="65">
        <v>391606.67</v>
      </c>
      <c r="BL1244" s="65">
        <v>336370.42</v>
      </c>
      <c r="BM1244" s="65">
        <v>337434.25</v>
      </c>
      <c r="BN1244" s="65">
        <v>329067.7</v>
      </c>
      <c r="BO1244" s="65">
        <v>332346.87</v>
      </c>
      <c r="BP1244" s="65">
        <v>333127.1</v>
      </c>
      <c r="BQ1244" s="65">
        <v>332188.2</v>
      </c>
      <c r="BR1244" s="65">
        <v>330942.9</v>
      </c>
      <c r="BS1244" s="65">
        <v>320776.13</v>
      </c>
      <c r="BT1244" s="88">
        <v>319489.6</v>
      </c>
      <c r="BU1244" s="65">
        <v>322292.4</v>
      </c>
      <c r="BV1244" s="65">
        <v>185207.6</v>
      </c>
      <c r="BW1244" s="90">
        <v>183752.2</v>
      </c>
      <c r="BX1244" s="90">
        <v>64258.53</v>
      </c>
      <c r="BY1244" s="90">
        <f t="array" ref="BY1244">XLOOKUP(C1244,'PL TOTAL D0'!$A$3:$A$1991,'PL TOTAL D0'!$C$3:$C$1991,"")</f>
        <v>45993.35</v>
      </c>
    </row>
    <row r="1245" ht="15.75" customHeight="1">
      <c r="A1245" s="50" t="s">
        <v>24</v>
      </c>
      <c r="B1245" s="191" t="s">
        <v>9741</v>
      </c>
      <c r="C1245" s="94" t="s">
        <v>9742</v>
      </c>
      <c r="D1245" s="81" t="s">
        <v>120</v>
      </c>
      <c r="E1245" s="95" t="s">
        <v>199</v>
      </c>
      <c r="F1245" s="81" t="s">
        <v>290</v>
      </c>
      <c r="G1245" s="47" t="str">
        <f t="shared" si="54"/>
        <v>David</v>
      </c>
      <c r="H1245" s="49" t="s">
        <v>224</v>
      </c>
      <c r="I1245" s="49" t="s">
        <v>66</v>
      </c>
      <c r="J1245" s="47" t="str">
        <f t="shared" si="52"/>
        <v>Não</v>
      </c>
      <c r="K1245" s="97">
        <v>45175.0</v>
      </c>
      <c r="L1245" s="54">
        <v>45411.0</v>
      </c>
      <c r="M1245" s="62" t="s">
        <v>1142</v>
      </c>
      <c r="N1245" s="144">
        <v>0.008</v>
      </c>
      <c r="O1245" s="47" t="s">
        <v>1143</v>
      </c>
      <c r="P1245" s="99">
        <v>0.1</v>
      </c>
      <c r="Q1245" s="58"/>
      <c r="R1245" s="58" t="s">
        <v>1767</v>
      </c>
      <c r="S1245" s="62" t="s">
        <v>194</v>
      </c>
      <c r="T1245" s="32" t="s">
        <v>7878</v>
      </c>
      <c r="U1245" s="33" t="s">
        <v>268</v>
      </c>
      <c r="V1245" s="33"/>
      <c r="W1245" s="33" t="s">
        <v>268</v>
      </c>
      <c r="X1245" s="23" t="s">
        <v>397</v>
      </c>
      <c r="Y1245" s="49" t="str">
        <f t="shared" si="46"/>
        <v>Encerrado</v>
      </c>
      <c r="Z1245" s="62"/>
      <c r="AA1245" s="62"/>
      <c r="AB1245" s="64" t="s">
        <v>269</v>
      </c>
      <c r="AC1245" s="79"/>
      <c r="AD1245" s="54">
        <v>45175.0</v>
      </c>
      <c r="AE1245" s="77">
        <v>4.9075100012113E13</v>
      </c>
      <c r="AF1245" s="79"/>
      <c r="AG1245" s="79"/>
      <c r="AH1245" s="79"/>
      <c r="AI1245" s="79"/>
      <c r="AJ1245" s="79"/>
      <c r="AK1245" s="79"/>
      <c r="AL1245" s="79"/>
      <c r="AM1245" s="79"/>
      <c r="AN1245" s="79"/>
      <c r="AO1245" s="79"/>
      <c r="AP1245" s="65">
        <v>0.0</v>
      </c>
      <c r="AQ1245" s="65">
        <v>193844.4</v>
      </c>
      <c r="AR1245" s="65">
        <v>201445.17</v>
      </c>
      <c r="AS1245" s="65">
        <v>205170.0</v>
      </c>
      <c r="AT1245" s="65">
        <v>209842.97</v>
      </c>
      <c r="AU1245" s="65">
        <v>210504.58</v>
      </c>
      <c r="AV1245" s="65">
        <v>0.0</v>
      </c>
      <c r="AW1245" s="65">
        <v>0.0</v>
      </c>
      <c r="AX1245" s="65">
        <v>0.0</v>
      </c>
      <c r="AY1245" s="65">
        <v>0.0</v>
      </c>
      <c r="AZ1245" s="65">
        <v>0.0</v>
      </c>
      <c r="BA1245" s="65">
        <v>0.0</v>
      </c>
      <c r="BB1245" s="65">
        <v>0.0</v>
      </c>
      <c r="BC1245" s="65">
        <v>0.0</v>
      </c>
      <c r="BD1245" s="65">
        <v>0.0</v>
      </c>
      <c r="BE1245" s="65">
        <v>0.0</v>
      </c>
      <c r="BF1245" s="65">
        <v>0.0</v>
      </c>
      <c r="BG1245" s="65">
        <v>0.0</v>
      </c>
      <c r="BH1245" s="65">
        <v>0.0</v>
      </c>
      <c r="BI1245" s="65">
        <v>0.0</v>
      </c>
      <c r="BJ1245" s="65">
        <v>0.0</v>
      </c>
      <c r="BK1245" s="65">
        <v>0.0</v>
      </c>
      <c r="BL1245" s="65">
        <v>0.0</v>
      </c>
      <c r="BM1245" s="65">
        <v>0.0</v>
      </c>
      <c r="BN1245" s="65">
        <v>0.0</v>
      </c>
      <c r="BO1245" s="65">
        <v>0.0</v>
      </c>
      <c r="BP1245" s="65">
        <v>0.0</v>
      </c>
      <c r="BQ1245" s="65">
        <v>0.0</v>
      </c>
      <c r="BR1245" s="65">
        <v>0.0</v>
      </c>
      <c r="BS1245" s="65">
        <v>0.0</v>
      </c>
      <c r="BT1245" s="88">
        <v>0.0</v>
      </c>
      <c r="BU1245" s="65">
        <v>0.0</v>
      </c>
      <c r="BV1245" s="65">
        <v>0.0</v>
      </c>
      <c r="BW1245" s="90">
        <v>0.0</v>
      </c>
      <c r="BX1245" s="90">
        <v>0.0</v>
      </c>
      <c r="BY1245" s="90" t="str">
        <f t="array" ref="BY1245">XLOOKUP(C1245,'PL TOTAL D0'!$A$3:$A$1991,'PL TOTAL D0'!$C$3:$C$1991,"")</f>
        <v/>
      </c>
    </row>
    <row r="1246" ht="15.75" customHeight="1">
      <c r="A1246" s="50" t="s">
        <v>24</v>
      </c>
      <c r="B1246" s="510" t="s">
        <v>9743</v>
      </c>
      <c r="C1246" s="94" t="s">
        <v>9744</v>
      </c>
      <c r="D1246" s="81" t="s">
        <v>120</v>
      </c>
      <c r="E1246" s="95" t="s">
        <v>54</v>
      </c>
      <c r="F1246" s="81" t="s">
        <v>1393</v>
      </c>
      <c r="G1246" s="47" t="str">
        <f t="shared" si="54"/>
        <v>David</v>
      </c>
      <c r="H1246" s="49" t="s">
        <v>295</v>
      </c>
      <c r="I1246" s="49" t="s">
        <v>382</v>
      </c>
      <c r="J1246" s="47" t="str">
        <f t="shared" si="52"/>
        <v>Não</v>
      </c>
      <c r="K1246" s="97">
        <v>44959.0</v>
      </c>
      <c r="L1246" s="47"/>
      <c r="M1246" s="62" t="s">
        <v>61</v>
      </c>
      <c r="N1246" s="144">
        <v>0.012</v>
      </c>
      <c r="O1246" s="47" t="s">
        <v>66</v>
      </c>
      <c r="P1246" s="99">
        <v>0.0</v>
      </c>
      <c r="Q1246" s="58"/>
      <c r="R1246" s="70"/>
      <c r="S1246" s="62" t="s">
        <v>194</v>
      </c>
      <c r="T1246" s="32" t="s">
        <v>9745</v>
      </c>
      <c r="U1246" s="33">
        <v>5.562981190708E12</v>
      </c>
      <c r="V1246" s="33" t="s">
        <v>9746</v>
      </c>
      <c r="W1246" s="34">
        <v>26072.0</v>
      </c>
      <c r="X1246" s="23" t="s">
        <v>54</v>
      </c>
      <c r="Y1246" s="49" t="str">
        <f t="shared" si="46"/>
        <v>Ativo</v>
      </c>
      <c r="Z1246" s="62"/>
      <c r="AA1246" s="62"/>
      <c r="AB1246" s="64" t="s">
        <v>269</v>
      </c>
      <c r="AC1246" s="79"/>
      <c r="AD1246" s="54">
        <v>44959.0</v>
      </c>
      <c r="AE1246" s="77">
        <v>4.9075100004651E13</v>
      </c>
      <c r="AF1246" s="79"/>
      <c r="AG1246" s="79"/>
      <c r="AH1246" s="79"/>
      <c r="AI1246" s="65">
        <v>0.0</v>
      </c>
      <c r="AJ1246" s="65">
        <v>2010017.61</v>
      </c>
      <c r="AK1246" s="65">
        <v>2031340.41</v>
      </c>
      <c r="AL1246" s="65">
        <v>2045094.56</v>
      </c>
      <c r="AM1246" s="65">
        <v>2066995.05</v>
      </c>
      <c r="AN1246" s="65">
        <v>2086021.94</v>
      </c>
      <c r="AO1246" s="65">
        <v>2104306.92</v>
      </c>
      <c r="AP1246" s="65">
        <v>2124517.67</v>
      </c>
      <c r="AQ1246" s="65">
        <v>2141809.61</v>
      </c>
      <c r="AR1246" s="65">
        <v>2160907.49</v>
      </c>
      <c r="AS1246" s="65">
        <v>2176880.26</v>
      </c>
      <c r="AT1246" s="65">
        <v>2193936.22</v>
      </c>
      <c r="AU1246" s="65">
        <v>2213182.04</v>
      </c>
      <c r="AV1246" s="65">
        <v>2224003.28</v>
      </c>
      <c r="AW1246" s="65">
        <v>2241552.06</v>
      </c>
      <c r="AX1246" s="65">
        <v>1531733.78</v>
      </c>
      <c r="AY1246" s="65">
        <v>1540547.0</v>
      </c>
      <c r="AZ1246" s="65">
        <v>1553698.0</v>
      </c>
      <c r="BA1246" s="65">
        <v>0.0</v>
      </c>
      <c r="BB1246" s="65">
        <v>1.0</v>
      </c>
      <c r="BC1246" s="65">
        <v>1.0</v>
      </c>
      <c r="BD1246" s="65">
        <v>1.0</v>
      </c>
      <c r="BE1246" s="65">
        <v>1.0</v>
      </c>
      <c r="BF1246" s="65">
        <v>1.0</v>
      </c>
      <c r="BG1246" s="65">
        <v>1.0</v>
      </c>
      <c r="BH1246" s="65">
        <v>1.0</v>
      </c>
      <c r="BI1246" s="65">
        <v>1.0</v>
      </c>
      <c r="BJ1246" s="65">
        <v>0.0</v>
      </c>
      <c r="BK1246" s="65">
        <v>0.0</v>
      </c>
      <c r="BL1246" s="65">
        <v>0.0</v>
      </c>
      <c r="BM1246" s="65">
        <v>0.0</v>
      </c>
      <c r="BN1246" s="65">
        <v>0.0</v>
      </c>
      <c r="BO1246" s="65">
        <v>0.0</v>
      </c>
      <c r="BP1246" s="65">
        <v>0.0</v>
      </c>
      <c r="BQ1246" s="65">
        <v>0.0</v>
      </c>
      <c r="BR1246" s="65">
        <v>0.0</v>
      </c>
      <c r="BS1246" s="65">
        <v>0.0</v>
      </c>
      <c r="BT1246" s="88">
        <v>0.0</v>
      </c>
      <c r="BU1246" s="65">
        <v>0.0</v>
      </c>
      <c r="BV1246" s="65">
        <v>0.0</v>
      </c>
      <c r="BW1246" s="90">
        <v>0.0</v>
      </c>
      <c r="BX1246" s="90">
        <v>0.0</v>
      </c>
      <c r="BY1246" s="90" t="str">
        <f t="array" ref="BY1246">XLOOKUP(C1246,'PL TOTAL D0'!$A$3:$A$1991,'PL TOTAL D0'!$C$3:$C$1991,"")</f>
        <v/>
      </c>
    </row>
    <row r="1247" ht="15.75" customHeight="1">
      <c r="A1247" s="43" t="s">
        <v>24</v>
      </c>
      <c r="B1247" s="428" t="s">
        <v>9747</v>
      </c>
      <c r="C1247" s="94" t="s">
        <v>9748</v>
      </c>
      <c r="D1247" s="30" t="s">
        <v>255</v>
      </c>
      <c r="E1247" s="22" t="s">
        <v>199</v>
      </c>
      <c r="F1247" s="30" t="s">
        <v>4338</v>
      </c>
      <c r="G1247" s="47" t="str">
        <f t="shared" si="54"/>
        <v>David</v>
      </c>
      <c r="H1247" s="49" t="s">
        <v>224</v>
      </c>
      <c r="I1247" s="49" t="s">
        <v>66</v>
      </c>
      <c r="J1247" s="47" t="str">
        <f t="shared" si="52"/>
        <v>Não</v>
      </c>
      <c r="K1247" s="54">
        <v>45365.0</v>
      </c>
      <c r="L1247" s="362">
        <v>45464.0</v>
      </c>
      <c r="M1247" s="32" t="s">
        <v>6076</v>
      </c>
      <c r="N1247" s="199">
        <v>0.01</v>
      </c>
      <c r="O1247" s="23" t="s">
        <v>66</v>
      </c>
      <c r="P1247" s="57">
        <v>0.0</v>
      </c>
      <c r="Q1247" s="58"/>
      <c r="R1247" s="58" t="s">
        <v>9749</v>
      </c>
      <c r="S1247" s="32" t="s">
        <v>194</v>
      </c>
      <c r="T1247" s="32" t="s">
        <v>9750</v>
      </c>
      <c r="U1247" s="33" t="s">
        <v>268</v>
      </c>
      <c r="V1247" s="33"/>
      <c r="W1247" s="33" t="s">
        <v>268</v>
      </c>
      <c r="X1247" s="23" t="s">
        <v>199</v>
      </c>
      <c r="Y1247" s="49" t="str">
        <f t="shared" si="46"/>
        <v>Encerrado</v>
      </c>
      <c r="Z1247" s="62"/>
      <c r="AA1247" s="62"/>
      <c r="AB1247" s="64"/>
      <c r="AC1247" s="79"/>
      <c r="AD1247" s="54">
        <v>45365.0</v>
      </c>
      <c r="AE1247" s="77">
        <v>4.9075100013969E13</v>
      </c>
      <c r="AF1247" s="79"/>
      <c r="AG1247" s="79"/>
      <c r="AH1247" s="79"/>
      <c r="AI1247" s="79"/>
      <c r="AJ1247" s="79"/>
      <c r="AK1247" s="79"/>
      <c r="AL1247" s="79"/>
      <c r="AM1247" s="79"/>
      <c r="AN1247" s="79"/>
      <c r="AO1247" s="79"/>
      <c r="AP1247" s="79"/>
      <c r="AQ1247" s="79"/>
      <c r="AR1247" s="79"/>
      <c r="AS1247" s="79"/>
      <c r="AT1247" s="79"/>
      <c r="AU1247" s="79"/>
      <c r="AV1247" s="65"/>
      <c r="AW1247" s="65">
        <v>759514.93</v>
      </c>
      <c r="AX1247" s="65">
        <v>756778.1</v>
      </c>
      <c r="AY1247" s="65">
        <v>655418.6</v>
      </c>
      <c r="AZ1247" s="65">
        <v>0.0</v>
      </c>
      <c r="BA1247" s="65">
        <v>0.0</v>
      </c>
      <c r="BB1247" s="65">
        <v>0.0</v>
      </c>
      <c r="BC1247" s="65">
        <v>0.0</v>
      </c>
      <c r="BD1247" s="65">
        <v>0.0</v>
      </c>
      <c r="BE1247" s="65">
        <v>0.0</v>
      </c>
      <c r="BF1247" s="65">
        <v>0.0</v>
      </c>
      <c r="BG1247" s="65">
        <v>0.0</v>
      </c>
      <c r="BH1247" s="65">
        <v>0.0</v>
      </c>
      <c r="BI1247" s="65">
        <v>0.0</v>
      </c>
      <c r="BJ1247" s="65">
        <v>0.0</v>
      </c>
      <c r="BK1247" s="65">
        <v>0.0</v>
      </c>
      <c r="BL1247" s="65">
        <v>0.0</v>
      </c>
      <c r="BM1247" s="65">
        <v>0.0</v>
      </c>
      <c r="BN1247" s="65">
        <v>0.0</v>
      </c>
      <c r="BO1247" s="65">
        <v>0.0</v>
      </c>
      <c r="BP1247" s="65">
        <v>0.0</v>
      </c>
      <c r="BQ1247" s="65">
        <v>0.0</v>
      </c>
      <c r="BR1247" s="65">
        <v>0.0</v>
      </c>
      <c r="BS1247" s="65">
        <v>0.0</v>
      </c>
      <c r="BT1247" s="88">
        <v>0.0</v>
      </c>
      <c r="BU1247" s="65">
        <v>0.0</v>
      </c>
      <c r="BV1247" s="65">
        <v>0.0</v>
      </c>
      <c r="BW1247" s="90">
        <v>0.0</v>
      </c>
      <c r="BX1247" s="90">
        <v>0.0</v>
      </c>
      <c r="BY1247" s="90" t="str">
        <f t="array" ref="BY1247">XLOOKUP(C1247,'PL TOTAL D0'!$A$3:$A$1991,'PL TOTAL D0'!$C$3:$C$1991,"")</f>
        <v/>
      </c>
    </row>
    <row r="1248" ht="15.75" customHeight="1">
      <c r="A1248" s="43" t="s">
        <v>24</v>
      </c>
      <c r="B1248" s="428" t="s">
        <v>1809</v>
      </c>
      <c r="C1248" s="94" t="s">
        <v>3524</v>
      </c>
      <c r="D1248" s="30" t="s">
        <v>120</v>
      </c>
      <c r="E1248" s="22" t="s">
        <v>199</v>
      </c>
      <c r="F1248" s="30" t="s">
        <v>1582</v>
      </c>
      <c r="G1248" s="47" t="str">
        <f t="shared" si="54"/>
        <v>David</v>
      </c>
      <c r="H1248" s="49" t="s">
        <v>295</v>
      </c>
      <c r="I1248" s="49" t="s">
        <v>447</v>
      </c>
      <c r="J1248" s="47" t="str">
        <f t="shared" si="52"/>
        <v>Não</v>
      </c>
      <c r="K1248" s="54">
        <v>45848.0</v>
      </c>
      <c r="L1248" s="362"/>
      <c r="M1248" s="32" t="s">
        <v>201</v>
      </c>
      <c r="N1248" s="199">
        <v>0.0</v>
      </c>
      <c r="O1248" s="23" t="s">
        <v>66</v>
      </c>
      <c r="P1248" s="57">
        <v>0.0</v>
      </c>
      <c r="Q1248" s="58"/>
      <c r="R1248" s="58"/>
      <c r="S1248" s="32" t="s">
        <v>194</v>
      </c>
      <c r="T1248" s="177" t="s">
        <v>1810</v>
      </c>
      <c r="U1248" s="33">
        <v>6.1991777137E10</v>
      </c>
      <c r="V1248" s="33" t="s">
        <v>1812</v>
      </c>
      <c r="W1248" s="48">
        <v>36858.0</v>
      </c>
      <c r="X1248" s="23" t="s">
        <v>199</v>
      </c>
      <c r="Y1248" s="49" t="str">
        <f t="shared" si="46"/>
        <v>Ativo</v>
      </c>
      <c r="Z1248" s="62"/>
      <c r="AA1248" s="32" t="s">
        <v>47</v>
      </c>
      <c r="AB1248" s="64"/>
      <c r="AC1248" s="79"/>
      <c r="AD1248" s="54">
        <v>45848.0</v>
      </c>
      <c r="AE1248" s="77">
        <v>4.9075100019101E13</v>
      </c>
      <c r="AF1248" s="79"/>
      <c r="AG1248" s="79"/>
      <c r="AH1248" s="79"/>
      <c r="AI1248" s="79"/>
      <c r="AJ1248" s="79"/>
      <c r="AK1248" s="79"/>
      <c r="AL1248" s="79"/>
      <c r="AM1248" s="79"/>
      <c r="AN1248" s="79"/>
      <c r="AO1248" s="79"/>
      <c r="AP1248" s="79"/>
      <c r="AQ1248" s="79"/>
      <c r="AR1248" s="79"/>
      <c r="AS1248" s="79"/>
      <c r="AT1248" s="79"/>
      <c r="AU1248" s="79"/>
      <c r="AV1248" s="65"/>
      <c r="AW1248" s="65"/>
      <c r="AX1248" s="65"/>
      <c r="AY1248" s="65"/>
      <c r="AZ1248" s="65"/>
      <c r="BA1248" s="65"/>
      <c r="BB1248" s="65"/>
      <c r="BC1248" s="65"/>
      <c r="BD1248" s="65"/>
      <c r="BE1248" s="65"/>
      <c r="BF1248" s="65"/>
      <c r="BG1248" s="65"/>
      <c r="BH1248" s="65"/>
      <c r="BI1248" s="65"/>
      <c r="BJ1248" s="65"/>
      <c r="BK1248" s="65"/>
      <c r="BL1248" s="65"/>
      <c r="BM1248" s="65">
        <v>50160.13</v>
      </c>
      <c r="BN1248" s="65">
        <v>50647.6</v>
      </c>
      <c r="BO1248" s="65">
        <v>51279.46</v>
      </c>
      <c r="BP1248" s="65">
        <v>25663.04</v>
      </c>
      <c r="BQ1248" s="65">
        <v>21734.31</v>
      </c>
      <c r="BR1248" s="65">
        <v>21952.9</v>
      </c>
      <c r="BS1248" s="65">
        <v>22278.89</v>
      </c>
      <c r="BT1248" s="88">
        <v>22509.28</v>
      </c>
      <c r="BU1248" s="65">
        <v>22517.13</v>
      </c>
      <c r="BV1248" s="65">
        <v>22318.08</v>
      </c>
      <c r="BW1248" s="90">
        <v>22550.02</v>
      </c>
      <c r="BX1248" s="90">
        <v>22482.3</v>
      </c>
      <c r="BY1248" s="90">
        <f t="array" ref="BY1248">XLOOKUP(C1248,'PL TOTAL D0'!$A$3:$A$1991,'PL TOTAL D0'!$C$3:$C$1991,"")</f>
        <v>21463.35</v>
      </c>
    </row>
    <row r="1249" ht="15.75" customHeight="1">
      <c r="A1249" s="43" t="s">
        <v>24</v>
      </c>
      <c r="B1249" s="43" t="s">
        <v>9751</v>
      </c>
      <c r="C1249" s="94" t="s">
        <v>3377</v>
      </c>
      <c r="D1249" s="30" t="s">
        <v>120</v>
      </c>
      <c r="E1249" s="22" t="s">
        <v>54</v>
      </c>
      <c r="F1249" s="30" t="s">
        <v>125</v>
      </c>
      <c r="G1249" s="23" t="s">
        <v>829</v>
      </c>
      <c r="H1249" s="49" t="s">
        <v>183</v>
      </c>
      <c r="I1249" s="49" t="s">
        <v>66</v>
      </c>
      <c r="J1249" s="47" t="str">
        <f t="shared" si="52"/>
        <v>Sim</v>
      </c>
      <c r="K1249" s="54">
        <v>45968.0</v>
      </c>
      <c r="L1249" s="47"/>
      <c r="M1249" s="27" t="s">
        <v>61</v>
      </c>
      <c r="N1249" s="29">
        <v>0.012</v>
      </c>
      <c r="O1249" s="30" t="s">
        <v>66</v>
      </c>
      <c r="P1249" s="31">
        <v>0.0</v>
      </c>
      <c r="Q1249" s="58" t="s">
        <v>9752</v>
      </c>
      <c r="R1249" s="70"/>
      <c r="S1249" s="32" t="s">
        <v>194</v>
      </c>
      <c r="T1249" s="32" t="s">
        <v>9753</v>
      </c>
      <c r="U1249" s="33" t="s">
        <v>9754</v>
      </c>
      <c r="V1249" s="33" t="s">
        <v>9755</v>
      </c>
      <c r="W1249" s="48">
        <v>34830.0</v>
      </c>
      <c r="X1249" s="23" t="s">
        <v>54</v>
      </c>
      <c r="Y1249" s="49" t="str">
        <f t="shared" si="46"/>
        <v>Ativo</v>
      </c>
      <c r="Z1249" s="62"/>
      <c r="AA1249" s="32" t="s">
        <v>47</v>
      </c>
      <c r="AB1249" s="64"/>
      <c r="AC1249" s="79"/>
      <c r="AD1249" s="54"/>
      <c r="AE1249" s="77"/>
      <c r="AF1249" s="79"/>
      <c r="AG1249" s="79"/>
      <c r="AH1249" s="79"/>
      <c r="AI1249" s="79"/>
      <c r="AJ1249" s="79"/>
      <c r="AK1249" s="79"/>
      <c r="AL1249" s="65"/>
      <c r="AM1249" s="65"/>
      <c r="AN1249" s="65"/>
      <c r="AO1249" s="65"/>
      <c r="AP1249" s="65"/>
      <c r="AQ1249" s="65"/>
      <c r="AR1249" s="65"/>
      <c r="AS1249" s="65"/>
      <c r="AT1249" s="65"/>
      <c r="AU1249" s="65"/>
      <c r="AV1249" s="65"/>
      <c r="AW1249" s="65"/>
      <c r="AX1249" s="65"/>
      <c r="AY1249" s="65"/>
      <c r="AZ1249" s="65"/>
      <c r="BA1249" s="65"/>
      <c r="BB1249" s="65"/>
      <c r="BC1249" s="65"/>
      <c r="BD1249" s="65"/>
      <c r="BE1249" s="65"/>
      <c r="BF1249" s="65"/>
      <c r="BG1249" s="65"/>
      <c r="BH1249" s="65"/>
      <c r="BI1249" s="65"/>
      <c r="BJ1249" s="65"/>
      <c r="BK1249" s="65"/>
      <c r="BL1249" s="65"/>
      <c r="BM1249" s="65"/>
      <c r="BN1249" s="65"/>
      <c r="BO1249" s="65"/>
      <c r="BP1249" s="65">
        <v>0.0</v>
      </c>
      <c r="BQ1249" s="65">
        <v>0.0</v>
      </c>
      <c r="BR1249" s="65">
        <v>0.0</v>
      </c>
      <c r="BS1249" s="65">
        <v>0.0</v>
      </c>
      <c r="BT1249" s="88">
        <v>0.0</v>
      </c>
      <c r="BU1249" s="65">
        <v>549959.1</v>
      </c>
      <c r="BV1249" s="65">
        <v>720.0</v>
      </c>
      <c r="BW1249" s="90">
        <v>4004337.0</v>
      </c>
      <c r="BX1249" s="90">
        <v>207865.74</v>
      </c>
      <c r="BY1249" s="90">
        <f t="array" ref="BY1249">XLOOKUP(C1249,'PL TOTAL D0'!$A$3:$A$1991,'PL TOTAL D0'!$C$3:$C$1991,"")</f>
        <v>77795.33</v>
      </c>
    </row>
    <row r="1250" ht="15.75" customHeight="1">
      <c r="A1250" s="50" t="s">
        <v>24</v>
      </c>
      <c r="B1250" s="43" t="s">
        <v>9756</v>
      </c>
      <c r="C1250" s="94" t="s">
        <v>3219</v>
      </c>
      <c r="D1250" s="30" t="s">
        <v>89</v>
      </c>
      <c r="E1250" s="22" t="s">
        <v>91</v>
      </c>
      <c r="F1250" s="30" t="s">
        <v>521</v>
      </c>
      <c r="G1250" s="47" t="str">
        <f t="shared" ref="G1250:G1272" si="55">IFS($BS$4:$BS$1280&lt;=250000,"David",$BS$4:$BS$1280&lt;=800000,"Gabriel", $BS$4:$BS$1280&gt;800000,"Marcus")</f>
        <v>David</v>
      </c>
      <c r="H1250" s="49" t="s">
        <v>183</v>
      </c>
      <c r="I1250" s="49" t="s">
        <v>66</v>
      </c>
      <c r="J1250" s="47" t="str">
        <f t="shared" si="52"/>
        <v>Não</v>
      </c>
      <c r="K1250" s="54">
        <v>45604.0</v>
      </c>
      <c r="L1250" s="47"/>
      <c r="M1250" s="32" t="s">
        <v>34</v>
      </c>
      <c r="N1250" s="199">
        <v>0.012</v>
      </c>
      <c r="O1250" s="32" t="s">
        <v>35</v>
      </c>
      <c r="P1250" s="702">
        <v>0.1</v>
      </c>
      <c r="Q1250" s="58"/>
      <c r="R1250" s="70"/>
      <c r="S1250" s="32" t="s">
        <v>194</v>
      </c>
      <c r="T1250" s="32" t="s">
        <v>9757</v>
      </c>
      <c r="U1250" s="33">
        <v>4.3996353238E10</v>
      </c>
      <c r="V1250" s="33" t="s">
        <v>9758</v>
      </c>
      <c r="W1250" s="34">
        <v>35807.0</v>
      </c>
      <c r="X1250" s="23" t="s">
        <v>221</v>
      </c>
      <c r="Y1250" s="49" t="str">
        <f t="shared" si="46"/>
        <v>Ativo</v>
      </c>
      <c r="Z1250" s="62"/>
      <c r="AA1250" s="32" t="s">
        <v>107</v>
      </c>
      <c r="AB1250" s="64"/>
      <c r="AC1250" s="79"/>
      <c r="AD1250" s="54">
        <v>45621.0</v>
      </c>
      <c r="AE1250" s="77">
        <v>4.9075100016232E13</v>
      </c>
      <c r="AF1250" s="79"/>
      <c r="AG1250" s="79"/>
      <c r="AH1250" s="79"/>
      <c r="AI1250" s="79"/>
      <c r="AJ1250" s="79"/>
      <c r="AK1250" s="79"/>
      <c r="AL1250" s="65"/>
      <c r="AM1250" s="65"/>
      <c r="AN1250" s="65"/>
      <c r="AO1250" s="65"/>
      <c r="AP1250" s="65"/>
      <c r="AQ1250" s="65"/>
      <c r="AR1250" s="65"/>
      <c r="AS1250" s="65"/>
      <c r="AT1250" s="65"/>
      <c r="AU1250" s="65"/>
      <c r="AV1250" s="65"/>
      <c r="AW1250" s="65"/>
      <c r="AX1250" s="65"/>
      <c r="AY1250" s="65"/>
      <c r="AZ1250" s="65"/>
      <c r="BA1250" s="65"/>
      <c r="BB1250" s="65"/>
      <c r="BC1250" s="65"/>
      <c r="BD1250" s="65"/>
      <c r="BE1250" s="65">
        <v>98789.27</v>
      </c>
      <c r="BF1250" s="65">
        <v>108249.75</v>
      </c>
      <c r="BG1250" s="65">
        <v>119351.48</v>
      </c>
      <c r="BH1250" s="65">
        <v>123058.44</v>
      </c>
      <c r="BI1250" s="65">
        <v>126387.88</v>
      </c>
      <c r="BJ1250" s="65">
        <v>127640.73</v>
      </c>
      <c r="BK1250" s="65">
        <v>128878.27</v>
      </c>
      <c r="BL1250" s="65">
        <v>130316.48</v>
      </c>
      <c r="BM1250" s="65">
        <v>131533.58</v>
      </c>
      <c r="BN1250" s="65">
        <v>133364.0</v>
      </c>
      <c r="BO1250" s="65">
        <v>135333.18</v>
      </c>
      <c r="BP1250" s="65">
        <v>136816.7</v>
      </c>
      <c r="BQ1250" s="65">
        <v>138856.4</v>
      </c>
      <c r="BR1250" s="65">
        <v>140228.5</v>
      </c>
      <c r="BS1250" s="65">
        <v>141769.23</v>
      </c>
      <c r="BT1250" s="88">
        <v>142854.8</v>
      </c>
      <c r="BU1250" s="65">
        <v>144561.8</v>
      </c>
      <c r="BV1250" s="65">
        <v>145959.3</v>
      </c>
      <c r="BW1250" s="90">
        <v>146403.4</v>
      </c>
      <c r="BX1250" s="90">
        <v>147680.21</v>
      </c>
      <c r="BY1250" s="90">
        <f t="array" ref="BY1250">XLOOKUP(C1250,'PL TOTAL D0'!$A$3:$A$1991,'PL TOTAL D0'!$C$3:$C$1991,"")</f>
        <v>149257.15</v>
      </c>
    </row>
    <row r="1251" ht="15.75" customHeight="1">
      <c r="A1251" s="50" t="s">
        <v>24</v>
      </c>
      <c r="B1251" s="510" t="s">
        <v>9759</v>
      </c>
      <c r="C1251" s="94" t="s">
        <v>9760</v>
      </c>
      <c r="D1251" s="81" t="s">
        <v>120</v>
      </c>
      <c r="E1251" s="95" t="s">
        <v>54</v>
      </c>
      <c r="F1251" s="81" t="s">
        <v>348</v>
      </c>
      <c r="G1251" s="47" t="str">
        <f t="shared" si="55"/>
        <v>David</v>
      </c>
      <c r="H1251" s="49" t="s">
        <v>224</v>
      </c>
      <c r="I1251" s="49" t="s">
        <v>66</v>
      </c>
      <c r="J1251" s="47" t="str">
        <f t="shared" si="52"/>
        <v>Não</v>
      </c>
      <c r="K1251" s="97">
        <v>44957.0</v>
      </c>
      <c r="L1251" s="362">
        <v>45502.0</v>
      </c>
      <c r="M1251" s="62" t="s">
        <v>61</v>
      </c>
      <c r="N1251" s="144">
        <v>0.01</v>
      </c>
      <c r="O1251" s="47" t="s">
        <v>66</v>
      </c>
      <c r="P1251" s="99">
        <v>0.0</v>
      </c>
      <c r="Q1251" s="58"/>
      <c r="R1251" s="58" t="s">
        <v>610</v>
      </c>
      <c r="S1251" s="62" t="s">
        <v>194</v>
      </c>
      <c r="T1251" s="32" t="s">
        <v>7892</v>
      </c>
      <c r="U1251" s="33" t="s">
        <v>268</v>
      </c>
      <c r="V1251" s="33"/>
      <c r="W1251" s="33" t="s">
        <v>268</v>
      </c>
      <c r="X1251" s="23" t="s">
        <v>54</v>
      </c>
      <c r="Y1251" s="49" t="str">
        <f t="shared" si="46"/>
        <v>Encerrado</v>
      </c>
      <c r="Z1251" s="62"/>
      <c r="AA1251" s="62"/>
      <c r="AB1251" s="64" t="s">
        <v>244</v>
      </c>
      <c r="AC1251" s="79"/>
      <c r="AD1251" s="54">
        <v>44957.0</v>
      </c>
      <c r="AE1251" s="77">
        <v>4.9075100006512E13</v>
      </c>
      <c r="AF1251" s="79"/>
      <c r="AG1251" s="79"/>
      <c r="AH1251" s="79"/>
      <c r="AI1251" s="65">
        <v>367453.7</v>
      </c>
      <c r="AJ1251" s="65">
        <v>371328.96</v>
      </c>
      <c r="AK1251" s="65">
        <v>376736.61</v>
      </c>
      <c r="AL1251" s="65">
        <v>377025.32</v>
      </c>
      <c r="AM1251" s="65">
        <v>378013.16</v>
      </c>
      <c r="AN1251" s="65">
        <v>375411.82</v>
      </c>
      <c r="AO1251" s="65">
        <v>376086.9</v>
      </c>
      <c r="AP1251" s="65">
        <v>375895.74</v>
      </c>
      <c r="AQ1251" s="65">
        <v>373156.75</v>
      </c>
      <c r="AR1251" s="65">
        <v>369535.58</v>
      </c>
      <c r="AS1251" s="65">
        <v>368890.63</v>
      </c>
      <c r="AT1251" s="65">
        <v>370566.31</v>
      </c>
      <c r="AU1251" s="65">
        <v>371332.54</v>
      </c>
      <c r="AV1251" s="65">
        <v>360194.42</v>
      </c>
      <c r="AW1251" s="65">
        <v>357875.71</v>
      </c>
      <c r="AX1251" s="65">
        <v>302413.17</v>
      </c>
      <c r="AY1251" s="65">
        <v>297869.3</v>
      </c>
      <c r="AZ1251" s="65">
        <v>280188.1</v>
      </c>
      <c r="BA1251" s="65">
        <v>0.0</v>
      </c>
      <c r="BB1251" s="65">
        <v>0.16</v>
      </c>
      <c r="BC1251" s="65">
        <v>0.16</v>
      </c>
      <c r="BD1251" s="65">
        <v>0.16</v>
      </c>
      <c r="BE1251" s="65">
        <v>0.16</v>
      </c>
      <c r="BF1251" s="65">
        <v>0.16</v>
      </c>
      <c r="BG1251" s="65">
        <v>0.16</v>
      </c>
      <c r="BH1251" s="65">
        <v>0.16</v>
      </c>
      <c r="BI1251" s="65">
        <v>0.16</v>
      </c>
      <c r="BJ1251" s="65">
        <v>0.0</v>
      </c>
      <c r="BK1251" s="65">
        <v>0.0</v>
      </c>
      <c r="BL1251" s="65">
        <v>0.0</v>
      </c>
      <c r="BM1251" s="65">
        <v>0.0</v>
      </c>
      <c r="BN1251" s="65">
        <v>0.0</v>
      </c>
      <c r="BO1251" s="65">
        <v>0.0</v>
      </c>
      <c r="BP1251" s="65">
        <v>0.0</v>
      </c>
      <c r="BQ1251" s="65">
        <v>0.0</v>
      </c>
      <c r="BR1251" s="65">
        <v>0.0</v>
      </c>
      <c r="BS1251" s="65">
        <v>0.0</v>
      </c>
      <c r="BT1251" s="88">
        <v>0.0</v>
      </c>
      <c r="BU1251" s="65">
        <v>0.0</v>
      </c>
      <c r="BV1251" s="65">
        <v>0.0</v>
      </c>
      <c r="BW1251" s="90">
        <v>0.0</v>
      </c>
      <c r="BX1251" s="90">
        <v>0.0</v>
      </c>
      <c r="BY1251" s="90" t="str">
        <f t="array" ref="BY1251">XLOOKUP(C1251,'PL TOTAL D0'!$A$3:$A$1991,'PL TOTAL D0'!$C$3:$C$1991,"")</f>
        <v/>
      </c>
    </row>
    <row r="1252" ht="15.75" customHeight="1">
      <c r="A1252" s="50" t="s">
        <v>24</v>
      </c>
      <c r="B1252" s="428" t="s">
        <v>9761</v>
      </c>
      <c r="C1252" s="94" t="s">
        <v>9762</v>
      </c>
      <c r="D1252" s="30" t="s">
        <v>120</v>
      </c>
      <c r="E1252" s="22" t="s">
        <v>199</v>
      </c>
      <c r="F1252" s="30" t="s">
        <v>1399</v>
      </c>
      <c r="G1252" s="47" t="str">
        <f t="shared" si="55"/>
        <v>David</v>
      </c>
      <c r="H1252" s="49" t="s">
        <v>224</v>
      </c>
      <c r="I1252" s="49" t="s">
        <v>66</v>
      </c>
      <c r="J1252" s="47" t="str">
        <f t="shared" si="52"/>
        <v>Não</v>
      </c>
      <c r="K1252" s="54">
        <v>45518.0</v>
      </c>
      <c r="L1252" s="362">
        <v>45799.0</v>
      </c>
      <c r="M1252" s="32" t="s">
        <v>61</v>
      </c>
      <c r="N1252" s="199">
        <v>0.012</v>
      </c>
      <c r="O1252" s="23" t="s">
        <v>66</v>
      </c>
      <c r="P1252" s="57">
        <v>0.0</v>
      </c>
      <c r="Q1252" s="58"/>
      <c r="R1252" s="58" t="s">
        <v>610</v>
      </c>
      <c r="S1252" s="32" t="s">
        <v>194</v>
      </c>
      <c r="T1252" s="32" t="s">
        <v>9763</v>
      </c>
      <c r="U1252" s="33" t="s">
        <v>268</v>
      </c>
      <c r="V1252" s="33"/>
      <c r="W1252" s="33" t="s">
        <v>268</v>
      </c>
      <c r="X1252" s="23" t="s">
        <v>199</v>
      </c>
      <c r="Y1252" s="49" t="str">
        <f t="shared" si="46"/>
        <v>Encerrado</v>
      </c>
      <c r="Z1252" s="32"/>
      <c r="AA1252" s="32" t="s">
        <v>107</v>
      </c>
      <c r="AB1252" s="64" t="s">
        <v>244</v>
      </c>
      <c r="AC1252" s="79"/>
      <c r="AD1252" s="54">
        <v>45518.0</v>
      </c>
      <c r="AE1252" s="77">
        <v>4.9075100015643E13</v>
      </c>
      <c r="AF1252" s="79"/>
      <c r="AG1252" s="79"/>
      <c r="AH1252" s="79"/>
      <c r="AI1252" s="79"/>
      <c r="AJ1252" s="79"/>
      <c r="AK1252" s="79"/>
      <c r="AL1252" s="79"/>
      <c r="AM1252" s="79"/>
      <c r="AN1252" s="79"/>
      <c r="AO1252" s="79"/>
      <c r="AP1252" s="79"/>
      <c r="AQ1252" s="79"/>
      <c r="AR1252" s="79"/>
      <c r="AS1252" s="79"/>
      <c r="AT1252" s="79"/>
      <c r="AU1252" s="79"/>
      <c r="AV1252" s="65"/>
      <c r="AW1252" s="65"/>
      <c r="AX1252" s="65"/>
      <c r="AY1252" s="65"/>
      <c r="AZ1252" s="65"/>
      <c r="BA1252" s="65"/>
      <c r="BB1252" s="65">
        <v>30130.64</v>
      </c>
      <c r="BC1252" s="65">
        <v>30356.36</v>
      </c>
      <c r="BD1252" s="65">
        <v>30633.7</v>
      </c>
      <c r="BE1252" s="65">
        <v>0.0</v>
      </c>
      <c r="BF1252" s="65">
        <v>0.0</v>
      </c>
      <c r="BG1252" s="65">
        <v>0.0</v>
      </c>
      <c r="BH1252" s="65">
        <v>0.0</v>
      </c>
      <c r="BI1252" s="65">
        <v>0.0</v>
      </c>
      <c r="BJ1252" s="65">
        <v>0.0</v>
      </c>
      <c r="BK1252" s="65">
        <v>0.0</v>
      </c>
      <c r="BL1252" s="65">
        <v>0.0</v>
      </c>
      <c r="BM1252" s="65">
        <v>0.0</v>
      </c>
      <c r="BN1252" s="65">
        <v>0.0</v>
      </c>
      <c r="BO1252" s="65">
        <v>0.0</v>
      </c>
      <c r="BP1252" s="65">
        <v>0.0</v>
      </c>
      <c r="BQ1252" s="65">
        <v>0.0</v>
      </c>
      <c r="BR1252" s="65">
        <v>0.0</v>
      </c>
      <c r="BS1252" s="65">
        <v>0.0</v>
      </c>
      <c r="BT1252" s="88">
        <v>0.0</v>
      </c>
      <c r="BU1252" s="65">
        <v>0.0</v>
      </c>
      <c r="BV1252" s="65">
        <v>0.0</v>
      </c>
      <c r="BW1252" s="90">
        <v>0.0</v>
      </c>
      <c r="BX1252" s="90">
        <v>0.0</v>
      </c>
      <c r="BY1252" s="90" t="str">
        <f t="array" ref="BY1252">XLOOKUP(C1252,'PL TOTAL D0'!$A$3:$A$1991,'PL TOTAL D0'!$C$3:$C$1991,"")</f>
        <v/>
      </c>
    </row>
    <row r="1253" ht="15.75" customHeight="1">
      <c r="A1253" s="50" t="s">
        <v>24</v>
      </c>
      <c r="B1253" s="50" t="s">
        <v>9764</v>
      </c>
      <c r="C1253" s="94" t="s">
        <v>9765</v>
      </c>
      <c r="D1253" s="81" t="s">
        <v>120</v>
      </c>
      <c r="E1253" s="95" t="s">
        <v>54</v>
      </c>
      <c r="F1253" s="81" t="s">
        <v>348</v>
      </c>
      <c r="G1253" s="47" t="str">
        <f t="shared" si="55"/>
        <v>David</v>
      </c>
      <c r="H1253" s="49" t="s">
        <v>295</v>
      </c>
      <c r="I1253" s="49" t="s">
        <v>382</v>
      </c>
      <c r="J1253" s="47" t="str">
        <f t="shared" si="52"/>
        <v>Não</v>
      </c>
      <c r="K1253" s="97">
        <v>45163.0</v>
      </c>
      <c r="L1253" s="47"/>
      <c r="M1253" s="62" t="s">
        <v>61</v>
      </c>
      <c r="N1253" s="144">
        <v>0.012</v>
      </c>
      <c r="O1253" s="47" t="s">
        <v>66</v>
      </c>
      <c r="P1253" s="99">
        <v>0.0</v>
      </c>
      <c r="Q1253" s="58"/>
      <c r="R1253" s="70"/>
      <c r="S1253" s="62" t="s">
        <v>194</v>
      </c>
      <c r="T1253" s="32" t="s">
        <v>9766</v>
      </c>
      <c r="U1253" s="33">
        <v>5.562996602952E12</v>
      </c>
      <c r="V1253" s="33" t="s">
        <v>9767</v>
      </c>
      <c r="W1253" s="34">
        <v>31650.0</v>
      </c>
      <c r="X1253" s="23" t="s">
        <v>54</v>
      </c>
      <c r="Y1253" s="49" t="str">
        <f t="shared" si="46"/>
        <v>Ativo</v>
      </c>
      <c r="Z1253" s="62"/>
      <c r="AA1253" s="62"/>
      <c r="AB1253" s="64" t="s">
        <v>269</v>
      </c>
      <c r="AC1253" s="79"/>
      <c r="AD1253" s="54">
        <v>45163.0</v>
      </c>
      <c r="AE1253" s="77">
        <v>4.9075100009473E13</v>
      </c>
      <c r="AF1253" s="79"/>
      <c r="AG1253" s="79"/>
      <c r="AH1253" s="79"/>
      <c r="AI1253" s="79"/>
      <c r="AJ1253" s="79"/>
      <c r="AK1253" s="79"/>
      <c r="AL1253" s="79"/>
      <c r="AM1253" s="79"/>
      <c r="AN1253" s="79"/>
      <c r="AO1253" s="65">
        <v>0.0</v>
      </c>
      <c r="AP1253" s="65">
        <v>47901.55</v>
      </c>
      <c r="AQ1253" s="65">
        <v>48256.88</v>
      </c>
      <c r="AR1253" s="65">
        <v>48591.25</v>
      </c>
      <c r="AS1253" s="65">
        <v>48964.38</v>
      </c>
      <c r="AT1253" s="65">
        <v>49359.0</v>
      </c>
      <c r="AU1253" s="65">
        <v>59863.5</v>
      </c>
      <c r="AV1253" s="65">
        <v>68398.09</v>
      </c>
      <c r="AW1253" s="65">
        <v>69000.88</v>
      </c>
      <c r="AX1253" s="65">
        <v>69574.13</v>
      </c>
      <c r="AY1253" s="65">
        <v>70142.12</v>
      </c>
      <c r="AZ1253" s="65">
        <v>70349.28</v>
      </c>
      <c r="BA1253" s="65">
        <v>70956.52</v>
      </c>
      <c r="BB1253" s="65">
        <v>71537.66</v>
      </c>
      <c r="BC1253" s="65">
        <v>71986.24</v>
      </c>
      <c r="BD1253" s="65">
        <v>72663.78</v>
      </c>
      <c r="BE1253" s="65">
        <v>0.0</v>
      </c>
      <c r="BF1253" s="65">
        <v>8.92</v>
      </c>
      <c r="BG1253" s="65">
        <v>8.92</v>
      </c>
      <c r="BH1253" s="65">
        <v>8.92</v>
      </c>
      <c r="BI1253" s="65">
        <v>8.92</v>
      </c>
      <c r="BJ1253" s="65">
        <v>0.0</v>
      </c>
      <c r="BK1253" s="65">
        <v>0.0</v>
      </c>
      <c r="BL1253" s="65">
        <v>0.0</v>
      </c>
      <c r="BM1253" s="65">
        <v>0.0</v>
      </c>
      <c r="BN1253" s="65">
        <v>0.0</v>
      </c>
      <c r="BO1253" s="65">
        <v>0.0</v>
      </c>
      <c r="BP1253" s="65">
        <v>0.0</v>
      </c>
      <c r="BQ1253" s="65">
        <v>0.0</v>
      </c>
      <c r="BR1253" s="65">
        <v>0.0</v>
      </c>
      <c r="BS1253" s="65">
        <v>0.0</v>
      </c>
      <c r="BT1253" s="88">
        <v>0.0</v>
      </c>
      <c r="BU1253" s="65">
        <v>0.0</v>
      </c>
      <c r="BV1253" s="65">
        <v>0.0</v>
      </c>
      <c r="BW1253" s="90">
        <v>0.0</v>
      </c>
      <c r="BX1253" s="90">
        <v>0.0</v>
      </c>
      <c r="BY1253" s="90" t="str">
        <f t="array" ref="BY1253">XLOOKUP(C1253,'PL TOTAL D0'!$A$3:$A$1991,'PL TOTAL D0'!$C$3:$C$1991,"")</f>
        <v/>
      </c>
    </row>
    <row r="1254" ht="15.75" customHeight="1">
      <c r="A1254" s="50" t="s">
        <v>24</v>
      </c>
      <c r="B1254" s="188" t="s">
        <v>9768</v>
      </c>
      <c r="C1254" s="94" t="s">
        <v>9769</v>
      </c>
      <c r="D1254" s="30" t="s">
        <v>120</v>
      </c>
      <c r="E1254" s="95" t="s">
        <v>54</v>
      </c>
      <c r="F1254" s="30" t="s">
        <v>1393</v>
      </c>
      <c r="G1254" s="47" t="str">
        <f t="shared" si="55"/>
        <v>David</v>
      </c>
      <c r="H1254" s="49" t="s">
        <v>295</v>
      </c>
      <c r="I1254" s="49" t="s">
        <v>382</v>
      </c>
      <c r="J1254" s="47" t="str">
        <f t="shared" si="52"/>
        <v>Não</v>
      </c>
      <c r="K1254" s="54">
        <v>45446.0</v>
      </c>
      <c r="L1254" s="47"/>
      <c r="M1254" s="602" t="s">
        <v>213</v>
      </c>
      <c r="N1254" s="297">
        <v>0.007</v>
      </c>
      <c r="O1254" s="299" t="s">
        <v>66</v>
      </c>
      <c r="P1254" s="300">
        <v>0.0</v>
      </c>
      <c r="Q1254" s="58"/>
      <c r="R1254" s="70"/>
      <c r="S1254" s="32" t="s">
        <v>234</v>
      </c>
      <c r="T1254" s="177" t="s">
        <v>9770</v>
      </c>
      <c r="U1254" s="33">
        <v>5.562981190708E12</v>
      </c>
      <c r="V1254" s="33" t="s">
        <v>9746</v>
      </c>
      <c r="W1254" s="34">
        <v>40714.0</v>
      </c>
      <c r="X1254" s="23" t="s">
        <v>54</v>
      </c>
      <c r="Y1254" s="49" t="str">
        <f t="shared" si="46"/>
        <v>Ativo</v>
      </c>
      <c r="Z1254" s="32"/>
      <c r="AA1254" s="32" t="s">
        <v>107</v>
      </c>
      <c r="AB1254" s="64" t="s">
        <v>269</v>
      </c>
      <c r="AC1254" s="79"/>
      <c r="AD1254" s="54">
        <v>45446.0</v>
      </c>
      <c r="AE1254" s="77">
        <v>4.9075100014991E13</v>
      </c>
      <c r="AF1254" s="79"/>
      <c r="AG1254" s="79"/>
      <c r="AH1254" s="79"/>
      <c r="AI1254" s="79"/>
      <c r="AJ1254" s="79"/>
      <c r="AK1254" s="79"/>
      <c r="AL1254" s="79"/>
      <c r="AM1254" s="79"/>
      <c r="AN1254" s="79"/>
      <c r="AO1254" s="79"/>
      <c r="AP1254" s="79"/>
      <c r="AQ1254" s="79"/>
      <c r="AR1254" s="79"/>
      <c r="AS1254" s="79"/>
      <c r="AT1254" s="79"/>
      <c r="AU1254" s="79"/>
      <c r="AV1254" s="65"/>
      <c r="AW1254" s="65"/>
      <c r="AX1254" s="65"/>
      <c r="AY1254" s="65"/>
      <c r="AZ1254" s="65">
        <v>503028.1</v>
      </c>
      <c r="BA1254" s="65">
        <v>2017493.0</v>
      </c>
      <c r="BB1254" s="65">
        <v>1529108.38</v>
      </c>
      <c r="BC1254" s="65">
        <v>531056.89</v>
      </c>
      <c r="BD1254" s="65">
        <v>535622.75</v>
      </c>
      <c r="BE1254" s="65">
        <v>1036128.57</v>
      </c>
      <c r="BF1254" s="65">
        <v>391951.68</v>
      </c>
      <c r="BG1254" s="65">
        <v>395474.82</v>
      </c>
      <c r="BH1254" s="65">
        <v>399087.38</v>
      </c>
      <c r="BI1254" s="65">
        <v>402660.91</v>
      </c>
      <c r="BJ1254" s="65">
        <v>18.8</v>
      </c>
      <c r="BK1254" s="65">
        <v>27.77</v>
      </c>
      <c r="BL1254" s="65">
        <v>27.77</v>
      </c>
      <c r="BM1254" s="65">
        <v>27.77</v>
      </c>
      <c r="BN1254" s="65">
        <v>27.77</v>
      </c>
      <c r="BO1254" s="65">
        <v>27.77</v>
      </c>
      <c r="BP1254" s="65">
        <v>27.77</v>
      </c>
      <c r="BQ1254" s="65">
        <v>27.77</v>
      </c>
      <c r="BR1254" s="65">
        <v>27.77</v>
      </c>
      <c r="BS1254" s="65">
        <v>27.77</v>
      </c>
      <c r="BT1254" s="88">
        <v>27.77</v>
      </c>
      <c r="BU1254" s="65">
        <v>27.77</v>
      </c>
      <c r="BV1254" s="65">
        <v>27.77</v>
      </c>
      <c r="BW1254" s="90">
        <v>27.77</v>
      </c>
      <c r="BX1254" s="90">
        <v>27.77</v>
      </c>
      <c r="BY1254" s="90" t="str">
        <f t="array" ref="BY1254">XLOOKUP(C1254,'PL TOTAL D0'!$A$3:$A$1991,'PL TOTAL D0'!$C$3:$C$1991,"")</f>
        <v/>
      </c>
    </row>
    <row r="1255" ht="15.75" customHeight="1">
      <c r="A1255" s="43" t="s">
        <v>24</v>
      </c>
      <c r="B1255" s="510" t="s">
        <v>9771</v>
      </c>
      <c r="C1255" s="94" t="s">
        <v>9772</v>
      </c>
      <c r="D1255" s="30" t="s">
        <v>120</v>
      </c>
      <c r="E1255" s="22" t="s">
        <v>475</v>
      </c>
      <c r="F1255" s="81" t="s">
        <v>1658</v>
      </c>
      <c r="G1255" s="47" t="str">
        <f t="shared" si="55"/>
        <v>David</v>
      </c>
      <c r="H1255" s="49" t="s">
        <v>295</v>
      </c>
      <c r="I1255" s="49" t="s">
        <v>382</v>
      </c>
      <c r="J1255" s="47" t="str">
        <f t="shared" si="52"/>
        <v>Não</v>
      </c>
      <c r="K1255" s="54">
        <v>45348.0</v>
      </c>
      <c r="L1255" s="47"/>
      <c r="M1255" s="32" t="s">
        <v>231</v>
      </c>
      <c r="N1255" s="199">
        <v>0.025</v>
      </c>
      <c r="O1255" s="23" t="s">
        <v>233</v>
      </c>
      <c r="P1255" s="702">
        <v>0.2</v>
      </c>
      <c r="Q1255" s="58"/>
      <c r="R1255" s="58" t="s">
        <v>9773</v>
      </c>
      <c r="S1255" s="32" t="s">
        <v>194</v>
      </c>
      <c r="T1255" s="32" t="s">
        <v>9774</v>
      </c>
      <c r="U1255" s="33">
        <v>5.511971085103E12</v>
      </c>
      <c r="V1255" s="33" t="s">
        <v>9775</v>
      </c>
      <c r="W1255" s="34">
        <v>23074.0</v>
      </c>
      <c r="X1255" s="23" t="s">
        <v>475</v>
      </c>
      <c r="Y1255" s="49" t="str">
        <f t="shared" si="46"/>
        <v>Ativo</v>
      </c>
      <c r="Z1255" s="62"/>
      <c r="AA1255" s="62"/>
      <c r="AB1255" s="64" t="s">
        <v>269</v>
      </c>
      <c r="AC1255" s="79"/>
      <c r="AD1255" s="54">
        <v>45348.0</v>
      </c>
      <c r="AE1255" s="77">
        <v>4.9075100013527E13</v>
      </c>
      <c r="AF1255" s="79"/>
      <c r="AG1255" s="79"/>
      <c r="AH1255" s="79"/>
      <c r="AI1255" s="79"/>
      <c r="AJ1255" s="79"/>
      <c r="AK1255" s="79"/>
      <c r="AL1255" s="79"/>
      <c r="AM1255" s="79"/>
      <c r="AN1255" s="79"/>
      <c r="AO1255" s="79"/>
      <c r="AP1255" s="79"/>
      <c r="AQ1255" s="79"/>
      <c r="AR1255" s="79"/>
      <c r="AS1255" s="79"/>
      <c r="AT1255" s="79"/>
      <c r="AU1255" s="79"/>
      <c r="AV1255" s="65">
        <v>177833.16</v>
      </c>
      <c r="AW1255" s="65">
        <v>180938.03</v>
      </c>
      <c r="AX1255" s="65">
        <v>173455.26</v>
      </c>
      <c r="AY1255" s="65">
        <v>168089.1</v>
      </c>
      <c r="AZ1255" s="65">
        <v>168367.9</v>
      </c>
      <c r="BA1255" s="65">
        <v>172973.9</v>
      </c>
      <c r="BB1255" s="65">
        <v>176604.23</v>
      </c>
      <c r="BC1255" s="65">
        <v>173034.9</v>
      </c>
      <c r="BD1255" s="65">
        <v>165663.34</v>
      </c>
      <c r="BE1255" s="65">
        <v>160052.95</v>
      </c>
      <c r="BF1255" s="65">
        <v>1418.46</v>
      </c>
      <c r="BG1255" s="65">
        <v>1424.35</v>
      </c>
      <c r="BH1255" s="65">
        <v>1429.67</v>
      </c>
      <c r="BI1255" s="65">
        <v>1435.23</v>
      </c>
      <c r="BJ1255" s="65">
        <v>369.72</v>
      </c>
      <c r="BK1255" s="65">
        <v>249.37</v>
      </c>
      <c r="BL1255" s="65">
        <v>249.37</v>
      </c>
      <c r="BM1255" s="65">
        <v>249.37</v>
      </c>
      <c r="BN1255" s="65">
        <v>249.37</v>
      </c>
      <c r="BO1255" s="65">
        <v>249.37</v>
      </c>
      <c r="BP1255" s="65">
        <v>249.37</v>
      </c>
      <c r="BQ1255" s="65">
        <v>249.37</v>
      </c>
      <c r="BR1255" s="65">
        <v>249.37</v>
      </c>
      <c r="BS1255" s="65">
        <v>251.01</v>
      </c>
      <c r="BT1255" s="88">
        <v>253.5</v>
      </c>
      <c r="BU1255" s="65">
        <v>256.59</v>
      </c>
      <c r="BV1255" s="65">
        <v>259.35</v>
      </c>
      <c r="BW1255" s="90">
        <v>260.23</v>
      </c>
      <c r="BX1255" s="90">
        <v>262.97</v>
      </c>
      <c r="BY1255" s="90" t="str">
        <f t="array" ref="BY1255">XLOOKUP(C1255,'PL TOTAL D0'!$A$3:$A$1991,'PL TOTAL D0'!$C$3:$C$1991,"")</f>
        <v/>
      </c>
    </row>
    <row r="1256" ht="15.75" customHeight="1">
      <c r="A1256" s="50" t="s">
        <v>24</v>
      </c>
      <c r="B1256" s="510" t="s">
        <v>9771</v>
      </c>
      <c r="C1256" s="94" t="s">
        <v>9776</v>
      </c>
      <c r="D1256" s="81" t="s">
        <v>120</v>
      </c>
      <c r="E1256" s="95" t="s">
        <v>475</v>
      </c>
      <c r="F1256" s="81" t="s">
        <v>1658</v>
      </c>
      <c r="G1256" s="47" t="str">
        <f t="shared" si="55"/>
        <v>David</v>
      </c>
      <c r="H1256" s="49" t="s">
        <v>295</v>
      </c>
      <c r="I1256" s="49" t="s">
        <v>382</v>
      </c>
      <c r="J1256" s="47" t="str">
        <f t="shared" si="52"/>
        <v>Não</v>
      </c>
      <c r="K1256" s="97">
        <v>44998.0</v>
      </c>
      <c r="L1256" s="47"/>
      <c r="M1256" s="32" t="s">
        <v>61</v>
      </c>
      <c r="N1256" s="199">
        <v>0.012</v>
      </c>
      <c r="O1256" s="32" t="s">
        <v>66</v>
      </c>
      <c r="P1256" s="702">
        <v>0.0</v>
      </c>
      <c r="Q1256" s="58"/>
      <c r="R1256" s="58" t="s">
        <v>9777</v>
      </c>
      <c r="S1256" s="62" t="s">
        <v>194</v>
      </c>
      <c r="T1256" s="32" t="s">
        <v>9778</v>
      </c>
      <c r="U1256" s="33">
        <v>5.511971085103E12</v>
      </c>
      <c r="V1256" s="33" t="s">
        <v>9775</v>
      </c>
      <c r="W1256" s="34">
        <v>23074.0</v>
      </c>
      <c r="X1256" s="23" t="s">
        <v>475</v>
      </c>
      <c r="Y1256" s="49" t="str">
        <f t="shared" si="46"/>
        <v>Ativo</v>
      </c>
      <c r="Z1256" s="62"/>
      <c r="AA1256" s="62"/>
      <c r="AB1256" s="64" t="s">
        <v>269</v>
      </c>
      <c r="AC1256" s="79"/>
      <c r="AD1256" s="54">
        <v>44998.0</v>
      </c>
      <c r="AE1256" s="77">
        <v>4.9075100008728E13</v>
      </c>
      <c r="AF1256" s="79"/>
      <c r="AG1256" s="79"/>
      <c r="AH1256" s="79"/>
      <c r="AI1256" s="79"/>
      <c r="AJ1256" s="65">
        <v>4066.02</v>
      </c>
      <c r="AK1256" s="65">
        <v>119885.32</v>
      </c>
      <c r="AL1256" s="65">
        <v>120387.26</v>
      </c>
      <c r="AM1256" s="65">
        <v>122550.79</v>
      </c>
      <c r="AN1256" s="65">
        <v>124736.01</v>
      </c>
      <c r="AO1256" s="65">
        <v>126205.58</v>
      </c>
      <c r="AP1256" s="65">
        <v>126009.64</v>
      </c>
      <c r="AQ1256" s="65">
        <v>238439.05</v>
      </c>
      <c r="AR1256" s="65">
        <v>238416.3</v>
      </c>
      <c r="AS1256" s="65">
        <v>243583.02</v>
      </c>
      <c r="AT1256" s="65">
        <v>248332.55</v>
      </c>
      <c r="AU1256" s="65">
        <v>244038.43</v>
      </c>
      <c r="AV1256" s="65">
        <v>167467.49</v>
      </c>
      <c r="AW1256" s="65">
        <v>168695.58</v>
      </c>
      <c r="AX1256" s="65">
        <v>169793.89</v>
      </c>
      <c r="AY1256" s="65">
        <v>171131.9</v>
      </c>
      <c r="AZ1256" s="65">
        <v>172418.8</v>
      </c>
      <c r="BA1256" s="65">
        <v>173808.5</v>
      </c>
      <c r="BB1256" s="65">
        <v>174320.1</v>
      </c>
      <c r="BC1256" s="65">
        <v>175086.26</v>
      </c>
      <c r="BD1256" s="65">
        <v>176757.99</v>
      </c>
      <c r="BE1256" s="65">
        <v>178071.51</v>
      </c>
      <c r="BF1256" s="65">
        <v>30066.21</v>
      </c>
      <c r="BG1256" s="65">
        <v>30222.36</v>
      </c>
      <c r="BH1256" s="65">
        <v>30484.14</v>
      </c>
      <c r="BI1256" s="65">
        <v>30743.6</v>
      </c>
      <c r="BJ1256" s="65">
        <v>25.38</v>
      </c>
      <c r="BK1256" s="65">
        <v>26.52</v>
      </c>
      <c r="BL1256" s="65">
        <v>26.52</v>
      </c>
      <c r="BM1256" s="65">
        <v>26.52</v>
      </c>
      <c r="BN1256" s="65">
        <v>26.52</v>
      </c>
      <c r="BO1256" s="65">
        <v>26.52</v>
      </c>
      <c r="BP1256" s="65">
        <v>26.52</v>
      </c>
      <c r="BQ1256" s="65">
        <v>26.52</v>
      </c>
      <c r="BR1256" s="65">
        <v>26.52</v>
      </c>
      <c r="BS1256" s="65">
        <v>26.52</v>
      </c>
      <c r="BT1256" s="88">
        <v>26.52</v>
      </c>
      <c r="BU1256" s="65">
        <v>26.52</v>
      </c>
      <c r="BV1256" s="65">
        <v>26.52</v>
      </c>
      <c r="BW1256" s="90">
        <v>26.52</v>
      </c>
      <c r="BX1256" s="90">
        <v>26.52</v>
      </c>
      <c r="BY1256" s="90" t="str">
        <f t="array" ref="BY1256">XLOOKUP(C1256,'PL TOTAL D0'!$A$3:$A$1991,'PL TOTAL D0'!$C$3:$C$1991,"")</f>
        <v/>
      </c>
    </row>
    <row r="1257" ht="15.75" customHeight="1">
      <c r="A1257" s="50" t="s">
        <v>24</v>
      </c>
      <c r="B1257" s="50" t="s">
        <v>9779</v>
      </c>
      <c r="C1257" s="94" t="s">
        <v>2753</v>
      </c>
      <c r="D1257" s="81" t="s">
        <v>142</v>
      </c>
      <c r="E1257" s="95" t="s">
        <v>54</v>
      </c>
      <c r="F1257" s="30" t="s">
        <v>4568</v>
      </c>
      <c r="G1257" s="47" t="str">
        <f t="shared" si="55"/>
        <v>Marcus</v>
      </c>
      <c r="H1257" s="49" t="s">
        <v>183</v>
      </c>
      <c r="I1257" s="49" t="s">
        <v>66</v>
      </c>
      <c r="J1257" s="47" t="str">
        <f t="shared" si="52"/>
        <v>Não</v>
      </c>
      <c r="K1257" s="97">
        <v>45253.0</v>
      </c>
      <c r="L1257" s="47"/>
      <c r="M1257" s="62" t="s">
        <v>61</v>
      </c>
      <c r="N1257" s="366">
        <v>0.012</v>
      </c>
      <c r="O1257" s="81" t="s">
        <v>66</v>
      </c>
      <c r="P1257" s="367">
        <v>0.0</v>
      </c>
      <c r="Q1257" s="58"/>
      <c r="R1257" s="70"/>
      <c r="S1257" s="62" t="s">
        <v>194</v>
      </c>
      <c r="T1257" s="32" t="s">
        <v>9780</v>
      </c>
      <c r="U1257" s="33">
        <v>6.2981030308E10</v>
      </c>
      <c r="V1257" s="33" t="s">
        <v>9781</v>
      </c>
      <c r="W1257" s="34">
        <v>30358.0</v>
      </c>
      <c r="X1257" s="23" t="s">
        <v>54</v>
      </c>
      <c r="Y1257" s="49" t="str">
        <f t="shared" si="46"/>
        <v>Ativo</v>
      </c>
      <c r="Z1257" s="62"/>
      <c r="AA1257" s="62"/>
      <c r="AB1257" s="64" t="s">
        <v>269</v>
      </c>
      <c r="AC1257" s="79"/>
      <c r="AD1257" s="54">
        <v>45253.0</v>
      </c>
      <c r="AE1257" s="77">
        <v>4.9075100012865E13</v>
      </c>
      <c r="AF1257" s="79"/>
      <c r="AG1257" s="79"/>
      <c r="AH1257" s="79"/>
      <c r="AI1257" s="79"/>
      <c r="AJ1257" s="79"/>
      <c r="AK1257" s="79"/>
      <c r="AL1257" s="79"/>
      <c r="AM1257" s="79"/>
      <c r="AN1257" s="79"/>
      <c r="AO1257" s="79"/>
      <c r="AP1257" s="79"/>
      <c r="AQ1257" s="79"/>
      <c r="AR1257" s="79"/>
      <c r="AS1257" s="65">
        <v>170070.52</v>
      </c>
      <c r="AT1257" s="65">
        <v>171445.43</v>
      </c>
      <c r="AU1257" s="65">
        <v>607050.12</v>
      </c>
      <c r="AV1257" s="65">
        <v>615015.2</v>
      </c>
      <c r="AW1257" s="65">
        <v>623702.07</v>
      </c>
      <c r="AX1257" s="65">
        <v>977080.97</v>
      </c>
      <c r="AY1257" s="65">
        <v>990953.2</v>
      </c>
      <c r="AZ1257" s="65">
        <v>1003964.0</v>
      </c>
      <c r="BA1257" s="65">
        <v>1008605.0</v>
      </c>
      <c r="BB1257" s="65">
        <v>1031201.35</v>
      </c>
      <c r="BC1257" s="65">
        <v>1032975.68</v>
      </c>
      <c r="BD1257" s="65">
        <v>1051387.96</v>
      </c>
      <c r="BE1257" s="65">
        <v>1033209.18</v>
      </c>
      <c r="BF1257" s="65">
        <v>1005662.95</v>
      </c>
      <c r="BG1257" s="65">
        <v>1009144.14</v>
      </c>
      <c r="BH1257" s="65">
        <v>949000.94</v>
      </c>
      <c r="BI1257" s="65">
        <v>908560.66</v>
      </c>
      <c r="BJ1257" s="65">
        <v>915218.88</v>
      </c>
      <c r="BK1257" s="65">
        <v>937102.49</v>
      </c>
      <c r="BL1257" s="65">
        <v>953471.35</v>
      </c>
      <c r="BM1257" s="65">
        <v>968899.55</v>
      </c>
      <c r="BN1257" s="65">
        <v>980832.9</v>
      </c>
      <c r="BO1257" s="65">
        <v>992592.62</v>
      </c>
      <c r="BP1257" s="65">
        <v>1008057.0</v>
      </c>
      <c r="BQ1257" s="65">
        <v>971720.2</v>
      </c>
      <c r="BR1257" s="65">
        <v>939281.1</v>
      </c>
      <c r="BS1257" s="65">
        <v>948973.46</v>
      </c>
      <c r="BT1257" s="88">
        <v>911603.7</v>
      </c>
      <c r="BU1257" s="65">
        <v>852371.2</v>
      </c>
      <c r="BV1257" s="65">
        <v>891631.3</v>
      </c>
      <c r="BW1257" s="90">
        <v>915607.5</v>
      </c>
      <c r="BX1257" s="90">
        <v>878387.5</v>
      </c>
      <c r="BY1257" s="90">
        <f t="array" ref="BY1257">XLOOKUP(C1257,'PL TOTAL D0'!$A$3:$A$1991,'PL TOTAL D0'!$C$3:$C$1991,"")</f>
        <v>856608.59</v>
      </c>
    </row>
    <row r="1258" ht="15.75" customHeight="1">
      <c r="A1258" s="50" t="s">
        <v>24</v>
      </c>
      <c r="B1258" s="510" t="s">
        <v>7616</v>
      </c>
      <c r="C1258" s="94" t="s">
        <v>3403</v>
      </c>
      <c r="D1258" s="30" t="s">
        <v>89</v>
      </c>
      <c r="E1258" s="95" t="s">
        <v>91</v>
      </c>
      <c r="F1258" s="81" t="s">
        <v>521</v>
      </c>
      <c r="G1258" s="47" t="str">
        <f t="shared" si="55"/>
        <v>Gabriel</v>
      </c>
      <c r="H1258" s="74" t="s">
        <v>183</v>
      </c>
      <c r="I1258" s="74" t="s">
        <v>66</v>
      </c>
      <c r="J1258" s="47" t="str">
        <f t="shared" si="52"/>
        <v>Não</v>
      </c>
      <c r="K1258" s="97">
        <v>45008.0</v>
      </c>
      <c r="L1258" s="47"/>
      <c r="M1258" s="62" t="s">
        <v>61</v>
      </c>
      <c r="N1258" s="144">
        <v>0.012</v>
      </c>
      <c r="O1258" s="47" t="s">
        <v>66</v>
      </c>
      <c r="P1258" s="99">
        <v>0.0</v>
      </c>
      <c r="Q1258" s="58"/>
      <c r="R1258" s="70"/>
      <c r="S1258" s="62" t="s">
        <v>194</v>
      </c>
      <c r="T1258" s="32" t="s">
        <v>7617</v>
      </c>
      <c r="U1258" s="33">
        <v>5.543991281097E12</v>
      </c>
      <c r="V1258" s="33" t="s">
        <v>9782</v>
      </c>
      <c r="W1258" s="34">
        <v>26506.0</v>
      </c>
      <c r="X1258" s="23" t="s">
        <v>221</v>
      </c>
      <c r="Y1258" s="49" t="str">
        <f t="shared" si="46"/>
        <v>Ativo</v>
      </c>
      <c r="Z1258" s="62"/>
      <c r="AA1258" s="62"/>
      <c r="AB1258" s="64" t="s">
        <v>269</v>
      </c>
      <c r="AC1258" s="79"/>
      <c r="AD1258" s="54">
        <v>45008.0</v>
      </c>
      <c r="AE1258" s="77">
        <v>4.9075100009791E13</v>
      </c>
      <c r="AF1258" s="79"/>
      <c r="AG1258" s="79"/>
      <c r="AH1258" s="79"/>
      <c r="AI1258" s="79"/>
      <c r="AJ1258" s="79"/>
      <c r="AK1258" s="65">
        <v>521621.68</v>
      </c>
      <c r="AL1258" s="65">
        <v>532518.37</v>
      </c>
      <c r="AM1258" s="65">
        <v>507006.42</v>
      </c>
      <c r="AN1258" s="65">
        <v>431627.77</v>
      </c>
      <c r="AO1258" s="65">
        <v>435468.55</v>
      </c>
      <c r="AP1258" s="65">
        <v>439899.37</v>
      </c>
      <c r="AQ1258" s="65">
        <v>442964.55</v>
      </c>
      <c r="AR1258" s="65">
        <v>446342.96</v>
      </c>
      <c r="AS1258" s="65">
        <v>449986.5</v>
      </c>
      <c r="AT1258" s="65">
        <v>453760.24</v>
      </c>
      <c r="AU1258" s="65">
        <v>457488.96</v>
      </c>
      <c r="AV1258" s="65">
        <v>456700.32</v>
      </c>
      <c r="AW1258" s="65">
        <v>460657.48</v>
      </c>
      <c r="AX1258" s="65">
        <v>462071.8</v>
      </c>
      <c r="AY1258" s="65">
        <v>463926.1</v>
      </c>
      <c r="AZ1258" s="65">
        <v>467784.5</v>
      </c>
      <c r="BA1258" s="65">
        <v>470653.2</v>
      </c>
      <c r="BB1258" s="65">
        <v>474704.32</v>
      </c>
      <c r="BC1258" s="65">
        <v>477128.01</v>
      </c>
      <c r="BD1258" s="65">
        <v>482001.49</v>
      </c>
      <c r="BE1258" s="65">
        <v>485790.66</v>
      </c>
      <c r="BF1258" s="65">
        <v>489700.33</v>
      </c>
      <c r="BG1258" s="65">
        <v>494538.52</v>
      </c>
      <c r="BH1258" s="65">
        <v>497226.51</v>
      </c>
      <c r="BI1258" s="65">
        <v>501629.24</v>
      </c>
      <c r="BJ1258" s="65">
        <v>505780.6</v>
      </c>
      <c r="BK1258" s="65">
        <v>509987.85</v>
      </c>
      <c r="BL1258" s="65">
        <v>514953.25</v>
      </c>
      <c r="BM1258" s="65">
        <v>520445.04</v>
      </c>
      <c r="BN1258" s="65">
        <v>349176.8</v>
      </c>
      <c r="BO1258" s="65">
        <v>352611.56</v>
      </c>
      <c r="BP1258" s="65">
        <v>315793.7</v>
      </c>
      <c r="BQ1258" s="65">
        <v>318769.6</v>
      </c>
      <c r="BR1258" s="65">
        <v>321812.3</v>
      </c>
      <c r="BS1258" s="65">
        <v>325409.64</v>
      </c>
      <c r="BT1258" s="88">
        <v>327739.3</v>
      </c>
      <c r="BU1258" s="65">
        <v>331562.7</v>
      </c>
      <c r="BV1258" s="65">
        <v>335348.1</v>
      </c>
      <c r="BW1258" s="90">
        <v>338818.2</v>
      </c>
      <c r="BX1258" s="90">
        <v>65575.63</v>
      </c>
      <c r="BY1258" s="90">
        <f t="array" ref="BY1258">XLOOKUP(C1258,'PL TOTAL D0'!$A$3:$A$1991,'PL TOTAL D0'!$C$3:$C$1991,"")</f>
        <v>66231.72</v>
      </c>
    </row>
    <row r="1259" ht="15.75" customHeight="1">
      <c r="A1259" s="50" t="s">
        <v>24</v>
      </c>
      <c r="B1259" s="510" t="s">
        <v>7616</v>
      </c>
      <c r="C1259" s="94" t="s">
        <v>9783</v>
      </c>
      <c r="D1259" s="30" t="s">
        <v>89</v>
      </c>
      <c r="E1259" s="95" t="s">
        <v>91</v>
      </c>
      <c r="F1259" s="81" t="s">
        <v>521</v>
      </c>
      <c r="G1259" s="47" t="str">
        <f t="shared" si="55"/>
        <v>David</v>
      </c>
      <c r="H1259" s="49" t="s">
        <v>224</v>
      </c>
      <c r="I1259" s="49" t="s">
        <v>66</v>
      </c>
      <c r="J1259" s="47" t="str">
        <f t="shared" si="52"/>
        <v>Não</v>
      </c>
      <c r="K1259" s="97">
        <v>45008.0</v>
      </c>
      <c r="L1259" s="362">
        <v>45937.0</v>
      </c>
      <c r="M1259" s="62" t="s">
        <v>1142</v>
      </c>
      <c r="N1259" s="144">
        <v>0.008</v>
      </c>
      <c r="O1259" s="62" t="s">
        <v>1143</v>
      </c>
      <c r="P1259" s="520">
        <v>0.1</v>
      </c>
      <c r="Q1259" s="58"/>
      <c r="R1259" s="58" t="s">
        <v>610</v>
      </c>
      <c r="S1259" s="62" t="s">
        <v>194</v>
      </c>
      <c r="T1259" s="32" t="s">
        <v>7617</v>
      </c>
      <c r="U1259" s="33">
        <v>5.543991281097E12</v>
      </c>
      <c r="V1259" s="33" t="s">
        <v>9782</v>
      </c>
      <c r="W1259" s="34">
        <v>26506.0</v>
      </c>
      <c r="X1259" s="23" t="s">
        <v>221</v>
      </c>
      <c r="Y1259" s="49" t="str">
        <f t="shared" si="46"/>
        <v>Encerrado</v>
      </c>
      <c r="Z1259" s="62"/>
      <c r="AA1259" s="62"/>
      <c r="AB1259" s="64" t="s">
        <v>269</v>
      </c>
      <c r="AC1259" s="79"/>
      <c r="AD1259" s="54">
        <v>45008.0</v>
      </c>
      <c r="AE1259" s="77">
        <v>4.9075100007128E13</v>
      </c>
      <c r="AF1259" s="79"/>
      <c r="AG1259" s="79"/>
      <c r="AH1259" s="79"/>
      <c r="AI1259" s="79"/>
      <c r="AJ1259" s="79"/>
      <c r="AK1259" s="65">
        <v>163277.33</v>
      </c>
      <c r="AL1259" s="65">
        <v>169594.56</v>
      </c>
      <c r="AM1259" s="65">
        <v>180521.59</v>
      </c>
      <c r="AN1259" s="65">
        <v>184229.48</v>
      </c>
      <c r="AO1259" s="65">
        <v>191310.25</v>
      </c>
      <c r="AP1259" s="65">
        <v>207176.92</v>
      </c>
      <c r="AQ1259" s="65">
        <v>205472.06</v>
      </c>
      <c r="AR1259" s="65">
        <v>200959.98</v>
      </c>
      <c r="AS1259" s="65">
        <v>204814.37</v>
      </c>
      <c r="AT1259" s="65">
        <v>213492.69</v>
      </c>
      <c r="AU1259" s="65">
        <v>213961.05</v>
      </c>
      <c r="AV1259" s="65">
        <v>214669.12</v>
      </c>
      <c r="AW1259" s="65">
        <v>214690.42</v>
      </c>
      <c r="AX1259" s="65">
        <v>213125.79</v>
      </c>
      <c r="AY1259" s="65">
        <v>213944.5</v>
      </c>
      <c r="AZ1259" s="65">
        <v>214275.0</v>
      </c>
      <c r="BA1259" s="65">
        <v>214050.8</v>
      </c>
      <c r="BB1259" s="65">
        <v>216666.14</v>
      </c>
      <c r="BC1259" s="65">
        <v>211925.88</v>
      </c>
      <c r="BD1259" s="65">
        <v>0.0</v>
      </c>
      <c r="BE1259" s="65">
        <v>0.0</v>
      </c>
      <c r="BF1259" s="65">
        <v>2.41</v>
      </c>
      <c r="BG1259" s="65">
        <v>2.41</v>
      </c>
      <c r="BH1259" s="65">
        <v>0.0</v>
      </c>
      <c r="BI1259" s="65">
        <v>0.0</v>
      </c>
      <c r="BJ1259" s="65">
        <v>0.0</v>
      </c>
      <c r="BK1259" s="65">
        <v>0.0</v>
      </c>
      <c r="BL1259" s="65">
        <v>0.0</v>
      </c>
      <c r="BM1259" s="65">
        <v>0.0</v>
      </c>
      <c r="BN1259" s="65">
        <v>0.0</v>
      </c>
      <c r="BO1259" s="65">
        <v>0.0</v>
      </c>
      <c r="BP1259" s="65">
        <v>0.0</v>
      </c>
      <c r="BQ1259" s="65">
        <v>0.0</v>
      </c>
      <c r="BR1259" s="65">
        <v>0.0</v>
      </c>
      <c r="BS1259" s="65">
        <v>0.0</v>
      </c>
      <c r="BT1259" s="88">
        <v>0.0</v>
      </c>
      <c r="BU1259" s="65">
        <v>0.0</v>
      </c>
      <c r="BV1259" s="65">
        <v>0.0</v>
      </c>
      <c r="BW1259" s="90">
        <v>0.0</v>
      </c>
      <c r="BX1259" s="90">
        <v>0.0</v>
      </c>
      <c r="BY1259" s="90" t="str">
        <f t="array" ref="BY1259">XLOOKUP(C1259,'PL TOTAL D0'!$A$3:$A$1991,'PL TOTAL D0'!$C$3:$C$1991,"")</f>
        <v/>
      </c>
    </row>
    <row r="1260" ht="15.75" customHeight="1">
      <c r="A1260" s="50" t="s">
        <v>24</v>
      </c>
      <c r="B1260" s="510" t="s">
        <v>7616</v>
      </c>
      <c r="C1260" s="94" t="s">
        <v>9784</v>
      </c>
      <c r="D1260" s="30" t="s">
        <v>89</v>
      </c>
      <c r="E1260" s="95" t="s">
        <v>91</v>
      </c>
      <c r="F1260" s="81" t="s">
        <v>521</v>
      </c>
      <c r="G1260" s="47" t="str">
        <f t="shared" si="55"/>
        <v>David</v>
      </c>
      <c r="H1260" s="49" t="s">
        <v>224</v>
      </c>
      <c r="I1260" s="49" t="s">
        <v>66</v>
      </c>
      <c r="J1260" s="47" t="str">
        <f t="shared" si="52"/>
        <v>Não</v>
      </c>
      <c r="K1260" s="97">
        <v>45065.0</v>
      </c>
      <c r="L1260" s="943">
        <v>45980.0</v>
      </c>
      <c r="M1260" s="62" t="s">
        <v>231</v>
      </c>
      <c r="N1260" s="144">
        <v>0.025</v>
      </c>
      <c r="O1260" s="23" t="s">
        <v>233</v>
      </c>
      <c r="P1260" s="520">
        <v>0.2</v>
      </c>
      <c r="Q1260" s="58"/>
      <c r="R1260" s="58" t="s">
        <v>610</v>
      </c>
      <c r="S1260" s="62" t="s">
        <v>194</v>
      </c>
      <c r="T1260" s="32" t="s">
        <v>7617</v>
      </c>
      <c r="U1260" s="33">
        <v>5.543991281097E12</v>
      </c>
      <c r="V1260" s="33" t="s">
        <v>9782</v>
      </c>
      <c r="W1260" s="34">
        <v>26506.0</v>
      </c>
      <c r="X1260" s="23" t="s">
        <v>221</v>
      </c>
      <c r="Y1260" s="49" t="str">
        <f t="shared" si="46"/>
        <v>Encerrado</v>
      </c>
      <c r="Z1260" s="62"/>
      <c r="AA1260" s="62"/>
      <c r="AB1260" s="64" t="s">
        <v>269</v>
      </c>
      <c r="AC1260" s="79"/>
      <c r="AD1260" s="54">
        <v>45065.0</v>
      </c>
      <c r="AE1260" s="77">
        <v>4.9075100008469E13</v>
      </c>
      <c r="AF1260" s="79"/>
      <c r="AG1260" s="79"/>
      <c r="AH1260" s="79"/>
      <c r="AI1260" s="79"/>
      <c r="AJ1260" s="79"/>
      <c r="AK1260" s="65">
        <v>0.0</v>
      </c>
      <c r="AL1260" s="65">
        <v>0.0</v>
      </c>
      <c r="AM1260" s="65">
        <v>36143.78</v>
      </c>
      <c r="AN1260" s="65">
        <v>149606.67</v>
      </c>
      <c r="AO1260" s="65">
        <v>196044.31</v>
      </c>
      <c r="AP1260" s="65">
        <v>200551.99</v>
      </c>
      <c r="AQ1260" s="65">
        <v>200139.34</v>
      </c>
      <c r="AR1260" s="65">
        <v>191279.63</v>
      </c>
      <c r="AS1260" s="65">
        <v>205527.0</v>
      </c>
      <c r="AT1260" s="65">
        <v>215348.53</v>
      </c>
      <c r="AU1260" s="65">
        <v>200476.15</v>
      </c>
      <c r="AV1260" s="65">
        <v>203263.17</v>
      </c>
      <c r="AW1260" s="65">
        <v>206222.73</v>
      </c>
      <c r="AX1260" s="65">
        <v>197992.05</v>
      </c>
      <c r="AY1260" s="65">
        <v>192081.4</v>
      </c>
      <c r="AZ1260" s="65">
        <v>192412.9</v>
      </c>
      <c r="BA1260" s="65">
        <v>197680.9</v>
      </c>
      <c r="BB1260" s="65">
        <v>201835.32</v>
      </c>
      <c r="BC1260" s="65">
        <v>197764.74</v>
      </c>
      <c r="BD1260" s="65">
        <v>1554.8</v>
      </c>
      <c r="BE1260" s="65">
        <v>1554.88</v>
      </c>
      <c r="BF1260" s="65">
        <v>1558.74</v>
      </c>
      <c r="BG1260" s="65">
        <v>786.63</v>
      </c>
      <c r="BH1260" s="65">
        <v>786.63</v>
      </c>
      <c r="BI1260" s="65">
        <v>786.63</v>
      </c>
      <c r="BJ1260" s="65">
        <v>492.99</v>
      </c>
      <c r="BK1260" s="65">
        <v>355.97</v>
      </c>
      <c r="BL1260" s="65">
        <v>0.0</v>
      </c>
      <c r="BM1260" s="65">
        <v>0.0</v>
      </c>
      <c r="BN1260" s="65">
        <v>0.0</v>
      </c>
      <c r="BO1260" s="65">
        <v>0.0</v>
      </c>
      <c r="BP1260" s="65">
        <v>0.0</v>
      </c>
      <c r="BQ1260" s="65">
        <v>0.0</v>
      </c>
      <c r="BR1260" s="65">
        <v>0.0</v>
      </c>
      <c r="BS1260" s="65">
        <v>0.0</v>
      </c>
      <c r="BT1260" s="88">
        <v>0.0</v>
      </c>
      <c r="BU1260" s="65">
        <v>0.0</v>
      </c>
      <c r="BV1260" s="65">
        <v>0.0</v>
      </c>
      <c r="BW1260" s="90">
        <v>0.0</v>
      </c>
      <c r="BX1260" s="90">
        <v>0.0</v>
      </c>
      <c r="BY1260" s="90" t="str">
        <f t="array" ref="BY1260">XLOOKUP(C1260,'PL TOTAL D0'!$A$3:$A$1991,'PL TOTAL D0'!$C$3:$C$1991,"")</f>
        <v/>
      </c>
    </row>
    <row r="1261" ht="15.75" customHeight="1">
      <c r="A1261" s="50" t="s">
        <v>24</v>
      </c>
      <c r="B1261" s="510" t="s">
        <v>9785</v>
      </c>
      <c r="C1261" s="94" t="s">
        <v>3068</v>
      </c>
      <c r="D1261" s="81" t="s">
        <v>120</v>
      </c>
      <c r="E1261" s="95" t="s">
        <v>54</v>
      </c>
      <c r="F1261" s="30" t="s">
        <v>125</v>
      </c>
      <c r="G1261" s="47" t="str">
        <f t="shared" si="55"/>
        <v>Gabriel</v>
      </c>
      <c r="H1261" s="74" t="s">
        <v>183</v>
      </c>
      <c r="I1261" s="74" t="s">
        <v>66</v>
      </c>
      <c r="J1261" s="47" t="str">
        <f t="shared" si="52"/>
        <v>Não</v>
      </c>
      <c r="K1261" s="97">
        <v>44952.0</v>
      </c>
      <c r="L1261" s="47"/>
      <c r="M1261" s="62" t="s">
        <v>61</v>
      </c>
      <c r="N1261" s="144">
        <v>0.012</v>
      </c>
      <c r="O1261" s="47" t="s">
        <v>66</v>
      </c>
      <c r="P1261" s="99">
        <v>0.0</v>
      </c>
      <c r="Q1261" s="58"/>
      <c r="R1261" s="58" t="s">
        <v>9786</v>
      </c>
      <c r="S1261" s="62" t="s">
        <v>194</v>
      </c>
      <c r="T1261" s="32" t="s">
        <v>7897</v>
      </c>
      <c r="U1261" s="33">
        <v>5.562981477292E12</v>
      </c>
      <c r="V1261" s="33" t="s">
        <v>9787</v>
      </c>
      <c r="W1261" s="34">
        <v>24972.0</v>
      </c>
      <c r="X1261" s="23" t="s">
        <v>54</v>
      </c>
      <c r="Y1261" s="49" t="str">
        <f t="shared" si="46"/>
        <v>Ativo</v>
      </c>
      <c r="Z1261" s="62"/>
      <c r="AA1261" s="62"/>
      <c r="AB1261" s="64" t="s">
        <v>244</v>
      </c>
      <c r="AC1261" s="79"/>
      <c r="AD1261" s="54">
        <v>44952.0</v>
      </c>
      <c r="AE1261" s="77">
        <v>4.907510000652E13</v>
      </c>
      <c r="AF1261" s="79"/>
      <c r="AG1261" s="79"/>
      <c r="AH1261" s="79"/>
      <c r="AI1261" s="65">
        <v>579196.03</v>
      </c>
      <c r="AJ1261" s="65">
        <v>798318.68</v>
      </c>
      <c r="AK1261" s="65">
        <v>807877.6</v>
      </c>
      <c r="AL1261" s="65">
        <v>813726.89</v>
      </c>
      <c r="AM1261" s="65">
        <v>887588.24</v>
      </c>
      <c r="AN1261" s="65">
        <v>843575.38</v>
      </c>
      <c r="AO1261" s="65">
        <v>832895.88</v>
      </c>
      <c r="AP1261" s="65">
        <v>839324.22</v>
      </c>
      <c r="AQ1261" s="65">
        <v>793669.27</v>
      </c>
      <c r="AR1261" s="65">
        <v>798873.52</v>
      </c>
      <c r="AS1261" s="65">
        <v>804218.39</v>
      </c>
      <c r="AT1261" s="65">
        <v>799945.06</v>
      </c>
      <c r="AU1261" s="65">
        <v>806505.87</v>
      </c>
      <c r="AV1261" s="65">
        <v>452576.47</v>
      </c>
      <c r="AW1261" s="65">
        <v>456589.58</v>
      </c>
      <c r="AX1261" s="65">
        <v>428573.93</v>
      </c>
      <c r="AY1261" s="65">
        <v>431991.8</v>
      </c>
      <c r="AZ1261" s="65">
        <v>435329.3</v>
      </c>
      <c r="BA1261" s="65">
        <v>391287.7</v>
      </c>
      <c r="BB1261" s="65">
        <v>391444.78</v>
      </c>
      <c r="BC1261" s="65">
        <v>394091.61</v>
      </c>
      <c r="BD1261" s="65">
        <v>397916.86</v>
      </c>
      <c r="BE1261" s="65">
        <v>400839.13</v>
      </c>
      <c r="BF1261" s="65">
        <v>389073.01</v>
      </c>
      <c r="BG1261" s="65">
        <v>371425.51</v>
      </c>
      <c r="BH1261" s="65">
        <v>374727.81</v>
      </c>
      <c r="BI1261" s="65">
        <v>379094.84</v>
      </c>
      <c r="BJ1261" s="65">
        <v>382371.62</v>
      </c>
      <c r="BK1261" s="65">
        <v>369669.98</v>
      </c>
      <c r="BL1261" s="65">
        <v>371863.55</v>
      </c>
      <c r="BM1261" s="65">
        <v>334128.3</v>
      </c>
      <c r="BN1261" s="65">
        <v>336312.3</v>
      </c>
      <c r="BO1261" s="65">
        <v>338504.67</v>
      </c>
      <c r="BP1261" s="65">
        <v>326569.4</v>
      </c>
      <c r="BQ1261" s="65">
        <v>328273.3</v>
      </c>
      <c r="BR1261" s="65">
        <v>330744.5</v>
      </c>
      <c r="BS1261" s="65">
        <v>333252.41</v>
      </c>
      <c r="BT1261" s="88">
        <v>335564.2</v>
      </c>
      <c r="BU1261" s="65">
        <v>339435.5</v>
      </c>
      <c r="BV1261" s="65">
        <v>343077.7</v>
      </c>
      <c r="BW1261" s="90">
        <v>294393.4</v>
      </c>
      <c r="BX1261" s="90">
        <v>296888.93</v>
      </c>
      <c r="BY1261" s="90">
        <f t="array" ref="BY1261">XLOOKUP(C1261,'PL TOTAL D0'!$A$3:$A$1991,'PL TOTAL D0'!$C$3:$C$1991,"")</f>
        <v>298641.26</v>
      </c>
    </row>
    <row r="1262" ht="15.75" customHeight="1">
      <c r="A1262" s="50" t="s">
        <v>24</v>
      </c>
      <c r="B1262" s="176" t="s">
        <v>9788</v>
      </c>
      <c r="C1262" s="94" t="s">
        <v>9789</v>
      </c>
      <c r="D1262" s="81" t="s">
        <v>120</v>
      </c>
      <c r="E1262" s="95" t="s">
        <v>54</v>
      </c>
      <c r="F1262" s="81" t="s">
        <v>379</v>
      </c>
      <c r="G1262" s="47" t="str">
        <f t="shared" si="55"/>
        <v>David</v>
      </c>
      <c r="H1262" s="49" t="s">
        <v>295</v>
      </c>
      <c r="I1262" s="49" t="s">
        <v>756</v>
      </c>
      <c r="J1262" s="47" t="str">
        <f t="shared" si="52"/>
        <v>Não</v>
      </c>
      <c r="K1262" s="97">
        <v>44986.0</v>
      </c>
      <c r="L1262" s="62"/>
      <c r="M1262" s="62" t="s">
        <v>61</v>
      </c>
      <c r="N1262" s="98">
        <v>0.012</v>
      </c>
      <c r="O1262" s="47" t="s">
        <v>66</v>
      </c>
      <c r="P1262" s="99">
        <v>0.0</v>
      </c>
      <c r="Q1262" s="58"/>
      <c r="R1262" s="70"/>
      <c r="S1262" s="62" t="s">
        <v>194</v>
      </c>
      <c r="T1262" s="32" t="s">
        <v>9790</v>
      </c>
      <c r="U1262" s="33">
        <v>5.562981680058E12</v>
      </c>
      <c r="V1262" s="33" t="s">
        <v>9791</v>
      </c>
      <c r="W1262" s="34">
        <v>24849.0</v>
      </c>
      <c r="X1262" s="23" t="s">
        <v>54</v>
      </c>
      <c r="Y1262" s="49" t="str">
        <f t="shared" si="46"/>
        <v>Ativo</v>
      </c>
      <c r="Z1262" s="62"/>
      <c r="AA1262" s="62"/>
      <c r="AB1262" s="64" t="s">
        <v>269</v>
      </c>
      <c r="AC1262" s="79"/>
      <c r="AD1262" s="54">
        <v>44986.0</v>
      </c>
      <c r="AE1262" s="77">
        <v>4.9075100010226E13</v>
      </c>
      <c r="AF1262" s="79"/>
      <c r="AG1262" s="79"/>
      <c r="AH1262" s="79"/>
      <c r="AI1262" s="79"/>
      <c r="AJ1262" s="65">
        <v>0.0</v>
      </c>
      <c r="AK1262" s="65">
        <v>302924.14</v>
      </c>
      <c r="AL1262" s="65">
        <v>305070.15</v>
      </c>
      <c r="AM1262" s="65">
        <v>308282.0</v>
      </c>
      <c r="AN1262" s="65">
        <v>277.8</v>
      </c>
      <c r="AO1262" s="65">
        <v>14.67</v>
      </c>
      <c r="AP1262" s="65">
        <v>14.67</v>
      </c>
      <c r="AQ1262" s="65">
        <v>14.67</v>
      </c>
      <c r="AR1262" s="65">
        <v>14.67</v>
      </c>
      <c r="AS1262" s="65">
        <v>14.67</v>
      </c>
      <c r="AT1262" s="65">
        <v>14.67</v>
      </c>
      <c r="AU1262" s="65">
        <v>14.67</v>
      </c>
      <c r="AV1262" s="65">
        <v>14.67</v>
      </c>
      <c r="AW1262" s="65">
        <v>14.67</v>
      </c>
      <c r="AX1262" s="65">
        <v>14.67</v>
      </c>
      <c r="AY1262" s="65">
        <v>14.67</v>
      </c>
      <c r="AZ1262" s="65">
        <v>14.67</v>
      </c>
      <c r="BA1262" s="65">
        <v>14.67</v>
      </c>
      <c r="BB1262" s="65">
        <v>14.67</v>
      </c>
      <c r="BC1262" s="65">
        <v>14.67</v>
      </c>
      <c r="BD1262" s="65">
        <v>14.67</v>
      </c>
      <c r="BE1262" s="65">
        <v>14.67</v>
      </c>
      <c r="BF1262" s="65">
        <v>14.67</v>
      </c>
      <c r="BG1262" s="65">
        <v>14.67</v>
      </c>
      <c r="BH1262" s="65">
        <v>14.67</v>
      </c>
      <c r="BI1262" s="65">
        <v>14.67</v>
      </c>
      <c r="BJ1262" s="65">
        <v>14.67</v>
      </c>
      <c r="BK1262" s="65">
        <v>14.67</v>
      </c>
      <c r="BL1262" s="65">
        <v>14.67</v>
      </c>
      <c r="BM1262" s="65">
        <v>14.67</v>
      </c>
      <c r="BN1262" s="65">
        <v>14.67</v>
      </c>
      <c r="BO1262" s="65">
        <v>14.67</v>
      </c>
      <c r="BP1262" s="65">
        <v>14.67</v>
      </c>
      <c r="BQ1262" s="65">
        <v>14.67</v>
      </c>
      <c r="BR1262" s="65">
        <v>14.67</v>
      </c>
      <c r="BS1262" s="65">
        <v>14.67</v>
      </c>
      <c r="BT1262" s="88">
        <v>14.67</v>
      </c>
      <c r="BU1262" s="65">
        <v>14.67</v>
      </c>
      <c r="BV1262" s="65">
        <v>0.0</v>
      </c>
      <c r="BW1262" s="90">
        <v>0.0</v>
      </c>
      <c r="BX1262" s="90">
        <v>0.0</v>
      </c>
      <c r="BY1262" s="90" t="str">
        <f t="array" ref="BY1262">XLOOKUP(C1262,'PL TOTAL D0'!$A$3:$A$1991,'PL TOTAL D0'!$C$3:$C$1991,"")</f>
        <v/>
      </c>
    </row>
    <row r="1263" ht="15.75" customHeight="1">
      <c r="A1263" s="43" t="s">
        <v>24</v>
      </c>
      <c r="B1263" s="43" t="s">
        <v>9792</v>
      </c>
      <c r="C1263" s="94" t="s">
        <v>9793</v>
      </c>
      <c r="D1263" s="30" t="s">
        <v>255</v>
      </c>
      <c r="E1263" s="22" t="s">
        <v>199</v>
      </c>
      <c r="F1263" s="30" t="s">
        <v>257</v>
      </c>
      <c r="G1263" s="47" t="str">
        <f t="shared" si="55"/>
        <v>David</v>
      </c>
      <c r="H1263" s="49" t="s">
        <v>224</v>
      </c>
      <c r="I1263" s="49" t="s">
        <v>66</v>
      </c>
      <c r="J1263" s="47" t="str">
        <f t="shared" si="52"/>
        <v>Não</v>
      </c>
      <c r="K1263" s="54">
        <v>45315.0</v>
      </c>
      <c r="L1263" s="55">
        <v>45530.0</v>
      </c>
      <c r="M1263" s="32" t="s">
        <v>209</v>
      </c>
      <c r="N1263" s="56">
        <v>0.015</v>
      </c>
      <c r="O1263" s="23" t="s">
        <v>35</v>
      </c>
      <c r="P1263" s="57">
        <v>0.1</v>
      </c>
      <c r="Q1263" s="58"/>
      <c r="R1263" s="70"/>
      <c r="S1263" s="32" t="s">
        <v>194</v>
      </c>
      <c r="T1263" s="32" t="s">
        <v>9794</v>
      </c>
      <c r="U1263" s="33" t="s">
        <v>268</v>
      </c>
      <c r="V1263" s="33"/>
      <c r="W1263" s="33" t="s">
        <v>268</v>
      </c>
      <c r="X1263" s="23" t="s">
        <v>199</v>
      </c>
      <c r="Y1263" s="49" t="str">
        <f t="shared" si="46"/>
        <v>Encerrado</v>
      </c>
      <c r="Z1263" s="62"/>
      <c r="AA1263" s="62"/>
      <c r="AB1263" s="64" t="s">
        <v>244</v>
      </c>
      <c r="AC1263" s="79"/>
      <c r="AD1263" s="54">
        <v>45315.0</v>
      </c>
      <c r="AE1263" s="77">
        <v>4.9075100013251E13</v>
      </c>
      <c r="AF1263" s="79"/>
      <c r="AG1263" s="79"/>
      <c r="AH1263" s="79"/>
      <c r="AI1263" s="79"/>
      <c r="AJ1263" s="79"/>
      <c r="AK1263" s="79"/>
      <c r="AL1263" s="79"/>
      <c r="AM1263" s="79"/>
      <c r="AN1263" s="79"/>
      <c r="AO1263" s="79"/>
      <c r="AP1263" s="79"/>
      <c r="AQ1263" s="79"/>
      <c r="AR1263" s="79"/>
      <c r="AS1263" s="79"/>
      <c r="AT1263" s="79"/>
      <c r="AU1263" s="65">
        <v>249493.29</v>
      </c>
      <c r="AV1263" s="65">
        <v>252033.87</v>
      </c>
      <c r="AW1263" s="65">
        <v>254560.55</v>
      </c>
      <c r="AX1263" s="65">
        <v>252704.25</v>
      </c>
      <c r="AY1263" s="65">
        <v>251759.9</v>
      </c>
      <c r="AZ1263" s="65">
        <v>253263.5</v>
      </c>
      <c r="BA1263" s="65">
        <v>216286.8</v>
      </c>
      <c r="BB1263" s="65">
        <v>0.0</v>
      </c>
      <c r="BC1263" s="65">
        <v>0.0</v>
      </c>
      <c r="BD1263" s="65">
        <v>0.0</v>
      </c>
      <c r="BE1263" s="65">
        <v>0.0</v>
      </c>
      <c r="BF1263" s="65">
        <v>0.0</v>
      </c>
      <c r="BG1263" s="65">
        <v>0.0</v>
      </c>
      <c r="BH1263" s="65">
        <v>0.0</v>
      </c>
      <c r="BI1263" s="65">
        <v>0.0</v>
      </c>
      <c r="BJ1263" s="65">
        <v>0.0</v>
      </c>
      <c r="BK1263" s="65">
        <v>0.0</v>
      </c>
      <c r="BL1263" s="65">
        <v>0.0</v>
      </c>
      <c r="BM1263" s="65">
        <v>0.0</v>
      </c>
      <c r="BN1263" s="65">
        <v>0.0</v>
      </c>
      <c r="BO1263" s="65">
        <v>0.0</v>
      </c>
      <c r="BP1263" s="65">
        <v>0.0</v>
      </c>
      <c r="BQ1263" s="65">
        <v>0.0</v>
      </c>
      <c r="BR1263" s="65">
        <v>0.0</v>
      </c>
      <c r="BS1263" s="65">
        <v>0.0</v>
      </c>
      <c r="BT1263" s="88">
        <v>0.0</v>
      </c>
      <c r="BU1263" s="65">
        <v>0.0</v>
      </c>
      <c r="BV1263" s="65">
        <v>0.0</v>
      </c>
      <c r="BW1263" s="90">
        <v>0.0</v>
      </c>
      <c r="BX1263" s="90">
        <v>0.0</v>
      </c>
      <c r="BY1263" s="90" t="str">
        <f t="array" ref="BY1263">XLOOKUP(C1263,'PL TOTAL D0'!$A$3:$A$1991,'PL TOTAL D0'!$C$3:$C$1991,"")</f>
        <v/>
      </c>
    </row>
    <row r="1264" ht="15.75" customHeight="1">
      <c r="A1264" s="43" t="s">
        <v>24</v>
      </c>
      <c r="B1264" s="43" t="s">
        <v>9795</v>
      </c>
      <c r="C1264" s="94" t="s">
        <v>9796</v>
      </c>
      <c r="D1264" s="30" t="s">
        <v>120</v>
      </c>
      <c r="E1264" s="22" t="s">
        <v>54</v>
      </c>
      <c r="F1264" s="30" t="s">
        <v>125</v>
      </c>
      <c r="G1264" s="47" t="str">
        <f t="shared" si="55"/>
        <v>Gabriel</v>
      </c>
      <c r="H1264" s="49" t="s">
        <v>183</v>
      </c>
      <c r="I1264" s="49" t="s">
        <v>382</v>
      </c>
      <c r="J1264" s="47" t="str">
        <f t="shared" si="52"/>
        <v>Não</v>
      </c>
      <c r="K1264" s="54">
        <v>45825.0</v>
      </c>
      <c r="L1264" s="55"/>
      <c r="M1264" s="32" t="s">
        <v>61</v>
      </c>
      <c r="N1264" s="56">
        <v>0.012</v>
      </c>
      <c r="O1264" s="23" t="s">
        <v>66</v>
      </c>
      <c r="P1264" s="57">
        <v>0.0</v>
      </c>
      <c r="Q1264" s="58"/>
      <c r="R1264" s="70"/>
      <c r="S1264" s="32" t="s">
        <v>194</v>
      </c>
      <c r="T1264" s="32" t="s">
        <v>9797</v>
      </c>
      <c r="U1264" s="33">
        <v>5.562996354514E12</v>
      </c>
      <c r="V1264" s="33" t="s">
        <v>9798</v>
      </c>
      <c r="W1264" s="34">
        <v>24777.0</v>
      </c>
      <c r="X1264" s="23" t="s">
        <v>54</v>
      </c>
      <c r="Y1264" s="49" t="str">
        <f t="shared" si="46"/>
        <v>Ativo</v>
      </c>
      <c r="Z1264" s="62"/>
      <c r="AA1264" s="32" t="s">
        <v>107</v>
      </c>
      <c r="AB1264" s="64"/>
      <c r="AC1264" s="79"/>
      <c r="AD1264" s="54">
        <v>45825.0</v>
      </c>
      <c r="AE1264" s="77">
        <v>4.9075100019118E13</v>
      </c>
      <c r="AF1264" s="79"/>
      <c r="AG1264" s="79"/>
      <c r="AH1264" s="79"/>
      <c r="AI1264" s="79"/>
      <c r="AJ1264" s="79"/>
      <c r="AK1264" s="79"/>
      <c r="AL1264" s="79"/>
      <c r="AM1264" s="79"/>
      <c r="AN1264" s="79"/>
      <c r="AO1264" s="79"/>
      <c r="AP1264" s="79"/>
      <c r="AQ1264" s="79"/>
      <c r="AR1264" s="79"/>
      <c r="AS1264" s="79"/>
      <c r="AT1264" s="79"/>
      <c r="AU1264" s="65"/>
      <c r="AV1264" s="65"/>
      <c r="AW1264" s="65"/>
      <c r="AX1264" s="65"/>
      <c r="AY1264" s="65"/>
      <c r="AZ1264" s="65"/>
      <c r="BA1264" s="65"/>
      <c r="BB1264" s="65"/>
      <c r="BC1264" s="65"/>
      <c r="BD1264" s="65"/>
      <c r="BE1264" s="65"/>
      <c r="BF1264" s="65"/>
      <c r="BG1264" s="65"/>
      <c r="BH1264" s="65"/>
      <c r="BI1264" s="65"/>
      <c r="BJ1264" s="65"/>
      <c r="BK1264" s="65"/>
      <c r="BL1264" s="65">
        <v>180592.28</v>
      </c>
      <c r="BM1264" s="65">
        <v>182788.97</v>
      </c>
      <c r="BN1264" s="65">
        <v>184633.8</v>
      </c>
      <c r="BO1264" s="65">
        <v>196266.91</v>
      </c>
      <c r="BP1264" s="65">
        <v>239054.4</v>
      </c>
      <c r="BQ1264" s="65">
        <v>240924.6</v>
      </c>
      <c r="BR1264" s="65">
        <v>243173.3</v>
      </c>
      <c r="BS1264" s="65">
        <v>255999.84</v>
      </c>
      <c r="BT1264" s="88">
        <v>258080.9</v>
      </c>
      <c r="BU1264" s="65">
        <v>261344.3</v>
      </c>
      <c r="BV1264" s="65">
        <v>264278.9</v>
      </c>
      <c r="BW1264" s="90">
        <v>0.0</v>
      </c>
      <c r="BX1264" s="90">
        <v>22.18</v>
      </c>
      <c r="BY1264" s="90" t="str">
        <f t="array" ref="BY1264">XLOOKUP(C1264,'PL TOTAL D0'!$A$3:$A$1991,'PL TOTAL D0'!$C$3:$C$1991,"")</f>
        <v/>
      </c>
    </row>
    <row r="1265" ht="15.75" customHeight="1">
      <c r="A1265" s="43" t="s">
        <v>24</v>
      </c>
      <c r="B1265" s="43" t="s">
        <v>9799</v>
      </c>
      <c r="C1265" s="94" t="s">
        <v>3021</v>
      </c>
      <c r="D1265" s="30" t="s">
        <v>3843</v>
      </c>
      <c r="E1265" s="22" t="s">
        <v>199</v>
      </c>
      <c r="F1265" s="30" t="s">
        <v>3844</v>
      </c>
      <c r="G1265" s="47" t="str">
        <f t="shared" si="55"/>
        <v>David</v>
      </c>
      <c r="H1265" s="49" t="s">
        <v>183</v>
      </c>
      <c r="I1265" s="49" t="s">
        <v>66</v>
      </c>
      <c r="J1265" s="47" t="str">
        <f t="shared" si="52"/>
        <v>Não</v>
      </c>
      <c r="K1265" s="54">
        <v>46121.0</v>
      </c>
      <c r="L1265" s="55"/>
      <c r="M1265" s="32" t="s">
        <v>61</v>
      </c>
      <c r="N1265" s="56">
        <v>0.012</v>
      </c>
      <c r="O1265" s="23" t="s">
        <v>66</v>
      </c>
      <c r="P1265" s="57">
        <v>0.0</v>
      </c>
      <c r="Q1265" s="58"/>
      <c r="R1265" s="70"/>
      <c r="S1265" s="32" t="s">
        <v>194</v>
      </c>
      <c r="T1265" s="32" t="s">
        <v>9800</v>
      </c>
      <c r="U1265" s="33" t="s">
        <v>9801</v>
      </c>
      <c r="V1265" s="33" t="s">
        <v>9802</v>
      </c>
      <c r="W1265" s="34">
        <v>22777.0</v>
      </c>
      <c r="X1265" s="23" t="s">
        <v>54</v>
      </c>
      <c r="Y1265" s="49" t="str">
        <f t="shared" si="46"/>
        <v>Ativo</v>
      </c>
      <c r="Z1265" s="62"/>
      <c r="AA1265" s="32" t="s">
        <v>47</v>
      </c>
      <c r="AB1265" s="64"/>
      <c r="AC1265" s="79"/>
      <c r="AD1265" s="54">
        <v>46203.0</v>
      </c>
      <c r="AE1265" s="77"/>
      <c r="AF1265" s="79"/>
      <c r="AG1265" s="79"/>
      <c r="AH1265" s="79"/>
      <c r="AI1265" s="79"/>
      <c r="AJ1265" s="79"/>
      <c r="AK1265" s="79"/>
      <c r="AL1265" s="79"/>
      <c r="AM1265" s="79"/>
      <c r="AN1265" s="79"/>
      <c r="AO1265" s="79"/>
      <c r="AP1265" s="79"/>
      <c r="AQ1265" s="79"/>
      <c r="AR1265" s="79"/>
      <c r="AS1265" s="79"/>
      <c r="AT1265" s="79"/>
      <c r="AU1265" s="65"/>
      <c r="AV1265" s="65"/>
      <c r="AW1265" s="65"/>
      <c r="AX1265" s="65"/>
      <c r="AY1265" s="65"/>
      <c r="AZ1265" s="65"/>
      <c r="BA1265" s="65"/>
      <c r="BB1265" s="65"/>
      <c r="BC1265" s="65"/>
      <c r="BD1265" s="65"/>
      <c r="BE1265" s="65"/>
      <c r="BF1265" s="65"/>
      <c r="BG1265" s="65"/>
      <c r="BH1265" s="65"/>
      <c r="BI1265" s="65"/>
      <c r="BJ1265" s="65"/>
      <c r="BK1265" s="65"/>
      <c r="BL1265" s="65"/>
      <c r="BM1265" s="65"/>
      <c r="BN1265" s="65"/>
      <c r="BO1265" s="65"/>
      <c r="BP1265" s="65"/>
      <c r="BQ1265" s="65"/>
      <c r="BR1265" s="65"/>
      <c r="BS1265" s="65"/>
      <c r="BT1265" s="88"/>
      <c r="BU1265" s="65">
        <v>0.0</v>
      </c>
      <c r="BV1265" s="65">
        <v>165737.3</v>
      </c>
      <c r="BW1265" s="90">
        <v>197666.0</v>
      </c>
      <c r="BX1265" s="90">
        <v>199751.12</v>
      </c>
      <c r="BY1265" s="90">
        <f t="array" ref="BY1265">XLOOKUP(C1265,'PL TOTAL D0'!$A$3:$A$1991,'PL TOTAL D0'!$C$3:$C$1991,"")</f>
        <v>328089.44</v>
      </c>
    </row>
    <row r="1266" ht="16.5" customHeight="1">
      <c r="A1266" s="50" t="s">
        <v>24</v>
      </c>
      <c r="B1266" s="191" t="s">
        <v>4489</v>
      </c>
      <c r="C1266" s="94" t="s">
        <v>3150</v>
      </c>
      <c r="D1266" s="81" t="s">
        <v>120</v>
      </c>
      <c r="E1266" s="95" t="s">
        <v>199</v>
      </c>
      <c r="F1266" s="81" t="s">
        <v>290</v>
      </c>
      <c r="G1266" s="47" t="str">
        <f t="shared" si="55"/>
        <v>David</v>
      </c>
      <c r="H1266" s="74" t="s">
        <v>183</v>
      </c>
      <c r="I1266" s="74" t="s">
        <v>66</v>
      </c>
      <c r="J1266" s="47" t="str">
        <f t="shared" si="52"/>
        <v>Não</v>
      </c>
      <c r="K1266" s="97">
        <v>45182.0</v>
      </c>
      <c r="L1266" s="62"/>
      <c r="M1266" s="62" t="s">
        <v>61</v>
      </c>
      <c r="N1266" s="98">
        <v>0.012</v>
      </c>
      <c r="O1266" s="47" t="s">
        <v>66</v>
      </c>
      <c r="P1266" s="99">
        <v>0.0</v>
      </c>
      <c r="Q1266" s="58"/>
      <c r="R1266" s="70"/>
      <c r="S1266" s="62" t="s">
        <v>194</v>
      </c>
      <c r="T1266" s="32" t="s">
        <v>7915</v>
      </c>
      <c r="U1266" s="33">
        <v>5.56198127088E12</v>
      </c>
      <c r="V1266" s="33" t="s">
        <v>9803</v>
      </c>
      <c r="W1266" s="34">
        <v>28041.0</v>
      </c>
      <c r="X1266" s="23" t="s">
        <v>199</v>
      </c>
      <c r="Y1266" s="49" t="str">
        <f t="shared" si="46"/>
        <v>Ativo</v>
      </c>
      <c r="Z1266" s="62"/>
      <c r="AA1266" s="62"/>
      <c r="AB1266" s="64" t="s">
        <v>269</v>
      </c>
      <c r="AC1266" s="79"/>
      <c r="AD1266" s="54">
        <v>45182.0</v>
      </c>
      <c r="AE1266" s="77">
        <v>4.9075100012121E13</v>
      </c>
      <c r="AF1266" s="79"/>
      <c r="AG1266" s="79"/>
      <c r="AH1266" s="79"/>
      <c r="AI1266" s="79"/>
      <c r="AJ1266" s="79"/>
      <c r="AK1266" s="79"/>
      <c r="AL1266" s="79"/>
      <c r="AM1266" s="79"/>
      <c r="AN1266" s="79"/>
      <c r="AO1266" s="79"/>
      <c r="AP1266" s="79"/>
      <c r="AQ1266" s="65">
        <v>131676.6</v>
      </c>
      <c r="AR1266" s="65">
        <v>142546.85</v>
      </c>
      <c r="AS1266" s="65">
        <v>144758.67</v>
      </c>
      <c r="AT1266" s="65">
        <v>146016.86</v>
      </c>
      <c r="AU1266" s="65">
        <v>147259.55</v>
      </c>
      <c r="AV1266" s="65">
        <v>148387.2</v>
      </c>
      <c r="AW1266" s="65">
        <v>149376.34</v>
      </c>
      <c r="AX1266" s="65">
        <v>150548.75</v>
      </c>
      <c r="AY1266" s="65">
        <v>151824.5</v>
      </c>
      <c r="AZ1266" s="65">
        <v>153021.3</v>
      </c>
      <c r="BA1266" s="65">
        <v>160893.0</v>
      </c>
      <c r="BB1266" s="65">
        <v>162149.82</v>
      </c>
      <c r="BC1266" s="65">
        <v>163340.62</v>
      </c>
      <c r="BD1266" s="65">
        <v>180768.1</v>
      </c>
      <c r="BE1266" s="65">
        <v>181873.61</v>
      </c>
      <c r="BF1266" s="65">
        <v>183104.01</v>
      </c>
      <c r="BG1266" s="65">
        <v>184760.01</v>
      </c>
      <c r="BH1266" s="65">
        <v>186346.61</v>
      </c>
      <c r="BI1266" s="65">
        <v>187876.7</v>
      </c>
      <c r="BJ1266" s="65">
        <v>189074.05</v>
      </c>
      <c r="BK1266" s="65">
        <v>191036.54</v>
      </c>
      <c r="BL1266" s="65">
        <v>192702.58</v>
      </c>
      <c r="BM1266" s="65">
        <v>194867.09</v>
      </c>
      <c r="BN1266" s="65">
        <v>196642.7</v>
      </c>
      <c r="BO1266" s="65">
        <v>198359.78</v>
      </c>
      <c r="BP1266" s="65">
        <v>199647.5</v>
      </c>
      <c r="BQ1266" s="65">
        <v>201358.7</v>
      </c>
      <c r="BR1266" s="65">
        <v>203381.9</v>
      </c>
      <c r="BS1266" s="65">
        <v>205628.58</v>
      </c>
      <c r="BT1266" s="88">
        <v>207319.4</v>
      </c>
      <c r="BU1266" s="65">
        <v>209576.8</v>
      </c>
      <c r="BV1266" s="65">
        <v>210903.7</v>
      </c>
      <c r="BW1266" s="90">
        <v>212949.8</v>
      </c>
      <c r="BX1266" s="90">
        <v>214746.12</v>
      </c>
      <c r="BY1266" s="90">
        <f t="array" ref="BY1266">XLOOKUP(C1266,'PL TOTAL D0'!$A$3:$A$1991,'PL TOTAL D0'!$C$3:$C$1991,"")</f>
        <v>201806.4</v>
      </c>
    </row>
    <row r="1267" ht="16.5" customHeight="1">
      <c r="A1267" s="50" t="s">
        <v>24</v>
      </c>
      <c r="B1267" s="322" t="s">
        <v>9804</v>
      </c>
      <c r="C1267" s="94" t="s">
        <v>3076</v>
      </c>
      <c r="D1267" s="30" t="s">
        <v>3843</v>
      </c>
      <c r="E1267" s="22" t="s">
        <v>54</v>
      </c>
      <c r="F1267" s="23" t="s">
        <v>3844</v>
      </c>
      <c r="G1267" s="47" t="str">
        <f t="shared" si="55"/>
        <v>David</v>
      </c>
      <c r="H1267" s="49" t="s">
        <v>183</v>
      </c>
      <c r="I1267" s="49" t="s">
        <v>66</v>
      </c>
      <c r="J1267" s="47" t="str">
        <f t="shared" si="52"/>
        <v>Não</v>
      </c>
      <c r="K1267" s="54">
        <v>46111.0</v>
      </c>
      <c r="L1267" s="62"/>
      <c r="M1267" s="32" t="s">
        <v>34</v>
      </c>
      <c r="N1267" s="56">
        <v>0.012</v>
      </c>
      <c r="O1267" s="23" t="s">
        <v>35</v>
      </c>
      <c r="P1267" s="57">
        <v>0.1</v>
      </c>
      <c r="Q1267" s="58"/>
      <c r="R1267" s="70"/>
      <c r="S1267" s="62" t="s">
        <v>194</v>
      </c>
      <c r="T1267" s="32" t="s">
        <v>9805</v>
      </c>
      <c r="U1267" s="33" t="s">
        <v>9806</v>
      </c>
      <c r="V1267" s="33" t="s">
        <v>9807</v>
      </c>
      <c r="W1267" s="34">
        <v>34579.0</v>
      </c>
      <c r="X1267" s="23" t="s">
        <v>54</v>
      </c>
      <c r="Y1267" s="49" t="str">
        <f t="shared" si="46"/>
        <v>Ativo</v>
      </c>
      <c r="Z1267" s="62"/>
      <c r="AA1267" s="32" t="s">
        <v>47</v>
      </c>
      <c r="AB1267" s="64"/>
      <c r="AC1267" s="79"/>
      <c r="AD1267" s="54">
        <v>46203.0</v>
      </c>
      <c r="AE1267" s="77"/>
      <c r="AF1267" s="79"/>
      <c r="AG1267" s="79"/>
      <c r="AH1267" s="79"/>
      <c r="AI1267" s="79"/>
      <c r="AJ1267" s="79"/>
      <c r="AK1267" s="79"/>
      <c r="AL1267" s="79"/>
      <c r="AM1267" s="79"/>
      <c r="AN1267" s="79"/>
      <c r="AO1267" s="79"/>
      <c r="AP1267" s="79"/>
      <c r="AQ1267" s="65"/>
      <c r="AR1267" s="65"/>
      <c r="AS1267" s="65"/>
      <c r="AT1267" s="65"/>
      <c r="AU1267" s="65"/>
      <c r="AV1267" s="65"/>
      <c r="AW1267" s="65"/>
      <c r="AX1267" s="65"/>
      <c r="AY1267" s="65"/>
      <c r="AZ1267" s="65"/>
      <c r="BA1267" s="65"/>
      <c r="BB1267" s="65"/>
      <c r="BC1267" s="65"/>
      <c r="BD1267" s="65"/>
      <c r="BE1267" s="65"/>
      <c r="BF1267" s="65"/>
      <c r="BG1267" s="65"/>
      <c r="BH1267" s="65"/>
      <c r="BI1267" s="65"/>
      <c r="BJ1267" s="65"/>
      <c r="BK1267" s="65"/>
      <c r="BL1267" s="65"/>
      <c r="BM1267" s="65"/>
      <c r="BN1267" s="65"/>
      <c r="BO1267" s="65"/>
      <c r="BP1267" s="65"/>
      <c r="BQ1267" s="65"/>
      <c r="BR1267" s="65"/>
      <c r="BS1267" s="65"/>
      <c r="BT1267" s="88"/>
      <c r="BU1267" s="65">
        <v>229818.3</v>
      </c>
      <c r="BV1267" s="65">
        <v>262443.0</v>
      </c>
      <c r="BW1267" s="90">
        <v>272023.3</v>
      </c>
      <c r="BX1267" s="90">
        <v>274252.61</v>
      </c>
      <c r="BY1267" s="90">
        <f t="array" ref="BY1267">XLOOKUP(C1267,'PL TOTAL D0'!$A$3:$A$1991,'PL TOTAL D0'!$C$3:$C$1991,"")</f>
        <v>277291.96</v>
      </c>
    </row>
    <row r="1268" ht="16.5" customHeight="1">
      <c r="A1268" s="50" t="s">
        <v>24</v>
      </c>
      <c r="B1268" s="50" t="s">
        <v>9808</v>
      </c>
      <c r="C1268" s="94" t="s">
        <v>9809</v>
      </c>
      <c r="D1268" s="81" t="s">
        <v>120</v>
      </c>
      <c r="E1268" s="95" t="s">
        <v>199</v>
      </c>
      <c r="F1268" s="81" t="s">
        <v>677</v>
      </c>
      <c r="G1268" s="47" t="str">
        <f t="shared" si="55"/>
        <v>David</v>
      </c>
      <c r="H1268" s="49" t="s">
        <v>224</v>
      </c>
      <c r="I1268" s="49" t="s">
        <v>66</v>
      </c>
      <c r="J1268" s="47" t="str">
        <f t="shared" si="52"/>
        <v>Não</v>
      </c>
      <c r="K1268" s="97">
        <v>45051.0</v>
      </c>
      <c r="L1268" s="186">
        <v>45449.0</v>
      </c>
      <c r="M1268" s="62" t="s">
        <v>61</v>
      </c>
      <c r="N1268" s="98">
        <v>0.01</v>
      </c>
      <c r="O1268" s="47" t="s">
        <v>66</v>
      </c>
      <c r="P1268" s="99">
        <v>0.0</v>
      </c>
      <c r="Q1268" s="58"/>
      <c r="R1268" s="58" t="s">
        <v>1767</v>
      </c>
      <c r="S1268" s="62" t="s">
        <v>194</v>
      </c>
      <c r="T1268" s="32" t="s">
        <v>9810</v>
      </c>
      <c r="U1268" s="33" t="s">
        <v>268</v>
      </c>
      <c r="V1268" s="33"/>
      <c r="W1268" s="33" t="s">
        <v>268</v>
      </c>
      <c r="X1268" s="23" t="s">
        <v>618</v>
      </c>
      <c r="Y1268" s="49" t="str">
        <f t="shared" si="46"/>
        <v>Encerrado</v>
      </c>
      <c r="Z1268" s="62"/>
      <c r="AA1268" s="62"/>
      <c r="AB1268" s="64" t="s">
        <v>269</v>
      </c>
      <c r="AC1268" s="79"/>
      <c r="AD1268" s="54">
        <v>45051.0</v>
      </c>
      <c r="AE1268" s="77">
        <v>4.9075100012131E13</v>
      </c>
      <c r="AF1268" s="79"/>
      <c r="AG1268" s="79"/>
      <c r="AH1268" s="79"/>
      <c r="AI1268" s="79"/>
      <c r="AJ1268" s="79"/>
      <c r="AK1268" s="79"/>
      <c r="AL1268" s="65">
        <v>1689189.64</v>
      </c>
      <c r="AM1268" s="65">
        <v>1696169.83</v>
      </c>
      <c r="AN1268" s="65">
        <v>1715562.2</v>
      </c>
      <c r="AO1268" s="65">
        <v>1374140.03</v>
      </c>
      <c r="AP1268" s="65">
        <v>0.0</v>
      </c>
      <c r="AQ1268" s="65">
        <v>0.0</v>
      </c>
      <c r="AR1268" s="65">
        <v>0.0</v>
      </c>
      <c r="AS1268" s="65">
        <v>0.0</v>
      </c>
      <c r="AT1268" s="65">
        <v>0.0</v>
      </c>
      <c r="AU1268" s="65">
        <v>0.0</v>
      </c>
      <c r="AV1268" s="65">
        <v>0.0</v>
      </c>
      <c r="AW1268" s="65">
        <v>0.0</v>
      </c>
      <c r="AX1268" s="65">
        <v>0.0</v>
      </c>
      <c r="AY1268" s="65">
        <v>0.0</v>
      </c>
      <c r="AZ1268" s="65">
        <v>0.0</v>
      </c>
      <c r="BA1268" s="65">
        <v>0.0</v>
      </c>
      <c r="BB1268" s="65">
        <v>0.0</v>
      </c>
      <c r="BC1268" s="65">
        <v>0.0</v>
      </c>
      <c r="BD1268" s="65">
        <v>0.0</v>
      </c>
      <c r="BE1268" s="65">
        <v>0.0</v>
      </c>
      <c r="BF1268" s="65">
        <v>0.0</v>
      </c>
      <c r="BG1268" s="65">
        <v>0.0</v>
      </c>
      <c r="BH1268" s="65">
        <v>0.0</v>
      </c>
      <c r="BI1268" s="65">
        <v>0.0</v>
      </c>
      <c r="BJ1268" s="65">
        <v>0.0</v>
      </c>
      <c r="BK1268" s="65">
        <v>0.0</v>
      </c>
      <c r="BL1268" s="65">
        <v>0.0</v>
      </c>
      <c r="BM1268" s="65">
        <v>0.0</v>
      </c>
      <c r="BN1268" s="65">
        <v>0.0</v>
      </c>
      <c r="BO1268" s="65">
        <v>0.0</v>
      </c>
      <c r="BP1268" s="65">
        <v>0.0</v>
      </c>
      <c r="BQ1268" s="65">
        <v>0.0</v>
      </c>
      <c r="BR1268" s="65">
        <v>0.0</v>
      </c>
      <c r="BS1268" s="65">
        <v>0.0</v>
      </c>
      <c r="BT1268" s="88">
        <v>0.0</v>
      </c>
      <c r="BU1268" s="65">
        <v>0.0</v>
      </c>
      <c r="BV1268" s="65">
        <v>0.0</v>
      </c>
      <c r="BW1268" s="90">
        <v>0.0</v>
      </c>
      <c r="BX1268" s="90">
        <v>0.0</v>
      </c>
      <c r="BY1268" s="90" t="str">
        <f t="array" ref="BY1268">XLOOKUP(C1268,'PL TOTAL D0'!$A$3:$A$1991,'PL TOTAL D0'!$C$3:$C$1991,"")</f>
        <v/>
      </c>
    </row>
    <row r="1269" ht="16.5" customHeight="1">
      <c r="A1269" s="50" t="s">
        <v>24</v>
      </c>
      <c r="B1269" s="43" t="s">
        <v>9811</v>
      </c>
      <c r="C1269" s="94" t="s">
        <v>2997</v>
      </c>
      <c r="D1269" s="30" t="s">
        <v>53</v>
      </c>
      <c r="E1269" s="22" t="s">
        <v>54</v>
      </c>
      <c r="F1269" s="30" t="s">
        <v>507</v>
      </c>
      <c r="G1269" s="47" t="str">
        <f t="shared" si="55"/>
        <v>Gabriel</v>
      </c>
      <c r="H1269" s="49" t="s">
        <v>183</v>
      </c>
      <c r="I1269" s="49" t="s">
        <v>66</v>
      </c>
      <c r="J1269" s="47" t="str">
        <f t="shared" si="52"/>
        <v>Não</v>
      </c>
      <c r="K1269" s="54">
        <v>45811.0</v>
      </c>
      <c r="L1269" s="186"/>
      <c r="M1269" s="32" t="s">
        <v>209</v>
      </c>
      <c r="N1269" s="56">
        <v>0.015</v>
      </c>
      <c r="O1269" s="23" t="s">
        <v>35</v>
      </c>
      <c r="P1269" s="57">
        <v>0.1</v>
      </c>
      <c r="Q1269" s="58"/>
      <c r="R1269" s="58" t="s">
        <v>1531</v>
      </c>
      <c r="S1269" s="32" t="s">
        <v>194</v>
      </c>
      <c r="T1269" s="32" t="s">
        <v>9812</v>
      </c>
      <c r="U1269" s="33">
        <v>5.562992231432E12</v>
      </c>
      <c r="V1269" s="33" t="s">
        <v>9813</v>
      </c>
      <c r="W1269" s="34">
        <v>30529.0</v>
      </c>
      <c r="X1269" s="23" t="s">
        <v>54</v>
      </c>
      <c r="Y1269" s="49" t="str">
        <f t="shared" si="46"/>
        <v>Ativo</v>
      </c>
      <c r="Z1269" s="62"/>
      <c r="AA1269" s="32" t="s">
        <v>47</v>
      </c>
      <c r="AB1269" s="64"/>
      <c r="AC1269" s="79"/>
      <c r="AD1269" s="54">
        <v>45812.0</v>
      </c>
      <c r="AE1269" s="77">
        <v>4.9075100018987E13</v>
      </c>
      <c r="AF1269" s="79"/>
      <c r="AG1269" s="79"/>
      <c r="AH1269" s="79"/>
      <c r="AI1269" s="79"/>
      <c r="AJ1269" s="79"/>
      <c r="AK1269" s="79"/>
      <c r="AL1269" s="65"/>
      <c r="AM1269" s="65"/>
      <c r="AN1269" s="65"/>
      <c r="AO1269" s="65"/>
      <c r="AP1269" s="65"/>
      <c r="AQ1269" s="65"/>
      <c r="AR1269" s="65"/>
      <c r="AS1269" s="65"/>
      <c r="AT1269" s="65"/>
      <c r="AU1269" s="65"/>
      <c r="AV1269" s="65"/>
      <c r="AW1269" s="65"/>
      <c r="AX1269" s="65"/>
      <c r="AY1269" s="65"/>
      <c r="AZ1269" s="65"/>
      <c r="BA1269" s="65"/>
      <c r="BB1269" s="65"/>
      <c r="BC1269" s="65"/>
      <c r="BD1269" s="65"/>
      <c r="BE1269" s="65"/>
      <c r="BF1269" s="65"/>
      <c r="BG1269" s="65"/>
      <c r="BH1269" s="65"/>
      <c r="BI1269" s="65"/>
      <c r="BJ1269" s="65"/>
      <c r="BK1269" s="65"/>
      <c r="BL1269" s="65">
        <v>252702.93</v>
      </c>
      <c r="BM1269" s="65">
        <v>306050.16</v>
      </c>
      <c r="BN1269" s="65">
        <v>309190.3</v>
      </c>
      <c r="BO1269" s="65">
        <v>312103.1</v>
      </c>
      <c r="BP1269" s="65">
        <v>315789.6</v>
      </c>
      <c r="BQ1269" s="65">
        <v>318524.7</v>
      </c>
      <c r="BR1269" s="65">
        <v>320900.6</v>
      </c>
      <c r="BS1269" s="65">
        <v>323886.64</v>
      </c>
      <c r="BT1269" s="88">
        <v>326583.2</v>
      </c>
      <c r="BU1269" s="65">
        <v>331016.3</v>
      </c>
      <c r="BV1269" s="65">
        <v>334337.3</v>
      </c>
      <c r="BW1269" s="90">
        <v>332817.3</v>
      </c>
      <c r="BX1269" s="90">
        <v>334229.24</v>
      </c>
      <c r="BY1269" s="90">
        <f t="array" ref="BY1269">XLOOKUP(C1269,'PL TOTAL D0'!$A$3:$A$1991,'PL TOTAL D0'!$C$3:$C$1991,"")</f>
        <v>362043.87</v>
      </c>
    </row>
    <row r="1270" ht="16.5" customHeight="1">
      <c r="A1270" s="43" t="s">
        <v>24</v>
      </c>
      <c r="B1270" s="43" t="s">
        <v>9814</v>
      </c>
      <c r="C1270" s="94" t="s">
        <v>9815</v>
      </c>
      <c r="D1270" s="30" t="s">
        <v>255</v>
      </c>
      <c r="E1270" s="22" t="s">
        <v>199</v>
      </c>
      <c r="F1270" s="30" t="s">
        <v>257</v>
      </c>
      <c r="G1270" s="47" t="str">
        <f t="shared" si="55"/>
        <v>David</v>
      </c>
      <c r="H1270" s="49" t="s">
        <v>224</v>
      </c>
      <c r="I1270" s="49" t="s">
        <v>66</v>
      </c>
      <c r="J1270" s="47" t="str">
        <f t="shared" si="52"/>
        <v>Não</v>
      </c>
      <c r="K1270" s="54">
        <v>45359.0</v>
      </c>
      <c r="L1270" s="55">
        <v>45539.0</v>
      </c>
      <c r="M1270" s="32" t="s">
        <v>201</v>
      </c>
      <c r="N1270" s="56">
        <v>0.0</v>
      </c>
      <c r="O1270" s="23" t="s">
        <v>66</v>
      </c>
      <c r="P1270" s="57">
        <v>0.0</v>
      </c>
      <c r="Q1270" s="58"/>
      <c r="R1270" s="58" t="s">
        <v>1767</v>
      </c>
      <c r="S1270" s="32" t="s">
        <v>194</v>
      </c>
      <c r="T1270" s="22" t="s">
        <v>9816</v>
      </c>
      <c r="U1270" s="33" t="s">
        <v>268</v>
      </c>
      <c r="V1270" s="33"/>
      <c r="W1270" s="33" t="s">
        <v>268</v>
      </c>
      <c r="X1270" s="23" t="s">
        <v>475</v>
      </c>
      <c r="Y1270" s="49" t="str">
        <f t="shared" si="46"/>
        <v>Encerrado</v>
      </c>
      <c r="Z1270" s="62"/>
      <c r="AA1270" s="62"/>
      <c r="AB1270" s="64" t="s">
        <v>269</v>
      </c>
      <c r="AC1270" s="79"/>
      <c r="AD1270" s="54">
        <v>45359.0</v>
      </c>
      <c r="AE1270" s="77">
        <v>4.907510001462E13</v>
      </c>
      <c r="AF1270" s="79"/>
      <c r="AG1270" s="79"/>
      <c r="AH1270" s="79"/>
      <c r="AI1270" s="79"/>
      <c r="AJ1270" s="79"/>
      <c r="AK1270" s="79"/>
      <c r="AL1270" s="79"/>
      <c r="AM1270" s="79"/>
      <c r="AN1270" s="79"/>
      <c r="AO1270" s="79"/>
      <c r="AP1270" s="79"/>
      <c r="AQ1270" s="79"/>
      <c r="AR1270" s="79"/>
      <c r="AS1270" s="79"/>
      <c r="AT1270" s="79"/>
      <c r="AU1270" s="79"/>
      <c r="AV1270" s="65"/>
      <c r="AW1270" s="65">
        <v>536257.18</v>
      </c>
      <c r="AX1270" s="65">
        <v>560300.31</v>
      </c>
      <c r="AY1270" s="65">
        <v>564711.3</v>
      </c>
      <c r="AZ1270" s="65">
        <v>563857.4</v>
      </c>
      <c r="BA1270" s="65">
        <v>0.0</v>
      </c>
      <c r="BB1270" s="65">
        <v>0.0</v>
      </c>
      <c r="BC1270" s="65">
        <v>0.0</v>
      </c>
      <c r="BD1270" s="65">
        <v>0.0</v>
      </c>
      <c r="BE1270" s="65">
        <v>0.0</v>
      </c>
      <c r="BF1270" s="65">
        <v>0.0</v>
      </c>
      <c r="BG1270" s="65">
        <v>0.0</v>
      </c>
      <c r="BH1270" s="65">
        <v>0.0</v>
      </c>
      <c r="BI1270" s="65">
        <v>0.0</v>
      </c>
      <c r="BJ1270" s="65">
        <v>0.0</v>
      </c>
      <c r="BK1270" s="65">
        <v>0.0</v>
      </c>
      <c r="BL1270" s="65">
        <v>0.0</v>
      </c>
      <c r="BM1270" s="65">
        <v>0.0</v>
      </c>
      <c r="BN1270" s="65">
        <v>0.0</v>
      </c>
      <c r="BO1270" s="65">
        <v>0.0</v>
      </c>
      <c r="BP1270" s="65">
        <v>0.0</v>
      </c>
      <c r="BQ1270" s="65">
        <v>0.0</v>
      </c>
      <c r="BR1270" s="65">
        <v>0.0</v>
      </c>
      <c r="BS1270" s="65">
        <v>0.0</v>
      </c>
      <c r="BT1270" s="88">
        <v>0.0</v>
      </c>
      <c r="BU1270" s="65">
        <v>0.0</v>
      </c>
      <c r="BV1270" s="65">
        <v>0.0</v>
      </c>
      <c r="BW1270" s="90">
        <v>0.0</v>
      </c>
      <c r="BX1270" s="90">
        <v>0.0</v>
      </c>
      <c r="BY1270" s="90" t="str">
        <f t="array" ref="BY1270">XLOOKUP(C1270,'PL TOTAL D0'!$A$3:$A$1991,'PL TOTAL D0'!$C$3:$C$1991,"")</f>
        <v/>
      </c>
    </row>
    <row r="1271" ht="16.5" customHeight="1">
      <c r="A1271" s="43" t="s">
        <v>24</v>
      </c>
      <c r="B1271" s="43" t="s">
        <v>9814</v>
      </c>
      <c r="C1271" s="94" t="s">
        <v>9817</v>
      </c>
      <c r="D1271" s="30" t="s">
        <v>255</v>
      </c>
      <c r="E1271" s="22" t="s">
        <v>199</v>
      </c>
      <c r="F1271" s="30" t="s">
        <v>257</v>
      </c>
      <c r="G1271" s="47" t="str">
        <f t="shared" si="55"/>
        <v>David</v>
      </c>
      <c r="H1271" s="49" t="s">
        <v>224</v>
      </c>
      <c r="I1271" s="49" t="s">
        <v>66</v>
      </c>
      <c r="J1271" s="23" t="s">
        <v>563</v>
      </c>
      <c r="K1271" s="54">
        <v>45308.0</v>
      </c>
      <c r="L1271" s="55">
        <v>45539.0</v>
      </c>
      <c r="M1271" s="32" t="s">
        <v>1443</v>
      </c>
      <c r="N1271" s="56">
        <v>0.006</v>
      </c>
      <c r="O1271" s="23" t="s">
        <v>66</v>
      </c>
      <c r="P1271" s="57">
        <v>0.0</v>
      </c>
      <c r="Q1271" s="58"/>
      <c r="R1271" s="58" t="s">
        <v>9818</v>
      </c>
      <c r="S1271" s="32" t="s">
        <v>194</v>
      </c>
      <c r="T1271" s="22" t="s">
        <v>9816</v>
      </c>
      <c r="U1271" s="33" t="s">
        <v>268</v>
      </c>
      <c r="V1271" s="33"/>
      <c r="W1271" s="33" t="s">
        <v>268</v>
      </c>
      <c r="X1271" s="23"/>
      <c r="Y1271" s="49" t="str">
        <f t="shared" si="46"/>
        <v>Encerrado</v>
      </c>
      <c r="Z1271" s="62"/>
      <c r="AA1271" s="62"/>
      <c r="AB1271" s="64"/>
      <c r="AC1271" s="79"/>
      <c r="AD1271" s="54">
        <v>45308.0</v>
      </c>
      <c r="AE1271" s="77">
        <v>4.9075100013624E13</v>
      </c>
      <c r="AF1271" s="79"/>
      <c r="AG1271" s="79"/>
      <c r="AH1271" s="79"/>
      <c r="AI1271" s="79"/>
      <c r="AJ1271" s="79"/>
      <c r="AK1271" s="79"/>
      <c r="AL1271" s="79"/>
      <c r="AM1271" s="79"/>
      <c r="AN1271" s="79"/>
      <c r="AO1271" s="79"/>
      <c r="AP1271" s="79"/>
      <c r="AQ1271" s="79"/>
      <c r="AR1271" s="79"/>
      <c r="AS1271" s="79"/>
      <c r="AT1271" s="79"/>
      <c r="AU1271" s="65">
        <v>4330001.94</v>
      </c>
      <c r="AV1271" s="65">
        <v>4359086.67</v>
      </c>
      <c r="AW1271" s="65">
        <v>3755707.41</v>
      </c>
      <c r="AX1271" s="65">
        <v>3923725.93</v>
      </c>
      <c r="AY1271" s="65">
        <v>3948084.0</v>
      </c>
      <c r="AZ1271" s="65">
        <v>4118178.0</v>
      </c>
      <c r="BA1271" s="65">
        <v>0.0</v>
      </c>
      <c r="BB1271" s="65">
        <v>0.0</v>
      </c>
      <c r="BC1271" s="65">
        <v>0.0</v>
      </c>
      <c r="BD1271" s="65">
        <v>0.0</v>
      </c>
      <c r="BE1271" s="65">
        <v>0.0</v>
      </c>
      <c r="BF1271" s="65">
        <v>0.0</v>
      </c>
      <c r="BG1271" s="65">
        <v>0.0</v>
      </c>
      <c r="BH1271" s="65">
        <v>0.0</v>
      </c>
      <c r="BI1271" s="65">
        <v>0.0</v>
      </c>
      <c r="BJ1271" s="65">
        <v>0.0</v>
      </c>
      <c r="BK1271" s="65">
        <v>0.0</v>
      </c>
      <c r="BL1271" s="65">
        <v>0.0</v>
      </c>
      <c r="BM1271" s="65">
        <v>0.0</v>
      </c>
      <c r="BN1271" s="65">
        <v>0.0</v>
      </c>
      <c r="BO1271" s="65">
        <v>0.0</v>
      </c>
      <c r="BP1271" s="65">
        <v>0.0</v>
      </c>
      <c r="BQ1271" s="65">
        <v>0.0</v>
      </c>
      <c r="BR1271" s="65">
        <v>0.0</v>
      </c>
      <c r="BS1271" s="65">
        <v>0.0</v>
      </c>
      <c r="BT1271" s="88">
        <v>0.0</v>
      </c>
      <c r="BU1271" s="65">
        <v>0.0</v>
      </c>
      <c r="BV1271" s="65">
        <v>0.0</v>
      </c>
      <c r="BW1271" s="90">
        <v>0.0</v>
      </c>
      <c r="BX1271" s="90">
        <v>0.0</v>
      </c>
      <c r="BY1271" s="90" t="str">
        <f t="array" ref="BY1271">XLOOKUP(C1271,'PL TOTAL D0'!$A$3:$A$1991,'PL TOTAL D0'!$C$3:$C$1991,"")</f>
        <v/>
      </c>
    </row>
    <row r="1272" ht="15.75" customHeight="1">
      <c r="A1272" s="50" t="s">
        <v>24</v>
      </c>
      <c r="B1272" s="39" t="s">
        <v>9819</v>
      </c>
      <c r="C1272" s="94" t="s">
        <v>9820</v>
      </c>
      <c r="D1272" s="81" t="s">
        <v>120</v>
      </c>
      <c r="E1272" s="95" t="s">
        <v>54</v>
      </c>
      <c r="F1272" s="81" t="s">
        <v>348</v>
      </c>
      <c r="G1272" s="47" t="str">
        <f t="shared" si="55"/>
        <v>David</v>
      </c>
      <c r="H1272" s="49" t="s">
        <v>295</v>
      </c>
      <c r="I1272" s="49" t="s">
        <v>382</v>
      </c>
      <c r="J1272" s="47" t="str">
        <f t="shared" ref="J1272:J1280" si="56">IF(Q1272=0,"Não","Sim")</f>
        <v>Não</v>
      </c>
      <c r="K1272" s="97">
        <v>44992.0</v>
      </c>
      <c r="L1272" s="62"/>
      <c r="M1272" s="62" t="s">
        <v>61</v>
      </c>
      <c r="N1272" s="98">
        <v>0.01</v>
      </c>
      <c r="O1272" s="47" t="s">
        <v>66</v>
      </c>
      <c r="P1272" s="99">
        <v>0.0</v>
      </c>
      <c r="Q1272" s="58"/>
      <c r="R1272" s="70"/>
      <c r="S1272" s="62" t="s">
        <v>194</v>
      </c>
      <c r="T1272" s="32" t="s">
        <v>7947</v>
      </c>
      <c r="U1272" s="33">
        <v>5.562981146321E12</v>
      </c>
      <c r="V1272" s="33" t="s">
        <v>9821</v>
      </c>
      <c r="W1272" s="34">
        <v>29807.0</v>
      </c>
      <c r="X1272" s="23" t="s">
        <v>54</v>
      </c>
      <c r="Y1272" s="49" t="str">
        <f t="shared" si="46"/>
        <v>Ativo</v>
      </c>
      <c r="Z1272" s="62"/>
      <c r="AA1272" s="62"/>
      <c r="AB1272" s="64" t="s">
        <v>269</v>
      </c>
      <c r="AC1272" s="79"/>
      <c r="AD1272" s="54">
        <v>44992.0</v>
      </c>
      <c r="AE1272" s="77">
        <v>4.9075100009422E13</v>
      </c>
      <c r="AF1272" s="79"/>
      <c r="AG1272" s="79"/>
      <c r="AH1272" s="79"/>
      <c r="AI1272" s="79"/>
      <c r="AJ1272" s="79">
        <v>68740.04</v>
      </c>
      <c r="AK1272" s="79">
        <v>69255.53</v>
      </c>
      <c r="AL1272" s="79">
        <v>69786.2</v>
      </c>
      <c r="AM1272" s="79">
        <v>70572.13</v>
      </c>
      <c r="AN1272" s="79">
        <v>71251.35</v>
      </c>
      <c r="AO1272" s="79">
        <v>61652.23</v>
      </c>
      <c r="AP1272" s="79">
        <v>62276.69</v>
      </c>
      <c r="AQ1272" s="79">
        <v>62797.85</v>
      </c>
      <c r="AR1272" s="79">
        <v>63368.38</v>
      </c>
      <c r="AS1272" s="79">
        <v>63801.15</v>
      </c>
      <c r="AT1272" s="79">
        <v>64203.2</v>
      </c>
      <c r="AU1272" s="79">
        <v>64745.13</v>
      </c>
      <c r="AV1272" s="65">
        <v>65189.27</v>
      </c>
      <c r="AW1272" s="65">
        <v>65158.14</v>
      </c>
      <c r="AX1272" s="65">
        <v>65720.44</v>
      </c>
      <c r="AY1272" s="65">
        <v>0.0</v>
      </c>
      <c r="AZ1272" s="65">
        <v>20.89</v>
      </c>
      <c r="BA1272" s="65">
        <v>20.89</v>
      </c>
      <c r="BB1272" s="65">
        <v>20.89</v>
      </c>
      <c r="BC1272" s="65">
        <v>20.89</v>
      </c>
      <c r="BD1272" s="65">
        <v>20.89</v>
      </c>
      <c r="BE1272" s="65">
        <v>20.89</v>
      </c>
      <c r="BF1272" s="65">
        <v>20.89</v>
      </c>
      <c r="BG1272" s="65">
        <v>20.89</v>
      </c>
      <c r="BH1272" s="65">
        <v>20.89</v>
      </c>
      <c r="BI1272" s="65">
        <v>20.89</v>
      </c>
      <c r="BJ1272" s="65">
        <v>0.0</v>
      </c>
      <c r="BK1272" s="65">
        <v>0.0</v>
      </c>
      <c r="BL1272" s="65">
        <v>0.0</v>
      </c>
      <c r="BM1272" s="65">
        <v>0.0</v>
      </c>
      <c r="BN1272" s="65">
        <v>0.0</v>
      </c>
      <c r="BO1272" s="65">
        <v>0.0</v>
      </c>
      <c r="BP1272" s="65">
        <v>0.0</v>
      </c>
      <c r="BQ1272" s="65">
        <v>0.0</v>
      </c>
      <c r="BR1272" s="65">
        <v>0.0</v>
      </c>
      <c r="BS1272" s="65">
        <v>0.0</v>
      </c>
      <c r="BT1272" s="88">
        <v>0.0</v>
      </c>
      <c r="BU1272" s="65">
        <v>0.0</v>
      </c>
      <c r="BV1272" s="65">
        <v>0.0</v>
      </c>
      <c r="BW1272" s="90">
        <v>0.0</v>
      </c>
      <c r="BX1272" s="90">
        <v>0.0</v>
      </c>
      <c r="BY1272" s="90" t="str">
        <f t="array" ref="BY1272">XLOOKUP(C1272,'PL TOTAL D0'!$A$3:$A$1991,'PL TOTAL D0'!$C$3:$C$1991,"")</f>
        <v/>
      </c>
    </row>
    <row r="1273" ht="15.75" customHeight="1">
      <c r="A1273" s="50" t="s">
        <v>24</v>
      </c>
      <c r="B1273" s="946" t="s">
        <v>9822</v>
      </c>
      <c r="C1273" s="53" t="s">
        <v>3091</v>
      </c>
      <c r="D1273" s="947" t="s">
        <v>1358</v>
      </c>
      <c r="E1273" s="948" t="s">
        <v>199</v>
      </c>
      <c r="F1273" s="947" t="s">
        <v>8506</v>
      </c>
      <c r="G1273" s="23" t="s">
        <v>829</v>
      </c>
      <c r="H1273" s="949" t="s">
        <v>183</v>
      </c>
      <c r="I1273" s="949" t="s">
        <v>66</v>
      </c>
      <c r="J1273" s="47" t="str">
        <f t="shared" si="56"/>
        <v>Não</v>
      </c>
      <c r="K1273" s="950">
        <v>46142.0</v>
      </c>
      <c r="L1273" s="951"/>
      <c r="M1273" s="952" t="s">
        <v>61</v>
      </c>
      <c r="N1273" s="953">
        <v>0.012</v>
      </c>
      <c r="O1273" s="954" t="s">
        <v>66</v>
      </c>
      <c r="P1273" s="955">
        <v>0.0</v>
      </c>
      <c r="Q1273" s="58"/>
      <c r="R1273" s="956"/>
      <c r="S1273" s="952" t="s">
        <v>194</v>
      </c>
      <c r="T1273" s="952" t="s">
        <v>9823</v>
      </c>
      <c r="U1273" s="33" t="s">
        <v>8508</v>
      </c>
      <c r="V1273" s="33" t="s">
        <v>9824</v>
      </c>
      <c r="W1273" s="34">
        <v>20744.0</v>
      </c>
      <c r="X1273" s="954" t="s">
        <v>199</v>
      </c>
      <c r="Y1273" s="49" t="str">
        <f t="shared" si="46"/>
        <v>Ativo</v>
      </c>
      <c r="Z1273" s="951"/>
      <c r="AA1273" s="952" t="s">
        <v>47</v>
      </c>
      <c r="AB1273" s="957"/>
      <c r="AC1273" s="958"/>
      <c r="AD1273" s="54">
        <v>46203.0</v>
      </c>
      <c r="AE1273" s="77"/>
      <c r="AF1273" s="958"/>
      <c r="AG1273" s="958"/>
      <c r="AH1273" s="958"/>
      <c r="AI1273" s="958"/>
      <c r="AJ1273" s="958"/>
      <c r="AK1273" s="958"/>
      <c r="AL1273" s="958"/>
      <c r="AM1273" s="958"/>
      <c r="AN1273" s="958"/>
      <c r="AO1273" s="958"/>
      <c r="AP1273" s="958"/>
      <c r="AQ1273" s="958"/>
      <c r="AR1273" s="958"/>
      <c r="AS1273" s="958"/>
      <c r="AT1273" s="958"/>
      <c r="AU1273" s="958"/>
      <c r="AV1273" s="65"/>
      <c r="AW1273" s="65"/>
      <c r="AX1273" s="65"/>
      <c r="AY1273" s="65"/>
      <c r="AZ1273" s="65"/>
      <c r="BA1273" s="65"/>
      <c r="BB1273" s="65"/>
      <c r="BC1273" s="65"/>
      <c r="BD1273" s="65"/>
      <c r="BE1273" s="65"/>
      <c r="BF1273" s="65"/>
      <c r="BG1273" s="65"/>
      <c r="BH1273" s="65"/>
      <c r="BI1273" s="65"/>
      <c r="BJ1273" s="65"/>
      <c r="BK1273" s="65"/>
      <c r="BL1273" s="65"/>
      <c r="BM1273" s="65"/>
      <c r="BN1273" s="65"/>
      <c r="BO1273" s="65"/>
      <c r="BP1273" s="65"/>
      <c r="BQ1273" s="65"/>
      <c r="BR1273" s="65"/>
      <c r="BS1273" s="65"/>
      <c r="BT1273" s="88"/>
      <c r="BU1273" s="65"/>
      <c r="BV1273" s="65">
        <v>250000.9</v>
      </c>
      <c r="BW1273" s="90">
        <v>252577.0</v>
      </c>
      <c r="BX1273" s="90">
        <v>254805.8</v>
      </c>
      <c r="BY1273" s="90">
        <f t="array" ref="BY1273">XLOOKUP(C1273,'PL TOTAL D0'!$A$3:$A$1991,'PL TOTAL D0'!$C$3:$C$1991,"")</f>
        <v>258210.56</v>
      </c>
    </row>
    <row r="1274" ht="15.75" customHeight="1">
      <c r="A1274" s="959" t="s">
        <v>24</v>
      </c>
      <c r="B1274" s="960" t="s">
        <v>9825</v>
      </c>
      <c r="C1274" s="94" t="s">
        <v>9826</v>
      </c>
      <c r="D1274" s="961" t="s">
        <v>120</v>
      </c>
      <c r="E1274" s="962" t="s">
        <v>199</v>
      </c>
      <c r="F1274" s="961" t="s">
        <v>290</v>
      </c>
      <c r="G1274" s="47" t="str">
        <f t="shared" ref="G1274:G1280" si="57">IFS($BS$4:$BS$1280&lt;=250000,"David",$BS$4:$BS$1280&lt;=800000,"Gabriel", $BS$4:$BS$1280&gt;800000,"Marcus")</f>
        <v>David</v>
      </c>
      <c r="H1274" s="949" t="s">
        <v>295</v>
      </c>
      <c r="I1274" s="949" t="s">
        <v>382</v>
      </c>
      <c r="J1274" s="47" t="str">
        <f t="shared" si="56"/>
        <v>Não</v>
      </c>
      <c r="K1274" s="963">
        <v>44894.0</v>
      </c>
      <c r="L1274" s="951"/>
      <c r="M1274" s="951" t="s">
        <v>213</v>
      </c>
      <c r="N1274" s="964">
        <v>0.007</v>
      </c>
      <c r="O1274" s="965" t="s">
        <v>66</v>
      </c>
      <c r="P1274" s="966">
        <v>0.0</v>
      </c>
      <c r="Q1274" s="58"/>
      <c r="R1274" s="956"/>
      <c r="S1274" s="951" t="s">
        <v>234</v>
      </c>
      <c r="T1274" s="952" t="s">
        <v>9827</v>
      </c>
      <c r="U1274" s="33">
        <v>5.561981212666E12</v>
      </c>
      <c r="V1274" s="33" t="s">
        <v>4882</v>
      </c>
      <c r="W1274" s="34">
        <v>43679.0</v>
      </c>
      <c r="X1274" s="954" t="s">
        <v>618</v>
      </c>
      <c r="Y1274" s="49" t="str">
        <f t="shared" si="46"/>
        <v>Ativo</v>
      </c>
      <c r="Z1274" s="951"/>
      <c r="AA1274" s="951"/>
      <c r="AB1274" s="957" t="s">
        <v>244</v>
      </c>
      <c r="AC1274" s="958"/>
      <c r="AD1274" s="54">
        <v>44894.0</v>
      </c>
      <c r="AE1274" s="77">
        <v>4.9075100006539E13</v>
      </c>
      <c r="AF1274" s="958"/>
      <c r="AG1274" s="958"/>
      <c r="AH1274" s="958">
        <v>2655155.41</v>
      </c>
      <c r="AI1274" s="958">
        <v>2675570.11</v>
      </c>
      <c r="AJ1274" s="958">
        <v>2699231.96</v>
      </c>
      <c r="AK1274" s="958">
        <v>2728008.19</v>
      </c>
      <c r="AL1274" s="958">
        <v>2738653.68</v>
      </c>
      <c r="AM1274" s="958">
        <v>2770866.74</v>
      </c>
      <c r="AN1274" s="958">
        <v>2798261.37</v>
      </c>
      <c r="AO1274" s="958">
        <v>2825569.34</v>
      </c>
      <c r="AP1274" s="958">
        <v>2851375.93</v>
      </c>
      <c r="AQ1274" s="958">
        <v>2873474.15</v>
      </c>
      <c r="AR1274" s="958">
        <v>2892360.45</v>
      </c>
      <c r="AS1274" s="958">
        <v>360671.84</v>
      </c>
      <c r="AT1274" s="958">
        <v>362643.08</v>
      </c>
      <c r="AU1274" s="958">
        <v>220.0</v>
      </c>
      <c r="AV1274" s="65">
        <v>170.04</v>
      </c>
      <c r="AW1274" s="65">
        <v>170.67</v>
      </c>
      <c r="AX1274" s="65">
        <v>172.16</v>
      </c>
      <c r="AY1274" s="65">
        <v>173.05</v>
      </c>
      <c r="AZ1274" s="65">
        <v>174.41</v>
      </c>
      <c r="BA1274" s="65">
        <v>175.98</v>
      </c>
      <c r="BB1274" s="65">
        <v>177.51</v>
      </c>
      <c r="BC1274" s="65">
        <v>178.99</v>
      </c>
      <c r="BD1274" s="65">
        <v>180.65</v>
      </c>
      <c r="BE1274" s="65">
        <v>180.73</v>
      </c>
      <c r="BF1274" s="65">
        <v>182.38</v>
      </c>
      <c r="BG1274" s="65">
        <v>184.25</v>
      </c>
      <c r="BH1274" s="65">
        <v>0.01</v>
      </c>
      <c r="BI1274" s="65">
        <v>0.01</v>
      </c>
      <c r="BJ1274" s="65">
        <v>0.01</v>
      </c>
      <c r="BK1274" s="65">
        <v>0.01</v>
      </c>
      <c r="BL1274" s="65">
        <v>0.01</v>
      </c>
      <c r="BM1274" s="65">
        <v>0.0</v>
      </c>
      <c r="BN1274" s="65">
        <v>0.01</v>
      </c>
      <c r="BO1274" s="65">
        <v>0.01</v>
      </c>
      <c r="BP1274" s="65">
        <v>0.01</v>
      </c>
      <c r="BQ1274" s="65">
        <v>0.01</v>
      </c>
      <c r="BR1274" s="65">
        <v>0.01</v>
      </c>
      <c r="BS1274" s="65">
        <v>0.01</v>
      </c>
      <c r="BT1274" s="88">
        <v>0.01</v>
      </c>
      <c r="BU1274" s="65">
        <v>0.01</v>
      </c>
      <c r="BV1274" s="65">
        <v>0.01</v>
      </c>
      <c r="BW1274" s="90">
        <v>0.01</v>
      </c>
      <c r="BX1274" s="90">
        <v>0.01</v>
      </c>
      <c r="BY1274" s="90" t="str">
        <f t="array" ref="BY1274">XLOOKUP(C1274,'PL TOTAL D0'!$A$3:$A$1991,'PL TOTAL D0'!$C$3:$C$1991,"")</f>
        <v/>
      </c>
    </row>
    <row r="1275" ht="15.75" customHeight="1">
      <c r="A1275" s="967" t="s">
        <v>24</v>
      </c>
      <c r="B1275" s="188" t="s">
        <v>9828</v>
      </c>
      <c r="C1275" s="94" t="s">
        <v>9829</v>
      </c>
      <c r="D1275" s="947" t="s">
        <v>142</v>
      </c>
      <c r="E1275" s="948" t="s">
        <v>54</v>
      </c>
      <c r="F1275" s="30" t="s">
        <v>158</v>
      </c>
      <c r="G1275" s="47" t="str">
        <f t="shared" si="57"/>
        <v>David</v>
      </c>
      <c r="H1275" s="949" t="s">
        <v>295</v>
      </c>
      <c r="I1275" s="949" t="s">
        <v>382</v>
      </c>
      <c r="J1275" s="47" t="str">
        <f t="shared" si="56"/>
        <v>Não</v>
      </c>
      <c r="K1275" s="950">
        <v>45376.0</v>
      </c>
      <c r="L1275" s="951"/>
      <c r="M1275" s="952" t="s">
        <v>61</v>
      </c>
      <c r="N1275" s="953">
        <v>0.012</v>
      </c>
      <c r="O1275" s="954" t="s">
        <v>66</v>
      </c>
      <c r="P1275" s="955">
        <v>0.0</v>
      </c>
      <c r="Q1275" s="58"/>
      <c r="R1275" s="956"/>
      <c r="S1275" s="952" t="s">
        <v>194</v>
      </c>
      <c r="T1275" s="22" t="s">
        <v>9830</v>
      </c>
      <c r="U1275" s="33">
        <v>5.562991681005E12</v>
      </c>
      <c r="V1275" s="33" t="s">
        <v>9831</v>
      </c>
      <c r="W1275" s="34">
        <v>29592.0</v>
      </c>
      <c r="X1275" s="954" t="s">
        <v>54</v>
      </c>
      <c r="Y1275" s="49" t="str">
        <f t="shared" si="46"/>
        <v>Ativo</v>
      </c>
      <c r="Z1275" s="951"/>
      <c r="AA1275" s="951"/>
      <c r="AB1275" s="957" t="s">
        <v>269</v>
      </c>
      <c r="AC1275" s="958"/>
      <c r="AD1275" s="54">
        <v>45376.0</v>
      </c>
      <c r="AE1275" s="77">
        <v>4.9075100013934E13</v>
      </c>
      <c r="AF1275" s="958"/>
      <c r="AG1275" s="958"/>
      <c r="AH1275" s="958"/>
      <c r="AI1275" s="958"/>
      <c r="AJ1275" s="958"/>
      <c r="AK1275" s="958"/>
      <c r="AL1275" s="958"/>
      <c r="AM1275" s="958"/>
      <c r="AN1275" s="958"/>
      <c r="AO1275" s="958"/>
      <c r="AP1275" s="958"/>
      <c r="AQ1275" s="958"/>
      <c r="AR1275" s="958"/>
      <c r="AS1275" s="958"/>
      <c r="AT1275" s="958"/>
      <c r="AU1275" s="958"/>
      <c r="AV1275" s="65"/>
      <c r="AW1275" s="65">
        <v>0.0</v>
      </c>
      <c r="AX1275" s="65">
        <v>201422.5</v>
      </c>
      <c r="AY1275" s="65">
        <v>203080.1</v>
      </c>
      <c r="AZ1275" s="65">
        <v>204808.8</v>
      </c>
      <c r="BA1275" s="65">
        <v>206568.3</v>
      </c>
      <c r="BB1275" s="65">
        <v>208312.85</v>
      </c>
      <c r="BC1275" s="65">
        <v>209380.72</v>
      </c>
      <c r="BD1275" s="65">
        <v>211226.79</v>
      </c>
      <c r="BE1275" s="65">
        <v>0.0</v>
      </c>
      <c r="BF1275" s="65">
        <v>0.21</v>
      </c>
      <c r="BG1275" s="65">
        <v>0.21</v>
      </c>
      <c r="BH1275" s="65">
        <v>0.21</v>
      </c>
      <c r="BI1275" s="65">
        <v>0.21</v>
      </c>
      <c r="BJ1275" s="65">
        <v>0.0</v>
      </c>
      <c r="BK1275" s="65">
        <v>0.0</v>
      </c>
      <c r="BL1275" s="65">
        <v>0.0</v>
      </c>
      <c r="BM1275" s="65">
        <v>0.0</v>
      </c>
      <c r="BN1275" s="65">
        <v>0.0</v>
      </c>
      <c r="BO1275" s="65">
        <v>0.0</v>
      </c>
      <c r="BP1275" s="65">
        <v>0.0</v>
      </c>
      <c r="BQ1275" s="65">
        <v>0.0</v>
      </c>
      <c r="BR1275" s="65">
        <v>0.0</v>
      </c>
      <c r="BS1275" s="65">
        <v>0.0</v>
      </c>
      <c r="BT1275" s="88">
        <v>0.0</v>
      </c>
      <c r="BU1275" s="65">
        <v>0.0</v>
      </c>
      <c r="BV1275" s="65">
        <v>0.0</v>
      </c>
      <c r="BW1275" s="90">
        <v>0.0</v>
      </c>
      <c r="BX1275" s="90">
        <v>0.0</v>
      </c>
      <c r="BY1275" s="90" t="str">
        <f t="array" ref="BY1275">XLOOKUP(C1275,'PL TOTAL D0'!$A$3:$A$1991,'PL TOTAL D0'!$C$3:$C$1991,"")</f>
        <v/>
      </c>
    </row>
    <row r="1276" ht="15.75" customHeight="1">
      <c r="A1276" s="50" t="s">
        <v>24</v>
      </c>
      <c r="B1276" s="428" t="s">
        <v>1610</v>
      </c>
      <c r="C1276" s="94" t="s">
        <v>2759</v>
      </c>
      <c r="D1276" s="30" t="s">
        <v>89</v>
      </c>
      <c r="E1276" s="95" t="s">
        <v>91</v>
      </c>
      <c r="F1276" s="81" t="s">
        <v>193</v>
      </c>
      <c r="G1276" s="47" t="str">
        <f t="shared" si="57"/>
        <v>Marcus</v>
      </c>
      <c r="H1276" s="49" t="s">
        <v>183</v>
      </c>
      <c r="I1276" s="49" t="s">
        <v>66</v>
      </c>
      <c r="J1276" s="47" t="str">
        <f t="shared" si="56"/>
        <v>Não</v>
      </c>
      <c r="K1276" s="54">
        <v>45637.0</v>
      </c>
      <c r="L1276" s="189"/>
      <c r="M1276" s="32" t="s">
        <v>1349</v>
      </c>
      <c r="N1276" s="56">
        <v>0.012</v>
      </c>
      <c r="O1276" s="23" t="s">
        <v>66</v>
      </c>
      <c r="P1276" s="57">
        <v>0.0</v>
      </c>
      <c r="Q1276" s="58"/>
      <c r="R1276" s="58"/>
      <c r="S1276" s="32" t="s">
        <v>194</v>
      </c>
      <c r="T1276" s="32" t="s">
        <v>9832</v>
      </c>
      <c r="U1276" s="33">
        <v>4.3988039119E10</v>
      </c>
      <c r="V1276" s="33" t="s">
        <v>1619</v>
      </c>
      <c r="W1276" s="34">
        <v>31287.0</v>
      </c>
      <c r="X1276" s="23" t="s">
        <v>221</v>
      </c>
      <c r="Y1276" s="49" t="str">
        <f t="shared" si="46"/>
        <v>Ativo</v>
      </c>
      <c r="Z1276" s="62"/>
      <c r="AA1276" s="32" t="s">
        <v>47</v>
      </c>
      <c r="AB1276" s="64"/>
      <c r="AC1276" s="79"/>
      <c r="AD1276" s="54">
        <v>45673.0</v>
      </c>
      <c r="AE1276" s="77">
        <v>4.9075100017727E13</v>
      </c>
      <c r="AF1276" s="79"/>
      <c r="AG1276" s="79"/>
      <c r="AH1276" s="79"/>
      <c r="AI1276" s="79"/>
      <c r="AJ1276" s="79"/>
      <c r="AK1276" s="79"/>
      <c r="AL1276" s="79"/>
      <c r="AM1276" s="79"/>
      <c r="AN1276" s="79"/>
      <c r="AO1276" s="79"/>
      <c r="AP1276" s="79"/>
      <c r="AQ1276" s="79"/>
      <c r="AR1276" s="79"/>
      <c r="AS1276" s="79"/>
      <c r="AT1276" s="79"/>
      <c r="AU1276" s="79"/>
      <c r="AV1276" s="65"/>
      <c r="AW1276" s="65"/>
      <c r="AX1276" s="65"/>
      <c r="AY1276" s="65"/>
      <c r="AZ1276" s="65"/>
      <c r="BA1276" s="65"/>
      <c r="BB1276" s="65"/>
      <c r="BC1276" s="65"/>
      <c r="BD1276" s="65"/>
      <c r="BE1276" s="65"/>
      <c r="BF1276" s="65">
        <v>0.0</v>
      </c>
      <c r="BG1276" s="65">
        <v>1027513.58</v>
      </c>
      <c r="BH1276" s="65">
        <v>1036493.68</v>
      </c>
      <c r="BI1276" s="65">
        <v>1048048.39</v>
      </c>
      <c r="BJ1276" s="65">
        <v>1058087.37</v>
      </c>
      <c r="BK1276" s="65">
        <v>1068284.06</v>
      </c>
      <c r="BL1276" s="65">
        <v>1077014.89</v>
      </c>
      <c r="BM1276" s="65">
        <v>1088038.75</v>
      </c>
      <c r="BN1276" s="65">
        <v>1097507.0</v>
      </c>
      <c r="BO1276" s="65">
        <v>1106602.83</v>
      </c>
      <c r="BP1276" s="65">
        <v>1119125.0</v>
      </c>
      <c r="BQ1276" s="65">
        <v>1127248.0</v>
      </c>
      <c r="BR1276" s="65">
        <v>1134235.0</v>
      </c>
      <c r="BS1276" s="65">
        <v>1118593.66</v>
      </c>
      <c r="BT1276" s="88">
        <v>1125537.0</v>
      </c>
      <c r="BU1276" s="65">
        <v>811249.1</v>
      </c>
      <c r="BV1276" s="65">
        <v>819236.6</v>
      </c>
      <c r="BW1276" s="90">
        <v>826474.9</v>
      </c>
      <c r="BX1276" s="90">
        <v>835113.09</v>
      </c>
      <c r="BY1276" s="90">
        <f t="array" ref="BY1276">XLOOKUP(C1276,'PL TOTAL D0'!$A$3:$A$1991,'PL TOTAL D0'!$C$3:$C$1991,"")</f>
        <v>842403.25</v>
      </c>
    </row>
    <row r="1277" ht="15.75" customHeight="1">
      <c r="A1277" s="50" t="s">
        <v>24</v>
      </c>
      <c r="B1277" s="428" t="s">
        <v>1610</v>
      </c>
      <c r="C1277" s="94" t="s">
        <v>9833</v>
      </c>
      <c r="D1277" s="30" t="s">
        <v>89</v>
      </c>
      <c r="E1277" s="95" t="s">
        <v>91</v>
      </c>
      <c r="F1277" s="81" t="s">
        <v>193</v>
      </c>
      <c r="G1277" s="47" t="str">
        <f t="shared" si="57"/>
        <v>David</v>
      </c>
      <c r="H1277" s="49" t="s">
        <v>224</v>
      </c>
      <c r="I1277" s="49" t="s">
        <v>66</v>
      </c>
      <c r="J1277" s="47" t="str">
        <f t="shared" si="56"/>
        <v>Não</v>
      </c>
      <c r="K1277" s="97">
        <v>45159.0</v>
      </c>
      <c r="L1277" s="186">
        <v>45545.0</v>
      </c>
      <c r="M1277" s="62" t="s">
        <v>61</v>
      </c>
      <c r="N1277" s="98">
        <v>0.012</v>
      </c>
      <c r="O1277" s="47" t="s">
        <v>66</v>
      </c>
      <c r="P1277" s="99">
        <v>0.0</v>
      </c>
      <c r="Q1277" s="58"/>
      <c r="R1277" s="58" t="s">
        <v>610</v>
      </c>
      <c r="S1277" s="62" t="s">
        <v>194</v>
      </c>
      <c r="T1277" s="32" t="s">
        <v>9832</v>
      </c>
      <c r="U1277" s="33" t="s">
        <v>268</v>
      </c>
      <c r="V1277" s="33"/>
      <c r="W1277" s="33" t="s">
        <v>268</v>
      </c>
      <c r="X1277" s="23" t="s">
        <v>221</v>
      </c>
      <c r="Y1277" s="49" t="str">
        <f t="shared" si="46"/>
        <v>Encerrado</v>
      </c>
      <c r="Z1277" s="62"/>
      <c r="AA1277" s="32" t="s">
        <v>47</v>
      </c>
      <c r="AB1277" s="64" t="s">
        <v>269</v>
      </c>
      <c r="AC1277" s="79"/>
      <c r="AD1277" s="54">
        <v>45159.0</v>
      </c>
      <c r="AE1277" s="77">
        <v>4.9075100012148E13</v>
      </c>
      <c r="AF1277" s="79"/>
      <c r="AG1277" s="79"/>
      <c r="AH1277" s="79"/>
      <c r="AI1277" s="79"/>
      <c r="AJ1277" s="79"/>
      <c r="AK1277" s="79"/>
      <c r="AL1277" s="79">
        <v>0.0</v>
      </c>
      <c r="AM1277" s="79">
        <v>0.0</v>
      </c>
      <c r="AN1277" s="79">
        <v>0.0</v>
      </c>
      <c r="AO1277" s="79">
        <v>0.0</v>
      </c>
      <c r="AP1277" s="79">
        <v>211510.28</v>
      </c>
      <c r="AQ1277" s="79">
        <v>213108.31</v>
      </c>
      <c r="AR1277" s="79">
        <v>214818.17</v>
      </c>
      <c r="AS1277" s="79">
        <v>233600.15</v>
      </c>
      <c r="AT1277" s="79">
        <v>234755.16</v>
      </c>
      <c r="AU1277" s="79">
        <v>236867.04</v>
      </c>
      <c r="AV1277" s="65">
        <v>238650.84</v>
      </c>
      <c r="AW1277" s="65">
        <v>240282.31</v>
      </c>
      <c r="AX1277" s="65">
        <v>242157.27</v>
      </c>
      <c r="AY1277" s="65">
        <v>244070.6</v>
      </c>
      <c r="AZ1277" s="65">
        <v>245977.1</v>
      </c>
      <c r="BA1277" s="65">
        <v>247556.0</v>
      </c>
      <c r="BB1277" s="65">
        <v>249318.85</v>
      </c>
      <c r="BC1277" s="65">
        <v>0.0</v>
      </c>
      <c r="BD1277" s="65">
        <v>0.0</v>
      </c>
      <c r="BE1277" s="65">
        <v>0.0</v>
      </c>
      <c r="BF1277" s="65">
        <v>0.0</v>
      </c>
      <c r="BG1277" s="65">
        <v>0.0</v>
      </c>
      <c r="BH1277" s="65">
        <v>0.0</v>
      </c>
      <c r="BI1277" s="65">
        <v>0.0</v>
      </c>
      <c r="BJ1277" s="65">
        <v>0.0</v>
      </c>
      <c r="BK1277" s="65">
        <v>0.0</v>
      </c>
      <c r="BL1277" s="65">
        <v>0.0</v>
      </c>
      <c r="BM1277" s="65">
        <v>0.0</v>
      </c>
      <c r="BN1277" s="65">
        <v>0.0</v>
      </c>
      <c r="BO1277" s="65">
        <v>0.0</v>
      </c>
      <c r="BP1277" s="65">
        <v>0.0</v>
      </c>
      <c r="BQ1277" s="65">
        <v>0.0</v>
      </c>
      <c r="BR1277" s="65">
        <v>0.0</v>
      </c>
      <c r="BS1277" s="65">
        <v>0.0</v>
      </c>
      <c r="BT1277" s="88">
        <v>0.0</v>
      </c>
      <c r="BU1277" s="65">
        <v>0.0</v>
      </c>
      <c r="BV1277" s="65">
        <v>0.0</v>
      </c>
      <c r="BW1277" s="90">
        <v>0.0</v>
      </c>
      <c r="BX1277" s="90">
        <v>0.0</v>
      </c>
      <c r="BY1277" s="90" t="str">
        <f t="array" ref="BY1277">XLOOKUP(C1277,'PL TOTAL D0'!$A$3:$A$1991,'PL TOTAL D0'!$C$3:$C$1991,"")</f>
        <v/>
      </c>
    </row>
    <row r="1278" ht="15.75" customHeight="1">
      <c r="A1278" s="50" t="s">
        <v>24</v>
      </c>
      <c r="B1278" s="188" t="s">
        <v>9834</v>
      </c>
      <c r="C1278" s="94" t="s">
        <v>3181</v>
      </c>
      <c r="D1278" s="30" t="s">
        <v>365</v>
      </c>
      <c r="E1278" s="22" t="s">
        <v>199</v>
      </c>
      <c r="F1278" s="30" t="s">
        <v>1111</v>
      </c>
      <c r="G1278" s="47" t="str">
        <f t="shared" si="57"/>
        <v>David</v>
      </c>
      <c r="H1278" s="49" t="s">
        <v>183</v>
      </c>
      <c r="I1278" s="49" t="s">
        <v>66</v>
      </c>
      <c r="J1278" s="47" t="str">
        <f t="shared" si="56"/>
        <v>Sim</v>
      </c>
      <c r="K1278" s="54">
        <v>45407.0</v>
      </c>
      <c r="L1278" s="189"/>
      <c r="M1278" s="62" t="s">
        <v>61</v>
      </c>
      <c r="N1278" s="98">
        <v>0.012</v>
      </c>
      <c r="O1278" s="47" t="s">
        <v>66</v>
      </c>
      <c r="P1278" s="99">
        <v>0.0</v>
      </c>
      <c r="Q1278" s="58" t="s">
        <v>9835</v>
      </c>
      <c r="R1278" s="58"/>
      <c r="S1278" s="32" t="s">
        <v>194</v>
      </c>
      <c r="T1278" s="22" t="s">
        <v>1844</v>
      </c>
      <c r="U1278" s="33">
        <v>5.561981772713E12</v>
      </c>
      <c r="V1278" s="33" t="s">
        <v>1846</v>
      </c>
      <c r="W1278" s="48">
        <v>19349.0</v>
      </c>
      <c r="X1278" s="23" t="s">
        <v>199</v>
      </c>
      <c r="Y1278" s="49" t="str">
        <f t="shared" si="46"/>
        <v>Ativo</v>
      </c>
      <c r="Z1278" s="32"/>
      <c r="AA1278" s="32" t="s">
        <v>165</v>
      </c>
      <c r="AB1278" s="64" t="s">
        <v>269</v>
      </c>
      <c r="AC1278" s="79"/>
      <c r="AD1278" s="54">
        <v>45407.0</v>
      </c>
      <c r="AE1278" s="77">
        <v>4.9075100014221E13</v>
      </c>
      <c r="AF1278" s="79"/>
      <c r="AG1278" s="79"/>
      <c r="AH1278" s="79"/>
      <c r="AI1278" s="79"/>
      <c r="AJ1278" s="79"/>
      <c r="AK1278" s="79"/>
      <c r="AL1278" s="79"/>
      <c r="AM1278" s="79"/>
      <c r="AN1278" s="79"/>
      <c r="AO1278" s="79"/>
      <c r="AP1278" s="79"/>
      <c r="AQ1278" s="79"/>
      <c r="AR1278" s="79"/>
      <c r="AS1278" s="79"/>
      <c r="AT1278" s="79"/>
      <c r="AU1278" s="79"/>
      <c r="AV1278" s="65"/>
      <c r="AW1278" s="65"/>
      <c r="AX1278" s="65">
        <v>130756.33</v>
      </c>
      <c r="AY1278" s="65">
        <v>131987.1</v>
      </c>
      <c r="AZ1278" s="65">
        <v>132528.1</v>
      </c>
      <c r="BA1278" s="65">
        <v>133374.9</v>
      </c>
      <c r="BB1278" s="65">
        <v>149390.7</v>
      </c>
      <c r="BC1278" s="65">
        <v>150338.15</v>
      </c>
      <c r="BD1278" s="65">
        <v>151288.16</v>
      </c>
      <c r="BE1278" s="65">
        <v>151950.37</v>
      </c>
      <c r="BF1278" s="65">
        <v>151582.02</v>
      </c>
      <c r="BG1278" s="65">
        <v>152090.13</v>
      </c>
      <c r="BH1278" s="65">
        <v>153898.37</v>
      </c>
      <c r="BI1278" s="65">
        <v>165739.95</v>
      </c>
      <c r="BJ1278" s="65">
        <v>182446.57</v>
      </c>
      <c r="BK1278" s="65">
        <v>184050.12</v>
      </c>
      <c r="BL1278" s="65">
        <v>180222.84</v>
      </c>
      <c r="BM1278" s="65">
        <v>180464.15</v>
      </c>
      <c r="BN1278" s="65">
        <v>182246.2</v>
      </c>
      <c r="BO1278" s="65">
        <v>184025.92</v>
      </c>
      <c r="BP1278" s="65">
        <v>185896.1</v>
      </c>
      <c r="BQ1278" s="65">
        <v>187255.4</v>
      </c>
      <c r="BR1278" s="65">
        <v>189420.2</v>
      </c>
      <c r="BS1278" s="65">
        <v>191228.8</v>
      </c>
      <c r="BT1278" s="88">
        <v>192657.2</v>
      </c>
      <c r="BU1278" s="65">
        <v>189569.3</v>
      </c>
      <c r="BV1278" s="65">
        <v>191692.5</v>
      </c>
      <c r="BW1278" s="90">
        <v>181753.2</v>
      </c>
      <c r="BX1278" s="90">
        <v>183233.73</v>
      </c>
      <c r="BY1278" s="90">
        <f t="array" ref="BY1278">XLOOKUP(C1278,'PL TOTAL D0'!$A$3:$A$1991,'PL TOTAL D0'!$C$3:$C$1991,"")</f>
        <v>184890.48</v>
      </c>
    </row>
    <row r="1279" ht="15.75" customHeight="1">
      <c r="A1279" s="50" t="s">
        <v>24</v>
      </c>
      <c r="B1279" s="188" t="s">
        <v>9836</v>
      </c>
      <c r="C1279" s="94" t="s">
        <v>9837</v>
      </c>
      <c r="D1279" s="30" t="s">
        <v>89</v>
      </c>
      <c r="E1279" s="22" t="s">
        <v>91</v>
      </c>
      <c r="F1279" s="30" t="s">
        <v>193</v>
      </c>
      <c r="G1279" s="47" t="str">
        <f t="shared" si="57"/>
        <v>David</v>
      </c>
      <c r="H1279" s="49" t="s">
        <v>224</v>
      </c>
      <c r="I1279" s="49" t="s">
        <v>66</v>
      </c>
      <c r="J1279" s="47" t="str">
        <f t="shared" si="56"/>
        <v>Não</v>
      </c>
      <c r="K1279" s="54">
        <v>45421.0</v>
      </c>
      <c r="L1279" s="55">
        <v>45754.0</v>
      </c>
      <c r="M1279" s="32" t="s">
        <v>61</v>
      </c>
      <c r="N1279" s="56">
        <v>0.012</v>
      </c>
      <c r="O1279" s="23" t="s">
        <v>66</v>
      </c>
      <c r="P1279" s="57">
        <v>0.0</v>
      </c>
      <c r="Q1279" s="58"/>
      <c r="R1279" s="58"/>
      <c r="S1279" s="32" t="s">
        <v>194</v>
      </c>
      <c r="T1279" s="177" t="s">
        <v>9838</v>
      </c>
      <c r="U1279" s="33" t="s">
        <v>268</v>
      </c>
      <c r="V1279" s="33" t="s">
        <v>268</v>
      </c>
      <c r="W1279" s="33" t="s">
        <v>268</v>
      </c>
      <c r="X1279" s="23" t="s">
        <v>475</v>
      </c>
      <c r="Y1279" s="49" t="str">
        <f t="shared" si="46"/>
        <v>Encerrado</v>
      </c>
      <c r="Z1279" s="32"/>
      <c r="AA1279" s="32" t="s">
        <v>47</v>
      </c>
      <c r="AB1279" s="64" t="s">
        <v>269</v>
      </c>
      <c r="AC1279" s="79"/>
      <c r="AD1279" s="54">
        <v>45421.0</v>
      </c>
      <c r="AE1279" s="77">
        <v>4.9075100014639E13</v>
      </c>
      <c r="AF1279" s="79"/>
      <c r="AG1279" s="79"/>
      <c r="AH1279" s="79"/>
      <c r="AI1279" s="79"/>
      <c r="AJ1279" s="79"/>
      <c r="AK1279" s="79"/>
      <c r="AL1279" s="79"/>
      <c r="AM1279" s="79"/>
      <c r="AN1279" s="79"/>
      <c r="AO1279" s="79"/>
      <c r="AP1279" s="79"/>
      <c r="AQ1279" s="79"/>
      <c r="AR1279" s="79"/>
      <c r="AS1279" s="79"/>
      <c r="AT1279" s="79"/>
      <c r="AU1279" s="79"/>
      <c r="AV1279" s="65"/>
      <c r="AW1279" s="65"/>
      <c r="AX1279" s="65"/>
      <c r="AY1279" s="65">
        <v>100722.2</v>
      </c>
      <c r="AZ1279" s="65">
        <v>101684.2</v>
      </c>
      <c r="BA1279" s="65">
        <v>102729.3</v>
      </c>
      <c r="BB1279" s="65">
        <v>103610.52</v>
      </c>
      <c r="BC1279" s="65">
        <v>104323.39</v>
      </c>
      <c r="BD1279" s="65">
        <v>105380.02</v>
      </c>
      <c r="BE1279" s="65">
        <v>106181.84</v>
      </c>
      <c r="BF1279" s="65">
        <v>130642.39</v>
      </c>
      <c r="BG1279" s="65">
        <v>131817.59</v>
      </c>
      <c r="BH1279" s="65">
        <v>132589.34</v>
      </c>
      <c r="BI1279" s="65">
        <v>133887.97</v>
      </c>
      <c r="BJ1279" s="65">
        <v>0.0</v>
      </c>
      <c r="BK1279" s="65">
        <v>0.0</v>
      </c>
      <c r="BL1279" s="65">
        <v>0.0</v>
      </c>
      <c r="BM1279" s="65">
        <v>0.0</v>
      </c>
      <c r="BN1279" s="65">
        <v>0.0</v>
      </c>
      <c r="BO1279" s="65">
        <v>0.0</v>
      </c>
      <c r="BP1279" s="65">
        <v>0.0</v>
      </c>
      <c r="BQ1279" s="65">
        <v>0.0</v>
      </c>
      <c r="BR1279" s="65">
        <v>0.0</v>
      </c>
      <c r="BS1279" s="65">
        <v>0.0</v>
      </c>
      <c r="BT1279" s="88">
        <v>0.0</v>
      </c>
      <c r="BU1279" s="65">
        <v>0.0</v>
      </c>
      <c r="BV1279" s="65">
        <v>0.0</v>
      </c>
      <c r="BW1279" s="90">
        <v>0.0</v>
      </c>
      <c r="BX1279" s="90">
        <v>0.0</v>
      </c>
      <c r="BY1279" s="90" t="str">
        <f t="array" ref="BY1279">XLOOKUP(C1279,'PL TOTAL D0'!$A$3:$A$1991,'PL TOTAL D0'!$C$3:$C$1991,"")</f>
        <v/>
      </c>
    </row>
    <row r="1280" ht="15.75" customHeight="1">
      <c r="A1280" s="50" t="s">
        <v>24</v>
      </c>
      <c r="B1280" s="188" t="s">
        <v>9839</v>
      </c>
      <c r="C1280" s="94" t="s">
        <v>9840</v>
      </c>
      <c r="D1280" s="30" t="s">
        <v>120</v>
      </c>
      <c r="E1280" s="22" t="s">
        <v>199</v>
      </c>
      <c r="F1280" s="30" t="s">
        <v>1399</v>
      </c>
      <c r="G1280" s="47" t="str">
        <f t="shared" si="57"/>
        <v>David</v>
      </c>
      <c r="H1280" s="49" t="s">
        <v>224</v>
      </c>
      <c r="I1280" s="49" t="s">
        <v>66</v>
      </c>
      <c r="J1280" s="47" t="str">
        <f t="shared" si="56"/>
        <v>Não</v>
      </c>
      <c r="K1280" s="54">
        <v>45394.0</v>
      </c>
      <c r="L1280" s="186">
        <v>45581.0</v>
      </c>
      <c r="M1280" s="32" t="s">
        <v>201</v>
      </c>
      <c r="N1280" s="56">
        <v>0.0</v>
      </c>
      <c r="O1280" s="23" t="s">
        <v>66</v>
      </c>
      <c r="P1280" s="57">
        <v>0.0</v>
      </c>
      <c r="Q1280" s="58"/>
      <c r="R1280" s="58" t="s">
        <v>351</v>
      </c>
      <c r="S1280" s="32" t="s">
        <v>194</v>
      </c>
      <c r="T1280" s="22" t="s">
        <v>9841</v>
      </c>
      <c r="U1280" s="33" t="s">
        <v>268</v>
      </c>
      <c r="V1280" s="33" t="s">
        <v>268</v>
      </c>
      <c r="W1280" s="33" t="s">
        <v>268</v>
      </c>
      <c r="X1280" s="23" t="s">
        <v>724</v>
      </c>
      <c r="Y1280" s="49" t="str">
        <f t="shared" si="46"/>
        <v>Encerrado</v>
      </c>
      <c r="Z1280" s="32"/>
      <c r="AA1280" s="32" t="s">
        <v>47</v>
      </c>
      <c r="AB1280" s="64" t="s">
        <v>269</v>
      </c>
      <c r="AC1280" s="79"/>
      <c r="AD1280" s="54">
        <v>45394.0</v>
      </c>
      <c r="AE1280" s="77">
        <v>4.9075100014231E13</v>
      </c>
      <c r="AF1280" s="79"/>
      <c r="AG1280" s="79"/>
      <c r="AH1280" s="79"/>
      <c r="AI1280" s="79"/>
      <c r="AJ1280" s="79"/>
      <c r="AK1280" s="79"/>
      <c r="AL1280" s="79"/>
      <c r="AM1280" s="79"/>
      <c r="AN1280" s="79"/>
      <c r="AO1280" s="79"/>
      <c r="AP1280" s="79"/>
      <c r="AQ1280" s="79"/>
      <c r="AR1280" s="79"/>
      <c r="AS1280" s="79"/>
      <c r="AT1280" s="79"/>
      <c r="AU1280" s="79"/>
      <c r="AV1280" s="65"/>
      <c r="AW1280" s="65"/>
      <c r="AX1280" s="65">
        <v>40169.61</v>
      </c>
      <c r="AY1280" s="65">
        <v>45573.03</v>
      </c>
      <c r="AZ1280" s="65">
        <v>51030.45</v>
      </c>
      <c r="BA1280" s="65">
        <v>61618.31</v>
      </c>
      <c r="BB1280" s="65">
        <v>70288.26</v>
      </c>
      <c r="BC1280" s="65">
        <v>85004.61</v>
      </c>
      <c r="BD1280" s="65">
        <v>0.0</v>
      </c>
      <c r="BE1280" s="65">
        <v>0.0</v>
      </c>
      <c r="BF1280" s="65">
        <v>0.0</v>
      </c>
      <c r="BG1280" s="65">
        <v>0.0</v>
      </c>
      <c r="BH1280" s="65">
        <v>0.0</v>
      </c>
      <c r="BI1280" s="65">
        <v>0.0</v>
      </c>
      <c r="BJ1280" s="65">
        <v>0.0</v>
      </c>
      <c r="BK1280" s="65">
        <v>0.0</v>
      </c>
      <c r="BL1280" s="65">
        <v>0.0</v>
      </c>
      <c r="BM1280" s="65">
        <v>0.0</v>
      </c>
      <c r="BN1280" s="65">
        <v>0.0</v>
      </c>
      <c r="BO1280" s="65">
        <v>0.0</v>
      </c>
      <c r="BP1280" s="65">
        <v>0.0</v>
      </c>
      <c r="BQ1280" s="65">
        <v>0.0</v>
      </c>
      <c r="BR1280" s="65">
        <v>0.0</v>
      </c>
      <c r="BS1280" s="65">
        <v>0.0</v>
      </c>
      <c r="BT1280" s="88">
        <v>0.0</v>
      </c>
      <c r="BU1280" s="65">
        <v>0.0</v>
      </c>
      <c r="BV1280" s="65">
        <v>0.0</v>
      </c>
      <c r="BW1280" s="90">
        <v>0.0</v>
      </c>
      <c r="BX1280" s="90">
        <v>0.0</v>
      </c>
      <c r="BY1280" s="90" t="str">
        <f t="array" ref="BY1280">XLOOKUP(C1280,'PL TOTAL D0'!$A$3:$A$1991,'PL TOTAL D0'!$C$3:$C$1991,"")</f>
        <v/>
      </c>
    </row>
    <row r="1281" ht="15.75" customHeight="1">
      <c r="A1281" s="968" t="s">
        <v>315</v>
      </c>
      <c r="B1281" s="320"/>
      <c r="C1281" s="321"/>
      <c r="D1281" s="256"/>
      <c r="E1281" s="256"/>
      <c r="F1281" s="254"/>
      <c r="G1281" s="254"/>
      <c r="H1281" s="253"/>
      <c r="I1281" s="323"/>
      <c r="J1281" s="253"/>
      <c r="K1281" s="324"/>
      <c r="L1281" s="324"/>
      <c r="M1281" s="254"/>
      <c r="N1281" s="273"/>
      <c r="O1281" s="273"/>
      <c r="P1281" s="325"/>
      <c r="Q1281" s="274"/>
      <c r="R1281" s="274"/>
      <c r="S1281" s="254"/>
      <c r="T1281" s="254"/>
      <c r="U1281" s="254"/>
      <c r="V1281" s="254"/>
      <c r="W1281" s="254"/>
      <c r="X1281" s="254"/>
      <c r="Y1281" s="254"/>
      <c r="Z1281" s="324"/>
      <c r="AA1281" s="324"/>
      <c r="AB1281" s="324"/>
      <c r="AC1281" s="327"/>
      <c r="AD1281" s="327"/>
      <c r="AE1281" s="327"/>
      <c r="AF1281" s="210"/>
      <c r="AG1281" s="210"/>
      <c r="AH1281" s="210"/>
      <c r="AI1281" s="210"/>
      <c r="AJ1281" s="210"/>
      <c r="AK1281" s="210"/>
      <c r="AL1281" s="210"/>
      <c r="AM1281" s="210"/>
      <c r="AN1281" s="210"/>
      <c r="AO1281" s="210"/>
      <c r="AP1281" s="210"/>
      <c r="AQ1281" s="210"/>
      <c r="AR1281" s="210"/>
      <c r="AS1281" s="210"/>
      <c r="AT1281" s="210"/>
      <c r="AU1281" s="210"/>
      <c r="AV1281" s="210"/>
      <c r="AW1281" s="210"/>
      <c r="AX1281" s="210"/>
      <c r="AY1281" s="210"/>
      <c r="AZ1281" s="210"/>
      <c r="BA1281" s="210"/>
      <c r="BB1281" s="210"/>
      <c r="BC1281" s="210"/>
      <c r="BD1281" s="210"/>
      <c r="BE1281" s="210"/>
      <c r="BF1281" s="210"/>
      <c r="BG1281" s="210"/>
      <c r="BH1281" s="210"/>
      <c r="BI1281" s="210"/>
      <c r="BJ1281" s="210"/>
      <c r="BK1281" s="210"/>
      <c r="BL1281" s="210"/>
      <c r="BM1281" s="210"/>
      <c r="BN1281" s="210"/>
      <c r="BO1281" s="210"/>
      <c r="BP1281" s="210"/>
      <c r="BQ1281" s="210"/>
      <c r="BR1281" s="210"/>
      <c r="BS1281" s="210"/>
      <c r="BT1281" s="210"/>
      <c r="BU1281" s="210"/>
      <c r="BV1281" s="210"/>
      <c r="BW1281" s="210"/>
      <c r="BX1281" s="210"/>
      <c r="BY1281" s="210"/>
    </row>
    <row r="1282" ht="15.75" customHeight="1">
      <c r="A1282" s="320"/>
      <c r="B1282" s="320"/>
      <c r="C1282" s="321"/>
      <c r="D1282" s="256"/>
      <c r="E1282" s="256"/>
      <c r="F1282" s="254"/>
      <c r="G1282" s="254"/>
      <c r="H1282" s="253"/>
      <c r="I1282" s="323"/>
      <c r="J1282" s="253"/>
      <c r="K1282" s="324"/>
      <c r="L1282" s="324"/>
      <c r="M1282" s="254"/>
      <c r="N1282" s="273"/>
      <c r="O1282" s="273"/>
      <c r="P1282" s="325"/>
      <c r="Q1282" s="274"/>
      <c r="R1282" s="274"/>
      <c r="S1282" s="254"/>
      <c r="T1282" s="254"/>
      <c r="U1282" s="254"/>
      <c r="V1282" s="254"/>
      <c r="W1282" s="254"/>
      <c r="X1282" s="254"/>
      <c r="Y1282" s="254"/>
      <c r="Z1282" s="324"/>
      <c r="AA1282" s="324"/>
      <c r="AB1282" s="324"/>
      <c r="AC1282" s="327"/>
      <c r="AD1282" s="327"/>
      <c r="AE1282" s="327"/>
      <c r="AF1282" s="210"/>
      <c r="AG1282" s="210"/>
      <c r="AH1282" s="210"/>
      <c r="AI1282" s="210"/>
      <c r="AJ1282" s="210"/>
      <c r="AK1282" s="210"/>
      <c r="AL1282" s="210"/>
      <c r="AM1282" s="210"/>
      <c r="AN1282" s="210"/>
      <c r="AO1282" s="210"/>
      <c r="AP1282" s="210"/>
      <c r="AQ1282" s="210"/>
      <c r="AR1282" s="210"/>
      <c r="AS1282" s="210"/>
      <c r="AT1282" s="210"/>
      <c r="AU1282" s="210"/>
      <c r="AV1282" s="210"/>
      <c r="AW1282" s="210"/>
      <c r="AX1282" s="210"/>
      <c r="AY1282" s="210"/>
      <c r="AZ1282" s="210"/>
      <c r="BA1282" s="210"/>
      <c r="BB1282" s="210"/>
      <c r="BC1282" s="210"/>
      <c r="BD1282" s="210"/>
      <c r="BE1282" s="210"/>
      <c r="BF1282" s="210"/>
      <c r="BG1282" s="210"/>
      <c r="BH1282" s="210"/>
      <c r="BI1282" s="210"/>
      <c r="BJ1282" s="210"/>
      <c r="BK1282" s="210"/>
      <c r="BL1282" s="210"/>
      <c r="BM1282" s="210"/>
      <c r="BN1282" s="210"/>
      <c r="BO1282" s="210"/>
      <c r="BP1282" s="210"/>
      <c r="BQ1282" s="210"/>
      <c r="BR1282" s="210"/>
      <c r="BS1282" s="210"/>
      <c r="BT1282" s="210"/>
      <c r="BU1282" s="210"/>
      <c r="BV1282" s="210"/>
      <c r="BW1282" s="210"/>
      <c r="BX1282" s="210"/>
      <c r="BY1282" s="210"/>
    </row>
    <row r="1283" ht="15.75" customHeight="1">
      <c r="A1283" s="333"/>
      <c r="B1283" s="334" t="s">
        <v>1353</v>
      </c>
      <c r="C1283" s="335"/>
      <c r="D1283" s="335">
        <f>COUNTIF(H:H,"Ativo")</f>
        <v>627</v>
      </c>
      <c r="F1283" s="254"/>
      <c r="G1283" s="254"/>
      <c r="H1283" s="254"/>
      <c r="I1283" s="255"/>
      <c r="J1283" s="254"/>
      <c r="K1283" s="324"/>
      <c r="L1283" s="324"/>
      <c r="M1283" s="254"/>
      <c r="N1283" s="273"/>
      <c r="O1283" s="273"/>
      <c r="P1283" s="325"/>
      <c r="Q1283" s="274"/>
      <c r="R1283" s="274"/>
      <c r="S1283" s="254"/>
      <c r="T1283" s="336"/>
      <c r="U1283" s="336"/>
      <c r="V1283" s="336"/>
      <c r="W1283" s="336"/>
      <c r="X1283" s="336"/>
      <c r="Y1283" s="254"/>
      <c r="Z1283" s="324"/>
      <c r="AA1283" s="324"/>
      <c r="AB1283" s="324"/>
      <c r="AC1283" s="327"/>
      <c r="AD1283" s="327"/>
      <c r="AE1283" s="327"/>
      <c r="AF1283" s="289">
        <f t="shared" ref="AF1283:BY1283" si="58">SUM(AF4:AF1282)</f>
        <v>0.2</v>
      </c>
      <c r="AG1283" s="289">
        <f t="shared" si="58"/>
        <v>0</v>
      </c>
      <c r="AH1283" s="289">
        <f t="shared" si="58"/>
        <v>11487265.99</v>
      </c>
      <c r="AI1283" s="289">
        <f t="shared" si="58"/>
        <v>27095720.27</v>
      </c>
      <c r="AJ1283" s="289">
        <f t="shared" si="58"/>
        <v>67316998.84</v>
      </c>
      <c r="AK1283" s="289">
        <f t="shared" si="58"/>
        <v>121282813.8</v>
      </c>
      <c r="AL1283" s="289">
        <f t="shared" si="58"/>
        <v>158430126.6</v>
      </c>
      <c r="AM1283" s="289">
        <f t="shared" si="58"/>
        <v>176470655.9</v>
      </c>
      <c r="AN1283" s="289">
        <f t="shared" si="58"/>
        <v>200958619.4</v>
      </c>
      <c r="AO1283" s="289">
        <f t="shared" si="58"/>
        <v>222907286.8</v>
      </c>
      <c r="AP1283" s="289">
        <f t="shared" si="58"/>
        <v>249199264.4</v>
      </c>
      <c r="AQ1283" s="289">
        <f t="shared" si="58"/>
        <v>250644923.9</v>
      </c>
      <c r="AR1283" s="289">
        <f t="shared" si="58"/>
        <v>258419762.6</v>
      </c>
      <c r="AS1283" s="289">
        <f t="shared" si="58"/>
        <v>266716379.5</v>
      </c>
      <c r="AT1283" s="289">
        <f t="shared" si="58"/>
        <v>274958096.2</v>
      </c>
      <c r="AU1283" s="289">
        <f t="shared" si="58"/>
        <v>299052900.7</v>
      </c>
      <c r="AV1283" s="289">
        <f t="shared" si="58"/>
        <v>307051792</v>
      </c>
      <c r="AW1283" s="289">
        <f t="shared" si="58"/>
        <v>305990253.9</v>
      </c>
      <c r="AX1283" s="289">
        <f t="shared" si="58"/>
        <v>321180823.7</v>
      </c>
      <c r="AY1283" s="289">
        <f t="shared" si="58"/>
        <v>330498211.7</v>
      </c>
      <c r="AZ1283" s="289">
        <f t="shared" si="58"/>
        <v>337035449.7</v>
      </c>
      <c r="BA1283" s="289">
        <f t="shared" si="58"/>
        <v>282738204.1</v>
      </c>
      <c r="BB1283" s="289">
        <f t="shared" si="58"/>
        <v>262223673.8</v>
      </c>
      <c r="BC1283" s="289">
        <f t="shared" si="58"/>
        <v>256272540.1</v>
      </c>
      <c r="BD1283" s="289">
        <f t="shared" si="58"/>
        <v>252318336.8</v>
      </c>
      <c r="BE1283" s="289">
        <f t="shared" si="58"/>
        <v>264045058.7</v>
      </c>
      <c r="BF1283" s="289">
        <f t="shared" si="58"/>
        <v>268414282.7</v>
      </c>
      <c r="BG1283" s="289">
        <f t="shared" si="58"/>
        <v>273026462.8</v>
      </c>
      <c r="BH1283" s="289">
        <f t="shared" si="58"/>
        <v>277778596.4</v>
      </c>
      <c r="BI1283" s="289">
        <f t="shared" si="58"/>
        <v>278737699.7</v>
      </c>
      <c r="BJ1283" s="289">
        <f t="shared" si="58"/>
        <v>283388818.2</v>
      </c>
      <c r="BK1283" s="289">
        <f t="shared" si="58"/>
        <v>286720686.1</v>
      </c>
      <c r="BL1283" s="289">
        <f t="shared" si="58"/>
        <v>286291462</v>
      </c>
      <c r="BM1283" s="289">
        <f t="shared" si="58"/>
        <v>269589990.3</v>
      </c>
      <c r="BN1283" s="289">
        <f t="shared" si="58"/>
        <v>272397519.5</v>
      </c>
      <c r="BO1283" s="289">
        <f t="shared" si="58"/>
        <v>275381406.3</v>
      </c>
      <c r="BP1283" s="289">
        <f t="shared" si="58"/>
        <v>280359805.6</v>
      </c>
      <c r="BQ1283" s="289">
        <f t="shared" si="58"/>
        <v>273232191.2</v>
      </c>
      <c r="BR1283" s="289">
        <f t="shared" si="58"/>
        <v>281075569.9</v>
      </c>
      <c r="BS1283" s="289">
        <f t="shared" si="58"/>
        <v>298839071.2</v>
      </c>
      <c r="BT1283" s="289">
        <f t="shared" si="58"/>
        <v>304401905.9</v>
      </c>
      <c r="BU1283" s="289">
        <f t="shared" si="58"/>
        <v>327179302.1</v>
      </c>
      <c r="BV1283" s="289">
        <f t="shared" si="58"/>
        <v>347050675.1</v>
      </c>
      <c r="BW1283" s="289">
        <f t="shared" si="58"/>
        <v>377421070.9</v>
      </c>
      <c r="BX1283" s="289">
        <f t="shared" si="58"/>
        <v>380285017.3</v>
      </c>
      <c r="BY1283" s="289">
        <f t="shared" si="58"/>
        <v>399685183.7</v>
      </c>
    </row>
    <row r="1284" ht="15.75" customHeight="1">
      <c r="A1284" s="338"/>
      <c r="B1284" s="271" t="s">
        <v>1370</v>
      </c>
      <c r="C1284" s="341"/>
      <c r="D1284" s="341">
        <f>COUNTIF(H:H,"Inativo")</f>
        <v>247</v>
      </c>
      <c r="F1284" s="253"/>
      <c r="G1284" s="253"/>
      <c r="H1284" s="256"/>
      <c r="I1284" s="259"/>
      <c r="J1284" s="256"/>
      <c r="K1284" s="343"/>
      <c r="L1284" s="344"/>
      <c r="M1284" s="256"/>
      <c r="N1284" s="273"/>
      <c r="O1284" s="273"/>
      <c r="P1284" s="325"/>
      <c r="Q1284" s="274"/>
      <c r="R1284" s="274"/>
      <c r="S1284" s="254"/>
      <c r="T1284" s="336"/>
      <c r="U1284" s="336"/>
      <c r="V1284" s="336"/>
      <c r="W1284" s="336"/>
      <c r="X1284" s="336"/>
      <c r="Y1284" s="254"/>
      <c r="Z1284" s="344"/>
      <c r="AA1284" s="344"/>
      <c r="AB1284" s="344"/>
      <c r="AC1284" s="327"/>
      <c r="AD1284" s="327"/>
      <c r="AE1284" s="327"/>
      <c r="AF1284" s="210"/>
      <c r="AG1284" s="210"/>
      <c r="AH1284" s="210"/>
      <c r="AI1284" s="210"/>
      <c r="AJ1284" s="210"/>
      <c r="AK1284" s="210"/>
      <c r="AL1284" s="210"/>
      <c r="AM1284" s="210"/>
      <c r="AN1284" s="210"/>
      <c r="AO1284" s="210"/>
      <c r="AP1284" s="210"/>
      <c r="AQ1284" s="210"/>
      <c r="AR1284" s="210"/>
      <c r="AS1284" s="210"/>
      <c r="AT1284" s="210"/>
      <c r="AU1284" s="301"/>
      <c r="AV1284" s="301"/>
      <c r="AW1284" s="301"/>
      <c r="AX1284" s="301"/>
      <c r="AY1284" s="301"/>
      <c r="AZ1284" s="301"/>
      <c r="BA1284" s="301"/>
      <c r="BB1284" s="301"/>
      <c r="BC1284" s="301"/>
      <c r="BD1284" s="301"/>
      <c r="BE1284" s="301"/>
      <c r="BF1284" s="210"/>
      <c r="BG1284" s="210"/>
      <c r="BH1284" s="210"/>
      <c r="BI1284" s="210"/>
      <c r="BJ1284" s="210"/>
      <c r="BK1284" s="210"/>
      <c r="BL1284" s="210"/>
      <c r="BM1284" s="210"/>
      <c r="BN1284" s="210"/>
      <c r="BO1284" s="210"/>
      <c r="BP1284" s="210"/>
      <c r="BQ1284" s="210"/>
      <c r="BR1284" s="210"/>
      <c r="BS1284" s="210"/>
      <c r="BT1284" s="210"/>
      <c r="BU1284" s="210"/>
      <c r="BV1284" s="210"/>
      <c r="BW1284" s="210"/>
      <c r="BX1284" s="210"/>
      <c r="BY1284" s="210"/>
    </row>
    <row r="1285" ht="15.75" customHeight="1">
      <c r="A1285" s="338"/>
      <c r="B1285" s="271" t="s">
        <v>1407</v>
      </c>
      <c r="C1285" s="341"/>
      <c r="D1285" s="341">
        <f>COUNTIF(H:H,"Encerrado")</f>
        <v>396</v>
      </c>
      <c r="F1285" s="253"/>
      <c r="G1285" s="253"/>
      <c r="H1285" s="256"/>
      <c r="I1285" s="259"/>
      <c r="J1285" s="256"/>
      <c r="K1285" s="343"/>
      <c r="L1285" s="344"/>
      <c r="M1285" s="256"/>
      <c r="N1285" s="273"/>
      <c r="O1285" s="273"/>
      <c r="P1285" s="325"/>
      <c r="Q1285" s="274"/>
      <c r="R1285" s="274"/>
      <c r="S1285" s="254"/>
      <c r="T1285" s="336"/>
      <c r="U1285" s="336"/>
      <c r="V1285" s="336"/>
      <c r="W1285" s="336"/>
      <c r="X1285" s="336"/>
      <c r="Y1285" s="254"/>
      <c r="Z1285" s="344"/>
      <c r="AA1285" s="344"/>
      <c r="AB1285" s="344"/>
      <c r="AC1285" s="327"/>
      <c r="AD1285" s="327"/>
      <c r="AE1285" s="327"/>
      <c r="AF1285" s="210"/>
      <c r="AG1285" s="210"/>
      <c r="AH1285" s="210"/>
      <c r="AI1285" s="210"/>
      <c r="AJ1285" s="210"/>
      <c r="AK1285" s="210"/>
      <c r="AL1285" s="210"/>
      <c r="AM1285" s="210"/>
      <c r="AN1285" s="210"/>
      <c r="AO1285" s="210"/>
      <c r="AP1285" s="210"/>
      <c r="AQ1285" s="210"/>
      <c r="AR1285" s="210"/>
      <c r="AS1285" s="210"/>
      <c r="AT1285" s="210"/>
      <c r="AU1285" s="210"/>
      <c r="AV1285" s="210"/>
      <c r="AW1285" s="210"/>
      <c r="AX1285" s="210"/>
      <c r="AY1285" s="210"/>
      <c r="AZ1285" s="210"/>
      <c r="BA1285" s="210"/>
      <c r="BB1285" s="210"/>
      <c r="BC1285" s="301"/>
      <c r="BD1285" s="301"/>
      <c r="BE1285" s="301"/>
      <c r="BF1285" s="210"/>
      <c r="BG1285" s="210"/>
      <c r="BH1285" s="210"/>
      <c r="BI1285" s="210"/>
      <c r="BJ1285" s="210"/>
      <c r="BK1285" s="210"/>
      <c r="BL1285" s="210"/>
      <c r="BM1285" s="210"/>
      <c r="BN1285" s="210"/>
      <c r="BO1285" s="210"/>
      <c r="BP1285" s="210"/>
      <c r="BQ1285" s="210"/>
      <c r="BR1285" s="210"/>
      <c r="BS1285" s="210"/>
      <c r="BT1285" s="210"/>
      <c r="BU1285" s="210"/>
      <c r="BV1285" s="210"/>
      <c r="BW1285" s="210"/>
      <c r="BX1285" s="210"/>
      <c r="BY1285" s="210"/>
    </row>
    <row r="1286" ht="15.75" customHeight="1">
      <c r="A1286" s="349"/>
      <c r="B1286" s="278" t="s">
        <v>1426</v>
      </c>
      <c r="C1286" s="350"/>
      <c r="D1286" s="350">
        <f>COUNTIF(H:H,"Pode Operar")</f>
        <v>8</v>
      </c>
      <c r="F1286" s="253"/>
      <c r="G1286" s="253"/>
      <c r="H1286" s="256"/>
      <c r="I1286" s="259"/>
      <c r="J1286" s="256"/>
      <c r="K1286" s="343"/>
      <c r="L1286" s="344"/>
      <c r="M1286" s="256"/>
      <c r="N1286" s="273"/>
      <c r="O1286" s="273"/>
      <c r="P1286" s="325"/>
      <c r="Q1286" s="274"/>
      <c r="R1286" s="274"/>
      <c r="S1286" s="254"/>
      <c r="T1286" s="336"/>
      <c r="U1286" s="336"/>
      <c r="V1286" s="336"/>
      <c r="W1286" s="336"/>
      <c r="X1286" s="336"/>
      <c r="Y1286" s="254"/>
      <c r="Z1286" s="344"/>
      <c r="AA1286" s="344"/>
      <c r="AB1286" s="344"/>
      <c r="AC1286" s="327"/>
      <c r="AD1286" s="327"/>
      <c r="AE1286" s="327"/>
      <c r="AF1286" s="210"/>
      <c r="AG1286" s="210"/>
      <c r="AH1286" s="210"/>
      <c r="AI1286" s="210"/>
      <c r="AJ1286" s="210"/>
      <c r="AK1286" s="210"/>
      <c r="AL1286" s="210"/>
      <c r="AM1286" s="210"/>
      <c r="AN1286" s="210"/>
      <c r="AO1286" s="210"/>
      <c r="AP1286" s="210"/>
      <c r="AQ1286" s="210"/>
      <c r="AR1286" s="210"/>
      <c r="AS1286" s="210"/>
      <c r="AT1286" s="210"/>
      <c r="AU1286" s="301"/>
      <c r="AV1286" s="301"/>
      <c r="AW1286" s="301"/>
      <c r="AX1286" s="301"/>
      <c r="AY1286" s="301"/>
      <c r="AZ1286" s="301"/>
      <c r="BA1286" s="210"/>
      <c r="BB1286" s="301"/>
      <c r="BC1286" s="301"/>
      <c r="BD1286" s="301"/>
      <c r="BE1286" s="301"/>
      <c r="BF1286" s="210"/>
      <c r="BG1286" s="210"/>
      <c r="BH1286" s="210"/>
      <c r="BI1286" s="210"/>
      <c r="BJ1286" s="210"/>
      <c r="BK1286" s="210"/>
      <c r="BL1286" s="210"/>
      <c r="BM1286" s="210"/>
      <c r="BN1286" s="210"/>
      <c r="BO1286" s="210"/>
      <c r="BP1286" s="210"/>
      <c r="BQ1286" s="210"/>
      <c r="BR1286" s="210"/>
      <c r="BS1286" s="210"/>
      <c r="BT1286" s="210"/>
      <c r="BU1286" s="210"/>
      <c r="BV1286" s="210"/>
      <c r="BW1286" s="210"/>
      <c r="BX1286" s="210"/>
      <c r="BY1286" s="210"/>
    </row>
    <row r="1287" ht="15.75" customHeight="1">
      <c r="A1287" s="351"/>
      <c r="B1287" s="351"/>
      <c r="C1287" s="352"/>
      <c r="D1287" s="342"/>
      <c r="E1287" s="342"/>
      <c r="F1287" s="353"/>
      <c r="G1287" s="353"/>
      <c r="H1287" s="969"/>
      <c r="I1287" s="259"/>
      <c r="J1287" s="256"/>
      <c r="K1287" s="343"/>
      <c r="L1287" s="324"/>
      <c r="M1287" s="254"/>
      <c r="N1287" s="273"/>
      <c r="O1287" s="273"/>
      <c r="P1287" s="325"/>
      <c r="Q1287" s="274"/>
      <c r="R1287" s="274"/>
      <c r="S1287" s="254"/>
      <c r="T1287" s="356"/>
      <c r="U1287" s="254"/>
      <c r="V1287" s="254"/>
      <c r="W1287" s="254"/>
      <c r="X1287" s="254"/>
      <c r="Y1287" s="254"/>
      <c r="Z1287" s="324"/>
      <c r="AA1287" s="324"/>
      <c r="AB1287" s="324"/>
      <c r="AC1287" s="327"/>
      <c r="AD1287" s="327"/>
      <c r="AE1287" s="327"/>
      <c r="AF1287" s="210"/>
      <c r="AG1287" s="210"/>
      <c r="AH1287" s="210"/>
      <c r="AI1287" s="210"/>
      <c r="AJ1287" s="210"/>
      <c r="AK1287" s="210"/>
      <c r="AL1287" s="210"/>
      <c r="AM1287" s="210"/>
      <c r="AN1287" s="210"/>
      <c r="AO1287" s="210"/>
      <c r="AP1287" s="210"/>
      <c r="AQ1287" s="210"/>
      <c r="AR1287" s="210"/>
      <c r="AS1287" s="210"/>
      <c r="AT1287" s="210"/>
      <c r="AU1287" s="210"/>
      <c r="AV1287" s="210"/>
      <c r="AW1287" s="210"/>
      <c r="AX1287" s="301"/>
      <c r="AY1287" s="301"/>
      <c r="AZ1287" s="210"/>
      <c r="BA1287" s="210"/>
      <c r="BB1287" s="210"/>
      <c r="BC1287" s="210"/>
      <c r="BD1287" s="210"/>
      <c r="BE1287" s="210"/>
      <c r="BF1287" s="301"/>
      <c r="BG1287" s="210"/>
      <c r="BH1287" s="210"/>
      <c r="BI1287" s="210"/>
      <c r="BJ1287" s="210"/>
      <c r="BK1287" s="210"/>
      <c r="BL1287" s="210"/>
      <c r="BM1287" s="210"/>
      <c r="BN1287" s="210"/>
      <c r="BO1287" s="210"/>
      <c r="BP1287" s="210"/>
      <c r="BQ1287" s="210"/>
      <c r="BR1287" s="210"/>
      <c r="BS1287" s="210"/>
      <c r="BT1287" s="210"/>
      <c r="BU1287" s="210"/>
      <c r="BV1287" s="210"/>
      <c r="BW1287" s="210"/>
      <c r="BX1287" s="210"/>
      <c r="BY1287" s="210"/>
    </row>
    <row r="1288" ht="15.75" customHeight="1">
      <c r="A1288" s="351"/>
      <c r="B1288" s="351"/>
      <c r="C1288" s="352"/>
      <c r="D1288" s="342"/>
      <c r="E1288" s="342"/>
      <c r="F1288" s="353"/>
      <c r="G1288" s="353"/>
      <c r="H1288" s="256"/>
      <c r="I1288" s="259"/>
      <c r="J1288" s="256"/>
      <c r="K1288" s="343"/>
      <c r="L1288" s="324"/>
      <c r="M1288" s="254"/>
      <c r="N1288" s="273"/>
      <c r="O1288" s="273"/>
      <c r="P1288" s="325"/>
      <c r="Q1288" s="274"/>
      <c r="R1288" s="274"/>
      <c r="S1288" s="254"/>
      <c r="T1288" s="356"/>
      <c r="U1288" s="254"/>
      <c r="V1288" s="254"/>
      <c r="W1288" s="254"/>
      <c r="X1288" s="254"/>
      <c r="Y1288" s="254"/>
      <c r="Z1288" s="324"/>
      <c r="AA1288" s="324"/>
      <c r="AB1288" s="324"/>
      <c r="AC1288" s="327"/>
      <c r="AD1288" s="327"/>
      <c r="AE1288" s="327"/>
      <c r="AF1288" s="210"/>
      <c r="AG1288" s="210"/>
      <c r="AH1288" s="210"/>
      <c r="AI1288" s="210"/>
      <c r="AJ1288" s="210"/>
      <c r="AK1288" s="210"/>
      <c r="AL1288" s="210"/>
      <c r="AM1288" s="210"/>
      <c r="AN1288" s="210"/>
      <c r="AO1288" s="210"/>
      <c r="AP1288" s="210"/>
      <c r="AQ1288" s="210"/>
      <c r="AR1288" s="210"/>
      <c r="AS1288" s="210"/>
      <c r="AT1288" s="210"/>
      <c r="AU1288" s="210"/>
      <c r="AV1288" s="210"/>
      <c r="AW1288" s="210"/>
      <c r="AX1288" s="210"/>
      <c r="AY1288" s="301"/>
      <c r="AZ1288" s="210"/>
      <c r="BA1288" s="210"/>
      <c r="BB1288" s="210"/>
      <c r="BC1288" s="210"/>
      <c r="BD1288" s="210"/>
      <c r="BE1288" s="210"/>
      <c r="BF1288" s="210"/>
      <c r="BG1288" s="210"/>
      <c r="BH1288" s="210"/>
      <c r="BI1288" s="210"/>
      <c r="BJ1288" s="210"/>
      <c r="BK1288" s="210"/>
      <c r="BL1288" s="210"/>
      <c r="BM1288" s="210"/>
      <c r="BN1288" s="210"/>
      <c r="BO1288" s="210"/>
      <c r="BP1288" s="210"/>
      <c r="BQ1288" s="210"/>
      <c r="BR1288" s="210"/>
      <c r="BS1288" s="210"/>
      <c r="BT1288" s="210"/>
      <c r="BU1288" s="210"/>
      <c r="BV1288" s="210"/>
      <c r="BW1288" s="210"/>
      <c r="BX1288" s="210"/>
      <c r="BY1288" s="210"/>
    </row>
    <row r="1289" ht="15.75" customHeight="1">
      <c r="A1289" s="351"/>
      <c r="B1289" s="351"/>
      <c r="C1289" s="352"/>
      <c r="D1289" s="342"/>
      <c r="E1289" s="342"/>
      <c r="F1289" s="353"/>
      <c r="G1289" s="353"/>
      <c r="H1289" s="256"/>
      <c r="I1289" s="259"/>
      <c r="J1289" s="256"/>
      <c r="K1289" s="343"/>
      <c r="L1289" s="324"/>
      <c r="M1289" s="254"/>
      <c r="N1289" s="273"/>
      <c r="O1289" s="273"/>
      <c r="P1289" s="325"/>
      <c r="Q1289" s="274"/>
      <c r="R1289" s="274"/>
      <c r="S1289" s="254"/>
      <c r="T1289" s="356"/>
      <c r="U1289" s="254"/>
      <c r="V1289" s="254"/>
      <c r="W1289" s="254"/>
      <c r="X1289" s="254"/>
      <c r="Y1289" s="254"/>
      <c r="Z1289" s="324"/>
      <c r="AA1289" s="324"/>
      <c r="AB1289" s="324"/>
      <c r="AC1289" s="327"/>
      <c r="AD1289" s="327"/>
      <c r="AE1289" s="327"/>
      <c r="AF1289" s="210"/>
      <c r="AG1289" s="210"/>
      <c r="AH1289" s="210"/>
      <c r="AI1289" s="210"/>
      <c r="AJ1289" s="210"/>
      <c r="AK1289" s="210"/>
      <c r="AL1289" s="210"/>
      <c r="AM1289" s="210"/>
      <c r="AN1289" s="210"/>
      <c r="AO1289" s="210"/>
      <c r="AP1289" s="210"/>
      <c r="AQ1289" s="210"/>
      <c r="AR1289" s="210"/>
      <c r="AS1289" s="210"/>
      <c r="AT1289" s="210"/>
      <c r="AU1289" s="210"/>
      <c r="AV1289" s="210"/>
      <c r="AW1289" s="210"/>
      <c r="AX1289" s="210"/>
      <c r="AY1289" s="301"/>
      <c r="AZ1289" s="210"/>
      <c r="BA1289" s="210"/>
      <c r="BB1289" s="210"/>
      <c r="BC1289" s="210"/>
      <c r="BD1289" s="210"/>
      <c r="BE1289" s="210"/>
      <c r="BF1289" s="210"/>
      <c r="BG1289" s="210"/>
      <c r="BH1289" s="210"/>
      <c r="BI1289" s="210"/>
      <c r="BJ1289" s="210"/>
      <c r="BK1289" s="210"/>
      <c r="BL1289" s="210"/>
      <c r="BM1289" s="210"/>
      <c r="BN1289" s="210"/>
      <c r="BO1289" s="210"/>
      <c r="BP1289" s="210"/>
      <c r="BQ1289" s="210"/>
      <c r="BR1289" s="210"/>
      <c r="BS1289" s="210"/>
      <c r="BT1289" s="210"/>
      <c r="BU1289" s="210"/>
      <c r="BV1289" s="210"/>
      <c r="BW1289" s="210"/>
      <c r="BX1289" s="210"/>
      <c r="BY1289" s="210"/>
    </row>
  </sheetData>
  <customSheetViews>
    <customSheetView guid="{98849F6F-DF55-434F-8EC1-0BF9B8DC5EE7}" filter="1" showAutoFilter="1">
      <autoFilter ref="$D$2:$F$1287"/>
    </customSheetView>
    <customSheetView guid="{1CB918E4-DFB3-4EDB-9A6F-2EB78141C963}" filter="1" showAutoFilter="1">
      <autoFilter ref="$A$1:$AV$1278">
        <filterColumn colId="7">
          <filters>
            <filter val="Pode Operar"/>
          </filters>
        </filterColumn>
        <filterColumn colId="8">
          <filters blank="1">
            <filter val="Alteração de C.A"/>
            <filter val="STVM Saída"/>
            <filter val="Troca de Assessoria"/>
            <filter val="Distrato"/>
            <filter val="Bloqueado"/>
            <filter val="STVM Entrada"/>
            <filter val="Situação"/>
            <filter val="Monitoramento"/>
          </filters>
        </filterColumn>
      </autoFilter>
    </customSheetView>
    <customSheetView guid="{7995FA59-641A-41E1-A8E4-4E25098B6ECE}" filter="1" showAutoFilter="1">
      <autoFilter ref="$A$1:$BM$1282"/>
    </customSheetView>
    <customSheetView guid="{9C32ABC4-642F-4A73-8F3D-FD161726996C}" filter="1" showAutoFilter="1">
      <autoFilter ref="$A$1:$AW$1278">
        <filterColumn colId="5">
          <filters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Varlon Bersan"/>
            <filter val="Moises Net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Percio Arraes"/>
            <filter val="thiago Canabrava"/>
            <filter val="Douglas Tuira"/>
            <filter val="Antonio Volpato"/>
            <filter val="Thanira Moreira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A5110C8F-A3C9-4498-9128-3D1BCD33EAD6}" filter="1" showAutoFilter="1">
      <autoFilter ref="$A$1:$AR$1282">
        <filterColumn colId="6">
          <filters>
            <filter val="#VALUE!"/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CON/ GR/ COADM"/>
            <filter val="MONT/ COADM"/>
            <filter val="MOD"/>
            <filter val="CON"/>
            <filter val="FUND"/>
            <filter val="MULT PRIV/ CO ADM"/>
            <filter val="EQT"/>
            <filter val="CON/ COADM"/>
            <filter val="MULT PRIV"/>
            <filter val="MOD/ PREV ARR"/>
            <filter val="CONsUL M Wealth"/>
            <filter val="CON/ GR"/>
            <filter val="DIV"/>
            <filter val="MOD/ COADM"/>
            <filter val="PREV ARR"/>
            <filter val="INC CP"/>
            <filter val="CORP"/>
            <filter val="CONSUL M Wealth"/>
            <filter val="SMLL"/>
            <filter val="MOD/ GR"/>
            <filter val="INC CP/ COADM"/>
          </filters>
        </filterColumn>
      </autoFilter>
    </customSheetView>
    <customSheetView guid="{2689B0F3-C848-484D-8837-E91813906F10}" filter="1" showAutoFilter="1">
      <autoFilter ref="$A$1:$AQ$1282">
        <filterColumn colId="7">
          <filters blank="1">
            <filter val="Status"/>
            <filter val="Pode Operar"/>
          </filters>
        </filterColumn>
        <filterColumn colId="6">
          <filters blank="1">
            <filter val="#VALUE!"/>
            <filter val="Marcus"/>
            <filter val="David"/>
            <filter val="Gabriel"/>
          </filters>
        </filterColumn>
      </autoFilter>
    </customSheetView>
    <customSheetView guid="{5AE5DDB4-0A42-4F43-9F28-CD5785369358}" filter="1" showAutoFilter="1">
      <autoFilter ref="$A$1:$AW$1278">
        <filterColumn colId="7">
          <filters>
            <filter val="Pode Operar"/>
          </filters>
        </filterColumn>
      </autoFilter>
    </customSheetView>
    <customSheetView guid="{8D0E9103-9A25-42C2-8CEF-4FE04634B0B7}" filter="1" showAutoFilter="1">
      <autoFilter ref="$A$1:$AQ$1282"/>
    </customSheetView>
    <customSheetView guid="{CF50F9BD-DAED-4762-A970-27959259F675}" filter="1" showAutoFilter="1">
      <autoFilter ref="$A$1:$AU$1278">
        <filterColumn colId="7">
          <filters>
            <filter val="Inativo"/>
          </filters>
        </filterColumn>
        <filterColumn colId="8">
          <filters blank="1">
            <filter val="Alteração de C.A"/>
            <filter val="STVM Saída"/>
            <filter val="Troca de Assessoria"/>
            <filter val="Distrato"/>
            <filter val="------"/>
            <filter val="Bloqueado"/>
            <filter val="STVM Entrada"/>
            <filter val="Situação"/>
            <filter val="Monitoramento"/>
          </filters>
        </filterColumn>
      </autoFilter>
    </customSheetView>
    <customSheetView guid="{CAA79F67-A6A3-4ED0-A1B0-0DAAC59C98FC}" filter="1" showAutoFilter="1">
      <autoFilter ref="$B$2:$AL$1282"/>
    </customSheetView>
    <customSheetView guid="{F6337007-513B-42BB-BB5C-E4B29034F3A9}" filter="1" showAutoFilter="1">
      <autoFilter ref="$A$2:$AW$1278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GG participações"/>
            <filter val="Investeseg"/>
            <filter val="Solution For Life"/>
            <filter val="M Wealth"/>
            <filter val="Nexco"/>
            <filter val="Voga"/>
          </filters>
        </filterColumn>
        <filterColumn colId="5">
          <filters>
            <filter val="João Victor de Moura Beze"/>
            <filter val="Lucas Zambrin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Felipe Cravos"/>
            <filter val="Varlon Bersan"/>
            <filter val="Moises Neto"/>
            <filter val="Bruno Jaime"/>
            <filter val="Augusto Sampaio"/>
            <filter val="Felipe Rios"/>
            <filter val="Luis Felipe"/>
            <filter val="Caroline Cichell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Gustavo Costa"/>
            <filter val="Bluemetrix Asset"/>
            <filter val="Rafael Vilela"/>
            <filter val="Felipe Miranda"/>
            <filter val="João Paulo Britto"/>
            <filter val="Lucas Calixto"/>
            <filter val="Larissa Montes"/>
            <filter val="Guilherme Satyro"/>
            <filter val="Hugo Motta"/>
            <filter val="João Gabriel Miziara"/>
            <filter val="M Wealth"/>
            <filter val="Fabrício Bonfim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Percio Arraes"/>
            <filter val="Vivian"/>
            <filter val="Rodrigo Milanez"/>
            <filter val="Guilherme Rios Guercio"/>
            <filter val="thiago Canabrava"/>
            <filter val="Douglas Tuira"/>
            <filter val="Antonio Volpato"/>
            <filter val="Rodolfo Gomes"/>
            <filter val="Joney Alves"/>
            <filter val="Thanira Moreira"/>
            <filter val="Eduardo Leopoldin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Murilo Silva"/>
            <filter val="Flavio Miguel"/>
            <filter val="Vitor Pedrazzi"/>
            <filter val="Guilherme dos Santos"/>
            <filter val="Gustavo Amorim"/>
            <filter val="Paula Bonfim"/>
            <filter val="Felipe Ouriveis"/>
            <filter val="Alcivana Marques"/>
            <filter val="Jorge Luiz Braga de Carvalho"/>
            <filter val="Rafael Pagnan"/>
            <filter val="Gabriel Regis"/>
            <filter val="Guilherme Sales"/>
            <filter val="Bruno Ribeiro"/>
            <filter val="Daniel Melhado"/>
          </filters>
        </filterColumn>
      </autoFilter>
    </customSheetView>
    <customSheetView guid="{72FF36C8-C906-4432-A46B-8345044630C1}" filter="1" showAutoFilter="1">
      <autoFilter ref="$AO$2:$AO$1287"/>
    </customSheetView>
    <customSheetView guid="{7908B5B3-622B-49DE-9EE9-800AD2280514}" filter="1" showAutoFilter="1">
      <autoFilter ref="$A$1:$AU$1278"/>
    </customSheetView>
    <customSheetView guid="{0E8B470D-7ADE-40FE-B97D-D07FC82360BD}" filter="1" showAutoFilter="1">
      <autoFilter ref="$A$2:$AT$1278">
        <filterColumn colId="10">
          <filters>
            <filter val="23/12/2025"/>
            <filter val="01/08/2025"/>
            <filter val="24/06/2024"/>
            <filter val="24/06/2025"/>
            <filter val="24/06/2026"/>
            <filter val="03/02/2026"/>
            <filter val="03/02/2025"/>
            <filter val="20/07/2026"/>
            <filter val="11/05/2026"/>
            <filter val="30/04/2025"/>
            <filter val="30/04/2026"/>
            <filter val="30/04/2024"/>
            <filter val="25/05/2026"/>
            <filter val="19/03/2026"/>
            <filter val="11/10/2024"/>
            <filter val="19/03/2024"/>
            <filter val="31/03/2026"/>
            <filter val="24/11/2025"/>
            <filter val="09/06/2026"/>
            <filter val="23/07/2026"/>
            <filter val="23/07/2025"/>
            <filter val="10/06/2024"/>
            <filter val="17/02/2025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4"/>
            <filter val="15/04/2026"/>
            <filter val="17/09/2025"/>
            <filter val="17/09/2024"/>
            <filter val="09/02/2026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6/12/2024"/>
            <filter val="16/12/2025"/>
            <filter val="05/03/2024"/>
            <filter val="13/07/2026"/>
            <filter val="16/07/2026"/>
            <filter val="18/01/2024"/>
            <filter val="03/05/2024"/>
            <filter val="23/04/2026"/>
            <filter val="23/04/2024"/>
            <filter val="27/06/2025"/>
            <filter val="13/11/2025"/>
            <filter val="20/12/2024"/>
            <filter val="11/09/2024"/>
            <filter val="26/04/2024"/>
            <filter val="27/03//2026"/>
            <filter val="20/03/2025"/>
            <filter val="02/03/2026"/>
            <filter val="20/03/2024"/>
            <filter val="03/06/2024"/>
            <filter val="03/06/2026"/>
            <filter val="03/06/2025"/>
            <filter val="21/05/2025"/>
            <filter val="06/06/2024"/>
            <filter val="09/10/2024"/>
            <filter val="06/06/2025"/>
            <filter val="21/05/2026"/>
            <filter val="01/01/2026"/>
            <filter val="23/03/2026"/>
            <filter val="19/12/2024"/>
            <filter val="10/07/2026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1/06/2026"/>
            <filter val="12/03/2026"/>
            <filter val="16/02/2024"/>
            <filter val="11/06/2025"/>
            <filter val="11/06/2024"/>
            <filter val="09/07/2026"/>
            <filter val="01/07/2025"/>
            <filter val="01/07/2024"/>
            <filter val="06/05/2024"/>
            <filter val="01/07/2026"/>
            <filter val="06/05/2026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6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18/05/2026"/>
            <filter val="06/01/2026"/>
            <filter val="23/01/2026"/>
            <filter val="23/01/2024"/>
            <filter val="21/10/2024"/>
            <filter val="21/10/2025"/>
            <filter val="16/06/2025"/>
            <filter val="28/04/2026"/>
            <filter val="15/07/2024"/>
            <filter val="15/07/2026"/>
            <filter val="17/03/2025"/>
            <filter val="11/08/2025"/>
            <filter val="26/05/2026"/>
            <filter val="30/03/2026"/>
            <filter val="10/12/2024"/>
            <filter val="10/12/2025"/>
            <filter val="11/11/2024"/>
            <filter val="22/12/2025"/>
            <filter val="24/01/2024"/>
            <filter val="24/01/2025"/>
            <filter val="13/05/2026"/>
            <filter val="29/11/2024"/>
            <filter val="13/05/2025"/>
            <filter val="07/10/2024"/>
            <filter val="12/08/2024"/>
            <filter val="17/06/2024"/>
            <filter val="17/06/2025"/>
            <filter val="17/06/2026"/>
            <filter val="18/03/2024"/>
            <filter val="27/04/2026"/>
            <filter val="27/02/2024"/>
            <filter val="24/03/2026"/>
            <filter val="29/08/2025"/>
            <filter val="04/04/2024"/>
            <filter val="15/02/2024"/>
            <filter val="09/04/2025"/>
            <filter val="09/04/2026"/>
            <filter val="08/07/2025"/>
            <filter val="09/04/2024"/>
            <filter val="02/07/2026"/>
            <filter val="02/07/2024"/>
            <filter val="07/05/2024"/>
            <filter val="07/05/2025"/>
            <filter val="08/02/2024"/>
            <filter val="30/01/2026"/>
            <filter val="07/05/2026"/>
            <filter val="30/01/2024"/>
            <filter val="14/07/2026"/>
            <filter val="14/07/2025"/>
            <filter val="06/03/2024"/>
            <filter val="29/01/2026"/>
            <filter val="21/02/2025"/>
            <filter val="21/02/2024"/>
            <filter val="06/03/2026"/>
            <filter val="14/10/2024"/>
            <filter val="15/09/2025"/>
            <filter val="10/04/2026"/>
            <filter val="10/04/2025"/>
            <filter val="10/04/2024"/>
            <filter val="17/01/2024"/>
            <filter val="05/01/2024"/>
            <filter val="05/01/2026"/>
            <filter val="27/09/2024"/>
            <filter val="22/04/2026"/>
            <filter val="06/04/2026"/>
            <filter val="19/05/2026"/>
            <filter val="20/10/2025"/>
            <filter val="15/06/2026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0/05/2026"/>
            <filter val="26/09/2025"/>
            <filter val="29/06/2026"/>
            <filter val="03/04/2024"/>
            <filter val="22/03/2024"/>
            <filter val="05/05/2025"/>
            <filter val="05/05/2026"/>
            <filter val="08/10/2024"/>
            <filter val="08/10/2025"/>
            <filter val="23/02/2026"/>
            <filter val="04/06/2025"/>
            <filter val="04/06/2024"/>
            <filter val="04/03/2026"/>
            <filter val="09/08/2024"/>
            <filter val="04/03/2024"/>
            <filter val="23/02/2024"/>
            <filter val="23/05/2025"/>
            <filter val="01/06/2026"/>
            <filter val="26/02/2024"/>
            <filter val="26/02/2026"/>
            <filter val="19/01/2026"/>
            <filter val="03/04/2025"/>
            <filter val="30/06/2026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27/05/2026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04/11/2024"/>
            <filter val="18/06/2024"/>
            <filter val="18/06/2025"/>
            <filter val="18/06/2026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22/07/2026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19/06/2026"/>
            <filter val="02/06/2025"/>
            <filter val="25/02/2025"/>
            <filter val="18/12/2025"/>
            <filter val="18/12/2024"/>
            <filter val="25/04/2024"/>
            <filter val="29/05/2026"/>
            <filter val="13/02/2025"/>
            <filter val="29/05/2025"/>
            <filter val="14/06/2024"/>
            <filter val="29/05/2024"/>
            <filter val="15/05/2026"/>
            <filter val="26/03/2025"/>
            <filter val="26/03/2024"/>
            <filter val="07/04/2026"/>
            <filter val="07/04/2025"/>
            <filter val="20/04/2026"/>
            <filter val="25/06/2024"/>
            <filter val="25/06/2026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8/06/2026"/>
            <filter val="02/08/2024"/>
            <filter val="13/09/2024"/>
            <filter val="30/09/2024"/>
            <filter val="27/03/2025"/>
            <filter val="26/06/2024"/>
            <filter val="20/01/2025"/>
            <filter val="10/03/2026"/>
            <filter val="20/01/2026"/>
            <filter val="10/03/2025"/>
            <filter val="04/05/2026"/>
            <filter val="18/02/2025"/>
            <filter val="05/02/2024"/>
            <filter val="12/12/2024"/>
            <filter val="12/12/2025"/>
            <filter val="04//05/2026"/>
            <filter val="05/02/2025"/>
            <filter val="05/02/2026"/>
            <filter val="29/12/2025"/>
            <filter val="21/11/2024"/>
            <filter val="03/11/2025"/>
            <filter val="14/01/2026"/>
            <filter val="22/05/2026"/>
            <filter val="07/06/2024"/>
            <filter val="02/01/2024"/>
            <filter val="09/03/2026"/>
            <filter val="02/01/2025"/>
            <filter val="12/09/2024"/>
            <filter val="03/08/2026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30/07/2026"/>
            <filter val="13/04/2026"/>
            <filter val="29/07/2026"/>
            <filter val="24/02/2026"/>
            <filter val="21/11/2025"/>
            <filter val="21/08/2025"/>
            <filter val="17/07/2026"/>
            <filter val="12/02/2025"/>
            <filter val="12/02/2026"/>
            <filter val="28/05/2024"/>
            <filter val="28/05/2026"/>
            <filter val="08/11/2024"/>
          </filters>
        </filterColumn>
      </autoFilter>
    </customSheetView>
    <customSheetView guid="{065E01C9-57BE-450A-9C4A-C82F63BD101C}" filter="1" showAutoFilter="1">
      <autoFilter ref="$A$1:$AU$1278">
        <filterColumn colId="17">
          <filters>
            <filter val="Cliente sumiu da base 05/03/2024"/>
            <filter val="Alteração de carteira finalizada (14/07/2023)"/>
            <filter val="Retornou para a base sob um novo B2B"/>
            <filter val="Alteração de carteira finalizada (29/01/2024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Alteração de carteira finalizada (19/03/2026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27/07/2026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Cliente retornou para a base"/>
            <filter val="Primeira conta 004794805 viculada por erro do FA."/>
            <filter val="Alteração de carteira finalizada (08/12/2025)"/>
            <filter val="Nome alterado em razão de divórcio (26/01/2026)"/>
            <filter val="z"/>
            <filter val="Cliente retornou para a base dia 10/10/2024"/>
            <filter val="Vai passar para moderada. (17/07/2026)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Distrati uniateral"/>
            <filter val="Cliente retornou a base com novo contrato (29/08/2025) / Alteração de carteira finalizada (23/03/2026)"/>
            <filter val="STVM Interna finalizada (01/07/2024)"/>
            <filter val="Alteração de carteira finalizada (12/11/2025)"/>
            <filter val="Alteração de carteira finalizada (09/04/2026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Conta ultilizada para câmbio (27/07/2026)"/>
            <filter val="Alteração de carteira finalizada (24/07/2023)"/>
            <filter val="STVM interna finalizada (19/07/2024)"/>
            <filter val="Cliente identificado como monitoramento por restrição devido a religião"/>
            <filter val="STVM de entrada finalizada (28/05/2024)"/>
            <filter val="Alteração de carteira finalizada (09/08/2024)"/>
          </filters>
        </filterColumn>
      </autoFilter>
    </customSheetView>
    <customSheetView guid="{1C90D351-8183-4CD8-8B10-7D7D43346581}" filter="1" showAutoFilter="1">
      <autoFilter ref="$A$1:$AU$1278">
        <filterColumn colId="35">
          <filters>
            <filter val="R$ 190,654.57"/>
            <filter val="R$ 284,090.61"/>
            <filter val="R$ 42,071.82"/>
            <filter val="R$ 40,303.50"/>
            <filter val="R$ 267,762.35"/>
            <filter val="R$ 211,048.19"/>
            <filter val="R$ 45,679.42"/>
            <filter val="R$ 423,818.64"/>
            <filter val="R$ 198,714.47"/>
            <filter val="R$ 798,318.68"/>
            <filter val="R$ 794,794.76"/>
            <filter val="R$ 50,152.64"/>
            <filter val="R$ 21,865.15"/>
            <filter val="R$ 371,328.96"/>
            <filter val="R$ 49,951.69"/>
            <filter val="R$ 15,906,624.59"/>
            <filter val="R$ 7,168.33"/>
            <filter val="R$ 80,366.67"/>
            <filter val="R$ 22,682.07"/>
            <filter val="R$ 6,050.41"/>
            <filter val="R$ 31,196.96"/>
            <filter val="R$ 392,773.39"/>
            <filter val="R$ 68,499.79"/>
            <filter val="R$ 51,930.03"/>
            <filter val="R$ 152,071.36"/>
            <filter val="R$ 205,400.96"/>
            <filter val="R$ 15,016.78"/>
            <filter val="R$ 240,791.65"/>
            <filter val="R$ 1,835,034.42"/>
            <filter val="R$ 97,885.87"/>
            <filter val="R$ 175,767.51"/>
            <filter val="R$ 68,740.04"/>
            <filter val="R$ 20,003.03"/>
            <filter val="R$ 60,000.00"/>
            <filter val="R$ 50,312.02"/>
            <filter val="R$ 522,921.32"/>
            <filter val="R$ 990,968.05"/>
            <filter val="R$ 5,790.98"/>
            <filter val="R$ 304,847.72"/>
            <filter val="R$ 65,927.09"/>
            <filter val="R$ 80,773.53"/>
            <filter val="R$ 682,529.36"/>
            <filter val="R$ 144,797.29"/>
            <filter val="R$ 155,121.31"/>
            <filter val="R$ 15,000.00"/>
            <filter val="R$ 152,610.03"/>
            <filter val="R$ 56,393.03"/>
            <filter val="R$ 176,868.64"/>
            <filter val="R$ 1,138,799.16"/>
            <filter val="R$ 302,011.97"/>
            <filter val="R$ 2,010,017.61"/>
            <filter val="R$ 648,209.98"/>
            <filter val="R$ 560,421.19"/>
            <filter val="R$ 2,493,271.63"/>
            <filter val="R$ 336,441.18"/>
            <filter val="R$ 214,097.75"/>
            <filter val="R$ 34,505.57"/>
            <filter val="R$ 297,479.42"/>
            <filter val="R$ 173,538.72"/>
            <filter val="R$ 232,519.02"/>
            <filter val="R$ 22,406.26"/>
            <filter val="R$ 841,947.60"/>
            <filter val="R$ 1,718,110.98"/>
            <filter val="R$ 172,150.64"/>
            <filter val="R$ 802,748.34"/>
            <filter val="R$ 218,921.92"/>
            <filter val="R$ 485,180.91"/>
            <filter val="R$ 109,412.19"/>
            <filter val="R$ 134,565.58"/>
            <filter val="R$ 1,060.50"/>
            <filter val="R$ 876,298.99"/>
            <filter val="R$ 203,853.38"/>
            <filter val="R$ 322,404.64"/>
            <filter val="R$ 2.06"/>
            <filter val="R$ 596,444.02"/>
            <filter val="R$ 1,152,279.75"/>
            <filter val="R$ 2,977,311.65"/>
            <filter val="R$ 172,295.80"/>
            <filter val="R$ 50,596.26"/>
            <filter val="R$ 445,715.68"/>
            <filter val="R$ 78,310.67"/>
            <filter val="R$ 374,246.97"/>
            <filter val="R$ 124,923.21"/>
            <filter val="R$ 253,309.58"/>
            <filter val="R$ 71,695.11"/>
            <filter val="R$ 30,166.52"/>
            <filter val="R$ 249,563.53"/>
            <filter val="R$ 2,781,216.38"/>
            <filter val="R$ 378,063.59"/>
            <filter val="R$ 0.00"/>
            <filter val="R$ 0.01"/>
            <filter val="R$ 1,174,012.95"/>
            <filter val="R$ 302,348.09"/>
            <filter val="R$ 99,999.09"/>
            <filter val="R$ 124,741.99"/>
            <filter val="R$ 5,432.22"/>
            <filter val="R$ 44,917.04"/>
            <filter val="R$ 44,307.74"/>
            <filter val="R$ 689,994.38"/>
            <filter val="R$ 1,110,727.78"/>
            <filter val="R$ 68,438.77"/>
            <filter val="R$ 2,699,231.96"/>
            <filter val="R$ 90,779.20"/>
            <filter val="R$ 594,851.69"/>
            <filter val="R$ 2,994,048.19"/>
            <filter val="R$ 24,827.30"/>
            <filter val="R$ 424,706.47"/>
            <filter val="R$ 198,564.62"/>
            <filter val="R$ 497,674.32"/>
            <filter val="R$ 4,066.02"/>
            <filter val="R$ 288,794.28"/>
            <filter val="R$ 100,035.14"/>
            <filter val="R$ 1,391,813.01"/>
            <filter val="R$ 45,427.45"/>
            <filter val="R$ 2,780,380.17"/>
            <filter val="R$ 473,873.60"/>
            <filter val="R$ 102,893.40"/>
            <filter val="R$ 118,025.41"/>
            <filter val="R$ 102,150.96"/>
          </filters>
        </filterColumn>
        <filterColumn colId="36">
          <filters blank="1">
            <filter val="R$ 77,064.11"/>
            <filter val="R$ 390,507.04"/>
            <filter val="R$ 266,412.32"/>
            <filter val="R$ 45,916.51"/>
            <filter val="R$ 1,643,644.34"/>
            <filter val="R$ 487,428.52"/>
            <filter val="R$ 81,226.47"/>
            <filter val="R$ 32,411.69"/>
            <filter val="R$ 48,822.54"/>
            <filter val="R$ 2,728,008.19"/>
            <filter val="R$ 1,152,760.38"/>
            <filter val="R$ 1,394,564.19"/>
            <filter val="R$ 140,275.53"/>
            <filter val="R$ 127,283.37"/>
            <filter val="R$ 243,357.27"/>
            <filter val="R$ 44,329.56"/>
            <filter val="R$ 2,031,340.41"/>
            <filter val="31/03/2023"/>
            <filter val="R$ 51,063.01"/>
            <filter val="R$ 497,306.27"/>
            <filter val="R$ 103,256.95"/>
            <filter val="R$ 3,571,441.62"/>
            <filter val="R$ 26,103.99"/>
            <filter val="R$ 50,254.30"/>
            <filter val="R$ 82,017.27"/>
            <filter val="R$ 807,877.60"/>
            <filter val="R$ 1,129,848.76"/>
            <filter val="R$ 1,737,740.56"/>
            <filter val="R$ 25,083.91"/>
            <filter val="R$ 79,413.38"/>
            <filter val="R$ 350,337.58"/>
            <filter val="R$ 43,465.11"/>
            <filter val="R$ 150,000.00"/>
            <filter val="R$ 68,939.38"/>
            <filter val="R$ 49,617.77"/>
            <filter val="R$ 521,621.68"/>
            <filter val="R$ 325,628.19"/>
            <filter val="R$ 104,644.56"/>
            <filter val="R$ 46,286.01"/>
            <filter val="R$ 215,098.70"/>
            <filter val="R$ 81,445.48"/>
            <filter val="R$ 87,777.54"/>
            <filter val="R$ 3,037,619.94"/>
            <filter val="R$ 7,449,482.68"/>
            <filter val="R$ 72,215.39"/>
            <filter val="R$ 100,841.03"/>
            <filter val="R$ 304,867.61"/>
            <filter val="R$ 397,012.49"/>
            <filter val="R$ 6,120.43"/>
            <filter val="R$ 15,092.34"/>
            <filter val="R$ 207,992.18"/>
            <filter val="R$ 36,392.24"/>
            <filter val="R$ 1,365,838.92"/>
            <filter val="R$ 37,824.00"/>
            <filter val="R$ 145,316.61"/>
            <filter val="R$ 70,041.45"/>
            <filter val="R$ 25,864.70"/>
            <filter val="R$ 15,914,768.17"/>
            <filter val="R$ 877,861.49"/>
            <filter val="R$ 1,896.74"/>
            <filter val="R$ 28,599.53"/>
            <filter val="R$ 1,783,320.01"/>
            <filter val="R$ 154,284.45"/>
            <filter val="R$ 101,119.41"/>
            <filter val="R$ 638,672.40"/>
            <filter val="R$ 745,648.09"/>
            <filter val="R$ 336,439.07"/>
            <filter val="R$ 58,093.97"/>
            <filter val="R$ 586,527.81"/>
            <filter val="R$ 0.00"/>
            <filter val="R$ 0.01"/>
            <filter val="R$ 711,474.60"/>
            <filter val="R$ 412,014.46"/>
            <filter val="R$ 215,903.39"/>
            <filter val="R$ 368,265.24"/>
            <filter val="R$ 184,963.20"/>
            <filter val="R$ 53,199.19"/>
            <filter val="R$ 17,955.96"/>
            <filter val="R$ 50,841.72"/>
            <filter val="R$ 103,997.85"/>
            <filter val="R$ 9.65"/>
            <filter val="R$ 943,347.36"/>
            <filter val="R$ 1,114,382.73"/>
            <filter val="R$ 155,704.76"/>
            <filter val="R$ 601,591.75"/>
            <filter val="R$ 110,310.81"/>
            <filter val="R$ 150,419.13"/>
            <filter val="R$ 66,639.29"/>
            <filter val="R$ 1,893,864.24"/>
            <filter val="R$ 174,896.65"/>
            <filter val="R$ 336,452.80"/>
            <filter val="R$ 376,736.61"/>
            <filter val="R$ 120,603.37"/>
            <filter val="R$ 101,013.83"/>
            <filter val="R$ 160,000.00"/>
            <filter val="R$ 254,973.37"/>
            <filter val="R$ 307,682.12"/>
            <filter val="R$ 1,204,769.98"/>
            <filter val="R$ 163,277.33"/>
            <filter val="R$ 38,619.74"/>
            <filter val="R$ 2,743,133.96"/>
            <filter val="R$ 685,952.92"/>
            <filter val="R$ 302,924.14"/>
            <filter val="R$ 851,371.63"/>
            <filter val="R$ 695,807.82"/>
            <filter val="R$ 104,138.41"/>
            <filter val="R$ 141,660.30"/>
            <filter val="R$ 178,713.53"/>
            <filter val="R$ 1,204,685.20"/>
            <filter val="R$ 831,494.82"/>
            <filter val="R$ 10,067,355.42"/>
            <filter val="R$ 872,141.19"/>
            <filter val="R$ 803,301.69"/>
            <filter val="R$ 501,068.64"/>
            <filter val="R$ 317,061.28"/>
            <filter val="R$ 484,136.36"/>
            <filter val="R$ 52,009.59"/>
            <filter val="R$ 55,128.26"/>
            <filter val="R$ 2,812,325.28"/>
            <filter val="R$ 339,644.96"/>
            <filter val="R$ 242,169.05"/>
            <filter val="R$ 100,452.44"/>
            <filter val="R$ 4,290.59"/>
            <filter val="R$ 29,418.53"/>
            <filter val="R$ 15,000.00"/>
            <filter val="R$ 200,875.49"/>
            <filter val="R$ 913,671.31"/>
            <filter val="R$ 155,653.14"/>
            <filter val="R$ 50,312.94"/>
            <filter val="R$ 119,885.32"/>
            <filter val="R$ 285,585.79"/>
            <filter val="R$ 60,571.25"/>
            <filter val="R$ 2,311,316.92"/>
            <filter val="R$ 91,750.46"/>
            <filter val="R$ 305,056.61"/>
            <filter val="R$ 119,332.76"/>
            <filter val="R$ 102,534.00"/>
            <filter val="R$ 428,408.17"/>
            <filter val="R$ 600,854.27"/>
            <filter val="R$ 1,604,739.39"/>
            <filter val="R$ 140,217.14"/>
            <filter val="R$ 1,278,337.14"/>
            <filter val="R$ 77,129.59"/>
            <filter val="R$ 339,363.55"/>
            <filter val="R$ 46,776.24"/>
            <filter val="R$ 123,178.45"/>
            <filter val="R$ 246,513.10"/>
            <filter val="R$ 452,250.65"/>
            <filter val="R$ 490,650.14"/>
            <filter val="R$ 53,545.80"/>
            <filter val="R$ 20,207.06"/>
            <filter val="R$ 69,255.53"/>
            <filter val="R$ 62,447.48"/>
            <filter val="R$ 639,901.80"/>
            <filter val="R$ 110,591.27"/>
            <filter val="R$ 916,687.06"/>
            <filter val="R$ 1,038,419.02"/>
            <filter val="R$ 48,573.21"/>
            <filter val="R$ 255,619.92"/>
            <filter val="R$ 481,691.48"/>
            <filter val="R$ 2,812,243.72"/>
            <filter val="R$ 156,498.64"/>
            <filter val="R$ 1,348.85"/>
            <filter val="R$ 305,861.97"/>
            <filter val="R$ 1,594.06"/>
            <filter val="R$ 482,402.02"/>
            <filter val="R$ 98,175.52"/>
            <filter val="R$ 537,871.72"/>
            <filter val="R$ 31,403.17"/>
            <filter val="R$ 2,520,762.31"/>
            <filter val="R$ 75,711.68"/>
            <filter val="R$ 192,722.37"/>
            <filter val="R$ 254,947.94"/>
            <filter val="R$ 4,226.53"/>
            <filter val="R$ 162,023.29"/>
            <filter val="R$ 206,066.06"/>
            <filter val="R$ 367,764.99"/>
            <filter val="R$ 221,085.40"/>
            <filter val="R$ 1,024,736.72"/>
            <filter val="R$ 5,852.75"/>
            <filter val="R$ 131,030.57"/>
            <filter val="R$ 116,340.75"/>
            <filter val="R$ 240,699.04"/>
            <filter val="R$ 1,309,680.34"/>
            <filter val="R$ 104,644.90"/>
            <filter val="R$ 266,535.10"/>
            <filter val="R$ 730,631.33"/>
            <filter val="R$ 322,729.09"/>
            <filter val="R$ 218,727.87"/>
            <filter val="R$ 428,705.70"/>
            <filter val="R$ 165,623.10"/>
            <filter val="R$ 67,255.19"/>
            <filter val="R$ 51,039.26"/>
            <filter val="R$ 108,824.42"/>
            <filter val="R$ 397,131.76"/>
            <filter val="R$ 2,346,598.11"/>
            <filter val="R$ 100,741.71"/>
          </filters>
        </filterColumn>
        <filterColumn colId="37">
          <filters blank="1">
            <filter val="R$ 511,256.93"/>
            <filter val="R$ 58,552.20"/>
            <filter val="R$ 60,384.18"/>
            <filter val="R$ 423,185.18"/>
            <filter val="R$ 14,649.95"/>
            <filter val="R$ 839,282.30"/>
            <filter val="R$ 5,888.04"/>
            <filter val="R$ 159,700.37"/>
            <filter val="R$ 605,246.45"/>
            <filter val="R$ 69,815.35"/>
            <filter val="R$ 14,160.03"/>
            <filter val="R$ 72,488.98"/>
            <filter val="R$ 1,159,316.29"/>
            <filter val="R$ 651,770.08"/>
            <filter val="R$ 494,510.23"/>
            <filter val="R$ 415,110.81"/>
            <filter val="R$ 274,798.86"/>
            <filter val="R$ 2,246,971.91"/>
            <filter val="R$ 216,876.15"/>
            <filter val="R$ 53,520.35"/>
            <filter val="R$ 62,942.91"/>
            <filter val="R$ 392,253.97"/>
            <filter val="R$ 701,737.29"/>
            <filter val="R$ 160,367.74"/>
            <filter val="R$ 180,408.94"/>
            <filter val="R$ 1,051,542.11"/>
            <filter val="0"/>
            <filter val="R$ 272,043.36"/>
            <filter val="R$ 131,524.98"/>
            <filter val="R$ 571,325.29"/>
            <filter val="R$ 2,738,653.68"/>
            <filter val="R$ 4,494.36"/>
            <filter val="R$ 38,153.64"/>
            <filter val="R$ 49,866.06"/>
            <filter val="R$ 138,047.59"/>
            <filter val="R$ 2,538,779.45"/>
            <filter val="R$ 59,816.41"/>
            <filter val="R$ 34,251.92"/>
            <filter val="R$ 318,570.65"/>
            <filter val="R$ 1,689,189.64"/>
            <filter val="R$ 149,651.12"/>
            <filter val="R$ 25,270.13"/>
            <filter val="R$ 163,652.60"/>
            <filter val="R$ 194,185.27"/>
            <filter val="R$ 268,529.92"/>
            <filter val="R$ 46,179.63"/>
            <filter val="R$ 15,035.36"/>
            <filter val="R$ 101,652.76"/>
            <filter val="R$ 347,988.69"/>
            <filter val="R$ 341,771.90"/>
            <filter val="R$ 360,937.54"/>
            <filter val="R$ 104,799.51"/>
            <filter val="R$ 169,594.56"/>
            <filter val="R$ 7,434,949.61"/>
            <filter val="R$ 38,658.35"/>
            <filter val="R$ 1,044,490.68"/>
            <filter val="R$ 341,209.52"/>
            <filter val="R$ 237,121.83"/>
            <filter val="R$ 340,562.58"/>
            <filter val="R$ 82,865.36"/>
            <filter val="R$ 46,680.77"/>
            <filter val="R$ 56,051.76"/>
            <filter val="R$ 307,539.42"/>
            <filter val="R$ 15,185.70"/>
            <filter val="R$ 102,305.34"/>
            <filter val="R$ 87,717.56"/>
            <filter val="R$ 107,406.13"/>
            <filter val="R$ 483,551.39"/>
            <filter val="R$ 1,213,660.87"/>
            <filter val="R$ 589,105.09"/>
            <filter val="R$ 508,810.75"/>
            <filter val="R$ 49,569.35"/>
            <filter val="R$ 546,983.70"/>
            <filter val="R$ 51,910.50"/>
            <filter val="R$ 377,025.32"/>
            <filter val="R$ 1,263,788.53"/>
            <filter val="R$ 134,455.91"/>
            <filter val="R$ 5,431.76"/>
            <filter val="R$ 240,346.35"/>
            <filter val="R$ 100,244.63"/>
            <filter val="R$ 687,270.90"/>
            <filter val="R$ 114,482.14"/>
            <filter val="R$ 338,756.18"/>
            <filter val="R$ 52,548.06"/>
            <filter val="R$ 883,858.74"/>
            <filter val="R$ 114,376.09"/>
            <filter val="R$ 120,271.08"/>
            <filter val="R$ 236,338.07"/>
            <filter val="R$ 130,309.69"/>
            <filter val="R$ 2,005,947.36"/>
            <filter val="R$ 286,046.33"/>
            <filter val="R$ 542,346.66"/>
            <filter val="R$ 153,405.60"/>
            <filter val="R$ 177,876.97"/>
            <filter val="R$ 397,508.34"/>
            <filter val="R$ 178,768.84"/>
            <filter val="R$ 504,869.41"/>
            <filter val="R$ 47,556.19"/>
            <filter val="R$ 1,304,279.67"/>
            <filter val="R$ 1,765,182.14"/>
            <filter val="R$ 243,989.82"/>
            <filter val="R$ 423,811.97"/>
            <filter val="R$ 79,248.86"/>
            <filter val="R$ 105,350.23"/>
            <filter val="R$ 1,642,101.90"/>
            <filter val="R$ 2,763,862.97"/>
            <filter val="R$ 510,841.58"/>
            <filter val="R$ 332,686.07"/>
            <filter val="R$ 1,906.54"/>
            <filter val="R$ 109,478.85"/>
            <filter val="R$ 0.00"/>
            <filter val="R$ 0.01"/>
            <filter val="R$ 30,115.64"/>
            <filter val="R$ 70,577.15"/>
            <filter val="R$ 101,836.34"/>
            <filter val="R$ 16,010.84"/>
            <filter val="R$ 2,000,594.47"/>
            <filter val="R$ 20,036.96"/>
            <filter val="R$ 545,084.31"/>
            <filter val="R$ 84,549.19"/>
            <filter val="R$ 4,346.31"/>
            <filter val="R$ 67,134.96"/>
            <filter val="R$ 402,278.31"/>
            <filter val="R$ 145,842.39"/>
            <filter val="R$ 985,211.98"/>
            <filter val="R$ 387,469.55"/>
            <filter val="R$ 120,387.26"/>
            <filter val="R$ 10,017.88"/>
            <filter val="R$ 1,277,504.53"/>
            <filter val="R$ 215,468.62"/>
            <filter val="R$ 922,926.96"/>
            <filter val="R$ 2,836,358.20"/>
            <filter val="R$ 49,918.83"/>
            <filter val="R$ 9.66"/>
            <filter val="R$ 52,412.85"/>
            <filter val="R$ 191,564.02"/>
            <filter val="R$ 101,642.93"/>
            <filter val="R$ 34,582.67"/>
            <filter val="R$ 15,390.31"/>
            <filter val="R$ 338,334.87"/>
            <filter val="R$ 206,415.12"/>
            <filter val="R$ 256,691.10"/>
            <filter val="R$ 351,903.67"/>
            <filter val="R$ 808,932.47"/>
            <filter val="R$ 245,077.86"/>
            <filter val="R$ 664,128.98"/>
            <filter val="R$ 431,156.36"/>
            <filter val="R$ 1,473,903.20"/>
            <filter val="R$ 367,686.19"/>
            <filter val="R$ 1,374,697.27"/>
            <filter val="R$ 41,622.38"/>
            <filter val="R$ 38,036.68"/>
            <filter val="R$ 20,000.00"/>
            <filter val="R$ 98,150.60"/>
            <filter val="R$ 77,712.62"/>
            <filter val="R$ 104,029.31"/>
            <filter val="R$ 81,824.72"/>
            <filter val="R$ 773,689.80"/>
            <filter val="R$ 104,992.36"/>
            <filter val="R$ 40,121.16"/>
            <filter val="R$ 701,658.56"/>
            <filter val="R$ 1,071,917.64"/>
            <filter val="R$ 1,265,154.49"/>
            <filter val="R$ 857,106.85"/>
            <filter val="R$ 490,845.49"/>
            <filter val="R$ 323,308.41"/>
            <filter val="R$ 33,029.19"/>
            <filter val="R$ 950,389.54"/>
            <filter val="R$ 10,181,812.38"/>
            <filter val="R$ 459,936.64"/>
            <filter val="R$ 167,201.90"/>
            <filter val="R$ 125,221.88"/>
            <filter val="R$ 202,443.78"/>
            <filter val="R$ 18,549.92"/>
            <filter val="R$ 58,106.63"/>
            <filter val="R$ 222,967.51"/>
            <filter val="R$ 1,653,139.89"/>
            <filter val="R$ 179,798.22"/>
            <filter val="R$ 451,821.82"/>
            <filter val="R$ 918,724.54"/>
            <filter val="R$ 142,994.83"/>
            <filter val="R$ 13,680.76"/>
            <filter val="R$ 563,290.94"/>
            <filter val="R$ 400,319.23"/>
            <filter val="R$ 15,000.00"/>
            <filter val="R$ 292,820.86"/>
            <filter val="R$ 776,700.26"/>
            <filter val="R$ 131,907.25"/>
            <filter val="R$ 207,604.09"/>
            <filter val="R$ 2,130.62"/>
            <filter val="R$ 46,229.26"/>
            <filter val="R$ 16,044,618.61"/>
            <filter val="R$ 718,977.18"/>
            <filter val="28/04/2023"/>
            <filter val="R$ 48,813.34"/>
            <filter val="R$ 2,045,094.56"/>
            <filter val="R$ 54,182.77"/>
            <filter val="R$ 616,485.77"/>
            <filter val="R$ 640,706.50"/>
            <filter val="R$ 749,900.83"/>
            <filter val="R$ 3,055,373.84"/>
            <filter val="R$ 328,553.35"/>
            <filter val="R$ 1,219,227.02"/>
            <filter val="R$ 445,004.58"/>
            <filter val="R$ 105,009.13"/>
            <filter val="R$ 365,637.43"/>
            <filter val="R$ 81,833.22"/>
            <filter val="R$ 194,185.85"/>
            <filter val="R$ 444,063.69"/>
            <filter val="R$ 2,338,313.82"/>
            <filter val="R$ 242,683.04"/>
            <filter val="R$ 3,047,635.57"/>
            <filter val="R$ 654,204.69"/>
            <filter val="R$ 200,493.23"/>
            <filter val="R$ 43,794.10"/>
            <filter val="R$ 20,624.50"/>
            <filter val="R$ 3,193,690.29"/>
            <filter val="R$ 309,166.56"/>
            <filter val="R$ 504,162.28"/>
            <filter val="R$ 220,678.08"/>
            <filter val="R$ 448,793.99"/>
            <filter val="R$ 257,567.67"/>
            <filter val="R$ 155,956.48"/>
            <filter val="R$ 305,070.15"/>
            <filter val="R$ 141,559.66"/>
            <filter val="R$ 30,146.55"/>
            <filter val="R$ 813,726.89"/>
            <filter val="R$ 404,393.62"/>
            <filter val="R$ 1,017.37"/>
            <filter val="R$ 1,257,106.81"/>
            <filter val="R$ 1,110,519.60"/>
            <filter val="R$ 793,813.54"/>
            <filter val="R$ 3,908,519.48"/>
            <filter val="R$ 701,999.45"/>
            <filter val="R$ 137,580.65"/>
            <filter val="R$ 1,684,755.32"/>
            <filter val="R$ 32,783.39"/>
            <filter val="R$ 532,518.37"/>
            <filter val="R$ 69,786.20"/>
            <filter val="R$ 1,751,867.31"/>
            <filter val="R$ 84,128.08"/>
            <filter val="R$ 355,326.46"/>
            <filter val="R$ 94,101.27"/>
            <filter val="R$ 28,871.73"/>
            <filter val="R$ 71,165.00"/>
            <filter val="R$ 485,613.74"/>
            <filter val="R$ 1,124,960.48"/>
            <filter val="R$ 242,066.06"/>
            <filter val="R$ 307,995.71"/>
            <filter val="R$ 3,204,638.15"/>
            <filter val="R$ 717,386.93"/>
            <filter val="R$ 155,466.58"/>
            <filter val="R$ 128,816.60"/>
            <filter val="R$ 289,978.59"/>
            <filter val="R$ 1,203,727.57"/>
            <filter val="R$ 156,998.83"/>
            <filter val="R$ 112,366.37"/>
            <filter val="R$ 60,428.36"/>
            <filter val="R$ 60,212.68"/>
            <filter val="R$ 499,566.11"/>
            <filter val="R$ 700,054.09"/>
            <filter val="R$ 85,514.69"/>
            <filter val="R$ 39,585.71"/>
            <filter val="R$ 247,654.61"/>
            <filter val="R$ 144,114.28"/>
          </filters>
        </filterColumn>
        <filterColumn colId="38">
          <filters blank="1"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31/05/2023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30/06/2023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31/08/2023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31/10/2023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</autoFilter>
    </customSheetView>
    <customSheetView guid="{E2D20005-B3FA-4B28-9FF1-464AED71BB3E}" filter="1" showAutoFilter="1">
      <autoFilter ref="$A$1:$AW$1278">
        <filterColumn colId="12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CON/ PREV CON"/>
            <filter val="CON/ PREV MOD"/>
            <filter val="CON/ GR/ COADM"/>
            <filter val="MONT/ COADM"/>
            <filter val="MULT PRIV/ CO ADM"/>
            <filter val="CON/ COADM"/>
            <filter val="MULT PRIV"/>
            <filter val="MOD/ PREV ARR"/>
            <filter val="CONsUL M Wealth"/>
            <filter val="MOD/ COADM"/>
            <filter val="INC CP"/>
            <filter val="CONSUL M Wealth"/>
            <filter val="INC CP/ COADM"/>
          </filters>
        </filterColumn>
      </autoFilter>
    </customSheetView>
    <customSheetView guid="{F68FA5A8-97B1-4212-8002-48B0E2190285}" filter="1" showAutoFilter="1">
      <autoFilter ref="$A$2:$AQ$1282">
        <filterColumn colId="3">
          <filters blank="1"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GG participações"/>
            <filter val="Investeseg"/>
            <filter val="Solution For Life"/>
            <filter val="M Wealth"/>
            <filter val="Nexco"/>
            <filter val="Voga"/>
          </filters>
        </filterColumn>
      </autoFilter>
    </customSheetView>
    <customSheetView guid="{B2B469ED-065E-487B-B6B9-536EFFBE72EB}" filter="1" showAutoFilter="1">
      <autoFilter ref="$A$2:$AQ$1282"/>
    </customSheetView>
    <customSheetView guid="{3F7281AE-855A-4F16-9462-FB365670BAD2}" filter="1" showAutoFilter="1">
      <autoFilter ref="$A$1:$AQ$1282">
        <filterColumn colId="6">
          <filters>
            <filter val="#VALUE!"/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Alteração de C.A"/>
            <filter val="STVM Saída"/>
            <filter val="Troca de Assessoria"/>
            <filter val="Distrato"/>
            <filter val="STVM Entrada"/>
            <filter val="Situação"/>
            <filter val="Sem Saldo"/>
            <filter val="Monitoramento"/>
          </filters>
        </filterColumn>
      </autoFilter>
    </customSheetView>
    <customSheetView guid="{1E1E7651-8A79-4640-8C04-6985941B1A23}" filter="1" showAutoFilter="1">
      <autoFilter ref="$A$1:$AW$1278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CON/ GR/ COADM"/>
            <filter val="MONT/ COADM"/>
            <filter val="FUND"/>
            <filter val="MULT PRIV/ CO ADM"/>
            <filter val="CON/ COADM"/>
            <filter val="MULT PRIV"/>
            <filter val="CONsUL M Wealth"/>
            <filter val="MOD/ COADM"/>
            <filter val="INC CP"/>
            <filter val="CONSUL M Wealth"/>
            <filter val="INC CP/ COADM"/>
          </filters>
        </filterColumn>
      </autoFilter>
    </customSheetView>
    <customSheetView guid="{0BD3746B-3FD0-468C-ABAC-538913C42215}" filter="1" showAutoFilter="1">
      <autoFilter ref="$A$1:$AR$1287">
        <filterColumn colId="6">
          <filters>
            <filter val="#VALUE!"/>
            <filter val="Marcus"/>
            <filter val="David"/>
            <filter val="Gabriel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ABBBA665-4775-4A10-A798-C01BBFABA2EF}" filter="1" showAutoFilter="1">
      <autoFilter ref="$K$2:$K$1287"/>
    </customSheetView>
    <customSheetView guid="{7F6EBB9D-4C6B-4F0A-9736-FC94E3B466E1}" filter="1" showAutoFilter="1">
      <autoFilter ref="$M$2:$O$1287"/>
    </customSheetView>
    <customSheetView guid="{65EDCAC3-8E22-4FB8-922B-0B495E11E5DB}" filter="1" showAutoFilter="1">
      <autoFilter ref="$AM$2:$AM$1287"/>
    </customSheetView>
    <customSheetView guid="{654A5899-80B2-4C15-A2FD-0DB5CDC13F98}" filter="1" showAutoFilter="1">
      <autoFilter ref="$B$2:$AO$1287">
        <filterColumn colId="39">
          <filters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18305FC1-D259-4640-9665-7FBD61614DE9}" filter="1" showAutoFilter="1">
      <autoFilter ref="$A$1:$AQ$1282">
        <filterColumn colId="6">
          <filters blank="1">
            <filter val="#VALUE!"/>
            <filter val="Marcus"/>
            <filter val="David"/>
            <filter val="Gabriel"/>
          </filters>
        </filterColumn>
      </autoFilter>
    </customSheetView>
    <customSheetView guid="{8D8D3085-AB50-4CBA-97BF-5552334D2C30}" filter="1" showAutoFilter="1">
      <autoFilter ref="$F$2:$F$1287"/>
    </customSheetView>
    <customSheetView guid="{D72A8D76-4C52-45A1-B03B-AA69964DED90}" filter="1" showAutoFilter="1">
      <autoFilter ref="$A$1:$AQ$1287"/>
    </customSheetView>
    <customSheetView guid="{F93CDEF9-2774-4CF9-AD7F-8B246521D3B8}" filter="1" showAutoFilter="1">
      <autoFilter ref="$A$1:$AT$1278"/>
    </customSheetView>
    <customSheetView guid="{70F7446A-0DAC-4D27-A21A-B34FE380E0B8}" filter="1" showAutoFilter="1">
      <autoFilter ref="$A$1:$AQ$1282">
        <filterColumn colId="12">
          <filters blank="1">
            <filter val="ARR"/>
            <filter val="INC/ COADM"/>
            <filter val="DIV/ COADM"/>
            <filter val="STOCK"/>
            <filter val="EQT/ COADM"/>
            <filter val="BDR"/>
            <filter val="MOD/ PREV MOD/ COADM"/>
            <filter val="CON/ GR/ COADM"/>
            <filter val="MONT/ COADM"/>
            <filter val="MOD"/>
            <filter val="MULT PRIV/ CO ADM"/>
            <filter val="FII"/>
            <filter val="EQT"/>
            <filter val="CON/ COADM"/>
            <filter val="MULT PRIV"/>
            <filter val="CONsUL M Wealth"/>
            <filter val="CON/ GR"/>
            <filter val="DIV"/>
            <filter val="MOD/ COADM"/>
            <filter val="INC CP"/>
            <filter val="CONSUL M Wealth"/>
            <filter val="SMLL"/>
            <filter val="MOD/ GR"/>
            <filter val="INC CP/ COADM"/>
          </filters>
        </filterColumn>
      </autoFilter>
    </customSheetView>
    <customSheetView guid="{77048510-7681-471A-8ABA-CEF5057C5417}" filter="1" showAutoFilter="1">
      <autoFilter ref="$A$1:$AU$1287">
        <filterColumn colId="4">
          <filters blank="1">
            <filter val="UF"/>
            <filter val="DF"/>
            <filter val="RJ"/>
            <filter val="SP"/>
            <filter val="BA"/>
          </filters>
        </filterColumn>
        <filterColumn colId="17">
          <filters>
            <filter val="Cliente sumiu da base 05/03/2024"/>
            <filter val="Alteração de carteira finalizada (14/07/2023)"/>
            <filter val="Retornou para a base sob um novo B2B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Alteração de carteira finalizada (19/03/2026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27/07/2026)"/>
            <filter val="Alteração de carteira finalizada (15/09/2025)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Cliente retornou para a base"/>
            <filter val="Primeira conta 004794805 viculada por erro do FA."/>
            <filter val="Alteração de carteira finalizada (08/12/2025)"/>
            <filter val="Nome alterado em razão de divórcio (26/01/2026)"/>
            <filter val="STVM de entrada da Guide finalizada (30/08/2023)"/>
            <filter val="z"/>
            <filter val="Cliente retornou para a base dia 10/10/2024"/>
            <filter val="Vai passar para moderada. (17/07/2026)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Distrati uniateral"/>
            <filter val="Cliente retornou a base com novo contrato (29/08/2025) / Alteração de carteira finalizada (23/03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Alteração de carteira finalizada (09/04/2026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Conta ultilizada para câmbio (27/07/2026)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51A8D2F4-8D86-4679-86B1-EA64A0EE4A10}" filter="1" showAutoFilter="1">
      <autoFilter ref="$A$1:$AU$1278">
        <filterColumn colId="17">
          <filters>
            <filter val="Cliente sumiu da base 05/03/2024"/>
            <filter val="Alteração de carteira finalizada (14/07/2023)"/>
            <filter val="Retornou para a base sob um novo B2B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Alteração de carteira finalizada (19/03/2026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27/07/2026)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Cliente retornou para a base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z"/>
            <filter val="Cliente retornou para a base dia 10/10/2024"/>
            <filter val="Vai passar para moderada. (17/07/2026)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Distrati uniateral"/>
            <filter val="Cliente retornou a base com novo contrato (29/08/2025) / Alteração de carteira finalizada (23/03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Alteração de carteira finalizada (09/04/2026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Conta ultilizada para câmbio (27/07/2026)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F5354E08-B6E9-4CA3-B3EA-CD773B8ADACB}" filter="1" showAutoFilter="1">
      <autoFilter ref="$A$1:$AR$1287">
        <filterColumn colId="5">
          <filters>
            <filter val="João Victor de Moura Beze"/>
            <filter val="Alexandre Almeida"/>
            <filter val="Norton Jr"/>
            <filter val="Rafaela Souza"/>
            <filter val="Marcus Macedo"/>
            <filter val="Bruno Henrique"/>
            <filter val="Felipe Cravos"/>
            <filter val="Varlon Bersan"/>
            <filter val="Moises Neto"/>
            <filter val="Augusto Sampai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Larissa Montes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Caroline Facó Ehlers"/>
            <filter val="Percio Arraes"/>
            <filter val="thiago Canabrava"/>
            <filter val="Douglas Tuira"/>
            <filter val="Antonio Volpato"/>
            <filter val="Joney Alves"/>
            <filter val="Thanira Moreira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Gabriel Stell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466D5FAB-D655-4B18-90D2-28C25ECFE9B0}" filter="1" showAutoFilter="1">
      <autoFilter ref="$A$2:$AU$1278">
        <filterColumn colId="7">
          <filters>
            <filter val="Encerrado"/>
            <filter val="Pode Operar"/>
          </filters>
        </filterColumn>
        <filterColumn colId="17">
          <filters>
            <filter val="Cliente sumiu da base 05/03/2024"/>
            <filter val="Alteração de carteira finalizada (14/07/2023)"/>
            <filter val="Retornou para a base sob um novo B2B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Alteração de carteira finalizada (19/03/2026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27/07/2026)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Cliente retornou para a base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z"/>
            <filter val="Cliente retornou para a base dia 10/10/2024"/>
            <filter val="Vai passar para moderada. (17/07/2026)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Distrati uniateral"/>
            <filter val="Cliente retornou a base com novo contrato (29/08/2025) / Alteração de carteira finalizada (23/03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Alteração de carteira finalizada (09/04/2026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Conta ultilizada para câmbio (27/07/2026)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1E462D75-8D74-420B-A407-97545AE355DA}" filter="1" showAutoFilter="1">
      <autoFilter ref="$B$2:$AO$1282"/>
    </customSheetView>
    <customSheetView guid="{53A3823D-765D-4290-A114-7121374C6831}" filter="1" showAutoFilter="1">
      <autoFilter ref="$A$1:$AU$1278"/>
    </customSheetView>
    <customSheetView guid="{DF1A3CB9-3C9E-40AC-BF2C-102973F9E739}" filter="1" showAutoFilter="1">
      <autoFilter ref="$A$1:$AV$1278">
        <filterColumn colId="8">
          <filters>
            <filter val="Alteração de C.A"/>
            <filter val="STVM Saída"/>
            <filter val="Troca de Assessoria"/>
            <filter val="Distrato"/>
            <filter val="STVM Entrada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89658390-5C37-4C7E-86DD-F1980A0E7F1E}" filter="1" showAutoFilter="1">
      <autoFilter ref="$A$2:$AT$1278">
        <filterColumn colId="1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24/06/2026"/>
            <filter val="03/02/2026"/>
            <filter val="03/02/2025"/>
            <filter val="20/07/2026"/>
            <filter val="16/03/2023"/>
            <filter val="11/05/2026"/>
            <filter val="30/04/2025"/>
            <filter val="30/04/2026"/>
            <filter val="30/04/2024"/>
            <filter val="25/05/2026"/>
            <filter val="02/03/2023"/>
            <filter val="19/03/2026"/>
            <filter val="11/10/2023"/>
            <filter val="11/10/2024"/>
            <filter val="19/03/2024"/>
            <filter val="31/03/2023"/>
            <filter val="31/03/2026"/>
            <filter val="14/09/2023"/>
            <filter val="24/11/2025"/>
            <filter val="09/06/2026"/>
            <filter val="09/11/2022"/>
            <filter val="24/11/2023"/>
            <filter val="09/06/2023"/>
            <filter val="23/07/2026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13/03/2026"/>
            <filter val="26/12/2022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5/04/2026"/>
            <filter val="17/09/2025"/>
            <filter val="17/09/2024"/>
            <filter val="06/11/2023"/>
            <filter val="09/02/2026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13/07/2026"/>
            <filter val="07/08/2023"/>
            <filter val="16/07/2026"/>
            <filter val="18/01/2023"/>
            <filter val="18/01/2024"/>
            <filter val="03/05/2023"/>
            <filter val="03/05/2024"/>
            <filter val="28/09/2023"/>
            <filter val="23/04/2026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7/03//2026"/>
            <filter val="20/03/2025"/>
            <filter val="02/03/2026"/>
            <filter val="20/03/2023"/>
            <filter val="20/03/2024"/>
            <filter val="03/06/2024"/>
            <filter val="03/06/2026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21/05/2026"/>
            <filter val="01/01/2026"/>
            <filter val="04/08/2023"/>
            <filter val="28/02/2023"/>
            <filter val="19/12/2022"/>
            <filter val="23/03/2026"/>
            <filter val="19/12/2023"/>
            <filter val="19/12/2024"/>
            <filter val="10/07/2026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1/06/2026"/>
            <filter val="16/02/2023"/>
            <filter val="12/03/2026"/>
            <filter val="16/02/2024"/>
            <filter val="11/06/2025"/>
            <filter val="11/06/2024"/>
            <filter val="09/07/2026"/>
            <filter val="29/03/2023"/>
            <filter val="23/11/2022"/>
            <filter val="01/07/2025"/>
            <filter val="01/07/2024"/>
            <filter val="06/05/2024"/>
            <filter val="01/07/2026"/>
            <filter val="06/05/2026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16/04/2026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18/05/2026"/>
            <filter val="22/12/2022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28/04/2026"/>
            <filter val="15/07/2024"/>
            <filter val="15/07/2026"/>
            <filter val="17/03/2023"/>
            <filter val="22/09/2023"/>
            <filter val="17/03/2025"/>
            <filter val="11/08/2025"/>
            <filter val="12/01/2023"/>
            <filter val="01/03/2023"/>
            <filter val="26/05/2026"/>
            <filter val="23/11/2023"/>
            <filter val="30/03/2026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13/05/2026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7/06/2026"/>
            <filter val="18/03/2024"/>
            <filter val="27/04/2026"/>
            <filter val="16/06/2023"/>
            <filter val="27/02/2024"/>
            <filter val="24/03/2026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09/04/2026"/>
            <filter val="23/06/2023"/>
            <filter val="08/07/2025"/>
            <filter val="09/04/2024"/>
            <filter val="24/03/2023"/>
            <filter val="02/07/2026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07/05/2026"/>
            <filter val="30/01/2024"/>
            <filter val="14/07/2026"/>
            <filter val="14/07/2025"/>
            <filter val="26/10/2023"/>
            <filter val="15/12/2022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30/11/2022"/>
            <filter val="10/04/2026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22/04/2026"/>
            <filter val="06/04/2023"/>
            <filter val="06/04/2026"/>
            <filter val="19/05/2026"/>
            <filter val="05/10/2023"/>
            <filter val="20/10/2025"/>
            <filter val="19/05/2023"/>
            <filter val="15/06/2026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20/05/2026"/>
            <filter val="19/10/2023"/>
            <filter val="31/05/2023"/>
            <filter val="28/03/2023"/>
            <filter val="26/09/2025"/>
            <filter val="29/06/2026"/>
            <filter val="29/06/2023"/>
            <filter val="03/04/2024"/>
            <filter val="22/03/2024"/>
            <filter val="05/05/2025"/>
            <filter val="22/03/2023"/>
            <filter val="05/05/2026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23/02/2023"/>
            <filter val="04/03/2024"/>
            <filter val="23/02/2024"/>
            <filter val="28/07/2023"/>
            <filter val="23/05/2025"/>
            <filter val="01/06/2026"/>
            <filter val="26/02/2024"/>
            <filter val="26/02/2026"/>
            <filter val="19/01/2026"/>
            <filter val="03/04/2025"/>
            <filter val="29/09/2023"/>
            <filter val="30/06/2026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27/05/2026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28/11/2022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8/06/2026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22/07/2026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6/01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19/06/2026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9/05/2026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15/05/2026"/>
            <filter val="26/03/2025"/>
            <filter val="26/03/2024"/>
            <filter val="20/04/2023"/>
            <filter val="07/04/2026"/>
            <filter val="07/04/2025"/>
            <filter val="20/04/2026"/>
            <filter val="25/06/2024"/>
            <filter val="25/06/2026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8/06/2026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10/03/2026"/>
            <filter val="20/01/2026"/>
            <filter val="20/01/2023"/>
            <filter val="10/03/2025"/>
            <filter val="04/05/2026"/>
            <filter val="18/02/2025"/>
            <filter val="05/02/2024"/>
            <filter val="06/09/2023"/>
            <filter val="12/12/2024"/>
            <filter val="12/12/2025"/>
            <filter val="04//05/2026"/>
            <filter val="05/02/2025"/>
            <filter val="05/02/2026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22/05/2026"/>
            <filter val="22/05/2023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6"/>
            <filter val="03/08/2023"/>
            <filter val="09/03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30/07/2026"/>
            <filter val="13/04/2026"/>
            <filter val="29/07/2026"/>
            <filter val="24/02/2023"/>
            <filter val="03/03/2023"/>
            <filter val="24/02/2026"/>
            <filter val="21/11/2025"/>
            <filter val="21/08/2023"/>
            <filter val="21/08/2025"/>
            <filter val="12/12/2022"/>
            <filter val="17/07/2026"/>
            <filter val="12/02/2025"/>
            <filter val="12/02/2026"/>
            <filter val="28/05/2024"/>
            <filter val="28/05/2026"/>
            <filter val="08/11/2023"/>
            <filter val="08/11/2024"/>
          </filters>
        </filterColumn>
        <filterColumn colId="7">
          <filters>
            <filter val="Encerrado"/>
          </filters>
        </filterColumn>
      </autoFilter>
    </customSheetView>
    <customSheetView guid="{B9CAED52-F68F-46DC-BC9D-365E252014AF}" filter="1" showAutoFilter="1">
      <autoFilter ref="$F$2:$M$1287"/>
    </customSheetView>
    <customSheetView guid="{FFF8B650-CBF3-4052-87D6-A8C0A82089E5}" filter="1" showAutoFilter="1">
      <autoFilter ref="$A$2:$AU$1278">
        <filterColumn colId="7">
          <filters>
            <filter val="Inativo"/>
          </filters>
        </filterColumn>
        <filterColumn colId="46">
          <filters blank="1"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  <filterColumn colId="42">
          <filters blank="1">
            <filter val="R$ 1,560,491.37"/>
            <filter val="R$ 296,915.45"/>
            <filter val="R$ 1,069,740.49"/>
            <filter val="R$ 647,232.40"/>
            <filter val="R$ 212,805.65"/>
            <filter val="R$ 323,015.09"/>
            <filter val="R$ 581,436.87"/>
            <filter val="R$ 136,497.06"/>
            <filter val="R$ 50,555.96"/>
            <filter val="R$ 49,755.82"/>
            <filter val="R$ 97,069.76"/>
            <filter val="R$ 729.09"/>
            <filter val="R$ 276,438.52"/>
            <filter val="R$ 1,092,085.04"/>
            <filter val="R$ 60,378.23"/>
            <filter val="R$ 770,341.47"/>
            <filter val="R$ 454,523.52"/>
            <filter val="R$ 140,046.36"/>
            <filter val="R$ 88,005.57"/>
            <filter val="R$ 2,873,474.15"/>
            <filter val="R$ 267,637.85"/>
            <filter val="R$ 50,235.48"/>
            <filter val="R$ 51,291.39"/>
            <filter val="R$ 351,580.87"/>
            <filter val="R$ 178,411.71"/>
            <filter val="R$ 49,400.81"/>
            <filter val="R$ 209,381.88"/>
            <filter val="R$ 2,545,016.37"/>
            <filter val="R$ 771,807.13"/>
            <filter val="R$ 220,920.24"/>
            <filter val="R$ 1,015,617.95"/>
            <filter val="R$ 42,867.55"/>
            <filter val="R$ 436,245.95"/>
            <filter val="R$ 3,627,523.86"/>
            <filter val="R$ 629,675.94"/>
            <filter val="R$ 627,167.85"/>
            <filter val="R$ 1,357,618.63"/>
            <filter val="R$ 4,091,485.08"/>
            <filter val="R$ 509,020.56"/>
            <filter val="R$ 734,751.36"/>
            <filter val="R$ 278,938.30"/>
            <filter val="R$ 637,617.83"/>
            <filter val="R$ 194,407.84"/>
            <filter val="R$ 254,242.64"/>
            <filter val="R$ 254,370.41"/>
            <filter val="R$ 373,156.75"/>
            <filter val="R$ 120,449.70"/>
            <filter val="R$ 1,123,818.71"/>
            <filter val="R$ 2,077,435.12"/>
            <filter val="R$ 1,371,280.16"/>
            <filter val="R$ 380,937.88"/>
            <filter val="R$ 41,124.97"/>
            <filter val="R$ 3,126,195.15"/>
            <filter val="R$ 8,182.97"/>
            <filter val="R$ 1,810,474.77"/>
            <filter val="R$ 1,065.68"/>
            <filter val="R$ 341,132.31"/>
            <filter val="R$ 952,999.84"/>
            <filter val="R$ 52,067.87"/>
            <filter val="R$ 394,426.75"/>
            <filter val="R$ 142,567.10"/>
            <filter val="R$ 138,132.74"/>
            <filter val="R$ 134,172.01"/>
            <filter val="R$ 105,646.40"/>
            <filter val="R$ 119,904.59"/>
            <filter val="R$ 150,952.89"/>
            <filter val="R$ 461,695.50"/>
            <filter val="R$ 181,973.47"/>
            <filter val="R$ 323,131.19"/>
            <filter val="R$ 160,546.72"/>
            <filter val="R$ 80,142.49"/>
            <filter val="R$ 350,929.21"/>
            <filter val="R$ 1,152,688.10"/>
            <filter val="R$ 1,716,725.01"/>
            <filter val="R$ 1,003,085.23"/>
            <filter val="R$ 932,100.04"/>
            <filter val="R$ 533,367.24"/>
            <filter val="R$ 168,811.30"/>
            <filter val="R$ 204,852.83"/>
            <filter val="R$ 270,578.92"/>
            <filter val="R$ 753,820.19"/>
            <filter val="R$ 4,633.19"/>
            <filter val="R$ 499,682.77"/>
            <filter val="R$ 407,487.54"/>
            <filter val="R$ 612,646.64"/>
            <filter val="R$ 193,844.40"/>
            <filter val="R$ 1,469,971.37"/>
            <filter val="R$ 100,215.50"/>
            <filter val="R$ 0.00"/>
            <filter val="R$ 0.01"/>
            <filter val="R$ 285,135.30"/>
            <filter val="R$ 1,410.83"/>
            <filter val="R$ 130,973.02"/>
            <filter val="R$ 82,436.51"/>
            <filter val="R$ 149,512.97"/>
            <filter val="R$ 0.04"/>
            <filter val="R$ 233,018.77"/>
            <filter val="R$ 1,434,733.03"/>
            <filter val="R$ 145,422.56"/>
            <filter val="R$ 512,555.95"/>
            <filter val="R$ 197,754.37"/>
            <filter val="R$ 1,297,464.97"/>
            <filter val="R$ 236,309.68"/>
            <filter val="R$ 208,763.51"/>
            <filter val="R$ 125,505.87"/>
            <filter val="R$ 91,165.55"/>
            <filter val="R$ 268,625.62"/>
            <filter val="R$ 806,777.51"/>
            <filter val="R$ 71,552.49"/>
            <filter val="R$ 135,977.64"/>
            <filter val="R$ 9.70"/>
            <filter val="R$ 268,544.31"/>
            <filter val="R$ 10,245.37"/>
            <filter val="R$ 32,552.76"/>
            <filter val="R$ 213,072.17"/>
            <filter val="R$ 442,964.55"/>
            <filter val="R$ 212,200.92"/>
            <filter val="R$ 340,811.61"/>
            <filter val="R$ 131,025.40"/>
            <filter val="R$ 8,286,387.70"/>
            <filter val="R$ 50,747.86"/>
            <filter val="R$ 20,000.00"/>
            <filter val="R$ 793,669.27"/>
            <filter val="R$ 57,397.44"/>
            <filter val="R$ 14,478.09"/>
            <filter val="R$ 2,243,640.55"/>
            <filter val="R$ 5,272.20"/>
            <filter val="R$ 238,439.05"/>
            <filter val="R$ 362,470.60"/>
            <filter val="R$ 69,908.60"/>
            <filter val="R$ 12,189.66"/>
            <filter val="R$ 162,330.96"/>
            <filter val="R$ 339,032.61"/>
            <filter val="R$ 27,788.14"/>
            <filter val="R$ 1,211,281.02"/>
            <filter val="R$ 1,048,091.75"/>
            <filter val="R$ 110,181.84"/>
            <filter val="R$ 50,021.25"/>
            <filter val="R$ 600,995.90"/>
            <filter val="R$ 176,450.43"/>
            <filter val="R$ 234,923.98"/>
            <filter val="R$ 667,585.98"/>
            <filter val="R$ 14.67"/>
            <filter val="R$ 1,010,372.48"/>
            <filter val="R$ 276,109.44"/>
            <filter val="R$ 79,569.85"/>
            <filter val="R$ 6,628.61"/>
            <filter val="R$ 6,005,596.18"/>
            <filter val="R$ 354,934.72"/>
            <filter val="R$ 317,999.63"/>
            <filter val="R$ 53,641.79"/>
            <filter val="R$ 5.55"/>
            <filter val="R$ 209,354.86"/>
            <filter val="R$ 189,009.11"/>
            <filter val="R$ 152,699.95"/>
            <filter val="R$ 373,297.73"/>
            <filter val="R$ 317,485.30"/>
            <filter val="R$ 114,175.85"/>
            <filter val="R$ 178,971.88"/>
            <filter val="R$ 416,683.62"/>
            <filter val="R$ 642,259.74"/>
            <filter val="R$ 205,472.06"/>
            <filter val="R$ 17,332.09"/>
            <filter val="R$ 66,496.23"/>
            <filter val="R$ 92,871.91"/>
            <filter val="R$ 47,745.93"/>
            <filter val="R$ 159,033.28"/>
            <filter val="R$ 3,001,534.49"/>
            <filter val="R$ 1,088,497.03"/>
            <filter val="R$ 505,887.98"/>
            <filter val="R$ 254,995.54"/>
            <filter val="R$ 604,349.54"/>
            <filter val="R$ 76,616.57"/>
            <filter val="R$ 262,140.80"/>
            <filter val="R$ 1,818,215.96"/>
            <filter val="R$ 15,451.87"/>
            <filter val="R$ 587,784.24"/>
            <filter val="R$ 153,675.62"/>
            <filter val="R$ 566,734.95"/>
            <filter val="R$ 115,882.48"/>
            <filter val="R$ 22,511.16"/>
            <filter val="R$ 787,241.26"/>
            <filter val="R$ 635,773.95"/>
            <filter val="R$ 70,254.30"/>
            <filter val="R$ 258,335.65"/>
            <filter val="R$ 351,124.95"/>
            <filter val="R$ 25,643.06"/>
            <filter val="R$ 1,054,776.97"/>
            <filter val="R$ 75,545.65"/>
            <filter val="R$ 8,020.29"/>
            <filter val="R$ 3,449,103.61"/>
            <filter val="R$ 87,103.29"/>
            <filter val="R$ 188,147.50"/>
            <filter val="R$ 839,394.89"/>
            <filter val="R$ 38,613.83"/>
            <filter val="R$ 58,569.48"/>
            <filter val="R$ 2,268,957.80"/>
            <filter val="R$ 466,634.96"/>
            <filter val="R$ 156,355.11"/>
            <filter val="R$ 217,385.52"/>
            <filter val="R$ 776,296.78"/>
            <filter val="R$ 100,114.20"/>
            <filter val="R$ 30,921.90"/>
            <filter val="R$ 1,306,517.90"/>
            <filter val="R$ 238,854.55"/>
            <filter val="R$ 243,260.86"/>
            <filter val="R$ 376,886.21"/>
            <filter val="R$ 1,965,765.18"/>
            <filter val="R$ 42,232.68"/>
            <filter val="R$ 834,256.32"/>
            <filter val="R$ 276,050.98"/>
            <filter val="R$ 239,118.78"/>
            <filter val="R$ 1,251,801.63"/>
            <filter val="R$ 36,758.00"/>
            <filter val="R$ 449,892.29"/>
            <filter val="R$ 722,243.24"/>
            <filter val="R$ 8,648.56"/>
            <filter val="R$ 41,327.20"/>
            <filter val="R$ 132,752.76"/>
            <filter val="R$ 117,502.45"/>
            <filter val="R$ 34,005.36"/>
            <filter val="R$ 52,143.83"/>
            <filter val="R$ 686,106.35"/>
            <filter val="R$ 101,218.18"/>
            <filter val="R$ 454,815.67"/>
            <filter val="R$ 172,413.02"/>
            <filter val="R$ 125,546.41"/>
            <filter val="R$ 73,780.30"/>
            <filter val="R$ 44,559.33"/>
            <filter val="R$ 44,594.44"/>
            <filter val="R$ 156,243.89"/>
            <filter val="R$ 1,318,461.24"/>
            <filter val="R$ 1,777,349.32"/>
            <filter val="R$ 2.57"/>
            <filter val="R$ 98,658.00"/>
            <filter val="R$ 66,641.42"/>
            <filter val="R$ 200,471.45"/>
            <filter val="R$ 103,773.77"/>
            <filter val="R$ 213,028.80"/>
            <filter val="R$ 315,676.05"/>
            <filter val="R$ 1,186,917.76"/>
            <filter val="R$ 201,330.28"/>
            <filter val="R$ 101,333.44"/>
            <filter val="R$ 2,141,809.61"/>
            <filter val="R$ 228,719.24"/>
            <filter val="R$ 608,060.78"/>
            <filter val="R$ 661,262.77"/>
            <filter val="R$ 3,010.17"/>
            <filter val="R$ 821,280.09"/>
            <filter val="R$ 313,703.35"/>
            <filter val="R$ 131,676.60"/>
            <filter val="R$ 104,930.65"/>
            <filter val="R$ 187,400.52"/>
            <filter val="R$ 300,618.08"/>
            <filter val="R$ 491,793.38"/>
            <filter val="R$ 334.00"/>
            <filter val="R$ 953.24"/>
            <filter val="R$ 300,124.35"/>
            <filter val="R$ 1,240,505.75"/>
            <filter val="R$ 126,098.17"/>
            <filter val="R$ 200,139.34"/>
            <filter val="R$ 1,503,271.83"/>
            <filter val="R$ 670,430.24"/>
            <filter val="R$ 594,234.29"/>
            <filter val="R$ 1,208,400.83"/>
            <filter val="R$ 1,651,362.48"/>
            <filter val="R$ 1,022,017.89"/>
            <filter val="R$ 16,028,770.65"/>
            <filter val="R$ 29,145.96"/>
            <filter val="R$ 706,487.76"/>
            <filter val="R$ 454,884.96"/>
            <filter val="R$ 334,465.94"/>
            <filter val="R$ 85,685.59"/>
            <filter val="R$ 97,773.76"/>
            <filter val="R$ 73,758.13"/>
            <filter val="R$ 342,659.29"/>
            <filter val="R$ 169,987.25"/>
            <filter val="R$ 353,899.78"/>
            <filter val="R$ 606,237.94"/>
            <filter val="R$ 50,313.03"/>
            <filter val="R$ 409,850.82"/>
            <filter val="R$ 109,771.07"/>
            <filter val="R$ 86,715.30"/>
            <filter val="R$ 302,072.36"/>
            <filter val="R$ 110,247.12"/>
            <filter val="R$ 232,341.14"/>
            <filter val="R$ 73,684.92"/>
            <filter val="R$ 71,920.45"/>
            <filter val="R$ 162,743.17"/>
            <filter val="R$ 416,019.16"/>
            <filter val="R$ 4,533.39"/>
            <filter val="R$ 120,755.04"/>
            <filter val="R$ 49,122.52"/>
            <filter val="R$ 139,252.64"/>
            <filter val="R$ 2,658,373.00"/>
            <filter val="R$ 929,489.91"/>
            <filter val="R$ 106,490.87"/>
            <filter val="R$ 1,248,278.35"/>
            <filter val="R$ 5,072.91"/>
            <filter val="R$ 1,346,431.58"/>
            <filter val="R$ 213,108.31"/>
            <filter val="R$ 130,795.52"/>
            <filter val="R$ 648,027.67"/>
            <filter val="R$ 592,435.26"/>
            <filter val="R$ 3,246,859.38"/>
            <filter val="R$ 369,466.61"/>
            <filter val="R$ 3,329,507.61"/>
            <filter val="R$ 89,560.38"/>
            <filter val="R$ 103,189.25"/>
            <filter val="R$ 153,125.67"/>
            <filter val="R$ 3.86"/>
            <filter val="R$ 2,943,857.57"/>
            <filter val="R$ 677,433.36"/>
            <filter val="R$ 191,557.41"/>
            <filter val="R$ 50.26"/>
            <filter val="R$ 204,677.74"/>
            <filter val="R$ 566,653.10"/>
            <filter val="R$ 1,271,481.07"/>
            <filter val="R$ 58,632.55"/>
            <filter val="R$ 256,470.23"/>
            <filter val="R$ 1,281,011.89"/>
            <filter val="R$ 1,011,117.33"/>
            <filter val="R$ 333,331.19"/>
            <filter val="R$ 1,164,737.49"/>
            <filter val="R$ 518,951.57"/>
            <filter val="R$ 362,504.30"/>
            <filter val="R$ 26,446.26"/>
            <filter val="R$ 348,939.08"/>
            <filter val="R$ 62,797.85"/>
            <filter val="R$ 46,567.55"/>
            <filter val="R$ 366,586.03"/>
            <filter val="R$ 3,092,897.17"/>
            <filter val="R$ 1,988,281.00"/>
            <filter val="R$ 4,880.82"/>
            <filter val="R$ 156,942.10"/>
            <filter val="R$ 199,838.30"/>
            <filter val="R$ 799,686.48"/>
            <filter val="R$ 110,320.00"/>
            <filter val="R$ 321,276.02"/>
            <filter val="R$ 692,743.23"/>
            <filter val="R$ 2,732,335.22"/>
            <filter val="R$ 203,447.67"/>
            <filter val="R$ 322,020.41"/>
            <filter val="R$ 69,433.98"/>
            <filter val="R$ 791,403.78"/>
            <filter val="R$ 262,688.84"/>
            <filter val="R$ 91,564.82"/>
            <filter val="R$ 47,363.79"/>
            <filter val="R$ 447,378.06"/>
            <filter val="R$ 151,158.65"/>
            <filter val="R$ 1,534,401.71"/>
            <filter val="R$ 110,405.09"/>
            <filter val="R$ 110,342.23"/>
            <filter val="R$ 390,686.95"/>
            <filter val="R$ 10,446.65"/>
            <filter val="R$ 359,344.38"/>
            <filter val="R$ 309,326.29"/>
            <filter val="R$ 55,545.70"/>
            <filter val="R$ 119,244.02"/>
            <filter val="R$ 1,072,675.14"/>
            <filter val="R$ 352,988.04"/>
            <filter val="R$ 4,894,563.07"/>
            <filter val="R$ 48,256.88"/>
            <filter val="R$ 684,079.55"/>
            <filter val="R$ 77,673.74"/>
            <filter val="R$ 30,857.14"/>
            <filter val="R$ 494,652.08"/>
            <filter val="R$ 34,034.86"/>
            <filter val="R$ 866,906.14"/>
            <filter val="R$ 413,850.07"/>
            <filter val="R$ 386,603.64"/>
            <filter val="R$ 571,465.32"/>
            <filter val="R$ 686,452.52"/>
            <filter val="R$ 12,895.51"/>
            <filter val="R$ 846,924.50"/>
            <filter val="R$ 63,325.05"/>
            <filter val="R$ 74,160.17"/>
            <filter val="R$ 529,041.09"/>
            <filter val="R$ 104,759.85"/>
            <filter val="R$ 223,020.61"/>
            <filter val="R$ 1,051.55"/>
            <filter val="R$ 359,380.24"/>
            <filter val="R$ 226,896.08"/>
            <filter val="R$ 40,649.30"/>
            <filter val="R$ 138,609.77"/>
            <filter val="R$ 254,304.31"/>
            <filter val="R$ 1,911,128.37"/>
            <filter val="R$ 47,114.01"/>
            <filter val="R$ 1,082,641.95"/>
            <filter val="R$ 38,676.69"/>
            <filter val="R$ 182,622.03"/>
            <filter val="R$ 22,046.50"/>
            <filter val="R$ 222,998.54"/>
            <filter val="R$ 3,322,940.36"/>
            <filter val="R$ 113,905.94"/>
            <filter val="R$ 242,583.64"/>
            <filter val="R$ 506,159.39"/>
            <filter val="R$ 407,803.29"/>
            <filter val="R$ 609,812.97"/>
            <filter val="R$ 115,669.04"/>
            <filter val="R$ 326,428.52"/>
            <filter val="R$ 106,326.76"/>
            <filter val="R$ 97,309.47"/>
            <filter val="R$ 156,276.72"/>
            <filter val="R$ 3,009,986.81"/>
            <filter val="R$ 1,197,374.01"/>
            <filter val="R$ 819,516.43"/>
            <filter val="R$ 128,816.72"/>
            <filter val="R$ 408,929.28"/>
            <filter val="R$ 430,845.92"/>
            <filter val="R$ 6,102.00"/>
            <filter val="R$ 21,235.62"/>
            <filter val="R$ 2,708,443.20"/>
            <filter val="R$ 695,559.77"/>
            <filter val="R$ 283,963.38"/>
            <filter val="R$ 277.30"/>
            <filter val="R$ 3,753,566.00"/>
            <filter val="R$ 70,505.92"/>
            <filter val="R$ 14,113.01"/>
            <filter val="R$ 109,097.20"/>
            <filter val="R$ 135,367.96"/>
            <filter val="R$ 91,587.30"/>
            <filter val="R$ 140,590.94"/>
            <filter val="R$ 17.86"/>
            <filter val="R$ 406,616.99"/>
            <filter val="R$ 271,055.88"/>
            <filter val="R$ 50,628.89"/>
            <filter val="R$ 1,400,497.04"/>
            <filter val="R$ 250,333.99"/>
            <filter val="R$ 494,486.85"/>
            <filter val="R$ 170,517.88"/>
            <filter val="R$ 1,122,870.63"/>
            <filter val="R$ 310,054.35"/>
            <filter val="R$ 151,570.12"/>
            <filter val="R$ 87,027.22"/>
            <filter val="R$ 516,326.05"/>
            <filter val="R$ 27,830.25"/>
            <filter val="R$ 336,999.22"/>
            <filter val="R$ 213,887.99"/>
            <filter val="R$ 938,332.24"/>
            <filter val="R$ 595,331.78"/>
            <filter val="R$ 100,548.79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0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D2CEFE79-E609-463C-AA33-4D88E759492B}" filter="1" showAutoFilter="1">
      <autoFilter ref="$F$2:$F$1287"/>
    </customSheetView>
    <customSheetView guid="{867688F4-DA77-491A-BC2D-EE63B05CD8C6}" filter="1" showAutoFilter="1">
      <autoFilter ref="$A$1:$AR$1282">
        <filterColumn colId="6">
          <filters>
            <filter val="#VALUE!"/>
            <filter val="Marcus"/>
            <filter val="David"/>
            <filter val="Gabriel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CON/ GR/ COADM"/>
            <filter val="MONT/ COADM"/>
            <filter val="MOD"/>
            <filter val="CON"/>
            <filter val="MULT PRIV/ CO ADM"/>
            <filter val="EQT"/>
            <filter val="CON/ COADM"/>
            <filter val="MULT PRIV"/>
            <filter val="MOD/ PREV ARR"/>
            <filter val="CONsUL M Wealth"/>
            <filter val="CON/ GR"/>
            <filter val="DIV"/>
            <filter val="MOD/ COADM"/>
            <filter val="PREV ARR"/>
            <filter val="INC CP"/>
            <filter val="CORP"/>
            <filter val="CONSUL M Wealth"/>
            <filter val="MOD/ GR"/>
            <filter val="INC CP/ COADM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STVM Saída"/>
            <filter val="Troca de Assessoria"/>
            <filter val="Distrato"/>
            <filter val="------"/>
            <filter val="Bloqueado"/>
            <filter val="STVM Entrada"/>
            <filter val="Situação"/>
            <filter val="Monitoramento"/>
          </filters>
        </filterColumn>
      </autoFilter>
    </customSheetView>
    <customSheetView guid="{0635E86D-97FE-4BEF-B100-0431664E8011}" filter="1" showAutoFilter="1">
      <autoFilter ref="$A$2:$AS$1278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CON/ GR/ COADM"/>
            <filter val="MONT/ COADM"/>
            <filter val="MULT PRIV/ CO ADM"/>
            <filter val="CON/ COADM"/>
            <filter val="MULT PRIV"/>
            <filter val="CONsUL M Wealth"/>
            <filter val="CON/ GR"/>
            <filter val="MOD/ COADM"/>
            <filter val="INC CP"/>
            <filter val="CORP"/>
            <filter val="CONSUL M Wealth"/>
            <filter val="MOD/ GR"/>
            <filter val="INC CP/ COADM"/>
          </filters>
        </filterColumn>
      </autoFilter>
    </customSheetView>
    <customSheetView guid="{6029AC19-417B-4102-AB04-0D587EB064E7}" filter="1" showAutoFilter="1">
      <autoFilter ref="$A$1:$AQ$1282">
        <filterColumn colId="6">
          <filters>
            <filter val="#VALUE!"/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CON/ GR/ COADM"/>
            <filter val="MONT/ COADM"/>
            <filter val="MULT PRIV/ CO ADM"/>
            <filter val="CON/ COADM"/>
            <filter val="MULT PRIV"/>
            <filter val="MOD/ PREV ARR"/>
            <filter val="CONsUL M Wealth"/>
            <filter val="CON/ GR"/>
            <filter val="MOD/ COADM"/>
            <filter val="PREV ARR"/>
            <filter val="INC CP"/>
            <filter val="CONSUL M Wealth"/>
            <filter val="MOD/ GR"/>
            <filter val="INC CP/ COADM"/>
            <filter val="INC"/>
          </filters>
        </filterColumn>
      </autoFilter>
    </customSheetView>
    <customSheetView guid="{D657000B-DB7E-4866-89BA-EE41C00F8715}" filter="1" showAutoFilter="1">
      <autoFilter ref="$A$2:$AV$1278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49814561-BE66-479A-BDCA-0D34ADCEB727}" filter="1" showAutoFilter="1">
      <autoFilter ref="$AO$2:$AO$1287"/>
    </customSheetView>
    <customSheetView guid="{06003629-F286-4216-A213-4AFE1E36A40B}" filter="1" showAutoFilter="1">
      <autoFilter ref="$A$1:$AQ$1282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CA9CE70D-C062-42B7-A5AF-9E10E753649D}" filter="1" showAutoFilter="1">
      <autoFilter ref="$A$1:$AQ$1282">
        <filterColumn colId="7">
          <filters blank="1">
            <filter val="Status"/>
            <filter val="Pode Operar"/>
          </filters>
        </filterColumn>
        <filterColumn colId="6">
          <filters blank="1">
            <filter val="#VALUE!"/>
            <filter val="Marcus"/>
            <filter val="David"/>
            <filter val="Gabriel"/>
          </filters>
        </filterColumn>
      </autoFilter>
    </customSheetView>
    <customSheetView guid="{1378EEFE-F08B-4D31-8374-BF3463E0C9B2}" filter="1" showAutoFilter="1">
      <autoFilter ref="$A$1:$AU$1278">
        <filterColumn colId="4">
          <filters>
            <filter val="UF"/>
            <filter val="GO"/>
            <filter val="RJ"/>
            <filter val="BA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GG participações"/>
            <filter val="Bluemetrix"/>
            <filter val="Investeseg"/>
            <filter val="Solution For Life"/>
            <filter val="M Wealth"/>
            <filter val="Nexco"/>
            <filter val="Voga"/>
          </filters>
        </filterColumn>
        <filterColumn colId="23">
          <filters blank="1">
            <filter val="PT"/>
            <filter val="BH"/>
            <filter val="SE"/>
            <filter val="MA"/>
            <filter val="UF cliente"/>
            <filter val="CE"/>
            <filter val="MS"/>
            <filter val="MT"/>
            <filter val="ES"/>
            <filter val="PA"/>
            <filter val="PB"/>
            <filter val="PE"/>
            <filter val="UAE"/>
            <filter val="SUIÇA"/>
          </filters>
        </filterColumn>
      </autoFilter>
    </customSheetView>
    <customSheetView guid="{B7695AD5-7545-4CED-8EDC-4FB5BC578C39}" filter="1" showAutoFilter="1">
      <autoFilter ref="$A$1:$AV$1278">
        <filterColumn colId="5">
          <filters>
            <filter val="João Victor de Moura Beze"/>
            <filter val="Alexandre Almeida"/>
            <filter val="Norton Jr"/>
            <filter val="Rafaela Souza"/>
            <filter val="Norton Fritzsche"/>
            <filter val="Marcus Macedo"/>
            <filter val="Felipe Cravos"/>
            <filter val="Varlon Bersan"/>
            <filter val="Moises Net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Larissa Montes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Percio Arraes"/>
            <filter val="thiago Canabrava"/>
            <filter val="Douglas Tuira"/>
            <filter val="Antonio Volpato"/>
            <filter val="Thanira Moreira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A214FC91-2926-4021-8CFF-EA2F61021101}" filter="1" showAutoFilter="1">
      <autoFilter ref="$B$2:$AP$1282">
        <filterColumn colId="6">
          <filters blank="1">
            <filter val="Inativo"/>
            <filter val="Ativo"/>
          </filters>
        </filterColumn>
      </autoFilter>
    </customSheetView>
    <customSheetView guid="{A03660A7-9D48-49DA-BC0E-ED8F769D2A1C}" filter="1" showAutoFilter="1">
      <autoFilter ref="$B$2:$AN$1282"/>
    </customSheetView>
    <customSheetView guid="{D231C3E6-8F34-4669-BD4B-6375A5FD1A7D}" filter="1" showAutoFilter="1">
      <autoFilter ref="$B$2:$AN$1287"/>
    </customSheetView>
    <customSheetView guid="{F6C2467A-F0F2-4A7D-B977-32245C4F1613}" filter="1" showAutoFilter="1">
      <autoFilter ref="$A$1:$AV$1278"/>
    </customSheetView>
    <customSheetView guid="{B720098B-70F4-44B5-833C-52F5E38957BF}" filter="1" showAutoFilter="1">
      <autoFilter ref="$B$2:$AL$1282"/>
    </customSheetView>
    <customSheetView guid="{9D3DEFCC-A924-4E8D-9CE6-778E89A63856}" filter="1" showAutoFilter="1">
      <autoFilter ref="$A$1:$F$1278"/>
    </customSheetView>
    <customSheetView guid="{782C1766-D366-4791-A229-466454E378AF}" filter="1" showAutoFilter="1">
      <autoFilter ref="$A$1:$AS$1278">
        <filterColumn colId="4">
          <filters>
            <filter val="DF"/>
            <filter val="RJ"/>
            <filter val="BA"/>
          </filters>
        </filterColumn>
      </autoFilter>
    </customSheetView>
    <customSheetView guid="{C0B03341-4AEF-4BF7-A18B-DDC8CBEE8AA1}" filter="1" showAutoFilter="1">
      <autoFilter ref="$A$2:$AV$1278">
        <filterColumn colId="4">
          <filters>
            <filter val="RJ"/>
            <filter val="SUL"/>
            <filter val="BA"/>
          </filters>
        </filterColumn>
      </autoFilter>
    </customSheetView>
    <customSheetView guid="{9E44EB80-D057-49A3-B0D2-F7DA7E7CE002}" filter="1" showAutoFilter="1">
      <autoFilter ref="$A$1:$AU$1278">
        <filterColumn colId="4">
          <filters>
            <filter val="UF"/>
            <filter val="DF"/>
            <filter val="RJ"/>
            <filter val="SUL"/>
            <filter val="BA"/>
          </filters>
        </filterColumn>
        <filterColumn colId="5">
          <filters>
            <filter val="João Victor de Moura Beze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Varlon Bersan"/>
            <filter val="Moises Neto"/>
            <filter val="Bruno Jaime"/>
            <filter val="Augusto Sampaio"/>
            <filter val="Felipe Rios"/>
            <filter val="Luis Felipe"/>
            <filter val="Caroline Cichello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Gustavo Costa"/>
            <filter val="Bluemetrix Asset"/>
            <filter val="Rafael Vilela"/>
            <filter val="Felipe Miranda"/>
            <filter val="João Paulo Britto"/>
            <filter val="Lucas Calixto"/>
            <filter val="Larissa Montes"/>
            <filter val="Guilherme Satyro"/>
            <filter val="Hugo Motta"/>
            <filter val="João Gabriel Miziara"/>
            <filter val="M Wealth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Bruno Rodrigues"/>
            <filter val="Alexia Satyro"/>
            <filter val="Rogerio Magalhaes Coelho"/>
            <filter val="Theo Ramos Moutinho"/>
            <filter val="Victor Hugo Laurentino"/>
            <filter val="Caroline Facó Ehlers"/>
            <filter val="Percio Arraes"/>
            <filter val="Vivian"/>
            <filter val="Rodrigo Milanez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Thanira Moreira"/>
            <filter val="Eduardo Leopoldino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Murilo Silva"/>
            <filter val="Daniel Cambraia Danzig"/>
            <filter val="Gabriel Stella"/>
            <filter val="Gabriel Bicalho Fontes Raydan"/>
            <filter val="Vitor Pedrazzi"/>
            <filter val="Guilherme dos Santos"/>
            <filter val="Gustavo Amorim"/>
            <filter val="Paula Bonfim"/>
            <filter val="Felipe Ouriveis"/>
            <filter val="Alcivana Marques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PT"/>
            <filter val="SE"/>
            <filter val="MA"/>
            <filter val="CE"/>
            <filter val="MS"/>
            <filter val="ES"/>
            <filter val="PE"/>
            <filter val="UAE"/>
            <filter val="SUIÇA"/>
          </filters>
        </filterColumn>
      </autoFilter>
    </customSheetView>
    <customSheetView guid="{04FF9915-DD3B-4396-A7AF-B26F880882B9}" filter="1" showAutoFilter="1">
      <autoFilter ref="$A$1:$AS$1287"/>
    </customSheetView>
    <customSheetView guid="{660A2834-41D4-4E6F-9572-4A1EE6F73E5A}" filter="1" showAutoFilter="1">
      <autoFilter ref="$A$1:$AU$1278">
        <filterColumn colId="17">
          <filters>
            <filter val="Cliente sumiu da base 05/03/2024"/>
            <filter val="Alteração de carteira finalizada (14/07/2023)"/>
            <filter val="Retornou para a base sob um novo B2B"/>
            <filter val="Alteração de carteira finalizada (29/01/2024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Alteração de carteira finalizada (19/03/2026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27/07/2026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Cliente retornou para a base"/>
            <filter val="Primeira conta 004794805 viculada por erro do FA."/>
            <filter val="Alteração de carteira finalizada (08/12/2025)"/>
            <filter val="Nome alterado em razão de divórcio (26/01/2026)"/>
            <filter val="z"/>
            <filter val="Cliente retornou para a base dia 10/10/2024"/>
            <filter val="Vai passar para moderada. (17/07/2026)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Distrati uniateral"/>
            <filter val="Cliente retornou a base com novo contrato (29/08/2025) / Alteração de carteira finalizada (23/03/2026)"/>
            <filter val="STVM Interna finalizada (01/07/2024)"/>
            <filter val="Alteração de carteira finalizada (12/11/2025)"/>
            <filter val="Alteração de carteira finalizada (09/04/2026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Conta ultilizada para câmbio (27/07/2026)"/>
            <filter val="Alteração de carteira finalizada (24/07/2023)"/>
            <filter val="STVM interna finalizada (19/07/2024)"/>
            <filter val="Cliente identificado como monitoramento por restrição devido a religião"/>
            <filter val="STVM de entrada finalizada (28/05/2024)"/>
            <filter val="Alteração de carteira finalizada (09/08/2024)"/>
          </filters>
        </filterColumn>
      </autoFilter>
    </customSheetView>
    <customSheetView guid="{9651023E-7900-4EB4-B4B6-58306FA6EAD7}" filter="1" showAutoFilter="1">
      <autoFilter ref="$AH$2:$AH$1287"/>
    </customSheetView>
    <customSheetView guid="{722B78C8-FCD4-4998-92AC-C08554C3B012}" filter="1" showAutoFilter="1">
      <autoFilter ref="$D$2:$AN$1287"/>
    </customSheetView>
    <customSheetView guid="{4E961BEB-49AD-4B3A-B742-A30ADAC0D0C3}" filter="1" showAutoFilter="1">
      <autoFilter ref="$B$2:$AO$1282">
        <filterColumn colId="11">
          <filters blank="1">
            <filter val="ARR"/>
            <filter val="INC/ COADM"/>
            <filter val="MOD/ PREV MOD"/>
            <filter val="DIV/ COADM"/>
            <filter val="STOCK"/>
            <filter val="EQT/ COADM"/>
            <filter val="MOD/ PREV MOD/ COADM"/>
            <filter val="PREV MOD"/>
            <filter val="PREV"/>
            <filter val="CON/ GR/ COADM"/>
            <filter val="MONT/ COADM"/>
            <filter val="MOD"/>
            <filter val="MULT PRIV/ CO ADM"/>
            <filter val="CON/ COADM"/>
            <filter val="MULT PRIV"/>
            <filter val="MOD/ PREV ARR"/>
            <filter val="CONsUL M Wealth"/>
            <filter val="CON/ GR"/>
            <filter val="MOD/ COADM"/>
            <filter val="PREV ARR"/>
            <filter val="INC CP"/>
            <filter val="CORP"/>
            <filter val="CONSUL M Wealth"/>
            <filter val="MOD/ GR"/>
            <filter val="INC CP/ COADM"/>
          </filters>
        </filterColumn>
        <filterColumn colId="13">
          <filters blank="1">
            <filter val="IBOVESPA"/>
            <filter val="S&amp;P 500"/>
            <filter val="IPCA + 7%"/>
            <filter val="IFIX"/>
          </filters>
        </filterColumn>
      </autoFilter>
    </customSheetView>
    <customSheetView guid="{1A5CB954-232D-4D49-A5F7-C09A85AC5DA3}" filter="1" showAutoFilter="1">
      <autoFilter ref="$A$1:$AT$1278">
        <filterColumn colId="5">
          <filters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Varlon Bersan"/>
            <filter val="Moises Neto"/>
            <filter val="Augusto Sampaio"/>
            <filter val="Luis Felipe"/>
            <filter val="Caroline Cichello"/>
            <filter val="André de Queiroz Coelho"/>
            <filter val="Raoni Costa"/>
            <filter val="Luca Bueno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Larissa Montes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Caroline Facó Ehlers"/>
            <filter val="Percio Arraes"/>
            <filter val="thiago Canabrava"/>
            <filter val="Douglas Tuira"/>
            <filter val="Antonio Volpato"/>
            <filter val="Joney Alves"/>
            <filter val="Thanira Moreira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Gabriel Stell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Daniel Melhado"/>
          </filters>
        </filterColumn>
        <filterColumn colId="12">
          <filters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CON/ GR/ COADM"/>
            <filter val="MONT/ COADM"/>
            <filter val="FUND"/>
            <filter val="MULT PRIV/ CO ADM"/>
            <filter val="CON/ COADM"/>
            <filter val="MULT PRIV"/>
            <filter val="MOD/ PREV ARR"/>
            <filter val="CONsUL M Wealth"/>
            <filter val="CON/ GR"/>
            <filter val="DIV"/>
            <filter val="MOD/ COADM"/>
            <filter val="INC CP"/>
            <filter val="CORP"/>
            <filter val="CONSUL M Wealth"/>
            <filter val="MOD/ GR"/>
            <filter val="INC CP/ COADM"/>
          </filters>
        </filterColumn>
        <filterColumn colId="45">
          <filters blank="1">
            <filter val="R$ 46,752.95"/>
            <filter val="R$ 221,616.84"/>
            <filter val="R$ 139,051.60"/>
            <filter val="R$ 72,109.81"/>
            <filter val="R$ 39,488.94"/>
            <filter val="R$ 73,795.84"/>
            <filter val="R$ 41,826.03"/>
            <filter val="R$ 65,685.15"/>
            <filter val="R$ 200,441.61"/>
            <filter val="R$ 63,255.04"/>
            <filter val="R$ 1,807,968.44"/>
            <filter val="R$ 57,332.02"/>
            <filter val="R$ 4,218,568.46"/>
            <filter val="R$ 81,632.83"/>
            <filter val="R$ 146,016.86"/>
            <filter val="R$ 404,093.60"/>
            <filter val="R$ 53,112.44"/>
            <filter val="R$ 3,079,102.94"/>
            <filter val="R$ 177,840.36"/>
            <filter val="R$ 2,493,194.17"/>
            <filter val="R$ 166,608.40"/>
            <filter val="R$ 1,010.44"/>
            <filter val="R$ 1,269,804.17"/>
            <filter val="R$ 91,568.41"/>
            <filter val="R$ 121,206.67"/>
            <filter val="R$ 179,581.79"/>
            <filter val="R$ 649,546.84"/>
            <filter val="R$ 334,027.17"/>
            <filter val="R$ 574,345.37"/>
            <filter val="R$ 54,555.82"/>
            <filter val="R$ 72,798.95"/>
            <filter val="R$ 6,764.48"/>
            <filter val="R$ 333,739.21"/>
            <filter val="R$ 456,141.06"/>
            <filter val="R$ 341,095.63"/>
            <filter val="R$ 411,553.44"/>
            <filter val="R$ 100,558.79"/>
            <filter val="R$ 836,767.00"/>
            <filter val="R$ 786,142.80"/>
            <filter val="R$ 7.82"/>
            <filter val="R$ 754,218.37"/>
            <filter val="R$ 112,181.15"/>
            <filter val="R$ 54,099.04"/>
            <filter val="R$ 246,542.64"/>
            <filter val="R$ 308,888.30"/>
            <filter val="R$ 288,801.62"/>
            <filter val="R$ 4,620.06"/>
            <filter val="R$ 148,976.11"/>
            <filter val="R$ 188,898.43"/>
            <filter val="R$ 2,034,452.33"/>
            <filter val="R$ 706,869.86"/>
            <filter val="R$ 546,100.61"/>
            <filter val="R$ 28,455.38"/>
            <filter val="R$ 265,381.57"/>
            <filter val="R$ 116,259.59"/>
            <filter val="R$ 151,527.69"/>
            <filter val="R$ 639,097.07"/>
            <filter val="R$ 666,577.12"/>
            <filter val="R$ 307,697.21"/>
            <filter val="R$ 146,890.58"/>
            <filter val="R$ 56,014.37"/>
            <filter val="R$ 48,460.62"/>
            <filter val="R$ 4,608,507.34"/>
            <filter val="R$ 14,483.77"/>
            <filter val="R$ 316,793.96"/>
            <filter val="R$ 145,201.68"/>
            <filter val="R$ 89,258.15"/>
            <filter val="R$ 112,177.45"/>
            <filter val="R$ 363,969.67"/>
            <filter val="R$ 61,866.12"/>
            <filter val="R$ 1,396,649.65"/>
            <filter val="R$ 2,415,030.57"/>
            <filter val="R$ 418,531.34"/>
            <filter val="R$ 2,426,239.48"/>
            <filter val="R$ 20,889.91"/>
            <filter val="R$ 2,791,200.63"/>
            <filter val="R$ 3,238,270.45"/>
            <filter val="R$ 357,872.30"/>
            <filter val="R$ 86,783.11"/>
            <filter val="R$ 3,938,265.36"/>
            <filter val="R$ 416,227.51"/>
            <filter val="R$ 218,731.40"/>
            <filter val="R$ 282,442.97"/>
            <filter val="R$ 585,023.88"/>
            <filter val="R$ 59,703.08"/>
            <filter val="R$ 186,264.30"/>
            <filter val="R$ 33.05"/>
            <filter val="R$ 1,991,456.49"/>
            <filter val="R$ 0.00"/>
            <filter val="R$ 0.01"/>
            <filter val="R$ 791,423.31"/>
            <filter val="R$ 742.40"/>
            <filter val="R$ 292,447.17"/>
            <filter val="R$ 49,827.07"/>
            <filter val="R$ 323,510.06"/>
            <filter val="R$ 148,344.70"/>
            <filter val="R$ 125,412.83"/>
            <filter val="R$ 0.05"/>
            <filter val="R$ 159,262.64"/>
            <filter val="R$ 206,882.78"/>
            <filter val="R$ 316,725.61"/>
            <filter val="R$ 512,479.56"/>
            <filter val="R$ 87,389.25"/>
            <filter val="R$ 533,184.53"/>
            <filter val="R$ 1,279,049.41"/>
            <filter val="R$ 702,013.08"/>
            <filter val="R$ 111,434.97"/>
            <filter val="R$ 72,968.67"/>
            <filter val="R$ 107,450.42"/>
            <filter val="R$ 3,558,685.77"/>
            <filter val="R$ 554,246.48"/>
            <filter val="R$ 30,573.89"/>
            <filter val="R$ 112,292.46"/>
            <filter val="R$ 1,441,206.32"/>
            <filter val="R$ 378,752.13"/>
            <filter val="R$ 3,412,356.99"/>
            <filter val="R$ 287,907.38"/>
            <filter val="R$ 102,257.13"/>
            <filter val="R$ 9.72"/>
            <filter val="R$ 137,780.79"/>
            <filter val="R$ 87,854.91"/>
            <filter val="R$ 99,661.46"/>
            <filter val="R$ 385,489.77"/>
            <filter val="R$ 386,224.65"/>
            <filter val="R$ 242,739.59"/>
            <filter val="R$ 53,544.78"/>
            <filter val="R$ 506,734.82"/>
            <filter val="R$ 421,965.61"/>
            <filter val="R$ 61,874.96"/>
            <filter val="R$ 1,244,149.42"/>
            <filter val="R$ 3,167,084.36"/>
            <filter val="R$ 1,099,271.98"/>
            <filter val="R$ 189,858.08"/>
            <filter val="R$ 67,319.42"/>
            <filter val="R$ 68,654.73"/>
            <filter val="R$ 107,896.84"/>
            <filter val="R$ 82,681.06"/>
            <filter val="R$ 373,740.33"/>
            <filter val="R$ 41,999.88"/>
            <filter val="R$ 33,240.64"/>
            <filter val="R$ 68,851.25"/>
            <filter val="R$ 137,192.65"/>
            <filter val="R$ 122,192.30"/>
            <filter val="R$ 700,472.95"/>
            <filter val="R$ 1,513,517.47"/>
            <filter val="R$ 1,867,845.05"/>
            <filter val="R$ 684,298.56"/>
            <filter val="R$ 14.67"/>
            <filter val="R$ 157,507.55"/>
            <filter val="R$ 250,198.79"/>
            <filter val="R$ 359,308.27"/>
            <filter val="R$ 392,664.63"/>
            <filter val="R$ 5.55"/>
            <filter val="R$ 708,572.32"/>
            <filter val="R$ 1,944,601.82"/>
            <filter val="R$ 49,359.00"/>
            <filter val="R$ 163,655.53"/>
            <filter val="R$ 1,226,329.60"/>
            <filter val="R$ 127,045.25"/>
            <filter val="R$ 4,357,260.20"/>
            <filter val="R$ 2,193,936.22"/>
            <filter val="R$ 1,261,922.22"/>
            <filter val="R$ 668,204.47"/>
            <filter val="R$ 575,596.87"/>
            <filter val="R$ 1,280,008.15"/>
            <filter val="R$ 243,018.83"/>
            <filter val="R$ 1,082.15"/>
            <filter val="R$ 5,643.12"/>
            <filter val="R$ 348,818.11"/>
            <filter val="R$ 840,711.98"/>
            <filter val="R$ 26.17"/>
            <filter val="R$ 189.08"/>
            <filter val="R$ 1,035,142.28"/>
            <filter val="R$ 55,414.38"/>
            <filter val="R$ 799,717.97"/>
            <filter val="R$ 721,860.49"/>
            <filter val="R$ 381,656.46"/>
            <filter val="R$ 1,812,508.56"/>
            <filter val="R$ 351,813.62"/>
            <filter val="R$ 517,830.29"/>
            <filter val="R$ 922,848.65"/>
            <filter val="R$ 1,013,924.21"/>
            <filter val="R$ 9,191.00"/>
            <filter val="R$ 103,107.47"/>
            <filter val="R$ 16,404.95"/>
            <filter val="R$ 421,408.31"/>
            <filter val="R$ 546,664.05"/>
            <filter val="R$ 513,079.42"/>
            <filter val="R$ 1,599,126.70"/>
            <filter val="R$ 241,127.73"/>
            <filter val="R$ 79,432.93"/>
            <filter val="R$ 1,357,641.77"/>
            <filter val="R$ 12,040.40"/>
            <filter val="R$ 30,015.27"/>
            <filter val="R$ 121,160.89"/>
            <filter val="R$ 340,522.00"/>
            <filter val="R$ 398,816.73"/>
            <filter val="R$ 96,979.47"/>
            <filter val="R$ 463,036.36"/>
            <filter val="R$ 618,719.08"/>
            <filter val="R$ 205,376.18"/>
            <filter val="R$ 208,336.60"/>
            <filter val="R$ 1,040,938.18"/>
            <filter val="R$ 810,142.87"/>
            <filter val="R$ 866,851.66"/>
            <filter val="R$ 198,872.24"/>
            <filter val="R$ 262,315.47"/>
            <filter val="R$ 1,200,138.58"/>
            <filter val="R$ 1,377,518.79"/>
            <filter val="R$ 51,759.93"/>
            <filter val="R$ 100,000.00"/>
            <filter val="R$ 50,262.05"/>
            <filter val="R$ 24,714.34"/>
            <filter val="R$ 40,308.46"/>
            <filter val="R$ 64,045.57"/>
            <filter val="R$ 240,628.91"/>
            <filter val="R$ 1,123,444.54"/>
            <filter val="R$ 516,749.55"/>
            <filter val="R$ 248,332.55"/>
            <filter val="R$ 3,717,376.72"/>
            <filter val="R$ 160,836.33"/>
            <filter val="R$ 367,695.20"/>
            <filter val="R$ 1,377,123.70"/>
            <filter val="R$ 3,010,215.04"/>
            <filter val="R$ 36,234.35"/>
            <filter val="R$ 300,464.54"/>
            <filter val="R$ 117,996.13"/>
            <filter val="R$ 892,959.85"/>
            <filter val="R$ 855,396.58"/>
            <filter val="R$ 3,619,844.51"/>
            <filter val="R$ 344,757.00"/>
            <filter val="R$ 137,232.47"/>
            <filter val="R$ 2,108,824.09"/>
            <filter val="R$ 2,722,116.52"/>
            <filter val="R$ 435.68"/>
            <filter val="R$ 53,233.35"/>
            <filter val="R$ 93,543.64"/>
            <filter val="R$ 89,237.43"/>
            <filter val="R$ 20,080.36"/>
            <filter val="R$ 447,652.59"/>
            <filter val="R$ 10,461.92"/>
            <filter val="R$ 241,044.65"/>
            <filter val="R$ 532,668.43"/>
            <filter val="R$ 155,660.59"/>
            <filter val="R$ 156,714.47"/>
            <filter val="R$ 645,323.53"/>
            <filter val="R$ 171,907.46"/>
            <filter val="R$ 265,236.72"/>
            <filter val="R$ 1,194,938.98"/>
            <filter val="R$ 259,749.48"/>
            <filter val="R$ 108,875.23"/>
            <filter val="R$ 119,426.87"/>
            <filter val="R$ 139,642.28"/>
            <filter val="R$ 42,921.06"/>
            <filter val="R$ 2,300.00"/>
            <filter val="R$ 1,174,396.05"/>
            <filter val="R$ 101,746.10"/>
            <filter val="R$ 281,427.46"/>
            <filter val="R$ 610,235.55"/>
            <filter val="R$ 81,640.10"/>
            <filter val="R$ 157,002.03"/>
            <filter val="R$ 391,888.29"/>
            <filter val="R$ 391,992.13"/>
            <filter val="R$ 109,125.88"/>
            <filter val="R$ 10,066.79"/>
            <filter val="R$ 134,840.29"/>
            <filter val="R$ 278,256.37"/>
            <filter val="R$ 75,577.76"/>
            <filter val="R$ 312,685.08"/>
            <filter val="R$ 1,800,247.93"/>
            <filter val="R$ 120,387.71"/>
            <filter val="R$ 57,141.50"/>
            <filter val="R$ 143,984.23"/>
            <filter val="R$ 25,261.81"/>
            <filter val="R$ 76,863.18"/>
            <filter val="R$ 159,521.69"/>
            <filter val="R$ 345,237.77"/>
            <filter val="R$ 2,784,573.51"/>
            <filter val="R$ 256,163.08"/>
            <filter val="R$ 28,863.14"/>
            <filter val="R$ 515,177.48"/>
            <filter val="R$ 157,287.90"/>
            <filter val="R$ 277,899.52"/>
            <filter val="R$ 359,473.07"/>
            <filter val="R$ 1,082,442.27"/>
            <filter val="R$ 107,005.83"/>
            <filter val="R$ 139,092.64"/>
            <filter val="R$ 234,023.54"/>
            <filter val="R$ 1,033,375.41"/>
            <filter val="R$ 1,101,264.32"/>
            <filter val="R$ 162,488.40"/>
            <filter val="R$ 341,582.50"/>
            <filter val="R$ 173,716.99"/>
            <filter val="R$ 228,169.10"/>
            <filter val="R$ 12,876.33"/>
            <filter val="R$ 82,464.94"/>
            <filter val="R$ 483,878.05"/>
            <filter val="R$ 25,949.84"/>
            <filter val="R$ 11,248.06"/>
            <filter val="R$ 684,973.02"/>
            <filter val="R$ 8,830.75"/>
            <filter val="R$ 99,541.39"/>
            <filter val="R$ 85,000.00"/>
            <filter val="R$ 987,498.22"/>
            <filter val="R$ 306,622.99"/>
            <filter val="R$ 51,961.14"/>
            <filter val="R$ 4,189,690.54"/>
            <filter val="R$ 674,875.78"/>
            <filter val="R$ 306,187.49"/>
            <filter val="R$ 61,725.21"/>
            <filter val="R$ 867,240.53"/>
            <filter val="R$ 227,630.38"/>
            <filter val="R$ 111,233.69"/>
            <filter val="R$ 53,462.13"/>
            <filter val="R$ 342,594.29"/>
            <filter val="R$ 107,753.21"/>
            <filter val="R$ 463,926.66"/>
            <filter val="R$ 52,418.97"/>
            <filter val="R$ 1,045,311.94"/>
            <filter val="R$ 76,436.55"/>
            <filter val="R$ 115,222.75"/>
            <filter val="R$ 54,998.82"/>
            <filter val="R$ 650,613.94"/>
            <filter val="R$ 81,625.76"/>
            <filter val="R$ 486,661.08"/>
            <filter val="R$ 758,454.81"/>
            <filter val="R$ 137,256.54"/>
            <filter val="R$ 443,817.26"/>
            <filter val="R$ 91,860.35"/>
            <filter val="R$ 112,538.41"/>
            <filter val="R$ 817,678.62"/>
            <filter val="R$ 966,123.99"/>
            <filter val="R$ 1,044,650.86"/>
            <filter val="R$ 52,451.76"/>
            <filter val="R$ 835,269.28"/>
            <filter val="R$ 1,470,626.55"/>
            <filter val="R$ 36,835.90"/>
            <filter val="R$ 331,670.26"/>
            <filter val="R$ 16,373,991.43"/>
            <filter val="R$ 191,895.27"/>
            <filter val="R$ 533,982.57"/>
            <filter val="R$ 1,575,438.26"/>
            <filter val="R$ 366,779.82"/>
            <filter val="R$ 45,404.86"/>
            <filter val="R$ 40,928.00"/>
            <filter val="R$ 679,276.41"/>
            <filter val="R$ 528,655.79"/>
            <filter val="R$ 481,718.89"/>
            <filter val="R$ 423,670.52"/>
            <filter val="R$ 10,718.11"/>
            <filter val="R$ 156,461.77"/>
            <filter val="R$ 73,387.99"/>
            <filter val="R$ 945,272.34"/>
            <filter val="R$ 358,487.89"/>
            <filter val="R$ 651,017.26"/>
            <filter val="R$ 209,842.97"/>
            <filter val="R$ 564,843.35"/>
            <filter val="R$ 302,609.96"/>
            <filter val="R$ 406,919.13"/>
            <filter val="R$ 359,033.96"/>
            <filter val="R$ 131,903.05"/>
            <filter val="R$ 420,654.55"/>
            <filter val="R$ 608,841.45"/>
            <filter val="R$ 63,831.77"/>
            <filter val="R$ 3,282,974.56"/>
            <filter val="R$ 8,169,228.50"/>
            <filter val="R$ 453,760.24"/>
            <filter val="R$ 233,048.01"/>
            <filter val="R$ 100,024.17"/>
            <filter val="R$ 50.26"/>
            <filter val="R$ 214,404.26"/>
            <filter val="R$ 681,890.11"/>
            <filter val="R$ 191,604.91"/>
            <filter val="R$ 89,160.80"/>
            <filter val="R$ 704,478.61"/>
            <filter val="R$ 799,945.06"/>
            <filter val="R$ 81,281.60"/>
            <filter val="R$ 1,151,073.29"/>
            <filter val="R$ 567,959.82"/>
            <filter val="R$ 208,352.87"/>
            <filter val="R$ 362,643.08"/>
            <filter val="R$ 98,971.16"/>
            <filter val="R$ 97,783.65"/>
            <filter val="R$ 728,909.45"/>
            <filter val="R$ 204,219.98"/>
            <filter val="R$ 191,855.37"/>
            <filter val="R$ 126,552.32"/>
            <filter val="R$ 193,515.77"/>
            <filter val="R$ 1,359,249.82"/>
            <filter val="R$ 112,383.29"/>
            <filter val="R$ 548.45"/>
            <filter val="R$ 219,164.85"/>
            <filter val="R$ 17,943.63"/>
            <filter val="R$ 426,737.93"/>
            <filter val="R$ 239,103.51"/>
            <filter val="R$ 959,427.10"/>
            <filter val="R$ 44,766.90"/>
            <filter val="R$ 446,569.35"/>
            <filter val="R$ 140,826.88"/>
            <filter val="R$ 329,108.54"/>
            <filter val="R$ 2,044,607.24"/>
            <filter val="R$ 21.27"/>
            <filter val="R$ 129,859.35"/>
            <filter val="R$ 33,120.57"/>
            <filter val="R$ 64,203.20"/>
            <filter val="R$ 334,082.16"/>
            <filter val="R$ 266,625.69"/>
            <filter val="R$ 267,670.75"/>
            <filter val="R$ 907,780.95"/>
            <filter val="R$ 892,805.98"/>
            <filter val="R$ 370,566.31"/>
            <filter val="R$ 495,723.20"/>
            <filter val="R$ 164,016.57"/>
            <filter val="R$ 500,838.24"/>
            <filter val="R$ 128,225.21"/>
            <filter val="R$ 754,062.16"/>
            <filter val="R$ 62,254.58"/>
            <filter val="R$ 234,755.16"/>
            <filter val="R$ 1,332,806.55"/>
            <filter val="R$ 323,091.99"/>
            <filter val="R$ 169,284.31"/>
            <filter val="R$ 13,878.82"/>
            <filter val="R$ 20,154.50"/>
            <filter val="R$ 34,603.74"/>
            <filter val="R$ 1,424.50"/>
            <filter val="R$ 235,736.96"/>
            <filter val="R$ 2,750.49"/>
            <filter val="R$ 87,143.73"/>
            <filter val="R$ 67,908.85"/>
            <filter val="R$ 347,862.26"/>
            <filter val="R$ 144,548.32"/>
            <filter val="R$ 536,225.61"/>
            <filter val="R$ 404,903.88"/>
            <filter val="R$ 248,581.27"/>
            <filter val="R$ 215,348.53"/>
            <filter val="R$ 34,313.30"/>
            <filter val="R$ 778,605.93"/>
            <filter val="R$ 14,038.81"/>
            <filter val="R$ 192,341.63"/>
            <filter val="R$ 207,938.86"/>
            <filter val="R$ 514.44"/>
            <filter val="R$ 1,325,726.86"/>
            <filter val="R$ 209,883.74"/>
            <filter val="R$ 108,427.76"/>
            <filter val="R$ 223,190.60"/>
            <filter val="R$ 625,453.34"/>
            <filter val="R$ 93,152.33"/>
            <filter val="R$ 86.38"/>
            <filter val="R$ 171,445.43"/>
            <filter val="R$ 247,282.04"/>
            <filter val="R$ 64,717.11"/>
            <filter val="29/12/2023"/>
            <filter val="R$ 160,132.44"/>
            <filter val="R$ 634,632.13"/>
            <filter val="R$ 118,089.24"/>
            <filter val="R$ 1,759,607.04"/>
            <filter val="R$ 31,623.21"/>
            <filter val="R$ 627,726.75"/>
            <filter val="R$ 1,239,969.47"/>
            <filter val="R$ 697,637.75"/>
            <filter val="R$ 966,258.68"/>
            <filter val="R$ 112,923.13"/>
            <filter val="R$ 153,494.05"/>
            <filter val="R$ 357,151.82"/>
            <filter val="R$ 29.77"/>
            <filter val="R$ 2,195,792.98"/>
            <filter val="R$ 1,051,464.13"/>
            <filter val="R$ 619,579.86"/>
            <filter val="R$ 277.66"/>
            <filter val="R$ 820,967.38"/>
            <filter val="R$ 717,838.38"/>
            <filter val="R$ 77,641.71"/>
            <filter val="R$ 151,570.25"/>
            <filter val="R$ 116,571.81"/>
            <filter val="R$ 217,649.15"/>
            <filter val="R$ 426,540.40"/>
            <filter val="R$ 346,092.39"/>
            <filter val="R$ 482,396.67"/>
            <filter val="R$ 538,744.15"/>
            <filter val="R$ 269,514.99"/>
            <filter val="R$ 155,014.60"/>
            <filter val="R$ 578,461.05"/>
            <filter val="R$ 6,183,506.47"/>
            <filter val="R$ 1,096.69"/>
            <filter val="R$ 17.86"/>
            <filter val="R$ 368,420.65"/>
            <filter val="R$ 267,096.93"/>
            <filter val="R$ 221,499.27"/>
            <filter val="R$ 173,336.56"/>
            <filter val="R$ 289,239.67"/>
            <filter val="R$ 213,492.69"/>
            <filter val="R$ 325,700.31"/>
            <filter val="R$ 477,990.33"/>
            <filter val="R$ 35,510.54"/>
          </filters>
        </filterColumn>
      </autoFilter>
    </customSheetView>
    <customSheetView guid="{60066A11-447C-4650-AEF7-9FE005963B06}" filter="1" showAutoFilter="1">
      <autoFilter ref="$A$1:$AQ$1282">
        <filterColumn colId="7">
          <filters blank="1">
            <filter val="Pode Operar"/>
          </filters>
        </filterColumn>
        <filterColumn colId="6">
          <filters blank="1">
            <filter val="Operador"/>
            <filter val="#VALUE!"/>
            <filter val="Marcus"/>
            <filter val="David"/>
            <filter val="Gabriel"/>
          </filters>
        </filterColumn>
      </autoFilter>
    </customSheetView>
    <customSheetView guid="{451C6C33-BC1A-49FA-B291-60C00A458E45}" filter="1" showAutoFilter="1">
      <autoFilter ref="$D$2:$E$1280">
        <filterColumn colId="1">
          <filters>
            <filter val="RJ"/>
            <filter val="SUL"/>
            <filter val="BA"/>
          </filters>
        </filterColumn>
      </autoFilter>
    </customSheetView>
    <customSheetView guid="{E80CA402-71E3-41A6-BCC8-EF9B79EFF256}" filter="1" showAutoFilter="1">
      <autoFilter ref="$B$2:$AO$1282"/>
    </customSheetView>
    <customSheetView guid="{F2EF48BC-2DE2-4EAE-9B39-DF0524B366C9}" filter="1" showAutoFilter="1">
      <autoFilter ref="$B$2:$AP$1282"/>
    </customSheetView>
    <customSheetView guid="{D9F720D9-5985-417C-9131-10AEE008595B}" filter="1" showAutoFilter="1">
      <autoFilter ref="$A$1:$AU$1278"/>
    </customSheetView>
    <customSheetView guid="{0C1020D9-8109-496F-9ED6-28A7ED1A2AB7}" filter="1" showAutoFilter="1">
      <autoFilter ref="$A$2:$AW$1278">
        <filterColumn colId="7">
          <filters>
            <filter val="Pode Operar"/>
          </filters>
        </filterColumn>
      </autoFilter>
    </customSheetView>
    <customSheetView guid="{7206ACFF-4CDC-43A8-9D17-70E44C8BA13D}" filter="1" showAutoFilter="1">
      <autoFilter ref="$D$2:$F$1287"/>
    </customSheetView>
    <customSheetView guid="{5D99C391-A582-4147-B89C-A2E2E90FF18D}" filter="1" showAutoFilter="1">
      <autoFilter ref="$B$2:$AL$1282"/>
    </customSheetView>
    <customSheetView guid="{CFC6ADAB-EA49-4F10-AB39-1F497DAF85D3}" filter="1" showAutoFilter="1">
      <autoFilter ref="$F$2:$F$1287"/>
    </customSheetView>
    <customSheetView guid="{902577D3-573C-4441-9717-39868E3B5A0E}" filter="1" showAutoFilter="1">
      <autoFilter ref="$A$2:$AV$1278"/>
    </customSheetView>
    <customSheetView guid="{AD03D55C-02EC-4A45-85EF-6E94354AF395}" filter="1" showAutoFilter="1">
      <autoFilter ref="$A$1:$AR$1287">
        <filterColumn colId="5">
          <filters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Varlon Bersan"/>
            <filter val="Moises Neto"/>
            <filter val="Augusto Sampai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Larissa Montes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Caroline Facó Ehlers"/>
            <filter val="Percio Arraes"/>
            <filter val="Rodrigo Milanez"/>
            <filter val="thiago Canabrava"/>
            <filter val="Douglas Tuira"/>
            <filter val="Antonio Volpato"/>
            <filter val="Joney Alves"/>
            <filter val="Thanira Moreira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Gabriel Stell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CON/ GR/ COADM"/>
            <filter val="MONT/ COADM"/>
            <filter val="MULT PRIV/ CO ADM"/>
            <filter val="EQT"/>
            <filter val="CON/ COADM"/>
            <filter val="MULT PRIV"/>
            <filter val="MOD/ PREV ARR"/>
            <filter val="CONsUL M Wealth"/>
            <filter val="CON/ GR"/>
            <filter val="MOD/ COADM"/>
            <filter val="PREV ARR"/>
            <filter val="INC CP"/>
            <filter val="CORP"/>
            <filter val="CONSUL M Wealth"/>
            <filter val="SMLL"/>
            <filter val="MOD/ GR"/>
            <filter val="INC CP/ COADM"/>
          </filters>
        </filterColumn>
      </autoFilter>
    </customSheetView>
    <customSheetView guid="{D383AB68-0115-4D3B-B6BE-207AECE317EE}" filter="1" showAutoFilter="1">
      <autoFilter ref="$A$1:$AU$1278">
        <filterColumn colId="8">
          <filters>
            <filter val="STVM Saída"/>
            <filter val="Troca de Assessoria"/>
            <filter val="Distrato"/>
            <filter val="STVM Entrada"/>
          </filters>
        </filterColumn>
      </autoFilter>
    </customSheetView>
    <customSheetView guid="{0D6E73C6-3261-43FB-A2C9-4B9A53AC06CB}" filter="1" showAutoFilter="1">
      <autoFilter ref="$B$2:$AO$1282"/>
    </customSheetView>
    <customSheetView guid="{8CF65A8E-5474-475B-B455-24393DDEE9FA}" filter="1" showAutoFilter="1">
      <autoFilter ref="$A$1:$AT$1278">
        <filterColumn colId="10">
          <filters>
            <filter val="23/12/2025"/>
            <filter val="01/08/2025"/>
            <filter val="24/06/2024"/>
            <filter val="24/06/2025"/>
            <filter val="24/06/2026"/>
            <filter val="03/02/2026"/>
            <filter val="03/02/2025"/>
            <filter val="20/07/2026"/>
            <filter val="11/05/2026"/>
            <filter val="30/04/2025"/>
            <filter val="30/04/2026"/>
            <filter val="30/04/2024"/>
            <filter val="25/05/2026"/>
            <filter val="19/03/2026"/>
            <filter val="11/10/2024"/>
            <filter val="19/03/2024"/>
            <filter val="31/03/2026"/>
            <filter val="24/11/2025"/>
            <filter val="09/06/2026"/>
            <filter val="23/07/2026"/>
            <filter val="23/07/2025"/>
            <filter val="10/06/2024"/>
            <filter val="17/02/2025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4"/>
            <filter val="15/04/2026"/>
            <filter val="17/09/2025"/>
            <filter val="17/09/2024"/>
            <filter val="09/02/2026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6/12/2024"/>
            <filter val="16/12/2025"/>
            <filter val="05/03/2024"/>
            <filter val="13/07/2026"/>
            <filter val="16/07/2026"/>
            <filter val="03/05/2024"/>
            <filter val="23/04/2026"/>
            <filter val="23/04/2024"/>
            <filter val="27/06/2025"/>
            <filter val="13/11/2025"/>
            <filter val="20/12/2024"/>
            <filter val="11/09/2024"/>
            <filter val="26/04/2024"/>
            <filter val="27/03//2026"/>
            <filter val="20/03/2025"/>
            <filter val="02/03/2026"/>
            <filter val="20/03/2024"/>
            <filter val="03/06/2024"/>
            <filter val="03/06/2026"/>
            <filter val="03/06/2025"/>
            <filter val="21/05/2025"/>
            <filter val="06/06/2024"/>
            <filter val="09/10/2024"/>
            <filter val="06/06/2025"/>
            <filter val="21/05/2026"/>
            <filter val="01/01/2026"/>
            <filter val="23/03/2026"/>
            <filter val="19/12/2024"/>
            <filter val="10/07/2026"/>
            <filter val="28/02/2024"/>
            <filter val="10/07/2024"/>
            <filter val="10/07/2025"/>
            <filter val="28/02/2025"/>
            <filter val="19/12/2025"/>
            <filter val="05/04/2024"/>
            <filter val="27/06/2024"/>
            <filter val="10/09/2025"/>
            <filter val="10/09/2024"/>
            <filter val="11/06/2026"/>
            <filter val="12/03/2026"/>
            <filter val="16/02/2024"/>
            <filter val="11/06/2025"/>
            <filter val="11/06/2024"/>
            <filter val="09/07/2026"/>
            <filter val="01/07/2025"/>
            <filter val="01/07/2024"/>
            <filter val="06/05/2024"/>
            <filter val="01/07/2026"/>
            <filter val="06/05/2026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6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18/05/2026"/>
            <filter val="06/01/2026"/>
            <filter val="23/01/2026"/>
            <filter val="21/10/2024"/>
            <filter val="21/10/2025"/>
            <filter val="16/06/2025"/>
            <filter val="28/04/2026"/>
            <filter val="15/07/2024"/>
            <filter val="15/07/2026"/>
            <filter val="17/03/2025"/>
            <filter val="11/08/2025"/>
            <filter val="26/05/2026"/>
            <filter val="30/03/2026"/>
            <filter val="10/12/2024"/>
            <filter val="10/12/2025"/>
            <filter val="11/11/2024"/>
            <filter val="22/12/2025"/>
            <filter val="24/01/2024"/>
            <filter val="24/01/2025"/>
            <filter val="13/05/2026"/>
            <filter val="29/11/2024"/>
            <filter val="13/05/2025"/>
            <filter val="07/10/2024"/>
            <filter val="12/08/2024"/>
            <filter val="17/06/2024"/>
            <filter val="17/06/2025"/>
            <filter val="17/06/2026"/>
            <filter val="18/03/2024"/>
            <filter val="27/04/2026"/>
            <filter val="27/02/2024"/>
            <filter val="24/03/2026"/>
            <filter val="29/08/2025"/>
            <filter val="04/04/2024"/>
            <filter val="15/02/2024"/>
            <filter val="09/04/2025"/>
            <filter val="09/04/2026"/>
            <filter val="08/07/2025"/>
            <filter val="09/04/2024"/>
            <filter val="02/07/2026"/>
            <filter val="02/07/2024"/>
            <filter val="07/05/2024"/>
            <filter val="07/05/2025"/>
            <filter val="08/02/2024"/>
            <filter val="30/01/2026"/>
            <filter val="07/05/2026"/>
            <filter val="30/01/2024"/>
            <filter val="14/07/2026"/>
            <filter val="14/07/2025"/>
            <filter val="06/03/2024"/>
            <filter val="29/01/2026"/>
            <filter val="21/02/2025"/>
            <filter val="21/02/2024"/>
            <filter val="06/03/2026"/>
            <filter val="14/10/2024"/>
            <filter val="15/09/2025"/>
            <filter val="10/04/2026"/>
            <filter val="10/04/2025"/>
            <filter val="10/04/2024"/>
            <filter val="05/01/2026"/>
            <filter val="27/09/2024"/>
            <filter val="22/04/2026"/>
            <filter val="06/04/2026"/>
            <filter val="19/05/2026"/>
            <filter val="20/10/2025"/>
            <filter val="15/06/2026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0/05/2026"/>
            <filter val="26/09/2025"/>
            <filter val="29/06/2026"/>
            <filter val="03/04/2024"/>
            <filter val="22/03/2024"/>
            <filter val="05/05/2025"/>
            <filter val="05/05/2026"/>
            <filter val="08/10/2024"/>
            <filter val="08/10/2025"/>
            <filter val="23/02/2026"/>
            <filter val="04/06/2025"/>
            <filter val="04/06/2024"/>
            <filter val="04/03/2026"/>
            <filter val="09/08/2024"/>
            <filter val="04/03/2024"/>
            <filter val="23/02/2024"/>
            <filter val="23/05/2025"/>
            <filter val="01/06/2026"/>
            <filter val="26/02/2024"/>
            <filter val="26/02/2026"/>
            <filter val="19/01/2026"/>
            <filter val="03/04/2025"/>
            <filter val="30/06/2026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27/05/2026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04/11/2024"/>
            <filter val="18/06/2024"/>
            <filter val="18/06/2025"/>
            <filter val="18/06/2026"/>
            <filter val="10/10/2024"/>
            <filter val="10/10/2025"/>
            <filter val="17/04/2025"/>
            <filter val="25/11/2023"/>
            <filter val="22/07/2024"/>
            <filter val="31/10/2025"/>
            <filter val="22/07/2026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19/06/2026"/>
            <filter val="02/06/2025"/>
            <filter val="25/02/2025"/>
            <filter val="18/12/2025"/>
            <filter val="18/12/2024"/>
            <filter val="25/04/2024"/>
            <filter val="29/05/2026"/>
            <filter val="13/02/2025"/>
            <filter val="29/05/2025"/>
            <filter val="14/06/2024"/>
            <filter val="29/05/2024"/>
            <filter val="15/05/2026"/>
            <filter val="26/03/2025"/>
            <filter val="26/03/2024"/>
            <filter val="07/04/2026"/>
            <filter val="07/04/2025"/>
            <filter val="20/04/2026"/>
            <filter val="25/06/2024"/>
            <filter val="25/06/2026"/>
            <filter val="30/10/2025"/>
            <filter val="11/02/2025"/>
            <filter val="19/11/2024"/>
            <filter val="13/12/2024"/>
            <filter val="10/05/2024"/>
            <filter val="15/01/2025"/>
            <filter val="09/05/2024"/>
            <filter val="01/12/2025"/>
            <filter val="08/03/2024"/>
            <filter val="19/04/2024"/>
            <filter val="08/06/2026"/>
            <filter val="02/08/2024"/>
            <filter val="13/09/2024"/>
            <filter val="30/09/2024"/>
            <filter val="27/03/2025"/>
            <filter val="26/06/2024"/>
            <filter val="20/01/2025"/>
            <filter val="10/03/2026"/>
            <filter val="20/01/2026"/>
            <filter val="10/03/2025"/>
            <filter val="04/05/2026"/>
            <filter val="18/02/2025"/>
            <filter val="05/02/2024"/>
            <filter val="12/12/2024"/>
            <filter val="12/12/2025"/>
            <filter val="04//05/2026"/>
            <filter val="05/02/2025"/>
            <filter val="05/02/2026"/>
            <filter val="29/12/2025"/>
            <filter val="21/11/2024"/>
            <filter val="03/11/2025"/>
            <filter val="14/01/2026"/>
            <filter val="22/05/2026"/>
            <filter val="07/06/2024"/>
            <filter val="09/03/2026"/>
            <filter val="02/01/2025"/>
            <filter val="12/09/2024"/>
            <filter val="03/08/2026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30/07/2026"/>
            <filter val="13/04/2026"/>
            <filter val="29/07/2026"/>
            <filter val="24/02/2026"/>
            <filter val="21/11/2025"/>
            <filter val="21/08/2025"/>
            <filter val="17/07/2026"/>
            <filter val="12/02/2025"/>
            <filter val="12/02/2026"/>
            <filter val="28/05/2024"/>
            <filter val="28/05/2026"/>
            <filter val="08/11/2024"/>
          </filters>
        </filterColumn>
      </autoFilter>
    </customSheetView>
    <customSheetView guid="{D1D59EAF-0D63-4FBE-B89F-57DAF6BA1C2D}" filter="1" showAutoFilter="1">
      <autoFilter ref="$A$1:$AQ$1282"/>
    </customSheetView>
    <customSheetView guid="{538FDDD0-78A9-40B0-A279-3A97BDFBD764}" filter="1" showAutoFilter="1">
      <autoFilter ref="$A$2:$AW$1278">
        <filterColumn colId="7">
          <filters>
            <filter val="Ativo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2F696A84-E0A2-4357-AFCA-01998AF33B79}" filter="1" showAutoFilter="1">
      <autoFilter ref="$B$2:$AL$1282"/>
    </customSheetView>
    <customSheetView guid="{B40945C9-974D-43EF-AB93-58449A090935}" filter="1" showAutoFilter="1">
      <autoFilter ref="$B$2:$AN$1282"/>
    </customSheetView>
    <customSheetView guid="{B62B8A34-5F4F-464F-8899-497992CDF1BB}" filter="1" showAutoFilter="1">
      <autoFilter ref="$AW$13:$AW$1274"/>
    </customSheetView>
    <customSheetView guid="{8E23099A-352A-46B6-8EAF-566C415C9723}" filter="1" showAutoFilter="1">
      <autoFilter ref="$D$2:$F$1287"/>
    </customSheetView>
    <customSheetView guid="{65680E02-236A-4088-A637-2526A6F5A73E}" filter="1" showAutoFilter="1">
      <autoFilter ref="$A$1:$AQ$1282"/>
    </customSheetView>
    <customSheetView guid="{D9530DEF-0123-43FC-A161-4BC7736CB274}" filter="1" showAutoFilter="1">
      <autoFilter ref="$A$2:$AV$1278">
        <filterColumn colId="8">
          <filters blank="1">
            <filter val="Troca de Assessoria"/>
            <filter val="Distrato"/>
            <filter val="Bloqueado"/>
            <filter val="Sem Saldo"/>
          </filters>
        </filterColumn>
      </autoFilter>
    </customSheetView>
    <customSheetView guid="{298F1453-B650-4D68-9A4F-A9E86BD56A4D}" filter="1" showAutoFilter="1">
      <autoFilter ref="$A$2:$AW$1278">
        <filterColumn colId="8">
          <filters blank="1">
            <filter val="Troca de Assessoria"/>
            <filter val="Distrato"/>
            <filter val="Sem Saldo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23BBB91E-E8AC-4A5C-A03A-F7CA7D1A1FA0}" filter="1" showAutoFilter="1">
      <autoFilter ref="$A$1:$AR$1287">
        <filterColumn colId="5">
          <filters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Varlon Bersan"/>
            <filter val="Moises Neto"/>
            <filter val="Augusto Sampai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Larissa Montes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Caroline Facó Ehlers"/>
            <filter val="Percio Arraes"/>
            <filter val="Rodrigo Milanez"/>
            <filter val="thiago Canabrava"/>
            <filter val="Douglas Tuira"/>
            <filter val="Antonio Volpato"/>
            <filter val="Joney Alves"/>
            <filter val="Thanira Moreira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Gabriel Stell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CON/ GR/ COADM"/>
            <filter val="MONT/ COADM"/>
            <filter val="MULT PRIV/ CO ADM"/>
            <filter val="EQT"/>
            <filter val="CON/ COADM"/>
            <filter val="MULT PRIV"/>
            <filter val="MOD/ PREV ARR"/>
            <filter val="CONsUL M Wealth"/>
            <filter val="CON/ GR"/>
            <filter val="MOD/ COADM"/>
            <filter val="PREV ARR"/>
            <filter val="INC CP"/>
            <filter val="CORP"/>
            <filter val="CONSUL M Wealth"/>
            <filter val="SMLL"/>
            <filter val="MOD/ GR"/>
            <filter val="INC CP/ COADM"/>
          </filters>
        </filterColumn>
      </autoFilter>
    </customSheetView>
    <customSheetView guid="{7B595886-3679-4CE5-8338-C329E3005A7E}" filter="1" showAutoFilter="1">
      <autoFilter ref="$F$2:$AN$1287">
        <filterColumn colId="33">
          <filters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76,470,655.86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</autoFilter>
    </customSheetView>
    <customSheetView guid="{49DFE820-1C93-4C02-A5DC-F8D6F0A2587A}" filter="1" showAutoFilter="1">
      <autoFilter ref="$A$1:$AW$1278">
        <filterColumn colId="7">
          <filters>
            <filter val="Encerrado"/>
          </filters>
        </filterColumn>
        <filterColumn colId="11">
          <filters blank="1">
            <filter val="10/09/2024"/>
            <filter val="23/12/2025"/>
            <filter val="05/07/2024"/>
            <filter val="01/08/2024"/>
            <filter val="19/05/2025"/>
            <filter val="05/10/2025"/>
            <filter val="18/10/2024"/>
            <filter val="14/08/2024"/>
            <filter val="09/07/2025"/>
            <filter val="25/04/2025"/>
            <filter val="27/08/2025"/>
            <filter val="27/08/2024"/>
            <filter val="30/04/2025"/>
            <filter val="04/09/2023"/>
            <filter val="04/09/2024"/>
            <filter val="18/11/2024"/>
            <filter val="24/10/2024"/>
            <filter val="05/11/2025"/>
            <filter val="18/09/2024"/>
            <filter val="11/10/2024"/>
            <filter val="11/04/2024"/>
            <filter val="18/12/2024"/>
            <filter val="18/12/2023"/>
            <filter val="27/10/2024"/>
            <filter val="27/10/2025"/>
            <filter val="25/04/2024"/>
            <filter val="24/11/2025"/>
            <filter val="09/06/2025"/>
            <filter val="14/06/2024"/>
            <filter val="09/09/2025"/>
            <filter val="20/08/2024"/>
            <filter val="17/08/2024"/>
            <filter val="15/10/2024"/>
            <filter val="15/10/2025"/>
            <filter val="01/10/2025"/>
            <filter val="01/10/2024"/>
            <filter val="18/05/2026"/>
            <filter val="13/03/2026"/>
            <filter val="30/10/2024"/>
            <filter val="21/10/2024"/>
            <filter val="22/09/2025"/>
            <filter val="05/05/2026"/>
            <filter val="19/11/2025"/>
            <filter val="08/10/2025"/>
            <filter val="05/09/2024"/>
            <filter val="26/08/2024"/>
            <filter val="15/07/2026"/>
            <filter val="21/06/2024"/>
            <filter val="28/04/2025"/>
            <filter val="09/08/2024"/>
            <filter val="23/08/2024"/>
            <filter val="01/12/2025"/>
            <filter val="06/08/2024"/>
            <filter val="17/09/2024"/>
            <filter val="01/09/2025"/>
            <filter val="09/05/25"/>
            <filter val="17/12/2024"/>
            <filter val="10/12/2024"/>
            <filter val="03/04/2025"/>
            <filter val="19/04/2024"/>
            <filter val="24/04/2025"/>
            <filter val="19/07/2024"/>
            <filter val="02/08/2024"/>
            <filter val="16/10/2025"/>
            <filter val="16/10/2024"/>
            <filter val="02/05/2024"/>
            <filter val="30/09/2024"/>
            <filter val="Data distrato"/>
            <filter val="16/08/2024"/>
            <filter val="07/07/2025"/>
            <filter val="31/10/2024"/>
            <filter val="07/10/2024"/>
            <filter val="07/10/2025"/>
            <filter val="12/08/2024"/>
            <filter val="31/07/2024"/>
            <filter val="22/10/2024"/>
            <filter val="05/02/2025"/>
            <filter val="16/07/2025"/>
            <filter val="31/07/2026"/>
            <filter val="03/11/2025"/>
            <filter val="14/04/2025"/>
            <filter val="05/03/2024"/>
            <filter val="25/10/2024"/>
            <filter val="22/05/2025"/>
            <filter val="13/10/2025"/>
            <filter val="22/05/2026"/>
            <filter val="22/08/2025"/>
            <filter val="22/08/2024"/>
            <filter val="02/09/2024"/>
            <filter val="27/05/2026"/>
            <filter val="07/06/2024"/>
            <filter val="25/07/2024"/>
            <filter val="24/03/2026"/>
            <filter val="03/05/2024"/>
            <filter val="23/04/2025"/>
            <filter val="21/8/2024"/>
            <filter val="02/10/2025"/>
            <filter val="17/10/2024"/>
            <filter val="19/08/2024"/>
            <filter val="13/08/2024"/>
            <filter val="24/09/2024"/>
            <filter val="19/08/2025"/>
            <filter val="04/02/2025"/>
            <filter val="28/08/2024"/>
            <filter val="17/07/2024"/>
            <filter val="20/09/2024"/>
            <filter val="10/7/2026"/>
            <filter val="01/04/2026"/>
            <filter val="20/03/2026"/>
            <filter val="04/11/2025"/>
            <filter val="23/10/2024"/>
            <filter val="06/10/2025"/>
            <filter val="02/03/2026"/>
            <filter val="29/07/2024"/>
            <filter val="03/06/2026"/>
            <filter val="10/10/2025"/>
            <filter val="29/04/2024"/>
            <filter val="29/04/2025"/>
            <filter val="21/08/2024"/>
            <filter val="21/08/2025"/>
            <filter val="21/05/2024"/>
            <filter val="06/06/2024"/>
            <filter val="09/10/2024"/>
            <filter val="06/06/2025"/>
            <filter val="09/10/2025"/>
            <filter val="17/04/2025"/>
            <filter val="14/10/2024"/>
            <filter val="28/05/2024"/>
            <filter val="10/07/2026"/>
            <filter val="25/11/2024"/>
            <filter val="04/08/2025"/>
            <filter val="22/07/2024"/>
            <filter val="27/09/2024"/>
            <filter val="22/04/2025"/>
            <filter val="16/05/2025"/>
            <filter val="22/04/2026"/>
          </filters>
        </filterColumn>
      </autoFilter>
    </customSheetView>
    <customSheetView guid="{D32BF63B-B2CA-4C3E-931C-80018C77A928}" filter="1" showAutoFilter="1">
      <autoFilter ref="$B$2:$AN$1282"/>
    </customSheetView>
    <customSheetView guid="{22EAFBDC-F786-4265-98F2-E728CC4DB199}" filter="1" showAutoFilter="1">
      <autoFilter ref="$B$2:$AO$1282"/>
    </customSheetView>
    <customSheetView guid="{0C67F5DA-14A5-47C5-91B5-988FF202FC69}" filter="1" showAutoFilter="1">
      <autoFilter ref="$D$2:$K$1287">
        <filterColumn colId="7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24/06/2026"/>
            <filter val="03/02/2026"/>
            <filter val="03/02/2025"/>
            <filter val="20/07/2026"/>
            <filter val="16/03/2023"/>
            <filter val="11/05/2026"/>
            <filter val="30/04/2025"/>
            <filter val="30/04/2026"/>
            <filter val="30/04/2024"/>
            <filter val="25/05/2026"/>
            <filter val="02/03/2023"/>
            <filter val="19/03/2026"/>
            <filter val="11/10/2023"/>
            <filter val="11/10/2024"/>
            <filter val="19/03/2024"/>
            <filter val="31/03/2023"/>
            <filter val="31/03/2026"/>
            <filter val="14/09/2023"/>
            <filter val="24/11/2025"/>
            <filter val="09/06/2026"/>
            <filter val="09/11/2022"/>
            <filter val="24/11/2023"/>
            <filter val="09/06/2023"/>
            <filter val="23/07/2026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13/03/2026"/>
            <filter val="26/12/2022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5/04/2026"/>
            <filter val="17/09/2025"/>
            <filter val="17/09/2024"/>
            <filter val="06/11/2023"/>
            <filter val="09/02/2026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13/07/2026"/>
            <filter val="07/08/2023"/>
            <filter val="16/07/2026"/>
            <filter val="18/01/2023"/>
            <filter val="18/01/2024"/>
            <filter val="03/05/2023"/>
            <filter val="03/05/2024"/>
            <filter val="28/09/2023"/>
            <filter val="23/04/2026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7/03//2026"/>
            <filter val="20/03/2025"/>
            <filter val="02/03/2026"/>
            <filter val="20/03/2023"/>
            <filter val="20/03/2024"/>
            <filter val="03/06/2024"/>
            <filter val="03/06/2026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21/05/2026"/>
            <filter val="01/01/2026"/>
            <filter val="04/08/2023"/>
            <filter val="28/02/2023"/>
            <filter val="19/12/2022"/>
            <filter val="23/03/2026"/>
            <filter val="19/12/2023"/>
            <filter val="19/12/2024"/>
            <filter val="10/07/2026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1/06/2026"/>
            <filter val="16/02/2023"/>
            <filter val="12/03/2026"/>
            <filter val="16/02/2024"/>
            <filter val="11/06/2025"/>
            <filter val="11/06/2024"/>
            <filter val="09/07/2026"/>
            <filter val="29/03/2023"/>
            <filter val="23/11/2022"/>
            <filter val="01/07/2025"/>
            <filter val="01/07/2024"/>
            <filter val="06/05/2024"/>
            <filter val="01/07/2026"/>
            <filter val="06/05/2026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16/04/2026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18/05/2026"/>
            <filter val="22/12/2022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28/04/2026"/>
            <filter val="15/07/2024"/>
            <filter val="15/07/2026"/>
            <filter val="17/03/2023"/>
            <filter val="22/09/2023"/>
            <filter val="17/03/2025"/>
            <filter val="11/08/2025"/>
            <filter val="12/01/2023"/>
            <filter val="01/03/2023"/>
            <filter val="26/05/2026"/>
            <filter val="23/11/2023"/>
            <filter val="30/03/2026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13/05/2026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7/06/2026"/>
            <filter val="18/03/2024"/>
            <filter val="27/04/2026"/>
            <filter val="16/06/2023"/>
            <filter val="27/02/2024"/>
            <filter val="24/03/2026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09/04/2026"/>
            <filter val="23/06/2023"/>
            <filter val="08/07/2025"/>
            <filter val="09/04/2024"/>
            <filter val="24/03/2023"/>
            <filter val="02/07/2026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07/05/2026"/>
            <filter val="30/01/2024"/>
            <filter val="14/07/2026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30/11/2022"/>
            <filter val="10/04/2026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22/04/2026"/>
            <filter val="06/04/2023"/>
            <filter val="06/04/2026"/>
            <filter val="19/05/2026"/>
            <filter val="05/10/2023"/>
            <filter val="20/10/2025"/>
            <filter val="19/05/2023"/>
            <filter val="15/06/2026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20/05/2026"/>
            <filter val="19/10/2023"/>
            <filter val="31/05/2023"/>
            <filter val="28/03/2023"/>
            <filter val="26/09/2025"/>
            <filter val="29/06/2026"/>
            <filter val="29/06/2023"/>
            <filter val="03/04/2024"/>
            <filter val="22/03/2024"/>
            <filter val="05/05/2025"/>
            <filter val="22/03/2023"/>
            <filter val="05/05/2026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23/02/2023"/>
            <filter val="04/03/2024"/>
            <filter val="23/02/2024"/>
            <filter val="28/07/2023"/>
            <filter val="23/05/2025"/>
            <filter val="01/06/2026"/>
            <filter val="26/02/2024"/>
            <filter val="26/02/2026"/>
            <filter val="19/01/2026"/>
            <filter val="03/04/2025"/>
            <filter val="29/09/2023"/>
            <filter val="30/06/2026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27/05/2026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28/11/2022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8/06/2026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22/07/2026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6/01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19/06/2026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9/05/2026"/>
            <filter val="25/04/2023"/>
            <filter val="13/02/2025"/>
            <filter val="29/05/2023"/>
            <filter val="29/05/2025"/>
            <filter val="14/06/2024"/>
            <filter val="29/05/2024"/>
            <filter val="20/08/2023"/>
            <filter val="15/05/2026"/>
            <filter val="26/03/2025"/>
            <filter val="26/03/2024"/>
            <filter val="20/04/2023"/>
            <filter val="07/04/2026"/>
            <filter val="07/04/2025"/>
            <filter val="20/04/2026"/>
            <filter val="25/06/2024"/>
            <filter val="25/06/2026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8/06/2026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10/03/2026"/>
            <filter val="20/01/2026"/>
            <filter val="20/01/2023"/>
            <filter val="10/03/2025"/>
            <filter val="04/05/2026"/>
            <filter val="18/02/2025"/>
            <filter val="05/02/2024"/>
            <filter val="06/09/2023"/>
            <filter val="12/12/2024"/>
            <filter val="12/12/2025"/>
            <filter val="04//05/2026"/>
            <filter val="05/02/2025"/>
            <filter val="05/02/2026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22/05/2026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6"/>
            <filter val="03/08/2023"/>
            <filter val="09/03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30/07/2026"/>
            <filter val="13/04/2026"/>
            <filter val="29/07/2026"/>
            <filter val="24/02/2023"/>
            <filter val="03/03/2023"/>
            <filter val="24/02/2026"/>
            <filter val="21/11/2025"/>
            <filter val="21/08/2023"/>
            <filter val="21/08/2025"/>
            <filter val="12/12/2022"/>
            <filter val="17/07/2026"/>
            <filter val="12/02/2025"/>
            <filter val="12/02/2026"/>
            <filter val="28/05/2024"/>
            <filter val="28/05/2026"/>
            <filter val="08/11/2023"/>
            <filter val="08/11/2024"/>
          </filters>
        </filterColumn>
      </autoFilter>
    </customSheetView>
    <customSheetView guid="{112F537C-77AF-4182-AB1C-99E1DCD0F91A}" filter="1" showAutoFilter="1">
      <autoFilter ref="$A$1:$AQ$1282">
        <filterColumn colId="7">
          <filters blank="1">
            <filter val="Ativo"/>
          </filters>
        </filterColumn>
        <filterColumn colId="6">
          <filters blank="1">
            <filter val="Operador"/>
            <filter val="#VALUE!"/>
            <filter val="Marcus"/>
            <filter val="David"/>
            <filter val="Gabriel"/>
          </filters>
        </filterColumn>
      </autoFilter>
    </customSheetView>
    <customSheetView guid="{C22C274A-8351-4552-955C-17C75AF11B50}" filter="1" showAutoFilter="1">
      <autoFilter ref="$D$2:$AN$1287"/>
    </customSheetView>
    <customSheetView guid="{181C22BD-9FB8-4211-B38F-92D0B2C9BC50}" filter="1" showAutoFilter="1">
      <autoFilter ref="$B$2:$AO$1282">
        <filterColumn colId="15">
          <filters>
            <filter val="Manter 20% da carteira em D+0, observação em RV (conferir o Pipe) (02/07/2026)."/>
            <filter val="100k D+0 (21/08/2025)"/>
            <filter val="100k em D+0 (22/01/2026)"/>
            <filter val="Venc. max. de 4 meses (23/06/2026)."/>
            <filter val="200K D+0 (17/07/2025)"/>
            <filter val="80K D+0 (15/04/2025)"/>
            <filter val="100k D+0 (20/07/2026)"/>
            <filter val="LCI ou LCA, vai ter um aporte de 15k até 31/07/2026, excluir Obs após a aplicação. (27/07/2026)."/>
            <filter val="Sem CrPr (30/04/2026)"/>
            <filter val="50K D+0 (17/06/2024)"/>
            <filter val="Sem renda variável (29/11/2024)"/>
            <filter val="Sem renda variável (16/05/2024)"/>
            <filter val="40% D+0 (03/08/2026)"/>
            <filter val="50% D+0 (23/07/2025)"/>
            <filter val="20k D+0 (18/12/2025)"/>
            <filter val="25K D+0 (16/05/2024)"/>
            <filter val="30k D+0 (23/07/2025)"/>
            <filter val="Venc. até 10/2026 (15/06/2026)"/>
            <filter val="40K D+0 (19/11/2024)"/>
            <filter val="50k D+0 (04/05/2026)"/>
            <filter val="Vencimentos D+0 (22/01/2026)"/>
            <filter val="50% D+0 (26/05/2026)."/>
            <filter val="Resgates mensais de 10k (02/07/2026)"/>
            <filter val="20% D+0 e aplicações no máx. 12/2026 (23/07/2025)"/>
            <filter val="Manter Recurso D+0 (03/11/2025)"/>
            <filter val="Enviar aas notas de corretagem via email para o cliente após todas operações (10/04/2026)."/>
            <filter val="Somente BTC"/>
            <filter val="Aplicar em D+0 aportes e vencimentos. (17/07/2026)"/>
            <filter val="Carteira Monitoramento Especial para Fundos (SPMG FII criado pelo cliente) (04/10/2024)"/>
            <filter val="600K D+0 (20/05/2026)"/>
            <filter val="Carteira Monitoramento Especial para Fundos (SPMG FII criado pelo cliente) (14/03/2025)"/>
            <filter val="150k D+0(24/03/2026)"/>
            <filter val="50k D+0 (23/12/2025)"/>
            <filter val="200k D+0 (27/02/2026)"/>
            <filter val="15k D+0 (22/09/2025)"/>
            <filter val="200k para novembro (08/05/2026)."/>
            <filter val="80K D+0 (13/06/2024)"/>
            <filter val="Não aumentar posição de RV.  Sem CrPr e Aplicações com vencimento até 01/10/2027 (30/04/2026)&#10;&#10;Histórico"/>
            <filter val="Carteira Monitoramento Especial para Fundos (SPMG II FII criado pelo cliente) (09/10/2024)"/>
            <filter val="Max 20% RV (28/01/2025)"/>
            <filter val="50K D+0 (30/09/2024)"/>
            <filter val="Vencimentos D+0 (02/12/2024)"/>
            <filter val="Alocar total em compromissada por enquanto, cliente vai montar fluxo de caixa venc. 07/08/2026 (03/08/2026)"/>
            <filter val="30% D+0 (02/08/2024)"/>
            <filter val="Alocar em previdência (23/04/2026)."/>
            <filter val="Aportes e vencimentos em D+0 (18/03/2026)."/>
            <filter val="84k em D+0 (03/07/2026)."/>
            <filter val="50K D+0 (06/06/2024)"/>
            <filter val="Vencimentos D+0 (3012/2024)"/>
            <filter val="Manter Recurso em Liquidez (23/10/2025)"/>
            <filter val="100K D+0 (09/05/2025)"/>
            <filter val="Alocar somente em D+0 (04/05/2026)"/>
            <filter val="20% D+0, 30% D+30 e 50% até dois anos; Não movimentar, esperar o assessor (10/04/2026)."/>
            <filter val="35K Fundo RF Ativo (21/05/2024)"/>
            <filter val="Manter Saldo em D+0 até JUN/2026 (19/03/2026)"/>
            <filter val="400K D+0 (25/11/2024)"/>
            <filter val="Só CDB, limite FGC (13/05/2026)."/>
            <filter val="Sem renda variável (07/01/2025)"/>
            <filter val="400k, precisa para o dia 18/12/26 (14/04/2026)"/>
            <filter val="50k D+0 (20/07/2026)"/>
            <filter val="Sem renda variável (11/12/2024)"/>
            <filter val="250k em D+0 (19/01/2026)"/>
            <filter val="7,5% de EQT (25/06/2026)"/>
            <filter val="100k D+0  (21/07/2026)"/>
            <filter val="Conta CDE"/>
            <filter val="80K D+0 (08/08/2024)"/>
            <filter val="34k D+0 (12/08/2025)"/>
            <filter val="Investimentos seguem a Sharia, Lei islamica. Investimentos Halal. ETF de Referência, ISWD."/>
            <filter val="55K D+0 (14/08/2024)"/>
            <filter val="Não aportar em RF Ativo. Vencimentos: direcionar para LFT e NTN-B &lt; 2,5 anos de duration (30/04/2026)"/>
            <filter val="30k D+0 (03/07/2025)"/>
            <filter val="200k D+0 (06/07/2026)."/>
            <filter val="Vencimentos em D+0 (20/10/2025)"/>
            <filter val="Preferência por ativos GR, RF que paga cupons e FIIs. Cliente Resgata Mensalmente (06/01/2026)"/>
            <filter val="150k D+0(15/06/2026)."/>
            <filter val="Prazo máximo 6 Meses (17/02/2025)"/>
            <filter val="50K D+0 (14/01/2025)"/>
            <filter val="Vencimentos D+0 (30/10/2024)"/>
            <filter val="Carteira com fluxo de vencimentos personalizado, consultar F.A. Sem CrPr (30/04/2026)"/>
            <filter val="100K D+0 e aplicações com Cascata de Vencimentos, sem RF Ativo, sem LCI (PJ) (06/02/2026).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Sem RV (15/05/2026)"/>
            <filter val="30% D+0 (04/05/2026)."/>
            <filter val="30k D+0 (29/09/2025)"/>
            <filter val="Manter a alocação da carteira Cripto/ Manter os investimentos dos ativos: HASH11 ; BITH11 ; QDFL11. (13/05/2024)"/>
            <filter val="Alocar somente em D+0 (04/05/2026)."/>
            <filter val="colocar em cópia dos e-mails: luiz_ajb@toyopar.com.br"/>
            <filter val="Manter as Ações BBAS3, SBFG3 e AMER3. (10/07/2025)"/>
            <filter val="50K D+0 (12/02/2025)"/>
            <filter val="Venc max. 6 meses (19/06/2026)"/>
            <filter val="Não comprar papeis do varejo e agro (06/03/2025)"/>
            <filter val="Manter CRA BTG/ 30% D+0 (22/10/2025)"/>
            <filter val="Vencimentos D+0 até dezembro (23/06/2026)."/>
            <filter val="Vencimento Máx. 01/12/2026 (01/06/2026)."/>
            <filter val="40k D+0 (18/08/2025)"/>
            <filter val="19k D+0 (15/12/2025)"/>
            <filter val="200K D+0 (29/04/2025)"/>
            <filter val="50k D+0 (09/03/2026).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60k D+0 (30/06/2026)"/>
            <filter val="250k D+0 e sem RF Ativo (06/02/2026)."/>
            <filter val="40K até D+1 (17/10/2024)"/>
            <filter val="100% D+0 (05/03/2026)"/>
            <filter val="Só CDB e LCI. (30/03/2026)"/>
            <filter val="20% D+0 (04/09/2025)"/>
            <filter val="120k D+0 (09/06/2026)."/>
            <filter val="Vencimentos D+0 (08/08/2024)"/>
            <filter val="100k D+0, Venc. Máx 02/2028 (05/03/2026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600k D+0 (05/01/2025)"/>
            <filter val="30k D+0 (19/03/2026)."/>
            <filter val="Não aplicar em D+0 (12/02/2026).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1MM D+0 (18/08/2025)"/>
            <filter val="40% D+0 (11/06/2025)"/>
            <filter val="10K D+0 / Manter o CRA BTG (29/04/2024)"/>
            <filter val="100% D+0 (17/03/2026)."/>
            <filter val="100% D+0 (04/05/2026)."/>
            <filter val="20% do PL D+0 (08/01/2026)"/>
            <filter val="50K D+0 (30/05/2025)"/>
            <filter val="10% D+0 (07/04/2025)"/>
            <filter val="Sem CrPr e sem RF Ativo (06/02/2026)."/>
            <filter val="Não vender MCMV18, sem CrPr e sem RF ativo (05/03/2026)."/>
            <filter val="Não reinvestir a rentabilidade, falar com o assessor (04/05/2026)."/>
            <filter val="10% D+0 (08/11/2024)"/>
            <filter val="70K D+0 (12/01/2026)"/>
            <filter val="Só aplicar em CDB (30/06/2026)"/>
            <filter val="20% D+0 (24/07/2026)"/>
            <filter val="resgate de 800k em 02/2027 (03/08/2026)"/>
            <filter val="100K D+0 (18/06/2026)"/>
            <filter val="Vencimentos D+0 (24/09/2025)"/>
            <filter val="Manter fundo Mapfre e aproximadamente 140k D+0 (23/10/2025)"/>
            <filter val="Sem RV (25/03/2026)."/>
            <filter val="Vencimento enviar para conta da Naiara 023688500 (30/04/2026)"/>
            <filter val="50K D+0 (13/09/2024)"/>
            <filter val="30% D+0 (22/07/2026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250k D+0 (22/06/2026)."/>
            <filter val="Colocar 50k do aporte em D+0 e excluir a observação depois (28/07/2026)"/>
            <filter val="Vencimentos em D+0 (23/07/2025)"/>
            <filter val="50% do valor líquido aplicar em ativos de no max 1 ano (06/06/2024)"/>
            <filter val="Não movimentar até aviso do assessor. (14/01/2026)"/>
            <filter val="Resgate 100K em 10/09/2026 (09/07/2026)"/>
            <filter val="50K D+1 (19/08/2024)"/>
            <filter val="110k D+0 (09/10/2025), 100% D+0 (até 31/03/2026)."/>
            <filter val="Não comprar RV (09/06/2026)"/>
            <filter val="Carteira Monitoramento Especial para Fundos (SPMG FII criado pelo cliente) (17/03/2025)"/>
            <filter val="Prazo máximo 1 ano (23/01/2025)"/>
            <filter val="100% D+0 (06/03/2026).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B0EBEE94-932C-4E01-8EA0-E4B52D8BC3D0}" filter="1" showAutoFilter="1">
      <autoFilter ref="$A$1:$AV$1278">
        <filterColumn colId="8">
          <filters blank="1">
            <filter val="STVM Saída"/>
            <filter val="Troca de Assessoria"/>
            <filter val="Distrato"/>
            <filter val="STVM Entrada"/>
          </filters>
        </filterColumn>
      </autoFilter>
    </customSheetView>
    <customSheetView guid="{F54AB606-0A02-4CDB-B6E2-C5D4DD633C39}" filter="1" showAutoFilter="1">
      <autoFilter ref="$M$2:$M$1287">
        <filterColumn colId="0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PREV CON"/>
            <filter val="PREV MOD"/>
            <filter val="CON/ PREV CON"/>
            <filter val="CON/ PREV MOD"/>
            <filter val="PREV"/>
            <filter val="CON/ GR/ COADM"/>
            <filter val="MONT/ COADM"/>
            <filter val="MULT PRIV/ CO ADM"/>
            <filter val="CON/ COADM"/>
            <filter val="MULT PRIV"/>
            <filter val="MOD/ PREV ARR"/>
            <filter val="CONsUL M Wealth"/>
            <filter val="CON/ GR"/>
            <filter val="MOD/ COADM"/>
            <filter val="PREV ARR"/>
            <filter val="INC CP"/>
            <filter val="CONSUL M Wealth"/>
            <filter val="MOD/ GR"/>
            <filter val="INC CP/ COADM"/>
          </filters>
        </filterColumn>
      </autoFilter>
    </customSheetView>
    <customSheetView guid="{C6AF0DFC-8C6B-4361-8E96-E27C127094D5}" filter="1" showAutoFilter="1">
      <autoFilter ref="$A$1:$AU$1278">
        <filterColumn colId="17">
          <filters>
            <filter val="Cliente sumiu da base 05/03/2024"/>
            <filter val="Retornou para a base sob um novo B2B"/>
            <filter val="STVM de entrada da Guide finalizada (19/12/2023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Alteração de carteira finalizada (19/03/2026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27/07/2026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STVM de entrada da Guide finalizada (21/09/2023)"/>
            <filter val="Alteração de carteira finalizada (06/05/2025)"/>
            <filter val="Alteração de carteira finalizada (30/01/2026)"/>
            <filter val="Cliente solicitou troca de assessoria (08/08/2024)"/>
            <filter val="Cliente retornou para a base"/>
            <filter val="Primeira conta 004794805 viculada por erro do FA."/>
            <filter val="Alteração de carteira finalizada (08/12/2025)"/>
            <filter val="Nome alterado em razão de divórcio (26/01/2026)"/>
            <filter val="STVM de entrada da Guide finalizada (30/08/2023)"/>
            <filter val="z"/>
            <filter val="Cliente retornou para a base dia 10/10/2024"/>
            <filter val="Vai passar para moderada. (17/07/2026)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Distrati uniateral"/>
            <filter val="Cliente retornou a base com novo contrato (29/08/2025) / Alteração de carteira finalizada (23/03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Alteração de carteira finalizada (09/04/2026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STVM de saída para XP iniciada (13/05/2024)"/>
            <filter val="Alteração de carteira finalizada (26/11/2024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STVM de entrada da Guide finalizada (15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Alteração de carteira finalizada (25/09/2025)"/>
            <filter val="STVM interna finalizada (27/02/2024)"/>
            <filter val="Distrato unilateral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Conta ultilizada para câmbio (27/07/2026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00E60367-C557-4A9D-ABF1-08D0B4DFDFC8}" filter="1" showAutoFilter="1">
      <autoFilter ref="$B$2:$Q$1282">
        <filterColumn colId="13">
          <filters blank="1">
            <filter val="IBOVESPA"/>
            <filter val="S&amp;P 500"/>
            <filter val="IPCA + 7%"/>
            <filter val="IFIX"/>
          </filters>
        </filterColumn>
      </autoFilter>
    </customSheetView>
    <customSheetView guid="{0395DF53-412F-4E58-A92E-3DC69A727BB5}" filter="1" showAutoFilter="1">
      <autoFilter ref="$A$1:$BM$1282"/>
    </customSheetView>
    <customSheetView guid="{2B799362-B7B1-4E34-BAF1-CA385A7DA9EA}" filter="1" showAutoFilter="1">
      <autoFilter ref="$B$2:$AN$1282"/>
    </customSheetView>
    <customSheetView guid="{76811BFC-6AF1-42FD-933F-8DEF2DDC606B}" filter="1" showAutoFilter="1">
      <autoFilter ref="$F$2:$F$1287"/>
    </customSheetView>
    <customSheetView guid="{8A3172FC-4096-49AA-9413-180E1AFFE242}" filter="1" showAutoFilter="1">
      <autoFilter ref="$A$1:$AQ$1282">
        <filterColumn colId="12">
          <filters blank="1">
            <filter val="ARR"/>
            <filter val="INC/ COADM"/>
            <filter val="DIV/ COADM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CON/ GR/ COADM"/>
            <filter val="MONT/ COADM"/>
            <filter val="MOD"/>
            <filter val="CON"/>
            <filter val="FUND"/>
            <filter val="MULT PRIV/ CO ADM"/>
            <filter val="CON/ COADM"/>
            <filter val="MULT PRIV"/>
            <filter val="MOD/ PREV ARR"/>
            <filter val="CONsUL M Wealth"/>
            <filter val="CON/ GR"/>
            <filter val="DIV"/>
            <filter val="MOD/ COADM"/>
            <filter val="PREV ARR"/>
            <filter val="INC CP"/>
            <filter val="CORP"/>
            <filter val="CONSUL M Wealth"/>
            <filter val="SMLL"/>
            <filter val="MOD/ GR"/>
            <filter val="INC CP/ COADM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Alteração de C.A"/>
            <filter val="STVM Saída"/>
            <filter val="Troca de Assessoria"/>
            <filter val="Distrato"/>
            <filter val="------"/>
            <filter val="STVM Entrada"/>
            <filter val="Situação"/>
            <filter val="Monitoramento"/>
          </filters>
        </filterColumn>
        <filterColumn colId="6">
          <filters blank="1">
            <filter val="#VALUE!"/>
            <filter val="Marcus"/>
            <filter val="David"/>
            <filter val="Gabriel"/>
          </filters>
        </filterColumn>
      </autoFilter>
    </customSheetView>
    <customSheetView guid="{290A7CAD-8498-49F2-ACC3-7E165D752B61}" filter="1" showAutoFilter="1">
      <autoFilter ref="$A$1:$AW$1278">
        <filterColumn colId="8">
          <filters blank="1">
            <filter val="Troca de Assessoria"/>
            <filter val="Distrato"/>
            <filter val="Bloqueado"/>
          </filters>
        </filterColumn>
      </autoFilter>
    </customSheetView>
    <customSheetView guid="{80EACFF0-21DA-499B-A807-CBB674849A80}" filter="1" showAutoFilter="1">
      <autoFilter ref="$A$1:$AW$1278"/>
    </customSheetView>
    <customSheetView guid="{08F7F748-3961-4A6D-B19F-B00BB1F86BAE}" filter="1" showAutoFilter="1">
      <autoFilter ref="$D$2:$F$1287"/>
    </customSheetView>
    <customSheetView guid="{AC585C66-5314-4E46-945A-ACB6A5C6C665}" filter="1" showAutoFilter="1">
      <autoFilter ref="$A$1:$AW$1282">
        <filterColumn colId="7">
          <filters blank="1">
            <filter val="Ativo"/>
          </filters>
        </filterColumn>
      </autoFilter>
    </customSheetView>
    <customSheetView guid="{3222D8C9-292D-42A9-9FB9-C02C74427E3B}" filter="1" showAutoFilter="1">
      <autoFilter ref="$B$2:$AO$1282">
        <filterColumn colId="15">
          <filters>
            <filter val="Manter 20% da carteira em D+0, observação em RV (conferir o Pipe) (02/07/2026)."/>
            <filter val="100k D+0 (21/08/2025)"/>
            <filter val="100k em D+0 (22/01/2026)"/>
            <filter val="Venc. max. de 4 meses (23/06/2026)."/>
            <filter val="200K D+0 (17/07/2025)"/>
            <filter val="80K D+0 (15/04/2025)"/>
            <filter val="100k D+0 (20/07/2026)"/>
            <filter val="LCI ou LCA, vai ter um aporte de 15k até 31/07/2026, excluir Obs após a aplicação. (27/07/2026)."/>
            <filter val="Sem CrPr (30/04/2026)"/>
            <filter val="50K D+0 (17/06/2024)"/>
            <filter val="Sem renda variável (29/11/2024)"/>
            <filter val="Sem renda variável (16/05/2024)"/>
            <filter val="40% D+0 (03/08/2026)"/>
            <filter val="50% D+0 (23/07/2025)"/>
            <filter val="20k D+0 (18/12/2025)"/>
            <filter val="25K D+0 (16/05/2024)"/>
            <filter val="30k D+0 (23/07/2025)"/>
            <filter val="Venc. até 10/2026 (15/06/2026)"/>
            <filter val="40K D+0 (19/11/2024)"/>
            <filter val="50k D+0 (04/05/2026)"/>
            <filter val="Vencimentos D+0 (22/01/2026)"/>
            <filter val="50% D+0 (26/05/2026)."/>
            <filter val="Resgates mensais de 10k (02/07/2026)"/>
            <filter val="20% D+0 e aplicações no máx. 12/2026 (23/07/2025)"/>
            <filter val="Manter Recurso D+0 (03/11/2025)"/>
            <filter val="Enviar aas notas de corretagem via email para o cliente após todas operações (10/04/2026)."/>
            <filter val="Somente BTC"/>
            <filter val="Aplicar em D+0 aportes e vencimentos. (17/07/2026)"/>
            <filter val="Carteira Monitoramento Especial para Fundos (SPMG FII criado pelo cliente) (04/10/2024)"/>
            <filter val="600K D+0 (20/05/2026)"/>
            <filter val="Carteira Monitoramento Especial para Fundos (SPMG FII criado pelo cliente) (14/03/2025)"/>
            <filter val="150k D+0(24/03/2026)"/>
            <filter val="50k D+0 (23/12/2025)"/>
            <filter val="200k D+0 (27/02/2026)"/>
            <filter val="15k D+0 (22/09/2025)"/>
            <filter val="200k para novembro (08/05/2026)."/>
            <filter val="80K D+0 (13/06/2024)"/>
            <filter val="Não aumentar posição de RV.  Sem CrPr e Aplicações com vencimento até 01/10/2027 (30/04/2026)&#10;&#10;Histórico"/>
            <filter val="Carteira Monitoramento Especial para Fundos (SPMG II FII criado pelo cliente) (09/10/2024)"/>
            <filter val="Max 20% RV (28/01/2025)"/>
            <filter val="50K D+0 (30/09/2024)"/>
            <filter val="Vencimentos D+0 (02/12/2024)"/>
            <filter val="Alocar total em compromissada por enquanto, cliente vai montar fluxo de caixa venc. 07/08/2026 (03/08/2026)"/>
            <filter val="30% D+0 (02/08/2024)"/>
            <filter val="Alocar em previdência (23/04/2026)."/>
            <filter val="Aportes e vencimentos em D+0 (18/03/2026)."/>
            <filter val="84k em D+0 (03/07/2026)."/>
            <filter val="50K D+0 (06/06/2024)"/>
            <filter val="Vencimentos D+0 (3012/2024)"/>
            <filter val="Manter Recurso em Liquidez (23/10/2025)"/>
            <filter val="100K D+0 (09/05/2025)"/>
            <filter val="Alocar somente em D+0 (04/05/2026)"/>
            <filter val="20% D+0, 30% D+30 e 50% até dois anos; Não movimentar, esperar o assessor (10/04/2026)."/>
            <filter val="35K Fundo RF Ativo (21/05/2024)"/>
            <filter val="Manter Saldo em D+0 até JUN/2026 (19/03/2026)"/>
            <filter val="400K D+0 (25/11/2024)"/>
            <filter val="Só CDB, limite FGC (13/05/2026)."/>
            <filter val="Sem renda variável (07/01/2025)"/>
            <filter val="400k, precisa para o dia 18/12/26 (14/04/2026)"/>
            <filter val="50k D+0 (20/07/2026)"/>
            <filter val="Sem renda variável (11/12/2024)"/>
            <filter val="250k em D+0 (19/01/2026)"/>
            <filter val="7,5% de EQT (25/06/2026)"/>
            <filter val="100k D+0  (21/07/2026)"/>
            <filter val="Conta CDE"/>
            <filter val="80K D+0 (08/08/2024)"/>
            <filter val="34k D+0 (12/08/2025)"/>
            <filter val="Investimentos seguem a Sharia, Lei islamica. Investimentos Halal. ETF de Referência, ISWD."/>
            <filter val="55K D+0 (14/08/2024)"/>
            <filter val="Não aportar em RF Ativo. Vencimentos: direcionar para LFT e NTN-B &lt; 2,5 anos de duration (30/04/2026)"/>
            <filter val="30k D+0 (03/07/2025)"/>
            <filter val="200k D+0 (06/07/2026)."/>
            <filter val="Vencimentos em D+0 (20/10/2025)"/>
            <filter val="Preferência por ativos GR, RF que paga cupons e FIIs. Cliente Resgata Mensalmente (06/01/2026)"/>
            <filter val="150k D+0(15/06/2026)."/>
            <filter val="Prazo máximo 6 Meses (17/02/2025)"/>
            <filter val="50K D+0 (14/01/2025)"/>
            <filter val="Vencimentos D+0 (30/10/2024)"/>
            <filter val="Carteira com fluxo de vencimentos personalizado, consultar F.A. Sem CrPr (30/04/2026)"/>
            <filter val="100K D+0 e aplicações com Cascata de Vencimentos, sem RF Ativo, sem LCI (PJ) (06/02/2026).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Sem RV (15/05/2026)"/>
            <filter val="30% D+0 (04/05/2026)."/>
            <filter val="30k D+0 (29/09/2025)"/>
            <filter val="Manter a alocação da carteira Cripto/ Manter os investimentos dos ativos: HASH11 ; BITH11 ; QDFL11. (13/05/2024)"/>
            <filter val="Alocar somente em D+0 (04/05/2026)."/>
            <filter val="colocar em cópia dos e-mails: luiz_ajb@toyopar.com.br"/>
            <filter val="Manter as Ações BBAS3, SBFG3 e AMER3. (10/07/2025)"/>
            <filter val="50K D+0 (12/02/2025)"/>
            <filter val="Venc max. 6 meses (19/06/2026)"/>
            <filter val="Não comprar papeis do varejo e agro (06/03/2025)"/>
            <filter val="Manter CRA BTG/ 30% D+0 (22/10/2025)"/>
            <filter val="Vencimentos D+0 até dezembro (23/06/2026)."/>
            <filter val="Vencimento Máx. 01/12/2026 (01/06/2026)."/>
            <filter val="40k D+0 (18/08/2025)"/>
            <filter val="19k D+0 (15/12/2025)"/>
            <filter val="200K D+0 (29/04/2025)"/>
            <filter val="50k D+0 (09/03/2026).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60k D+0 (30/06/2026)"/>
            <filter val="250k D+0 e sem RF Ativo (06/02/2026)."/>
            <filter val="40K até D+1 (17/10/2024)"/>
            <filter val="100% D+0 (05/03/2026)"/>
            <filter val="Só CDB e LCI. (30/03/2026)"/>
            <filter val="20% D+0 (04/09/2025)"/>
            <filter val="120k D+0 (09/06/2026)."/>
            <filter val="Vencimentos D+0 (08/08/2024)"/>
            <filter val="100k D+0, Venc. Máx 02/2028 (05/03/2026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600k D+0 (05/01/2025)"/>
            <filter val="30k D+0 (19/03/2026)."/>
            <filter val="Não aplicar em D+0 (12/02/2026).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1MM D+0 (18/08/2025)"/>
            <filter val="40% D+0 (11/06/2025)"/>
            <filter val="10K D+0 / Manter o CRA BTG (29/04/2024)"/>
            <filter val="100% D+0 (17/03/2026)."/>
            <filter val="100% D+0 (04/05/2026)."/>
            <filter val="20% do PL D+0 (08/01/2026)"/>
            <filter val="50K D+0 (30/05/2025)"/>
            <filter val="10% D+0 (07/04/2025)"/>
            <filter val="Sem CrPr e sem RF Ativo (06/02/2026)."/>
            <filter val="Não vender MCMV18, sem CrPr e sem RF ativo (05/03/2026)."/>
            <filter val="Não reinvestir a rentabilidade, falar com o assessor (04/05/2026)."/>
            <filter val="10% D+0 (08/11/2024)"/>
            <filter val="70K D+0 (12/01/2026)"/>
            <filter val="Só aplicar em CDB (30/06/2026)"/>
            <filter val="20% D+0 (24/07/2026)"/>
            <filter val="resgate de 800k em 02/2027 (03/08/2026)"/>
            <filter val="100K D+0 (18/06/2026)"/>
            <filter val="Vencimentos D+0 (24/09/2025)"/>
            <filter val="Manter fundo Mapfre e aproximadamente 140k D+0 (23/10/2025)"/>
            <filter val="Sem RV (25/03/2026)."/>
            <filter val="Vencimento enviar para conta da Naiara 023688500 (30/04/2026)"/>
            <filter val="50K D+0 (13/09/2024)"/>
            <filter val="30% D+0 (22/07/2026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250k D+0 (22/06/2026)."/>
            <filter val="Colocar 50k do aporte em D+0 e excluir a observação depois (28/07/2026)"/>
            <filter val="Vencimentos em D+0 (23/07/2025)"/>
            <filter val="50% do valor líquido aplicar em ativos de no max 1 ano (06/06/2024)"/>
            <filter val="Não movimentar até aviso do assessor. (14/01/2026)"/>
            <filter val="Resgate 100K em 10/09/2026 (09/07/2026)"/>
            <filter val="50K D+1 (19/08/2024)"/>
            <filter val="110k D+0 (09/10/2025), 100% D+0 (até 31/03/2026)."/>
            <filter val="Não comprar RV (09/06/2026)"/>
            <filter val="Carteira Monitoramento Especial para Fundos (SPMG FII criado pelo cliente) (17/03/2025)"/>
            <filter val="Prazo máximo 1 ano (23/01/2025)"/>
            <filter val="100% D+0 (06/03/2026).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69A2FE61-06A8-43F0-9BB6-CA53305A03F9}" filter="1" showAutoFilter="1">
      <autoFilter ref="$A$1:$AU$1278"/>
    </customSheetView>
    <customSheetView guid="{90494278-C593-4FBA-B90B-FB914FDE88CA}" filter="1" showAutoFilter="1">
      <autoFilter ref="$A$1:$AU$1278">
        <filterColumn colId="17">
          <filters>
            <filter val="Cliente sumiu da base 05/03/2024"/>
            <filter val="Alteração de carteira finalizada (14/07/2023)"/>
            <filter val="Retornou para a base sob um novo B2B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Alteração de carteira finalizada (19/03/2026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27/07/2026)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Cliente retornou para a base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z"/>
            <filter val="Cliente retornou para a base dia 10/10/2024"/>
            <filter val="Vai passar para moderada. (17/07/2026)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Distrati uniateral"/>
            <filter val="Cliente retornou a base com novo contrato (29/08/2025) / Alteração de carteira finalizada (23/03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Alteração de carteira finalizada (09/04/2026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Conta ultilizada para câmbio (27/07/2026)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9B73345C-F33C-41C8-B12C-AF426AF28CF2}" filter="1" showAutoFilter="1">
      <autoFilter ref="$A$1:$AR$1287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CON/ GR/ COADM"/>
            <filter val="MONT/ COADM"/>
            <filter val="MULT PRIV/ CO ADM"/>
            <filter val="CON/ COADM"/>
            <filter val="MULT PRIV"/>
            <filter val="CONsUL M Wealth"/>
            <filter val="CON/ GR"/>
            <filter val="DIV"/>
            <filter val="MOD/ COADM"/>
            <filter val="INC CP"/>
            <filter val="CONSUL M Wealth"/>
            <filter val="MOD/ GR"/>
            <filter val="INC CP/ COADM"/>
          </filters>
        </filterColumn>
      </autoFilter>
    </customSheetView>
    <customSheetView guid="{70B0536D-D383-4AAB-9558-2A0D578102A2}" filter="1" showAutoFilter="1">
      <autoFilter ref="$A$1:$AR$1287">
        <filterColumn colId="5">
          <filters>
            <filter val="João Victor de Moura Beze"/>
            <filter val="Alexandre Almeida"/>
            <filter val="Norton Jr"/>
            <filter val="Rafaela Souza"/>
            <filter val="Marcus Macedo"/>
            <filter val="Bruno Henrique"/>
            <filter val="Felipe Cravos"/>
            <filter val="Varlon Bersan"/>
            <filter val="Moises Neto"/>
            <filter val="Augusto Sampai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Larissa Montes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Caroline Facó Ehlers"/>
            <filter val="Percio Arraes"/>
            <filter val="thiago Canabrava"/>
            <filter val="Douglas Tuira"/>
            <filter val="Antonio Volpato"/>
            <filter val="Joney Alves"/>
            <filter val="Thanira Moreira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Gabriel Stell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DB8907F8-5CF4-4338-A86D-37428C1ED7D2}" filter="1" showAutoFilter="1">
      <autoFilter ref="$A$1:$AU$1278"/>
    </customSheetView>
    <customSheetView guid="{281EB145-47F3-4262-92E2-5389E42992B6}" filter="1" showAutoFilter="1">
      <autoFilter ref="$A$1:$AW$1278">
        <filterColumn colId="7">
          <filters>
            <filter val="Pode Operar"/>
          </filters>
        </filterColumn>
      </autoFilter>
    </customSheetView>
    <customSheetView guid="{5A18E0C5-1738-42D5-B301-46BE58627A66}" filter="1" showAutoFilter="1">
      <autoFilter ref="$A$1:$AU$1278">
        <filterColumn colId="24">
          <filters>
            <filter val="Inativo"/>
          </filters>
        </filterColumn>
      </autoFilter>
    </customSheetView>
    <customSheetView guid="{6584D975-877B-45B6-93A9-51B70EB0018E}" filter="1" showAutoFilter="1">
      <autoFilter ref="$A$1:$AW$1282">
        <filterColumn colId="5">
          <filters blank="1"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Varlon Bersan"/>
            <filter val="Moises Net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Percio Arraes"/>
            <filter val="thiago Canabrava"/>
            <filter val="Douglas Tuira"/>
            <filter val="Antonio Volpato"/>
            <filter val="Thanira Moreira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E9EF4B04-EC2E-4866-A0D6-B498EEFB67F1}" filter="1" showAutoFilter="1">
      <autoFilter ref="$E$2:$F$1287"/>
    </customSheetView>
    <customSheetView guid="{1B07E80D-FBB4-4384-987D-9AD626C1FAAA}" filter="1" showAutoFilter="1">
      <autoFilter ref="$A$1:$AW$1278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 blank="1">
            <filter val="Alteração de C.A"/>
            <filter val="STVM Saída"/>
            <filter val="Troca de Assessoria"/>
            <filter val="Distrato"/>
            <filter val="------"/>
            <filter val="STVM Entrada"/>
            <filter val="Situação"/>
            <filter val="Sem Saldo"/>
            <filter val="Monitoramento"/>
          </filters>
        </filterColumn>
        <filterColumn colId="12">
          <filters>
            <filter val="ARR"/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CON/ GR/ COADM"/>
            <filter val="MONT/ COADM"/>
            <filter val="MOD"/>
            <filter val="CON"/>
            <filter val="FUND"/>
            <filter val="MULT PRIV/ CO ADM"/>
            <filter val="FII"/>
            <filter val="EQT"/>
            <filter val="CON/ COADM"/>
            <filter val="MULT PRIV"/>
            <filter val="MOD/ PREV ARR"/>
            <filter val="CONsUL M Wealth"/>
            <filter val="CON/ GR"/>
            <filter val="DIV"/>
            <filter val="MOD/ COADM"/>
            <filter val="PREV ARR"/>
            <filter val="INC CP"/>
            <filter val="CORP"/>
            <filter val="CONSUL M Wealth"/>
            <filter val="SMLL"/>
            <filter val="MOD/ GR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E9BF6AF0-BC32-4F88-8BD2-3FA7A1B4D5AB}" filter="1" showAutoFilter="1">
      <autoFilter ref="$K$2:$K$1287">
        <filterColumn colId="0">
          <filters>
            <filter val="08/12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24/06/2026"/>
            <filter val="03/02/2026"/>
            <filter val="03/02/2025"/>
            <filter val="20/07/2026"/>
            <filter val="16/03/2023"/>
            <filter val="11/05/2026"/>
            <filter val="30/04/2025"/>
            <filter val="30/04/2026"/>
            <filter val="30/04/2024"/>
            <filter val="25/05/2026"/>
            <filter val="02/03/2023"/>
            <filter val="19/03/2026"/>
            <filter val="11/10/2023"/>
            <filter val="11/10/2024"/>
            <filter val="19/03/2024"/>
            <filter val="31/03/2023"/>
            <filter val="31/03/2026"/>
            <filter val="14/09/2023"/>
            <filter val="24/11/2025"/>
            <filter val="09/06/2026"/>
            <filter val="09/11/2022"/>
            <filter val="24/11/2023"/>
            <filter val="23/07/2026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5/04/2026"/>
            <filter val="17/09/2025"/>
            <filter val="17/09/2024"/>
            <filter val="06/11/2023"/>
            <filter val="09/02/2026"/>
            <filter val="06/11/2024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13/07/2026"/>
            <filter val="07/08/2023"/>
            <filter val="16/07/2026"/>
            <filter val="18/01/2023"/>
            <filter val="18/01/2024"/>
            <filter val="03/05/2023"/>
            <filter val="03/05/2024"/>
            <filter val="28/09/2023"/>
            <filter val="23/04/2026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7/03//2026"/>
            <filter val="20/03/2025"/>
            <filter val="02/03/2026"/>
            <filter val="20/03/2023"/>
            <filter val="20/03/2024"/>
            <filter val="03/06/2024"/>
            <filter val="03/06/2026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21/05/2026"/>
            <filter val="01/01/2026"/>
            <filter val="04/08/2023"/>
            <filter val="28/02/2023"/>
            <filter val="23/03/2026"/>
            <filter val="19/12/2023"/>
            <filter val="19/12/2024"/>
            <filter val="10/07/2026"/>
            <filter val="28/02/2024"/>
            <filter val="10/07/2024"/>
            <filter val="10/07/2025"/>
            <filter val="28/02/2025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1/06/2026"/>
            <filter val="16/02/2023"/>
            <filter val="12/03/2026"/>
            <filter val="16/02/2024"/>
            <filter val="11/06/2025"/>
            <filter val="11/06/2024"/>
            <filter val="09/07/2026"/>
            <filter val="29/03/2023"/>
            <filter val="01/07/2025"/>
            <filter val="01/07/2024"/>
            <filter val="06/05/2024"/>
            <filter val="01/07/2026"/>
            <filter val="06/05/2026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16/04/2026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18/05/2026"/>
            <filter val="06/01/2026"/>
            <filter val="23/01/2026"/>
            <filter val="06/01/2023"/>
            <filter val="23/01/2024"/>
            <filter val="11/08/2023"/>
            <filter val="21/10/2024"/>
            <filter val="21/10/2025"/>
            <filter val="16/06/2025"/>
            <filter val="28/04/2026"/>
            <filter val="15/07/2024"/>
            <filter val="15/07/2026"/>
            <filter val="17/03/2023"/>
            <filter val="22/09/2023"/>
            <filter val="17/03/2025"/>
            <filter val="11/08/2025"/>
            <filter val="12/01/2023"/>
            <filter val="26/05/2026"/>
            <filter val="23/11/2023"/>
            <filter val="30/03/2026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13/05/2026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7/06/2026"/>
            <filter val="18/03/2024"/>
            <filter val="27/04/2026"/>
            <filter val="16/06/2023"/>
            <filter val="27/02/2024"/>
            <filter val="24/03/2026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9/04/2026"/>
            <filter val="08/07/2025"/>
            <filter val="09/04/2024"/>
            <filter val="24/03/2023"/>
            <filter val="02/07/2026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07/05/2026"/>
            <filter val="30/01/2024"/>
            <filter val="14/07/2026"/>
            <filter val="14/07/2025"/>
            <filter val="26/10/2023"/>
            <filter val="29/01/2023"/>
            <filter val="06/03/2024"/>
            <filter val="06/03/2023"/>
            <filter val="29/01/2026"/>
            <filter val="21/02/2025"/>
            <filter val="21/02/2024"/>
            <filter val="06/03/2026"/>
            <filter val="14/10/2024"/>
            <filter val="15/09/2025"/>
            <filter val="10/04/2026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22/04/2026"/>
            <filter val="06/04/2023"/>
            <filter val="06/04/2026"/>
            <filter val="19/05/2026"/>
            <filter val="05/10/2023"/>
            <filter val="20/10/2025"/>
            <filter val="15/06/2026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20/05/2026"/>
            <filter val="19/10/2023"/>
            <filter val="31/05/2023"/>
            <filter val="28/03/2023"/>
            <filter val="26/09/2025"/>
            <filter val="29/06/2026"/>
            <filter val="03/04/2024"/>
            <filter val="22/03/2024"/>
            <filter val="05/05/2025"/>
            <filter val="22/03/2023"/>
            <filter val="05/05/2026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3/05/2025"/>
            <filter val="01/06/2026"/>
            <filter val="26/02/2024"/>
            <filter val="26/02/2026"/>
            <filter val="19/01/2026"/>
            <filter val="03/04/2025"/>
            <filter val="29/09/2023"/>
            <filter val="30/06/2026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27/05/2026"/>
            <filter val="16/09/2025"/>
            <filter val="11/12/2024"/>
            <filter val="25/07/2024"/>
            <filter val="20/02/2025"/>
            <filter val="14/03/2023"/>
            <filter val="20/02/2023"/>
            <filter val="12/06/2024"/>
            <filter val="01/02/2023"/>
            <filter val="01/02/2024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20/09/2023"/>
            <filter val="12/05/2023"/>
            <filter val="22/11/2023"/>
            <filter val="04/11/2024"/>
            <filter val="18/06/2024"/>
            <filter val="18/06/2025"/>
            <filter val="18/06/2026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22/07/2026"/>
            <filter val="30/05/2023"/>
            <filter val="18/10/2023"/>
            <filter val="15/05/2023"/>
            <filter val="15/05/2024"/>
            <filter val="14/11/2024"/>
            <filter val="14/11/2023"/>
            <filter val="30/05/2025"/>
            <filter val="25/04/2025"/>
            <filter val="14/08/2024"/>
            <filter val="21/03/2023"/>
            <filter val="20/06/2024"/>
            <filter val="20/06/2025"/>
            <filter val="03/03/2026"/>
            <filter val="10/10/2023"/>
            <filter val="24/10/2023"/>
            <filter val="19/06/2024"/>
            <filter val="18/09/2025"/>
            <filter val="19/06/2026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9/05/2026"/>
            <filter val="25/04/2023"/>
            <filter val="13/02/2025"/>
            <filter val="29/05/2025"/>
            <filter val="14/06/2024"/>
            <filter val="29/05/2024"/>
            <filter val="20/08/2023"/>
            <filter val="15/05/2026"/>
            <filter val="26/03/2025"/>
            <filter val="26/03/2024"/>
            <filter val="20/04/2023"/>
            <filter val="07/04/2026"/>
            <filter val="07/04/2025"/>
            <filter val="20/04/2026"/>
            <filter val="25/06/2024"/>
            <filter val="25/06/2026"/>
            <filter val="30/10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8/06/2026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04/05/2026"/>
            <filter val="18/02/2025"/>
            <filter val="05/02/2024"/>
            <filter val="06/09/2023"/>
            <filter val="12/12/2024"/>
            <filter val="12/12/2025"/>
            <filter val="04//05/2026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6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6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01/04/2025"/>
            <filter val="01/04/2024"/>
            <filter val="30/07/2024"/>
            <filter val="23/10/2023"/>
            <filter val="30/07/2026"/>
            <filter val="13/04/2026"/>
            <filter val="29/07/2026"/>
            <filter val="24/02/2023"/>
            <filter val="03/03/2023"/>
            <filter val="24/02/2026"/>
            <filter val="21/11/2025"/>
            <filter val="21/08/2023"/>
            <filter val="21/08/2025"/>
            <filter val="17/07/2026"/>
            <filter val="12/02/2025"/>
            <filter val="12/02/2026"/>
            <filter val="28/05/2024"/>
            <filter val="28/05/2026"/>
            <filter val="08/11/2023"/>
            <filter val="08/11/2024"/>
          </filters>
        </filterColumn>
      </autoFilter>
    </customSheetView>
    <customSheetView guid="{A22650EC-12B2-4768-B2BE-5B4E4FD4134F}" filter="1" showAutoFilter="1">
      <autoFilter ref="$A$2:$AW$1278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CON/ GR/ COADM"/>
            <filter val="MONT/ COADM"/>
            <filter val="MULT PRIV/ CO ADM"/>
            <filter val="CON/ COADM"/>
            <filter val="MULT PRIV"/>
            <filter val="CONsUL M Wealth"/>
            <filter val="MOD/ COADM"/>
            <filter val="INC CP"/>
            <filter val="CONSUL M Wealth"/>
            <filter val="INC CP/ COADM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68DA9D9B-2BB9-4E03-B61D-259411CE2611}" filter="1" showAutoFilter="1">
      <autoFilter ref="$A$1:$AQ$1282"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CON/ GR/ COADM"/>
            <filter val="MONT/ COADM"/>
            <filter val="FUND"/>
            <filter val="MULT PRIV/ CO ADM"/>
            <filter val="FII"/>
            <filter val="CON/ COADM"/>
            <filter val="MULT PRIV"/>
            <filter val="CONsUL M Wealth"/>
            <filter val="CON/ GR"/>
            <filter val="DIV"/>
            <filter val="MOD/ COADM"/>
            <filter val="PREV ARR"/>
            <filter val="INC CP"/>
            <filter val="CONSUL M Wealth"/>
            <filter val="SMLL"/>
            <filter val="MOD/ GR"/>
            <filter val="INC CP/ COADM"/>
          </filters>
        </filterColumn>
        <filterColumn colId="6">
          <filters>
            <filter val="#VALUE!"/>
            <filter val="Marcus"/>
            <filter val="David"/>
            <filter val="Gabriel"/>
          </filters>
        </filterColumn>
      </autoFilter>
    </customSheetView>
    <customSheetView guid="{3E797136-3B85-4512-BAFF-677FFB5D6710}" filter="1" showAutoFilter="1">
      <autoFilter ref="$A$1:$AR$1278"/>
    </customSheetView>
    <customSheetView guid="{0410CE2D-75BD-465E-9E8C-279627BB2044}" filter="1" showAutoFilter="1">
      <autoFilter ref="$A$1:$AR$1287">
        <filterColumn colId="7">
          <filters>
            <filter val="Ativo"/>
          </filters>
        </filterColumn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CON/ GR/ COADM"/>
            <filter val="MONT/ COADM"/>
            <filter val="FUND"/>
            <filter val="MULT PRIV/ CO ADM"/>
            <filter val="CON/ COADM"/>
            <filter val="MULT PRIV"/>
            <filter val="CONsUL M Wealth"/>
            <filter val="CON/ GR"/>
            <filter val="MOD/ COADM"/>
            <filter val="INC CP"/>
            <filter val="CONSUL M Wealth"/>
            <filter val="MOD/ GR"/>
            <filter val="INC CP/ COADM"/>
          </filters>
        </filterColumn>
      </autoFilter>
    </customSheetView>
    <customSheetView guid="{03F8594D-D81D-41D8-8166-E0E039D1D75A}" filter="1" showAutoFilter="1">
      <autoFilter ref="$AG$2:$AG$1287"/>
    </customSheetView>
    <customSheetView guid="{03FF394B-A3CC-412E-AC3C-43FCE662566C}" filter="1" showAutoFilter="1">
      <autoFilter ref="$A$1:$AR$1287"/>
    </customSheetView>
    <customSheetView guid="{69049776-CFDF-4D0B-A26F-F2D5FB0083D2}" filter="1" showAutoFilter="1">
      <autoFilter ref="$A$1:$AU$1278">
        <filterColumn colId="17">
          <filters>
            <filter val="Cliente sumiu da base 05/03/2024"/>
            <filter val="Alteração de carteira finalizada (14/07/2023)"/>
            <filter val="Retornou para a base sob um novo B2B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Alteração de carteira finalizada (19/03/2026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27/07/2026)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Cliente retornou para a base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z"/>
            <filter val="Cliente retornou para a base dia 10/10/2024"/>
            <filter val="Vai passar para moderada. (17/07/2026)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Distrati uniateral"/>
            <filter val="Cliente retornou a base com novo contrato (29/08/2025) / Alteração de carteira finalizada (23/03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Alteração de carteira finalizada (09/04/2026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Conta ultilizada para câmbio (27/07/2026)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FBD4E7F3-FBBA-4389-B8DB-C6E19298F85D}" filter="1" showAutoFilter="1">
      <autoFilter ref="$K$2:$L$1287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24/06/2026"/>
            <filter val="03/02/2026"/>
            <filter val="03/02/2025"/>
            <filter val="20/07/2026"/>
            <filter val="16/03/2023"/>
            <filter val="11/05/2026"/>
            <filter val="30/04/2025"/>
            <filter val="30/04/2026"/>
            <filter val="30/04/2024"/>
            <filter val="25/05/2026"/>
            <filter val="02/03/2023"/>
            <filter val="19/03/2026"/>
            <filter val="11/10/2023"/>
            <filter val="11/10/2024"/>
            <filter val="19/03/2024"/>
            <filter val="31/03/2023"/>
            <filter val="31/03/2026"/>
            <filter val="14/09/2023"/>
            <filter val="24/11/2025"/>
            <filter val="09/06/2026"/>
            <filter val="09/11/2022"/>
            <filter val="24/11/2023"/>
            <filter val="09/06/2023"/>
            <filter val="23/07/2026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5/04/2026"/>
            <filter val="17/09/2025"/>
            <filter val="17/09/2024"/>
            <filter val="06/11/2023"/>
            <filter val="09/02/2026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13/07/2026"/>
            <filter val="07/08/2023"/>
            <filter val="16/07/2026"/>
            <filter val="18/01/2023"/>
            <filter val="18/01/2024"/>
            <filter val="03/05/2023"/>
            <filter val="03/05/2024"/>
            <filter val="28/09/2023"/>
            <filter val="23/04/2026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7/03//2026"/>
            <filter val="20/03/2025"/>
            <filter val="02/03/2026"/>
            <filter val="20/03/2023"/>
            <filter val="20/03/2024"/>
            <filter val="03/06/2024"/>
            <filter val="03/06/2026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21/05/2026"/>
            <filter val="01/01/2026"/>
            <filter val="04/08/2023"/>
            <filter val="28/02/2023"/>
            <filter val="23/03/2026"/>
            <filter val="19/12/2023"/>
            <filter val="19/12/2024"/>
            <filter val="10/07/2026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1/06/2026"/>
            <filter val="16/02/2023"/>
            <filter val="12/03/2026"/>
            <filter val="16/02/2024"/>
            <filter val="11/06/2025"/>
            <filter val="11/06/2024"/>
            <filter val="09/07/2026"/>
            <filter val="29/03/2023"/>
            <filter val="01/07/2025"/>
            <filter val="01/07/2024"/>
            <filter val="06/05/2024"/>
            <filter val="01/07/2026"/>
            <filter val="06/05/2026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16/04/2026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18/05/2026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28/04/2026"/>
            <filter val="15/07/2024"/>
            <filter val="15/07/2026"/>
            <filter val="17/03/2023"/>
            <filter val="22/09/2023"/>
            <filter val="17/03/2025"/>
            <filter val="11/08/2025"/>
            <filter val="12/01/2023"/>
            <filter val="26/05/2026"/>
            <filter val="23/11/2023"/>
            <filter val="30/03/2026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13/05/2026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7/06/2026"/>
            <filter val="18/03/2024"/>
            <filter val="27/04/2026"/>
            <filter val="16/06/2023"/>
            <filter val="27/02/2024"/>
            <filter val="24/03/2026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9/04/2026"/>
            <filter val="23/06/2023"/>
            <filter val="08/07/2025"/>
            <filter val="09/04/2024"/>
            <filter val="24/03/2023"/>
            <filter val="02/07/2026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07/05/2026"/>
            <filter val="30/01/2024"/>
            <filter val="14/07/2026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10/04/2026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22/04/2026"/>
            <filter val="06/04/2023"/>
            <filter val="06/04/2026"/>
            <filter val="19/05/2026"/>
            <filter val="05/10/2023"/>
            <filter val="20/10/2025"/>
            <filter val="19/05/2023"/>
            <filter val="15/06/2026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20/05/2026"/>
            <filter val="19/10/2023"/>
            <filter val="31/05/2023"/>
            <filter val="28/03/2023"/>
            <filter val="26/09/2025"/>
            <filter val="29/06/2026"/>
            <filter val="29/06/2023"/>
            <filter val="03/04/2024"/>
            <filter val="22/03/2024"/>
            <filter val="05/05/2025"/>
            <filter val="22/03/2023"/>
            <filter val="05/05/2026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8/07/2023"/>
            <filter val="23/05/2025"/>
            <filter val="01/06/2026"/>
            <filter val="26/02/2024"/>
            <filter val="26/02/2026"/>
            <filter val="19/01/2026"/>
            <filter val="03/04/2025"/>
            <filter val="29/09/2023"/>
            <filter val="30/06/2026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27/05/2026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20/09/2023"/>
            <filter val="12/05/2023"/>
            <filter val="22/11/2023"/>
            <filter val="04/11/2024"/>
            <filter val="18/06/2024"/>
            <filter val="18/06/2025"/>
            <filter val="18/06/2026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22/07/2026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19/06/2026"/>
            <filter val="02/06/2025"/>
            <filter val="18/09/2023"/>
            <filter val="25/02/2025"/>
            <filter val="18/12/2025"/>
            <filter val="18/12/2024"/>
            <filter val="18/12/2023"/>
            <filter val="18/12/2022"/>
            <filter val="25/04/2024"/>
            <filter val="29/05/2026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15/05/2026"/>
            <filter val="26/03/2025"/>
            <filter val="26/03/2024"/>
            <filter val="20/04/2023"/>
            <filter val="07/04/2026"/>
            <filter val="07/04/2025"/>
            <filter val="20/04/2026"/>
            <filter val="25/06/2024"/>
            <filter val="25/06/2026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8/06/2026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04/05/2026"/>
            <filter val="18/02/2025"/>
            <filter val="05/02/2024"/>
            <filter val="06/09/2023"/>
            <filter val="12/12/2024"/>
            <filter val="12/12/2025"/>
            <filter val="04//05/2026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6"/>
            <filter val="22/05/2023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6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30/07/2026"/>
            <filter val="13/04/2026"/>
            <filter val="29/07/2026"/>
            <filter val="24/02/2023"/>
            <filter val="03/03/2023"/>
            <filter val="24/02/2026"/>
            <filter val="21/11/2025"/>
            <filter val="21/08/2023"/>
            <filter val="21/08/2025"/>
            <filter val="17/07/2026"/>
            <filter val="12/02/2025"/>
            <filter val="12/02/2026"/>
            <filter val="28/05/2024"/>
            <filter val="28/05/2026"/>
            <filter val="08/11/2023"/>
            <filter val="08/11/2024"/>
          </filters>
        </filterColumn>
      </autoFilter>
    </customSheetView>
    <customSheetView guid="{876BADF1-FCFF-4C45-A0CD-C6DF3171442D}" filter="1" showAutoFilter="1">
      <autoFilter ref="$B$2:$AO$1282"/>
    </customSheetView>
    <customSheetView guid="{428C49DB-A299-4126-9E22-27159D3140B5}" filter="1" showAutoFilter="1">
      <autoFilter ref="$A$2:$AU$1278">
        <filterColumn colId="24">
          <filters>
            <filter val="Ativo"/>
          </filters>
        </filterColumn>
        <filterColumn colId="46">
          <filters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</autoFilter>
    </customSheetView>
    <customSheetView guid="{2259A80A-0B36-4E70-A4A9-9EEA18E02BB8}" filter="1" showAutoFilter="1">
      <autoFilter ref="$A$1:$AW$1278">
        <filterColumn colId="5">
          <filters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Varlon Bersan"/>
            <filter val="Moises Net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Percio Arraes"/>
            <filter val="thiago Canabrava"/>
            <filter val="Douglas Tuira"/>
            <filter val="Antonio Volpato"/>
            <filter val="Thanira Moreira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21B7878B-52E2-4788-B095-9054A5981802}" filter="1" showAutoFilter="1">
      <autoFilter ref="$K$2:$K$1287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24/06/2026"/>
            <filter val="03/02/2026"/>
            <filter val="03/02/2025"/>
            <filter val="20/07/2026"/>
            <filter val="16/03/2023"/>
            <filter val="11/05/2026"/>
            <filter val="30/04/2025"/>
            <filter val="30/04/2026"/>
            <filter val="30/04/2024"/>
            <filter val="25/05/2026"/>
            <filter val="02/03/2023"/>
            <filter val="19/03/2026"/>
            <filter val="11/10/2023"/>
            <filter val="11/10/2024"/>
            <filter val="19/03/2024"/>
            <filter val="31/03/2023"/>
            <filter val="31/03/2026"/>
            <filter val="14/09/2023"/>
            <filter val="24/11/2025"/>
            <filter val="09/06/2026"/>
            <filter val="09/11/2022"/>
            <filter val="24/11/2023"/>
            <filter val="23/07/2026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5/04/2026"/>
            <filter val="17/09/2025"/>
            <filter val="17/09/2024"/>
            <filter val="06/11/2023"/>
            <filter val="09/02/2026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13/07/2026"/>
            <filter val="07/08/2023"/>
            <filter val="16/07/2026"/>
            <filter val="18/01/2023"/>
            <filter val="18/01/2024"/>
            <filter val="03/05/2023"/>
            <filter val="03/05/2024"/>
            <filter val="28/09/2023"/>
            <filter val="23/04/2026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7/03//2026"/>
            <filter val="20/03/2025"/>
            <filter val="02/03/2026"/>
            <filter val="20/03/2023"/>
            <filter val="20/03/2024"/>
            <filter val="03/06/2024"/>
            <filter val="03/06/2026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21/05/2026"/>
            <filter val="01/01/2026"/>
            <filter val="04/08/2023"/>
            <filter val="28/02/2023"/>
            <filter val="23/03/2026"/>
            <filter val="19/12/2023"/>
            <filter val="19/12/2024"/>
            <filter val="10/07/2026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1/06/2026"/>
            <filter val="16/02/2023"/>
            <filter val="12/03/2026"/>
            <filter val="16/02/2024"/>
            <filter val="11/06/2025"/>
            <filter val="11/06/2024"/>
            <filter val="09/07/2026"/>
            <filter val="29/03/2023"/>
            <filter val="01/07/2025"/>
            <filter val="01/07/2024"/>
            <filter val="06/05/2024"/>
            <filter val="01/07/2026"/>
            <filter val="06/05/2026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16/04/2026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18/05/2026"/>
            <filter val="06/01/2026"/>
            <filter val="23/01/2026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28/04/2026"/>
            <filter val="15/07/2024"/>
            <filter val="15/07/2026"/>
            <filter val="17/03/2023"/>
            <filter val="22/09/2023"/>
            <filter val="17/03/2025"/>
            <filter val="11/08/2025"/>
            <filter val="12/01/2023"/>
            <filter val="26/05/2026"/>
            <filter val="23/11/2023"/>
            <filter val="30/03/2026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13/05/2026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7/06/2026"/>
            <filter val="18/03/2024"/>
            <filter val="27/04/2026"/>
            <filter val="16/06/2023"/>
            <filter val="27/02/2024"/>
            <filter val="24/03/2026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9/04/2026"/>
            <filter val="08/07/2025"/>
            <filter val="09/04/2024"/>
            <filter val="24/03/2023"/>
            <filter val="02/07/2026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07/05/2026"/>
            <filter val="30/01/2024"/>
            <filter val="14/07/2026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10/04/2026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22/04/2026"/>
            <filter val="06/04/2023"/>
            <filter val="06/04/2026"/>
            <filter val="19/05/2026"/>
            <filter val="05/10/2023"/>
            <filter val="20/10/2025"/>
            <filter val="15/06/2026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20/05/2026"/>
            <filter val="19/10/2023"/>
            <filter val="31/05/2023"/>
            <filter val="28/03/2023"/>
            <filter val="26/09/2025"/>
            <filter val="29/06/2026"/>
            <filter val="03/04/2024"/>
            <filter val="22/03/2024"/>
            <filter val="05/05/2025"/>
            <filter val="22/03/2023"/>
            <filter val="05/05/2026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8/07/2023"/>
            <filter val="23/05/2025"/>
            <filter val="01/06/2026"/>
            <filter val="26/02/2024"/>
            <filter val="26/02/2026"/>
            <filter val="19/01/2026"/>
            <filter val="03/04/2025"/>
            <filter val="29/09/2023"/>
            <filter val="30/06/2026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27/05/2026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20/09/2023"/>
            <filter val="12/05/2023"/>
            <filter val="22/11/2023"/>
            <filter val="04/11/2024"/>
            <filter val="18/06/2024"/>
            <filter val="18/06/2025"/>
            <filter val="18/06/2026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22/07/2026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4"/>
            <filter val="20/06/2025"/>
            <filter val="03/03/2026"/>
            <filter val="10/10/2023"/>
            <filter val="24/10/2023"/>
            <filter val="19/06/2024"/>
            <filter val="18/09/2025"/>
            <filter val="19/06/2026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9/05/2026"/>
            <filter val="25/04/2023"/>
            <filter val="13/02/2025"/>
            <filter val="29/05/2025"/>
            <filter val="14/06/2024"/>
            <filter val="29/05/2024"/>
            <filter val="20/08/2023"/>
            <filter val="15/05/2026"/>
            <filter val="26/03/2025"/>
            <filter val="26/03/2024"/>
            <filter val="20/04/2023"/>
            <filter val="07/04/2026"/>
            <filter val="07/04/2025"/>
            <filter val="20/04/2026"/>
            <filter val="25/06/2024"/>
            <filter val="25/06/2026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8/06/2026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04/05/2026"/>
            <filter val="18/02/2025"/>
            <filter val="05/02/2024"/>
            <filter val="06/09/2023"/>
            <filter val="12/12/2024"/>
            <filter val="12/12/2025"/>
            <filter val="04//05/2026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6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6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30/07/2026"/>
            <filter val="13/04/2026"/>
            <filter val="29/07/2026"/>
            <filter val="24/02/2023"/>
            <filter val="03/03/2023"/>
            <filter val="24/02/2026"/>
            <filter val="21/11/2025"/>
            <filter val="21/08/2023"/>
            <filter val="21/08/2025"/>
            <filter val="17/07/2026"/>
            <filter val="12/02/2025"/>
            <filter val="12/02/2026"/>
            <filter val="28/05/2024"/>
            <filter val="28/05/2026"/>
            <filter val="08/11/2023"/>
            <filter val="08/11/2024"/>
          </filters>
        </filterColumn>
      </autoFilter>
    </customSheetView>
    <customSheetView guid="{CB45C91D-37D9-452E-AFFE-508EB217137F}" filter="1" showAutoFilter="1">
      <autoFilter ref="$F$2:$F$1287"/>
    </customSheetView>
    <customSheetView guid="{A0B95A44-8FE9-47B9-8B52-DE67E8D5CD4F}" filter="1" showAutoFilter="1">
      <autoFilter ref="$B$2:$AN$1282"/>
    </customSheetView>
    <customSheetView guid="{4E06399B-CA7D-4E4D-A17E-E4B9B1AF63C4}" filter="1" showAutoFilter="1">
      <autoFilter ref="$B$2:$AO$1282"/>
    </customSheetView>
    <customSheetView guid="{EE3A4244-611E-4446-9499-9903DB4304D2}" filter="1" showAutoFilter="1">
      <autoFilter ref="$A$2:$AV$1278">
        <filterColumn colId="8">
          <filters>
            <filter val="Troca de Assessoria"/>
            <filter val="Distrato"/>
            <filter val="Monitoramento"/>
          </filters>
        </filterColumn>
      </autoFilter>
    </customSheetView>
    <customSheetView guid="{171F7247-BE81-48D0-A26A-F63427616EBA}" filter="1" showAutoFilter="1">
      <autoFilter ref="$A$1:$AU$1278">
        <filterColumn colId="24">
          <filters>
            <filter val="Inativo"/>
          </filters>
        </filterColumn>
      </autoFilter>
    </customSheetView>
    <customSheetView guid="{981F54B3-AD47-4881-8E48-9580C9672236}" filter="1" showAutoFilter="1">
      <autoFilter ref="$A$1:$AT$1278"/>
    </customSheetView>
    <customSheetView guid="{1FC13B34-835E-47A1-85A4-01FE60642626}" filter="1" showAutoFilter="1">
      <autoFilter ref="$A$1:$AV$1278">
        <filterColumn colId="24">
          <filters>
            <filter val="Inativo"/>
          </filters>
        </filterColumn>
      </autoFilter>
    </customSheetView>
    <customSheetView guid="{F891595F-A274-4CEA-9DDC-4053E320D873}" filter="1" showAutoFilter="1">
      <autoFilter ref="$A$2:$AV$1278">
        <filterColumn colId="7">
          <filters>
            <filter val="Inativo"/>
          </filters>
        </filterColumn>
        <filterColumn colId="8">
          <filters blank="1">
            <filter val="Troca de Assessoria"/>
            <filter val="Distrato"/>
            <filter val="------"/>
          </filters>
        </filterColumn>
      </autoFilter>
    </customSheetView>
    <customSheetView guid="{5CA085AB-9F04-4C5E-A250-EB57A3DB8059}" filter="1" showAutoFilter="1">
      <autoFilter ref="$A$2:$AU$1278">
        <filterColumn colId="24">
          <filters/>
        </filterColumn>
      </autoFilter>
    </customSheetView>
    <customSheetView guid="{44DF447E-19F1-4EC8-8BEF-6D48B5598A57}" filter="1" showAutoFilter="1">
      <autoFilter ref="$A$2:$AW$1278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CON/ GR/ COADM"/>
            <filter val="MONT/ COADM"/>
            <filter val="MULT PRIV/ CO ADM"/>
            <filter val="CON/ COADM"/>
            <filter val="MULT PRIV"/>
            <filter val="CONsUL M Wealth"/>
            <filter val="MOD/ COADM"/>
            <filter val="INC CP"/>
            <filter val="CONSUL M Wealth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3D9A4475-5E5C-4472-A129-35E6A30C6B54}" filter="1" showAutoFilter="1">
      <autoFilter ref="$K$2:$K$1287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24/06/2026"/>
            <filter val="03/02/2026"/>
            <filter val="03/02/2025"/>
            <filter val="20/07/2026"/>
            <filter val="16/03/2023"/>
            <filter val="11/05/2026"/>
            <filter val="30/04/2025"/>
            <filter val="30/04/2026"/>
            <filter val="30/04/2024"/>
            <filter val="25/05/2026"/>
            <filter val="02/03/2023"/>
            <filter val="19/03/2026"/>
            <filter val="11/10/2023"/>
            <filter val="11/10/2024"/>
            <filter val="19/03/2024"/>
            <filter val="31/03/2023"/>
            <filter val="31/03/2026"/>
            <filter val="14/09/2023"/>
            <filter val="24/11/2025"/>
            <filter val="09/06/2026"/>
            <filter val="09/11/2022"/>
            <filter val="24/11/2023"/>
            <filter val="09/06/2023"/>
            <filter val="23/07/2026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5/04/2026"/>
            <filter val="17/09/2025"/>
            <filter val="17/09/2024"/>
            <filter val="06/11/2023"/>
            <filter val="09/02/2026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13/07/2026"/>
            <filter val="07/08/2023"/>
            <filter val="16/07/2026"/>
            <filter val="18/01/2023"/>
            <filter val="18/01/2024"/>
            <filter val="03/05/2023"/>
            <filter val="03/05/2024"/>
            <filter val="28/09/2023"/>
            <filter val="23/04/2026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7/03//2026"/>
            <filter val="20/03/2025"/>
            <filter val="02/03/2026"/>
            <filter val="20/03/2023"/>
            <filter val="20/03/2024"/>
            <filter val="03/06/2024"/>
            <filter val="03/06/2026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21/05/2026"/>
            <filter val="01/01/2026"/>
            <filter val="04/08/2023"/>
            <filter val="28/02/2023"/>
            <filter val="23/03/2026"/>
            <filter val="19/12/2023"/>
            <filter val="19/12/2024"/>
            <filter val="10/07/2026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1/06/2026"/>
            <filter val="16/02/2023"/>
            <filter val="12/03/2026"/>
            <filter val="16/02/2024"/>
            <filter val="11/06/2025"/>
            <filter val="11/06/2024"/>
            <filter val="09/07/2026"/>
            <filter val="29/03/2023"/>
            <filter val="01/07/2025"/>
            <filter val="01/07/2024"/>
            <filter val="06/05/2024"/>
            <filter val="01/07/2026"/>
            <filter val="06/05/2026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16/04/2026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18/05/2026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28/04/2026"/>
            <filter val="15/07/2024"/>
            <filter val="15/07/2026"/>
            <filter val="17/03/2023"/>
            <filter val="22/09/2023"/>
            <filter val="17/03/2025"/>
            <filter val="11/08/2025"/>
            <filter val="12/01/2023"/>
            <filter val="26/05/2026"/>
            <filter val="23/11/2023"/>
            <filter val="30/03/2026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13/05/2026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7/06/2026"/>
            <filter val="18/03/2024"/>
            <filter val="27/04/2026"/>
            <filter val="16/06/2023"/>
            <filter val="27/02/2024"/>
            <filter val="24/03/2026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9/04/2026"/>
            <filter val="23/06/2023"/>
            <filter val="08/07/2025"/>
            <filter val="09/04/2024"/>
            <filter val="24/03/2023"/>
            <filter val="02/07/2026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07/05/2026"/>
            <filter val="30/01/2024"/>
            <filter val="14/07/2026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10/04/2026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22/04/2026"/>
            <filter val="06/04/2023"/>
            <filter val="06/04/2026"/>
            <filter val="19/05/2026"/>
            <filter val="05/10/2023"/>
            <filter val="20/10/2025"/>
            <filter val="19/05/2023"/>
            <filter val="15/06/2026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20/05/2026"/>
            <filter val="19/10/2023"/>
            <filter val="31/05/2023"/>
            <filter val="28/03/2023"/>
            <filter val="26/09/2025"/>
            <filter val="29/06/2026"/>
            <filter val="29/06/2023"/>
            <filter val="03/04/2024"/>
            <filter val="22/03/2024"/>
            <filter val="05/05/2025"/>
            <filter val="22/03/2023"/>
            <filter val="05/05/2026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8/07/2023"/>
            <filter val="23/05/2025"/>
            <filter val="01/06/2026"/>
            <filter val="26/02/2024"/>
            <filter val="26/02/2026"/>
            <filter val="19/01/2026"/>
            <filter val="03/04/2025"/>
            <filter val="29/09/2023"/>
            <filter val="30/06/2026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27/05/2026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20/09/2023"/>
            <filter val="12/05/2023"/>
            <filter val="22/11/2023"/>
            <filter val="04/11/2024"/>
            <filter val="18/06/2024"/>
            <filter val="18/06/2025"/>
            <filter val="18/06/2026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22/07/2026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19/06/2026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9/05/2026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15/05/2026"/>
            <filter val="26/03/2025"/>
            <filter val="26/03/2024"/>
            <filter val="20/04/2023"/>
            <filter val="07/04/2026"/>
            <filter val="07/04/2025"/>
            <filter val="20/04/2026"/>
            <filter val="25/06/2024"/>
            <filter val="25/06/2026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8/06/2026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04/05/2026"/>
            <filter val="18/02/2025"/>
            <filter val="05/02/2024"/>
            <filter val="06/09/2023"/>
            <filter val="12/12/2024"/>
            <filter val="12/12/2025"/>
            <filter val="04//05/2026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6"/>
            <filter val="22/05/2023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6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30/07/2026"/>
            <filter val="13/04/2026"/>
            <filter val="29/07/2026"/>
            <filter val="24/02/2023"/>
            <filter val="03/03/2023"/>
            <filter val="24/02/2026"/>
            <filter val="21/11/2025"/>
            <filter val="21/08/2023"/>
            <filter val="21/08/2025"/>
            <filter val="17/07/2026"/>
            <filter val="12/02/2025"/>
            <filter val="12/02/2026"/>
            <filter val="28/05/2024"/>
            <filter val="28/05/2026"/>
            <filter val="08/11/2023"/>
            <filter val="08/11/2024"/>
          </filters>
        </filterColumn>
      </autoFilter>
    </customSheetView>
    <customSheetView guid="{31E47E3C-FDA0-4B26-8783-ED349E6494F7}" filter="1" showAutoFilter="1">
      <autoFilter ref="$B$2:$AO$1282"/>
    </customSheetView>
    <customSheetView guid="{F74C4763-B110-4317-BA48-93E15369D235}" filter="1" showAutoFilter="1">
      <autoFilter ref="$Q$2:$Q$1287">
        <filterColumn colId="0">
          <filters>
            <filter val="Manter 20% da carteira em D+0, observação em RV (conferir o Pipe) (02/07/2026)."/>
            <filter val="100k D+0 (21/08/2025)"/>
            <filter val="100k em D+0 (22/01/2026)"/>
            <filter val="Venc. max. de 4 meses (23/06/2026)."/>
            <filter val="200K D+0 (17/07/2025)"/>
            <filter val="80K D+0 (15/04/2025)"/>
            <filter val="100k D+0 (20/07/2026)"/>
            <filter val="LCI ou LCA, vai ter um aporte de 15k até 31/07/2026, excluir Obs após a aplicação. (27/07/2026)."/>
            <filter val="Sem CrPr (30/04/2026)"/>
            <filter val="50K D+0 (17/06/2024)"/>
            <filter val="Sem renda variável (29/11/2024)"/>
            <filter val="Sem renda variável (16/05/2024)"/>
            <filter val="40% D+0 (03/08/2026)"/>
            <filter val="50% D+0 (23/07/2025)"/>
            <filter val="20k D+0 (18/12/2025)"/>
            <filter val="25K D+0 (16/05/2024)"/>
            <filter val="30k D+0 (23/07/2025)"/>
            <filter val="Venc. até 10/2026 (15/06/2026)"/>
            <filter val="40K D+0 (19/11/2024)"/>
            <filter val="50k D+0 (04/05/2026)"/>
            <filter val="Vencimentos D+0 (22/01/2026)"/>
            <filter val="50% D+0 (26/05/2026)."/>
            <filter val="Resgates mensais de 10k (02/07/2026)"/>
            <filter val="20% D+0 e aplicações no máx. 12/2026 (23/07/2025)"/>
            <filter val="Manter Recurso D+0 (03/11/2025)"/>
            <filter val="Enviar aas notas de corretagem via email para o cliente após todas operações (10/04/2026)."/>
            <filter val="Somente BTC"/>
            <filter val="Aplicar em D+0 aportes e vencimentos. (17/07/2026)"/>
            <filter val="Carteira Monitoramento Especial para Fundos (SPMG FII criado pelo cliente) (04/10/2024)"/>
            <filter val="600K D+0 (20/05/2026)"/>
            <filter val="Carteira Monitoramento Especial para Fundos (SPMG FII criado pelo cliente) (14/03/2025)"/>
            <filter val="150k D+0(24/03/2026)"/>
            <filter val="50k D+0 (23/12/2025)"/>
            <filter val="200k D+0 (27/02/2026)"/>
            <filter val="15k D+0 (22/09/2025)"/>
            <filter val="200k para novembro (08/05/2026)."/>
            <filter val="80K D+0 (13/06/2024)"/>
            <filter val="Não aumentar posição de RV.  Sem CrPr e Aplicações com vencimento até 01/10/2027 (30/04/2026)&#10;&#10;Histórico"/>
            <filter val="Carteira Monitoramento Especial para Fundos (SPMG II FII criado pelo cliente) (09/10/2024)"/>
            <filter val="Max 20% RV (28/01/2025)"/>
            <filter val="50K D+0 (30/09/2024)"/>
            <filter val="Vencimentos D+0 (02/12/2024)"/>
            <filter val="Alocar total em compromissada por enquanto, cliente vai montar fluxo de caixa venc. 07/08/2026 (03/08/2026)"/>
            <filter val="30% D+0 (02/08/2024)"/>
            <filter val="Alocar em previdência (23/04/2026)."/>
            <filter val="Aportes e vencimentos em D+0 (18/03/2026)."/>
            <filter val="84k em D+0 (03/07/2026)."/>
            <filter val="50K D+0 (06/06/2024)"/>
            <filter val="Vencimentos D+0 (3012/2024)"/>
            <filter val="Manter Recurso em Liquidez (23/10/2025)"/>
            <filter val="100K D+0 (09/05/2025)"/>
            <filter val="Alocar somente em D+0 (04/05/2026)"/>
            <filter val="20% D+0, 30% D+30 e 50% até dois anos; Não movimentar, esperar o assessor (10/04/2026)."/>
            <filter val="35K Fundo RF Ativo (21/05/2024)"/>
            <filter val="Manter Saldo em D+0 até JUN/2026 (19/03/2026)"/>
            <filter val="400K D+0 (25/11/2024)"/>
            <filter val="Só CDB, limite FGC (13/05/2026)."/>
            <filter val="Sem renda variável (07/01/2025)"/>
            <filter val="400k, precisa para o dia 18/12/26 (14/04/2026)"/>
            <filter val="50k D+0 (20/07/2026)"/>
            <filter val="Sem renda variável (11/12/2024)"/>
            <filter val="250k em D+0 (19/01/2026)"/>
            <filter val="7,5% de EQT (25/06/2026)"/>
            <filter val="100k D+0  (21/07/2026)"/>
            <filter val="Conta CDE"/>
            <filter val="80K D+0 (08/08/2024)"/>
            <filter val="34k D+0 (12/08/2025)"/>
            <filter val="Investimentos seguem a Sharia, Lei islamica. Investimentos Halal. ETF de Referência, ISWD."/>
            <filter val="55K D+0 (14/08/2024)"/>
            <filter val="Não aportar em RF Ativo. Vencimentos: direcionar para LFT e NTN-B &lt; 2,5 anos de duration (30/04/2026)"/>
            <filter val="30k D+0 (03/07/2025)"/>
            <filter val="200k D+0 (06/07/2026)."/>
            <filter val="Vencimentos em D+0 (20/10/2025)"/>
            <filter val="Preferência por ativos GR, RF que paga cupons e FIIs. Cliente Resgata Mensalmente (06/01/2026)"/>
            <filter val="150k D+0(15/06/2026)."/>
            <filter val="Prazo máximo 6 Meses (17/02/2025)"/>
            <filter val="50K D+0 (14/01/2025)"/>
            <filter val="Vencimentos D+0 (30/10/2024)"/>
            <filter val="Carteira com fluxo de vencimentos personalizado, consultar F.A. Sem CrPr (30/04/2026)"/>
            <filter val="100K D+0 e aplicações com Cascata de Vencimentos, sem RF Ativo, sem LCI (PJ) (06/02/2026).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Sem RV (15/05/2026)"/>
            <filter val="30% D+0 (04/05/2026)."/>
            <filter val="30k D+0 (29/09/2025)"/>
            <filter val="Manter a alocação da carteira Cripto/ Manter os investimentos dos ativos: HASH11 ; BITH11 ; QDFL11. (13/05/2024)"/>
            <filter val="Alocar somente em D+0 (04/05/2026)."/>
            <filter val="colocar em cópia dos e-mails: luiz_ajb@toyopar.com.br"/>
            <filter val="Manter as Ações BBAS3, SBFG3 e AMER3. (10/07/2025)"/>
            <filter val="50K D+0 (12/02/2025)"/>
            <filter val="Venc max. 6 meses (19/06/2026)"/>
            <filter val="Não comprar papeis do varejo e agro (06/03/2025)"/>
            <filter val="Manter CRA BTG/ 30% D+0 (22/10/2025)"/>
            <filter val="Vencimentos D+0 até dezembro (23/06/2026)."/>
            <filter val="Vencimento Máx. 01/12/2026 (01/06/2026)."/>
            <filter val="40k D+0 (18/08/2025)"/>
            <filter val="19k D+0 (15/12/2025)"/>
            <filter val="200K D+0 (29/04/2025)"/>
            <filter val="50k D+0 (09/03/2026).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60k D+0 (30/06/2026)"/>
            <filter val="250k D+0 e sem RF Ativo (06/02/2026)."/>
            <filter val="40K até D+1 (17/10/2024)"/>
            <filter val="100% D+0 (05/03/2026)"/>
            <filter val="Só CDB e LCI. (30/03/2026)"/>
            <filter val="20% D+0 (04/09/2025)"/>
            <filter val="120k D+0 (09/06/2026)."/>
            <filter val="Vencimentos D+0 (08/08/2024)"/>
            <filter val="100k D+0, Venc. Máx 02/2028 (05/03/2026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600k D+0 (05/01/2025)"/>
            <filter val="30k D+0 (19/03/2026)."/>
            <filter val="Não aplicar em D+0 (12/02/2026).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1MM D+0 (18/08/2025)"/>
            <filter val="40% D+0 (11/06/2025)"/>
            <filter val="10K D+0 / Manter o CRA BTG (29/04/2024)"/>
            <filter val="100% D+0 (17/03/2026)."/>
            <filter val="100% D+0 (04/05/2026)."/>
            <filter val="20% do PL D+0 (08/01/2026)"/>
            <filter val="50K D+0 (30/05/2025)"/>
            <filter val="10% D+0 (07/04/2025)"/>
            <filter val="Sem CrPr e sem RF Ativo (06/02/2026)."/>
            <filter val="Não vender MCMV18, sem CrPr e sem RF ativo (05/03/2026)."/>
            <filter val="Não reinvestir a rentabilidade, falar com o assessor (04/05/2026)."/>
            <filter val="10% D+0 (08/11/2024)"/>
            <filter val="70K D+0 (12/01/2026)"/>
            <filter val="Só aplicar em CDB (30/06/2026)"/>
            <filter val="20% D+0 (24/07/2026)"/>
            <filter val="resgate de 800k em 02/2027 (03/08/2026)"/>
            <filter val="100K D+0 (18/06/2026)"/>
            <filter val="Vencimentos D+0 (24/09/2025)"/>
            <filter val="Manter fundo Mapfre e aproximadamente 140k D+0 (23/10/2025)"/>
            <filter val="Sem RV (25/03/2026)."/>
            <filter val="Vencimento enviar para conta da Naiara 023688500 (30/04/2026)"/>
            <filter val="50K D+0 (13/09/2024)"/>
            <filter val="30% D+0 (22/07/2026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250k D+0 (22/06/2026)."/>
            <filter val="Colocar 50k do aporte em D+0 e excluir a observação depois (28/07/2026)"/>
            <filter val="Vencimentos em D+0 (23/07/2025)"/>
            <filter val="50% do valor líquido aplicar em ativos de no max 1 ano (06/06/2024)"/>
            <filter val="Não movimentar até aviso do assessor. (14/01/2026)"/>
            <filter val="Resgate 100K em 10/09/2026 (09/07/2026)"/>
            <filter val="50K D+1 (19/08/2024)"/>
            <filter val="110k D+0 (09/10/2025), 100% D+0 (até 31/03/2026)."/>
            <filter val="Não comprar RV (09/06/2026)"/>
            <filter val="Carteira Monitoramento Especial para Fundos (SPMG FII criado pelo cliente) (17/03/2025)"/>
            <filter val="Prazo máximo 1 ano (23/01/2025)"/>
            <filter val="100% D+0 (06/03/2026).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CC8A7891-EB49-4940-A740-FC8BDC1AB592}" filter="1" showAutoFilter="1">
      <autoFilter ref="$A$1:$AU$1278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GG participações"/>
            <filter val="Bluemetrix"/>
            <filter val="Investeseg"/>
            <filter val="Solution For Life"/>
            <filter val="M Wealth"/>
            <filter val="Nexco"/>
          </filters>
        </filterColumn>
        <filterColumn colId="4">
          <filters>
            <filter val="UF"/>
            <filter val="DF"/>
            <filter val="RJ"/>
            <filter val="SUL"/>
            <filter val="BA"/>
          </filters>
        </filterColumn>
        <filterColumn colId="5">
          <filters>
            <filter val="João Victor de Moura Beze"/>
            <filter val="Lucas Zambrin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Varlon Bersan"/>
            <filter val="Moises Neto"/>
            <filter val="Bruno Jaime"/>
            <filter val="Augusto Sampaio"/>
            <filter val="Felipe Rios"/>
            <filter val="Luis Felipe"/>
            <filter val="Caroline Cichello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Gustavo Costa"/>
            <filter val="Bluemetrix Asset"/>
            <filter val="Rafael Vilela"/>
            <filter val="Felipe Miranda"/>
            <filter val="João Paulo Britto"/>
            <filter val="Lucas Calixto"/>
            <filter val="Larissa Montes"/>
            <filter val="Guilherme Satyro"/>
            <filter val="Hugo Motta"/>
            <filter val="João Gabriel Miziara"/>
            <filter val="M Wealth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Bruno Rodrigues"/>
            <filter val="Alexia Satyro"/>
            <filter val="Rogerio Magalhaes Coelho"/>
            <filter val="Theo Ramos Moutinho"/>
            <filter val="Victor Hugo Laurentino"/>
            <filter val="Caroline Facó Ehlers"/>
            <filter val="Percio Arraes"/>
            <filter val="Vivian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Thanira Moreira"/>
            <filter val="Eduardo Leopoldino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Murilo Silva"/>
            <filter val="Daniel Cambraia Danzig"/>
            <filter val="Gabriel Stella"/>
            <filter val="Gabriel Bicalho Fontes Raydan"/>
            <filter val="Vitor Pedrazzi"/>
            <filter val="Guilherme dos Santos"/>
            <filter val="Gustavo Amorim"/>
            <filter val="Paula Bonfim"/>
            <filter val="Felipe Ouriveis"/>
            <filter val="Alcivana Marques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PT"/>
            <filter val="SE"/>
            <filter val="MA"/>
            <filter val="UF cliente"/>
            <filter val="CE"/>
            <filter val="MS"/>
            <filter val="MT"/>
            <filter val="AL"/>
            <filter val="ES"/>
            <filter val="PA"/>
            <filter val="PE"/>
            <filter val="UAE"/>
            <filter val="SUIÇA"/>
          </filters>
        </filterColumn>
      </autoFilter>
    </customSheetView>
    <customSheetView guid="{B6B1CE0E-38E0-4906-A76E-D306BEA256D4}" filter="1" showAutoFilter="1">
      <autoFilter ref="$A$1:$AU$1278">
        <filterColumn colId="24">
          <filters>
            <filter val="Ativo"/>
          </filters>
        </filterColumn>
      </autoFilter>
    </customSheetView>
    <customSheetView guid="{C47A8014-6FA4-42E4-9F12-F1011B9C099B}" filter="1" showAutoFilter="1">
      <autoFilter ref="$B$2:$AL$1282"/>
    </customSheetView>
    <customSheetView guid="{3AF03EB6-56CC-4410-8FFA-3735BC7F66A2}" filter="1" showAutoFilter="1">
      <autoFilter ref="$B$2:$AL$1282"/>
    </customSheetView>
    <customSheetView guid="{2351D5E5-F8AC-4E80-BACB-97F4DC969D91}" filter="1" showAutoFilter="1">
      <autoFilter ref="$A$1:$AT$1278">
        <filterColumn colId="5">
          <filters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Varlon Bersan"/>
            <filter val="Moises Neto"/>
            <filter val="Augusto Sampaio"/>
            <filter val="Luis Felipe"/>
            <filter val="Caroline Cichello"/>
            <filter val="André de Queiroz Coelho"/>
            <filter val="Raoni Costa"/>
            <filter val="Mariana Rocha"/>
            <filter val="Marcelo Franciscon"/>
            <filter val="Gustavo Costa"/>
            <filter val="Bluemetrix Asset"/>
            <filter val="Felipe Miranda"/>
            <filter val="João Paulo Britto"/>
            <filter val="Lucas Calixto"/>
            <filter val="Larissa Montes"/>
            <filter val="Guilherme Satyro"/>
            <filter val="João Gabriel Miziara"/>
            <filter val="M Wealth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Alexia Satyro"/>
            <filter val="Victor Hugo Laurentino"/>
            <filter val="Caroline Facó Ehlers"/>
            <filter val="Percio Arraes"/>
            <filter val="Rodrigo Milanez"/>
            <filter val="thiago Canabrava"/>
            <filter val="Douglas Tuira"/>
            <filter val="Antonio Volpato"/>
            <filter val="Joney Alves"/>
            <filter val="Thanira Moreira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Murilo Silva"/>
            <filter val="Gabriel Stella"/>
            <filter val="Vitor Pedrazzi"/>
            <filter val="Guilherme dos Santos"/>
            <filter val="Paula Bonfim"/>
            <filter val="Felipe Ouriveis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AC58E428-8995-4215-A75A-AD2C96080690}" filter="1" showAutoFilter="1">
      <autoFilter ref="$H$1:$I$1280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 blank="1">
            <filter val="Alteração de C.A"/>
            <filter val="STVM Saída"/>
            <filter val="Troca de Assessoria"/>
            <filter val="Distrato"/>
            <filter val="------"/>
            <filter val="Bloqueado"/>
            <filter val="STVM Entrada"/>
            <filter val="Situação"/>
            <filter val="Monitoramento"/>
          </filters>
        </filterColumn>
      </autoFilter>
    </customSheetView>
    <customSheetView guid="{BED19743-79B0-4CE0-8BB5-CC952BE87801}" filter="1" showAutoFilter="1">
      <autoFilter ref="$A$1:$AT$1287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RJ"/>
            <filter val="BA"/>
          </filters>
        </filterColumn>
      </autoFilter>
    </customSheetView>
    <customSheetView guid="{7228C4C0-6366-410B-999F-F4ED1D860199}" filter="1" showAutoFilter="1">
      <autoFilter ref="$F$2:$F$1287"/>
    </customSheetView>
    <customSheetView guid="{2BED0996-212A-43D6-A5BB-6E4636AD45BE}" filter="1" showAutoFilter="1">
      <autoFilter ref="$A$1:$AV$1278">
        <filterColumn colId="24">
          <filters>
            <filter val="Inativo"/>
          </filters>
        </filterColumn>
      </autoFilter>
    </customSheetView>
    <customSheetView guid="{C62C338D-6DD7-4E1D-BD83-DBDE22838042}" filter="1" showAutoFilter="1">
      <autoFilter ref="$K$2:$K$1287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24/06/2026"/>
            <filter val="03/02/2026"/>
            <filter val="03/02/2025"/>
            <filter val="20/07/2026"/>
            <filter val="16/03/2023"/>
            <filter val="11/05/2026"/>
            <filter val="30/04/2025"/>
            <filter val="30/04/2026"/>
            <filter val="30/04/2024"/>
            <filter val="25/05/2026"/>
            <filter val="02/03/2023"/>
            <filter val="19/03/2026"/>
            <filter val="11/10/2023"/>
            <filter val="11/10/2024"/>
            <filter val="19/03/2024"/>
            <filter val="31/03/2023"/>
            <filter val="31/03/2026"/>
            <filter val="14/09/2023"/>
            <filter val="24/11/2025"/>
            <filter val="09/06/2026"/>
            <filter val="09/11/2022"/>
            <filter val="24/11/2023"/>
            <filter val="09/06/2023"/>
            <filter val="23/07/2026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5/04/2026"/>
            <filter val="17/09/2025"/>
            <filter val="17/09/2024"/>
            <filter val="06/11/2023"/>
            <filter val="09/02/2026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13/07/2026"/>
            <filter val="07/08/2023"/>
            <filter val="16/07/2026"/>
            <filter val="18/01/2023"/>
            <filter val="18/01/2024"/>
            <filter val="03/05/2023"/>
            <filter val="03/05/2024"/>
            <filter val="28/09/2023"/>
            <filter val="23/04/2026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7/03//2026"/>
            <filter val="20/03/2025"/>
            <filter val="02/03/2026"/>
            <filter val="20/03/2023"/>
            <filter val="20/03/2024"/>
            <filter val="03/06/2024"/>
            <filter val="03/06/2026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21/05/2026"/>
            <filter val="01/01/2026"/>
            <filter val="04/08/2023"/>
            <filter val="28/02/2023"/>
            <filter val="23/03/2026"/>
            <filter val="19/12/2023"/>
            <filter val="19/12/2024"/>
            <filter val="10/07/2026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1/06/2026"/>
            <filter val="16/02/2023"/>
            <filter val="12/03/2026"/>
            <filter val="16/02/2024"/>
            <filter val="11/06/2025"/>
            <filter val="11/06/2024"/>
            <filter val="09/07/2026"/>
            <filter val="29/03/2023"/>
            <filter val="01/07/2025"/>
            <filter val="01/07/2024"/>
            <filter val="06/05/2024"/>
            <filter val="01/07/2026"/>
            <filter val="06/05/2026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16/04/2026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18/05/2026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28/04/2026"/>
            <filter val="15/07/2024"/>
            <filter val="15/07/2026"/>
            <filter val="17/03/2023"/>
            <filter val="22/09/2023"/>
            <filter val="17/03/2025"/>
            <filter val="11/08/2025"/>
            <filter val="12/01/2023"/>
            <filter val="26/05/2026"/>
            <filter val="23/11/2023"/>
            <filter val="30/03/2026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13/05/2026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7/06/2026"/>
            <filter val="18/03/2024"/>
            <filter val="27/04/2026"/>
            <filter val="16/06/2023"/>
            <filter val="27/02/2024"/>
            <filter val="24/03/2026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9/04/2026"/>
            <filter val="23/06/2023"/>
            <filter val="08/07/2025"/>
            <filter val="09/04/2024"/>
            <filter val="24/03/2023"/>
            <filter val="02/07/2026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07/05/2026"/>
            <filter val="30/01/2024"/>
            <filter val="14/07/2026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10/04/2026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22/04/2026"/>
            <filter val="06/04/2023"/>
            <filter val="06/04/2026"/>
            <filter val="19/05/2026"/>
            <filter val="05/10/2023"/>
            <filter val="20/10/2025"/>
            <filter val="19/05/2023"/>
            <filter val="15/06/2026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20/05/2026"/>
            <filter val="19/10/2023"/>
            <filter val="31/05/2023"/>
            <filter val="28/03/2023"/>
            <filter val="26/09/2025"/>
            <filter val="29/06/2026"/>
            <filter val="29/06/2023"/>
            <filter val="03/04/2024"/>
            <filter val="22/03/2024"/>
            <filter val="05/05/2025"/>
            <filter val="22/03/2023"/>
            <filter val="05/05/2026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8/07/2023"/>
            <filter val="23/05/2025"/>
            <filter val="01/06/2026"/>
            <filter val="26/02/2024"/>
            <filter val="26/02/2026"/>
            <filter val="19/01/2026"/>
            <filter val="03/04/2025"/>
            <filter val="29/09/2023"/>
            <filter val="30/06/2026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27/05/2026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20/09/2023"/>
            <filter val="12/05/2023"/>
            <filter val="22/11/2023"/>
            <filter val="04/11/2024"/>
            <filter val="18/06/2024"/>
            <filter val="18/06/2025"/>
            <filter val="18/06/2026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22/07/2026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19/06/2026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9/05/2026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15/05/2026"/>
            <filter val="26/03/2025"/>
            <filter val="26/03/2024"/>
            <filter val="20/04/2023"/>
            <filter val="07/04/2026"/>
            <filter val="07/04/2025"/>
            <filter val="20/04/2026"/>
            <filter val="25/06/2024"/>
            <filter val="25/06/2026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8/06/2026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04/05/2026"/>
            <filter val="18/02/2025"/>
            <filter val="05/02/2024"/>
            <filter val="06/09/2023"/>
            <filter val="12/12/2024"/>
            <filter val="12/12/2025"/>
            <filter val="04//05/2026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6"/>
            <filter val="22/05/2023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6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30/07/2026"/>
            <filter val="13/04/2026"/>
            <filter val="29/07/2026"/>
            <filter val="24/02/2023"/>
            <filter val="03/03/2023"/>
            <filter val="24/02/2026"/>
            <filter val="21/11/2025"/>
            <filter val="21/08/2023"/>
            <filter val="21/08/2025"/>
            <filter val="17/07/2026"/>
            <filter val="12/02/2025"/>
            <filter val="12/02/2026"/>
            <filter val="28/05/2024"/>
            <filter val="28/05/2026"/>
            <filter val="08/11/2023"/>
            <filter val="08/11/2024"/>
          </filters>
        </filterColumn>
      </autoFilter>
    </customSheetView>
    <customSheetView guid="{7241ABC4-7A48-45ED-A7DF-BA2A467779A1}" filter="1" showAutoFilter="1">
      <autoFilter ref="$A$2:$AV$1278">
        <filterColumn colId="8">
          <filters>
            <filter val="Alteração de C.A"/>
            <filter val="STVM Saída"/>
            <filter val="Troca de Assessoria"/>
            <filter val="Distrato"/>
            <filter val="STVM Entrada"/>
          </filters>
        </filterColumn>
      </autoFilter>
    </customSheetView>
    <customSheetView guid="{CCB54C7E-993A-4B2D-ACB8-60B4B8B158D0}" filter="1" showAutoFilter="1">
      <autoFilter ref="$A$2:$AW$1278">
        <filterColumn colId="8">
          <filters blank="1">
            <filter val="Alteração de C.A"/>
            <filter val="STVM Saída"/>
            <filter val="Troca de Assessoria"/>
            <filter val="Distrato"/>
            <filter val="STVM Entrada"/>
          </filters>
        </filterColumn>
      </autoFilter>
    </customSheetView>
    <customSheetView guid="{4E09A950-F52E-442B-8DC3-BD654493555F}" filter="1" showAutoFilter="1">
      <autoFilter ref="$A$1:$AV$1278"/>
    </customSheetView>
    <customSheetView guid="{98958A95-4992-40C8-8E85-ED54A4B5623A}" filter="1" showAutoFilter="1">
      <autoFilter ref="$A$1:$AT$1278">
        <filterColumn colId="10">
          <filters>
            <filter val="23/12/2025"/>
            <filter val="01/08/2025"/>
            <filter val="24/06/2024"/>
            <filter val="24/06/2025"/>
            <filter val="24/06/2026"/>
            <filter val="03/02/2026"/>
            <filter val="03/02/2025"/>
            <filter val="20/07/2026"/>
            <filter val="11/05/2026"/>
            <filter val="30/04/2025"/>
            <filter val="30/04/2026"/>
            <filter val="30/04/2024"/>
            <filter val="25/05/2026"/>
            <filter val="19/03/2026"/>
            <filter val="11/10/2024"/>
            <filter val="19/03/2024"/>
            <filter val="31/03/2026"/>
            <filter val="24/11/2025"/>
            <filter val="09/06/2026"/>
            <filter val="23/07/2026"/>
            <filter val="23/07/2025"/>
            <filter val="10/06/2024"/>
            <filter val="17/02/2025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4"/>
            <filter val="15/04/2026"/>
            <filter val="17/09/2025"/>
            <filter val="17/09/2024"/>
            <filter val="09/02/2026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6"/>
            <filter val="31/07/2025"/>
            <filter val="25/08/2025"/>
            <filter val="16/12/2024"/>
            <filter val="16/12/2025"/>
            <filter val="05/03/2024"/>
            <filter val="13/07/2026"/>
            <filter val="16/07/2026"/>
            <filter val="18/01/2024"/>
            <filter val="03/05/2024"/>
            <filter val="23/04/2026"/>
            <filter val="23/04/2024"/>
            <filter val="27/06/2025"/>
            <filter val="13/11/2025"/>
            <filter val="20/12/2024"/>
            <filter val="11/09/2024"/>
            <filter val="26/04/2024"/>
            <filter val="27/03//2026"/>
            <filter val="20/03/2025"/>
            <filter val="02/03/2026"/>
            <filter val="20/03/2024"/>
            <filter val="03/06/2024"/>
            <filter val="03/06/2026"/>
            <filter val="03/06/2025"/>
            <filter val="21/05/2025"/>
            <filter val="06/06/2024"/>
            <filter val="09/10/2024"/>
            <filter val="06/06/2025"/>
            <filter val="21/05/2026"/>
            <filter val="01/01/2026"/>
            <filter val="23/03/2026"/>
            <filter val="19/12/2024"/>
            <filter val="10/07/2026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1/06/2026"/>
            <filter val="12/03/2026"/>
            <filter val="16/02/2024"/>
            <filter val="11/06/2025"/>
            <filter val="11/06/2024"/>
            <filter val="09/07/2026"/>
            <filter val="01/07/2025"/>
            <filter val="01/07/2024"/>
            <filter val="06/05/2024"/>
            <filter val="01/07/2026"/>
            <filter val="06/05/2026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6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18/05/2026"/>
            <filter val="06/01/2026"/>
            <filter val="23/01/2026"/>
            <filter val="23/01/2024"/>
            <filter val="21/10/2024"/>
            <filter val="21/10/2025"/>
            <filter val="16/06/2025"/>
            <filter val="28/04/2026"/>
            <filter val="15/07/2024"/>
            <filter val="15/07/2026"/>
            <filter val="17/03/2025"/>
            <filter val="11/08/2025"/>
            <filter val="26/05/2026"/>
            <filter val="30/03/2026"/>
            <filter val="10/12/2024"/>
            <filter val="10/12/2025"/>
            <filter val="11/11/2024"/>
            <filter val="22/12/2025"/>
            <filter val="24/01/2024"/>
            <filter val="24/01/2025"/>
            <filter val="13/05/2026"/>
            <filter val="29/11/2024"/>
            <filter val="13/05/2025"/>
            <filter val="07/10/2024"/>
            <filter val="12/08/2024"/>
            <filter val="17/06/2024"/>
            <filter val="17/06/2025"/>
            <filter val="17/06/2026"/>
            <filter val="18/03/2024"/>
            <filter val="27/04/2026"/>
            <filter val="27/02/2024"/>
            <filter val="24/03/2026"/>
            <filter val="29/08/2025"/>
            <filter val="04/04/2024"/>
            <filter val="15/02/2024"/>
            <filter val="09/04/2025"/>
            <filter val="09/04/2026"/>
            <filter val="08/07/2025"/>
            <filter val="09/04/2024"/>
            <filter val="02/07/2026"/>
            <filter val="02/07/2024"/>
            <filter val="07/05/2024"/>
            <filter val="07/05/2025"/>
            <filter val="08/02/2024"/>
            <filter val="30/01/2026"/>
            <filter val="07/05/2026"/>
            <filter val="30/01/2024"/>
            <filter val="14/07/2026"/>
            <filter val="14/07/2025"/>
            <filter val="06/03/2024"/>
            <filter val="29/01/2026"/>
            <filter val="21/02/2025"/>
            <filter val="21/02/2024"/>
            <filter val="06/03/2026"/>
            <filter val="14/10/2024"/>
            <filter val="15/09/2025"/>
            <filter val="10/04/2026"/>
            <filter val="10/04/2025"/>
            <filter val="10/04/2024"/>
            <filter val="17/01/2024"/>
            <filter val="05/01/2024"/>
            <filter val="05/01/2026"/>
            <filter val="27/09/2024"/>
            <filter val="22/04/2026"/>
            <filter val="06/04/2026"/>
            <filter val="19/05/2026"/>
            <filter val="20/10/2025"/>
            <filter val="15/06/2026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0/05/2026"/>
            <filter val="26/09/2025"/>
            <filter val="29/06/2026"/>
            <filter val="03/04/2024"/>
            <filter val="22/03/2024"/>
            <filter val="05/05/2025"/>
            <filter val="05/05/2026"/>
            <filter val="08/10/2024"/>
            <filter val="08/10/2025"/>
            <filter val="23/02/2026"/>
            <filter val="04/06/2025"/>
            <filter val="04/06/2024"/>
            <filter val="04/03/2026"/>
            <filter val="09/08/2024"/>
            <filter val="04/03/2024"/>
            <filter val="23/02/2024"/>
            <filter val="23/05/2025"/>
            <filter val="01/06/2026"/>
            <filter val="26/02/2024"/>
            <filter val="26/02/2026"/>
            <filter val="19/01/2026"/>
            <filter val="03/04/2025"/>
            <filter val="30/06/2026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27/05/2026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12/05/2026"/>
            <filter val="04/11/2024"/>
            <filter val="18/06/2024"/>
            <filter val="18/06/2025"/>
            <filter val="18/06/2026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22/07/2026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19/06/2026"/>
            <filter val="02/06/2025"/>
            <filter val="25/02/2025"/>
            <filter val="18/12/2025"/>
            <filter val="18/12/2024"/>
            <filter val="25/04/2024"/>
            <filter val="29/05/2026"/>
            <filter val="13/02/2025"/>
            <filter val="29/05/2025"/>
            <filter val="14/06/2024"/>
            <filter val="29/05/2024"/>
            <filter val="15/05/2026"/>
            <filter val="26/03/2025"/>
            <filter val="26/03/2024"/>
            <filter val="07/04/2026"/>
            <filter val="07/04/2025"/>
            <filter val="20/04/2026"/>
            <filter val="25/06/2024"/>
            <filter val="25/06/2026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8/06/2026"/>
            <filter val="02/08/2024"/>
            <filter val="13/09/2024"/>
            <filter val="30/09/2024"/>
            <filter val="27/03/2025"/>
            <filter val="26/06/2024"/>
            <filter val="20/01/2025"/>
            <filter val="10/03/2026"/>
            <filter val="20/01/2026"/>
            <filter val="10/03/2025"/>
            <filter val="04/05/2026"/>
            <filter val="18/02/2025"/>
            <filter val="05/02/2024"/>
            <filter val="12/12/2024"/>
            <filter val="12/12/2025"/>
            <filter val="04//05/2026"/>
            <filter val="05/02/2025"/>
            <filter val="05/02/2026"/>
            <filter val="29/12/2025"/>
            <filter val="21/11/2024"/>
            <filter val="03/11/2025"/>
            <filter val="14/01/2026"/>
            <filter val="22/05/2026"/>
            <filter val="07/06/2024"/>
            <filter val="02/01/2024"/>
            <filter val="09/03/2026"/>
            <filter val="02/01/2025"/>
            <filter val="12/09/2024"/>
            <filter val="03/08/2026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30/07/2026"/>
            <filter val="13/04/2026"/>
            <filter val="29/07/2026"/>
            <filter val="24/02/2026"/>
            <filter val="21/11/2025"/>
            <filter val="21/08/2025"/>
            <filter val="17/07/2026"/>
            <filter val="12/02/2025"/>
            <filter val="12/02/2026"/>
            <filter val="28/05/2024"/>
            <filter val="28/05/2026"/>
            <filter val="08/11/2024"/>
          </filters>
        </filterColumn>
      </autoFilter>
    </customSheetView>
    <customSheetView guid="{BDEA0D28-6EB0-4544-8313-7877B5E9979F}" filter="1" showAutoFilter="1">
      <autoFilter ref="$B$2:$AO$1282"/>
    </customSheetView>
    <customSheetView guid="{B7EA2B43-FFDE-4C9E-B072-96B56F96CE37}" filter="1" showAutoFilter="1">
      <autoFilter ref="$B$2:$AN$1282"/>
    </customSheetView>
    <customSheetView guid="{5C84BDDA-ECA1-49A6-AA70-22484C035470}" filter="1" showAutoFilter="1">
      <autoFilter ref="$J$1:$P$1276"/>
    </customSheetView>
    <customSheetView guid="{B604FAC0-0919-4A33-B240-F21979965E15}" filter="1" showAutoFilter="1">
      <autoFilter ref="$B$2:$AO$1282"/>
    </customSheetView>
    <customSheetView guid="{97ED08F8-0902-4DF2-B169-6E35A244D709}" filter="1" showAutoFilter="1">
      <autoFilter ref="$B$2:$AL$1282"/>
    </customSheetView>
    <customSheetView guid="{0341D29D-7608-4A0E-B511-8874684203B9}" filter="1" showAutoFilter="1">
      <autoFilter ref="$B$2:$AN$1287"/>
    </customSheetView>
    <customSheetView guid="{DBF97924-AD64-437D-8F5D-C0F6C70BE8D1}" filter="1" showAutoFilter="1">
      <autoFilter ref="$A$1:$AW$1278">
        <filterColumn colId="4">
          <filters>
            <filter val="RJ"/>
            <filter val="SUL"/>
            <filter val="BA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GG participações"/>
            <filter val="Bluemetrix"/>
            <filter val="Investeseg"/>
            <filter val="Solution For Life"/>
            <filter val="Escritório"/>
            <filter val="M Wealth"/>
            <filter val="Nexco"/>
          </filters>
        </filterColumn>
      </autoFilter>
    </customSheetView>
    <customSheetView guid="{D4A6E9C6-7410-45D4-B7C4-015122FEDC4D}" filter="1" showAutoFilter="1">
      <autoFilter ref="$A$1:$AQ$1282">
        <filterColumn colId="7">
          <filters blank="1">
            <filter val="Pode Operar"/>
          </filters>
        </filterColumn>
        <filterColumn colId="6">
          <filters blank="1">
            <filter val="Operador"/>
            <filter val="#VALUE!"/>
            <filter val="Marcus"/>
            <filter val="David"/>
            <filter val="Gabriel"/>
          </filters>
        </filterColumn>
      </autoFilter>
    </customSheetView>
    <customSheetView guid="{CE2411D1-E1EA-4B10-9A09-B64AA7454FEF}" filter="1" showAutoFilter="1">
      <autoFilter ref="$B$2:$AN$1282"/>
    </customSheetView>
    <customSheetView guid="{C1CA0EF5-D163-4398-B2A2-BDDFC98F2FB3}" filter="1" showAutoFilter="1">
      <autoFilter ref="$D$2:$F$1287"/>
    </customSheetView>
    <customSheetView guid="{E32AB26C-4D14-444C-AB57-6F022BBBD03C}" filter="1" showAutoFilter="1">
      <autoFilter ref="$AN$2:$AN$1287">
        <filterColumn colId="0">
          <filters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1,735,162.85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59,569.73"/>
            <filter val="R$ 984,540.31"/>
            <filter val="R$ 2,474,330.36"/>
            <filter val="R$ 184,021.08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200,958,619.39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70E57EE2-2FF1-4169-9A89-59FDF3A2B70F}" filter="1" showAutoFilter="1">
      <autoFilter ref="$A$1:$AT$1278"/>
    </customSheetView>
    <customSheetView guid="{7811813C-14A1-4A80-B350-9619658DA978}" filter="1" showAutoFilter="1">
      <autoFilter ref="$A$1:$AQ$1282">
        <filterColumn colId="7">
          <filters blank="1">
            <filter val="Pode Operar"/>
          </filters>
        </filterColumn>
        <filterColumn colId="8">
          <filters blank="1">
            <filter val="Alteração de C.A"/>
            <filter val="STVM Saída"/>
            <filter val="Troca de Assessoria"/>
            <filter val="Distrato"/>
            <filter val="------"/>
            <filter val="STVM Entrada"/>
            <filter val="Situação"/>
            <filter val="Sem Saldo"/>
            <filter val="Monitoramento"/>
          </filters>
        </filterColumn>
        <filterColumn colId="6">
          <filters blank="1">
            <filter val="Operador"/>
            <filter val="#VALUE!"/>
            <filter val="Marcus"/>
            <filter val="David"/>
            <filter val="Gabriel"/>
          </filters>
        </filterColumn>
      </autoFilter>
    </customSheetView>
    <customSheetView guid="{3E31C90A-3057-42E9-B92F-76D1CB60C81E}" filter="1" showAutoFilter="1">
      <autoFilter ref="$A$2:$AW$1278">
        <filterColumn colId="12">
          <filters>
            <filter val="ARR"/>
            <filter val="INC/ COADM"/>
            <filter val="DIV/ COADM"/>
            <filter val="CRIP"/>
            <filter val="STOCK"/>
            <filter val="EQT/ COADM"/>
            <filter val="BDR"/>
            <filter val="MOD/ PREV MOD/ COADM"/>
            <filter val="PREV"/>
            <filter val="CON/ GR/ COADM"/>
            <filter val="MONT/ COADM"/>
            <filter val="MOD"/>
            <filter val="CON"/>
            <filter val="MULT PRIV/ CO ADM"/>
            <filter val="FII"/>
            <filter val="EQT"/>
            <filter val="CON/ COADM"/>
            <filter val="MULT PRIV"/>
            <filter val="CONsUL M Wealth"/>
            <filter val="CON/ GR"/>
            <filter val="DIV"/>
            <filter val="MOD/ COADM"/>
            <filter val="INC CP"/>
            <filter val="CORP"/>
            <filter val="CONSUL M Wealth"/>
            <filter val="SMLL"/>
            <filter val="MOD/ GR"/>
            <filter val="INC CP/ COADM"/>
          </filters>
        </filterColumn>
        <filterColumn colId="8">
          <filters blank="1">
            <filter val="Alteração de C.A"/>
            <filter val="STVM Saída"/>
            <filter val="Troca de Assessoria"/>
            <filter val="Distrato"/>
            <filter val="------"/>
            <filter val="STVM Entrada"/>
            <filter val="Sem Saldo"/>
          </filters>
        </filterColumn>
        <filterColumn colId="7">
          <filters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8FF0F0BD-2ABF-4564-9B1A-9F23E317D8DE}" filter="1" showAutoFilter="1">
      <autoFilter ref="$A$2:$AU$1278"/>
    </customSheetView>
    <customSheetView guid="{BC0B1DB1-8786-41B4-8FFF-B82431D10F35}" filter="1" showAutoFilter="1">
      <autoFilter ref="$B$2:$AO$1287">
        <filterColumn colId="39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67C01C50-489A-43C6-898D-F58DB0C2FE7C}" filter="1" showAutoFilter="1">
      <autoFilter ref="$K$2:$K$1287"/>
    </customSheetView>
  </customSheetViews>
  <mergeCells count="4">
    <mergeCell ref="A1:F1"/>
    <mergeCell ref="H1:I1"/>
    <mergeCell ref="J1:P1"/>
    <mergeCell ref="S1:AE1"/>
  </mergeCells>
  <conditionalFormatting sqref="E3:E1280">
    <cfRule type="cellIs" dxfId="1" priority="1" operator="equal">
      <formula>"Conquest"</formula>
    </cfRule>
  </conditionalFormatting>
  <conditionalFormatting sqref="E3:E1280">
    <cfRule type="cellIs" dxfId="2" priority="2" operator="equal">
      <formula>"Voga"</formula>
    </cfRule>
  </conditionalFormatting>
  <conditionalFormatting sqref="Z3:AA860 Z863:AA1280">
    <cfRule type="notContainsBlanks" dxfId="0" priority="3">
      <formula>LEN(TRIM(Z3))&gt;0</formula>
    </cfRule>
  </conditionalFormatting>
  <dataValidations>
    <dataValidation type="list" allowBlank="1" showErrorMessage="1" sqref="I3:I1280">
      <formula1>"------,Sem Saldo,STVM Entrada,STVM Saída,Alteração de C.A,Monitoramento,Bloqueado,Resgate,Resgate Total,Troca de Assessoria,Distrato"</formula1>
    </dataValidation>
    <dataValidation type="list" allowBlank="1" showErrorMessage="1" sqref="Z3:AA860 Z862:AA862 Z864:AA1280">
      <formula1>"Conservador,Moderado,Arrojado"</formula1>
    </dataValidation>
    <dataValidation type="list" allowBlank="1" showErrorMessage="1" sqref="Y3:Y1280">
      <formula1>"Ativo,Inativo,Encerrado"</formula1>
    </dataValidation>
    <dataValidation type="list" allowBlank="1" showErrorMessage="1" sqref="D3:D1280">
      <formula1>"Bluemetrix,Voga,Conquest,VcInvest,Miura,Altum,Poupinvista,Solution For Life,MI Smart,Expert,OP Club,Nexco,GG participações,M Wealth,Investeseg"</formula1>
    </dataValidation>
    <dataValidation type="list" allowBlank="1" showErrorMessage="1" sqref="AB3:AB262 AB264:AB860 AB862 AB864:AB1280">
      <formula1>"Não Qualificado,Qualificado,Profissional"</formula1>
    </dataValidation>
    <dataValidation type="list" allowBlank="1" showErrorMessage="1" sqref="O837:O838 O1249">
      <formula1>"IBOV,CDI,------,IFIX,SMALL,S&amp;P 500,IPCA,IPCA +7% "</formula1>
    </dataValidation>
    <dataValidation type="list" allowBlank="1" showErrorMessage="1" sqref="O3:O492 O495:O836 O839:O1248 O1250:O1280">
      <formula1>"IBOVESPA,CDI,------,IFIX,SMLL,S&amp;P 500,IPCA,IPCA + 7%"</formula1>
    </dataValidation>
    <dataValidation type="list" allowBlank="1" showErrorMessage="1" sqref="O493:O494">
      <formula1>"IBOV,CDI,------,IFIX,SMALL,S&amp;P 500"</formula1>
    </dataValidation>
    <dataValidation type="list" allowBlank="1" showErrorMessage="1" sqref="E3:E1280">
      <formula1>"DF,GO,SUL,SP,RJ,BA"</formula1>
    </dataValidation>
    <dataValidation type="list" allowBlank="1" showErrorMessage="1" sqref="H3:H1280">
      <formula1>"Ativo,Inativo,Encerrado,Pode Operar"</formula1>
    </dataValidation>
    <dataValidation type="list" allowBlank="1" showErrorMessage="1" sqref="S3:S1280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2.63"/>
    <col customWidth="1" min="22" max="22" width="26.5"/>
    <col customWidth="1" min="23" max="23" width="9.38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min="32" max="52" width="18.75"/>
  </cols>
  <sheetData>
    <row r="1" ht="15.75" customHeight="1">
      <c r="A1" s="2" t="s">
        <v>0</v>
      </c>
      <c r="G1" s="14" t="s">
        <v>3</v>
      </c>
      <c r="H1" s="5" t="s">
        <v>6</v>
      </c>
      <c r="J1" s="2" t="s">
        <v>0</v>
      </c>
      <c r="Q1" s="14" t="s">
        <v>3</v>
      </c>
      <c r="R1" s="17" t="s">
        <v>0</v>
      </c>
      <c r="S1" s="9" t="s">
        <v>13</v>
      </c>
      <c r="AF1" s="11" t="s">
        <v>18</v>
      </c>
      <c r="AG1" s="11" t="s">
        <v>18</v>
      </c>
      <c r="AH1" s="11" t="s">
        <v>18</v>
      </c>
      <c r="AI1" s="11" t="s">
        <v>18</v>
      </c>
      <c r="AJ1" s="11" t="s">
        <v>18</v>
      </c>
      <c r="AK1" s="11" t="s">
        <v>18</v>
      </c>
      <c r="AL1" s="11" t="s">
        <v>18</v>
      </c>
      <c r="AM1" s="11" t="s">
        <v>18</v>
      </c>
      <c r="AN1" s="11" t="s">
        <v>18</v>
      </c>
      <c r="AO1" s="11" t="s">
        <v>18</v>
      </c>
      <c r="AP1" s="11" t="s">
        <v>18</v>
      </c>
      <c r="AQ1" s="11" t="s">
        <v>18</v>
      </c>
      <c r="AR1" s="11" t="s">
        <v>18</v>
      </c>
      <c r="AS1" s="11" t="s">
        <v>18</v>
      </c>
      <c r="AT1" s="11" t="s">
        <v>18</v>
      </c>
      <c r="AU1" s="11" t="s">
        <v>18</v>
      </c>
      <c r="AV1" s="11" t="s">
        <v>18</v>
      </c>
      <c r="AW1" s="11" t="s">
        <v>18</v>
      </c>
      <c r="AX1" s="11" t="s">
        <v>18</v>
      </c>
      <c r="AY1" s="11" t="s">
        <v>18</v>
      </c>
      <c r="AZ1" s="24" t="s">
        <v>18</v>
      </c>
    </row>
    <row r="2" ht="15.75" customHeight="1">
      <c r="A2" s="25" t="s">
        <v>31</v>
      </c>
      <c r="B2" s="12" t="s">
        <v>33</v>
      </c>
      <c r="C2" s="25" t="s">
        <v>2</v>
      </c>
      <c r="D2" s="28" t="s">
        <v>4</v>
      </c>
      <c r="E2" s="28" t="s">
        <v>5</v>
      </c>
      <c r="F2" s="28" t="s">
        <v>7</v>
      </c>
      <c r="G2" s="28" t="s">
        <v>36</v>
      </c>
      <c r="H2" s="28" t="s">
        <v>37</v>
      </c>
      <c r="I2" s="28" t="s">
        <v>38</v>
      </c>
      <c r="J2" s="28" t="s">
        <v>39</v>
      </c>
      <c r="K2" s="25" t="s">
        <v>41</v>
      </c>
      <c r="L2" s="25" t="s">
        <v>42</v>
      </c>
      <c r="M2" s="25" t="s">
        <v>12</v>
      </c>
      <c r="N2" s="25" t="s">
        <v>45</v>
      </c>
      <c r="O2" s="12" t="s">
        <v>46</v>
      </c>
      <c r="P2" s="25" t="s">
        <v>16</v>
      </c>
      <c r="Q2" s="35" t="s">
        <v>9</v>
      </c>
      <c r="R2" s="36" t="s">
        <v>48</v>
      </c>
      <c r="S2" s="28" t="s">
        <v>50</v>
      </c>
      <c r="T2" s="12" t="s">
        <v>17</v>
      </c>
      <c r="U2" s="12" t="s">
        <v>19</v>
      </c>
      <c r="V2" s="12" t="s">
        <v>20</v>
      </c>
      <c r="W2" s="12" t="s">
        <v>21</v>
      </c>
      <c r="X2" s="25" t="s">
        <v>22</v>
      </c>
      <c r="Y2" s="12" t="s">
        <v>56</v>
      </c>
      <c r="Z2" s="12" t="s">
        <v>57</v>
      </c>
      <c r="AA2" s="12" t="s">
        <v>58</v>
      </c>
      <c r="AB2" s="25" t="s">
        <v>60</v>
      </c>
      <c r="AC2" s="38" t="s">
        <v>62</v>
      </c>
      <c r="AD2" s="38" t="s">
        <v>63</v>
      </c>
      <c r="AE2" s="38" t="s">
        <v>64</v>
      </c>
      <c r="AF2" s="38" t="s">
        <v>65</v>
      </c>
      <c r="AG2" s="38" t="s">
        <v>67</v>
      </c>
      <c r="AH2" s="38" t="s">
        <v>68</v>
      </c>
      <c r="AI2" s="38" t="s">
        <v>70</v>
      </c>
      <c r="AJ2" s="38" t="s">
        <v>72</v>
      </c>
      <c r="AK2" s="38" t="s">
        <v>74</v>
      </c>
      <c r="AL2" s="38" t="s">
        <v>75</v>
      </c>
      <c r="AM2" s="38" t="s">
        <v>76</v>
      </c>
      <c r="AN2" s="38" t="s">
        <v>78</v>
      </c>
      <c r="AO2" s="38" t="s">
        <v>79</v>
      </c>
      <c r="AP2" s="38" t="s">
        <v>81</v>
      </c>
      <c r="AQ2" s="38" t="s">
        <v>82</v>
      </c>
      <c r="AR2" s="38" t="s">
        <v>84</v>
      </c>
      <c r="AS2" s="38" t="s">
        <v>85</v>
      </c>
      <c r="AT2" s="38" t="s">
        <v>87</v>
      </c>
      <c r="AU2" s="38" t="s">
        <v>88</v>
      </c>
      <c r="AV2" s="38" t="s">
        <v>90</v>
      </c>
      <c r="AW2" s="38" t="s">
        <v>92</v>
      </c>
      <c r="AX2" s="38" t="s">
        <v>94</v>
      </c>
      <c r="AY2" s="38" t="s">
        <v>95</v>
      </c>
      <c r="AZ2" s="38" t="s">
        <v>97</v>
      </c>
    </row>
    <row r="3" ht="15.75" customHeight="1">
      <c r="A3" s="42" t="s">
        <v>98</v>
      </c>
      <c r="B3" s="43" t="s">
        <v>99</v>
      </c>
      <c r="C3" s="32">
        <v>3757672.0</v>
      </c>
      <c r="D3" s="23" t="s">
        <v>142</v>
      </c>
      <c r="E3" s="32" t="s">
        <v>54</v>
      </c>
      <c r="F3" s="23" t="s">
        <v>158</v>
      </c>
      <c r="G3" s="47" t="str">
        <f t="shared" ref="G3:G132" si="1">IFS($AZ$3:$AZ$993&lt;=250000,"David",$AZ$3:$AZ$993&lt;=800000,"Gabriel", $AZ$3:$AZ$993&gt;800000,"Marcus")</f>
        <v>Gabriel</v>
      </c>
      <c r="H3" s="49" t="s">
        <v>183</v>
      </c>
      <c r="I3" s="49" t="s">
        <v>66</v>
      </c>
      <c r="J3" s="47" t="str">
        <f t="shared" ref="J3:J57" si="2">IF(Q3=0,"Não","Sim")</f>
        <v>Não</v>
      </c>
      <c r="K3" s="54">
        <v>45840.0</v>
      </c>
      <c r="L3" s="55"/>
      <c r="M3" s="32" t="s">
        <v>61</v>
      </c>
      <c r="N3" s="56">
        <v>0.012</v>
      </c>
      <c r="O3" s="23" t="s">
        <v>66</v>
      </c>
      <c r="P3" s="57">
        <v>0.0</v>
      </c>
      <c r="Q3" s="58"/>
      <c r="R3" s="58"/>
      <c r="S3" s="32" t="s">
        <v>194</v>
      </c>
      <c r="T3" s="32" t="s">
        <v>196</v>
      </c>
      <c r="U3" s="32" t="s">
        <v>197</v>
      </c>
      <c r="V3" s="32" t="s">
        <v>198</v>
      </c>
      <c r="W3" s="55">
        <v>23179.0</v>
      </c>
      <c r="X3" s="23" t="s">
        <v>54</v>
      </c>
      <c r="Y3" s="60" t="str">
        <f t="shared" ref="Y3:Y27" si="3">IFS(H:H="Encerrado","Encerrado",COUNTBLANK(AF3:AN3)&gt;0,"Ativo",SUM(AF3:AN3)=0,"Inativo",SUM(AF3:AN3)&gt;0,"Ativo")</f>
        <v>Ativo</v>
      </c>
      <c r="Z3" s="62"/>
      <c r="AA3" s="32" t="s">
        <v>165</v>
      </c>
      <c r="AB3" s="64"/>
      <c r="AC3" s="65"/>
      <c r="AD3" s="67">
        <v>45840.0</v>
      </c>
      <c r="AE3" s="69">
        <v>4.9075100019258E13</v>
      </c>
      <c r="AF3" s="65"/>
      <c r="AG3" s="65"/>
      <c r="AH3" s="65"/>
      <c r="AI3" s="65"/>
      <c r="AJ3" s="65"/>
      <c r="AK3" s="65"/>
      <c r="AL3" s="65"/>
      <c r="AM3" s="65"/>
      <c r="AN3" s="71">
        <v>144331.953</v>
      </c>
      <c r="AO3" s="71">
        <v>142905.9355</v>
      </c>
      <c r="AP3" s="72">
        <v>144341.8822</v>
      </c>
      <c r="AQ3" s="72">
        <v>146055.6727</v>
      </c>
      <c r="AR3" s="72">
        <v>147170.0944</v>
      </c>
      <c r="AS3" s="72">
        <v>148443.6479</v>
      </c>
      <c r="AT3" s="72">
        <v>260339.5259</v>
      </c>
      <c r="AU3" s="72">
        <v>262739.3774</v>
      </c>
      <c r="AV3" s="72">
        <v>265297.4272</v>
      </c>
      <c r="AW3" s="72">
        <v>268181.36</v>
      </c>
      <c r="AX3" s="72">
        <v>270597.7351</v>
      </c>
      <c r="AY3" s="72">
        <v>273498.9019</v>
      </c>
      <c r="AZ3" s="65">
        <f t="array" ref="AZ3">XLOOKUP(C3,'PL TOTAL D0'!K:K,'PL TOTAL D0'!L:L,"")</f>
        <v>276308.6568</v>
      </c>
    </row>
    <row r="4" ht="15.75" customHeight="1">
      <c r="A4" s="42" t="s">
        <v>98</v>
      </c>
      <c r="B4" s="43" t="s">
        <v>99</v>
      </c>
      <c r="C4" s="32">
        <v>1.8408485E7</v>
      </c>
      <c r="D4" s="23" t="s">
        <v>142</v>
      </c>
      <c r="E4" s="32" t="s">
        <v>54</v>
      </c>
      <c r="F4" s="23" t="s">
        <v>158</v>
      </c>
      <c r="G4" s="47" t="str">
        <f t="shared" si="1"/>
        <v>David</v>
      </c>
      <c r="H4" s="49" t="s">
        <v>183</v>
      </c>
      <c r="I4" s="49" t="s">
        <v>66</v>
      </c>
      <c r="J4" s="47" t="str">
        <f t="shared" si="2"/>
        <v>Não</v>
      </c>
      <c r="K4" s="54">
        <v>45866.0</v>
      </c>
      <c r="L4" s="55"/>
      <c r="M4" s="32" t="s">
        <v>231</v>
      </c>
      <c r="N4" s="56">
        <v>0.025</v>
      </c>
      <c r="O4" s="23" t="s">
        <v>233</v>
      </c>
      <c r="P4" s="57">
        <v>0.2</v>
      </c>
      <c r="Q4" s="58"/>
      <c r="R4" s="58"/>
      <c r="S4" s="32" t="s">
        <v>194</v>
      </c>
      <c r="T4" s="32" t="s">
        <v>196</v>
      </c>
      <c r="U4" s="32" t="s">
        <v>197</v>
      </c>
      <c r="V4" s="32" t="s">
        <v>198</v>
      </c>
      <c r="W4" s="55">
        <v>23179.0</v>
      </c>
      <c r="X4" s="23" t="s">
        <v>54</v>
      </c>
      <c r="Y4" s="60" t="str">
        <f t="shared" si="3"/>
        <v>Ativo</v>
      </c>
      <c r="Z4" s="62"/>
      <c r="AA4" s="32" t="s">
        <v>165</v>
      </c>
      <c r="AB4" s="64"/>
      <c r="AC4" s="65"/>
      <c r="AD4" s="86">
        <v>45881.0</v>
      </c>
      <c r="AE4" s="69">
        <v>4.9075100019355E13</v>
      </c>
      <c r="AF4" s="65"/>
      <c r="AG4" s="65"/>
      <c r="AH4" s="65"/>
      <c r="AI4" s="65"/>
      <c r="AJ4" s="65"/>
      <c r="AK4" s="65"/>
      <c r="AL4" s="65"/>
      <c r="AM4" s="65"/>
      <c r="AN4" s="71">
        <v>100.0</v>
      </c>
      <c r="AO4" s="71">
        <v>53659.64</v>
      </c>
      <c r="AP4" s="72">
        <v>62438.8</v>
      </c>
      <c r="AQ4" s="72">
        <v>63293.59</v>
      </c>
      <c r="AR4" s="72">
        <v>65878.76</v>
      </c>
      <c r="AS4" s="72">
        <v>67022.39</v>
      </c>
      <c r="AT4" s="72">
        <v>73515.96</v>
      </c>
      <c r="AU4" s="72">
        <v>76142.0</v>
      </c>
      <c r="AV4" s="72">
        <v>75570.13</v>
      </c>
      <c r="AW4" s="72">
        <v>75868.5</v>
      </c>
      <c r="AX4" s="72">
        <v>71064.05</v>
      </c>
      <c r="AY4" s="72">
        <v>73223.4</v>
      </c>
      <c r="AZ4" s="65">
        <f t="array" ref="AZ4">XLOOKUP(C4,'PL TOTAL D0'!K:K,'PL TOTAL D0'!L:L,"")</f>
        <v>72629.59</v>
      </c>
    </row>
    <row r="5" ht="15.75" customHeight="1">
      <c r="A5" s="42" t="s">
        <v>98</v>
      </c>
      <c r="B5" s="43" t="s">
        <v>246</v>
      </c>
      <c r="C5" s="32">
        <v>1.9584661E7</v>
      </c>
      <c r="D5" s="23" t="s">
        <v>249</v>
      </c>
      <c r="E5" s="32" t="s">
        <v>199</v>
      </c>
      <c r="F5" s="23" t="s">
        <v>251</v>
      </c>
      <c r="G5" s="47" t="str">
        <f t="shared" si="1"/>
        <v>David</v>
      </c>
      <c r="H5" s="49" t="s">
        <v>183</v>
      </c>
      <c r="I5" s="49" t="s">
        <v>66</v>
      </c>
      <c r="J5" s="47" t="str">
        <f t="shared" si="2"/>
        <v>Sim</v>
      </c>
      <c r="K5" s="54">
        <v>46169.0</v>
      </c>
      <c r="L5" s="55"/>
      <c r="M5" s="32" t="s">
        <v>61</v>
      </c>
      <c r="N5" s="56">
        <v>0.012</v>
      </c>
      <c r="O5" s="23" t="s">
        <v>66</v>
      </c>
      <c r="P5" s="57">
        <v>0.0</v>
      </c>
      <c r="Q5" s="58" t="s">
        <v>258</v>
      </c>
      <c r="R5" s="58"/>
      <c r="S5" s="32" t="s">
        <v>194</v>
      </c>
      <c r="T5" s="32" t="s">
        <v>259</v>
      </c>
      <c r="U5" s="32" t="s">
        <v>260</v>
      </c>
      <c r="V5" s="32" t="s">
        <v>261</v>
      </c>
      <c r="W5" s="55">
        <v>31348.0</v>
      </c>
      <c r="X5" s="23" t="s">
        <v>199</v>
      </c>
      <c r="Y5" s="60" t="str">
        <f t="shared" si="3"/>
        <v>Ativo</v>
      </c>
      <c r="Z5" s="62"/>
      <c r="AA5" s="32" t="s">
        <v>47</v>
      </c>
      <c r="AB5" s="64"/>
      <c r="AC5" s="65"/>
      <c r="AD5" s="86"/>
      <c r="AE5" s="69"/>
      <c r="AF5" s="65"/>
      <c r="AG5" s="65"/>
      <c r="AH5" s="65"/>
      <c r="AI5" s="65"/>
      <c r="AJ5" s="65"/>
      <c r="AK5" s="65"/>
      <c r="AL5" s="65"/>
      <c r="AM5" s="65"/>
      <c r="AN5" s="71"/>
      <c r="AO5" s="71"/>
      <c r="AP5" s="72"/>
      <c r="AQ5" s="72"/>
      <c r="AR5" s="72"/>
      <c r="AS5" s="72"/>
      <c r="AT5" s="72"/>
      <c r="AU5" s="72"/>
      <c r="AV5" s="72"/>
      <c r="AW5" s="72"/>
      <c r="AX5" s="72">
        <v>0.0</v>
      </c>
      <c r="AY5" s="72">
        <v>0.0</v>
      </c>
      <c r="AZ5" s="65">
        <f t="array" ref="AZ5">XLOOKUP(C5,'PL TOTAL D0'!K:K,'PL TOTAL D0'!L:L,"")</f>
        <v>0</v>
      </c>
    </row>
    <row r="6" ht="15.75" customHeight="1">
      <c r="A6" s="42" t="s">
        <v>98</v>
      </c>
      <c r="B6" s="43" t="s">
        <v>273</v>
      </c>
      <c r="C6" s="32">
        <v>3227135.0</v>
      </c>
      <c r="D6" s="23" t="s">
        <v>210</v>
      </c>
      <c r="E6" s="32" t="s">
        <v>199</v>
      </c>
      <c r="F6" s="23" t="s">
        <v>275</v>
      </c>
      <c r="G6" s="47" t="str">
        <f t="shared" si="1"/>
        <v>Gabriel</v>
      </c>
      <c r="H6" s="49" t="s">
        <v>183</v>
      </c>
      <c r="I6" s="49" t="s">
        <v>66</v>
      </c>
      <c r="J6" s="47" t="str">
        <f t="shared" si="2"/>
        <v>Não</v>
      </c>
      <c r="K6" s="54">
        <v>45716.0</v>
      </c>
      <c r="L6" s="55"/>
      <c r="M6" s="32" t="s">
        <v>61</v>
      </c>
      <c r="N6" s="56">
        <v>0.012</v>
      </c>
      <c r="O6" s="23" t="s">
        <v>66</v>
      </c>
      <c r="P6" s="57">
        <v>0.0</v>
      </c>
      <c r="Q6" s="58"/>
      <c r="R6" s="58"/>
      <c r="S6" s="32" t="s">
        <v>234</v>
      </c>
      <c r="T6" s="32" t="s">
        <v>280</v>
      </c>
      <c r="U6" s="32" t="s">
        <v>281</v>
      </c>
      <c r="V6" s="32" t="s">
        <v>282</v>
      </c>
      <c r="W6" s="32" t="s">
        <v>234</v>
      </c>
      <c r="X6" s="23" t="s">
        <v>199</v>
      </c>
      <c r="Y6" s="60" t="str">
        <f t="shared" si="3"/>
        <v>Ativo</v>
      </c>
      <c r="Z6" s="62"/>
      <c r="AA6" s="32" t="s">
        <v>107</v>
      </c>
      <c r="AB6" s="64"/>
      <c r="AC6" s="65"/>
      <c r="AD6" s="101">
        <v>45716.0</v>
      </c>
      <c r="AE6" s="69">
        <v>4.9075100017883E13</v>
      </c>
      <c r="AF6" s="65"/>
      <c r="AG6" s="65"/>
      <c r="AH6" s="65"/>
      <c r="AI6" s="65">
        <v>842201.1217</v>
      </c>
      <c r="AJ6" s="65">
        <v>820350.3962</v>
      </c>
      <c r="AK6" s="65">
        <v>832914.4009</v>
      </c>
      <c r="AL6" s="65">
        <v>840525.347</v>
      </c>
      <c r="AM6" s="65">
        <v>840554.6236</v>
      </c>
      <c r="AN6" s="71">
        <v>731771.9709</v>
      </c>
      <c r="AO6" s="71">
        <v>678081.3477</v>
      </c>
      <c r="AP6" s="72">
        <v>650393.3255</v>
      </c>
      <c r="AQ6" s="72">
        <v>656400.559</v>
      </c>
      <c r="AR6" s="72">
        <v>628389.0682</v>
      </c>
      <c r="AS6" s="72">
        <v>631304.1708</v>
      </c>
      <c r="AT6" s="72">
        <v>631089.143</v>
      </c>
      <c r="AU6" s="72">
        <v>632622.0202</v>
      </c>
      <c r="AV6" s="72">
        <v>499988.4242</v>
      </c>
      <c r="AW6" s="72">
        <v>467612.11</v>
      </c>
      <c r="AX6" s="72">
        <v>378002.9049</v>
      </c>
      <c r="AY6" s="72">
        <v>303308.5801</v>
      </c>
      <c r="AZ6" s="65">
        <f t="array" ref="AZ6">XLOOKUP(C6,'PL TOTAL D0'!K:K,'PL TOTAL D0'!L:L,"")</f>
        <v>334477.3519</v>
      </c>
    </row>
    <row r="7" ht="15.75" customHeight="1">
      <c r="A7" s="42" t="s">
        <v>98</v>
      </c>
      <c r="B7" s="43" t="s">
        <v>291</v>
      </c>
      <c r="C7" s="32">
        <v>3345620.0</v>
      </c>
      <c r="D7" s="23" t="s">
        <v>120</v>
      </c>
      <c r="E7" s="32" t="s">
        <v>199</v>
      </c>
      <c r="F7" s="23" t="s">
        <v>290</v>
      </c>
      <c r="G7" s="47" t="str">
        <f t="shared" si="1"/>
        <v>David</v>
      </c>
      <c r="H7" s="49" t="s">
        <v>183</v>
      </c>
      <c r="I7" s="49" t="s">
        <v>66</v>
      </c>
      <c r="J7" s="47" t="str">
        <f t="shared" si="2"/>
        <v>Não</v>
      </c>
      <c r="K7" s="54">
        <v>45693.0</v>
      </c>
      <c r="L7" s="55"/>
      <c r="M7" s="32" t="s">
        <v>61</v>
      </c>
      <c r="N7" s="56">
        <v>0.01</v>
      </c>
      <c r="O7" s="23" t="s">
        <v>66</v>
      </c>
      <c r="P7" s="57">
        <v>0.0</v>
      </c>
      <c r="Q7" s="58"/>
      <c r="R7" s="58"/>
      <c r="S7" s="32" t="s">
        <v>194</v>
      </c>
      <c r="T7" s="32" t="s">
        <v>298</v>
      </c>
      <c r="U7" s="32" t="s">
        <v>300</v>
      </c>
      <c r="V7" s="32" t="s">
        <v>302</v>
      </c>
      <c r="W7" s="55">
        <v>22296.0</v>
      </c>
      <c r="X7" s="23" t="s">
        <v>199</v>
      </c>
      <c r="Y7" s="60" t="str">
        <f t="shared" si="3"/>
        <v>Ativo</v>
      </c>
      <c r="Z7" s="62"/>
      <c r="AA7" s="32" t="s">
        <v>47</v>
      </c>
      <c r="AB7" s="64"/>
      <c r="AC7" s="65"/>
      <c r="AD7" s="101">
        <v>45693.0</v>
      </c>
      <c r="AE7" s="69">
        <v>4.9075100017786E13</v>
      </c>
      <c r="AF7" s="65"/>
      <c r="AG7" s="65"/>
      <c r="AH7" s="65">
        <v>0.0</v>
      </c>
      <c r="AI7" s="65">
        <v>220942.88</v>
      </c>
      <c r="AJ7" s="65">
        <v>222804.2328</v>
      </c>
      <c r="AK7" s="65">
        <v>222781.1073</v>
      </c>
      <c r="AL7" s="65">
        <v>223578.5265</v>
      </c>
      <c r="AM7" s="65">
        <v>225342.0012</v>
      </c>
      <c r="AN7" s="71">
        <v>228033.3264</v>
      </c>
      <c r="AO7" s="71">
        <v>229031.434</v>
      </c>
      <c r="AP7" s="72">
        <v>231975.3276</v>
      </c>
      <c r="AQ7" s="72">
        <v>233960.1968</v>
      </c>
      <c r="AR7" s="72">
        <v>234330.7447</v>
      </c>
      <c r="AS7" s="72">
        <v>235902.9453</v>
      </c>
      <c r="AT7" s="72">
        <v>234990.1144</v>
      </c>
      <c r="AU7" s="72">
        <v>232989.0719</v>
      </c>
      <c r="AV7" s="72">
        <v>233605.1691</v>
      </c>
      <c r="AW7" s="72">
        <v>226088.08</v>
      </c>
      <c r="AX7" s="72">
        <v>224469.08</v>
      </c>
      <c r="AY7" s="72">
        <v>220949.4823</v>
      </c>
      <c r="AZ7" s="65">
        <f t="array" ref="AZ7">XLOOKUP(C7,'PL TOTAL D0'!K:K,'PL TOTAL D0'!L:L,"")</f>
        <v>217332.2785</v>
      </c>
    </row>
    <row r="8" ht="15.75" customHeight="1">
      <c r="A8" s="42" t="s">
        <v>98</v>
      </c>
      <c r="B8" s="43" t="s">
        <v>313</v>
      </c>
      <c r="C8" s="32">
        <v>6853541.0</v>
      </c>
      <c r="D8" s="23" t="s">
        <v>210</v>
      </c>
      <c r="E8" s="32" t="s">
        <v>199</v>
      </c>
      <c r="F8" s="23" t="s">
        <v>275</v>
      </c>
      <c r="G8" s="47" t="str">
        <f t="shared" si="1"/>
        <v>Marcus</v>
      </c>
      <c r="H8" s="49" t="s">
        <v>183</v>
      </c>
      <c r="I8" s="49" t="s">
        <v>66</v>
      </c>
      <c r="J8" s="47" t="str">
        <f t="shared" si="2"/>
        <v>Sim</v>
      </c>
      <c r="K8" s="54">
        <v>45706.0</v>
      </c>
      <c r="L8" s="55"/>
      <c r="M8" s="32" t="s">
        <v>61</v>
      </c>
      <c r="N8" s="56">
        <v>0.012</v>
      </c>
      <c r="O8" s="23" t="s">
        <v>66</v>
      </c>
      <c r="P8" s="57">
        <v>0.0</v>
      </c>
      <c r="Q8" s="58" t="s">
        <v>314</v>
      </c>
      <c r="R8" s="58" t="s">
        <v>315</v>
      </c>
      <c r="S8" s="32" t="s">
        <v>194</v>
      </c>
      <c r="T8" s="32" t="s">
        <v>316</v>
      </c>
      <c r="U8" s="32" t="s">
        <v>317</v>
      </c>
      <c r="V8" s="32" t="s">
        <v>318</v>
      </c>
      <c r="W8" s="55">
        <v>28224.0</v>
      </c>
      <c r="X8" s="23" t="s">
        <v>199</v>
      </c>
      <c r="Y8" s="60" t="str">
        <f t="shared" si="3"/>
        <v>Ativo</v>
      </c>
      <c r="Z8" s="62"/>
      <c r="AA8" s="32" t="s">
        <v>107</v>
      </c>
      <c r="AB8" s="64"/>
      <c r="AC8" s="65"/>
      <c r="AD8" s="101">
        <v>45706.0</v>
      </c>
      <c r="AE8" s="69">
        <v>4.9075100018049E13</v>
      </c>
      <c r="AF8" s="65"/>
      <c r="AG8" s="65"/>
      <c r="AH8" s="65"/>
      <c r="AI8" s="65">
        <v>1308459.261</v>
      </c>
      <c r="AJ8" s="65">
        <v>1310131.27</v>
      </c>
      <c r="AK8" s="65">
        <v>1257958.084</v>
      </c>
      <c r="AL8" s="65">
        <v>1244862.0</v>
      </c>
      <c r="AM8" s="65">
        <v>1250582.263</v>
      </c>
      <c r="AN8" s="71">
        <v>1194830.34</v>
      </c>
      <c r="AO8" s="71">
        <v>1215000.106</v>
      </c>
      <c r="AP8" s="72">
        <v>1247894.456</v>
      </c>
      <c r="AQ8" s="72">
        <v>1265149.476</v>
      </c>
      <c r="AR8" s="72">
        <v>1271935.095</v>
      </c>
      <c r="AS8" s="72">
        <v>1099430.721</v>
      </c>
      <c r="AT8" s="72">
        <v>1112984.411</v>
      </c>
      <c r="AU8" s="72">
        <v>1260354.569</v>
      </c>
      <c r="AV8" s="72">
        <v>1127073.751</v>
      </c>
      <c r="AW8" s="72">
        <v>1152364.46</v>
      </c>
      <c r="AX8" s="72">
        <v>1062329.69</v>
      </c>
      <c r="AY8" s="72">
        <v>1030096.63</v>
      </c>
      <c r="AZ8" s="65">
        <f t="array" ref="AZ8">XLOOKUP(C8,'PL TOTAL D0'!K:K,'PL TOTAL D0'!L:L,"")</f>
        <v>1027647.248</v>
      </c>
    </row>
    <row r="9" ht="15.75" customHeight="1">
      <c r="A9" s="42" t="s">
        <v>98</v>
      </c>
      <c r="B9" s="43" t="s">
        <v>323</v>
      </c>
      <c r="C9" s="32">
        <v>1.5466228E7</v>
      </c>
      <c r="D9" s="23" t="s">
        <v>210</v>
      </c>
      <c r="E9" s="32" t="s">
        <v>199</v>
      </c>
      <c r="F9" s="23" t="s">
        <v>275</v>
      </c>
      <c r="G9" s="47" t="str">
        <f t="shared" si="1"/>
        <v>Marcus</v>
      </c>
      <c r="H9" s="49" t="s">
        <v>224</v>
      </c>
      <c r="I9" s="49" t="s">
        <v>66</v>
      </c>
      <c r="J9" s="47" t="str">
        <f t="shared" si="2"/>
        <v>Sim</v>
      </c>
      <c r="K9" s="54">
        <v>45706.0</v>
      </c>
      <c r="L9" s="55">
        <v>45937.0</v>
      </c>
      <c r="M9" s="32" t="s">
        <v>61</v>
      </c>
      <c r="N9" s="56">
        <v>0.012</v>
      </c>
      <c r="O9" s="23" t="s">
        <v>66</v>
      </c>
      <c r="P9" s="57">
        <v>0.0</v>
      </c>
      <c r="Q9" s="58" t="s">
        <v>326</v>
      </c>
      <c r="R9" s="58"/>
      <c r="S9" s="32" t="s">
        <v>194</v>
      </c>
      <c r="T9" s="32" t="s">
        <v>327</v>
      </c>
      <c r="U9" s="32" t="s">
        <v>328</v>
      </c>
      <c r="V9" s="32" t="s">
        <v>329</v>
      </c>
      <c r="W9" s="55">
        <v>24514.0</v>
      </c>
      <c r="X9" s="23" t="s">
        <v>199</v>
      </c>
      <c r="Y9" s="60" t="str">
        <f t="shared" si="3"/>
        <v>Encerrado</v>
      </c>
      <c r="Z9" s="62"/>
      <c r="AA9" s="32" t="s">
        <v>107</v>
      </c>
      <c r="AB9" s="64"/>
      <c r="AC9" s="65"/>
      <c r="AD9" s="101">
        <v>45706.0</v>
      </c>
      <c r="AE9" s="69">
        <v>4.9075100017964E13</v>
      </c>
      <c r="AF9" s="65"/>
      <c r="AG9" s="65"/>
      <c r="AH9" s="65"/>
      <c r="AI9" s="65">
        <v>419338.34</v>
      </c>
      <c r="AJ9" s="65">
        <v>421363.6941</v>
      </c>
      <c r="AK9" s="65">
        <v>425205.32</v>
      </c>
      <c r="AL9" s="65">
        <v>428284.1462</v>
      </c>
      <c r="AM9" s="65">
        <v>432502.2237</v>
      </c>
      <c r="AN9" s="71">
        <v>437551.1175</v>
      </c>
      <c r="AO9" s="71">
        <v>442424.0917</v>
      </c>
      <c r="AP9" s="72">
        <v>447047.4565</v>
      </c>
      <c r="AQ9" s="72">
        <v>0.0</v>
      </c>
      <c r="AR9" s="72">
        <v>0.0</v>
      </c>
      <c r="AS9" s="72">
        <v>0.0</v>
      </c>
      <c r="AT9" s="72">
        <v>0.0</v>
      </c>
      <c r="AU9" s="72">
        <v>0.0</v>
      </c>
      <c r="AV9" s="72">
        <v>0.0</v>
      </c>
      <c r="AW9" s="72">
        <v>0.0</v>
      </c>
      <c r="AX9" s="72">
        <v>0.0</v>
      </c>
      <c r="AY9" s="72">
        <v>0.0</v>
      </c>
      <c r="AZ9" s="65" t="str">
        <f t="array" ref="AZ9">XLOOKUP(C9,'PL TOTAL D0'!K:K,'PL TOTAL D0'!L:L,"")</f>
        <v/>
      </c>
    </row>
    <row r="10" ht="15.75" customHeight="1">
      <c r="A10" s="42" t="s">
        <v>98</v>
      </c>
      <c r="B10" s="43" t="s">
        <v>334</v>
      </c>
      <c r="C10" s="32">
        <v>1.9806802E7</v>
      </c>
      <c r="D10" s="23" t="s">
        <v>27</v>
      </c>
      <c r="E10" s="32" t="s">
        <v>28</v>
      </c>
      <c r="F10" s="23" t="s">
        <v>29</v>
      </c>
      <c r="G10" s="47" t="str">
        <f t="shared" si="1"/>
        <v>David</v>
      </c>
      <c r="H10" s="49" t="s">
        <v>335</v>
      </c>
      <c r="I10" s="49" t="s">
        <v>66</v>
      </c>
      <c r="J10" s="47" t="str">
        <f t="shared" si="2"/>
        <v>Sim</v>
      </c>
      <c r="K10" s="54">
        <v>46237.0</v>
      </c>
      <c r="L10" s="55"/>
      <c r="M10" s="32" t="s">
        <v>34</v>
      </c>
      <c r="N10" s="56">
        <v>0.012</v>
      </c>
      <c r="O10" s="23" t="s">
        <v>66</v>
      </c>
      <c r="P10" s="57">
        <v>0.0</v>
      </c>
      <c r="Q10" s="58" t="s">
        <v>339</v>
      </c>
      <c r="R10" s="58"/>
      <c r="S10" s="32" t="s">
        <v>194</v>
      </c>
      <c r="T10" s="32" t="s">
        <v>340</v>
      </c>
      <c r="U10" s="32" t="s">
        <v>341</v>
      </c>
      <c r="V10" s="32" t="s">
        <v>342</v>
      </c>
      <c r="W10" s="55">
        <v>27502.0</v>
      </c>
      <c r="X10" s="23" t="s">
        <v>28</v>
      </c>
      <c r="Y10" s="60" t="str">
        <f t="shared" si="3"/>
        <v>Ativo</v>
      </c>
      <c r="Z10" s="62"/>
      <c r="AA10" s="32" t="s">
        <v>47</v>
      </c>
      <c r="AB10" s="64"/>
      <c r="AC10" s="65"/>
      <c r="AD10" s="101"/>
      <c r="AE10" s="69"/>
      <c r="AF10" s="65"/>
      <c r="AG10" s="65"/>
      <c r="AH10" s="65"/>
      <c r="AI10" s="65"/>
      <c r="AJ10" s="65"/>
      <c r="AK10" s="65"/>
      <c r="AL10" s="65"/>
      <c r="AM10" s="65"/>
      <c r="AN10" s="71"/>
      <c r="AO10" s="71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65"/>
    </row>
    <row r="11" ht="15.75" customHeight="1">
      <c r="A11" s="42" t="s">
        <v>98</v>
      </c>
      <c r="B11" s="43" t="s">
        <v>343</v>
      </c>
      <c r="C11" s="32">
        <v>3437690.0</v>
      </c>
      <c r="D11" s="23" t="s">
        <v>142</v>
      </c>
      <c r="E11" s="32" t="s">
        <v>54</v>
      </c>
      <c r="F11" s="23" t="s">
        <v>158</v>
      </c>
      <c r="G11" s="47" t="str">
        <f t="shared" si="1"/>
        <v>David</v>
      </c>
      <c r="H11" s="49" t="s">
        <v>295</v>
      </c>
      <c r="I11" s="49" t="s">
        <v>296</v>
      </c>
      <c r="J11" s="47" t="str">
        <f t="shared" si="2"/>
        <v>Sim</v>
      </c>
      <c r="K11" s="54">
        <v>45784.0</v>
      </c>
      <c r="L11" s="55"/>
      <c r="M11" s="32" t="s">
        <v>61</v>
      </c>
      <c r="N11" s="56">
        <v>0.012</v>
      </c>
      <c r="O11" s="23" t="s">
        <v>66</v>
      </c>
      <c r="P11" s="57">
        <v>0.0</v>
      </c>
      <c r="Q11" s="58" t="s">
        <v>346</v>
      </c>
      <c r="R11" s="58"/>
      <c r="S11" s="32" t="s">
        <v>194</v>
      </c>
      <c r="T11" s="32" t="s">
        <v>347</v>
      </c>
      <c r="U11" s="32" t="s">
        <v>349</v>
      </c>
      <c r="V11" s="32" t="s">
        <v>350</v>
      </c>
      <c r="W11" s="55">
        <v>27672.0</v>
      </c>
      <c r="X11" s="23" t="s">
        <v>54</v>
      </c>
      <c r="Y11" s="60" t="str">
        <f t="shared" si="3"/>
        <v>Ativo</v>
      </c>
      <c r="Z11" s="62"/>
      <c r="AA11" s="32" t="s">
        <v>47</v>
      </c>
      <c r="AB11" s="64"/>
      <c r="AC11" s="65"/>
      <c r="AD11" s="67">
        <v>45784.0</v>
      </c>
      <c r="AE11" s="69">
        <v>4.9075100018881E13</v>
      </c>
      <c r="AF11" s="65"/>
      <c r="AG11" s="65"/>
      <c r="AH11" s="65"/>
      <c r="AI11" s="65"/>
      <c r="AJ11" s="65"/>
      <c r="AK11" s="65"/>
      <c r="AL11" s="65">
        <v>296761.7637</v>
      </c>
      <c r="AM11" s="65">
        <v>381929.5116</v>
      </c>
      <c r="AN11" s="71">
        <v>387089.8126</v>
      </c>
      <c r="AO11" s="71">
        <v>463084.6728</v>
      </c>
      <c r="AP11" s="72">
        <v>764733.3031</v>
      </c>
      <c r="AQ11" s="72">
        <v>998361.5958</v>
      </c>
      <c r="AR11" s="72">
        <v>1017662.878</v>
      </c>
      <c r="AS11" s="72">
        <v>1063337.76</v>
      </c>
      <c r="AT11" s="72">
        <v>1187509.423</v>
      </c>
      <c r="AU11" s="72">
        <v>1226246.566</v>
      </c>
      <c r="AV11" s="72">
        <v>1231186.787</v>
      </c>
      <c r="AW11" s="72">
        <v>1254526.11</v>
      </c>
      <c r="AX11" s="72">
        <v>309501.7</v>
      </c>
      <c r="AY11" s="72">
        <v>84.71</v>
      </c>
      <c r="AZ11" s="65">
        <f t="array" ref="AZ11">XLOOKUP(C11,'PL TOTAL D0'!K:K,'PL TOTAL D0'!L:L,"")</f>
        <v>84.71</v>
      </c>
    </row>
    <row r="12" ht="15.75" customHeight="1">
      <c r="A12" s="42" t="s">
        <v>98</v>
      </c>
      <c r="B12" s="43" t="s">
        <v>354</v>
      </c>
      <c r="C12" s="32">
        <v>1.7005019E7</v>
      </c>
      <c r="D12" s="23" t="s">
        <v>120</v>
      </c>
      <c r="E12" s="32" t="s">
        <v>54</v>
      </c>
      <c r="F12" s="23" t="s">
        <v>125</v>
      </c>
      <c r="G12" s="47" t="str">
        <f t="shared" si="1"/>
        <v>David</v>
      </c>
      <c r="H12" s="49" t="s">
        <v>183</v>
      </c>
      <c r="I12" s="49" t="s">
        <v>66</v>
      </c>
      <c r="J12" s="47" t="str">
        <f t="shared" si="2"/>
        <v>Não</v>
      </c>
      <c r="K12" s="54">
        <v>45883.0</v>
      </c>
      <c r="L12" s="55"/>
      <c r="M12" s="32" t="s">
        <v>61</v>
      </c>
      <c r="N12" s="56">
        <v>0.012</v>
      </c>
      <c r="O12" s="23" t="s">
        <v>66</v>
      </c>
      <c r="P12" s="57">
        <v>0.0</v>
      </c>
      <c r="Q12" s="58"/>
      <c r="R12" s="58"/>
      <c r="S12" s="32" t="s">
        <v>194</v>
      </c>
      <c r="T12" s="32" t="s">
        <v>358</v>
      </c>
      <c r="U12" s="32" t="s">
        <v>359</v>
      </c>
      <c r="V12" s="32" t="s">
        <v>360</v>
      </c>
      <c r="W12" s="55">
        <v>31485.0</v>
      </c>
      <c r="X12" s="23" t="s">
        <v>54</v>
      </c>
      <c r="Y12" s="60" t="str">
        <f t="shared" si="3"/>
        <v>Ativo</v>
      </c>
      <c r="Z12" s="62"/>
      <c r="AA12" s="32"/>
      <c r="AB12" s="64"/>
      <c r="AC12" s="65"/>
      <c r="AD12" s="67">
        <v>45883.0</v>
      </c>
      <c r="AE12" s="69">
        <v>4.9075100019312E13</v>
      </c>
      <c r="AF12" s="65"/>
      <c r="AG12" s="65"/>
      <c r="AH12" s="65"/>
      <c r="AI12" s="65"/>
      <c r="AJ12" s="65"/>
      <c r="AK12" s="65"/>
      <c r="AL12" s="65"/>
      <c r="AM12" s="65"/>
      <c r="AN12" s="71">
        <v>46050.75</v>
      </c>
      <c r="AO12" s="71">
        <v>46603.71621</v>
      </c>
      <c r="AP12" s="72">
        <v>47377.36349</v>
      </c>
      <c r="AQ12" s="72">
        <v>42288.84685</v>
      </c>
      <c r="AR12" s="72">
        <v>46492.16875</v>
      </c>
      <c r="AS12" s="72">
        <v>45078.08</v>
      </c>
      <c r="AT12" s="72">
        <v>62809.19</v>
      </c>
      <c r="AU12" s="72">
        <v>61457.70787</v>
      </c>
      <c r="AV12" s="72">
        <v>59178.07477</v>
      </c>
      <c r="AW12" s="72">
        <v>60048.97</v>
      </c>
      <c r="AX12" s="72">
        <v>57448.96774</v>
      </c>
      <c r="AY12" s="72">
        <v>51003.34901</v>
      </c>
      <c r="AZ12" s="65">
        <f t="array" ref="AZ12">XLOOKUP(C12,'PL TOTAL D0'!K:K,'PL TOTAL D0'!L:L,"")</f>
        <v>51878.17006</v>
      </c>
    </row>
    <row r="13" ht="15.75" customHeight="1">
      <c r="A13" s="42" t="s">
        <v>98</v>
      </c>
      <c r="B13" s="43" t="s">
        <v>370</v>
      </c>
      <c r="C13" s="32">
        <v>4427733.0</v>
      </c>
      <c r="D13" s="23" t="s">
        <v>210</v>
      </c>
      <c r="E13" s="32" t="s">
        <v>199</v>
      </c>
      <c r="F13" s="23" t="s">
        <v>275</v>
      </c>
      <c r="G13" s="47" t="str">
        <f t="shared" si="1"/>
        <v>Gabriel</v>
      </c>
      <c r="H13" s="49" t="s">
        <v>183</v>
      </c>
      <c r="I13" s="49" t="s">
        <v>66</v>
      </c>
      <c r="J13" s="47" t="str">
        <f t="shared" si="2"/>
        <v>Sim</v>
      </c>
      <c r="K13" s="54">
        <v>45712.0</v>
      </c>
      <c r="L13" s="55"/>
      <c r="M13" s="32" t="s">
        <v>61</v>
      </c>
      <c r="N13" s="56">
        <v>0.012</v>
      </c>
      <c r="O13" s="23" t="s">
        <v>66</v>
      </c>
      <c r="P13" s="57">
        <v>0.0</v>
      </c>
      <c r="Q13" s="58" t="s">
        <v>373</v>
      </c>
      <c r="R13" s="58"/>
      <c r="S13" s="32" t="s">
        <v>194</v>
      </c>
      <c r="T13" s="32" t="s">
        <v>374</v>
      </c>
      <c r="U13" s="32" t="s">
        <v>375</v>
      </c>
      <c r="V13" s="32" t="s">
        <v>376</v>
      </c>
      <c r="W13" s="121">
        <v>35352.0</v>
      </c>
      <c r="X13" s="23" t="s">
        <v>199</v>
      </c>
      <c r="Y13" s="60" t="str">
        <f t="shared" si="3"/>
        <v>Ativo</v>
      </c>
      <c r="Z13" s="62"/>
      <c r="AA13" s="32" t="s">
        <v>107</v>
      </c>
      <c r="AB13" s="64"/>
      <c r="AC13" s="65"/>
      <c r="AD13" s="101">
        <v>45712.0</v>
      </c>
      <c r="AE13" s="69">
        <v>4.9075100017948E13</v>
      </c>
      <c r="AF13" s="65"/>
      <c r="AG13" s="65"/>
      <c r="AH13" s="65"/>
      <c r="AI13" s="65">
        <v>369727.5266</v>
      </c>
      <c r="AJ13" s="65">
        <v>371726.1698</v>
      </c>
      <c r="AK13" s="65">
        <v>376066.1337</v>
      </c>
      <c r="AL13" s="65">
        <v>379733.9724</v>
      </c>
      <c r="AM13" s="65">
        <v>383596.6006</v>
      </c>
      <c r="AN13" s="71">
        <v>388142.8377</v>
      </c>
      <c r="AO13" s="71">
        <v>392144.768</v>
      </c>
      <c r="AP13" s="72">
        <v>396575.1323</v>
      </c>
      <c r="AQ13" s="72">
        <v>400607.998</v>
      </c>
      <c r="AR13" s="72">
        <v>381042.6761</v>
      </c>
      <c r="AS13" s="72">
        <v>385209.406</v>
      </c>
      <c r="AT13" s="72">
        <v>389350.5127</v>
      </c>
      <c r="AU13" s="72">
        <v>342128.476</v>
      </c>
      <c r="AV13" s="72">
        <v>266280.9012</v>
      </c>
      <c r="AW13" s="72">
        <v>260939.47</v>
      </c>
      <c r="AX13" s="72">
        <v>263765.2851</v>
      </c>
      <c r="AY13" s="72">
        <v>266577.0299</v>
      </c>
      <c r="AZ13" s="65">
        <f t="array" ref="AZ13">XLOOKUP(C13,'PL TOTAL D0'!K:K,'PL TOTAL D0'!L:L,"")</f>
        <v>269505.7386</v>
      </c>
    </row>
    <row r="14" ht="15.75" customHeight="1">
      <c r="A14" s="42" t="s">
        <v>98</v>
      </c>
      <c r="B14" s="43" t="s">
        <v>378</v>
      </c>
      <c r="C14" s="32">
        <v>5568034.0</v>
      </c>
      <c r="D14" s="23" t="s">
        <v>120</v>
      </c>
      <c r="E14" s="32" t="s">
        <v>54</v>
      </c>
      <c r="F14" s="23" t="s">
        <v>379</v>
      </c>
      <c r="G14" s="47" t="str">
        <f t="shared" si="1"/>
        <v>David</v>
      </c>
      <c r="H14" s="49" t="s">
        <v>183</v>
      </c>
      <c r="I14" s="49" t="s">
        <v>66</v>
      </c>
      <c r="J14" s="47" t="str">
        <f t="shared" si="2"/>
        <v>Não</v>
      </c>
      <c r="K14" s="54">
        <v>45730.0</v>
      </c>
      <c r="L14" s="55"/>
      <c r="M14" s="32" t="s">
        <v>61</v>
      </c>
      <c r="N14" s="56">
        <v>0.012</v>
      </c>
      <c r="O14" s="23" t="s">
        <v>66</v>
      </c>
      <c r="P14" s="57">
        <v>0.0</v>
      </c>
      <c r="Q14" s="58"/>
      <c r="R14" s="58"/>
      <c r="S14" s="32" t="s">
        <v>194</v>
      </c>
      <c r="T14" s="32" t="s">
        <v>383</v>
      </c>
      <c r="U14" s="32"/>
      <c r="V14" s="32"/>
      <c r="W14" s="32"/>
      <c r="X14" s="23" t="s">
        <v>54</v>
      </c>
      <c r="Y14" s="60" t="str">
        <f t="shared" si="3"/>
        <v>Ativo</v>
      </c>
      <c r="Z14" s="62"/>
      <c r="AA14" s="32" t="s">
        <v>107</v>
      </c>
      <c r="AB14" s="64"/>
      <c r="AC14" s="65"/>
      <c r="AD14" s="101">
        <v>45730.0</v>
      </c>
      <c r="AE14" s="69">
        <v>4.9075100018502E13</v>
      </c>
      <c r="AF14" s="65"/>
      <c r="AG14" s="65"/>
      <c r="AH14" s="65"/>
      <c r="AI14" s="65"/>
      <c r="AJ14" s="65">
        <v>9515.37164</v>
      </c>
      <c r="AK14" s="65">
        <v>25798.92626</v>
      </c>
      <c r="AL14" s="65">
        <v>25908.21619</v>
      </c>
      <c r="AM14" s="65">
        <v>26142.89597</v>
      </c>
      <c r="AN14" s="71">
        <v>26351.77464</v>
      </c>
      <c r="AO14" s="71">
        <v>26578.13106</v>
      </c>
      <c r="AP14" s="72">
        <v>27402.4575</v>
      </c>
      <c r="AQ14" s="72">
        <v>27701.61537</v>
      </c>
      <c r="AR14" s="72">
        <v>27774.74769</v>
      </c>
      <c r="AS14" s="72">
        <v>27551.13837</v>
      </c>
      <c r="AT14" s="72">
        <v>27851.82235</v>
      </c>
      <c r="AU14" s="72">
        <v>28065.40158</v>
      </c>
      <c r="AV14" s="72">
        <v>28175.53</v>
      </c>
      <c r="AW14" s="72">
        <v>28529.51</v>
      </c>
      <c r="AX14" s="72">
        <v>28754.05711</v>
      </c>
      <c r="AY14" s="72">
        <v>29046.35868</v>
      </c>
      <c r="AZ14" s="65">
        <f t="array" ref="AZ14">XLOOKUP(C14,'PL TOTAL D0'!K:K,'PL TOTAL D0'!L:L,"")</f>
        <v>29674.05972</v>
      </c>
    </row>
    <row r="15" ht="15.75" customHeight="1">
      <c r="A15" s="42" t="s">
        <v>98</v>
      </c>
      <c r="B15" s="43" t="s">
        <v>389</v>
      </c>
      <c r="C15" s="32">
        <v>1.5705827E7</v>
      </c>
      <c r="D15" s="23" t="s">
        <v>210</v>
      </c>
      <c r="E15" s="32" t="s">
        <v>199</v>
      </c>
      <c r="F15" s="23" t="s">
        <v>275</v>
      </c>
      <c r="G15" s="47" t="str">
        <f t="shared" si="1"/>
        <v>Marcus</v>
      </c>
      <c r="H15" s="49" t="s">
        <v>224</v>
      </c>
      <c r="I15" s="49" t="s">
        <v>66</v>
      </c>
      <c r="J15" s="47" t="str">
        <f t="shared" si="2"/>
        <v>Sim</v>
      </c>
      <c r="K15" s="54">
        <v>45726.0</v>
      </c>
      <c r="L15" s="55">
        <v>46084.0</v>
      </c>
      <c r="M15" s="32" t="s">
        <v>390</v>
      </c>
      <c r="N15" s="56">
        <v>0.005</v>
      </c>
      <c r="O15" s="23" t="s">
        <v>66</v>
      </c>
      <c r="P15" s="57">
        <v>0.0</v>
      </c>
      <c r="Q15" s="126" t="s">
        <v>391</v>
      </c>
      <c r="R15" s="58"/>
      <c r="S15" s="32" t="s">
        <v>194</v>
      </c>
      <c r="T15" s="32" t="s">
        <v>395</v>
      </c>
      <c r="U15" s="32" t="s">
        <v>396</v>
      </c>
      <c r="V15" s="32" t="s">
        <v>398</v>
      </c>
      <c r="W15" s="55">
        <v>31273.0</v>
      </c>
      <c r="X15" s="23" t="s">
        <v>199</v>
      </c>
      <c r="Y15" s="60" t="str">
        <f t="shared" si="3"/>
        <v>Encerrado</v>
      </c>
      <c r="Z15" s="62"/>
      <c r="AA15" s="32" t="s">
        <v>107</v>
      </c>
      <c r="AB15" s="64"/>
      <c r="AC15" s="65"/>
      <c r="AD15" s="101">
        <v>45726.0</v>
      </c>
      <c r="AE15" s="69">
        <v>4.9075100018456E13</v>
      </c>
      <c r="AF15" s="65"/>
      <c r="AG15" s="65"/>
      <c r="AH15" s="65"/>
      <c r="AI15" s="65"/>
      <c r="AJ15" s="65">
        <v>444403.4433</v>
      </c>
      <c r="AK15" s="65">
        <v>454393.62</v>
      </c>
      <c r="AL15" s="65">
        <v>468314.7981</v>
      </c>
      <c r="AM15" s="65">
        <v>473379.5975</v>
      </c>
      <c r="AN15" s="71">
        <v>497421.8478</v>
      </c>
      <c r="AO15" s="71">
        <v>503047.7588</v>
      </c>
      <c r="AP15" s="72">
        <v>508694.1768</v>
      </c>
      <c r="AQ15" s="72">
        <v>537212.0432</v>
      </c>
      <c r="AR15" s="72">
        <v>541065.0417</v>
      </c>
      <c r="AS15" s="72">
        <v>544818.23</v>
      </c>
      <c r="AT15" s="72">
        <v>348066.0927</v>
      </c>
      <c r="AU15" s="72">
        <v>543226.8273</v>
      </c>
      <c r="AV15" s="72">
        <v>0.0</v>
      </c>
      <c r="AW15" s="72">
        <v>0.0</v>
      </c>
      <c r="AX15" s="72">
        <v>0.0</v>
      </c>
      <c r="AY15" s="72">
        <v>0.0</v>
      </c>
      <c r="AZ15" s="65" t="str">
        <f t="array" ref="AZ15">XLOOKUP(C15,'PL TOTAL D0'!K:K,'PL TOTAL D0'!L:L,"")</f>
        <v/>
      </c>
    </row>
    <row r="16" ht="15.75" customHeight="1">
      <c r="A16" s="42" t="s">
        <v>98</v>
      </c>
      <c r="B16" s="43" t="s">
        <v>400</v>
      </c>
      <c r="C16" s="32">
        <v>7656240.0</v>
      </c>
      <c r="D16" s="23" t="s">
        <v>53</v>
      </c>
      <c r="E16" s="32" t="s">
        <v>54</v>
      </c>
      <c r="F16" s="23" t="s">
        <v>401</v>
      </c>
      <c r="G16" s="47" t="str">
        <f t="shared" si="1"/>
        <v>Gabriel</v>
      </c>
      <c r="H16" s="49" t="s">
        <v>183</v>
      </c>
      <c r="I16" s="49" t="s">
        <v>66</v>
      </c>
      <c r="J16" s="47" t="str">
        <f t="shared" si="2"/>
        <v>Não</v>
      </c>
      <c r="K16" s="54">
        <v>45833.0</v>
      </c>
      <c r="L16" s="55"/>
      <c r="M16" s="32" t="s">
        <v>61</v>
      </c>
      <c r="N16" s="56">
        <v>0.012</v>
      </c>
      <c r="O16" s="23" t="s">
        <v>66</v>
      </c>
      <c r="P16" s="57">
        <v>0.0</v>
      </c>
      <c r="Q16" s="58"/>
      <c r="R16" s="58"/>
      <c r="S16" s="32" t="s">
        <v>194</v>
      </c>
      <c r="T16" s="32" t="s">
        <v>403</v>
      </c>
      <c r="U16" s="32" t="s">
        <v>404</v>
      </c>
      <c r="V16" s="32" t="s">
        <v>405</v>
      </c>
      <c r="W16" s="55">
        <v>34957.0</v>
      </c>
      <c r="X16" s="23" t="s">
        <v>54</v>
      </c>
      <c r="Y16" s="60" t="str">
        <f t="shared" si="3"/>
        <v>Ativo</v>
      </c>
      <c r="Z16" s="62"/>
      <c r="AA16" s="32" t="s">
        <v>107</v>
      </c>
      <c r="AB16" s="64"/>
      <c r="AC16" s="65"/>
      <c r="AD16" s="67">
        <v>45833.0</v>
      </c>
      <c r="AE16" s="69">
        <v>4.9075100019207E13</v>
      </c>
      <c r="AF16" s="65"/>
      <c r="AG16" s="65"/>
      <c r="AH16" s="65"/>
      <c r="AI16" s="65"/>
      <c r="AJ16" s="65"/>
      <c r="AK16" s="65"/>
      <c r="AL16" s="65"/>
      <c r="AM16" s="65">
        <v>500044.6208</v>
      </c>
      <c r="AN16" s="71">
        <v>501498.3966</v>
      </c>
      <c r="AO16" s="71">
        <v>502594.4566</v>
      </c>
      <c r="AP16" s="72">
        <v>508375.1356</v>
      </c>
      <c r="AQ16" s="72">
        <v>520906.0956</v>
      </c>
      <c r="AR16" s="72">
        <v>519396.1586</v>
      </c>
      <c r="AS16" s="72">
        <v>524547.48</v>
      </c>
      <c r="AT16" s="72">
        <v>533645.15</v>
      </c>
      <c r="AU16" s="72">
        <v>547787.1388</v>
      </c>
      <c r="AV16" s="72">
        <v>441454.22</v>
      </c>
      <c r="AW16" s="72">
        <v>456203.25</v>
      </c>
      <c r="AX16" s="72">
        <v>465304.37</v>
      </c>
      <c r="AY16" s="72">
        <v>466459.86</v>
      </c>
      <c r="AZ16" s="65">
        <f t="array" ref="AZ16">XLOOKUP(C16,'PL TOTAL D0'!K:K,'PL TOTAL D0'!L:L,"")</f>
        <v>469544.1394</v>
      </c>
    </row>
    <row r="17" ht="15.75" customHeight="1">
      <c r="A17" s="42" t="s">
        <v>98</v>
      </c>
      <c r="B17" s="43" t="s">
        <v>408</v>
      </c>
      <c r="C17" s="32">
        <v>8580102.0</v>
      </c>
      <c r="D17" s="23" t="s">
        <v>53</v>
      </c>
      <c r="E17" s="32" t="s">
        <v>54</v>
      </c>
      <c r="F17" s="23" t="s">
        <v>401</v>
      </c>
      <c r="G17" s="47" t="str">
        <f t="shared" si="1"/>
        <v>Marcus</v>
      </c>
      <c r="H17" s="49" t="s">
        <v>183</v>
      </c>
      <c r="I17" s="49" t="s">
        <v>66</v>
      </c>
      <c r="J17" s="47" t="str">
        <f t="shared" si="2"/>
        <v>Sim</v>
      </c>
      <c r="K17" s="54">
        <v>45821.0</v>
      </c>
      <c r="L17" s="55"/>
      <c r="M17" s="32" t="s">
        <v>61</v>
      </c>
      <c r="N17" s="56">
        <v>0.012</v>
      </c>
      <c r="O17" s="23" t="s">
        <v>66</v>
      </c>
      <c r="P17" s="57">
        <v>0.0</v>
      </c>
      <c r="Q17" s="58" t="s">
        <v>411</v>
      </c>
      <c r="R17" s="58"/>
      <c r="S17" s="32" t="s">
        <v>194</v>
      </c>
      <c r="T17" s="32" t="s">
        <v>412</v>
      </c>
      <c r="U17" s="32" t="s">
        <v>413</v>
      </c>
      <c r="V17" s="32" t="s">
        <v>414</v>
      </c>
      <c r="W17" s="55">
        <v>25956.0</v>
      </c>
      <c r="X17" s="23" t="s">
        <v>54</v>
      </c>
      <c r="Y17" s="60" t="str">
        <f t="shared" si="3"/>
        <v>Ativo</v>
      </c>
      <c r="Z17" s="62"/>
      <c r="AA17" s="32" t="s">
        <v>47</v>
      </c>
      <c r="AB17" s="64"/>
      <c r="AC17" s="65"/>
      <c r="AD17" s="67">
        <v>45821.0</v>
      </c>
      <c r="AE17" s="69">
        <v>4.9075100019169E13</v>
      </c>
      <c r="AF17" s="65"/>
      <c r="AG17" s="65"/>
      <c r="AH17" s="65"/>
      <c r="AI17" s="65"/>
      <c r="AJ17" s="65"/>
      <c r="AK17" s="65"/>
      <c r="AL17" s="65"/>
      <c r="AM17" s="65">
        <v>710643.3987</v>
      </c>
      <c r="AN17" s="71">
        <v>714304.5892</v>
      </c>
      <c r="AO17" s="71">
        <v>720627.4039</v>
      </c>
      <c r="AP17" s="72">
        <v>706241.3946</v>
      </c>
      <c r="AQ17" s="72">
        <v>713850.8382</v>
      </c>
      <c r="AR17" s="72">
        <v>718900.6688</v>
      </c>
      <c r="AS17" s="72">
        <v>719862.35</v>
      </c>
      <c r="AT17" s="72">
        <v>724552.07</v>
      </c>
      <c r="AU17" s="72">
        <v>927511.8808</v>
      </c>
      <c r="AV17" s="72">
        <v>937286.99</v>
      </c>
      <c r="AW17" s="72">
        <v>844835.34</v>
      </c>
      <c r="AX17" s="72">
        <v>852704.83</v>
      </c>
      <c r="AY17" s="72">
        <v>838943.39</v>
      </c>
      <c r="AZ17" s="65">
        <f t="array" ref="AZ17">XLOOKUP(C17,'PL TOTAL D0'!K:K,'PL TOTAL D0'!L:L,"")</f>
        <v>848212.8766</v>
      </c>
    </row>
    <row r="18" ht="15.75" customHeight="1">
      <c r="A18" s="42" t="s">
        <v>98</v>
      </c>
      <c r="B18" s="43" t="s">
        <v>424</v>
      </c>
      <c r="C18" s="32">
        <v>1.7850264E7</v>
      </c>
      <c r="D18" s="23" t="s">
        <v>120</v>
      </c>
      <c r="E18" s="32" t="s">
        <v>54</v>
      </c>
      <c r="F18" s="23" t="s">
        <v>348</v>
      </c>
      <c r="G18" s="47" t="str">
        <f t="shared" si="1"/>
        <v>Marcus</v>
      </c>
      <c r="H18" s="49" t="s">
        <v>224</v>
      </c>
      <c r="I18" s="49" t="s">
        <v>66</v>
      </c>
      <c r="J18" s="47" t="str">
        <f t="shared" si="2"/>
        <v>Não</v>
      </c>
      <c r="K18" s="54">
        <v>45756.0</v>
      </c>
      <c r="L18" s="55">
        <v>45847.0</v>
      </c>
      <c r="M18" s="32" t="s">
        <v>61</v>
      </c>
      <c r="N18" s="56">
        <v>0.012</v>
      </c>
      <c r="O18" s="23" t="s">
        <v>66</v>
      </c>
      <c r="P18" s="57">
        <v>0.0</v>
      </c>
      <c r="Q18" s="58"/>
      <c r="R18" s="58"/>
      <c r="S18" s="32" t="s">
        <v>194</v>
      </c>
      <c r="T18" s="32" t="s">
        <v>425</v>
      </c>
      <c r="U18" s="32"/>
      <c r="V18" s="32"/>
      <c r="W18" s="32"/>
      <c r="X18" s="23" t="s">
        <v>397</v>
      </c>
      <c r="Y18" s="60" t="str">
        <f t="shared" si="3"/>
        <v>Encerrado</v>
      </c>
      <c r="Z18" s="62"/>
      <c r="AA18" s="32" t="s">
        <v>107</v>
      </c>
      <c r="AB18" s="64"/>
      <c r="AC18" s="65"/>
      <c r="AD18" s="129">
        <v>45769.0</v>
      </c>
      <c r="AE18" s="69">
        <v>4.9075100018928E13</v>
      </c>
      <c r="AF18" s="65"/>
      <c r="AG18" s="65"/>
      <c r="AH18" s="65"/>
      <c r="AI18" s="65"/>
      <c r="AJ18" s="65"/>
      <c r="AK18" s="65">
        <v>110273.54</v>
      </c>
      <c r="AL18" s="65">
        <v>285604.78</v>
      </c>
      <c r="AM18" s="65">
        <v>288658.57</v>
      </c>
      <c r="AN18" s="71">
        <v>0.0</v>
      </c>
      <c r="AO18" s="71">
        <v>0.0</v>
      </c>
      <c r="AP18" s="72">
        <v>0.0</v>
      </c>
      <c r="AQ18" s="72">
        <v>0.0</v>
      </c>
      <c r="AR18" s="72">
        <v>0.0</v>
      </c>
      <c r="AS18" s="72">
        <v>0.0</v>
      </c>
      <c r="AT18" s="72">
        <v>0.0</v>
      </c>
      <c r="AU18" s="72">
        <v>0.0</v>
      </c>
      <c r="AV18" s="72">
        <v>0.0</v>
      </c>
      <c r="AW18" s="72">
        <v>0.0</v>
      </c>
      <c r="AX18" s="72">
        <v>0.0</v>
      </c>
      <c r="AY18" s="72">
        <v>0.0</v>
      </c>
      <c r="AZ18" s="65" t="str">
        <f t="array" ref="AZ18">XLOOKUP(C18,'PL TOTAL D0'!K:K,'PL TOTAL D0'!L:L,"")</f>
        <v/>
      </c>
    </row>
    <row r="19" ht="15.75" customHeight="1">
      <c r="A19" s="42" t="s">
        <v>98</v>
      </c>
      <c r="B19" s="43" t="s">
        <v>426</v>
      </c>
      <c r="C19" s="32">
        <v>9023091.0</v>
      </c>
      <c r="D19" s="23" t="s">
        <v>210</v>
      </c>
      <c r="E19" s="32" t="s">
        <v>199</v>
      </c>
      <c r="F19" s="23" t="s">
        <v>275</v>
      </c>
      <c r="G19" s="47" t="str">
        <f t="shared" si="1"/>
        <v>David</v>
      </c>
      <c r="H19" s="49" t="s">
        <v>295</v>
      </c>
      <c r="I19" s="49" t="s">
        <v>427</v>
      </c>
      <c r="J19" s="47" t="str">
        <f t="shared" si="2"/>
        <v>Sim</v>
      </c>
      <c r="K19" s="54">
        <v>45702.0</v>
      </c>
      <c r="L19" s="55"/>
      <c r="M19" s="32" t="s">
        <v>61</v>
      </c>
      <c r="N19" s="56">
        <v>0.011</v>
      </c>
      <c r="O19" s="23" t="s">
        <v>66</v>
      </c>
      <c r="P19" s="57">
        <v>0.0</v>
      </c>
      <c r="Q19" s="58" t="s">
        <v>430</v>
      </c>
      <c r="R19" s="58"/>
      <c r="S19" s="32" t="s">
        <v>194</v>
      </c>
      <c r="T19" s="32" t="s">
        <v>432</v>
      </c>
      <c r="U19" s="32" t="s">
        <v>396</v>
      </c>
      <c r="V19" s="32" t="s">
        <v>433</v>
      </c>
      <c r="W19" s="121">
        <v>35046.0</v>
      </c>
      <c r="X19" s="23" t="s">
        <v>199</v>
      </c>
      <c r="Y19" s="60" t="str">
        <f t="shared" si="3"/>
        <v>Ativo</v>
      </c>
      <c r="Z19" s="62"/>
      <c r="AA19" s="32" t="s">
        <v>107</v>
      </c>
      <c r="AB19" s="64"/>
      <c r="AC19" s="65"/>
      <c r="AD19" s="101">
        <v>45702.0</v>
      </c>
      <c r="AE19" s="69">
        <v>4.9075100018091E13</v>
      </c>
      <c r="AF19" s="65"/>
      <c r="AG19" s="65"/>
      <c r="AH19" s="65"/>
      <c r="AI19" s="65">
        <v>396885.8094</v>
      </c>
      <c r="AJ19" s="65">
        <v>405833.0428</v>
      </c>
      <c r="AK19" s="65">
        <v>393951.33</v>
      </c>
      <c r="AL19" s="65">
        <v>437187.2393</v>
      </c>
      <c r="AM19" s="65">
        <v>410841.0461</v>
      </c>
      <c r="AN19" s="71">
        <v>41173.0856</v>
      </c>
      <c r="AO19" s="71">
        <v>132763.93</v>
      </c>
      <c r="AP19" s="72">
        <v>64315.29</v>
      </c>
      <c r="AQ19" s="72">
        <v>65499.14</v>
      </c>
      <c r="AR19" s="72">
        <v>65726.35</v>
      </c>
      <c r="AS19" s="72">
        <v>66548.77</v>
      </c>
      <c r="AT19" s="72">
        <v>168332.99</v>
      </c>
      <c r="AU19" s="72">
        <v>169570.08</v>
      </c>
      <c r="AV19" s="72">
        <v>169380.12</v>
      </c>
      <c r="AW19" s="72">
        <v>173620.7</v>
      </c>
      <c r="AX19" s="72">
        <v>175402.46</v>
      </c>
      <c r="AY19" s="72">
        <v>176538.8</v>
      </c>
      <c r="AZ19" s="65">
        <f t="array" ref="AZ19">XLOOKUP(C19,'PL TOTAL D0'!K:K,'PL TOTAL D0'!L:L,"")</f>
        <v>178591.122</v>
      </c>
    </row>
    <row r="20" ht="15.75" customHeight="1">
      <c r="A20" s="42" t="s">
        <v>98</v>
      </c>
      <c r="B20" s="43" t="s">
        <v>436</v>
      </c>
      <c r="C20" s="32">
        <v>3525456.0</v>
      </c>
      <c r="D20" s="23" t="s">
        <v>120</v>
      </c>
      <c r="E20" s="32" t="s">
        <v>199</v>
      </c>
      <c r="F20" s="23" t="s">
        <v>332</v>
      </c>
      <c r="G20" s="47" t="str">
        <f t="shared" si="1"/>
        <v>David</v>
      </c>
      <c r="H20" s="49" t="s">
        <v>224</v>
      </c>
      <c r="I20" s="49" t="s">
        <v>66</v>
      </c>
      <c r="J20" s="47" t="str">
        <f t="shared" si="2"/>
        <v>Não</v>
      </c>
      <c r="K20" s="54">
        <v>45840.0</v>
      </c>
      <c r="L20" s="55">
        <v>46232.0</v>
      </c>
      <c r="M20" s="32" t="s">
        <v>61</v>
      </c>
      <c r="N20" s="56">
        <v>0.007</v>
      </c>
      <c r="O20" s="23" t="s">
        <v>66</v>
      </c>
      <c r="P20" s="57">
        <v>0.0</v>
      </c>
      <c r="Q20" s="58"/>
      <c r="R20" s="58"/>
      <c r="S20" s="32" t="s">
        <v>194</v>
      </c>
      <c r="T20" s="32" t="s">
        <v>440</v>
      </c>
      <c r="U20" s="32" t="s">
        <v>441</v>
      </c>
      <c r="V20" s="32" t="s">
        <v>442</v>
      </c>
      <c r="W20" s="55">
        <v>36203.0</v>
      </c>
      <c r="X20" s="23" t="s">
        <v>397</v>
      </c>
      <c r="Y20" s="60" t="str">
        <f t="shared" si="3"/>
        <v>Encerrado</v>
      </c>
      <c r="Z20" s="62"/>
      <c r="AA20" s="32" t="s">
        <v>47</v>
      </c>
      <c r="AB20" s="64"/>
      <c r="AC20" s="65"/>
      <c r="AD20" s="67">
        <v>45840.0</v>
      </c>
      <c r="AE20" s="69">
        <v>4.9075100019029E13</v>
      </c>
      <c r="AF20" s="65"/>
      <c r="AG20" s="65"/>
      <c r="AH20" s="65"/>
      <c r="AI20" s="65"/>
      <c r="AJ20" s="65"/>
      <c r="AK20" s="65"/>
      <c r="AL20" s="65"/>
      <c r="AM20" s="65"/>
      <c r="AN20" s="71">
        <v>59296.05891</v>
      </c>
      <c r="AO20" s="71">
        <v>59157.31158</v>
      </c>
      <c r="AP20" s="72">
        <v>59682.38012</v>
      </c>
      <c r="AQ20" s="72">
        <v>60484.88364</v>
      </c>
      <c r="AR20" s="72">
        <v>61114.79762</v>
      </c>
      <c r="AS20" s="72">
        <v>61777.74479</v>
      </c>
      <c r="AT20" s="72">
        <v>56259.23062</v>
      </c>
      <c r="AU20" s="72">
        <v>56041.04297</v>
      </c>
      <c r="AV20" s="72">
        <v>19269.56662</v>
      </c>
      <c r="AW20" s="72">
        <v>0.0</v>
      </c>
      <c r="AX20" s="72">
        <v>0.0</v>
      </c>
      <c r="AY20" s="72">
        <v>0.0</v>
      </c>
      <c r="AZ20" s="65">
        <f t="array" ref="AZ20">XLOOKUP(C20,'PL TOTAL D0'!K:K,'PL TOTAL D0'!L:L,"")</f>
        <v>0</v>
      </c>
    </row>
    <row r="21" ht="15.75" customHeight="1">
      <c r="A21" s="42" t="s">
        <v>98</v>
      </c>
      <c r="B21" s="43" t="s">
        <v>446</v>
      </c>
      <c r="C21" s="32">
        <v>1.3606804E7</v>
      </c>
      <c r="D21" s="23" t="s">
        <v>120</v>
      </c>
      <c r="E21" s="32" t="s">
        <v>199</v>
      </c>
      <c r="F21" s="23" t="s">
        <v>431</v>
      </c>
      <c r="G21" s="47" t="str">
        <f t="shared" si="1"/>
        <v>David</v>
      </c>
      <c r="H21" s="49" t="s">
        <v>295</v>
      </c>
      <c r="I21" s="49" t="s">
        <v>447</v>
      </c>
      <c r="J21" s="47" t="str">
        <f t="shared" si="2"/>
        <v>Não</v>
      </c>
      <c r="K21" s="54">
        <v>45695.0</v>
      </c>
      <c r="L21" s="55"/>
      <c r="M21" s="32" t="s">
        <v>201</v>
      </c>
      <c r="N21" s="56">
        <v>0.0</v>
      </c>
      <c r="O21" s="23" t="s">
        <v>66</v>
      </c>
      <c r="P21" s="57">
        <v>0.0</v>
      </c>
      <c r="Q21" s="58"/>
      <c r="R21" s="58"/>
      <c r="S21" s="32" t="s">
        <v>194</v>
      </c>
      <c r="T21" s="32" t="s">
        <v>450</v>
      </c>
      <c r="U21" s="32" t="s">
        <v>451</v>
      </c>
      <c r="V21" s="32" t="s">
        <v>452</v>
      </c>
      <c r="W21" s="55">
        <v>34915.0</v>
      </c>
      <c r="X21" s="23" t="s">
        <v>199</v>
      </c>
      <c r="Y21" s="60" t="str">
        <f t="shared" si="3"/>
        <v>Ativo</v>
      </c>
      <c r="Z21" s="62"/>
      <c r="AA21" s="32" t="s">
        <v>165</v>
      </c>
      <c r="AB21" s="64"/>
      <c r="AC21" s="65"/>
      <c r="AD21" s="139"/>
      <c r="AE21" s="69"/>
      <c r="AF21" s="65"/>
      <c r="AG21" s="65"/>
      <c r="AH21" s="65"/>
      <c r="AI21" s="65"/>
      <c r="AJ21" s="65">
        <v>0.0</v>
      </c>
      <c r="AK21" s="65">
        <v>0.0</v>
      </c>
      <c r="AL21" s="65">
        <v>0.0</v>
      </c>
      <c r="AM21" s="65">
        <v>0.0</v>
      </c>
      <c r="AN21" s="71">
        <v>0.0</v>
      </c>
      <c r="AO21" s="71">
        <v>0.0</v>
      </c>
      <c r="AP21" s="72">
        <v>0.71</v>
      </c>
      <c r="AQ21" s="72">
        <v>0.71</v>
      </c>
      <c r="AR21" s="72">
        <v>0.71</v>
      </c>
      <c r="AS21" s="72">
        <v>0.71</v>
      </c>
      <c r="AT21" s="72">
        <v>0.0</v>
      </c>
      <c r="AU21" s="72">
        <v>0.71</v>
      </c>
      <c r="AV21" s="72">
        <v>0.71</v>
      </c>
      <c r="AW21" s="72">
        <v>0.71</v>
      </c>
      <c r="AX21" s="72">
        <v>0.71</v>
      </c>
      <c r="AY21" s="72">
        <v>0.71</v>
      </c>
      <c r="AZ21" s="65">
        <f t="array" ref="AZ21">XLOOKUP(C21,'PL TOTAL D0'!K:K,'PL TOTAL D0'!L:L,"")</f>
        <v>0</v>
      </c>
    </row>
    <row r="22" ht="15.75" customHeight="1">
      <c r="A22" s="42" t="s">
        <v>98</v>
      </c>
      <c r="B22" s="43" t="s">
        <v>453</v>
      </c>
      <c r="C22" s="32">
        <v>8424641.0</v>
      </c>
      <c r="D22" s="23" t="s">
        <v>142</v>
      </c>
      <c r="E22" s="32" t="s">
        <v>54</v>
      </c>
      <c r="F22" s="23" t="s">
        <v>158</v>
      </c>
      <c r="G22" s="47" t="str">
        <f t="shared" si="1"/>
        <v>Gabriel</v>
      </c>
      <c r="H22" s="49" t="s">
        <v>183</v>
      </c>
      <c r="I22" s="49" t="s">
        <v>66</v>
      </c>
      <c r="J22" s="47" t="str">
        <f t="shared" si="2"/>
        <v>Sim</v>
      </c>
      <c r="K22" s="54">
        <v>45623.0</v>
      </c>
      <c r="L22" s="55"/>
      <c r="M22" s="32" t="s">
        <v>61</v>
      </c>
      <c r="N22" s="56">
        <v>0.012</v>
      </c>
      <c r="O22" s="23" t="s">
        <v>66</v>
      </c>
      <c r="P22" s="57">
        <v>0.0</v>
      </c>
      <c r="Q22" s="58" t="s">
        <v>454</v>
      </c>
      <c r="R22" s="58"/>
      <c r="S22" s="32" t="s">
        <v>194</v>
      </c>
      <c r="T22" s="32" t="s">
        <v>455</v>
      </c>
      <c r="U22" s="32" t="s">
        <v>456</v>
      </c>
      <c r="V22" s="32" t="s">
        <v>457</v>
      </c>
      <c r="W22" s="55">
        <v>27960.0</v>
      </c>
      <c r="X22" s="23" t="s">
        <v>54</v>
      </c>
      <c r="Y22" s="60" t="str">
        <f t="shared" si="3"/>
        <v>Ativo</v>
      </c>
      <c r="Z22" s="62"/>
      <c r="AA22" s="32" t="s">
        <v>165</v>
      </c>
      <c r="AB22" s="64"/>
      <c r="AC22" s="65"/>
      <c r="AD22" s="101">
        <v>45660.0</v>
      </c>
      <c r="AE22" s="69">
        <v>4.9075100016534E13</v>
      </c>
      <c r="AF22" s="65">
        <v>311435.22</v>
      </c>
      <c r="AG22" s="65">
        <v>409519.5263</v>
      </c>
      <c r="AH22" s="65">
        <v>413586.9113</v>
      </c>
      <c r="AI22" s="65">
        <v>417045.6796</v>
      </c>
      <c r="AJ22" s="65">
        <v>421731.1262</v>
      </c>
      <c r="AK22" s="65">
        <v>415740.1818</v>
      </c>
      <c r="AL22" s="65">
        <v>419576.7521</v>
      </c>
      <c r="AM22" s="65">
        <v>423366.3357</v>
      </c>
      <c r="AN22" s="71">
        <v>427853.4865</v>
      </c>
      <c r="AO22" s="71">
        <v>431884.1649</v>
      </c>
      <c r="AP22" s="72">
        <v>408357.0169</v>
      </c>
      <c r="AQ22" s="72">
        <v>412864.1829</v>
      </c>
      <c r="AR22" s="72">
        <v>415940.8711</v>
      </c>
      <c r="AS22" s="72">
        <v>416328.48</v>
      </c>
      <c r="AT22" s="72">
        <v>420729.2229</v>
      </c>
      <c r="AU22" s="72">
        <v>424134.0476</v>
      </c>
      <c r="AV22" s="72">
        <v>429294.415</v>
      </c>
      <c r="AW22" s="72">
        <v>413808.52</v>
      </c>
      <c r="AX22" s="72">
        <v>312476.2003</v>
      </c>
      <c r="AY22" s="72">
        <v>315732.3556</v>
      </c>
      <c r="AZ22" s="65">
        <f t="array" ref="AZ22">XLOOKUP(C22,'PL TOTAL D0'!K:K,'PL TOTAL D0'!L:L,"")</f>
        <v>319256.7393</v>
      </c>
    </row>
    <row r="23" ht="15.75" customHeight="1">
      <c r="A23" s="42" t="s">
        <v>98</v>
      </c>
      <c r="B23" s="43" t="s">
        <v>462</v>
      </c>
      <c r="C23" s="32">
        <v>5637768.0</v>
      </c>
      <c r="D23" s="30" t="s">
        <v>120</v>
      </c>
      <c r="E23" s="32" t="s">
        <v>199</v>
      </c>
      <c r="F23" s="30" t="s">
        <v>332</v>
      </c>
      <c r="G23" s="47" t="str">
        <f t="shared" si="1"/>
        <v>Marcus</v>
      </c>
      <c r="H23" s="49" t="s">
        <v>183</v>
      </c>
      <c r="I23" s="49" t="s">
        <v>66</v>
      </c>
      <c r="J23" s="47" t="str">
        <f t="shared" si="2"/>
        <v>Sim</v>
      </c>
      <c r="K23" s="54">
        <v>45622.0</v>
      </c>
      <c r="L23" s="55"/>
      <c r="M23" s="32" t="s">
        <v>34</v>
      </c>
      <c r="N23" s="56">
        <v>0.008</v>
      </c>
      <c r="O23" s="23" t="s">
        <v>35</v>
      </c>
      <c r="P23" s="57">
        <v>0.1</v>
      </c>
      <c r="Q23" s="58" t="s">
        <v>471</v>
      </c>
      <c r="R23" s="58"/>
      <c r="S23" s="32" t="s">
        <v>194</v>
      </c>
      <c r="T23" s="32" t="s">
        <v>472</v>
      </c>
      <c r="U23" s="32" t="s">
        <v>473</v>
      </c>
      <c r="V23" s="32" t="s">
        <v>474</v>
      </c>
      <c r="W23" s="55">
        <v>31531.0</v>
      </c>
      <c r="X23" s="23" t="s">
        <v>475</v>
      </c>
      <c r="Y23" s="60" t="str">
        <f t="shared" si="3"/>
        <v>Ativo</v>
      </c>
      <c r="Z23" s="62"/>
      <c r="AA23" s="32" t="s">
        <v>47</v>
      </c>
      <c r="AB23" s="64"/>
      <c r="AC23" s="65"/>
      <c r="AD23" s="101">
        <v>45663.0</v>
      </c>
      <c r="AE23" s="69">
        <v>4.9075100016585E13</v>
      </c>
      <c r="AF23" s="65">
        <v>6107837.39</v>
      </c>
      <c r="AG23" s="65">
        <v>6077950.229</v>
      </c>
      <c r="AH23" s="65">
        <v>6240279.669</v>
      </c>
      <c r="AI23" s="65">
        <v>6774562.802</v>
      </c>
      <c r="AJ23" s="65">
        <v>6316051.276</v>
      </c>
      <c r="AK23" s="65">
        <v>6577010.749</v>
      </c>
      <c r="AL23" s="65">
        <v>6674417.346</v>
      </c>
      <c r="AM23" s="65">
        <v>6639839.797</v>
      </c>
      <c r="AN23" s="71">
        <v>6446945.657</v>
      </c>
      <c r="AO23" s="71">
        <v>6665966.358</v>
      </c>
      <c r="AP23" s="72">
        <v>1941447.16</v>
      </c>
      <c r="AQ23" s="72">
        <v>1949539.04</v>
      </c>
      <c r="AR23" s="72">
        <v>1978211.65</v>
      </c>
      <c r="AS23" s="72">
        <v>1973461.26</v>
      </c>
      <c r="AT23" s="72">
        <v>1932433.56</v>
      </c>
      <c r="AU23" s="72">
        <v>1937534.05</v>
      </c>
      <c r="AV23" s="72">
        <v>1956460.59</v>
      </c>
      <c r="AW23" s="72">
        <v>1959308.36</v>
      </c>
      <c r="AX23" s="72">
        <v>1964940.21</v>
      </c>
      <c r="AY23" s="72">
        <v>1964100.13</v>
      </c>
      <c r="AZ23" s="65">
        <f t="array" ref="AZ23">XLOOKUP(C23,'PL TOTAL D0'!K:K,'PL TOTAL D0'!L:L,"")</f>
        <v>1970547.75</v>
      </c>
    </row>
    <row r="24" ht="15.75" customHeight="1">
      <c r="A24" s="42" t="s">
        <v>98</v>
      </c>
      <c r="B24" s="43" t="s">
        <v>480</v>
      </c>
      <c r="C24" s="32">
        <v>1.1451861E7</v>
      </c>
      <c r="D24" s="30" t="s">
        <v>249</v>
      </c>
      <c r="E24" s="32" t="s">
        <v>199</v>
      </c>
      <c r="F24" s="30" t="s">
        <v>251</v>
      </c>
      <c r="G24" s="47" t="str">
        <f t="shared" si="1"/>
        <v>David</v>
      </c>
      <c r="H24" s="49" t="s">
        <v>183</v>
      </c>
      <c r="I24" s="49" t="s">
        <v>66</v>
      </c>
      <c r="J24" s="47" t="str">
        <f t="shared" si="2"/>
        <v>Não</v>
      </c>
      <c r="K24" s="54">
        <v>45870.0</v>
      </c>
      <c r="L24" s="55"/>
      <c r="M24" s="32" t="s">
        <v>61</v>
      </c>
      <c r="N24" s="56">
        <v>0.012</v>
      </c>
      <c r="O24" s="23" t="s">
        <v>66</v>
      </c>
      <c r="P24" s="57">
        <v>0.0</v>
      </c>
      <c r="Q24" s="126"/>
      <c r="R24" s="58"/>
      <c r="S24" s="32" t="s">
        <v>194</v>
      </c>
      <c r="T24" s="32" t="s">
        <v>487</v>
      </c>
      <c r="U24" s="32" t="s">
        <v>488</v>
      </c>
      <c r="V24" s="32" t="s">
        <v>489</v>
      </c>
      <c r="W24" s="55">
        <v>33821.0</v>
      </c>
      <c r="X24" s="23" t="s">
        <v>199</v>
      </c>
      <c r="Y24" s="60" t="str">
        <f t="shared" si="3"/>
        <v>Ativo</v>
      </c>
      <c r="Z24" s="62"/>
      <c r="AA24" s="32" t="s">
        <v>47</v>
      </c>
      <c r="AB24" s="64"/>
      <c r="AC24" s="65"/>
      <c r="AD24" s="67">
        <v>45870.0</v>
      </c>
      <c r="AE24" s="69">
        <v>4.9075100019339E13</v>
      </c>
      <c r="AF24" s="65"/>
      <c r="AG24" s="65"/>
      <c r="AH24" s="65"/>
      <c r="AI24" s="65"/>
      <c r="AJ24" s="65"/>
      <c r="AK24" s="65"/>
      <c r="AL24" s="65"/>
      <c r="AM24" s="65"/>
      <c r="AN24" s="71">
        <v>43941.93443</v>
      </c>
      <c r="AO24" s="71">
        <v>44302.52311</v>
      </c>
      <c r="AP24" s="72">
        <v>46176.05353</v>
      </c>
      <c r="AQ24" s="72">
        <v>46661.65778</v>
      </c>
      <c r="AR24" s="72">
        <v>46718.79181</v>
      </c>
      <c r="AS24" s="72">
        <v>44975.25</v>
      </c>
      <c r="AT24" s="72">
        <v>64124.56186</v>
      </c>
      <c r="AU24" s="72">
        <v>35990.57646</v>
      </c>
      <c r="AV24" s="72">
        <v>36219.2137</v>
      </c>
      <c r="AW24" s="72">
        <v>36508.55</v>
      </c>
      <c r="AX24" s="72">
        <v>37508.29236</v>
      </c>
      <c r="AY24" s="72">
        <v>37641.45023</v>
      </c>
      <c r="AZ24" s="65">
        <f t="array" ref="AZ24">XLOOKUP(C24,'PL TOTAL D0'!K:K,'PL TOTAL D0'!L:L,"")</f>
        <v>39998.32531</v>
      </c>
    </row>
    <row r="25" ht="15.75" customHeight="1">
      <c r="A25" s="42" t="s">
        <v>98</v>
      </c>
      <c r="B25" s="43" t="s">
        <v>496</v>
      </c>
      <c r="C25" s="32">
        <v>1.9492633E7</v>
      </c>
      <c r="D25" s="30" t="s">
        <v>53</v>
      </c>
      <c r="E25" s="32" t="s">
        <v>54</v>
      </c>
      <c r="F25" s="30" t="s">
        <v>497</v>
      </c>
      <c r="G25" s="47" t="str">
        <f t="shared" si="1"/>
        <v>David</v>
      </c>
      <c r="H25" s="49" t="s">
        <v>183</v>
      </c>
      <c r="I25" s="49" t="s">
        <v>66</v>
      </c>
      <c r="J25" s="47" t="str">
        <f t="shared" si="2"/>
        <v>Não</v>
      </c>
      <c r="K25" s="54">
        <v>46149.0</v>
      </c>
      <c r="L25" s="55"/>
      <c r="M25" s="32" t="s">
        <v>34</v>
      </c>
      <c r="N25" s="56">
        <v>0.012</v>
      </c>
      <c r="O25" s="23" t="s">
        <v>35</v>
      </c>
      <c r="P25" s="57">
        <v>0.1</v>
      </c>
      <c r="Q25" s="126"/>
      <c r="R25" s="58"/>
      <c r="S25" s="32" t="s">
        <v>194</v>
      </c>
      <c r="T25" s="32" t="s">
        <v>498</v>
      </c>
      <c r="U25" s="32" t="s">
        <v>499</v>
      </c>
      <c r="V25" s="32" t="s">
        <v>501</v>
      </c>
      <c r="W25" s="55">
        <v>30563.0</v>
      </c>
      <c r="X25" s="23" t="s">
        <v>199</v>
      </c>
      <c r="Y25" s="60" t="str">
        <f t="shared" si="3"/>
        <v>Ativo</v>
      </c>
      <c r="Z25" s="62"/>
      <c r="AA25" s="32" t="s">
        <v>47</v>
      </c>
      <c r="AB25" s="64"/>
      <c r="AC25" s="65"/>
      <c r="AD25" s="67"/>
      <c r="AE25" s="69"/>
      <c r="AF25" s="65"/>
      <c r="AG25" s="65"/>
      <c r="AH25" s="65"/>
      <c r="AI25" s="65"/>
      <c r="AJ25" s="65"/>
      <c r="AK25" s="65"/>
      <c r="AL25" s="65"/>
      <c r="AM25" s="65"/>
      <c r="AN25" s="71"/>
      <c r="AO25" s="71"/>
      <c r="AP25" s="72"/>
      <c r="AQ25" s="72"/>
      <c r="AR25" s="72"/>
      <c r="AS25" s="72"/>
      <c r="AT25" s="72"/>
      <c r="AU25" s="72"/>
      <c r="AV25" s="72"/>
      <c r="AW25" s="72">
        <v>0.0</v>
      </c>
      <c r="AX25" s="72">
        <v>0.0</v>
      </c>
      <c r="AY25" s="72">
        <v>0.0</v>
      </c>
      <c r="AZ25" s="65">
        <f t="array" ref="AZ25">XLOOKUP(C25,'PL TOTAL D0'!K:K,'PL TOTAL D0'!L:L,"")</f>
        <v>0</v>
      </c>
    </row>
    <row r="26" ht="15.75" customHeight="1">
      <c r="A26" s="42" t="s">
        <v>98</v>
      </c>
      <c r="B26" s="43" t="s">
        <v>506</v>
      </c>
      <c r="C26" s="32">
        <v>3732278.0</v>
      </c>
      <c r="D26" s="30" t="s">
        <v>53</v>
      </c>
      <c r="E26" s="32" t="s">
        <v>54</v>
      </c>
      <c r="F26" s="23" t="s">
        <v>507</v>
      </c>
      <c r="G26" s="47" t="str">
        <f t="shared" si="1"/>
        <v>Gabriel</v>
      </c>
      <c r="H26" s="49" t="s">
        <v>183</v>
      </c>
      <c r="I26" s="49" t="s">
        <v>66</v>
      </c>
      <c r="J26" s="47" t="str">
        <f t="shared" si="2"/>
        <v>Não</v>
      </c>
      <c r="K26" s="54">
        <v>45734.0</v>
      </c>
      <c r="L26" s="55"/>
      <c r="M26" s="32" t="s">
        <v>209</v>
      </c>
      <c r="N26" s="56">
        <v>0.015</v>
      </c>
      <c r="O26" s="23" t="s">
        <v>35</v>
      </c>
      <c r="P26" s="57">
        <v>0.1</v>
      </c>
      <c r="Q26" s="70"/>
      <c r="R26" s="58" t="s">
        <v>511</v>
      </c>
      <c r="S26" s="32" t="s">
        <v>194</v>
      </c>
      <c r="T26" s="32" t="s">
        <v>512</v>
      </c>
      <c r="U26" s="32" t="s">
        <v>513</v>
      </c>
      <c r="V26" s="32" t="s">
        <v>515</v>
      </c>
      <c r="W26" s="55">
        <v>27814.0</v>
      </c>
      <c r="X26" s="23" t="s">
        <v>516</v>
      </c>
      <c r="Y26" s="60" t="str">
        <f t="shared" si="3"/>
        <v>Ativo</v>
      </c>
      <c r="Z26" s="62"/>
      <c r="AA26" s="32" t="s">
        <v>47</v>
      </c>
      <c r="AB26" s="64"/>
      <c r="AC26" s="65"/>
      <c r="AD26" s="101">
        <v>45734.0</v>
      </c>
      <c r="AE26" s="69">
        <v>4.907510001851E13</v>
      </c>
      <c r="AF26" s="65"/>
      <c r="AG26" s="65"/>
      <c r="AH26" s="65"/>
      <c r="AI26" s="65"/>
      <c r="AJ26" s="65">
        <v>210598.8828</v>
      </c>
      <c r="AK26" s="65">
        <v>313319.9861</v>
      </c>
      <c r="AL26" s="65">
        <v>321608.2991</v>
      </c>
      <c r="AM26" s="65">
        <v>324799.9531</v>
      </c>
      <c r="AN26" s="71">
        <v>333577.1842</v>
      </c>
      <c r="AO26" s="71">
        <v>336652.5871</v>
      </c>
      <c r="AP26" s="72">
        <v>340201.686</v>
      </c>
      <c r="AQ26" s="72">
        <v>344117.807</v>
      </c>
      <c r="AR26" s="72">
        <v>326576.7501</v>
      </c>
      <c r="AS26" s="72">
        <v>314783.4071</v>
      </c>
      <c r="AT26" s="72">
        <v>319503.7998</v>
      </c>
      <c r="AU26" s="72">
        <v>301912.1369</v>
      </c>
      <c r="AV26" s="72">
        <v>284214.9355</v>
      </c>
      <c r="AW26" s="72">
        <v>285115.24</v>
      </c>
      <c r="AX26" s="72">
        <v>326013.1331</v>
      </c>
      <c r="AY26" s="72">
        <v>329772.684</v>
      </c>
      <c r="AZ26" s="65">
        <f t="array" ref="AZ26">XLOOKUP(C26,'PL TOTAL D0'!K:K,'PL TOTAL D0'!L:L,"")</f>
        <v>308967.7678</v>
      </c>
    </row>
    <row r="27" ht="15.75" customHeight="1">
      <c r="A27" s="42" t="s">
        <v>98</v>
      </c>
      <c r="B27" s="43" t="s">
        <v>522</v>
      </c>
      <c r="C27" s="32">
        <v>3144426.0</v>
      </c>
      <c r="D27" s="30" t="s">
        <v>210</v>
      </c>
      <c r="E27" s="32" t="s">
        <v>199</v>
      </c>
      <c r="F27" s="23" t="s">
        <v>275</v>
      </c>
      <c r="G27" s="47" t="str">
        <f t="shared" si="1"/>
        <v>David</v>
      </c>
      <c r="H27" s="49" t="s">
        <v>295</v>
      </c>
      <c r="I27" s="49" t="s">
        <v>427</v>
      </c>
      <c r="J27" s="47" t="str">
        <f t="shared" si="2"/>
        <v>Sim</v>
      </c>
      <c r="K27" s="54">
        <v>45757.0</v>
      </c>
      <c r="L27" s="55"/>
      <c r="M27" s="32" t="s">
        <v>61</v>
      </c>
      <c r="N27" s="56">
        <v>0.012</v>
      </c>
      <c r="O27" s="23" t="s">
        <v>66</v>
      </c>
      <c r="P27" s="57">
        <v>0.0</v>
      </c>
      <c r="Q27" s="58" t="s">
        <v>526</v>
      </c>
      <c r="R27" s="58"/>
      <c r="S27" s="32" t="s">
        <v>194</v>
      </c>
      <c r="T27" s="32" t="s">
        <v>527</v>
      </c>
      <c r="U27" s="32" t="s">
        <v>528</v>
      </c>
      <c r="V27" s="32" t="s">
        <v>529</v>
      </c>
      <c r="W27" s="55">
        <v>22067.0</v>
      </c>
      <c r="X27" s="23" t="s">
        <v>199</v>
      </c>
      <c r="Y27" s="60" t="str">
        <f t="shared" si="3"/>
        <v>Ativo</v>
      </c>
      <c r="Z27" s="62"/>
      <c r="AA27" s="32" t="s">
        <v>47</v>
      </c>
      <c r="AB27" s="64"/>
      <c r="AC27" s="65"/>
      <c r="AD27" s="101">
        <v>45757.0</v>
      </c>
      <c r="AE27" s="69">
        <v>4.9075100018693E13</v>
      </c>
      <c r="AF27" s="65"/>
      <c r="AG27" s="65"/>
      <c r="AH27" s="65"/>
      <c r="AI27" s="65"/>
      <c r="AJ27" s="65"/>
      <c r="AK27" s="65">
        <v>472901.2914</v>
      </c>
      <c r="AL27" s="65">
        <v>567332.0502</v>
      </c>
      <c r="AM27" s="65">
        <v>572937.3879</v>
      </c>
      <c r="AN27" s="71">
        <v>578373.7151</v>
      </c>
      <c r="AO27" s="71">
        <v>584363.4087</v>
      </c>
      <c r="AP27" s="72">
        <v>82874.62355</v>
      </c>
      <c r="AQ27" s="72">
        <v>32832.16998</v>
      </c>
      <c r="AR27" s="72">
        <v>33133.54535</v>
      </c>
      <c r="AS27" s="72">
        <v>33519.36766</v>
      </c>
      <c r="AT27" s="72">
        <v>33109.21851</v>
      </c>
      <c r="AU27" s="72">
        <v>0.0</v>
      </c>
      <c r="AV27" s="72">
        <v>1.06</v>
      </c>
      <c r="AW27" s="72">
        <v>1.06</v>
      </c>
      <c r="AX27" s="72">
        <v>1.06</v>
      </c>
      <c r="AY27" s="72">
        <v>1.06</v>
      </c>
      <c r="AZ27" s="65">
        <f t="array" ref="AZ27">XLOOKUP(C27,'PL TOTAL D0'!K:K,'PL TOTAL D0'!L:L,"")</f>
        <v>0</v>
      </c>
    </row>
    <row r="28" ht="15.75" customHeight="1">
      <c r="A28" s="42" t="s">
        <v>98</v>
      </c>
      <c r="B28" s="43" t="s">
        <v>535</v>
      </c>
      <c r="C28" s="32">
        <v>2738150.0</v>
      </c>
      <c r="D28" s="30" t="s">
        <v>142</v>
      </c>
      <c r="E28" s="32" t="s">
        <v>54</v>
      </c>
      <c r="F28" s="23" t="s">
        <v>158</v>
      </c>
      <c r="G28" s="47" t="str">
        <f t="shared" si="1"/>
        <v>Gabriel</v>
      </c>
      <c r="H28" s="49" t="s">
        <v>183</v>
      </c>
      <c r="I28" s="49" t="s">
        <v>447</v>
      </c>
      <c r="J28" s="47" t="str">
        <f t="shared" si="2"/>
        <v>Não</v>
      </c>
      <c r="K28" s="54">
        <v>45908.0</v>
      </c>
      <c r="L28" s="55"/>
      <c r="M28" s="32" t="s">
        <v>537</v>
      </c>
      <c r="N28" s="56">
        <v>0.015</v>
      </c>
      <c r="O28" s="23" t="s">
        <v>66</v>
      </c>
      <c r="P28" s="57">
        <v>0.0</v>
      </c>
      <c r="Q28" s="58"/>
      <c r="R28" s="58"/>
      <c r="S28" s="32" t="s">
        <v>194</v>
      </c>
      <c r="T28" s="32" t="s">
        <v>538</v>
      </c>
      <c r="U28" s="32" t="s">
        <v>539</v>
      </c>
      <c r="V28" s="32" t="s">
        <v>540</v>
      </c>
      <c r="W28" s="121">
        <v>18801.0</v>
      </c>
      <c r="X28" s="23" t="s">
        <v>397</v>
      </c>
      <c r="Y28" s="60" t="s">
        <v>183</v>
      </c>
      <c r="Z28" s="62"/>
      <c r="AA28" s="32" t="s">
        <v>165</v>
      </c>
      <c r="AB28" s="64"/>
      <c r="AC28" s="65"/>
      <c r="AD28" s="67">
        <v>45908.0</v>
      </c>
      <c r="AE28" s="148">
        <v>4.9075100019398E13</v>
      </c>
      <c r="AF28" s="65"/>
      <c r="AG28" s="65"/>
      <c r="AH28" s="65"/>
      <c r="AI28" s="65"/>
      <c r="AJ28" s="65"/>
      <c r="AK28" s="65"/>
      <c r="AL28" s="65"/>
      <c r="AM28" s="65"/>
      <c r="AN28" s="71">
        <v>481220.52</v>
      </c>
      <c r="AO28" s="71">
        <v>500103.74</v>
      </c>
      <c r="AP28" s="72">
        <v>507814.25</v>
      </c>
      <c r="AQ28" s="72">
        <v>515065.1948</v>
      </c>
      <c r="AR28" s="72">
        <v>533265.1122</v>
      </c>
      <c r="AS28" s="72">
        <v>553081.5611</v>
      </c>
      <c r="AT28" s="72">
        <v>606502.5762</v>
      </c>
      <c r="AU28" s="72">
        <v>649668.8174</v>
      </c>
      <c r="AV28" s="72">
        <v>676664.1013</v>
      </c>
      <c r="AW28" s="72">
        <v>676651.22</v>
      </c>
      <c r="AX28" s="72">
        <v>637532.1109</v>
      </c>
      <c r="AY28" s="72">
        <v>622157.9267</v>
      </c>
      <c r="AZ28" s="65">
        <f t="array" ref="AZ28">XLOOKUP(C28,'PL TOTAL D0'!K:K,'PL TOTAL D0'!L:L,"")</f>
        <v>643437.7726</v>
      </c>
    </row>
    <row r="29" ht="15.75" customHeight="1">
      <c r="A29" s="42" t="s">
        <v>98</v>
      </c>
      <c r="B29" s="43" t="s">
        <v>549</v>
      </c>
      <c r="C29" s="32">
        <v>1.9771047E7</v>
      </c>
      <c r="D29" s="30" t="s">
        <v>27</v>
      </c>
      <c r="E29" s="32" t="s">
        <v>28</v>
      </c>
      <c r="F29" s="23" t="s">
        <v>29</v>
      </c>
      <c r="G29" s="47" t="str">
        <f t="shared" si="1"/>
        <v>David</v>
      </c>
      <c r="H29" s="49" t="s">
        <v>183</v>
      </c>
      <c r="I29" s="49" t="s">
        <v>66</v>
      </c>
      <c r="J29" s="47" t="str">
        <f t="shared" si="2"/>
        <v>Não</v>
      </c>
      <c r="K29" s="54">
        <v>46225.0</v>
      </c>
      <c r="L29" s="55"/>
      <c r="M29" s="32" t="s">
        <v>557</v>
      </c>
      <c r="N29" s="56">
        <v>0.007</v>
      </c>
      <c r="O29" s="23" t="s">
        <v>66</v>
      </c>
      <c r="P29" s="57">
        <v>0.0</v>
      </c>
      <c r="Q29" s="58"/>
      <c r="R29" s="58"/>
      <c r="S29" s="32" t="s">
        <v>194</v>
      </c>
      <c r="T29" s="32" t="s">
        <v>558</v>
      </c>
      <c r="U29" s="32" t="s">
        <v>559</v>
      </c>
      <c r="V29" s="32" t="s">
        <v>560</v>
      </c>
      <c r="W29" s="121">
        <v>18671.0</v>
      </c>
      <c r="X29" s="23" t="s">
        <v>28</v>
      </c>
      <c r="Y29" s="60" t="s">
        <v>183</v>
      </c>
      <c r="Z29" s="62"/>
      <c r="AA29" s="32" t="s">
        <v>47</v>
      </c>
      <c r="AB29" s="64"/>
      <c r="AC29" s="65"/>
      <c r="AD29" s="67"/>
      <c r="AE29" s="148"/>
      <c r="AF29" s="65"/>
      <c r="AG29" s="65"/>
      <c r="AH29" s="65"/>
      <c r="AI29" s="65"/>
      <c r="AJ29" s="65"/>
      <c r="AK29" s="65"/>
      <c r="AL29" s="65"/>
      <c r="AM29" s="65"/>
      <c r="AN29" s="71"/>
      <c r="AO29" s="71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65"/>
    </row>
    <row r="30" ht="15.75" customHeight="1">
      <c r="A30" s="42" t="s">
        <v>98</v>
      </c>
      <c r="B30" s="43" t="s">
        <v>565</v>
      </c>
      <c r="C30" s="32">
        <v>3723914.0</v>
      </c>
      <c r="D30" s="23" t="s">
        <v>120</v>
      </c>
      <c r="E30" s="32" t="s">
        <v>199</v>
      </c>
      <c r="F30" s="23" t="s">
        <v>290</v>
      </c>
      <c r="G30" s="47" t="str">
        <f t="shared" si="1"/>
        <v>Marcus</v>
      </c>
      <c r="H30" s="49" t="s">
        <v>183</v>
      </c>
      <c r="I30" s="49" t="s">
        <v>66</v>
      </c>
      <c r="J30" s="47" t="str">
        <f t="shared" si="2"/>
        <v>Não</v>
      </c>
      <c r="K30" s="54">
        <v>45630.0</v>
      </c>
      <c r="L30" s="55"/>
      <c r="M30" s="32" t="s">
        <v>61</v>
      </c>
      <c r="N30" s="56">
        <v>0.007</v>
      </c>
      <c r="O30" s="23" t="s">
        <v>66</v>
      </c>
      <c r="P30" s="57">
        <v>0.0</v>
      </c>
      <c r="Q30" s="70"/>
      <c r="R30" s="58"/>
      <c r="S30" s="32" t="s">
        <v>194</v>
      </c>
      <c r="T30" s="32" t="s">
        <v>572</v>
      </c>
      <c r="U30" s="32" t="s">
        <v>573</v>
      </c>
      <c r="V30" s="32" t="s">
        <v>574</v>
      </c>
      <c r="W30" s="55">
        <v>23909.0</v>
      </c>
      <c r="X30" s="23" t="s">
        <v>199</v>
      </c>
      <c r="Y30" s="60" t="str">
        <f t="shared" ref="Y30:Y82" si="4">IFS(H:H="Encerrado","Encerrado",COUNTBLANK(AF30:AN30)&gt;0,"Ativo",SUM(AF30:AN30)=0,"Inativo",SUM(AF30:AN30)&gt;0,"Ativo")</f>
        <v>Ativo</v>
      </c>
      <c r="Z30" s="62"/>
      <c r="AA30" s="32" t="s">
        <v>47</v>
      </c>
      <c r="AB30" s="64"/>
      <c r="AC30" s="65"/>
      <c r="AD30" s="101">
        <v>45665.0</v>
      </c>
      <c r="AE30" s="69">
        <v>4.9075100016542E13</v>
      </c>
      <c r="AF30" s="65">
        <v>0.0</v>
      </c>
      <c r="AG30" s="65">
        <v>124287.46</v>
      </c>
      <c r="AH30" s="65">
        <v>201011.762</v>
      </c>
      <c r="AI30" s="65">
        <v>229261.027</v>
      </c>
      <c r="AJ30" s="65">
        <v>231109.996</v>
      </c>
      <c r="AK30" s="65">
        <v>233745.2193</v>
      </c>
      <c r="AL30" s="65">
        <v>234857.9343</v>
      </c>
      <c r="AM30" s="65">
        <v>236134.5259</v>
      </c>
      <c r="AN30" s="71">
        <v>638163.6947</v>
      </c>
      <c r="AO30" s="71">
        <v>644489.5092</v>
      </c>
      <c r="AP30" s="72">
        <v>750774.8818</v>
      </c>
      <c r="AQ30" s="72">
        <v>834333.5299</v>
      </c>
      <c r="AR30" s="72">
        <v>840504.4417</v>
      </c>
      <c r="AS30" s="72">
        <v>848808.1566</v>
      </c>
      <c r="AT30" s="72">
        <v>861156.3462</v>
      </c>
      <c r="AU30" s="72">
        <v>866685.8184</v>
      </c>
      <c r="AV30" s="72">
        <v>876608.6086</v>
      </c>
      <c r="AW30" s="72">
        <v>1508787.47</v>
      </c>
      <c r="AX30" s="72">
        <v>1520122.154</v>
      </c>
      <c r="AY30" s="72">
        <v>1534974.442</v>
      </c>
      <c r="AZ30" s="65">
        <f t="array" ref="AZ30">XLOOKUP(C30,'PL TOTAL D0'!K:K,'PL TOTAL D0'!L:L,"")</f>
        <v>1548957.32</v>
      </c>
    </row>
    <row r="31" ht="15.75" customHeight="1">
      <c r="A31" s="42" t="s">
        <v>98</v>
      </c>
      <c r="B31" s="43" t="s">
        <v>582</v>
      </c>
      <c r="C31" s="32">
        <v>3862487.0</v>
      </c>
      <c r="D31" s="23" t="s">
        <v>210</v>
      </c>
      <c r="E31" s="32" t="s">
        <v>199</v>
      </c>
      <c r="F31" s="23" t="s">
        <v>275</v>
      </c>
      <c r="G31" s="47" t="str">
        <f t="shared" si="1"/>
        <v>David</v>
      </c>
      <c r="H31" s="49" t="s">
        <v>183</v>
      </c>
      <c r="I31" s="49" t="s">
        <v>66</v>
      </c>
      <c r="J31" s="47" t="str">
        <f t="shared" si="2"/>
        <v>Sim</v>
      </c>
      <c r="K31" s="54">
        <v>45706.0</v>
      </c>
      <c r="L31" s="55"/>
      <c r="M31" s="32" t="s">
        <v>61</v>
      </c>
      <c r="N31" s="56">
        <v>0.012</v>
      </c>
      <c r="O31" s="23" t="s">
        <v>66</v>
      </c>
      <c r="P31" s="57">
        <v>0.0</v>
      </c>
      <c r="Q31" s="58" t="s">
        <v>586</v>
      </c>
      <c r="R31" s="58"/>
      <c r="S31" s="32" t="s">
        <v>194</v>
      </c>
      <c r="T31" s="32" t="s">
        <v>588</v>
      </c>
      <c r="U31" s="32" t="s">
        <v>590</v>
      </c>
      <c r="V31" s="32" t="s">
        <v>591</v>
      </c>
      <c r="W31" s="55">
        <v>30877.0</v>
      </c>
      <c r="X31" s="23" t="s">
        <v>199</v>
      </c>
      <c r="Y31" s="60" t="str">
        <f t="shared" si="4"/>
        <v>Ativo</v>
      </c>
      <c r="Z31" s="62"/>
      <c r="AA31" s="32" t="s">
        <v>107</v>
      </c>
      <c r="AB31" s="64"/>
      <c r="AC31" s="65"/>
      <c r="AD31" s="101">
        <v>45706.0</v>
      </c>
      <c r="AE31" s="69">
        <v>4.9075100017875E13</v>
      </c>
      <c r="AF31" s="65"/>
      <c r="AG31" s="65"/>
      <c r="AH31" s="65"/>
      <c r="AI31" s="65" t="s">
        <v>593</v>
      </c>
      <c r="AJ31" s="65" t="s">
        <v>594</v>
      </c>
      <c r="AK31" s="65" t="s">
        <v>595</v>
      </c>
      <c r="AL31" s="65" t="s">
        <v>597</v>
      </c>
      <c r="AM31" s="65" t="s">
        <v>598</v>
      </c>
      <c r="AN31" s="71" t="s">
        <v>599</v>
      </c>
      <c r="AO31" s="71" t="s">
        <v>600</v>
      </c>
      <c r="AP31" s="72" t="s">
        <v>602</v>
      </c>
      <c r="AQ31" s="72">
        <v>87768.34886</v>
      </c>
      <c r="AR31" s="72">
        <v>90401.95</v>
      </c>
      <c r="AS31" s="72">
        <v>89573.02</v>
      </c>
      <c r="AT31" s="72">
        <v>94375.4</v>
      </c>
      <c r="AU31" s="72">
        <v>95573.75</v>
      </c>
      <c r="AV31" s="72">
        <v>95882.85</v>
      </c>
      <c r="AW31" s="72">
        <v>95875.58</v>
      </c>
      <c r="AX31" s="72">
        <v>94050.49</v>
      </c>
      <c r="AY31" s="72">
        <v>94839.91</v>
      </c>
      <c r="AZ31" s="65">
        <f t="array" ref="AZ31">XLOOKUP(C31,'PL TOTAL D0'!K:K,'PL TOTAL D0'!L:L,"")</f>
        <v>93858.81</v>
      </c>
    </row>
    <row r="32" ht="15.75" customHeight="1">
      <c r="A32" s="42" t="s">
        <v>98</v>
      </c>
      <c r="B32" s="43" t="s">
        <v>607</v>
      </c>
      <c r="C32" s="32">
        <v>1.9228697E7</v>
      </c>
      <c r="D32" s="23" t="s">
        <v>53</v>
      </c>
      <c r="E32" s="32" t="s">
        <v>54</v>
      </c>
      <c r="F32" s="23" t="s">
        <v>608</v>
      </c>
      <c r="G32" s="47" t="str">
        <f t="shared" si="1"/>
        <v>Marcus</v>
      </c>
      <c r="H32" s="49" t="s">
        <v>224</v>
      </c>
      <c r="I32" s="49" t="s">
        <v>66</v>
      </c>
      <c r="J32" s="47" t="str">
        <f t="shared" si="2"/>
        <v>Não</v>
      </c>
      <c r="K32" s="54">
        <v>46090.0</v>
      </c>
      <c r="L32" s="55">
        <v>46155.0</v>
      </c>
      <c r="M32" s="32" t="s">
        <v>34</v>
      </c>
      <c r="N32" s="56">
        <v>0.012</v>
      </c>
      <c r="O32" s="23" t="s">
        <v>66</v>
      </c>
      <c r="P32" s="57">
        <v>0.0</v>
      </c>
      <c r="Q32" s="58"/>
      <c r="R32" s="58" t="s">
        <v>610</v>
      </c>
      <c r="S32" s="32" t="s">
        <v>194</v>
      </c>
      <c r="T32" s="32" t="s">
        <v>611</v>
      </c>
      <c r="U32" s="32" t="s">
        <v>612</v>
      </c>
      <c r="V32" s="32" t="s">
        <v>613</v>
      </c>
      <c r="W32" s="55">
        <v>36169.0</v>
      </c>
      <c r="X32" s="23" t="s">
        <v>54</v>
      </c>
      <c r="Y32" s="60" t="str">
        <f t="shared" si="4"/>
        <v>Encerrado</v>
      </c>
      <c r="Z32" s="62"/>
      <c r="AA32" s="32" t="s">
        <v>47</v>
      </c>
      <c r="AB32" s="64"/>
      <c r="AC32" s="65"/>
      <c r="AD32" s="101"/>
      <c r="AE32" s="69"/>
      <c r="AF32" s="65"/>
      <c r="AG32" s="65"/>
      <c r="AH32" s="65"/>
      <c r="AI32" s="65"/>
      <c r="AJ32" s="65"/>
      <c r="AK32" s="65"/>
      <c r="AL32" s="65"/>
      <c r="AM32" s="65"/>
      <c r="AN32" s="71"/>
      <c r="AO32" s="71"/>
      <c r="AP32" s="72"/>
      <c r="AQ32" s="72"/>
      <c r="AR32" s="72"/>
      <c r="AS32" s="72"/>
      <c r="AT32" s="72"/>
      <c r="AU32" s="72"/>
      <c r="AV32" s="72">
        <v>0.0</v>
      </c>
      <c r="AW32" s="72">
        <v>0.0</v>
      </c>
      <c r="AX32" s="72">
        <v>0.0</v>
      </c>
      <c r="AY32" s="72">
        <v>0.0</v>
      </c>
      <c r="AZ32" s="65" t="str">
        <f t="array" ref="AZ32">XLOOKUP(C32,'PL TOTAL D0'!K:K,'PL TOTAL D0'!L:L,"")</f>
        <v/>
      </c>
    </row>
    <row r="33" ht="15.75" customHeight="1">
      <c r="A33" s="42" t="s">
        <v>98</v>
      </c>
      <c r="B33" s="43" t="s">
        <v>624</v>
      </c>
      <c r="C33" s="32">
        <v>3977611.0</v>
      </c>
      <c r="D33" s="30" t="s">
        <v>210</v>
      </c>
      <c r="E33" s="32" t="s">
        <v>199</v>
      </c>
      <c r="F33" s="23" t="s">
        <v>275</v>
      </c>
      <c r="G33" s="47" t="str">
        <f t="shared" si="1"/>
        <v>David</v>
      </c>
      <c r="H33" s="49" t="s">
        <v>295</v>
      </c>
      <c r="I33" s="49" t="s">
        <v>427</v>
      </c>
      <c r="J33" s="47" t="str">
        <f t="shared" si="2"/>
        <v>Sim</v>
      </c>
      <c r="K33" s="54">
        <v>45716.0</v>
      </c>
      <c r="L33" s="55"/>
      <c r="M33" s="32" t="s">
        <v>61</v>
      </c>
      <c r="N33" s="56">
        <v>0.012</v>
      </c>
      <c r="O33" s="23" t="s">
        <v>66</v>
      </c>
      <c r="P33" s="57">
        <v>0.0</v>
      </c>
      <c r="Q33" s="165" t="s">
        <v>632</v>
      </c>
      <c r="R33" s="58"/>
      <c r="S33" s="32" t="s">
        <v>194</v>
      </c>
      <c r="T33" s="32" t="s">
        <v>633</v>
      </c>
      <c r="U33" s="32" t="s">
        <v>634</v>
      </c>
      <c r="V33" s="32" t="s">
        <v>636</v>
      </c>
      <c r="W33" s="55">
        <v>36179.0</v>
      </c>
      <c r="X33" s="23" t="s">
        <v>199</v>
      </c>
      <c r="Y33" s="60" t="str">
        <f t="shared" si="4"/>
        <v>Ativo</v>
      </c>
      <c r="Z33" s="62"/>
      <c r="AA33" s="32" t="s">
        <v>107</v>
      </c>
      <c r="AB33" s="64"/>
      <c r="AC33" s="65"/>
      <c r="AD33" s="101">
        <v>45716.0</v>
      </c>
      <c r="AE33" s="69">
        <v>4.907510001798E13</v>
      </c>
      <c r="AF33" s="65"/>
      <c r="AG33" s="65"/>
      <c r="AH33" s="65"/>
      <c r="AI33" s="65">
        <v>51377.12</v>
      </c>
      <c r="AJ33" s="65">
        <v>51610.23557</v>
      </c>
      <c r="AK33" s="65">
        <v>21457.53</v>
      </c>
      <c r="AL33" s="65">
        <v>16882.55</v>
      </c>
      <c r="AM33" s="65">
        <v>3002.96</v>
      </c>
      <c r="AN33" s="71">
        <v>590.33</v>
      </c>
      <c r="AO33" s="71">
        <v>0.44</v>
      </c>
      <c r="AP33" s="72">
        <v>0.44</v>
      </c>
      <c r="AQ33" s="72">
        <v>0.44</v>
      </c>
      <c r="AR33" s="72">
        <v>0.44</v>
      </c>
      <c r="AS33" s="72">
        <v>0.44</v>
      </c>
      <c r="AT33" s="72">
        <v>0.44</v>
      </c>
      <c r="AU33" s="72">
        <v>0.44</v>
      </c>
      <c r="AV33" s="72">
        <v>0.44</v>
      </c>
      <c r="AW33" s="72">
        <v>0.44</v>
      </c>
      <c r="AX33" s="72">
        <v>0.44</v>
      </c>
      <c r="AY33" s="72">
        <v>0.44</v>
      </c>
      <c r="AZ33" s="65">
        <f t="array" ref="AZ33">XLOOKUP(C33,'PL TOTAL D0'!K:K,'PL TOTAL D0'!L:L,"")</f>
        <v>0</v>
      </c>
    </row>
    <row r="34" ht="15.75" customHeight="1">
      <c r="A34" s="42" t="s">
        <v>98</v>
      </c>
      <c r="B34" s="43" t="s">
        <v>643</v>
      </c>
      <c r="C34" s="32">
        <v>2209353.0</v>
      </c>
      <c r="D34" s="30" t="s">
        <v>210</v>
      </c>
      <c r="E34" s="32" t="s">
        <v>199</v>
      </c>
      <c r="F34" s="23" t="s">
        <v>275</v>
      </c>
      <c r="G34" s="47" t="str">
        <f t="shared" si="1"/>
        <v>David</v>
      </c>
      <c r="H34" s="49" t="s">
        <v>183</v>
      </c>
      <c r="I34" s="49" t="s">
        <v>66</v>
      </c>
      <c r="J34" s="47" t="str">
        <f t="shared" si="2"/>
        <v>Não</v>
      </c>
      <c r="K34" s="54">
        <v>45863.0</v>
      </c>
      <c r="L34" s="55"/>
      <c r="M34" s="32" t="s">
        <v>61</v>
      </c>
      <c r="N34" s="56">
        <v>0.012</v>
      </c>
      <c r="O34" s="23" t="s">
        <v>66</v>
      </c>
      <c r="P34" s="57">
        <v>0.0</v>
      </c>
      <c r="Q34" s="165"/>
      <c r="R34" s="58"/>
      <c r="S34" s="32" t="s">
        <v>194</v>
      </c>
      <c r="T34" s="32" t="s">
        <v>647</v>
      </c>
      <c r="U34" s="32" t="s">
        <v>648</v>
      </c>
      <c r="V34" s="32" t="s">
        <v>650</v>
      </c>
      <c r="W34" s="55">
        <v>25427.0</v>
      </c>
      <c r="X34" s="23" t="s">
        <v>199</v>
      </c>
      <c r="Y34" s="60" t="str">
        <f t="shared" si="4"/>
        <v>Ativo</v>
      </c>
      <c r="Z34" s="62"/>
      <c r="AA34" s="32" t="s">
        <v>107</v>
      </c>
      <c r="AB34" s="64"/>
      <c r="AC34" s="65"/>
      <c r="AD34" s="67">
        <v>45863.0</v>
      </c>
      <c r="AE34" s="69">
        <v>4.9075100019096E13</v>
      </c>
      <c r="AF34" s="65"/>
      <c r="AG34" s="65"/>
      <c r="AH34" s="65"/>
      <c r="AI34" s="65"/>
      <c r="AJ34" s="65"/>
      <c r="AK34" s="65"/>
      <c r="AL34" s="65"/>
      <c r="AM34" s="65"/>
      <c r="AN34" s="71">
        <v>271370.0978</v>
      </c>
      <c r="AO34" s="71">
        <v>273663.1347</v>
      </c>
      <c r="AP34" s="72">
        <v>277181.55</v>
      </c>
      <c r="AQ34" s="72">
        <v>280322.19</v>
      </c>
      <c r="AR34" s="72">
        <v>26762.66</v>
      </c>
      <c r="AS34" s="72">
        <v>26987.96</v>
      </c>
      <c r="AT34" s="72">
        <v>27271.87</v>
      </c>
      <c r="AU34" s="72">
        <v>27512.29</v>
      </c>
      <c r="AV34" s="72">
        <v>27826.66</v>
      </c>
      <c r="AW34" s="72">
        <v>28094.12</v>
      </c>
      <c r="AX34" s="72">
        <v>28090.25</v>
      </c>
      <c r="AY34" s="72">
        <v>28372.43</v>
      </c>
      <c r="AZ34" s="65">
        <f t="array" ref="AZ34">XLOOKUP(C34,'PL TOTAL D0'!K:K,'PL TOTAL D0'!L:L,"")</f>
        <v>28700.55</v>
      </c>
    </row>
    <row r="35" ht="15.75" customHeight="1">
      <c r="A35" s="42" t="s">
        <v>98</v>
      </c>
      <c r="B35" s="43" t="s">
        <v>658</v>
      </c>
      <c r="C35" s="32">
        <v>2570963.0</v>
      </c>
      <c r="D35" s="23" t="s">
        <v>142</v>
      </c>
      <c r="E35" s="32" t="s">
        <v>54</v>
      </c>
      <c r="F35" s="23" t="s">
        <v>158</v>
      </c>
      <c r="G35" s="47" t="str">
        <f t="shared" si="1"/>
        <v>Marcus</v>
      </c>
      <c r="H35" s="49" t="s">
        <v>183</v>
      </c>
      <c r="I35" s="49" t="s">
        <v>66</v>
      </c>
      <c r="J35" s="47" t="str">
        <f t="shared" si="2"/>
        <v>Não</v>
      </c>
      <c r="K35" s="54">
        <v>45671.0</v>
      </c>
      <c r="L35" s="55"/>
      <c r="M35" s="32" t="s">
        <v>61</v>
      </c>
      <c r="N35" s="56">
        <v>0.012</v>
      </c>
      <c r="O35" s="23" t="s">
        <v>66</v>
      </c>
      <c r="P35" s="57">
        <v>0.0</v>
      </c>
      <c r="Q35" s="168"/>
      <c r="R35" s="58"/>
      <c r="S35" s="32" t="s">
        <v>194</v>
      </c>
      <c r="T35" s="32" t="s">
        <v>661</v>
      </c>
      <c r="U35" s="32" t="s">
        <v>662</v>
      </c>
      <c r="V35" s="32" t="s">
        <v>663</v>
      </c>
      <c r="W35" s="55">
        <v>18064.0</v>
      </c>
      <c r="X35" s="23" t="s">
        <v>54</v>
      </c>
      <c r="Y35" s="60" t="str">
        <f t="shared" si="4"/>
        <v>Ativo</v>
      </c>
      <c r="Z35" s="62"/>
      <c r="AA35" s="32" t="s">
        <v>47</v>
      </c>
      <c r="AB35" s="64"/>
      <c r="AC35" s="65"/>
      <c r="AD35" s="101">
        <v>45665.0</v>
      </c>
      <c r="AE35" s="69">
        <v>4.9075100016593E13</v>
      </c>
      <c r="AF35" s="65"/>
      <c r="AG35" s="65"/>
      <c r="AH35" s="65">
        <v>992468.2484</v>
      </c>
      <c r="AI35" s="65">
        <v>991333.2573</v>
      </c>
      <c r="AJ35" s="65">
        <v>979193.0017</v>
      </c>
      <c r="AK35" s="65">
        <v>956771.2365</v>
      </c>
      <c r="AL35" s="65">
        <v>953735.517</v>
      </c>
      <c r="AM35" s="65">
        <v>960688.1978</v>
      </c>
      <c r="AN35" s="71">
        <v>946639.2188</v>
      </c>
      <c r="AO35" s="71">
        <v>941355.9259</v>
      </c>
      <c r="AP35" s="72">
        <v>941352.5294</v>
      </c>
      <c r="AQ35" s="72">
        <v>922097.2169</v>
      </c>
      <c r="AR35" s="72">
        <v>918323.9488</v>
      </c>
      <c r="AS35" s="72">
        <v>916152.4126</v>
      </c>
      <c r="AT35" s="72">
        <v>901147.7376</v>
      </c>
      <c r="AU35" s="72">
        <v>876127.2757</v>
      </c>
      <c r="AV35" s="72">
        <v>871476.9589</v>
      </c>
      <c r="AW35" s="72">
        <v>863639.43</v>
      </c>
      <c r="AX35" s="72">
        <v>852555.205</v>
      </c>
      <c r="AY35" s="72">
        <v>838668.1385</v>
      </c>
      <c r="AZ35" s="65">
        <f t="array" ref="AZ35">XLOOKUP(C35,'PL TOTAL D0'!K:K,'PL TOTAL D0'!L:L,"")</f>
        <v>830226.0649</v>
      </c>
    </row>
    <row r="36" ht="15.75" customHeight="1">
      <c r="A36" s="42" t="s">
        <v>98</v>
      </c>
      <c r="B36" s="43" t="s">
        <v>670</v>
      </c>
      <c r="C36" s="32">
        <v>7294113.0</v>
      </c>
      <c r="D36" s="23" t="s">
        <v>249</v>
      </c>
      <c r="E36" s="32" t="s">
        <v>199</v>
      </c>
      <c r="F36" s="30" t="s">
        <v>251</v>
      </c>
      <c r="G36" s="47" t="str">
        <f t="shared" si="1"/>
        <v>David</v>
      </c>
      <c r="H36" s="49" t="s">
        <v>183</v>
      </c>
      <c r="I36" s="49" t="s">
        <v>66</v>
      </c>
      <c r="J36" s="47" t="str">
        <f t="shared" si="2"/>
        <v>Não</v>
      </c>
      <c r="K36" s="54">
        <v>45947.0</v>
      </c>
      <c r="L36" s="55"/>
      <c r="M36" s="32" t="s">
        <v>390</v>
      </c>
      <c r="N36" s="56">
        <v>0.005</v>
      </c>
      <c r="O36" s="23" t="s">
        <v>66</v>
      </c>
      <c r="P36" s="57">
        <v>0.0</v>
      </c>
      <c r="Q36" s="168"/>
      <c r="R36" s="58"/>
      <c r="S36" s="32" t="s">
        <v>194</v>
      </c>
      <c r="T36" s="32" t="s">
        <v>679</v>
      </c>
      <c r="U36" s="32" t="s">
        <v>681</v>
      </c>
      <c r="V36" s="32" t="s">
        <v>682</v>
      </c>
      <c r="W36" s="55">
        <v>19609.0</v>
      </c>
      <c r="X36" s="23" t="s">
        <v>475</v>
      </c>
      <c r="Y36" s="60" t="str">
        <f t="shared" si="4"/>
        <v>Ativo</v>
      </c>
      <c r="Z36" s="62"/>
      <c r="AA36" s="32" t="s">
        <v>47</v>
      </c>
      <c r="AB36" s="64"/>
      <c r="AC36" s="65"/>
      <c r="AD36" s="67">
        <v>45947.0</v>
      </c>
      <c r="AE36" s="148">
        <v>4.9075100019592E13</v>
      </c>
      <c r="AF36" s="65"/>
      <c r="AG36" s="65"/>
      <c r="AH36" s="65"/>
      <c r="AI36" s="65"/>
      <c r="AJ36" s="65"/>
      <c r="AK36" s="65"/>
      <c r="AL36" s="65"/>
      <c r="AM36" s="65"/>
      <c r="AN36" s="71"/>
      <c r="AO36" s="71"/>
      <c r="AP36" s="72"/>
      <c r="AQ36" s="72">
        <v>30647.66611</v>
      </c>
      <c r="AR36" s="72">
        <v>30834.21638</v>
      </c>
      <c r="AS36" s="72">
        <v>31145.91</v>
      </c>
      <c r="AT36" s="72">
        <v>29404.7</v>
      </c>
      <c r="AU36" s="72">
        <v>20507.13</v>
      </c>
      <c r="AV36" s="72">
        <v>20752.55</v>
      </c>
      <c r="AW36" s="72">
        <v>21016.88</v>
      </c>
      <c r="AX36" s="72">
        <v>21112.61</v>
      </c>
      <c r="AY36" s="72">
        <v>11265.58</v>
      </c>
      <c r="AZ36" s="65">
        <f t="array" ref="AZ36">XLOOKUP(C36,'PL TOTAL D0'!K:K,'PL TOTAL D0'!L:L,"")</f>
        <v>11476.64</v>
      </c>
    </row>
    <row r="37" ht="15.75" customHeight="1">
      <c r="A37" s="42" t="s">
        <v>98</v>
      </c>
      <c r="B37" s="43" t="s">
        <v>687</v>
      </c>
      <c r="C37" s="32">
        <v>6548318.0</v>
      </c>
      <c r="D37" s="23" t="s">
        <v>120</v>
      </c>
      <c r="E37" s="32" t="s">
        <v>199</v>
      </c>
      <c r="F37" s="23" t="s">
        <v>691</v>
      </c>
      <c r="G37" s="47" t="str">
        <f t="shared" si="1"/>
        <v>Marcus</v>
      </c>
      <c r="H37" s="49" t="s">
        <v>295</v>
      </c>
      <c r="I37" s="49" t="s">
        <v>694</v>
      </c>
      <c r="J37" s="47" t="str">
        <f t="shared" si="2"/>
        <v>Não</v>
      </c>
      <c r="K37" s="54">
        <v>46064.0</v>
      </c>
      <c r="L37" s="55"/>
      <c r="M37" s="32" t="s">
        <v>557</v>
      </c>
      <c r="N37" s="56">
        <v>0.007</v>
      </c>
      <c r="O37" s="23" t="s">
        <v>66</v>
      </c>
      <c r="P37" s="57">
        <v>0.0</v>
      </c>
      <c r="Q37" s="168"/>
      <c r="R37" s="58"/>
      <c r="S37" s="32" t="s">
        <v>194</v>
      </c>
      <c r="T37" s="32" t="s">
        <v>695</v>
      </c>
      <c r="U37" s="32" t="s">
        <v>696</v>
      </c>
      <c r="V37" s="32" t="s">
        <v>697</v>
      </c>
      <c r="W37" s="55">
        <v>27158.0</v>
      </c>
      <c r="X37" s="23" t="s">
        <v>199</v>
      </c>
      <c r="Y37" s="60" t="str">
        <f t="shared" si="4"/>
        <v>Ativo</v>
      </c>
      <c r="Z37" s="62"/>
      <c r="AA37" s="32" t="s">
        <v>107</v>
      </c>
      <c r="AB37" s="64"/>
      <c r="AC37" s="65"/>
      <c r="AD37" s="67"/>
      <c r="AE37" s="69"/>
      <c r="AF37" s="65"/>
      <c r="AG37" s="65"/>
      <c r="AH37" s="65"/>
      <c r="AI37" s="65"/>
      <c r="AJ37" s="65"/>
      <c r="AK37" s="65"/>
      <c r="AL37" s="65"/>
      <c r="AM37" s="65"/>
      <c r="AN37" s="71"/>
      <c r="AO37" s="71"/>
      <c r="AP37" s="72"/>
      <c r="AQ37" s="72"/>
      <c r="AR37" s="72"/>
      <c r="AS37" s="72"/>
      <c r="AT37" s="72"/>
      <c r="AU37" s="72">
        <v>0.0</v>
      </c>
      <c r="AV37" s="72">
        <v>0.0</v>
      </c>
      <c r="AW37" s="72">
        <v>0.0</v>
      </c>
      <c r="AX37" s="72">
        <v>0.0</v>
      </c>
      <c r="AY37" s="72">
        <v>0.0</v>
      </c>
      <c r="AZ37" s="65" t="str">
        <f t="array" ref="AZ37">XLOOKUP(C37,'PL TOTAL D0'!K:K,'PL TOTAL D0'!L:L,"")</f>
        <v/>
      </c>
    </row>
    <row r="38" ht="15.75" customHeight="1">
      <c r="A38" s="42" t="s">
        <v>98</v>
      </c>
      <c r="B38" s="43" t="s">
        <v>706</v>
      </c>
      <c r="C38" s="32">
        <v>297338.0</v>
      </c>
      <c r="D38" s="23" t="s">
        <v>120</v>
      </c>
      <c r="E38" s="32" t="s">
        <v>199</v>
      </c>
      <c r="F38" s="23" t="s">
        <v>707</v>
      </c>
      <c r="G38" s="47" t="str">
        <f t="shared" si="1"/>
        <v>David</v>
      </c>
      <c r="H38" s="49" t="s">
        <v>183</v>
      </c>
      <c r="I38" s="49" t="s">
        <v>66</v>
      </c>
      <c r="J38" s="47" t="str">
        <f t="shared" si="2"/>
        <v>Não</v>
      </c>
      <c r="K38" s="54">
        <v>45835.0</v>
      </c>
      <c r="L38" s="55"/>
      <c r="M38" s="32" t="s">
        <v>390</v>
      </c>
      <c r="N38" s="56">
        <v>0.005</v>
      </c>
      <c r="O38" s="23" t="s">
        <v>66</v>
      </c>
      <c r="P38" s="57">
        <v>0.0</v>
      </c>
      <c r="Q38" s="168"/>
      <c r="R38" s="58"/>
      <c r="S38" s="32" t="s">
        <v>194</v>
      </c>
      <c r="T38" s="32" t="s">
        <v>712</v>
      </c>
      <c r="U38" s="32" t="s">
        <v>714</v>
      </c>
      <c r="V38" s="32" t="s">
        <v>715</v>
      </c>
      <c r="W38" s="55">
        <v>31884.0</v>
      </c>
      <c r="X38" s="23" t="s">
        <v>221</v>
      </c>
      <c r="Y38" s="60" t="str">
        <f t="shared" si="4"/>
        <v>Ativo</v>
      </c>
      <c r="Z38" s="62"/>
      <c r="AA38" s="32" t="s">
        <v>47</v>
      </c>
      <c r="AB38" s="64"/>
      <c r="AC38" s="65"/>
      <c r="AD38" s="67">
        <v>45835.0</v>
      </c>
      <c r="AE38" s="148">
        <v>4.9075100019452E13</v>
      </c>
      <c r="AF38" s="65"/>
      <c r="AG38" s="65"/>
      <c r="AH38" s="65"/>
      <c r="AI38" s="65"/>
      <c r="AJ38" s="65"/>
      <c r="AK38" s="65"/>
      <c r="AL38" s="65"/>
      <c r="AM38" s="65">
        <v>10.22</v>
      </c>
      <c r="AN38" s="71">
        <v>10.22</v>
      </c>
      <c r="AO38" s="71">
        <v>10.22</v>
      </c>
      <c r="AP38" s="72">
        <v>13566.771</v>
      </c>
      <c r="AQ38" s="72">
        <v>13777.78</v>
      </c>
      <c r="AR38" s="72">
        <v>13930.78</v>
      </c>
      <c r="AS38" s="72">
        <v>15291.47</v>
      </c>
      <c r="AT38" s="72">
        <v>15504.64</v>
      </c>
      <c r="AU38" s="72">
        <v>17092.0</v>
      </c>
      <c r="AV38" s="72">
        <v>17024.56</v>
      </c>
      <c r="AW38" s="72">
        <v>17367.85</v>
      </c>
      <c r="AX38" s="72">
        <v>17470.23</v>
      </c>
      <c r="AY38" s="72">
        <v>17689.74</v>
      </c>
      <c r="AZ38" s="65">
        <f t="array" ref="AZ38">XLOOKUP(C38,'PL TOTAL D0'!K:K,'PL TOTAL D0'!L:L,"")</f>
        <v>17803.27</v>
      </c>
    </row>
    <row r="39" ht="15.75" customHeight="1">
      <c r="A39" s="42" t="s">
        <v>98</v>
      </c>
      <c r="B39" s="43" t="s">
        <v>723</v>
      </c>
      <c r="C39" s="32">
        <v>1.8826594E7</v>
      </c>
      <c r="D39" s="23" t="s">
        <v>210</v>
      </c>
      <c r="E39" s="32" t="s">
        <v>199</v>
      </c>
      <c r="F39" s="23" t="s">
        <v>275</v>
      </c>
      <c r="G39" s="47" t="str">
        <f t="shared" si="1"/>
        <v>Marcus</v>
      </c>
      <c r="H39" s="49" t="s">
        <v>183</v>
      </c>
      <c r="I39" s="49" t="s">
        <v>66</v>
      </c>
      <c r="J39" s="47" t="str">
        <f t="shared" si="2"/>
        <v>Não</v>
      </c>
      <c r="K39" s="54">
        <v>45978.0</v>
      </c>
      <c r="L39" s="55"/>
      <c r="M39" s="32" t="s">
        <v>61</v>
      </c>
      <c r="N39" s="56">
        <v>0.012</v>
      </c>
      <c r="O39" s="23" t="s">
        <v>66</v>
      </c>
      <c r="P39" s="57">
        <v>0.0</v>
      </c>
      <c r="Q39" s="168"/>
      <c r="R39" s="58"/>
      <c r="S39" s="32" t="s">
        <v>194</v>
      </c>
      <c r="T39" s="32" t="s">
        <v>727</v>
      </c>
      <c r="U39" s="32" t="s">
        <v>728</v>
      </c>
      <c r="V39" s="32" t="s">
        <v>730</v>
      </c>
      <c r="W39" s="55">
        <v>28009.0</v>
      </c>
      <c r="X39" s="23" t="s">
        <v>199</v>
      </c>
      <c r="Y39" s="60" t="str">
        <f t="shared" si="4"/>
        <v>Ativo</v>
      </c>
      <c r="Z39" s="62"/>
      <c r="AA39" s="32" t="s">
        <v>107</v>
      </c>
      <c r="AB39" s="64"/>
      <c r="AC39" s="65"/>
      <c r="AD39" s="67"/>
      <c r="AE39" s="69"/>
      <c r="AF39" s="65"/>
      <c r="AG39" s="65"/>
      <c r="AH39" s="65"/>
      <c r="AI39" s="65"/>
      <c r="AJ39" s="65"/>
      <c r="AK39" s="65"/>
      <c r="AL39" s="65"/>
      <c r="AM39" s="65"/>
      <c r="AN39" s="71"/>
      <c r="AO39" s="71"/>
      <c r="AP39" s="72"/>
      <c r="AQ39" s="72"/>
      <c r="AR39" s="72">
        <v>0.0</v>
      </c>
      <c r="AS39" s="72">
        <v>0.0</v>
      </c>
      <c r="AT39" s="72">
        <v>359636.4444</v>
      </c>
      <c r="AU39" s="72">
        <v>1007106.674</v>
      </c>
      <c r="AV39" s="72">
        <v>1019777.36</v>
      </c>
      <c r="AW39" s="72">
        <v>1030738.53</v>
      </c>
      <c r="AX39" s="72">
        <v>1040102.62</v>
      </c>
      <c r="AY39" s="72">
        <v>1050853.89</v>
      </c>
      <c r="AZ39" s="65">
        <f t="array" ref="AZ39">XLOOKUP(C39,'PL TOTAL D0'!K:K,'PL TOTAL D0'!L:L,"")</f>
        <v>1062981.685</v>
      </c>
    </row>
    <row r="40" ht="15.75" customHeight="1">
      <c r="A40" s="42" t="s">
        <v>98</v>
      </c>
      <c r="B40" s="43" t="s">
        <v>736</v>
      </c>
      <c r="C40" s="32">
        <v>9290248.0</v>
      </c>
      <c r="D40" s="23" t="s">
        <v>210</v>
      </c>
      <c r="E40" s="32" t="s">
        <v>199</v>
      </c>
      <c r="F40" s="23" t="s">
        <v>275</v>
      </c>
      <c r="G40" s="47" t="str">
        <f t="shared" si="1"/>
        <v>Gabriel</v>
      </c>
      <c r="H40" s="49" t="s">
        <v>183</v>
      </c>
      <c r="I40" s="49" t="s">
        <v>66</v>
      </c>
      <c r="J40" s="47" t="str">
        <f t="shared" si="2"/>
        <v>Sim</v>
      </c>
      <c r="K40" s="54">
        <v>45707.0</v>
      </c>
      <c r="L40" s="55"/>
      <c r="M40" s="32" t="s">
        <v>61</v>
      </c>
      <c r="N40" s="56">
        <v>0.012</v>
      </c>
      <c r="O40" s="23" t="s">
        <v>66</v>
      </c>
      <c r="P40" s="57">
        <v>0.0</v>
      </c>
      <c r="Q40" s="58" t="s">
        <v>326</v>
      </c>
      <c r="R40" s="58"/>
      <c r="S40" s="32" t="s">
        <v>234</v>
      </c>
      <c r="T40" s="32" t="s">
        <v>742</v>
      </c>
      <c r="U40" s="32" t="s">
        <v>743</v>
      </c>
      <c r="V40" s="32" t="s">
        <v>744</v>
      </c>
      <c r="W40" s="32" t="s">
        <v>234</v>
      </c>
      <c r="X40" s="23" t="s">
        <v>199</v>
      </c>
      <c r="Y40" s="60" t="str">
        <f t="shared" si="4"/>
        <v>Ativo</v>
      </c>
      <c r="Z40" s="62"/>
      <c r="AA40" s="32" t="s">
        <v>107</v>
      </c>
      <c r="AB40" s="64"/>
      <c r="AC40" s="65"/>
      <c r="AD40" s="101">
        <v>45707.0</v>
      </c>
      <c r="AE40" s="69">
        <v>4.9075100017794E13</v>
      </c>
      <c r="AF40" s="65"/>
      <c r="AG40" s="65"/>
      <c r="AH40" s="65"/>
      <c r="AI40" s="65">
        <v>187972.9897</v>
      </c>
      <c r="AJ40" s="65">
        <v>169167.5533</v>
      </c>
      <c r="AK40" s="65">
        <v>169985.997</v>
      </c>
      <c r="AL40" s="65">
        <v>201517.3568</v>
      </c>
      <c r="AM40" s="65">
        <v>153212.1237</v>
      </c>
      <c r="AN40" s="71">
        <v>154935.9852</v>
      </c>
      <c r="AO40" s="71">
        <v>156595.1317</v>
      </c>
      <c r="AP40" s="72">
        <v>158241.236</v>
      </c>
      <c r="AQ40" s="72">
        <v>109429.2555</v>
      </c>
      <c r="AR40" s="72">
        <v>210040.5123</v>
      </c>
      <c r="AS40" s="72">
        <v>212377.0744</v>
      </c>
      <c r="AT40" s="72">
        <v>224602.7042</v>
      </c>
      <c r="AU40" s="72">
        <v>309184.2735</v>
      </c>
      <c r="AV40" s="72">
        <v>282275.7485</v>
      </c>
      <c r="AW40" s="72">
        <v>357637.04</v>
      </c>
      <c r="AX40" s="72">
        <v>350946.253</v>
      </c>
      <c r="AY40" s="72">
        <v>424789.4549</v>
      </c>
      <c r="AZ40" s="65">
        <f t="array" ref="AZ40">XLOOKUP(C40,'PL TOTAL D0'!K:K,'PL TOTAL D0'!L:L,"")</f>
        <v>419119.8893</v>
      </c>
    </row>
    <row r="41" ht="15.75" customHeight="1">
      <c r="A41" s="42" t="s">
        <v>98</v>
      </c>
      <c r="B41" s="43" t="s">
        <v>748</v>
      </c>
      <c r="C41" s="32">
        <v>1.9423561E7</v>
      </c>
      <c r="D41" s="23" t="s">
        <v>142</v>
      </c>
      <c r="E41" s="32" t="s">
        <v>54</v>
      </c>
      <c r="F41" s="23" t="s">
        <v>158</v>
      </c>
      <c r="G41" s="47" t="str">
        <f t="shared" si="1"/>
        <v>David</v>
      </c>
      <c r="H41" s="49" t="s">
        <v>183</v>
      </c>
      <c r="I41" s="49" t="s">
        <v>66</v>
      </c>
      <c r="J41" s="47" t="str">
        <f t="shared" si="2"/>
        <v>Não</v>
      </c>
      <c r="K41" s="54">
        <v>46126.0</v>
      </c>
      <c r="L41" s="55"/>
      <c r="M41" s="32" t="s">
        <v>34</v>
      </c>
      <c r="N41" s="56">
        <v>0.012</v>
      </c>
      <c r="O41" s="23" t="s">
        <v>35</v>
      </c>
      <c r="P41" s="57">
        <v>0.1</v>
      </c>
      <c r="Q41" s="58"/>
      <c r="R41" s="58"/>
      <c r="S41" s="32" t="s">
        <v>194</v>
      </c>
      <c r="T41" s="32" t="s">
        <v>759</v>
      </c>
      <c r="U41" s="32" t="s">
        <v>760</v>
      </c>
      <c r="V41" s="32" t="s">
        <v>761</v>
      </c>
      <c r="W41" s="32">
        <v>27679.0</v>
      </c>
      <c r="X41" s="23" t="s">
        <v>54</v>
      </c>
      <c r="Y41" s="60" t="str">
        <f t="shared" si="4"/>
        <v>Ativo</v>
      </c>
      <c r="Z41" s="62"/>
      <c r="AA41" s="32" t="s">
        <v>47</v>
      </c>
      <c r="AB41" s="64"/>
      <c r="AC41" s="65"/>
      <c r="AD41" s="101"/>
      <c r="AE41" s="69"/>
      <c r="AF41" s="65"/>
      <c r="AG41" s="65"/>
      <c r="AH41" s="65"/>
      <c r="AI41" s="65"/>
      <c r="AJ41" s="65"/>
      <c r="AK41" s="65"/>
      <c r="AL41" s="65"/>
      <c r="AM41" s="65"/>
      <c r="AN41" s="71"/>
      <c r="AO41" s="71"/>
      <c r="AP41" s="72"/>
      <c r="AQ41" s="72"/>
      <c r="AR41" s="72"/>
      <c r="AS41" s="72"/>
      <c r="AT41" s="72"/>
      <c r="AU41" s="72"/>
      <c r="AV41" s="72"/>
      <c r="AW41" s="72">
        <v>0.0</v>
      </c>
      <c r="AX41" s="72">
        <v>0.0</v>
      </c>
      <c r="AY41" s="72">
        <v>0.0</v>
      </c>
      <c r="AZ41" s="65">
        <f t="array" ref="AZ41">XLOOKUP(C41,'PL TOTAL D0'!K:K,'PL TOTAL D0'!L:L,"")</f>
        <v>0</v>
      </c>
    </row>
    <row r="42" ht="15.75" customHeight="1">
      <c r="A42" s="42" t="s">
        <v>98</v>
      </c>
      <c r="B42" s="43" t="s">
        <v>763</v>
      </c>
      <c r="C42" s="32">
        <v>4097264.0</v>
      </c>
      <c r="D42" s="23" t="s">
        <v>210</v>
      </c>
      <c r="E42" s="32" t="s">
        <v>199</v>
      </c>
      <c r="F42" s="23" t="s">
        <v>275</v>
      </c>
      <c r="G42" s="47" t="str">
        <f t="shared" si="1"/>
        <v>Gabriel</v>
      </c>
      <c r="H42" s="49" t="s">
        <v>183</v>
      </c>
      <c r="I42" s="49" t="s">
        <v>66</v>
      </c>
      <c r="J42" s="47" t="str">
        <f t="shared" si="2"/>
        <v>Sim</v>
      </c>
      <c r="K42" s="54">
        <v>45707.0</v>
      </c>
      <c r="L42" s="55"/>
      <c r="M42" s="32" t="s">
        <v>61</v>
      </c>
      <c r="N42" s="56">
        <v>0.012</v>
      </c>
      <c r="O42" s="23" t="s">
        <v>66</v>
      </c>
      <c r="P42" s="57">
        <v>0.0</v>
      </c>
      <c r="Q42" s="58" t="s">
        <v>767</v>
      </c>
      <c r="R42" s="58"/>
      <c r="S42" s="32" t="s">
        <v>194</v>
      </c>
      <c r="T42" s="32" t="s">
        <v>768</v>
      </c>
      <c r="U42" s="32" t="s">
        <v>769</v>
      </c>
      <c r="V42" s="32" t="s">
        <v>770</v>
      </c>
      <c r="W42" s="55">
        <v>24560.0</v>
      </c>
      <c r="X42" s="23" t="s">
        <v>397</v>
      </c>
      <c r="Y42" s="60" t="str">
        <f t="shared" si="4"/>
        <v>Ativo</v>
      </c>
      <c r="Z42" s="62"/>
      <c r="AA42" s="32" t="s">
        <v>107</v>
      </c>
      <c r="AB42" s="64"/>
      <c r="AC42" s="65"/>
      <c r="AD42" s="101">
        <v>45707.0</v>
      </c>
      <c r="AE42" s="69">
        <v>4.9075100018065E13</v>
      </c>
      <c r="AF42" s="65"/>
      <c r="AG42" s="65"/>
      <c r="AH42" s="65"/>
      <c r="AI42" s="65">
        <v>640981.7767</v>
      </c>
      <c r="AJ42" s="65">
        <v>633780.2385</v>
      </c>
      <c r="AK42" s="65">
        <v>625774.1533</v>
      </c>
      <c r="AL42" s="65">
        <v>616385.7316</v>
      </c>
      <c r="AM42" s="65">
        <v>617537.3367</v>
      </c>
      <c r="AN42" s="71">
        <v>614859.8131</v>
      </c>
      <c r="AO42" s="71">
        <v>613378.472</v>
      </c>
      <c r="AP42" s="72">
        <v>591889.0534</v>
      </c>
      <c r="AQ42" s="72">
        <v>597643.2396</v>
      </c>
      <c r="AR42" s="72">
        <v>595088.5622</v>
      </c>
      <c r="AS42" s="72">
        <v>584031.4787</v>
      </c>
      <c r="AT42" s="72">
        <v>587676.833</v>
      </c>
      <c r="AU42" s="72">
        <v>590162.566</v>
      </c>
      <c r="AV42" s="72">
        <v>576178.32</v>
      </c>
      <c r="AW42" s="72">
        <v>587650.97</v>
      </c>
      <c r="AX42" s="72">
        <v>593100.2797</v>
      </c>
      <c r="AY42" s="72">
        <v>589746.605</v>
      </c>
      <c r="AZ42" s="65">
        <f t="array" ref="AZ42">XLOOKUP(C42,'PL TOTAL D0'!K:K,'PL TOTAL D0'!L:L,"")</f>
        <v>592985.7806</v>
      </c>
    </row>
    <row r="43" ht="15.75" customHeight="1">
      <c r="A43" s="42" t="s">
        <v>98</v>
      </c>
      <c r="B43" s="43" t="s">
        <v>773</v>
      </c>
      <c r="C43" s="32">
        <v>1.9622653E7</v>
      </c>
      <c r="D43" s="23" t="s">
        <v>27</v>
      </c>
      <c r="E43" s="32" t="s">
        <v>28</v>
      </c>
      <c r="F43" s="23" t="s">
        <v>29</v>
      </c>
      <c r="G43" s="47" t="str">
        <f t="shared" si="1"/>
        <v>Gabriel</v>
      </c>
      <c r="H43" s="49" t="s">
        <v>183</v>
      </c>
      <c r="I43" s="49" t="s">
        <v>66</v>
      </c>
      <c r="J43" s="47" t="str">
        <f t="shared" si="2"/>
        <v>Sim</v>
      </c>
      <c r="K43" s="54">
        <v>46178.0</v>
      </c>
      <c r="L43" s="55"/>
      <c r="M43" s="32" t="s">
        <v>568</v>
      </c>
      <c r="N43" s="56">
        <v>0.013</v>
      </c>
      <c r="O43" s="23" t="s">
        <v>66</v>
      </c>
      <c r="P43" s="57">
        <v>0.0</v>
      </c>
      <c r="Q43" s="58" t="s">
        <v>779</v>
      </c>
      <c r="R43" s="58"/>
      <c r="S43" s="32" t="s">
        <v>194</v>
      </c>
      <c r="T43" s="32" t="s">
        <v>780</v>
      </c>
      <c r="U43" s="32" t="s">
        <v>781</v>
      </c>
      <c r="V43" s="32" t="s">
        <v>782</v>
      </c>
      <c r="W43" s="55">
        <v>23159.0</v>
      </c>
      <c r="X43" s="23" t="s">
        <v>28</v>
      </c>
      <c r="Y43" s="60" t="str">
        <f t="shared" si="4"/>
        <v>Ativo</v>
      </c>
      <c r="Z43" s="62"/>
      <c r="AA43" s="32" t="s">
        <v>47</v>
      </c>
      <c r="AB43" s="64"/>
      <c r="AC43" s="65"/>
      <c r="AD43" s="101"/>
      <c r="AE43" s="69"/>
      <c r="AF43" s="65"/>
      <c r="AG43" s="65"/>
      <c r="AH43" s="65"/>
      <c r="AI43" s="65"/>
      <c r="AJ43" s="65"/>
      <c r="AK43" s="65"/>
      <c r="AL43" s="65"/>
      <c r="AM43" s="65"/>
      <c r="AN43" s="71"/>
      <c r="AO43" s="71"/>
      <c r="AP43" s="72"/>
      <c r="AQ43" s="72"/>
      <c r="AR43" s="72"/>
      <c r="AS43" s="72"/>
      <c r="AT43" s="72"/>
      <c r="AU43" s="72"/>
      <c r="AV43" s="72"/>
      <c r="AW43" s="72"/>
      <c r="AX43" s="72">
        <v>0.0</v>
      </c>
      <c r="AY43" s="72">
        <v>436220.8535</v>
      </c>
      <c r="AZ43" s="65">
        <f t="array" ref="AZ43">XLOOKUP(C43,'PL TOTAL D0'!K:K,'PL TOTAL D0'!L:L,"")</f>
        <v>464717.217</v>
      </c>
    </row>
    <row r="44" ht="15.75" customHeight="1">
      <c r="A44" s="42" t="s">
        <v>98</v>
      </c>
      <c r="B44" s="43" t="s">
        <v>786</v>
      </c>
      <c r="C44" s="32">
        <v>3237400.0</v>
      </c>
      <c r="D44" s="23" t="s">
        <v>142</v>
      </c>
      <c r="E44" s="32" t="s">
        <v>54</v>
      </c>
      <c r="F44" s="23" t="s">
        <v>158</v>
      </c>
      <c r="G44" s="47" t="str">
        <f t="shared" si="1"/>
        <v>Gabriel</v>
      </c>
      <c r="H44" s="49" t="s">
        <v>183</v>
      </c>
      <c r="I44" s="49" t="s">
        <v>66</v>
      </c>
      <c r="J44" s="47" t="str">
        <f t="shared" si="2"/>
        <v>Não</v>
      </c>
      <c r="K44" s="54">
        <v>45728.0</v>
      </c>
      <c r="L44" s="55"/>
      <c r="M44" s="32" t="s">
        <v>61</v>
      </c>
      <c r="N44" s="56">
        <v>0.012</v>
      </c>
      <c r="O44" s="23" t="s">
        <v>66</v>
      </c>
      <c r="P44" s="57">
        <v>0.0</v>
      </c>
      <c r="Q44" s="70"/>
      <c r="R44" s="58"/>
      <c r="S44" s="32" t="s">
        <v>194</v>
      </c>
      <c r="T44" s="32" t="s">
        <v>787</v>
      </c>
      <c r="U44" s="32"/>
      <c r="V44" s="32"/>
      <c r="W44" s="32"/>
      <c r="X44" s="23" t="s">
        <v>54</v>
      </c>
      <c r="Y44" s="60" t="str">
        <f t="shared" si="4"/>
        <v>Ativo</v>
      </c>
      <c r="Z44" s="62"/>
      <c r="AA44" s="32" t="s">
        <v>47</v>
      </c>
      <c r="AB44" s="64"/>
      <c r="AC44" s="65"/>
      <c r="AD44" s="101">
        <v>45728.0</v>
      </c>
      <c r="AE44" s="69">
        <v>4.9075100018472E13</v>
      </c>
      <c r="AF44" s="65"/>
      <c r="AG44" s="65"/>
      <c r="AH44" s="65"/>
      <c r="AI44" s="65"/>
      <c r="AJ44" s="65">
        <v>317741.3462</v>
      </c>
      <c r="AK44" s="65">
        <v>322001.3867</v>
      </c>
      <c r="AL44" s="65">
        <v>325671.1045</v>
      </c>
      <c r="AM44" s="65">
        <v>327333.7473</v>
      </c>
      <c r="AN44" s="71">
        <v>331482.2806</v>
      </c>
      <c r="AO44" s="71">
        <v>334054.629</v>
      </c>
      <c r="AP44" s="72">
        <v>337298.3074</v>
      </c>
      <c r="AQ44" s="72">
        <v>341262.5936</v>
      </c>
      <c r="AR44" s="72">
        <v>343172.4761</v>
      </c>
      <c r="AS44" s="72">
        <v>346566.1608</v>
      </c>
      <c r="AT44" s="72">
        <v>350017.5089</v>
      </c>
      <c r="AU44" s="72">
        <v>350742.9398</v>
      </c>
      <c r="AV44" s="72">
        <v>384663.2</v>
      </c>
      <c r="AW44" s="72">
        <v>388852.84</v>
      </c>
      <c r="AX44" s="72">
        <v>392125.2421</v>
      </c>
      <c r="AY44" s="72">
        <v>396023.4301</v>
      </c>
      <c r="AZ44" s="65">
        <f t="array" ref="AZ44">XLOOKUP(C44,'PL TOTAL D0'!K:K,'PL TOTAL D0'!L:L,"")</f>
        <v>400568.4147</v>
      </c>
    </row>
    <row r="45" ht="15.75" customHeight="1">
      <c r="A45" s="42" t="s">
        <v>98</v>
      </c>
      <c r="B45" s="43" t="s">
        <v>793</v>
      </c>
      <c r="C45" s="32">
        <v>89660.0</v>
      </c>
      <c r="D45" s="23" t="s">
        <v>210</v>
      </c>
      <c r="E45" s="32" t="s">
        <v>199</v>
      </c>
      <c r="F45" s="23" t="s">
        <v>275</v>
      </c>
      <c r="G45" s="47" t="str">
        <f t="shared" si="1"/>
        <v>Gabriel</v>
      </c>
      <c r="H45" s="49" t="s">
        <v>183</v>
      </c>
      <c r="I45" s="49" t="s">
        <v>66</v>
      </c>
      <c r="J45" s="47" t="str">
        <f t="shared" si="2"/>
        <v>Sim</v>
      </c>
      <c r="K45" s="54">
        <v>45705.0</v>
      </c>
      <c r="L45" s="55"/>
      <c r="M45" s="32" t="s">
        <v>61</v>
      </c>
      <c r="N45" s="56">
        <v>0.011</v>
      </c>
      <c r="O45" s="23" t="s">
        <v>66</v>
      </c>
      <c r="P45" s="57">
        <v>0.0</v>
      </c>
      <c r="Q45" s="58" t="s">
        <v>632</v>
      </c>
      <c r="R45" s="58"/>
      <c r="S45" s="32" t="s">
        <v>194</v>
      </c>
      <c r="T45" s="32" t="s">
        <v>794</v>
      </c>
      <c r="U45" s="32" t="s">
        <v>795</v>
      </c>
      <c r="V45" s="32" t="s">
        <v>796</v>
      </c>
      <c r="W45" s="55">
        <v>31644.0</v>
      </c>
      <c r="X45" s="23" t="s">
        <v>397</v>
      </c>
      <c r="Y45" s="60" t="str">
        <f t="shared" si="4"/>
        <v>Ativo</v>
      </c>
      <c r="Z45" s="62"/>
      <c r="AA45" s="32" t="s">
        <v>107</v>
      </c>
      <c r="AB45" s="64"/>
      <c r="AC45" s="65"/>
      <c r="AD45" s="101">
        <v>45705.0</v>
      </c>
      <c r="AE45" s="69">
        <v>4.9075100017891E13</v>
      </c>
      <c r="AF45" s="65"/>
      <c r="AG45" s="65"/>
      <c r="AH45" s="65"/>
      <c r="AI45" s="65">
        <v>249908.6028</v>
      </c>
      <c r="AJ45" s="65">
        <v>245850.0924</v>
      </c>
      <c r="AK45" s="65">
        <v>249873.6174</v>
      </c>
      <c r="AL45" s="65">
        <v>258233.1192</v>
      </c>
      <c r="AM45" s="65">
        <v>261332.05</v>
      </c>
      <c r="AN45" s="71">
        <v>263206.2741</v>
      </c>
      <c r="AO45" s="71">
        <v>267162.956</v>
      </c>
      <c r="AP45" s="72">
        <v>274297.7177</v>
      </c>
      <c r="AQ45" s="72">
        <v>277952.3546</v>
      </c>
      <c r="AR45" s="72">
        <v>278322.5786</v>
      </c>
      <c r="AS45" s="72">
        <v>277424.7842</v>
      </c>
      <c r="AT45" s="72">
        <v>245670.9712</v>
      </c>
      <c r="AU45" s="72">
        <v>247293.28</v>
      </c>
      <c r="AV45" s="72">
        <v>245850.09</v>
      </c>
      <c r="AW45" s="72">
        <v>249694.29</v>
      </c>
      <c r="AX45" s="72">
        <v>251992.6353</v>
      </c>
      <c r="AY45" s="72">
        <v>252913.1615</v>
      </c>
      <c r="AZ45" s="65">
        <f t="array" ref="AZ45">XLOOKUP(C45,'PL TOTAL D0'!K:K,'PL TOTAL D0'!L:L,"")</f>
        <v>267527.6452</v>
      </c>
    </row>
    <row r="46" ht="15.75" customHeight="1">
      <c r="A46" s="42" t="s">
        <v>98</v>
      </c>
      <c r="B46" s="43" t="s">
        <v>804</v>
      </c>
      <c r="C46" s="32">
        <v>2375512.0</v>
      </c>
      <c r="D46" s="23" t="s">
        <v>249</v>
      </c>
      <c r="E46" s="32" t="s">
        <v>199</v>
      </c>
      <c r="F46" s="30" t="s">
        <v>251</v>
      </c>
      <c r="G46" s="47" t="str">
        <f t="shared" si="1"/>
        <v>David</v>
      </c>
      <c r="H46" s="49" t="s">
        <v>183</v>
      </c>
      <c r="I46" s="49" t="s">
        <v>66</v>
      </c>
      <c r="J46" s="47" t="str">
        <f t="shared" si="2"/>
        <v>Não</v>
      </c>
      <c r="K46" s="54">
        <v>45700.0</v>
      </c>
      <c r="L46" s="55"/>
      <c r="M46" s="32" t="s">
        <v>61</v>
      </c>
      <c r="N46" s="56">
        <v>0.012</v>
      </c>
      <c r="O46" s="23" t="s">
        <v>66</v>
      </c>
      <c r="P46" s="57">
        <v>0.0</v>
      </c>
      <c r="Q46" s="58"/>
      <c r="R46" s="58"/>
      <c r="S46" s="32" t="s">
        <v>194</v>
      </c>
      <c r="T46" s="32" t="s">
        <v>807</v>
      </c>
      <c r="U46" s="32" t="s">
        <v>808</v>
      </c>
      <c r="V46" s="32" t="s">
        <v>809</v>
      </c>
      <c r="W46" s="55">
        <v>30008.0</v>
      </c>
      <c r="X46" s="23" t="s">
        <v>199</v>
      </c>
      <c r="Y46" s="60" t="str">
        <f t="shared" si="4"/>
        <v>Ativo</v>
      </c>
      <c r="Z46" s="62"/>
      <c r="AA46" s="32" t="s">
        <v>47</v>
      </c>
      <c r="AB46" s="64"/>
      <c r="AC46" s="65"/>
      <c r="AD46" s="101">
        <v>45700.0</v>
      </c>
      <c r="AE46" s="69">
        <v>4.9075100017808E13</v>
      </c>
      <c r="AF46" s="65"/>
      <c r="AG46" s="65"/>
      <c r="AH46" s="65"/>
      <c r="AI46" s="65">
        <v>38266.76435</v>
      </c>
      <c r="AJ46" s="65">
        <v>32084.07213</v>
      </c>
      <c r="AK46" s="65">
        <v>32384.98384</v>
      </c>
      <c r="AL46" s="65">
        <v>32959.09128</v>
      </c>
      <c r="AM46" s="65">
        <v>33256.22902</v>
      </c>
      <c r="AN46" s="71">
        <v>33739.03991</v>
      </c>
      <c r="AO46" s="71">
        <v>34031.5574</v>
      </c>
      <c r="AP46" s="72">
        <v>35201.51646</v>
      </c>
      <c r="AQ46" s="72">
        <v>36397.91326</v>
      </c>
      <c r="AR46" s="72">
        <v>36225.18764</v>
      </c>
      <c r="AS46" s="72">
        <v>37748.04654</v>
      </c>
      <c r="AT46" s="72">
        <v>38659.5729</v>
      </c>
      <c r="AU46" s="72">
        <v>44179.97862</v>
      </c>
      <c r="AV46" s="72">
        <v>56155.62</v>
      </c>
      <c r="AW46" s="72">
        <v>56732.17</v>
      </c>
      <c r="AX46" s="72">
        <v>56981.853</v>
      </c>
      <c r="AY46" s="72">
        <v>57439.27439</v>
      </c>
      <c r="AZ46" s="65">
        <f t="array" ref="AZ46">XLOOKUP(C46,'PL TOTAL D0'!K:K,'PL TOTAL D0'!L:L,"")</f>
        <v>61556.14556</v>
      </c>
    </row>
    <row r="47" ht="15.75" customHeight="1">
      <c r="A47" s="42" t="s">
        <v>98</v>
      </c>
      <c r="B47" s="43" t="s">
        <v>820</v>
      </c>
      <c r="C47" s="32">
        <v>1.8446216E7</v>
      </c>
      <c r="D47" s="23" t="s">
        <v>210</v>
      </c>
      <c r="E47" s="32" t="s">
        <v>199</v>
      </c>
      <c r="F47" s="23" t="s">
        <v>275</v>
      </c>
      <c r="G47" s="47" t="str">
        <f t="shared" si="1"/>
        <v>David</v>
      </c>
      <c r="H47" s="49" t="s">
        <v>183</v>
      </c>
      <c r="I47" s="49" t="s">
        <v>66</v>
      </c>
      <c r="J47" s="47" t="str">
        <f t="shared" si="2"/>
        <v>Sim</v>
      </c>
      <c r="K47" s="54">
        <v>45874.0</v>
      </c>
      <c r="L47" s="55"/>
      <c r="M47" s="32" t="s">
        <v>61</v>
      </c>
      <c r="N47" s="56">
        <v>0.012</v>
      </c>
      <c r="O47" s="23" t="s">
        <v>66</v>
      </c>
      <c r="P47" s="57">
        <v>0.0</v>
      </c>
      <c r="Q47" s="126" t="s">
        <v>824</v>
      </c>
      <c r="R47" s="58"/>
      <c r="S47" s="32" t="s">
        <v>194</v>
      </c>
      <c r="T47" s="32" t="s">
        <v>825</v>
      </c>
      <c r="U47" s="32" t="s">
        <v>826</v>
      </c>
      <c r="V47" s="32" t="s">
        <v>827</v>
      </c>
      <c r="W47" s="121">
        <v>32468.0</v>
      </c>
      <c r="X47" s="23" t="s">
        <v>199</v>
      </c>
      <c r="Y47" s="60" t="str">
        <f t="shared" si="4"/>
        <v>Ativo</v>
      </c>
      <c r="Z47" s="62"/>
      <c r="AA47" s="32" t="s">
        <v>107</v>
      </c>
      <c r="AB47" s="64"/>
      <c r="AC47" s="65"/>
      <c r="AD47" s="67">
        <v>45876.0</v>
      </c>
      <c r="AE47" s="69">
        <v>4.9075100019363E13</v>
      </c>
      <c r="AF47" s="65"/>
      <c r="AG47" s="65"/>
      <c r="AH47" s="65"/>
      <c r="AI47" s="65"/>
      <c r="AJ47" s="65"/>
      <c r="AK47" s="65"/>
      <c r="AL47" s="65"/>
      <c r="AM47" s="65"/>
      <c r="AN47" s="71">
        <v>0.0</v>
      </c>
      <c r="AO47" s="71">
        <v>117969.8354</v>
      </c>
      <c r="AP47" s="72">
        <v>113849.6133</v>
      </c>
      <c r="AQ47" s="72">
        <v>115185.6919</v>
      </c>
      <c r="AR47" s="72">
        <v>18836.26</v>
      </c>
      <c r="AS47" s="72">
        <v>18998.7</v>
      </c>
      <c r="AT47" s="72">
        <v>1975.22</v>
      </c>
      <c r="AU47" s="72">
        <v>1985.36</v>
      </c>
      <c r="AV47" s="72">
        <v>6054.24</v>
      </c>
      <c r="AW47" s="72">
        <v>0.0</v>
      </c>
      <c r="AX47" s="72">
        <v>0.0</v>
      </c>
      <c r="AY47" s="72">
        <v>0.22</v>
      </c>
      <c r="AZ47" s="65">
        <f t="array" ref="AZ47">XLOOKUP(C47,'PL TOTAL D0'!K:K,'PL TOTAL D0'!L:L,"")</f>
        <v>0.22</v>
      </c>
    </row>
    <row r="48" ht="15.75" customHeight="1">
      <c r="A48" s="42" t="s">
        <v>98</v>
      </c>
      <c r="B48" s="43" t="s">
        <v>830</v>
      </c>
      <c r="C48" s="32">
        <v>3917632.0</v>
      </c>
      <c r="D48" s="23" t="s">
        <v>53</v>
      </c>
      <c r="E48" s="32" t="s">
        <v>54</v>
      </c>
      <c r="F48" s="23" t="s">
        <v>608</v>
      </c>
      <c r="G48" s="47" t="str">
        <f t="shared" si="1"/>
        <v>David</v>
      </c>
      <c r="H48" s="49" t="s">
        <v>183</v>
      </c>
      <c r="I48" s="49" t="s">
        <v>66</v>
      </c>
      <c r="J48" s="47" t="str">
        <f t="shared" si="2"/>
        <v>Não</v>
      </c>
      <c r="K48" s="54">
        <v>45840.0</v>
      </c>
      <c r="L48" s="55"/>
      <c r="M48" s="32" t="s">
        <v>61</v>
      </c>
      <c r="N48" s="56">
        <v>0.012</v>
      </c>
      <c r="O48" s="23" t="s">
        <v>66</v>
      </c>
      <c r="P48" s="57">
        <v>0.0</v>
      </c>
      <c r="Q48" s="70"/>
      <c r="R48" s="58"/>
      <c r="S48" s="32" t="s">
        <v>194</v>
      </c>
      <c r="T48" s="32" t="s">
        <v>833</v>
      </c>
      <c r="U48" s="32" t="s">
        <v>834</v>
      </c>
      <c r="V48" s="32" t="s">
        <v>835</v>
      </c>
      <c r="W48" s="121">
        <v>22608.0</v>
      </c>
      <c r="X48" s="23" t="s">
        <v>54</v>
      </c>
      <c r="Y48" s="60" t="str">
        <f t="shared" si="4"/>
        <v>Ativo</v>
      </c>
      <c r="Z48" s="62"/>
      <c r="AA48" s="32" t="s">
        <v>47</v>
      </c>
      <c r="AB48" s="64"/>
      <c r="AC48" s="65"/>
      <c r="AD48" s="67">
        <v>45840.0</v>
      </c>
      <c r="AE48" s="69">
        <v>4.9075100019266E13</v>
      </c>
      <c r="AF48" s="65"/>
      <c r="AG48" s="65"/>
      <c r="AH48" s="65"/>
      <c r="AI48" s="65"/>
      <c r="AJ48" s="65"/>
      <c r="AK48" s="65"/>
      <c r="AL48" s="65"/>
      <c r="AM48" s="65"/>
      <c r="AN48" s="71">
        <v>116717.12</v>
      </c>
      <c r="AO48" s="71">
        <v>120816.97</v>
      </c>
      <c r="AP48" s="72">
        <v>49902.38</v>
      </c>
      <c r="AQ48" s="72">
        <v>48883.81</v>
      </c>
      <c r="AR48" s="72">
        <v>52526.19</v>
      </c>
      <c r="AS48" s="72">
        <v>49068.73</v>
      </c>
      <c r="AT48" s="72">
        <v>55498.37</v>
      </c>
      <c r="AU48" s="72">
        <v>54721.02</v>
      </c>
      <c r="AV48" s="72">
        <v>49353.7</v>
      </c>
      <c r="AW48" s="72">
        <v>47091.19</v>
      </c>
      <c r="AX48" s="72">
        <v>45503.96</v>
      </c>
      <c r="AY48" s="72">
        <v>43173.03</v>
      </c>
      <c r="AZ48" s="65">
        <f t="array" ref="AZ48">XLOOKUP(C48,'PL TOTAL D0'!K:K,'PL TOTAL D0'!L:L,"")</f>
        <v>43576.4</v>
      </c>
    </row>
    <row r="49" ht="15.75" customHeight="1">
      <c r="A49" s="42" t="s">
        <v>98</v>
      </c>
      <c r="B49" s="43" t="s">
        <v>842</v>
      </c>
      <c r="C49" s="32">
        <v>5282208.0</v>
      </c>
      <c r="D49" s="23" t="s">
        <v>249</v>
      </c>
      <c r="E49" s="32" t="s">
        <v>199</v>
      </c>
      <c r="F49" s="30" t="s">
        <v>251</v>
      </c>
      <c r="G49" s="47" t="str">
        <f t="shared" si="1"/>
        <v>David</v>
      </c>
      <c r="H49" s="49" t="s">
        <v>183</v>
      </c>
      <c r="I49" s="49" t="s">
        <v>66</v>
      </c>
      <c r="J49" s="47" t="str">
        <f t="shared" si="2"/>
        <v>Não</v>
      </c>
      <c r="K49" s="54">
        <v>45891.0</v>
      </c>
      <c r="L49" s="55"/>
      <c r="M49" s="32" t="s">
        <v>61</v>
      </c>
      <c r="N49" s="56">
        <v>0.012</v>
      </c>
      <c r="O49" s="23" t="s">
        <v>66</v>
      </c>
      <c r="P49" s="57">
        <v>0.0</v>
      </c>
      <c r="Q49" s="70"/>
      <c r="R49" s="58"/>
      <c r="S49" s="32" t="s">
        <v>194</v>
      </c>
      <c r="T49" s="177" t="s">
        <v>846</v>
      </c>
      <c r="U49" s="32" t="s">
        <v>847</v>
      </c>
      <c r="V49" s="32" t="s">
        <v>848</v>
      </c>
      <c r="W49" s="121">
        <v>32511.0</v>
      </c>
      <c r="X49" s="23" t="s">
        <v>199</v>
      </c>
      <c r="Y49" s="60" t="str">
        <f t="shared" si="4"/>
        <v>Ativo</v>
      </c>
      <c r="Z49" s="62"/>
      <c r="AA49" s="32" t="s">
        <v>47</v>
      </c>
      <c r="AB49" s="64"/>
      <c r="AC49" s="65"/>
      <c r="AD49" s="67">
        <v>45891.0</v>
      </c>
      <c r="AE49" s="69">
        <v>4.9075100019304E13</v>
      </c>
      <c r="AF49" s="65"/>
      <c r="AG49" s="65"/>
      <c r="AH49" s="65"/>
      <c r="AI49" s="65"/>
      <c r="AJ49" s="65"/>
      <c r="AK49" s="65"/>
      <c r="AL49" s="65"/>
      <c r="AM49" s="65"/>
      <c r="AN49" s="71">
        <v>120888.7345</v>
      </c>
      <c r="AO49" s="71">
        <v>124008.9045</v>
      </c>
      <c r="AP49" s="72">
        <v>121515.1501</v>
      </c>
      <c r="AQ49" s="72">
        <v>122345.0755</v>
      </c>
      <c r="AR49" s="72">
        <v>113022.2142</v>
      </c>
      <c r="AS49" s="72">
        <v>113863.4357</v>
      </c>
      <c r="AT49" s="72">
        <v>91610.70521</v>
      </c>
      <c r="AU49" s="72">
        <v>91841.67656</v>
      </c>
      <c r="AV49" s="72">
        <v>116436.6013</v>
      </c>
      <c r="AW49" s="72">
        <v>117410.17</v>
      </c>
      <c r="AX49" s="72">
        <v>121211.88</v>
      </c>
      <c r="AY49" s="72">
        <v>112520.48</v>
      </c>
      <c r="AZ49" s="65">
        <f t="array" ref="AZ49">XLOOKUP(C49,'PL TOTAL D0'!K:K,'PL TOTAL D0'!L:L,"")</f>
        <v>113541.7792</v>
      </c>
    </row>
    <row r="50" ht="15.75" customHeight="1">
      <c r="A50" s="42" t="s">
        <v>98</v>
      </c>
      <c r="B50" s="43" t="s">
        <v>852</v>
      </c>
      <c r="C50" s="32">
        <v>1.2398948E7</v>
      </c>
      <c r="D50" s="23" t="s">
        <v>210</v>
      </c>
      <c r="E50" s="32" t="s">
        <v>199</v>
      </c>
      <c r="F50" s="23" t="s">
        <v>275</v>
      </c>
      <c r="G50" s="47" t="str">
        <f t="shared" si="1"/>
        <v>Marcus</v>
      </c>
      <c r="H50" s="49" t="s">
        <v>224</v>
      </c>
      <c r="I50" s="49" t="s">
        <v>66</v>
      </c>
      <c r="J50" s="47" t="str">
        <f t="shared" si="2"/>
        <v>Sim</v>
      </c>
      <c r="K50" s="54">
        <v>45712.0</v>
      </c>
      <c r="L50" s="55">
        <v>46084.0</v>
      </c>
      <c r="M50" s="32" t="s">
        <v>61</v>
      </c>
      <c r="N50" s="56">
        <v>0.012</v>
      </c>
      <c r="O50" s="23" t="s">
        <v>66</v>
      </c>
      <c r="P50" s="57">
        <v>0.0</v>
      </c>
      <c r="Q50" s="58" t="s">
        <v>632</v>
      </c>
      <c r="R50" s="58"/>
      <c r="S50" s="32" t="s">
        <v>194</v>
      </c>
      <c r="T50" s="32" t="s">
        <v>860</v>
      </c>
      <c r="U50" s="32" t="s">
        <v>861</v>
      </c>
      <c r="V50" s="32" t="s">
        <v>862</v>
      </c>
      <c r="W50" s="55">
        <v>33512.0</v>
      </c>
      <c r="X50" s="23" t="s">
        <v>199</v>
      </c>
      <c r="Y50" s="60" t="str">
        <f t="shared" si="4"/>
        <v>Encerrado</v>
      </c>
      <c r="Z50" s="62"/>
      <c r="AA50" s="32" t="s">
        <v>47</v>
      </c>
      <c r="AB50" s="64"/>
      <c r="AC50" s="65"/>
      <c r="AD50" s="101">
        <v>45712.0</v>
      </c>
      <c r="AE50" s="69">
        <v>4.9075100017905E13</v>
      </c>
      <c r="AF50" s="65"/>
      <c r="AG50" s="65"/>
      <c r="AH50" s="65"/>
      <c r="AI50" s="65">
        <v>184939.7799</v>
      </c>
      <c r="AJ50" s="65">
        <v>186107.14</v>
      </c>
      <c r="AK50" s="65">
        <v>189006.39</v>
      </c>
      <c r="AL50" s="65">
        <v>150663.7922</v>
      </c>
      <c r="AM50" s="65">
        <v>152229.1302</v>
      </c>
      <c r="AN50" s="71">
        <v>153924.0491</v>
      </c>
      <c r="AO50" s="71">
        <v>155521.9696</v>
      </c>
      <c r="AP50" s="72">
        <v>156723.6951</v>
      </c>
      <c r="AQ50" s="72">
        <v>158532.9736</v>
      </c>
      <c r="AR50" s="72">
        <v>159563.6611</v>
      </c>
      <c r="AS50" s="72">
        <v>141931.92</v>
      </c>
      <c r="AT50" s="72">
        <v>140121.4333</v>
      </c>
      <c r="AU50" s="72">
        <v>0.0</v>
      </c>
      <c r="AV50" s="72">
        <v>0.0</v>
      </c>
      <c r="AW50" s="72">
        <v>0.0</v>
      </c>
      <c r="AX50" s="72">
        <v>0.0</v>
      </c>
      <c r="AY50" s="72">
        <v>0.0</v>
      </c>
      <c r="AZ50" s="65" t="str">
        <f t="array" ref="AZ50">XLOOKUP(C50,'PL TOTAL D0'!K:K,'PL TOTAL D0'!L:L,"")</f>
        <v/>
      </c>
    </row>
    <row r="51" ht="15.75" customHeight="1">
      <c r="A51" s="42" t="s">
        <v>98</v>
      </c>
      <c r="B51" s="43" t="s">
        <v>863</v>
      </c>
      <c r="C51" s="32">
        <v>3426143.0</v>
      </c>
      <c r="D51" s="23" t="s">
        <v>120</v>
      </c>
      <c r="E51" s="32" t="s">
        <v>199</v>
      </c>
      <c r="F51" s="23" t="s">
        <v>212</v>
      </c>
      <c r="G51" s="47" t="str">
        <f t="shared" si="1"/>
        <v>Marcus</v>
      </c>
      <c r="H51" s="49" t="s">
        <v>183</v>
      </c>
      <c r="I51" s="49" t="s">
        <v>66</v>
      </c>
      <c r="J51" s="47" t="str">
        <f t="shared" si="2"/>
        <v>Não</v>
      </c>
      <c r="K51" s="54">
        <v>45698.0</v>
      </c>
      <c r="L51" s="55"/>
      <c r="M51" s="32" t="s">
        <v>864</v>
      </c>
      <c r="N51" s="56">
        <v>0.015</v>
      </c>
      <c r="O51" s="23" t="s">
        <v>66</v>
      </c>
      <c r="P51" s="57">
        <v>0.0</v>
      </c>
      <c r="Q51" s="70"/>
      <c r="R51" s="58"/>
      <c r="S51" s="32" t="s">
        <v>194</v>
      </c>
      <c r="T51" s="32" t="s">
        <v>868</v>
      </c>
      <c r="U51" s="32" t="s">
        <v>870</v>
      </c>
      <c r="V51" s="32" t="s">
        <v>871</v>
      </c>
      <c r="W51" s="55">
        <v>28975.0</v>
      </c>
      <c r="X51" s="23" t="s">
        <v>199</v>
      </c>
      <c r="Y51" s="60" t="str">
        <f t="shared" si="4"/>
        <v>Ativo</v>
      </c>
      <c r="Z51" s="62"/>
      <c r="AA51" s="32" t="s">
        <v>165</v>
      </c>
      <c r="AB51" s="64"/>
      <c r="AC51" s="65"/>
      <c r="AD51" s="101">
        <v>45698.0</v>
      </c>
      <c r="AE51" s="69">
        <v>4.9075100017867E13</v>
      </c>
      <c r="AF51" s="65"/>
      <c r="AG51" s="65"/>
      <c r="AH51" s="65"/>
      <c r="AI51" s="65">
        <v>1632889.775</v>
      </c>
      <c r="AJ51" s="65">
        <v>1666344.039</v>
      </c>
      <c r="AK51" s="65">
        <v>1698779.764</v>
      </c>
      <c r="AL51" s="65">
        <v>2092213.637</v>
      </c>
      <c r="AM51" s="65">
        <v>2114731.299</v>
      </c>
      <c r="AN51" s="71">
        <v>2213648.45</v>
      </c>
      <c r="AO51" s="71">
        <v>2250104.61</v>
      </c>
      <c r="AP51" s="72">
        <v>2272539.73</v>
      </c>
      <c r="AQ51" s="72">
        <v>2304668.872</v>
      </c>
      <c r="AR51" s="72">
        <v>2344050.932</v>
      </c>
      <c r="AS51" s="72">
        <v>2478766.298</v>
      </c>
      <c r="AT51" s="72">
        <v>2532070.309</v>
      </c>
      <c r="AU51" s="72">
        <v>2557838.845</v>
      </c>
      <c r="AV51" s="72">
        <v>2534587.43</v>
      </c>
      <c r="AW51" s="72">
        <v>2590767.08</v>
      </c>
      <c r="AX51" s="72">
        <v>2564245.935</v>
      </c>
      <c r="AY51" s="72">
        <v>2596003.647</v>
      </c>
      <c r="AZ51" s="65">
        <f t="array" ref="AZ51">XLOOKUP(C51,'PL TOTAL D0'!K:K,'PL TOTAL D0'!L:L,"")</f>
        <v>2627979.905</v>
      </c>
    </row>
    <row r="52" ht="15.75" customHeight="1">
      <c r="A52" s="42" t="s">
        <v>98</v>
      </c>
      <c r="B52" s="43" t="s">
        <v>879</v>
      </c>
      <c r="C52" s="32">
        <v>750425.0</v>
      </c>
      <c r="D52" s="23" t="s">
        <v>142</v>
      </c>
      <c r="E52" s="32" t="s">
        <v>54</v>
      </c>
      <c r="F52" s="23" t="s">
        <v>158</v>
      </c>
      <c r="G52" s="47" t="str">
        <f t="shared" si="1"/>
        <v>Marcus</v>
      </c>
      <c r="H52" s="49" t="s">
        <v>183</v>
      </c>
      <c r="I52" s="49" t="s">
        <v>66</v>
      </c>
      <c r="J52" s="47" t="str">
        <f t="shared" si="2"/>
        <v>Não</v>
      </c>
      <c r="K52" s="54">
        <v>45660.0</v>
      </c>
      <c r="L52" s="55"/>
      <c r="M52" s="32" t="s">
        <v>61</v>
      </c>
      <c r="N52" s="56">
        <v>0.012</v>
      </c>
      <c r="O52" s="23" t="s">
        <v>66</v>
      </c>
      <c r="P52" s="57">
        <v>0.0</v>
      </c>
      <c r="Q52" s="70"/>
      <c r="R52" s="58"/>
      <c r="S52" s="32" t="s">
        <v>194</v>
      </c>
      <c r="T52" s="32" t="s">
        <v>880</v>
      </c>
      <c r="U52" s="32" t="s">
        <v>881</v>
      </c>
      <c r="V52" s="32" t="s">
        <v>882</v>
      </c>
      <c r="W52" s="55">
        <v>28276.0</v>
      </c>
      <c r="X52" s="23" t="s">
        <v>54</v>
      </c>
      <c r="Y52" s="60" t="str">
        <f t="shared" si="4"/>
        <v>Ativo</v>
      </c>
      <c r="Z52" s="62"/>
      <c r="AA52" s="32" t="s">
        <v>47</v>
      </c>
      <c r="AB52" s="64"/>
      <c r="AC52" s="65"/>
      <c r="AD52" s="101">
        <v>45660.0</v>
      </c>
      <c r="AE52" s="69">
        <v>4.9075100016518E13</v>
      </c>
      <c r="AF52" s="65"/>
      <c r="AG52" s="65">
        <v>822357.3474</v>
      </c>
      <c r="AH52" s="65">
        <v>827047.7296</v>
      </c>
      <c r="AI52" s="65">
        <v>829582.4905</v>
      </c>
      <c r="AJ52" s="65">
        <v>884055.5174</v>
      </c>
      <c r="AK52" s="65">
        <v>906086.5021</v>
      </c>
      <c r="AL52" s="65">
        <v>913889.4421</v>
      </c>
      <c r="AM52" s="65">
        <v>924386.1317</v>
      </c>
      <c r="AN52" s="71">
        <v>935273.1556</v>
      </c>
      <c r="AO52" s="71">
        <v>945823.2017</v>
      </c>
      <c r="AP52" s="72">
        <v>956160.807</v>
      </c>
      <c r="AQ52" s="72">
        <v>975947.2616</v>
      </c>
      <c r="AR52" s="72">
        <v>981004.8675</v>
      </c>
      <c r="AS52" s="72">
        <v>990099.6071</v>
      </c>
      <c r="AT52" s="72">
        <v>1062733.186</v>
      </c>
      <c r="AU52" s="72">
        <v>1006975.718</v>
      </c>
      <c r="AV52" s="72">
        <v>999046.4905</v>
      </c>
      <c r="AW52" s="72">
        <v>1022163.13</v>
      </c>
      <c r="AX52" s="72">
        <v>1035776.766</v>
      </c>
      <c r="AY52" s="72">
        <v>1042071.436</v>
      </c>
      <c r="AZ52" s="65">
        <f t="array" ref="AZ52">XLOOKUP(C52,'PL TOTAL D0'!K:K,'PL TOTAL D0'!L:L,"")</f>
        <v>1044558.886</v>
      </c>
    </row>
    <row r="53" ht="15.75" customHeight="1">
      <c r="A53" s="42" t="s">
        <v>98</v>
      </c>
      <c r="B53" s="43" t="s">
        <v>892</v>
      </c>
      <c r="C53" s="32">
        <v>8961166.0</v>
      </c>
      <c r="D53" s="23" t="s">
        <v>53</v>
      </c>
      <c r="E53" s="32" t="s">
        <v>54</v>
      </c>
      <c r="F53" s="23" t="s">
        <v>507</v>
      </c>
      <c r="G53" s="47" t="str">
        <f t="shared" si="1"/>
        <v>Gabriel</v>
      </c>
      <c r="H53" s="49" t="s">
        <v>183</v>
      </c>
      <c r="I53" s="49" t="s">
        <v>66</v>
      </c>
      <c r="J53" s="47" t="str">
        <f t="shared" si="2"/>
        <v>Sim</v>
      </c>
      <c r="K53" s="54">
        <v>45782.0</v>
      </c>
      <c r="L53" s="55"/>
      <c r="M53" s="32" t="s">
        <v>61</v>
      </c>
      <c r="N53" s="56">
        <v>0.012</v>
      </c>
      <c r="O53" s="23" t="s">
        <v>66</v>
      </c>
      <c r="P53" s="57">
        <v>0.0</v>
      </c>
      <c r="Q53" s="58" t="s">
        <v>895</v>
      </c>
      <c r="R53" s="58"/>
      <c r="S53" s="32" t="s">
        <v>194</v>
      </c>
      <c r="T53" s="32" t="s">
        <v>896</v>
      </c>
      <c r="U53" s="32" t="s">
        <v>897</v>
      </c>
      <c r="V53" s="32" t="s">
        <v>898</v>
      </c>
      <c r="W53" s="121">
        <v>25195.0</v>
      </c>
      <c r="X53" s="23" t="s">
        <v>54</v>
      </c>
      <c r="Y53" s="60" t="str">
        <f t="shared" si="4"/>
        <v>Ativo</v>
      </c>
      <c r="Z53" s="62"/>
      <c r="AA53" s="32" t="s">
        <v>47</v>
      </c>
      <c r="AB53" s="64"/>
      <c r="AC53" s="65"/>
      <c r="AD53" s="67">
        <v>45782.0</v>
      </c>
      <c r="AE53" s="69">
        <v>4.9075100018911E13</v>
      </c>
      <c r="AF53" s="65"/>
      <c r="AG53" s="65"/>
      <c r="AH53" s="65"/>
      <c r="AI53" s="65"/>
      <c r="AJ53" s="65"/>
      <c r="AK53" s="65"/>
      <c r="AL53" s="65">
        <v>203090.5343</v>
      </c>
      <c r="AM53" s="65">
        <v>205211.5476</v>
      </c>
      <c r="AN53" s="71">
        <v>207597.5478</v>
      </c>
      <c r="AO53" s="71">
        <v>209784.096</v>
      </c>
      <c r="AP53" s="72">
        <v>212051.9902</v>
      </c>
      <c r="AQ53" s="72">
        <v>214560.1006</v>
      </c>
      <c r="AR53" s="72">
        <v>215936.3184</v>
      </c>
      <c r="AS53" s="72">
        <v>218294.93</v>
      </c>
      <c r="AT53" s="72">
        <v>220604.02</v>
      </c>
      <c r="AU53" s="72">
        <v>222605.4639</v>
      </c>
      <c r="AV53" s="72">
        <v>225363.22</v>
      </c>
      <c r="AW53" s="72">
        <v>243021.79</v>
      </c>
      <c r="AX53" s="72">
        <v>339747.1381</v>
      </c>
      <c r="AY53" s="72">
        <v>380786.8376</v>
      </c>
      <c r="AZ53" s="65">
        <f t="array" ref="AZ53">XLOOKUP(C53,'PL TOTAL D0'!K:K,'PL TOTAL D0'!L:L,"")</f>
        <v>389022.3301</v>
      </c>
    </row>
    <row r="54" ht="15.75" customHeight="1">
      <c r="A54" s="42" t="s">
        <v>98</v>
      </c>
      <c r="B54" s="43" t="s">
        <v>907</v>
      </c>
      <c r="C54" s="32">
        <v>1.9800198E7</v>
      </c>
      <c r="D54" s="23" t="s">
        <v>27</v>
      </c>
      <c r="E54" s="32" t="s">
        <v>28</v>
      </c>
      <c r="F54" s="23" t="s">
        <v>908</v>
      </c>
      <c r="G54" s="47" t="str">
        <f t="shared" si="1"/>
        <v>David</v>
      </c>
      <c r="H54" s="49" t="s">
        <v>183</v>
      </c>
      <c r="I54" s="49" t="s">
        <v>66</v>
      </c>
      <c r="J54" s="47" t="str">
        <f t="shared" si="2"/>
        <v>Sim</v>
      </c>
      <c r="K54" s="54">
        <v>46232.0</v>
      </c>
      <c r="L54" s="55"/>
      <c r="M54" s="32" t="s">
        <v>34</v>
      </c>
      <c r="N54" s="56">
        <v>0.012</v>
      </c>
      <c r="O54" s="23" t="s">
        <v>35</v>
      </c>
      <c r="P54" s="57">
        <v>0.1</v>
      </c>
      <c r="Q54" s="58" t="s">
        <v>916</v>
      </c>
      <c r="R54" s="58"/>
      <c r="S54" s="32" t="s">
        <v>194</v>
      </c>
      <c r="T54" s="32" t="s">
        <v>919</v>
      </c>
      <c r="U54" s="32" t="s">
        <v>920</v>
      </c>
      <c r="V54" s="32" t="s">
        <v>921</v>
      </c>
      <c r="W54" s="121">
        <v>26731.0</v>
      </c>
      <c r="X54" s="23" t="s">
        <v>28</v>
      </c>
      <c r="Y54" s="60" t="str">
        <f t="shared" si="4"/>
        <v>Ativo</v>
      </c>
      <c r="Z54" s="62"/>
      <c r="AA54" s="32" t="s">
        <v>165</v>
      </c>
      <c r="AB54" s="64"/>
      <c r="AC54" s="65"/>
      <c r="AD54" s="67"/>
      <c r="AE54" s="69"/>
      <c r="AF54" s="65"/>
      <c r="AG54" s="65"/>
      <c r="AH54" s="65"/>
      <c r="AI54" s="65"/>
      <c r="AJ54" s="65"/>
      <c r="AK54" s="65"/>
      <c r="AL54" s="65"/>
      <c r="AM54" s="65"/>
      <c r="AN54" s="71"/>
      <c r="AO54" s="71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65"/>
    </row>
    <row r="55" ht="15.75" customHeight="1">
      <c r="A55" s="42" t="s">
        <v>98</v>
      </c>
      <c r="B55" s="43" t="s">
        <v>930</v>
      </c>
      <c r="C55" s="32">
        <v>1.8862172E7</v>
      </c>
      <c r="D55" s="23" t="s">
        <v>53</v>
      </c>
      <c r="E55" s="32" t="s">
        <v>54</v>
      </c>
      <c r="F55" s="23" t="s">
        <v>608</v>
      </c>
      <c r="G55" s="47" t="str">
        <f t="shared" si="1"/>
        <v>Marcus</v>
      </c>
      <c r="H55" s="49" t="s">
        <v>224</v>
      </c>
      <c r="I55" s="49" t="s">
        <v>66</v>
      </c>
      <c r="J55" s="47" t="str">
        <f t="shared" si="2"/>
        <v>Sim</v>
      </c>
      <c r="K55" s="54">
        <v>46063.0</v>
      </c>
      <c r="L55" s="55">
        <v>46176.0</v>
      </c>
      <c r="M55" s="32" t="s">
        <v>61</v>
      </c>
      <c r="N55" s="56">
        <v>0.012</v>
      </c>
      <c r="O55" s="23" t="s">
        <v>66</v>
      </c>
      <c r="P55" s="57">
        <v>0.0</v>
      </c>
      <c r="Q55" s="58" t="s">
        <v>931</v>
      </c>
      <c r="R55" s="58"/>
      <c r="S55" s="32" t="s">
        <v>194</v>
      </c>
      <c r="T55" s="32" t="s">
        <v>932</v>
      </c>
      <c r="U55" s="32" t="s">
        <v>933</v>
      </c>
      <c r="V55" s="32" t="s">
        <v>934</v>
      </c>
      <c r="W55" s="121">
        <v>30546.0</v>
      </c>
      <c r="X55" s="23" t="s">
        <v>199</v>
      </c>
      <c r="Y55" s="60" t="str">
        <f t="shared" si="4"/>
        <v>Encerrado</v>
      </c>
      <c r="Z55" s="62"/>
      <c r="AA55" s="32" t="s">
        <v>47</v>
      </c>
      <c r="AB55" s="64"/>
      <c r="AC55" s="65"/>
      <c r="AD55" s="67"/>
      <c r="AE55" s="69"/>
      <c r="AF55" s="65"/>
      <c r="AG55" s="65"/>
      <c r="AH55" s="65"/>
      <c r="AI55" s="65"/>
      <c r="AJ55" s="65"/>
      <c r="AK55" s="65"/>
      <c r="AL55" s="65"/>
      <c r="AM55" s="65"/>
      <c r="AN55" s="71"/>
      <c r="AO55" s="71"/>
      <c r="AP55" s="72"/>
      <c r="AQ55" s="72"/>
      <c r="AR55" s="72"/>
      <c r="AS55" s="72"/>
      <c r="AT55" s="72"/>
      <c r="AU55" s="72">
        <v>811791.7707</v>
      </c>
      <c r="AV55" s="72">
        <v>821057.1318</v>
      </c>
      <c r="AW55" s="72">
        <v>399829.13</v>
      </c>
      <c r="AX55" s="72">
        <v>298266.7215</v>
      </c>
      <c r="AY55" s="72">
        <v>0.0</v>
      </c>
      <c r="AZ55" s="65" t="str">
        <f t="array" ref="AZ55">XLOOKUP(C55,'PL TOTAL D0'!K:K,'PL TOTAL D0'!L:L,"")</f>
        <v/>
      </c>
    </row>
    <row r="56" ht="15.75" customHeight="1">
      <c r="A56" s="42" t="s">
        <v>98</v>
      </c>
      <c r="B56" s="43" t="s">
        <v>941</v>
      </c>
      <c r="C56" s="32">
        <v>2427806.0</v>
      </c>
      <c r="D56" s="23" t="s">
        <v>120</v>
      </c>
      <c r="E56" s="32" t="s">
        <v>54</v>
      </c>
      <c r="F56" s="23" t="s">
        <v>348</v>
      </c>
      <c r="G56" s="47" t="str">
        <f t="shared" si="1"/>
        <v>Marcus</v>
      </c>
      <c r="H56" s="49" t="s">
        <v>224</v>
      </c>
      <c r="I56" s="49" t="s">
        <v>66</v>
      </c>
      <c r="J56" s="47" t="str">
        <f t="shared" si="2"/>
        <v>Não</v>
      </c>
      <c r="K56" s="54">
        <v>45712.0</v>
      </c>
      <c r="L56" s="55">
        <v>45894.0</v>
      </c>
      <c r="M56" s="32" t="s">
        <v>61</v>
      </c>
      <c r="N56" s="56">
        <v>0.012</v>
      </c>
      <c r="O56" s="23" t="s">
        <v>66</v>
      </c>
      <c r="P56" s="57">
        <v>0.0</v>
      </c>
      <c r="Q56" s="70"/>
      <c r="R56" s="58"/>
      <c r="S56" s="32" t="s">
        <v>194</v>
      </c>
      <c r="T56" s="32" t="s">
        <v>945</v>
      </c>
      <c r="U56" s="32" t="s">
        <v>946</v>
      </c>
      <c r="V56" s="32" t="s">
        <v>947</v>
      </c>
      <c r="W56" s="55">
        <v>22305.0</v>
      </c>
      <c r="X56" s="23" t="s">
        <v>54</v>
      </c>
      <c r="Y56" s="60" t="str">
        <f t="shared" si="4"/>
        <v>Encerrado</v>
      </c>
      <c r="Z56" s="62"/>
      <c r="AA56" s="32" t="s">
        <v>107</v>
      </c>
      <c r="AB56" s="64"/>
      <c r="AC56" s="65"/>
      <c r="AD56" s="101">
        <v>45712.0</v>
      </c>
      <c r="AE56" s="69">
        <v>4.907510001784E13</v>
      </c>
      <c r="AF56" s="65"/>
      <c r="AG56" s="65"/>
      <c r="AH56" s="65"/>
      <c r="AI56" s="65">
        <v>58754.42</v>
      </c>
      <c r="AJ56" s="65">
        <v>58959.96</v>
      </c>
      <c r="AK56" s="65">
        <v>59889.46</v>
      </c>
      <c r="AL56" s="65">
        <v>59954.3</v>
      </c>
      <c r="AM56" s="65">
        <v>60080.9</v>
      </c>
      <c r="AN56" s="71">
        <v>60338.22</v>
      </c>
      <c r="AO56" s="71">
        <v>0.0</v>
      </c>
      <c r="AP56" s="72">
        <v>0.0</v>
      </c>
      <c r="AQ56" s="72">
        <v>0.0</v>
      </c>
      <c r="AR56" s="72">
        <v>0.0</v>
      </c>
      <c r="AS56" s="72">
        <v>0.0</v>
      </c>
      <c r="AT56" s="72">
        <v>0.0</v>
      </c>
      <c r="AU56" s="72">
        <v>0.0</v>
      </c>
      <c r="AV56" s="72">
        <v>0.0</v>
      </c>
      <c r="AW56" s="72">
        <v>0.0</v>
      </c>
      <c r="AX56" s="72">
        <v>0.0</v>
      </c>
      <c r="AY56" s="72">
        <v>0.0</v>
      </c>
      <c r="AZ56" s="65" t="str">
        <f t="array" ref="AZ56">XLOOKUP(C56,'PL TOTAL D0'!K:K,'PL TOTAL D0'!L:L,"")</f>
        <v/>
      </c>
    </row>
    <row r="57" ht="15.75" customHeight="1">
      <c r="A57" s="42" t="s">
        <v>98</v>
      </c>
      <c r="B57" s="43" t="s">
        <v>957</v>
      </c>
      <c r="C57" s="32">
        <v>8406743.0</v>
      </c>
      <c r="D57" s="23" t="s">
        <v>53</v>
      </c>
      <c r="E57" s="32" t="s">
        <v>54</v>
      </c>
      <c r="F57" s="23" t="s">
        <v>608</v>
      </c>
      <c r="G57" s="47" t="str">
        <f t="shared" si="1"/>
        <v>Marcus</v>
      </c>
      <c r="H57" s="49" t="s">
        <v>224</v>
      </c>
      <c r="I57" s="49" t="s">
        <v>66</v>
      </c>
      <c r="J57" s="47" t="str">
        <f t="shared" si="2"/>
        <v>Não</v>
      </c>
      <c r="K57" s="54">
        <v>45805.0</v>
      </c>
      <c r="L57" s="55">
        <v>46105.0</v>
      </c>
      <c r="M57" s="32" t="s">
        <v>61</v>
      </c>
      <c r="N57" s="56">
        <v>0.012</v>
      </c>
      <c r="O57" s="23" t="s">
        <v>66</v>
      </c>
      <c r="P57" s="57">
        <v>0.0</v>
      </c>
      <c r="Q57" s="70"/>
      <c r="R57" s="58"/>
      <c r="S57" s="32" t="s">
        <v>194</v>
      </c>
      <c r="T57" s="32" t="s">
        <v>963</v>
      </c>
      <c r="U57" s="32" t="s">
        <v>964</v>
      </c>
      <c r="V57" s="32" t="s">
        <v>965</v>
      </c>
      <c r="W57" s="121">
        <v>22931.0</v>
      </c>
      <c r="X57" s="23" t="s">
        <v>54</v>
      </c>
      <c r="Y57" s="60" t="str">
        <f t="shared" si="4"/>
        <v>Encerrado</v>
      </c>
      <c r="Z57" s="62"/>
      <c r="AA57" s="32" t="s">
        <v>47</v>
      </c>
      <c r="AB57" s="64"/>
      <c r="AC57" s="65"/>
      <c r="AD57" s="67">
        <v>45805.0</v>
      </c>
      <c r="AE57" s="69">
        <v>4.9075100018898E13</v>
      </c>
      <c r="AF57" s="65"/>
      <c r="AG57" s="65"/>
      <c r="AH57" s="65"/>
      <c r="AI57" s="65"/>
      <c r="AJ57" s="65"/>
      <c r="AK57" s="65"/>
      <c r="AL57" s="65">
        <v>1001409.146</v>
      </c>
      <c r="AM57" s="65">
        <v>1016864.952</v>
      </c>
      <c r="AN57" s="71">
        <v>1006029.436</v>
      </c>
      <c r="AO57" s="71">
        <v>894108.3331</v>
      </c>
      <c r="AP57" s="72">
        <v>630348.2547</v>
      </c>
      <c r="AQ57" s="72">
        <v>616530.6581</v>
      </c>
      <c r="AR57" s="72">
        <v>429631.5304</v>
      </c>
      <c r="AS57" s="72">
        <v>248580.45</v>
      </c>
      <c r="AT57" s="72">
        <v>248347.7778</v>
      </c>
      <c r="AU57" s="72">
        <v>158191.8941</v>
      </c>
      <c r="AV57" s="72">
        <v>0.0</v>
      </c>
      <c r="AW57" s="72">
        <v>0.0</v>
      </c>
      <c r="AX57" s="72">
        <v>0.0</v>
      </c>
      <c r="AY57" s="72">
        <v>0.0</v>
      </c>
      <c r="AZ57" s="65" t="str">
        <f t="array" ref="AZ57">XLOOKUP(C57,'PL TOTAL D0'!K:K,'PL TOTAL D0'!L:L,"")</f>
        <v/>
      </c>
    </row>
    <row r="58" ht="15.75" customHeight="1">
      <c r="A58" s="42" t="s">
        <v>98</v>
      </c>
      <c r="B58" s="43" t="s">
        <v>968</v>
      </c>
      <c r="C58" s="32">
        <v>5698370.0</v>
      </c>
      <c r="D58" s="23" t="s">
        <v>120</v>
      </c>
      <c r="E58" s="32" t="s">
        <v>54</v>
      </c>
      <c r="F58" s="23" t="s">
        <v>125</v>
      </c>
      <c r="G58" s="47" t="str">
        <f t="shared" si="1"/>
        <v>David</v>
      </c>
      <c r="H58" s="49" t="s">
        <v>183</v>
      </c>
      <c r="I58" s="49" t="s">
        <v>66</v>
      </c>
      <c r="J58" s="47" t="str">
        <f>IF(#REF!=0,"Não","Sim")</f>
        <v>#REF!</v>
      </c>
      <c r="K58" s="54">
        <v>45821.0</v>
      </c>
      <c r="L58" s="55"/>
      <c r="M58" s="32" t="s">
        <v>61</v>
      </c>
      <c r="N58" s="56">
        <v>0.012</v>
      </c>
      <c r="O58" s="23" t="s">
        <v>66</v>
      </c>
      <c r="P58" s="57">
        <v>0.0</v>
      </c>
      <c r="Q58" s="58"/>
      <c r="R58" s="58"/>
      <c r="S58" s="32" t="s">
        <v>194</v>
      </c>
      <c r="T58" s="32" t="s">
        <v>972</v>
      </c>
      <c r="U58" s="32" t="s">
        <v>973</v>
      </c>
      <c r="V58" s="32" t="s">
        <v>974</v>
      </c>
      <c r="W58" s="55">
        <v>28749.0</v>
      </c>
      <c r="X58" s="23" t="s">
        <v>975</v>
      </c>
      <c r="Y58" s="60" t="str">
        <f t="shared" si="4"/>
        <v>Ativo</v>
      </c>
      <c r="Z58" s="62"/>
      <c r="AA58" s="32" t="s">
        <v>107</v>
      </c>
      <c r="AB58" s="64"/>
      <c r="AC58" s="65"/>
      <c r="AD58" s="67">
        <v>45824.0</v>
      </c>
      <c r="AE58" s="69">
        <v>4.9075100019126E13</v>
      </c>
      <c r="AF58" s="65"/>
      <c r="AG58" s="65"/>
      <c r="AH58" s="65"/>
      <c r="AI58" s="65"/>
      <c r="AJ58" s="65"/>
      <c r="AK58" s="65"/>
      <c r="AL58" s="65"/>
      <c r="AM58" s="65">
        <v>90431.75951</v>
      </c>
      <c r="AN58" s="71">
        <v>107692.4967</v>
      </c>
      <c r="AO58" s="71">
        <v>108758.0706</v>
      </c>
      <c r="AP58" s="72">
        <v>109912.5737</v>
      </c>
      <c r="AQ58" s="72">
        <v>121232.9278</v>
      </c>
      <c r="AR58" s="72">
        <v>122173.8333</v>
      </c>
      <c r="AS58" s="72">
        <v>122739.8513</v>
      </c>
      <c r="AT58" s="72">
        <v>124153.1854</v>
      </c>
      <c r="AU58" s="72">
        <v>125192.64</v>
      </c>
      <c r="AV58" s="72">
        <v>126781.5602</v>
      </c>
      <c r="AW58" s="72">
        <v>229211.31</v>
      </c>
      <c r="AX58" s="72">
        <v>231390.7187</v>
      </c>
      <c r="AY58" s="72">
        <v>233087.9037</v>
      </c>
      <c r="AZ58" s="65">
        <f t="array" ref="AZ58">XLOOKUP(C58,'PL TOTAL D0'!K:K,'PL TOTAL D0'!L:L,"")</f>
        <v>229685.8476</v>
      </c>
    </row>
    <row r="59" ht="15.75" customHeight="1">
      <c r="A59" s="42" t="s">
        <v>98</v>
      </c>
      <c r="B59" s="43" t="s">
        <v>982</v>
      </c>
      <c r="C59" s="32">
        <v>1.9771677E7</v>
      </c>
      <c r="D59" s="23" t="s">
        <v>27</v>
      </c>
      <c r="E59" s="32" t="s">
        <v>28</v>
      </c>
      <c r="F59" s="23" t="s">
        <v>29</v>
      </c>
      <c r="G59" s="47" t="str">
        <f t="shared" si="1"/>
        <v>David</v>
      </c>
      <c r="H59" s="49" t="s">
        <v>183</v>
      </c>
      <c r="I59" s="49" t="s">
        <v>66</v>
      </c>
      <c r="J59" s="47" t="str">
        <f>IF(Q58=0,"Não","Sim")</f>
        <v>Não</v>
      </c>
      <c r="K59" s="54">
        <v>46225.0</v>
      </c>
      <c r="L59" s="55"/>
      <c r="M59" s="32" t="s">
        <v>34</v>
      </c>
      <c r="N59" s="56">
        <v>0.012</v>
      </c>
      <c r="O59" s="23" t="s">
        <v>35</v>
      </c>
      <c r="P59" s="57">
        <v>0.1</v>
      </c>
      <c r="Q59" s="183" t="s">
        <v>987</v>
      </c>
      <c r="R59" s="58"/>
      <c r="S59" s="32" t="s">
        <v>194</v>
      </c>
      <c r="T59" s="32" t="s">
        <v>989</v>
      </c>
      <c r="U59" s="32" t="s">
        <v>990</v>
      </c>
      <c r="V59" s="32" t="s">
        <v>991</v>
      </c>
      <c r="W59" s="55">
        <v>29349.0</v>
      </c>
      <c r="X59" s="23" t="s">
        <v>28</v>
      </c>
      <c r="Y59" s="60" t="str">
        <f t="shared" si="4"/>
        <v>Ativo</v>
      </c>
      <c r="Z59" s="62"/>
      <c r="AA59" s="32" t="s">
        <v>47</v>
      </c>
      <c r="AB59" s="64"/>
      <c r="AC59" s="65"/>
      <c r="AD59" s="67"/>
      <c r="AE59" s="69"/>
      <c r="AF59" s="65"/>
      <c r="AG59" s="65"/>
      <c r="AH59" s="65"/>
      <c r="AI59" s="65"/>
      <c r="AJ59" s="65"/>
      <c r="AK59" s="65"/>
      <c r="AL59" s="65"/>
      <c r="AM59" s="65"/>
      <c r="AN59" s="71"/>
      <c r="AO59" s="71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65"/>
    </row>
    <row r="60" ht="15.75" customHeight="1">
      <c r="A60" s="42" t="s">
        <v>98</v>
      </c>
      <c r="B60" s="43" t="s">
        <v>1011</v>
      </c>
      <c r="C60" s="32">
        <v>2570762.0</v>
      </c>
      <c r="D60" s="23" t="s">
        <v>142</v>
      </c>
      <c r="E60" s="32" t="s">
        <v>54</v>
      </c>
      <c r="F60" s="23" t="s">
        <v>158</v>
      </c>
      <c r="G60" s="47" t="str">
        <f t="shared" si="1"/>
        <v>Gabriel</v>
      </c>
      <c r="H60" s="49" t="s">
        <v>183</v>
      </c>
      <c r="I60" s="49" t="s">
        <v>66</v>
      </c>
      <c r="J60" s="47" t="str">
        <f t="shared" ref="J60:J132" si="5">IF(Q60=0,"Não","Sim")</f>
        <v>Não</v>
      </c>
      <c r="K60" s="54">
        <v>45666.0</v>
      </c>
      <c r="L60" s="55"/>
      <c r="M60" s="32" t="s">
        <v>61</v>
      </c>
      <c r="N60" s="56">
        <v>0.012</v>
      </c>
      <c r="O60" s="23" t="s">
        <v>66</v>
      </c>
      <c r="P60" s="57">
        <v>0.0</v>
      </c>
      <c r="Q60" s="58"/>
      <c r="R60" s="58"/>
      <c r="S60" s="32" t="s">
        <v>194</v>
      </c>
      <c r="T60" s="32" t="s">
        <v>1033</v>
      </c>
      <c r="U60" s="32" t="s">
        <v>1036</v>
      </c>
      <c r="V60" s="32" t="s">
        <v>1038</v>
      </c>
      <c r="W60" s="55">
        <v>19011.0</v>
      </c>
      <c r="X60" s="23" t="s">
        <v>54</v>
      </c>
      <c r="Y60" s="60" t="str">
        <f t="shared" si="4"/>
        <v>Ativo</v>
      </c>
      <c r="Z60" s="62"/>
      <c r="AA60" s="32" t="s">
        <v>47</v>
      </c>
      <c r="AB60" s="64"/>
      <c r="AC60" s="65"/>
      <c r="AD60" s="101">
        <v>45666.0</v>
      </c>
      <c r="AE60" s="69">
        <v>4.9075100016569E13</v>
      </c>
      <c r="AF60" s="65"/>
      <c r="AG60" s="65"/>
      <c r="AH60" s="65">
        <v>593540.3928</v>
      </c>
      <c r="AI60" s="65">
        <v>601092.4197</v>
      </c>
      <c r="AJ60" s="65">
        <v>599543.2279</v>
      </c>
      <c r="AK60" s="65">
        <v>552566.6251</v>
      </c>
      <c r="AL60" s="65">
        <v>541143.1996</v>
      </c>
      <c r="AM60" s="65">
        <v>549188.6695</v>
      </c>
      <c r="AN60" s="71">
        <v>538894.7838</v>
      </c>
      <c r="AO60" s="71">
        <v>529717.5445</v>
      </c>
      <c r="AP60" s="72">
        <v>533644.7559</v>
      </c>
      <c r="AQ60" s="72">
        <v>527436.5805</v>
      </c>
      <c r="AR60" s="72">
        <v>526254.0823</v>
      </c>
      <c r="AS60" s="72">
        <v>528328.7816</v>
      </c>
      <c r="AT60" s="72">
        <v>521611.4563</v>
      </c>
      <c r="AU60" s="72">
        <v>506208.0524</v>
      </c>
      <c r="AV60" s="72">
        <v>503921.38</v>
      </c>
      <c r="AW60" s="72">
        <v>512698.12</v>
      </c>
      <c r="AX60" s="72">
        <v>508206.8849</v>
      </c>
      <c r="AY60" s="72">
        <v>500390.0611</v>
      </c>
      <c r="AZ60" s="65">
        <f t="array" ref="AZ60">XLOOKUP(C60,'PL TOTAL D0'!K:K,'PL TOTAL D0'!L:L,"")</f>
        <v>494038.874</v>
      </c>
    </row>
    <row r="61" ht="15.75" customHeight="1">
      <c r="A61" s="42" t="s">
        <v>98</v>
      </c>
      <c r="B61" s="43" t="s">
        <v>1063</v>
      </c>
      <c r="C61" s="32">
        <v>1.871822E7</v>
      </c>
      <c r="D61" s="23" t="s">
        <v>53</v>
      </c>
      <c r="E61" s="32" t="s">
        <v>54</v>
      </c>
      <c r="F61" s="23" t="s">
        <v>507</v>
      </c>
      <c r="G61" s="47" t="str">
        <f t="shared" si="1"/>
        <v>David</v>
      </c>
      <c r="H61" s="49" t="s">
        <v>295</v>
      </c>
      <c r="I61" s="49" t="s">
        <v>447</v>
      </c>
      <c r="J61" s="47" t="str">
        <f t="shared" si="5"/>
        <v>Não</v>
      </c>
      <c r="K61" s="54">
        <v>45938.0</v>
      </c>
      <c r="L61" s="55"/>
      <c r="M61" s="32" t="s">
        <v>201</v>
      </c>
      <c r="N61" s="56">
        <v>0.0</v>
      </c>
      <c r="O61" s="23" t="s">
        <v>66</v>
      </c>
      <c r="P61" s="57">
        <v>0.0</v>
      </c>
      <c r="Q61" s="58"/>
      <c r="R61" s="58"/>
      <c r="S61" s="32" t="s">
        <v>194</v>
      </c>
      <c r="T61" s="32" t="s">
        <v>1077</v>
      </c>
      <c r="U61" s="32">
        <v>5.562993412365E12</v>
      </c>
      <c r="V61" s="32" t="s">
        <v>1078</v>
      </c>
      <c r="W61" s="55">
        <v>34523.0</v>
      </c>
      <c r="X61" s="23" t="s">
        <v>54</v>
      </c>
      <c r="Y61" s="60" t="str">
        <f t="shared" si="4"/>
        <v>Ativo</v>
      </c>
      <c r="Z61" s="62"/>
      <c r="AA61" s="32" t="s">
        <v>47</v>
      </c>
      <c r="AB61" s="64"/>
      <c r="AC61" s="65"/>
      <c r="AD61" s="139"/>
      <c r="AE61" s="69"/>
      <c r="AF61" s="65"/>
      <c r="AG61" s="65"/>
      <c r="AH61" s="65"/>
      <c r="AI61" s="65"/>
      <c r="AJ61" s="65"/>
      <c r="AK61" s="65"/>
      <c r="AL61" s="65"/>
      <c r="AM61" s="65"/>
      <c r="AN61" s="71"/>
      <c r="AO61" s="71"/>
      <c r="AP61" s="72"/>
      <c r="AQ61" s="72">
        <v>0.0</v>
      </c>
      <c r="AR61" s="72">
        <v>0.0</v>
      </c>
      <c r="AS61" s="72">
        <v>0.01</v>
      </c>
      <c r="AT61" s="72">
        <v>0.0</v>
      </c>
      <c r="AU61" s="72">
        <v>0.0</v>
      </c>
      <c r="AV61" s="72">
        <v>4.23</v>
      </c>
      <c r="AW61" s="72">
        <v>18.7</v>
      </c>
      <c r="AX61" s="72">
        <v>18.7</v>
      </c>
      <c r="AY61" s="72">
        <v>18.7</v>
      </c>
      <c r="AZ61" s="65">
        <f t="array" ref="AZ61">XLOOKUP(C61,'PL TOTAL D0'!K:K,'PL TOTAL D0'!L:L,"")</f>
        <v>20.87</v>
      </c>
    </row>
    <row r="62" ht="15.75" customHeight="1">
      <c r="A62" s="42" t="s">
        <v>98</v>
      </c>
      <c r="B62" s="43" t="s">
        <v>1084</v>
      </c>
      <c r="C62" s="32">
        <v>1.703326E7</v>
      </c>
      <c r="D62" s="23" t="s">
        <v>120</v>
      </c>
      <c r="E62" s="32" t="s">
        <v>199</v>
      </c>
      <c r="F62" s="23" t="s">
        <v>1086</v>
      </c>
      <c r="G62" s="47" t="str">
        <f t="shared" si="1"/>
        <v>David</v>
      </c>
      <c r="H62" s="49" t="s">
        <v>295</v>
      </c>
      <c r="I62" s="49" t="s">
        <v>382</v>
      </c>
      <c r="J62" s="47" t="str">
        <f t="shared" si="5"/>
        <v>Não</v>
      </c>
      <c r="K62" s="54">
        <v>45905.0</v>
      </c>
      <c r="L62" s="55"/>
      <c r="M62" s="32" t="s">
        <v>557</v>
      </c>
      <c r="N62" s="56">
        <v>0.005</v>
      </c>
      <c r="O62" s="23" t="s">
        <v>66</v>
      </c>
      <c r="P62" s="57">
        <v>0.0</v>
      </c>
      <c r="Q62" s="58"/>
      <c r="R62" s="58"/>
      <c r="S62" s="32" t="s">
        <v>194</v>
      </c>
      <c r="T62" s="32" t="s">
        <v>1087</v>
      </c>
      <c r="U62" s="32" t="s">
        <v>1088</v>
      </c>
      <c r="V62" s="32" t="s">
        <v>1089</v>
      </c>
      <c r="W62" s="55">
        <v>19369.0</v>
      </c>
      <c r="X62" s="23" t="s">
        <v>199</v>
      </c>
      <c r="Y62" s="60" t="str">
        <f t="shared" si="4"/>
        <v>Ativo</v>
      </c>
      <c r="Z62" s="62"/>
      <c r="AA62" s="32" t="s">
        <v>47</v>
      </c>
      <c r="AB62" s="64"/>
      <c r="AC62" s="65"/>
      <c r="AD62" s="139"/>
      <c r="AE62" s="69"/>
      <c r="AF62" s="65"/>
      <c r="AG62" s="65"/>
      <c r="AH62" s="65"/>
      <c r="AI62" s="65"/>
      <c r="AJ62" s="65"/>
      <c r="AK62" s="65"/>
      <c r="AL62" s="65"/>
      <c r="AM62" s="65"/>
      <c r="AN62" s="71">
        <v>0.0</v>
      </c>
      <c r="AO62" s="71">
        <v>0.0</v>
      </c>
      <c r="AP62" s="72">
        <v>0.0</v>
      </c>
      <c r="AQ62" s="72">
        <v>0.0</v>
      </c>
      <c r="AR62" s="72">
        <v>0.0</v>
      </c>
      <c r="AS62" s="72">
        <v>0.0</v>
      </c>
      <c r="AT62" s="72">
        <v>0.0</v>
      </c>
      <c r="AU62" s="72">
        <v>0.0</v>
      </c>
      <c r="AV62" s="72">
        <v>0.0</v>
      </c>
      <c r="AW62" s="72">
        <v>0.0</v>
      </c>
      <c r="AX62" s="72">
        <v>0.0</v>
      </c>
      <c r="AY62" s="72">
        <v>0.0</v>
      </c>
      <c r="AZ62" s="65">
        <f t="array" ref="AZ62">XLOOKUP(C62,'PL TOTAL D0'!K:K,'PL TOTAL D0'!L:L,"")</f>
        <v>0</v>
      </c>
    </row>
    <row r="63" ht="15.75" customHeight="1">
      <c r="A63" s="42" t="s">
        <v>98</v>
      </c>
      <c r="B63" s="43" t="s">
        <v>1094</v>
      </c>
      <c r="C63" s="32">
        <v>1.978477E7</v>
      </c>
      <c r="D63" s="23" t="s">
        <v>27</v>
      </c>
      <c r="E63" s="32" t="s">
        <v>28</v>
      </c>
      <c r="F63" s="23" t="s">
        <v>908</v>
      </c>
      <c r="G63" s="47" t="str">
        <f t="shared" si="1"/>
        <v>David</v>
      </c>
      <c r="H63" s="49" t="s">
        <v>183</v>
      </c>
      <c r="I63" s="49" t="s">
        <v>66</v>
      </c>
      <c r="J63" s="47" t="str">
        <f t="shared" si="5"/>
        <v>Não</v>
      </c>
      <c r="K63" s="54">
        <v>46227.0</v>
      </c>
      <c r="L63" s="55"/>
      <c r="M63" s="32" t="s">
        <v>34</v>
      </c>
      <c r="N63" s="56">
        <v>0.012</v>
      </c>
      <c r="O63" s="23" t="s">
        <v>35</v>
      </c>
      <c r="P63" s="57">
        <v>0.1</v>
      </c>
      <c r="Q63" s="58"/>
      <c r="R63" s="58"/>
      <c r="S63" s="32" t="s">
        <v>194</v>
      </c>
      <c r="T63" s="32" t="s">
        <v>1100</v>
      </c>
      <c r="U63" s="32" t="s">
        <v>1102</v>
      </c>
      <c r="V63" s="32" t="s">
        <v>1104</v>
      </c>
      <c r="W63" s="55">
        <v>32921.0</v>
      </c>
      <c r="X63" s="23" t="s">
        <v>397</v>
      </c>
      <c r="Y63" s="60" t="str">
        <f t="shared" si="4"/>
        <v>Ativo</v>
      </c>
      <c r="Z63" s="62"/>
      <c r="AA63" s="32" t="s">
        <v>47</v>
      </c>
      <c r="AB63" s="64"/>
      <c r="AC63" s="65"/>
      <c r="AD63" s="139"/>
      <c r="AE63" s="69"/>
      <c r="AF63" s="65"/>
      <c r="AG63" s="65"/>
      <c r="AH63" s="65"/>
      <c r="AI63" s="65"/>
      <c r="AJ63" s="65"/>
      <c r="AK63" s="65"/>
      <c r="AL63" s="65"/>
      <c r="AM63" s="65"/>
      <c r="AN63" s="71"/>
      <c r="AO63" s="71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65"/>
    </row>
    <row r="64" ht="15.75" customHeight="1">
      <c r="A64" s="42" t="s">
        <v>98</v>
      </c>
      <c r="B64" s="43" t="s">
        <v>1110</v>
      </c>
      <c r="C64" s="32">
        <v>2044321.0</v>
      </c>
      <c r="D64" s="23" t="s">
        <v>365</v>
      </c>
      <c r="E64" s="32" t="s">
        <v>199</v>
      </c>
      <c r="F64" s="23" t="s">
        <v>1111</v>
      </c>
      <c r="G64" s="47" t="str">
        <f t="shared" si="1"/>
        <v>David</v>
      </c>
      <c r="H64" s="49" t="s">
        <v>295</v>
      </c>
      <c r="I64" s="49" t="s">
        <v>447</v>
      </c>
      <c r="J64" s="47" t="str">
        <f t="shared" si="5"/>
        <v>Não</v>
      </c>
      <c r="K64" s="54">
        <v>45777.0</v>
      </c>
      <c r="L64" s="55"/>
      <c r="M64" s="32" t="s">
        <v>201</v>
      </c>
      <c r="N64" s="56">
        <v>0.0</v>
      </c>
      <c r="O64" s="23" t="s">
        <v>66</v>
      </c>
      <c r="P64" s="57">
        <v>0.0</v>
      </c>
      <c r="Q64" s="58"/>
      <c r="R64" s="58"/>
      <c r="S64" s="32" t="s">
        <v>194</v>
      </c>
      <c r="T64" s="32" t="s">
        <v>1117</v>
      </c>
      <c r="U64" s="32" t="s">
        <v>1118</v>
      </c>
      <c r="V64" s="32" t="s">
        <v>1120</v>
      </c>
      <c r="W64" s="55">
        <v>29004.0</v>
      </c>
      <c r="X64" s="23" t="s">
        <v>199</v>
      </c>
      <c r="Y64" s="60" t="str">
        <f t="shared" si="4"/>
        <v>Ativo</v>
      </c>
      <c r="Z64" s="62"/>
      <c r="AA64" s="32" t="s">
        <v>47</v>
      </c>
      <c r="AB64" s="64"/>
      <c r="AC64" s="65"/>
      <c r="AD64" s="67">
        <v>45777.0</v>
      </c>
      <c r="AE64" s="69">
        <v>4.9075100018855E13</v>
      </c>
      <c r="AF64" s="65"/>
      <c r="AG64" s="65"/>
      <c r="AH64" s="65"/>
      <c r="AI64" s="65"/>
      <c r="AJ64" s="65"/>
      <c r="AK64" s="65">
        <v>28677.33</v>
      </c>
      <c r="AL64" s="65">
        <v>28683.49</v>
      </c>
      <c r="AM64" s="65">
        <v>29236.08</v>
      </c>
      <c r="AN64" s="71">
        <v>29453.5</v>
      </c>
      <c r="AO64" s="71">
        <v>29606.06</v>
      </c>
      <c r="AP64" s="72">
        <v>29760.98</v>
      </c>
      <c r="AQ64" s="72">
        <v>29985.9</v>
      </c>
      <c r="AR64" s="72">
        <v>29894.89</v>
      </c>
      <c r="AS64" s="72">
        <v>30022.22</v>
      </c>
      <c r="AT64" s="72">
        <v>30160.61</v>
      </c>
      <c r="AU64" s="72">
        <v>30281.85</v>
      </c>
      <c r="AV64" s="72">
        <v>30447.41</v>
      </c>
      <c r="AW64" s="72">
        <v>30571.32</v>
      </c>
      <c r="AX64" s="72">
        <v>30279.31</v>
      </c>
      <c r="AY64" s="72">
        <v>30531.13</v>
      </c>
      <c r="AZ64" s="65">
        <f t="array" ref="AZ64">XLOOKUP(C64,'PL TOTAL D0'!K:K,'PL TOTAL D0'!L:L,"")</f>
        <v>30599.31</v>
      </c>
    </row>
    <row r="65" ht="15.75" customHeight="1">
      <c r="A65" s="42" t="s">
        <v>98</v>
      </c>
      <c r="B65" s="43" t="s">
        <v>1125</v>
      </c>
      <c r="C65" s="32">
        <v>516643.0</v>
      </c>
      <c r="D65" s="23" t="s">
        <v>365</v>
      </c>
      <c r="E65" s="32" t="s">
        <v>199</v>
      </c>
      <c r="F65" s="23" t="s">
        <v>1111</v>
      </c>
      <c r="G65" s="47" t="str">
        <f t="shared" si="1"/>
        <v>David</v>
      </c>
      <c r="H65" s="49" t="s">
        <v>295</v>
      </c>
      <c r="I65" s="49" t="s">
        <v>447</v>
      </c>
      <c r="J65" s="47" t="str">
        <f t="shared" si="5"/>
        <v>Não</v>
      </c>
      <c r="K65" s="54">
        <v>45789.0</v>
      </c>
      <c r="L65" s="55"/>
      <c r="M65" s="32" t="s">
        <v>201</v>
      </c>
      <c r="N65" s="56">
        <v>0.0</v>
      </c>
      <c r="O65" s="23" t="s">
        <v>66</v>
      </c>
      <c r="P65" s="57">
        <v>0.0</v>
      </c>
      <c r="Q65" s="58"/>
      <c r="R65" s="58"/>
      <c r="S65" s="32" t="s">
        <v>194</v>
      </c>
      <c r="T65" s="32" t="s">
        <v>1132</v>
      </c>
      <c r="U65" s="32" t="s">
        <v>1133</v>
      </c>
      <c r="V65" s="32" t="s">
        <v>1134</v>
      </c>
      <c r="W65" s="55">
        <v>28731.0</v>
      </c>
      <c r="X65" s="23" t="s">
        <v>199</v>
      </c>
      <c r="Y65" s="60" t="str">
        <f t="shared" si="4"/>
        <v>Ativo</v>
      </c>
      <c r="Z65" s="62"/>
      <c r="AA65" s="32" t="s">
        <v>47</v>
      </c>
      <c r="AB65" s="64"/>
      <c r="AC65" s="65"/>
      <c r="AD65" s="67">
        <v>45789.0</v>
      </c>
      <c r="AE65" s="69">
        <v>4.9075100018863E13</v>
      </c>
      <c r="AF65" s="65"/>
      <c r="AG65" s="65"/>
      <c r="AH65" s="65"/>
      <c r="AI65" s="65"/>
      <c r="AJ65" s="65"/>
      <c r="AK65" s="65"/>
      <c r="AL65" s="65">
        <v>34581.5</v>
      </c>
      <c r="AM65" s="65">
        <v>35246.39</v>
      </c>
      <c r="AN65" s="71">
        <v>35509.46</v>
      </c>
      <c r="AO65" s="71">
        <v>35694.59</v>
      </c>
      <c r="AP65" s="72">
        <v>35882.59</v>
      </c>
      <c r="AQ65" s="72">
        <v>36154.75</v>
      </c>
      <c r="AR65" s="72">
        <v>36045.53</v>
      </c>
      <c r="AS65" s="72">
        <v>36200.47</v>
      </c>
      <c r="AT65" s="72">
        <v>36368.65</v>
      </c>
      <c r="AU65" s="72">
        <v>36515.99</v>
      </c>
      <c r="AV65" s="72">
        <v>36716.97</v>
      </c>
      <c r="AW65" s="72">
        <v>36867.63</v>
      </c>
      <c r="AX65" s="72">
        <v>36517.33</v>
      </c>
      <c r="AY65" s="72">
        <v>36821.71</v>
      </c>
      <c r="AZ65" s="65">
        <f t="array" ref="AZ65">XLOOKUP(C65,'PL TOTAL D0'!K:K,'PL TOTAL D0'!L:L,"")</f>
        <v>36905.89</v>
      </c>
    </row>
    <row r="66" ht="15.75" customHeight="1">
      <c r="A66" s="42" t="s">
        <v>98</v>
      </c>
      <c r="B66" s="43" t="s">
        <v>1136</v>
      </c>
      <c r="C66" s="32">
        <v>1.9550454E7</v>
      </c>
      <c r="D66" s="23" t="s">
        <v>142</v>
      </c>
      <c r="E66" s="32" t="s">
        <v>54</v>
      </c>
      <c r="F66" s="23" t="s">
        <v>158</v>
      </c>
      <c r="G66" s="47" t="str">
        <f t="shared" si="1"/>
        <v>David</v>
      </c>
      <c r="H66" s="49" t="s">
        <v>183</v>
      </c>
      <c r="I66" s="49" t="s">
        <v>66</v>
      </c>
      <c r="J66" s="47" t="str">
        <f t="shared" si="5"/>
        <v>Não</v>
      </c>
      <c r="K66" s="54">
        <v>46157.0</v>
      </c>
      <c r="L66" s="55"/>
      <c r="M66" s="32" t="s">
        <v>209</v>
      </c>
      <c r="N66" s="56">
        <v>0.015</v>
      </c>
      <c r="O66" s="23" t="s">
        <v>35</v>
      </c>
      <c r="P66" s="57">
        <v>0.1</v>
      </c>
      <c r="Q66" s="58"/>
      <c r="R66" s="58"/>
      <c r="S66" s="32" t="s">
        <v>194</v>
      </c>
      <c r="T66" s="32" t="s">
        <v>1141</v>
      </c>
      <c r="U66" s="32" t="s">
        <v>539</v>
      </c>
      <c r="V66" s="32" t="s">
        <v>540</v>
      </c>
      <c r="W66" s="55">
        <v>30336.0</v>
      </c>
      <c r="X66" s="23" t="s">
        <v>397</v>
      </c>
      <c r="Y66" s="60" t="str">
        <f t="shared" si="4"/>
        <v>Ativo</v>
      </c>
      <c r="Z66" s="62"/>
      <c r="AA66" s="32" t="s">
        <v>165</v>
      </c>
      <c r="AB66" s="64"/>
      <c r="AC66" s="65"/>
      <c r="AD66" s="67"/>
      <c r="AE66" s="69"/>
      <c r="AF66" s="65"/>
      <c r="AG66" s="65"/>
      <c r="AH66" s="65"/>
      <c r="AI66" s="65"/>
      <c r="AJ66" s="65"/>
      <c r="AK66" s="65"/>
      <c r="AL66" s="65"/>
      <c r="AM66" s="65"/>
      <c r="AN66" s="71"/>
      <c r="AO66" s="71"/>
      <c r="AP66" s="72"/>
      <c r="AQ66" s="72"/>
      <c r="AR66" s="72"/>
      <c r="AS66" s="72"/>
      <c r="AT66" s="72"/>
      <c r="AU66" s="72"/>
      <c r="AV66" s="72"/>
      <c r="AW66" s="72"/>
      <c r="AX66" s="72">
        <v>0.0</v>
      </c>
      <c r="AY66" s="72">
        <v>69356.65</v>
      </c>
      <c r="AZ66" s="65">
        <f t="array" ref="AZ66">XLOOKUP(C66,'PL TOTAL D0'!K:K,'PL TOTAL D0'!L:L,"")</f>
        <v>72010.50204</v>
      </c>
    </row>
    <row r="67" ht="15.75" customHeight="1">
      <c r="A67" s="42" t="s">
        <v>98</v>
      </c>
      <c r="B67" s="43" t="s">
        <v>1151</v>
      </c>
      <c r="C67" s="32">
        <v>1.8610732E7</v>
      </c>
      <c r="D67" s="23" t="s">
        <v>120</v>
      </c>
      <c r="E67" s="32" t="s">
        <v>54</v>
      </c>
      <c r="F67" s="23" t="s">
        <v>125</v>
      </c>
      <c r="G67" s="47" t="str">
        <f t="shared" si="1"/>
        <v>David</v>
      </c>
      <c r="H67" s="49" t="s">
        <v>295</v>
      </c>
      <c r="I67" s="49" t="s">
        <v>66</v>
      </c>
      <c r="J67" s="47" t="str">
        <f t="shared" si="5"/>
        <v>Não</v>
      </c>
      <c r="K67" s="54">
        <v>45915.0</v>
      </c>
      <c r="L67" s="55"/>
      <c r="M67" s="32" t="s">
        <v>61</v>
      </c>
      <c r="N67" s="56">
        <v>0.012</v>
      </c>
      <c r="O67" s="23" t="s">
        <v>66</v>
      </c>
      <c r="P67" s="57">
        <v>0.0</v>
      </c>
      <c r="Q67" s="58"/>
      <c r="R67" s="58"/>
      <c r="S67" s="32" t="s">
        <v>194</v>
      </c>
      <c r="T67" s="32" t="s">
        <v>1155</v>
      </c>
      <c r="U67" s="32" t="s">
        <v>1156</v>
      </c>
      <c r="V67" s="32" t="s">
        <v>1157</v>
      </c>
      <c r="W67" s="55">
        <v>32986.0</v>
      </c>
      <c r="X67" s="23" t="s">
        <v>1158</v>
      </c>
      <c r="Y67" s="60" t="str">
        <f t="shared" si="4"/>
        <v>Ativo</v>
      </c>
      <c r="Z67" s="62"/>
      <c r="AA67" s="32" t="s">
        <v>47</v>
      </c>
      <c r="AB67" s="64"/>
      <c r="AC67" s="65"/>
      <c r="AD67" s="139"/>
      <c r="AE67" s="69"/>
      <c r="AF67" s="65"/>
      <c r="AG67" s="65"/>
      <c r="AH67" s="65"/>
      <c r="AI67" s="65"/>
      <c r="AJ67" s="65"/>
      <c r="AK67" s="65"/>
      <c r="AL67" s="65"/>
      <c r="AM67" s="65"/>
      <c r="AN67" s="71">
        <v>0.0</v>
      </c>
      <c r="AO67" s="71">
        <v>0.0</v>
      </c>
      <c r="AP67" s="72">
        <v>0.0</v>
      </c>
      <c r="AQ67" s="72">
        <v>0.0</v>
      </c>
      <c r="AR67" s="72">
        <v>0.0</v>
      </c>
      <c r="AS67" s="72">
        <v>0.0</v>
      </c>
      <c r="AT67" s="72">
        <v>0.0</v>
      </c>
      <c r="AU67" s="72">
        <v>0.0</v>
      </c>
      <c r="AV67" s="72">
        <v>0.0</v>
      </c>
      <c r="AW67" s="72">
        <v>0.0</v>
      </c>
      <c r="AX67" s="72">
        <v>0.0</v>
      </c>
      <c r="AY67" s="72">
        <v>0.0</v>
      </c>
      <c r="AZ67" s="65">
        <f t="array" ref="AZ67">XLOOKUP(C67,'PL TOTAL D0'!K:K,'PL TOTAL D0'!L:L,"")</f>
        <v>0</v>
      </c>
    </row>
    <row r="68" ht="15.75" customHeight="1">
      <c r="A68" s="42" t="s">
        <v>98</v>
      </c>
      <c r="B68" s="43" t="s">
        <v>1162</v>
      </c>
      <c r="C68" s="32">
        <v>1.9625446E7</v>
      </c>
      <c r="D68" s="23" t="s">
        <v>27</v>
      </c>
      <c r="E68" s="32" t="s">
        <v>28</v>
      </c>
      <c r="F68" s="23" t="s">
        <v>29</v>
      </c>
      <c r="G68" s="47" t="str">
        <f t="shared" si="1"/>
        <v>David</v>
      </c>
      <c r="H68" s="49" t="s">
        <v>183</v>
      </c>
      <c r="I68" s="49" t="s">
        <v>66</v>
      </c>
      <c r="J68" s="47" t="str">
        <f t="shared" si="5"/>
        <v>Não</v>
      </c>
      <c r="K68" s="54">
        <v>46178.0</v>
      </c>
      <c r="L68" s="55"/>
      <c r="M68" s="32" t="s">
        <v>568</v>
      </c>
      <c r="N68" s="56">
        <v>0.013</v>
      </c>
      <c r="O68" s="23" t="s">
        <v>66</v>
      </c>
      <c r="P68" s="57">
        <v>0.0</v>
      </c>
      <c r="Q68" s="58"/>
      <c r="R68" s="58"/>
      <c r="S68" s="32" t="s">
        <v>194</v>
      </c>
      <c r="T68" s="32" t="s">
        <v>1169</v>
      </c>
      <c r="U68" s="32" t="s">
        <v>1170</v>
      </c>
      <c r="V68" s="32" t="s">
        <v>782</v>
      </c>
      <c r="W68" s="55">
        <v>32883.0</v>
      </c>
      <c r="X68" s="23" t="s">
        <v>1172</v>
      </c>
      <c r="Y68" s="60" t="str">
        <f t="shared" si="4"/>
        <v>Ativo</v>
      </c>
      <c r="Z68" s="62"/>
      <c r="AA68" s="32" t="s">
        <v>47</v>
      </c>
      <c r="AB68" s="64"/>
      <c r="AC68" s="65"/>
      <c r="AD68" s="139"/>
      <c r="AE68" s="69"/>
      <c r="AF68" s="65"/>
      <c r="AG68" s="65"/>
      <c r="AH68" s="65"/>
      <c r="AI68" s="65"/>
      <c r="AJ68" s="65"/>
      <c r="AK68" s="65"/>
      <c r="AL68" s="65"/>
      <c r="AM68" s="65"/>
      <c r="AN68" s="71"/>
      <c r="AO68" s="71"/>
      <c r="AP68" s="72"/>
      <c r="AQ68" s="72"/>
      <c r="AR68" s="72"/>
      <c r="AS68" s="72"/>
      <c r="AT68" s="72"/>
      <c r="AU68" s="72"/>
      <c r="AV68" s="72"/>
      <c r="AW68" s="72"/>
      <c r="AX68" s="72">
        <v>0.0</v>
      </c>
      <c r="AY68" s="72">
        <v>108546.61</v>
      </c>
      <c r="AZ68" s="65">
        <f t="array" ref="AZ68">XLOOKUP(C68,'PL TOTAL D0'!K:K,'PL TOTAL D0'!L:L,"")</f>
        <v>108852.85</v>
      </c>
    </row>
    <row r="69" ht="15.75" customHeight="1">
      <c r="A69" s="42" t="s">
        <v>98</v>
      </c>
      <c r="B69" s="43" t="s">
        <v>1180</v>
      </c>
      <c r="C69" s="32">
        <v>1.7684846E7</v>
      </c>
      <c r="D69" s="23" t="s">
        <v>249</v>
      </c>
      <c r="E69" s="32" t="s">
        <v>199</v>
      </c>
      <c r="F69" s="30" t="s">
        <v>251</v>
      </c>
      <c r="G69" s="47" t="str">
        <f t="shared" si="1"/>
        <v>David</v>
      </c>
      <c r="H69" s="49" t="s">
        <v>183</v>
      </c>
      <c r="I69" s="49" t="s">
        <v>66</v>
      </c>
      <c r="J69" s="47" t="str">
        <f t="shared" si="5"/>
        <v>Sim</v>
      </c>
      <c r="K69" s="54">
        <v>45733.0</v>
      </c>
      <c r="L69" s="55"/>
      <c r="M69" s="32" t="s">
        <v>34</v>
      </c>
      <c r="N69" s="56">
        <v>0.012</v>
      </c>
      <c r="O69" s="23" t="s">
        <v>35</v>
      </c>
      <c r="P69" s="57">
        <v>0.1</v>
      </c>
      <c r="Q69" s="58" t="s">
        <v>1182</v>
      </c>
      <c r="R69" s="58" t="s">
        <v>1184</v>
      </c>
      <c r="S69" s="32" t="s">
        <v>194</v>
      </c>
      <c r="T69" s="32" t="s">
        <v>1185</v>
      </c>
      <c r="U69" s="32" t="s">
        <v>1186</v>
      </c>
      <c r="V69" s="32" t="s">
        <v>1187</v>
      </c>
      <c r="W69" s="55">
        <v>30750.0</v>
      </c>
      <c r="X69" s="23" t="s">
        <v>199</v>
      </c>
      <c r="Y69" s="60" t="str">
        <f t="shared" si="4"/>
        <v>Ativo</v>
      </c>
      <c r="Z69" s="62"/>
      <c r="AA69" s="32" t="s">
        <v>107</v>
      </c>
      <c r="AB69" s="64"/>
      <c r="AC69" s="65"/>
      <c r="AD69" s="101">
        <v>45733.0</v>
      </c>
      <c r="AE69" s="69">
        <v>4.9075100018448E13</v>
      </c>
      <c r="AF69" s="65"/>
      <c r="AG69" s="65"/>
      <c r="AH69" s="65"/>
      <c r="AI69" s="65"/>
      <c r="AJ69" s="65">
        <v>228355.94</v>
      </c>
      <c r="AK69" s="65">
        <v>418718.58</v>
      </c>
      <c r="AL69" s="65">
        <v>137261.1</v>
      </c>
      <c r="AM69" s="65">
        <v>136271.03</v>
      </c>
      <c r="AN69" s="71">
        <v>136253.7214</v>
      </c>
      <c r="AO69" s="71">
        <v>139630.2994</v>
      </c>
      <c r="AP69" s="72">
        <v>121770.9334</v>
      </c>
      <c r="AQ69" s="72">
        <v>123181.1952</v>
      </c>
      <c r="AR69" s="72">
        <v>124402.7812</v>
      </c>
      <c r="AS69" s="72">
        <v>104575.6209</v>
      </c>
      <c r="AT69" s="72">
        <v>105006.0416</v>
      </c>
      <c r="AU69" s="72">
        <v>114966.8172</v>
      </c>
      <c r="AV69" s="72">
        <v>116350.0875</v>
      </c>
      <c r="AW69" s="72">
        <v>117614.48</v>
      </c>
      <c r="AX69" s="72">
        <v>119413.9409</v>
      </c>
      <c r="AY69" s="72">
        <v>120700.6541</v>
      </c>
      <c r="AZ69" s="65">
        <f t="array" ref="AZ69">XLOOKUP(C69,'PL TOTAL D0'!K:K,'PL TOTAL D0'!L:L,"")</f>
        <v>120657.56</v>
      </c>
    </row>
    <row r="70" ht="15.75" customHeight="1">
      <c r="A70" s="42" t="s">
        <v>98</v>
      </c>
      <c r="B70" s="43" t="s">
        <v>1191</v>
      </c>
      <c r="C70" s="32">
        <v>1.5919404E7</v>
      </c>
      <c r="D70" s="23" t="s">
        <v>210</v>
      </c>
      <c r="E70" s="32" t="s">
        <v>199</v>
      </c>
      <c r="F70" s="23" t="s">
        <v>275</v>
      </c>
      <c r="G70" s="47" t="str">
        <f t="shared" si="1"/>
        <v>Gabriel</v>
      </c>
      <c r="H70" s="49" t="s">
        <v>183</v>
      </c>
      <c r="I70" s="49" t="s">
        <v>66</v>
      </c>
      <c r="J70" s="47" t="str">
        <f t="shared" si="5"/>
        <v>Sim</v>
      </c>
      <c r="K70" s="54">
        <v>45712.0</v>
      </c>
      <c r="L70" s="55"/>
      <c r="M70" s="32" t="s">
        <v>61</v>
      </c>
      <c r="N70" s="56">
        <v>0.011</v>
      </c>
      <c r="O70" s="23" t="s">
        <v>66</v>
      </c>
      <c r="P70" s="57">
        <v>0.0</v>
      </c>
      <c r="Q70" s="58" t="s">
        <v>632</v>
      </c>
      <c r="R70" s="58"/>
      <c r="S70" s="32" t="s">
        <v>194</v>
      </c>
      <c r="T70" s="32" t="s">
        <v>1195</v>
      </c>
      <c r="U70" s="32" t="s">
        <v>1196</v>
      </c>
      <c r="V70" s="32" t="s">
        <v>1197</v>
      </c>
      <c r="W70" s="121">
        <v>28060.0</v>
      </c>
      <c r="X70" s="23" t="s">
        <v>397</v>
      </c>
      <c r="Y70" s="60" t="str">
        <f t="shared" si="4"/>
        <v>Ativo</v>
      </c>
      <c r="Z70" s="62"/>
      <c r="AA70" s="32" t="s">
        <v>107</v>
      </c>
      <c r="AB70" s="64"/>
      <c r="AC70" s="65"/>
      <c r="AD70" s="101">
        <v>45712.0</v>
      </c>
      <c r="AE70" s="69">
        <v>4.9075100017913E13</v>
      </c>
      <c r="AF70" s="65"/>
      <c r="AG70" s="65"/>
      <c r="AH70" s="65"/>
      <c r="AI70" s="65">
        <v>260192.5759</v>
      </c>
      <c r="AJ70" s="65">
        <v>262403.1931</v>
      </c>
      <c r="AK70" s="65">
        <v>267339.593</v>
      </c>
      <c r="AL70" s="65">
        <v>275311.8721</v>
      </c>
      <c r="AM70" s="65">
        <v>277974.5562</v>
      </c>
      <c r="AN70" s="71">
        <v>281080.4315</v>
      </c>
      <c r="AO70" s="71">
        <v>283850.2489</v>
      </c>
      <c r="AP70" s="72">
        <v>286674.4547</v>
      </c>
      <c r="AQ70" s="72">
        <v>290066.4301</v>
      </c>
      <c r="AR70" s="72">
        <v>291858.2108</v>
      </c>
      <c r="AS70" s="72">
        <v>295059.27</v>
      </c>
      <c r="AT70" s="72">
        <v>298246.05</v>
      </c>
      <c r="AU70" s="72">
        <v>298307.8182</v>
      </c>
      <c r="AV70" s="72">
        <v>301473.0</v>
      </c>
      <c r="AW70" s="72">
        <v>301827.56</v>
      </c>
      <c r="AX70" s="72">
        <v>302805.93</v>
      </c>
      <c r="AY70" s="72">
        <v>305826.9961</v>
      </c>
      <c r="AZ70" s="65">
        <f t="array" ref="AZ70">XLOOKUP(C70,'PL TOTAL D0'!K:K,'PL TOTAL D0'!L:L,"")</f>
        <v>309356.2631</v>
      </c>
    </row>
    <row r="71" ht="15.75" customHeight="1">
      <c r="A71" s="42" t="s">
        <v>98</v>
      </c>
      <c r="B71" s="43" t="s">
        <v>1209</v>
      </c>
      <c r="C71" s="32">
        <v>4340593.0</v>
      </c>
      <c r="D71" s="23" t="s">
        <v>249</v>
      </c>
      <c r="E71" s="32" t="s">
        <v>199</v>
      </c>
      <c r="F71" s="30" t="s">
        <v>251</v>
      </c>
      <c r="G71" s="47" t="str">
        <f t="shared" si="1"/>
        <v>David</v>
      </c>
      <c r="H71" s="49" t="s">
        <v>295</v>
      </c>
      <c r="I71" s="49" t="s">
        <v>382</v>
      </c>
      <c r="J71" s="47" t="str">
        <f t="shared" si="5"/>
        <v>Não</v>
      </c>
      <c r="K71" s="54">
        <v>45756.0</v>
      </c>
      <c r="L71" s="55"/>
      <c r="M71" s="32" t="s">
        <v>209</v>
      </c>
      <c r="N71" s="56">
        <v>0.0085</v>
      </c>
      <c r="O71" s="23" t="s">
        <v>35</v>
      </c>
      <c r="P71" s="57">
        <v>0.1</v>
      </c>
      <c r="Q71" s="58"/>
      <c r="R71" s="58"/>
      <c r="S71" s="32" t="s">
        <v>194</v>
      </c>
      <c r="T71" s="32" t="s">
        <v>1212</v>
      </c>
      <c r="U71" s="32" t="s">
        <v>1213</v>
      </c>
      <c r="V71" s="32" t="s">
        <v>1214</v>
      </c>
      <c r="W71" s="55">
        <v>31873.0</v>
      </c>
      <c r="X71" s="23" t="s">
        <v>199</v>
      </c>
      <c r="Y71" s="60" t="str">
        <f t="shared" si="4"/>
        <v>Ativo</v>
      </c>
      <c r="Z71" s="62"/>
      <c r="AA71" s="32" t="s">
        <v>47</v>
      </c>
      <c r="AB71" s="64"/>
      <c r="AC71" s="65"/>
      <c r="AD71" s="101">
        <v>45756.0</v>
      </c>
      <c r="AE71" s="69">
        <v>4.9075100018707E13</v>
      </c>
      <c r="AF71" s="65"/>
      <c r="AG71" s="65"/>
      <c r="AH71" s="65"/>
      <c r="AI71" s="65"/>
      <c r="AJ71" s="65"/>
      <c r="AK71" s="65">
        <v>306994.36</v>
      </c>
      <c r="AL71" s="65">
        <v>1887.28</v>
      </c>
      <c r="AM71" s="65">
        <v>1914.73</v>
      </c>
      <c r="AN71" s="71">
        <v>339.8</v>
      </c>
      <c r="AO71" s="71">
        <v>343.76</v>
      </c>
      <c r="AP71" s="72">
        <v>347.9</v>
      </c>
      <c r="AQ71" s="72">
        <v>352.35</v>
      </c>
      <c r="AR71" s="72">
        <v>356.04</v>
      </c>
      <c r="AS71" s="72">
        <v>360.39</v>
      </c>
      <c r="AT71" s="72">
        <v>364.6</v>
      </c>
      <c r="AU71" s="72">
        <v>368.24</v>
      </c>
      <c r="AV71" s="72">
        <v>372.82</v>
      </c>
      <c r="AW71" s="72">
        <v>376.84</v>
      </c>
      <c r="AX71" s="72">
        <v>380.89</v>
      </c>
      <c r="AY71" s="72">
        <v>385.13</v>
      </c>
      <c r="AZ71" s="65">
        <f t="array" ref="AZ71">XLOOKUP(C71,'PL TOTAL D0'!K:K,'PL TOTAL D0'!L:L,"")</f>
        <v>389.82</v>
      </c>
    </row>
    <row r="72" ht="15.75" customHeight="1">
      <c r="A72" s="42" t="s">
        <v>98</v>
      </c>
      <c r="B72" s="43" t="s">
        <v>1216</v>
      </c>
      <c r="C72" s="32">
        <v>1.9538063E7</v>
      </c>
      <c r="D72" s="23" t="s">
        <v>53</v>
      </c>
      <c r="E72" s="32" t="s">
        <v>54</v>
      </c>
      <c r="F72" s="30" t="s">
        <v>507</v>
      </c>
      <c r="G72" s="47" t="str">
        <f t="shared" si="1"/>
        <v>David</v>
      </c>
      <c r="H72" s="49" t="s">
        <v>183</v>
      </c>
      <c r="I72" s="49" t="s">
        <v>66</v>
      </c>
      <c r="J72" s="47" t="str">
        <f t="shared" si="5"/>
        <v>Não</v>
      </c>
      <c r="K72" s="54">
        <v>46210.0</v>
      </c>
      <c r="L72" s="55"/>
      <c r="M72" s="32" t="s">
        <v>209</v>
      </c>
      <c r="N72" s="56">
        <v>0.015</v>
      </c>
      <c r="O72" s="23" t="s">
        <v>35</v>
      </c>
      <c r="P72" s="57">
        <v>0.1</v>
      </c>
      <c r="Q72" s="58"/>
      <c r="R72" s="58"/>
      <c r="S72" s="32" t="s">
        <v>194</v>
      </c>
      <c r="T72" s="32" t="s">
        <v>1223</v>
      </c>
      <c r="U72" s="32" t="s">
        <v>1224</v>
      </c>
      <c r="V72" s="32" t="s">
        <v>1225</v>
      </c>
      <c r="W72" s="55">
        <v>34476.0</v>
      </c>
      <c r="X72" s="23" t="s">
        <v>54</v>
      </c>
      <c r="Y72" s="60" t="str">
        <f t="shared" si="4"/>
        <v>Ativo</v>
      </c>
      <c r="Z72" s="62"/>
      <c r="AA72" s="32" t="s">
        <v>47</v>
      </c>
      <c r="AB72" s="64"/>
      <c r="AC72" s="65"/>
      <c r="AD72" s="101"/>
      <c r="AE72" s="69"/>
      <c r="AF72" s="65"/>
      <c r="AG72" s="65"/>
      <c r="AH72" s="65"/>
      <c r="AI72" s="65"/>
      <c r="AJ72" s="65"/>
      <c r="AK72" s="65"/>
      <c r="AL72" s="65"/>
      <c r="AM72" s="65"/>
      <c r="AN72" s="71"/>
      <c r="AO72" s="71"/>
      <c r="AP72" s="72"/>
      <c r="AQ72" s="72"/>
      <c r="AR72" s="72"/>
      <c r="AS72" s="72"/>
      <c r="AT72" s="72"/>
      <c r="AU72" s="72"/>
      <c r="AV72" s="72"/>
      <c r="AW72" s="72"/>
      <c r="AX72" s="72"/>
      <c r="AY72" s="72">
        <v>0.0</v>
      </c>
      <c r="AZ72" s="65">
        <f t="array" ref="AZ72">XLOOKUP(C72,'PL TOTAL D0'!K:K,'PL TOTAL D0'!L:L,"")</f>
        <v>0</v>
      </c>
    </row>
    <row r="73" ht="15.75" customHeight="1">
      <c r="A73" s="42" t="s">
        <v>98</v>
      </c>
      <c r="B73" s="43" t="s">
        <v>1238</v>
      </c>
      <c r="C73" s="32">
        <v>8625760.0</v>
      </c>
      <c r="D73" s="23" t="s">
        <v>142</v>
      </c>
      <c r="E73" s="32" t="s">
        <v>54</v>
      </c>
      <c r="F73" s="23" t="s">
        <v>158</v>
      </c>
      <c r="G73" s="47" t="str">
        <f t="shared" si="1"/>
        <v>Marcus</v>
      </c>
      <c r="H73" s="49" t="s">
        <v>183</v>
      </c>
      <c r="I73" s="49" t="s">
        <v>66</v>
      </c>
      <c r="J73" s="47" t="str">
        <f t="shared" si="5"/>
        <v>Não</v>
      </c>
      <c r="K73" s="54">
        <v>45678.0</v>
      </c>
      <c r="L73" s="55"/>
      <c r="M73" s="32" t="s">
        <v>61</v>
      </c>
      <c r="N73" s="56">
        <v>0.012</v>
      </c>
      <c r="O73" s="23" t="s">
        <v>66</v>
      </c>
      <c r="P73" s="57">
        <v>0.0</v>
      </c>
      <c r="Q73" s="58"/>
      <c r="R73" s="58"/>
      <c r="S73" s="32" t="s">
        <v>194</v>
      </c>
      <c r="T73" s="32" t="s">
        <v>1241</v>
      </c>
      <c r="U73" s="32" t="s">
        <v>1242</v>
      </c>
      <c r="V73" s="32" t="s">
        <v>1243</v>
      </c>
      <c r="W73" s="55">
        <v>19022.0</v>
      </c>
      <c r="X73" s="23" t="s">
        <v>54</v>
      </c>
      <c r="Y73" s="60" t="str">
        <f t="shared" si="4"/>
        <v>Ativo</v>
      </c>
      <c r="Z73" s="62"/>
      <c r="AA73" s="32" t="s">
        <v>47</v>
      </c>
      <c r="AB73" s="64"/>
      <c r="AC73" s="65"/>
      <c r="AD73" s="101">
        <v>45678.0</v>
      </c>
      <c r="AE73" s="69">
        <v>4.9075100016461E13</v>
      </c>
      <c r="AF73" s="65"/>
      <c r="AG73" s="65"/>
      <c r="AH73" s="65">
        <v>1454771.87</v>
      </c>
      <c r="AI73" s="65">
        <v>1436046.67</v>
      </c>
      <c r="AJ73" s="65">
        <v>1407872.52</v>
      </c>
      <c r="AK73" s="65">
        <v>1403231.71</v>
      </c>
      <c r="AL73" s="65">
        <v>1467571.898</v>
      </c>
      <c r="AM73" s="65">
        <v>1511377.56</v>
      </c>
      <c r="AN73" s="71">
        <v>1534746.339</v>
      </c>
      <c r="AO73" s="71">
        <v>1567271.443</v>
      </c>
      <c r="AP73" s="72">
        <v>1601170.05</v>
      </c>
      <c r="AQ73" s="72">
        <v>1630864.48</v>
      </c>
      <c r="AR73" s="72">
        <v>1598426.42</v>
      </c>
      <c r="AS73" s="72">
        <v>1612558.03</v>
      </c>
      <c r="AT73" s="72">
        <v>1625341.4</v>
      </c>
      <c r="AU73" s="72">
        <v>1617138.79</v>
      </c>
      <c r="AV73" s="72">
        <v>1520366.56</v>
      </c>
      <c r="AW73" s="72">
        <v>1668684.07</v>
      </c>
      <c r="AX73" s="72">
        <v>1751245.03</v>
      </c>
      <c r="AY73" s="72">
        <v>1725477.97</v>
      </c>
      <c r="AZ73" s="65">
        <f t="array" ref="AZ73">XLOOKUP(C73,'PL TOTAL D0'!K:K,'PL TOTAL D0'!L:L,"")</f>
        <v>1737473.268</v>
      </c>
    </row>
    <row r="74" ht="15.75" customHeight="1">
      <c r="A74" s="42" t="s">
        <v>98</v>
      </c>
      <c r="B74" s="43" t="s">
        <v>1248</v>
      </c>
      <c r="C74" s="32">
        <v>390262.0</v>
      </c>
      <c r="D74" s="23" t="s">
        <v>120</v>
      </c>
      <c r="E74" s="32" t="s">
        <v>54</v>
      </c>
      <c r="F74" s="23" t="s">
        <v>125</v>
      </c>
      <c r="G74" s="47" t="str">
        <f t="shared" si="1"/>
        <v>Gabriel</v>
      </c>
      <c r="H74" s="49" t="s">
        <v>183</v>
      </c>
      <c r="I74" s="49" t="s">
        <v>66</v>
      </c>
      <c r="J74" s="47" t="str">
        <f t="shared" si="5"/>
        <v>Não</v>
      </c>
      <c r="K74" s="54">
        <v>45819.0</v>
      </c>
      <c r="L74" s="55"/>
      <c r="M74" s="32" t="s">
        <v>61</v>
      </c>
      <c r="N74" s="56">
        <v>0.012</v>
      </c>
      <c r="O74" s="23" t="s">
        <v>66</v>
      </c>
      <c r="P74" s="57">
        <v>0.0</v>
      </c>
      <c r="Q74" s="58"/>
      <c r="R74" s="58"/>
      <c r="S74" s="32" t="s">
        <v>194</v>
      </c>
      <c r="T74" s="32" t="s">
        <v>1253</v>
      </c>
      <c r="U74" s="32" t="s">
        <v>1255</v>
      </c>
      <c r="V74" s="32" t="s">
        <v>1256</v>
      </c>
      <c r="W74" s="55">
        <v>31261.0</v>
      </c>
      <c r="X74" s="23" t="s">
        <v>54</v>
      </c>
      <c r="Y74" s="60" t="str">
        <f t="shared" si="4"/>
        <v>Ativo</v>
      </c>
      <c r="Z74" s="62"/>
      <c r="AA74" s="32" t="s">
        <v>47</v>
      </c>
      <c r="AB74" s="64"/>
      <c r="AC74" s="65"/>
      <c r="AD74" s="67">
        <v>45819.0</v>
      </c>
      <c r="AE74" s="69">
        <v>4.907510001901E13</v>
      </c>
      <c r="AF74" s="65"/>
      <c r="AG74" s="65"/>
      <c r="AH74" s="65"/>
      <c r="AI74" s="65"/>
      <c r="AJ74" s="65"/>
      <c r="AK74" s="65"/>
      <c r="AL74" s="65"/>
      <c r="AM74" s="65">
        <v>324684.39</v>
      </c>
      <c r="AN74" s="71">
        <v>326373.623</v>
      </c>
      <c r="AO74" s="71">
        <v>329962.4109</v>
      </c>
      <c r="AP74" s="72">
        <v>334252.3492</v>
      </c>
      <c r="AQ74" s="72">
        <v>338305.8543</v>
      </c>
      <c r="AR74" s="72">
        <v>340969.1785</v>
      </c>
      <c r="AS74" s="72">
        <v>383228.7385</v>
      </c>
      <c r="AT74" s="72">
        <v>386854.4537</v>
      </c>
      <c r="AU74" s="72">
        <v>388883.4714</v>
      </c>
      <c r="AV74" s="72">
        <v>330286.9282</v>
      </c>
      <c r="AW74" s="72">
        <v>333648.85</v>
      </c>
      <c r="AX74" s="72">
        <v>337528.3363</v>
      </c>
      <c r="AY74" s="72">
        <v>340934.2405</v>
      </c>
      <c r="AZ74" s="65">
        <f t="array" ref="AZ74">XLOOKUP(C74,'PL TOTAL D0'!K:K,'PL TOTAL D0'!L:L,"")</f>
        <v>314115.7959</v>
      </c>
    </row>
    <row r="75" ht="15.75" customHeight="1">
      <c r="A75" s="42" t="s">
        <v>98</v>
      </c>
      <c r="B75" s="43" t="s">
        <v>1263</v>
      </c>
      <c r="C75" s="32">
        <v>1.1371496E7</v>
      </c>
      <c r="D75" s="23" t="s">
        <v>53</v>
      </c>
      <c r="E75" s="32" t="s">
        <v>54</v>
      </c>
      <c r="F75" s="23" t="s">
        <v>608</v>
      </c>
      <c r="G75" s="47" t="str">
        <f t="shared" si="1"/>
        <v>Gabriel</v>
      </c>
      <c r="H75" s="49" t="s">
        <v>183</v>
      </c>
      <c r="I75" s="49" t="s">
        <v>66</v>
      </c>
      <c r="J75" s="47" t="str">
        <f t="shared" si="5"/>
        <v>Não</v>
      </c>
      <c r="K75" s="54">
        <v>45919.0</v>
      </c>
      <c r="L75" s="55"/>
      <c r="M75" s="32" t="s">
        <v>61</v>
      </c>
      <c r="N75" s="56">
        <v>0.012</v>
      </c>
      <c r="O75" s="23" t="s">
        <v>66</v>
      </c>
      <c r="P75" s="57">
        <v>0.0</v>
      </c>
      <c r="Q75" s="58"/>
      <c r="R75" s="58"/>
      <c r="S75" s="32" t="s">
        <v>194</v>
      </c>
      <c r="T75" s="32" t="s">
        <v>1268</v>
      </c>
      <c r="U75" s="32" t="s">
        <v>1270</v>
      </c>
      <c r="V75" s="32" t="s">
        <v>1272</v>
      </c>
      <c r="W75" s="55">
        <v>23956.0</v>
      </c>
      <c r="X75" s="23" t="s">
        <v>54</v>
      </c>
      <c r="Y75" s="60" t="str">
        <f t="shared" si="4"/>
        <v>Ativo</v>
      </c>
      <c r="Z75" s="62"/>
      <c r="AA75" s="32" t="s">
        <v>47</v>
      </c>
      <c r="AB75" s="64"/>
      <c r="AC75" s="65"/>
      <c r="AD75" s="67">
        <v>45919.0</v>
      </c>
      <c r="AE75" s="148">
        <v>4.9075100019444E13</v>
      </c>
      <c r="AF75" s="65"/>
      <c r="AG75" s="65"/>
      <c r="AH75" s="65"/>
      <c r="AI75" s="65"/>
      <c r="AJ75" s="65"/>
      <c r="AK75" s="65"/>
      <c r="AL75" s="65"/>
      <c r="AM75" s="65"/>
      <c r="AN75" s="71">
        <v>576562.5124</v>
      </c>
      <c r="AO75" s="71">
        <v>577850.355</v>
      </c>
      <c r="AP75" s="72">
        <v>575006.0645</v>
      </c>
      <c r="AQ75" s="72">
        <v>579623.6277</v>
      </c>
      <c r="AR75" s="72">
        <v>569302.0554</v>
      </c>
      <c r="AS75" s="72">
        <v>574413.08</v>
      </c>
      <c r="AT75" s="72">
        <v>607725.0803</v>
      </c>
      <c r="AU75" s="72">
        <v>554790.8773</v>
      </c>
      <c r="AV75" s="72">
        <v>558313.0</v>
      </c>
      <c r="AW75" s="72">
        <v>535364.12</v>
      </c>
      <c r="AX75" s="72">
        <v>539645.2683</v>
      </c>
      <c r="AY75" s="72">
        <v>543520.2367</v>
      </c>
      <c r="AZ75" s="65">
        <f t="array" ref="AZ75">XLOOKUP(C75,'PL TOTAL D0'!K:K,'PL TOTAL D0'!L:L,"")</f>
        <v>548683.5624</v>
      </c>
    </row>
    <row r="76" ht="15.75" customHeight="1">
      <c r="A76" s="42" t="s">
        <v>98</v>
      </c>
      <c r="B76" s="43" t="s">
        <v>1175</v>
      </c>
      <c r="C76" s="32">
        <v>5745802.0</v>
      </c>
      <c r="D76" s="23" t="s">
        <v>120</v>
      </c>
      <c r="E76" s="32" t="s">
        <v>199</v>
      </c>
      <c r="F76" s="23" t="s">
        <v>290</v>
      </c>
      <c r="G76" s="47" t="str">
        <f t="shared" si="1"/>
        <v>Marcus</v>
      </c>
      <c r="H76" s="49" t="s">
        <v>183</v>
      </c>
      <c r="I76" s="49" t="s">
        <v>66</v>
      </c>
      <c r="J76" s="47" t="str">
        <f t="shared" si="5"/>
        <v>Sim</v>
      </c>
      <c r="K76" s="54">
        <v>45723.0</v>
      </c>
      <c r="L76" s="55"/>
      <c r="M76" s="32" t="s">
        <v>34</v>
      </c>
      <c r="N76" s="56">
        <v>0.012</v>
      </c>
      <c r="O76" s="23" t="s">
        <v>35</v>
      </c>
      <c r="P76" s="57">
        <v>0.1</v>
      </c>
      <c r="Q76" s="58" t="s">
        <v>1281</v>
      </c>
      <c r="R76" s="58"/>
      <c r="S76" s="32" t="s">
        <v>194</v>
      </c>
      <c r="T76" s="32" t="s">
        <v>1178</v>
      </c>
      <c r="U76" s="32" t="s">
        <v>1288</v>
      </c>
      <c r="V76" s="32" t="s">
        <v>1165</v>
      </c>
      <c r="W76" s="55">
        <v>27619.0</v>
      </c>
      <c r="X76" s="23" t="s">
        <v>199</v>
      </c>
      <c r="Y76" s="60" t="str">
        <f t="shared" si="4"/>
        <v>Ativo</v>
      </c>
      <c r="Z76" s="62"/>
      <c r="AA76" s="32" t="s">
        <v>47</v>
      </c>
      <c r="AB76" s="64"/>
      <c r="AC76" s="65"/>
      <c r="AD76" s="101">
        <v>45723.0</v>
      </c>
      <c r="AE76" s="69">
        <v>4.907510001848E13</v>
      </c>
      <c r="AF76" s="65"/>
      <c r="AG76" s="65"/>
      <c r="AH76" s="65"/>
      <c r="AI76" s="65"/>
      <c r="AJ76" s="65">
        <v>574530.7693</v>
      </c>
      <c r="AK76" s="65">
        <v>649677.2333</v>
      </c>
      <c r="AL76" s="65">
        <v>764691.7271</v>
      </c>
      <c r="AM76" s="65">
        <v>807260.9347</v>
      </c>
      <c r="AN76" s="71">
        <v>963567.9346</v>
      </c>
      <c r="AO76" s="71">
        <v>970065.9561</v>
      </c>
      <c r="AP76" s="72">
        <v>984349.5516</v>
      </c>
      <c r="AQ76" s="72">
        <v>984130.191</v>
      </c>
      <c r="AR76" s="72">
        <v>946913.0755</v>
      </c>
      <c r="AS76" s="72">
        <v>932180.7233</v>
      </c>
      <c r="AT76" s="72">
        <v>899486.7444</v>
      </c>
      <c r="AU76" s="72">
        <v>863702.687</v>
      </c>
      <c r="AV76" s="72">
        <v>871550.6248</v>
      </c>
      <c r="AW76" s="72">
        <v>884713.14</v>
      </c>
      <c r="AX76" s="72">
        <v>874803.1865</v>
      </c>
      <c r="AY76" s="72">
        <v>801863.1124</v>
      </c>
      <c r="AZ76" s="65">
        <f t="array" ref="AZ76">XLOOKUP(C76,'PL TOTAL D0'!K:K,'PL TOTAL D0'!L:L,"")</f>
        <v>1031495.007</v>
      </c>
    </row>
    <row r="77" ht="15.75" customHeight="1">
      <c r="A77" s="42" t="s">
        <v>98</v>
      </c>
      <c r="B77" s="43" t="s">
        <v>1293</v>
      </c>
      <c r="C77" s="32">
        <v>1.7448472E7</v>
      </c>
      <c r="D77" s="23" t="s">
        <v>249</v>
      </c>
      <c r="E77" s="32" t="s">
        <v>199</v>
      </c>
      <c r="F77" s="30" t="s">
        <v>251</v>
      </c>
      <c r="G77" s="47" t="str">
        <f t="shared" si="1"/>
        <v>David</v>
      </c>
      <c r="H77" s="49" t="s">
        <v>183</v>
      </c>
      <c r="I77" s="49" t="s">
        <v>66</v>
      </c>
      <c r="J77" s="47" t="str">
        <f t="shared" si="5"/>
        <v>Não</v>
      </c>
      <c r="K77" s="54">
        <v>45793.0</v>
      </c>
      <c r="L77" s="55"/>
      <c r="M77" s="32" t="s">
        <v>390</v>
      </c>
      <c r="N77" s="56">
        <v>0.0</v>
      </c>
      <c r="O77" s="23" t="s">
        <v>66</v>
      </c>
      <c r="P77" s="57">
        <v>0.0</v>
      </c>
      <c r="Q77" s="58"/>
      <c r="R77" s="58"/>
      <c r="S77" s="32" t="s">
        <v>194</v>
      </c>
      <c r="T77" s="32" t="s">
        <v>1298</v>
      </c>
      <c r="U77" s="32" t="s">
        <v>1299</v>
      </c>
      <c r="V77" s="32" t="s">
        <v>1300</v>
      </c>
      <c r="W77" s="55">
        <v>31546.0</v>
      </c>
      <c r="X77" s="23" t="s">
        <v>199</v>
      </c>
      <c r="Y77" s="60" t="str">
        <f t="shared" si="4"/>
        <v>Ativo</v>
      </c>
      <c r="Z77" s="62"/>
      <c r="AA77" s="32" t="s">
        <v>47</v>
      </c>
      <c r="AB77" s="64"/>
      <c r="AC77" s="65"/>
      <c r="AD77" s="129">
        <v>45800.0</v>
      </c>
      <c r="AE77" s="69">
        <v>4.9075100018936E13</v>
      </c>
      <c r="AF77" s="65"/>
      <c r="AG77" s="65"/>
      <c r="AH77" s="65"/>
      <c r="AI77" s="65"/>
      <c r="AJ77" s="65"/>
      <c r="AK77" s="65"/>
      <c r="AL77" s="65">
        <v>300962.12</v>
      </c>
      <c r="AM77" s="65">
        <v>304602.81</v>
      </c>
      <c r="AN77" s="71">
        <v>612219.24</v>
      </c>
      <c r="AO77" s="71">
        <v>29.38</v>
      </c>
      <c r="AP77" s="72">
        <v>32.07</v>
      </c>
      <c r="AQ77" s="72">
        <v>32.07</v>
      </c>
      <c r="AR77" s="72">
        <v>32.07</v>
      </c>
      <c r="AS77" s="72">
        <v>32.07</v>
      </c>
      <c r="AT77" s="72">
        <v>32.07</v>
      </c>
      <c r="AU77" s="72">
        <v>32.07</v>
      </c>
      <c r="AV77" s="72">
        <v>32.07</v>
      </c>
      <c r="AW77" s="72">
        <v>0.0</v>
      </c>
      <c r="AX77" s="72">
        <v>32.07</v>
      </c>
      <c r="AY77" s="72">
        <v>32.07</v>
      </c>
      <c r="AZ77" s="65">
        <f t="array" ref="AZ77">XLOOKUP(C77,'PL TOTAL D0'!K:K,'PL TOTAL D0'!L:L,"")</f>
        <v>32.07</v>
      </c>
    </row>
    <row r="78" ht="15.75" customHeight="1">
      <c r="A78" s="42" t="s">
        <v>98</v>
      </c>
      <c r="B78" s="43" t="s">
        <v>1304</v>
      </c>
      <c r="C78" s="32">
        <v>8759647.0</v>
      </c>
      <c r="D78" s="23" t="s">
        <v>89</v>
      </c>
      <c r="E78" s="32" t="s">
        <v>475</v>
      </c>
      <c r="F78" s="23" t="s">
        <v>1305</v>
      </c>
      <c r="G78" s="47" t="str">
        <f t="shared" si="1"/>
        <v>Marcus</v>
      </c>
      <c r="H78" s="49" t="s">
        <v>295</v>
      </c>
      <c r="I78" s="49" t="s">
        <v>694</v>
      </c>
      <c r="J78" s="47" t="str">
        <f t="shared" si="5"/>
        <v>Não</v>
      </c>
      <c r="K78" s="54">
        <v>45786.0</v>
      </c>
      <c r="L78" s="55"/>
      <c r="M78" s="32" t="s">
        <v>201</v>
      </c>
      <c r="N78" s="56">
        <v>0.006</v>
      </c>
      <c r="O78" s="23" t="s">
        <v>66</v>
      </c>
      <c r="P78" s="57">
        <v>0.0</v>
      </c>
      <c r="Q78" s="58"/>
      <c r="R78" s="58"/>
      <c r="S78" s="32" t="s">
        <v>194</v>
      </c>
      <c r="T78" s="32" t="s">
        <v>1314</v>
      </c>
      <c r="U78" s="32" t="s">
        <v>1316</v>
      </c>
      <c r="V78" s="32" t="s">
        <v>1318</v>
      </c>
      <c r="W78" s="55">
        <v>29281.0</v>
      </c>
      <c r="X78" s="23" t="s">
        <v>475</v>
      </c>
      <c r="Y78" s="60" t="str">
        <f t="shared" si="4"/>
        <v>Ativo</v>
      </c>
      <c r="Z78" s="62"/>
      <c r="AA78" s="32" t="s">
        <v>47</v>
      </c>
      <c r="AB78" s="64"/>
      <c r="AC78" s="65"/>
      <c r="AD78" s="67">
        <v>45786.0</v>
      </c>
      <c r="AE78" s="69">
        <v>4.9075100018944E13</v>
      </c>
      <c r="AF78" s="65"/>
      <c r="AG78" s="65"/>
      <c r="AH78" s="65"/>
      <c r="AI78" s="65"/>
      <c r="AJ78" s="65"/>
      <c r="AK78" s="65"/>
      <c r="AL78" s="65">
        <v>1575212.676</v>
      </c>
      <c r="AM78" s="65">
        <v>1421475.099</v>
      </c>
      <c r="AN78" s="71">
        <v>1134531.215</v>
      </c>
      <c r="AO78" s="71">
        <v>1153509.029</v>
      </c>
      <c r="AP78" s="72">
        <v>1173298.99</v>
      </c>
      <c r="AQ78" s="72">
        <v>1196023.788</v>
      </c>
      <c r="AR78" s="72">
        <v>1217735.745</v>
      </c>
      <c r="AS78" s="72">
        <v>1212734.23</v>
      </c>
      <c r="AT78" s="72">
        <v>1231112.678</v>
      </c>
      <c r="AU78" s="72">
        <v>1222812.034</v>
      </c>
      <c r="AV78" s="72">
        <v>1182517.065</v>
      </c>
      <c r="AW78" s="72">
        <v>1247210.88</v>
      </c>
      <c r="AX78" s="72">
        <v>1277549.765</v>
      </c>
      <c r="AY78" s="72">
        <v>0.0</v>
      </c>
      <c r="AZ78" s="65" t="str">
        <f t="array" ref="AZ78">XLOOKUP(C78,'PL TOTAL D0'!K:K,'PL TOTAL D0'!L:L,"")</f>
        <v/>
      </c>
    </row>
    <row r="79" ht="15.75" customHeight="1">
      <c r="A79" s="42" t="s">
        <v>98</v>
      </c>
      <c r="B79" s="43" t="s">
        <v>1323</v>
      </c>
      <c r="C79" s="32">
        <v>1.2630126E7</v>
      </c>
      <c r="D79" s="23" t="s">
        <v>142</v>
      </c>
      <c r="E79" s="32" t="s">
        <v>54</v>
      </c>
      <c r="F79" s="23" t="s">
        <v>158</v>
      </c>
      <c r="G79" s="47" t="str">
        <f t="shared" si="1"/>
        <v>Marcus</v>
      </c>
      <c r="H79" s="49" t="s">
        <v>224</v>
      </c>
      <c r="I79" s="49" t="s">
        <v>66</v>
      </c>
      <c r="J79" s="47" t="str">
        <f t="shared" si="5"/>
        <v>Sim</v>
      </c>
      <c r="K79" s="54">
        <v>45622.0</v>
      </c>
      <c r="L79" s="55">
        <v>45958.0</v>
      </c>
      <c r="M79" s="32" t="s">
        <v>61</v>
      </c>
      <c r="N79" s="56">
        <v>0.012</v>
      </c>
      <c r="O79" s="23" t="s">
        <v>66</v>
      </c>
      <c r="P79" s="57">
        <v>0.0</v>
      </c>
      <c r="Q79" s="58" t="s">
        <v>1327</v>
      </c>
      <c r="R79" s="58"/>
      <c r="S79" s="32" t="s">
        <v>194</v>
      </c>
      <c r="T79" s="32" t="s">
        <v>1328</v>
      </c>
      <c r="U79" s="32" t="s">
        <v>1329</v>
      </c>
      <c r="V79" s="32" t="s">
        <v>1330</v>
      </c>
      <c r="W79" s="55">
        <v>28361.0</v>
      </c>
      <c r="X79" s="23" t="s">
        <v>199</v>
      </c>
      <c r="Y79" s="60" t="str">
        <f t="shared" si="4"/>
        <v>Encerrado</v>
      </c>
      <c r="Z79" s="62"/>
      <c r="AA79" s="32" t="s">
        <v>47</v>
      </c>
      <c r="AB79" s="64"/>
      <c r="AC79" s="65"/>
      <c r="AD79" s="101">
        <v>45660.0</v>
      </c>
      <c r="AE79" s="69">
        <v>4.9075100016526E13</v>
      </c>
      <c r="AF79" s="65">
        <v>304650.08</v>
      </c>
      <c r="AG79" s="65">
        <v>293927.1216</v>
      </c>
      <c r="AH79" s="65">
        <v>296223.8554</v>
      </c>
      <c r="AI79" s="65">
        <v>286883.9912</v>
      </c>
      <c r="AJ79" s="65">
        <v>149582.82</v>
      </c>
      <c r="AK79" s="65">
        <v>149996.2</v>
      </c>
      <c r="AL79" s="65">
        <v>84950.35925</v>
      </c>
      <c r="AM79" s="65">
        <v>73047.89</v>
      </c>
      <c r="AN79" s="71">
        <v>73827.96625</v>
      </c>
      <c r="AO79" s="71">
        <v>72912.6485</v>
      </c>
      <c r="AP79" s="72">
        <v>50571.52</v>
      </c>
      <c r="AQ79" s="72">
        <v>0.0</v>
      </c>
      <c r="AR79" s="72">
        <v>0.0</v>
      </c>
      <c r="AS79" s="72">
        <v>0.0</v>
      </c>
      <c r="AT79" s="72">
        <v>0.0</v>
      </c>
      <c r="AU79" s="72">
        <v>13.47</v>
      </c>
      <c r="AV79" s="72">
        <v>0.0</v>
      </c>
      <c r="AW79" s="72">
        <v>0.0</v>
      </c>
      <c r="AX79" s="72">
        <v>0.0</v>
      </c>
      <c r="AY79" s="72">
        <v>0.0</v>
      </c>
      <c r="AZ79" s="65" t="str">
        <f t="array" ref="AZ79">XLOOKUP(C79,'PL TOTAL D0'!K:K,'PL TOTAL D0'!L:L,"")</f>
        <v/>
      </c>
    </row>
    <row r="80" ht="15.75" customHeight="1">
      <c r="A80" s="42" t="s">
        <v>98</v>
      </c>
      <c r="B80" s="43" t="s">
        <v>1332</v>
      </c>
      <c r="C80" s="32">
        <v>9851852.0</v>
      </c>
      <c r="D80" s="23" t="s">
        <v>249</v>
      </c>
      <c r="E80" s="32" t="s">
        <v>199</v>
      </c>
      <c r="F80" s="30" t="s">
        <v>251</v>
      </c>
      <c r="G80" s="47" t="str">
        <f t="shared" si="1"/>
        <v>Marcus</v>
      </c>
      <c r="H80" s="49" t="s">
        <v>183</v>
      </c>
      <c r="I80" s="49" t="s">
        <v>66</v>
      </c>
      <c r="J80" s="47" t="str">
        <f t="shared" si="5"/>
        <v>Sim</v>
      </c>
      <c r="K80" s="54">
        <v>45905.0</v>
      </c>
      <c r="L80" s="55"/>
      <c r="M80" s="32" t="s">
        <v>61</v>
      </c>
      <c r="N80" s="56">
        <v>0.012</v>
      </c>
      <c r="O80" s="23" t="s">
        <v>66</v>
      </c>
      <c r="P80" s="57">
        <v>0.0</v>
      </c>
      <c r="Q80" s="58" t="s">
        <v>1333</v>
      </c>
      <c r="R80" s="58"/>
      <c r="S80" s="32" t="s">
        <v>194</v>
      </c>
      <c r="T80" s="32" t="s">
        <v>1336</v>
      </c>
      <c r="U80" s="32" t="s">
        <v>1337</v>
      </c>
      <c r="V80" s="32" t="s">
        <v>1339</v>
      </c>
      <c r="W80" s="121">
        <v>32700.0</v>
      </c>
      <c r="X80" s="23" t="s">
        <v>199</v>
      </c>
      <c r="Y80" s="60" t="str">
        <f t="shared" si="4"/>
        <v>Ativo</v>
      </c>
      <c r="Z80" s="62"/>
      <c r="AA80" s="32" t="s">
        <v>47</v>
      </c>
      <c r="AB80" s="64"/>
      <c r="AC80" s="65"/>
      <c r="AD80" s="67">
        <v>45905.0</v>
      </c>
      <c r="AE80" s="148">
        <v>4.9075100019495E13</v>
      </c>
      <c r="AF80" s="65"/>
      <c r="AG80" s="65"/>
      <c r="AH80" s="65"/>
      <c r="AI80" s="65"/>
      <c r="AJ80" s="65"/>
      <c r="AK80" s="65"/>
      <c r="AL80" s="65"/>
      <c r="AM80" s="65"/>
      <c r="AN80" s="71">
        <v>41776.51</v>
      </c>
      <c r="AO80" s="71">
        <v>41776.51</v>
      </c>
      <c r="AP80" s="72">
        <v>947785.0146</v>
      </c>
      <c r="AQ80" s="72">
        <v>950177.4351</v>
      </c>
      <c r="AR80" s="72">
        <v>957653.7082</v>
      </c>
      <c r="AS80" s="72">
        <v>967428.14</v>
      </c>
      <c r="AT80" s="72">
        <v>976979.7653</v>
      </c>
      <c r="AU80" s="72">
        <v>985845.0484</v>
      </c>
      <c r="AV80" s="72">
        <v>998100.8326</v>
      </c>
      <c r="AW80" s="72">
        <v>1009166.45</v>
      </c>
      <c r="AX80" s="72">
        <v>1015135.944</v>
      </c>
      <c r="AY80" s="72">
        <v>1018286.561</v>
      </c>
      <c r="AZ80" s="65">
        <f t="array" ref="AZ80">XLOOKUP(C80,'PL TOTAL D0'!K:K,'PL TOTAL D0'!L:L,"")</f>
        <v>1215973.522</v>
      </c>
    </row>
    <row r="81" ht="15.75" customHeight="1">
      <c r="A81" s="42" t="s">
        <v>98</v>
      </c>
      <c r="B81" s="43" t="s">
        <v>1347</v>
      </c>
      <c r="C81" s="32">
        <v>3709188.0</v>
      </c>
      <c r="D81" s="23" t="s">
        <v>210</v>
      </c>
      <c r="E81" s="32" t="s">
        <v>199</v>
      </c>
      <c r="F81" s="23" t="s">
        <v>275</v>
      </c>
      <c r="G81" s="47" t="str">
        <f t="shared" si="1"/>
        <v>Gabriel</v>
      </c>
      <c r="H81" s="49" t="s">
        <v>183</v>
      </c>
      <c r="I81" s="49" t="s">
        <v>66</v>
      </c>
      <c r="J81" s="47" t="str">
        <f t="shared" si="5"/>
        <v>Não</v>
      </c>
      <c r="K81" s="54">
        <v>45744.0</v>
      </c>
      <c r="L81" s="55"/>
      <c r="M81" s="32" t="s">
        <v>1349</v>
      </c>
      <c r="N81" s="56">
        <v>0.012</v>
      </c>
      <c r="O81" s="23" t="s">
        <v>66</v>
      </c>
      <c r="P81" s="57">
        <v>0.0</v>
      </c>
      <c r="Q81" s="58"/>
      <c r="R81" s="58"/>
      <c r="S81" s="32" t="s">
        <v>194</v>
      </c>
      <c r="T81" s="32" t="s">
        <v>1350</v>
      </c>
      <c r="U81" s="32" t="s">
        <v>1351</v>
      </c>
      <c r="V81" s="32" t="s">
        <v>1352</v>
      </c>
      <c r="W81" s="55">
        <v>35263.0</v>
      </c>
      <c r="X81" s="23" t="s">
        <v>199</v>
      </c>
      <c r="Y81" s="60" t="str">
        <f t="shared" si="4"/>
        <v>Ativo</v>
      </c>
      <c r="Z81" s="62"/>
      <c r="AA81" s="32" t="s">
        <v>107</v>
      </c>
      <c r="AB81" s="64"/>
      <c r="AC81" s="65"/>
      <c r="AD81" s="101">
        <v>45744.0</v>
      </c>
      <c r="AE81" s="69">
        <v>4.9075100018464E13</v>
      </c>
      <c r="AF81" s="65"/>
      <c r="AG81" s="65"/>
      <c r="AH81" s="65"/>
      <c r="AI81" s="65"/>
      <c r="AJ81" s="65">
        <v>345947.8862</v>
      </c>
      <c r="AK81" s="65">
        <v>349448.4329</v>
      </c>
      <c r="AL81" s="65">
        <v>353180.1395</v>
      </c>
      <c r="AM81" s="65">
        <v>340782.1971</v>
      </c>
      <c r="AN81" s="71">
        <v>361973.7614</v>
      </c>
      <c r="AO81" s="71">
        <v>366101.7696</v>
      </c>
      <c r="AP81" s="72">
        <v>383916.1909</v>
      </c>
      <c r="AQ81" s="72">
        <v>388309.9661</v>
      </c>
      <c r="AR81" s="72">
        <v>378715.7071</v>
      </c>
      <c r="AS81" s="72">
        <v>381654.1444</v>
      </c>
      <c r="AT81" s="72">
        <v>342953.1923</v>
      </c>
      <c r="AU81" s="72">
        <v>345848.9276</v>
      </c>
      <c r="AV81" s="72">
        <v>346838.39</v>
      </c>
      <c r="AW81" s="72">
        <v>350297.86</v>
      </c>
      <c r="AX81" s="72">
        <v>350815.1121</v>
      </c>
      <c r="AY81" s="72">
        <v>352946.3342</v>
      </c>
      <c r="AZ81" s="65">
        <f t="array" ref="AZ81">XLOOKUP(C81,'PL TOTAL D0'!K:K,'PL TOTAL D0'!L:L,"")</f>
        <v>371516.3642</v>
      </c>
    </row>
    <row r="82" ht="15.75" customHeight="1">
      <c r="A82" s="42" t="s">
        <v>98</v>
      </c>
      <c r="B82" s="43" t="s">
        <v>1357</v>
      </c>
      <c r="C82" s="32">
        <v>1.880124E7</v>
      </c>
      <c r="D82" s="23" t="s">
        <v>1358</v>
      </c>
      <c r="E82" s="32" t="s">
        <v>199</v>
      </c>
      <c r="F82" s="23" t="s">
        <v>1359</v>
      </c>
      <c r="G82" s="47" t="str">
        <f t="shared" si="1"/>
        <v>Gabriel</v>
      </c>
      <c r="H82" s="49" t="s">
        <v>183</v>
      </c>
      <c r="I82" s="49" t="s">
        <v>66</v>
      </c>
      <c r="J82" s="47" t="str">
        <f t="shared" si="5"/>
        <v>Não</v>
      </c>
      <c r="K82" s="54">
        <v>45959.0</v>
      </c>
      <c r="L82" s="55"/>
      <c r="M82" s="32" t="s">
        <v>1360</v>
      </c>
      <c r="N82" s="56">
        <v>0.015</v>
      </c>
      <c r="O82" s="23" t="s">
        <v>1361</v>
      </c>
      <c r="P82" s="57">
        <v>0.1</v>
      </c>
      <c r="Q82" s="58"/>
      <c r="R82" s="58"/>
      <c r="S82" s="32" t="s">
        <v>194</v>
      </c>
      <c r="T82" s="32" t="s">
        <v>1364</v>
      </c>
      <c r="U82" s="32" t="s">
        <v>1365</v>
      </c>
      <c r="V82" s="32" t="s">
        <v>1366</v>
      </c>
      <c r="W82" s="55">
        <v>23131.0</v>
      </c>
      <c r="X82" s="23" t="s">
        <v>199</v>
      </c>
      <c r="Y82" s="60" t="str">
        <f t="shared" si="4"/>
        <v>Ativo</v>
      </c>
      <c r="Z82" s="62"/>
      <c r="AA82" s="32" t="s">
        <v>47</v>
      </c>
      <c r="AB82" s="64"/>
      <c r="AC82" s="65"/>
      <c r="AD82" s="139"/>
      <c r="AE82" s="69"/>
      <c r="AF82" s="65"/>
      <c r="AG82" s="65"/>
      <c r="AH82" s="65"/>
      <c r="AI82" s="65"/>
      <c r="AJ82" s="65"/>
      <c r="AK82" s="65"/>
      <c r="AL82" s="65"/>
      <c r="AM82" s="65"/>
      <c r="AN82" s="71"/>
      <c r="AO82" s="71"/>
      <c r="AP82" s="72"/>
      <c r="AQ82" s="72">
        <v>0.0</v>
      </c>
      <c r="AR82" s="72">
        <v>0.0</v>
      </c>
      <c r="AS82" s="72">
        <v>441040.08</v>
      </c>
      <c r="AT82" s="72">
        <v>448979.98</v>
      </c>
      <c r="AU82" s="72">
        <v>316121.02</v>
      </c>
      <c r="AV82" s="72">
        <v>310818.88</v>
      </c>
      <c r="AW82" s="72">
        <v>311311.92</v>
      </c>
      <c r="AX82" s="72">
        <v>310933.11</v>
      </c>
      <c r="AY82" s="72">
        <v>309317.7946</v>
      </c>
      <c r="AZ82" s="65">
        <f t="array" ref="AZ82">XLOOKUP(C82,'PL TOTAL D0'!K:K,'PL TOTAL D0'!L:L,"")</f>
        <v>373840.87</v>
      </c>
    </row>
    <row r="83" ht="15.75" customHeight="1">
      <c r="A83" s="225" t="s">
        <v>98</v>
      </c>
      <c r="B83" s="226" t="s">
        <v>1371</v>
      </c>
      <c r="C83" s="40" t="s">
        <v>1373</v>
      </c>
      <c r="D83" s="228" t="s">
        <v>249</v>
      </c>
      <c r="E83" s="229" t="s">
        <v>199</v>
      </c>
      <c r="F83" s="30" t="s">
        <v>251</v>
      </c>
      <c r="G83" s="47" t="str">
        <f t="shared" si="1"/>
        <v>Marcus</v>
      </c>
      <c r="H83" s="49" t="s">
        <v>183</v>
      </c>
      <c r="I83" s="49" t="s">
        <v>382</v>
      </c>
      <c r="J83" s="47" t="str">
        <f t="shared" si="5"/>
        <v>Não</v>
      </c>
      <c r="K83" s="54">
        <v>45958.0</v>
      </c>
      <c r="L83" s="55"/>
      <c r="M83" s="32" t="s">
        <v>34</v>
      </c>
      <c r="N83" s="56">
        <v>0.012</v>
      </c>
      <c r="O83" s="23" t="s">
        <v>35</v>
      </c>
      <c r="P83" s="57">
        <v>0.1</v>
      </c>
      <c r="Q83" s="58"/>
      <c r="R83" s="58"/>
      <c r="S83" s="32" t="s">
        <v>194</v>
      </c>
      <c r="T83" s="32" t="s">
        <v>1375</v>
      </c>
      <c r="U83" s="32" t="s">
        <v>1376</v>
      </c>
      <c r="V83" s="32" t="s">
        <v>1377</v>
      </c>
      <c r="W83" s="121">
        <v>29843.0</v>
      </c>
      <c r="X83" s="23" t="s">
        <v>199</v>
      </c>
      <c r="Y83" s="60" t="s">
        <v>183</v>
      </c>
      <c r="Z83" s="62"/>
      <c r="AA83" s="32" t="s">
        <v>47</v>
      </c>
      <c r="AB83" s="64"/>
      <c r="AC83" s="65"/>
      <c r="AD83" s="139"/>
      <c r="AE83" s="69"/>
      <c r="AF83" s="65"/>
      <c r="AG83" s="65"/>
      <c r="AH83" s="65"/>
      <c r="AI83" s="65"/>
      <c r="AJ83" s="65"/>
      <c r="AK83" s="65"/>
      <c r="AL83" s="65"/>
      <c r="AM83" s="65"/>
      <c r="AN83" s="71"/>
      <c r="AO83" s="71"/>
      <c r="AP83" s="72"/>
      <c r="AQ83" s="72">
        <v>0.0</v>
      </c>
      <c r="AR83" s="72">
        <v>0.0</v>
      </c>
      <c r="AS83" s="72">
        <v>0.0</v>
      </c>
      <c r="AT83" s="72">
        <v>0.0</v>
      </c>
      <c r="AU83" s="72">
        <v>0.0</v>
      </c>
      <c r="AV83" s="72">
        <v>0.0</v>
      </c>
      <c r="AW83" s="72">
        <v>0.0</v>
      </c>
      <c r="AX83" s="72">
        <v>0.0</v>
      </c>
      <c r="AY83" s="72">
        <v>0.0</v>
      </c>
      <c r="AZ83" s="65" t="str">
        <f t="array" ref="AZ83">XLOOKUP(C83,'PL TOTAL D0'!K:K,'PL TOTAL D0'!L:L,"")</f>
        <v/>
      </c>
    </row>
    <row r="84" ht="15.75" customHeight="1">
      <c r="A84" s="42" t="s">
        <v>98</v>
      </c>
      <c r="B84" s="43" t="s">
        <v>1379</v>
      </c>
      <c r="C84" s="32">
        <v>1.7159452E7</v>
      </c>
      <c r="D84" s="23" t="s">
        <v>249</v>
      </c>
      <c r="E84" s="32" t="s">
        <v>199</v>
      </c>
      <c r="F84" s="30" t="s">
        <v>251</v>
      </c>
      <c r="G84" s="47" t="str">
        <f t="shared" si="1"/>
        <v>Gabriel</v>
      </c>
      <c r="H84" s="49" t="s">
        <v>183</v>
      </c>
      <c r="I84" s="49" t="s">
        <v>66</v>
      </c>
      <c r="J84" s="47" t="str">
        <f t="shared" si="5"/>
        <v>Sim</v>
      </c>
      <c r="K84" s="54">
        <v>45756.0</v>
      </c>
      <c r="L84" s="55"/>
      <c r="M84" s="32" t="s">
        <v>390</v>
      </c>
      <c r="N84" s="56">
        <v>0.0</v>
      </c>
      <c r="O84" s="23" t="s">
        <v>66</v>
      </c>
      <c r="P84" s="57">
        <v>0.0</v>
      </c>
      <c r="Q84" s="58" t="s">
        <v>1383</v>
      </c>
      <c r="R84" s="58"/>
      <c r="S84" s="32" t="s">
        <v>194</v>
      </c>
      <c r="T84" s="32" t="s">
        <v>1384</v>
      </c>
      <c r="U84" s="32" t="s">
        <v>1385</v>
      </c>
      <c r="V84" s="32" t="s">
        <v>1386</v>
      </c>
      <c r="W84" s="55">
        <v>19522.0</v>
      </c>
      <c r="X84" s="23" t="s">
        <v>1387</v>
      </c>
      <c r="Y84" s="60" t="str">
        <f t="shared" ref="Y84:Y132" si="6">IFS(H:H="Encerrado","Encerrado",COUNTBLANK(AF84:AN84)&gt;0,"Ativo",SUM(AF84:AN84)=0,"Inativo",SUM(AF84:AN84)&gt;0,"Ativo")</f>
        <v>Ativo</v>
      </c>
      <c r="Z84" s="62"/>
      <c r="AA84" s="32" t="s">
        <v>107</v>
      </c>
      <c r="AB84" s="64"/>
      <c r="AC84" s="65"/>
      <c r="AD84" s="101">
        <v>45758.0</v>
      </c>
      <c r="AE84" s="69">
        <v>4.9075100018715E13</v>
      </c>
      <c r="AF84" s="65"/>
      <c r="AG84" s="65"/>
      <c r="AH84" s="65"/>
      <c r="AI84" s="65"/>
      <c r="AJ84" s="65"/>
      <c r="AK84" s="65">
        <v>221244.85</v>
      </c>
      <c r="AL84" s="65">
        <v>223262.38</v>
      </c>
      <c r="AM84" s="65">
        <v>225811.89</v>
      </c>
      <c r="AN84" s="71">
        <v>228755.99</v>
      </c>
      <c r="AO84" s="71">
        <v>231454.74</v>
      </c>
      <c r="AP84" s="72">
        <v>285476.89</v>
      </c>
      <c r="AQ84" s="72">
        <v>289026.38</v>
      </c>
      <c r="AR84" s="72">
        <v>289450.97</v>
      </c>
      <c r="AS84" s="72">
        <v>292985.09</v>
      </c>
      <c r="AT84" s="72">
        <v>296475.42</v>
      </c>
      <c r="AU84" s="72">
        <v>299282.96</v>
      </c>
      <c r="AV84" s="72">
        <v>302863.57</v>
      </c>
      <c r="AW84" s="72">
        <v>306062.83</v>
      </c>
      <c r="AX84" s="72">
        <v>306494.04</v>
      </c>
      <c r="AY84" s="72">
        <v>289816.59</v>
      </c>
      <c r="AZ84" s="65">
        <f t="array" ref="AZ84">XLOOKUP(C84,'PL TOTAL D0'!K:K,'PL TOTAL D0'!L:L,"")</f>
        <v>293255.15</v>
      </c>
    </row>
    <row r="85" ht="15.75" customHeight="1">
      <c r="A85" s="42" t="s">
        <v>98</v>
      </c>
      <c r="B85" s="43" t="s">
        <v>1390</v>
      </c>
      <c r="C85" s="32">
        <v>2679780.0</v>
      </c>
      <c r="D85" s="23" t="s">
        <v>142</v>
      </c>
      <c r="E85" s="32" t="s">
        <v>54</v>
      </c>
      <c r="F85" s="23" t="s">
        <v>158</v>
      </c>
      <c r="G85" s="47" t="str">
        <f t="shared" si="1"/>
        <v>Marcus</v>
      </c>
      <c r="H85" s="49" t="s">
        <v>183</v>
      </c>
      <c r="I85" s="49" t="s">
        <v>66</v>
      </c>
      <c r="J85" s="47" t="str">
        <f t="shared" si="5"/>
        <v>Sim</v>
      </c>
      <c r="K85" s="54">
        <v>45645.0</v>
      </c>
      <c r="L85" s="55"/>
      <c r="M85" s="32" t="s">
        <v>61</v>
      </c>
      <c r="N85" s="56">
        <v>0.01</v>
      </c>
      <c r="O85" s="23" t="s">
        <v>66</v>
      </c>
      <c r="P85" s="57">
        <v>0.0</v>
      </c>
      <c r="Q85" s="58" t="s">
        <v>1394</v>
      </c>
      <c r="R85" s="58"/>
      <c r="S85" s="32" t="s">
        <v>194</v>
      </c>
      <c r="T85" s="32" t="s">
        <v>1395</v>
      </c>
      <c r="U85" s="32" t="s">
        <v>1396</v>
      </c>
      <c r="V85" s="32" t="s">
        <v>1397</v>
      </c>
      <c r="W85" s="55">
        <v>20576.0</v>
      </c>
      <c r="X85" s="23" t="s">
        <v>54</v>
      </c>
      <c r="Y85" s="60" t="str">
        <f t="shared" si="6"/>
        <v>Ativo</v>
      </c>
      <c r="Z85" s="62"/>
      <c r="AA85" s="32" t="s">
        <v>47</v>
      </c>
      <c r="AB85" s="64"/>
      <c r="AC85" s="65"/>
      <c r="AD85" s="101">
        <v>45663.0</v>
      </c>
      <c r="AE85" s="69">
        <v>4.907510001655E13</v>
      </c>
      <c r="AF85" s="65"/>
      <c r="AG85" s="65">
        <v>2098555.9</v>
      </c>
      <c r="AH85" s="65">
        <v>2113065.631</v>
      </c>
      <c r="AI85" s="65">
        <v>2115494.728</v>
      </c>
      <c r="AJ85" s="65">
        <v>2098233.673</v>
      </c>
      <c r="AK85" s="65">
        <v>2077249.638</v>
      </c>
      <c r="AL85" s="65">
        <v>2094849.999</v>
      </c>
      <c r="AM85" s="65">
        <v>1810900.673</v>
      </c>
      <c r="AN85" s="71">
        <v>1510371.874</v>
      </c>
      <c r="AO85" s="71">
        <v>1525159.123</v>
      </c>
      <c r="AP85" s="72">
        <v>1540763.295</v>
      </c>
      <c r="AQ85" s="72">
        <v>1559999.204</v>
      </c>
      <c r="AR85" s="72">
        <v>1382722.013</v>
      </c>
      <c r="AS85" s="72">
        <v>973240.4162</v>
      </c>
      <c r="AT85" s="72">
        <v>982820.6493</v>
      </c>
      <c r="AU85" s="72">
        <v>987929.8832</v>
      </c>
      <c r="AV85" s="72">
        <v>1000755.463</v>
      </c>
      <c r="AW85" s="72">
        <v>1013055.44</v>
      </c>
      <c r="AX85" s="72">
        <v>1018235.733</v>
      </c>
      <c r="AY85" s="72">
        <v>1020641.588</v>
      </c>
      <c r="AZ85" s="65">
        <f t="array" ref="AZ85">XLOOKUP(C85,'PL TOTAL D0'!K:K,'PL TOTAL D0'!L:L,"")</f>
        <v>1023555.25</v>
      </c>
    </row>
    <row r="86" ht="15.75" customHeight="1">
      <c r="A86" s="42" t="s">
        <v>98</v>
      </c>
      <c r="B86" s="43" t="s">
        <v>1406</v>
      </c>
      <c r="C86" s="32">
        <v>1.5733167E7</v>
      </c>
      <c r="D86" s="23" t="s">
        <v>53</v>
      </c>
      <c r="E86" s="32" t="s">
        <v>54</v>
      </c>
      <c r="F86" s="23" t="s">
        <v>401</v>
      </c>
      <c r="G86" s="47" t="str">
        <f t="shared" si="1"/>
        <v>Marcus</v>
      </c>
      <c r="H86" s="49" t="s">
        <v>183</v>
      </c>
      <c r="I86" s="49" t="s">
        <v>66</v>
      </c>
      <c r="J86" s="47" t="str">
        <f t="shared" si="5"/>
        <v>Não</v>
      </c>
      <c r="K86" s="54">
        <v>45861.0</v>
      </c>
      <c r="L86" s="55"/>
      <c r="M86" s="32" t="s">
        <v>61</v>
      </c>
      <c r="N86" s="56">
        <v>0.012</v>
      </c>
      <c r="O86" s="23" t="s">
        <v>66</v>
      </c>
      <c r="P86" s="57">
        <v>0.0</v>
      </c>
      <c r="Q86" s="58"/>
      <c r="R86" s="58"/>
      <c r="S86" s="32" t="s">
        <v>194</v>
      </c>
      <c r="T86" s="177" t="s">
        <v>1408</v>
      </c>
      <c r="U86" s="177" t="s">
        <v>1410</v>
      </c>
      <c r="V86" s="177" t="s">
        <v>1411</v>
      </c>
      <c r="W86" s="232">
        <v>23081.0</v>
      </c>
      <c r="X86" s="23" t="s">
        <v>54</v>
      </c>
      <c r="Y86" s="60" t="str">
        <f t="shared" si="6"/>
        <v>Ativo</v>
      </c>
      <c r="Z86" s="62"/>
      <c r="AA86" s="32" t="s">
        <v>107</v>
      </c>
      <c r="AB86" s="64"/>
      <c r="AC86" s="65"/>
      <c r="AD86" s="67">
        <v>45861.0</v>
      </c>
      <c r="AE86" s="69">
        <v>4.9075100019061E13</v>
      </c>
      <c r="AF86" s="65"/>
      <c r="AG86" s="65"/>
      <c r="AH86" s="65"/>
      <c r="AI86" s="65"/>
      <c r="AJ86" s="65"/>
      <c r="AK86" s="65"/>
      <c r="AL86" s="65"/>
      <c r="AM86" s="65"/>
      <c r="AN86" s="71">
        <v>1123067.346</v>
      </c>
      <c r="AO86" s="71">
        <v>1134683.388</v>
      </c>
      <c r="AP86" s="72">
        <v>1146262.394</v>
      </c>
      <c r="AQ86" s="72">
        <v>1158822.358</v>
      </c>
      <c r="AR86" s="72">
        <v>1168488.887</v>
      </c>
      <c r="AS86" s="72">
        <v>1180839.36</v>
      </c>
      <c r="AT86" s="72">
        <v>1192280.88</v>
      </c>
      <c r="AU86" s="72">
        <v>1202349.215</v>
      </c>
      <c r="AV86" s="72">
        <v>1216264.02</v>
      </c>
      <c r="AW86" s="72">
        <v>1228933.67</v>
      </c>
      <c r="AX86" s="72">
        <v>1240096.95</v>
      </c>
      <c r="AY86" s="72">
        <v>1252478.64</v>
      </c>
      <c r="AZ86" s="65">
        <f t="array" ref="AZ86">XLOOKUP(C86,'PL TOTAL D0'!K:K,'PL TOTAL D0'!L:L,"")</f>
        <v>1266947.078</v>
      </c>
    </row>
    <row r="87" ht="15.75" customHeight="1">
      <c r="A87" s="42" t="s">
        <v>98</v>
      </c>
      <c r="B87" s="43" t="s">
        <v>1415</v>
      </c>
      <c r="C87" s="32">
        <v>2872613.0</v>
      </c>
      <c r="D87" s="23" t="s">
        <v>53</v>
      </c>
      <c r="E87" s="32" t="s">
        <v>54</v>
      </c>
      <c r="F87" s="23" t="s">
        <v>608</v>
      </c>
      <c r="G87" s="47" t="str">
        <f t="shared" si="1"/>
        <v>Marcus</v>
      </c>
      <c r="H87" s="49" t="s">
        <v>183</v>
      </c>
      <c r="I87" s="49" t="s">
        <v>66</v>
      </c>
      <c r="J87" s="47" t="str">
        <f t="shared" si="5"/>
        <v>Sim</v>
      </c>
      <c r="K87" s="54">
        <v>45805.0</v>
      </c>
      <c r="L87" s="55"/>
      <c r="M87" s="32" t="s">
        <v>61</v>
      </c>
      <c r="N87" s="56">
        <v>0.012</v>
      </c>
      <c r="O87" s="23" t="s">
        <v>66</v>
      </c>
      <c r="P87" s="57">
        <v>0.0</v>
      </c>
      <c r="Q87" s="126" t="s">
        <v>1417</v>
      </c>
      <c r="R87" s="58"/>
      <c r="S87" s="32" t="s">
        <v>194</v>
      </c>
      <c r="T87" s="32" t="s">
        <v>1418</v>
      </c>
      <c r="U87" s="32" t="s">
        <v>1419</v>
      </c>
      <c r="V87" s="32" t="s">
        <v>1420</v>
      </c>
      <c r="W87" s="121">
        <v>30662.0</v>
      </c>
      <c r="X87" s="23" t="s">
        <v>54</v>
      </c>
      <c r="Y87" s="60" t="str">
        <f t="shared" si="6"/>
        <v>Ativo</v>
      </c>
      <c r="Z87" s="62"/>
      <c r="AA87" s="32" t="s">
        <v>47</v>
      </c>
      <c r="AB87" s="64"/>
      <c r="AC87" s="65"/>
      <c r="AD87" s="67">
        <v>45805.0</v>
      </c>
      <c r="AE87" s="69">
        <v>4.9075100018871E13</v>
      </c>
      <c r="AF87" s="65"/>
      <c r="AG87" s="65"/>
      <c r="AH87" s="65"/>
      <c r="AI87" s="65"/>
      <c r="AJ87" s="65"/>
      <c r="AK87" s="65"/>
      <c r="AL87" s="65">
        <v>4527319.836</v>
      </c>
      <c r="AM87" s="65">
        <v>4432164.073</v>
      </c>
      <c r="AN87" s="71">
        <v>4521045.392</v>
      </c>
      <c r="AO87" s="71">
        <v>4462177.008</v>
      </c>
      <c r="AP87" s="72">
        <v>4506390.859</v>
      </c>
      <c r="AQ87" s="72">
        <v>4554137.385</v>
      </c>
      <c r="AR87" s="72">
        <v>4482883.123</v>
      </c>
      <c r="AS87" s="72">
        <v>4826386.639</v>
      </c>
      <c r="AT87" s="72">
        <v>6891090.411</v>
      </c>
      <c r="AU87" s="72">
        <v>6772090.092</v>
      </c>
      <c r="AV87" s="72">
        <v>6490272.077</v>
      </c>
      <c r="AW87" s="72">
        <v>6160752.94</v>
      </c>
      <c r="AX87" s="72">
        <v>6204358.648</v>
      </c>
      <c r="AY87" s="72">
        <v>6207642.27</v>
      </c>
      <c r="AZ87" s="65">
        <f t="array" ref="AZ87">XLOOKUP(C87,'PL TOTAL D0'!K:K,'PL TOTAL D0'!L:L,"")</f>
        <v>6117365.425</v>
      </c>
    </row>
    <row r="88" ht="15.75" customHeight="1">
      <c r="A88" s="42" t="s">
        <v>98</v>
      </c>
      <c r="B88" s="43" t="s">
        <v>1415</v>
      </c>
      <c r="C88" s="32">
        <v>1.7319807E7</v>
      </c>
      <c r="D88" s="23" t="s">
        <v>53</v>
      </c>
      <c r="E88" s="32" t="s">
        <v>54</v>
      </c>
      <c r="F88" s="23" t="s">
        <v>608</v>
      </c>
      <c r="G88" s="47" t="str">
        <f t="shared" si="1"/>
        <v>Gabriel</v>
      </c>
      <c r="H88" s="49" t="s">
        <v>183</v>
      </c>
      <c r="I88" s="49" t="s">
        <v>66</v>
      </c>
      <c r="J88" s="47" t="str">
        <f t="shared" si="5"/>
        <v>Não</v>
      </c>
      <c r="K88" s="54">
        <v>45826.0</v>
      </c>
      <c r="L88" s="55"/>
      <c r="M88" s="32" t="s">
        <v>231</v>
      </c>
      <c r="N88" s="56">
        <v>0.025</v>
      </c>
      <c r="O88" s="23" t="s">
        <v>233</v>
      </c>
      <c r="P88" s="57">
        <v>0.2</v>
      </c>
      <c r="Q88" s="70"/>
      <c r="R88" s="58"/>
      <c r="S88" s="32" t="s">
        <v>194</v>
      </c>
      <c r="T88" s="32" t="s">
        <v>1418</v>
      </c>
      <c r="U88" s="32" t="s">
        <v>1419</v>
      </c>
      <c r="V88" s="32" t="s">
        <v>1420</v>
      </c>
      <c r="W88" s="48">
        <v>30662.0</v>
      </c>
      <c r="X88" s="23" t="s">
        <v>54</v>
      </c>
      <c r="Y88" s="60" t="str">
        <f t="shared" si="6"/>
        <v>Ativo</v>
      </c>
      <c r="Z88" s="62"/>
      <c r="AA88" s="32" t="s">
        <v>47</v>
      </c>
      <c r="AB88" s="64"/>
      <c r="AC88" s="65"/>
      <c r="AD88" s="67">
        <v>45826.0</v>
      </c>
      <c r="AE88" s="69">
        <v>4.9075100019274E13</v>
      </c>
      <c r="AF88" s="65"/>
      <c r="AG88" s="65"/>
      <c r="AH88" s="65"/>
      <c r="AI88" s="65"/>
      <c r="AJ88" s="65"/>
      <c r="AK88" s="65"/>
      <c r="AL88" s="65"/>
      <c r="AM88" s="65">
        <v>112559.35</v>
      </c>
      <c r="AN88" s="71">
        <v>107238.18</v>
      </c>
      <c r="AO88" s="71">
        <v>111039.37</v>
      </c>
      <c r="AP88" s="72">
        <v>110115.37</v>
      </c>
      <c r="AQ88" s="72">
        <v>113843.3</v>
      </c>
      <c r="AR88" s="72">
        <v>119173.47</v>
      </c>
      <c r="AS88" s="72">
        <v>124618.0</v>
      </c>
      <c r="AT88" s="72">
        <v>301870.65</v>
      </c>
      <c r="AU88" s="72">
        <v>310299.13</v>
      </c>
      <c r="AV88" s="72">
        <v>308448.37</v>
      </c>
      <c r="AW88" s="72">
        <v>309756.49</v>
      </c>
      <c r="AX88" s="72">
        <v>291861.01</v>
      </c>
      <c r="AY88" s="72">
        <v>295750.13</v>
      </c>
      <c r="AZ88" s="65">
        <f t="array" ref="AZ88">XLOOKUP(C88,'PL TOTAL D0'!K:K,'PL TOTAL D0'!L:L,"")</f>
        <v>296964.86</v>
      </c>
    </row>
    <row r="89" ht="15.75" customHeight="1">
      <c r="A89" s="42" t="s">
        <v>98</v>
      </c>
      <c r="B89" s="43" t="s">
        <v>1428</v>
      </c>
      <c r="C89" s="32">
        <v>1.6286158E7</v>
      </c>
      <c r="D89" s="23" t="s">
        <v>53</v>
      </c>
      <c r="E89" s="32" t="s">
        <v>54</v>
      </c>
      <c r="F89" s="23" t="s">
        <v>401</v>
      </c>
      <c r="G89" s="47" t="str">
        <f t="shared" si="1"/>
        <v>Marcus</v>
      </c>
      <c r="H89" s="49" t="s">
        <v>183</v>
      </c>
      <c r="I89" s="49" t="s">
        <v>66</v>
      </c>
      <c r="J89" s="47" t="str">
        <f t="shared" si="5"/>
        <v>Não</v>
      </c>
      <c r="K89" s="54">
        <v>45817.0</v>
      </c>
      <c r="L89" s="55"/>
      <c r="M89" s="32" t="s">
        <v>61</v>
      </c>
      <c r="N89" s="56">
        <v>0.012</v>
      </c>
      <c r="O89" s="23" t="s">
        <v>66</v>
      </c>
      <c r="P89" s="57">
        <v>0.0</v>
      </c>
      <c r="Q89" s="70"/>
      <c r="R89" s="58"/>
      <c r="S89" s="32" t="s">
        <v>194</v>
      </c>
      <c r="T89" s="32" t="s">
        <v>1429</v>
      </c>
      <c r="U89" s="32" t="s">
        <v>1430</v>
      </c>
      <c r="V89" s="32" t="s">
        <v>1431</v>
      </c>
      <c r="W89" s="55">
        <v>25808.0</v>
      </c>
      <c r="X89" s="23" t="s">
        <v>54</v>
      </c>
      <c r="Y89" s="60" t="str">
        <f t="shared" si="6"/>
        <v>Ativo</v>
      </c>
      <c r="Z89" s="62"/>
      <c r="AA89" s="32" t="s">
        <v>107</v>
      </c>
      <c r="AB89" s="64"/>
      <c r="AC89" s="65"/>
      <c r="AD89" s="67">
        <v>45817.0</v>
      </c>
      <c r="AE89" s="69">
        <v>4.9075100019002E13</v>
      </c>
      <c r="AF89" s="65"/>
      <c r="AG89" s="65"/>
      <c r="AH89" s="65"/>
      <c r="AI89" s="65"/>
      <c r="AJ89" s="65"/>
      <c r="AK89" s="65"/>
      <c r="AL89" s="65"/>
      <c r="AM89" s="65">
        <v>844539.6483</v>
      </c>
      <c r="AN89" s="71">
        <v>854340.477</v>
      </c>
      <c r="AO89" s="71">
        <v>863237.8999</v>
      </c>
      <c r="AP89" s="72">
        <v>872878.3363</v>
      </c>
      <c r="AQ89" s="72">
        <v>882761.2432</v>
      </c>
      <c r="AR89" s="72">
        <v>890425.4144</v>
      </c>
      <c r="AS89" s="72">
        <v>900050.54</v>
      </c>
      <c r="AT89" s="72">
        <v>909636.29</v>
      </c>
      <c r="AU89" s="72">
        <v>917232.5295</v>
      </c>
      <c r="AV89" s="72">
        <v>926986.29</v>
      </c>
      <c r="AW89" s="72">
        <v>936520.25</v>
      </c>
      <c r="AX89" s="72">
        <v>945420.0403</v>
      </c>
      <c r="AY89" s="72">
        <v>955416.35</v>
      </c>
      <c r="AZ89" s="65">
        <f t="array" ref="AZ89">XLOOKUP(C89,'PL TOTAL D0'!K:K,'PL TOTAL D0'!L:L,"")</f>
        <v>964412.8238</v>
      </c>
    </row>
    <row r="90" ht="15.75" customHeight="1">
      <c r="A90" s="42" t="s">
        <v>98</v>
      </c>
      <c r="B90" s="43" t="s">
        <v>1433</v>
      </c>
      <c r="C90" s="32">
        <v>2037686.0</v>
      </c>
      <c r="D90" s="23" t="s">
        <v>120</v>
      </c>
      <c r="E90" s="32" t="s">
        <v>54</v>
      </c>
      <c r="F90" s="23" t="s">
        <v>125</v>
      </c>
      <c r="G90" s="47" t="str">
        <f t="shared" si="1"/>
        <v>Gabriel</v>
      </c>
      <c r="H90" s="49" t="s">
        <v>183</v>
      </c>
      <c r="I90" s="49" t="s">
        <v>66</v>
      </c>
      <c r="J90" s="47" t="str">
        <f t="shared" si="5"/>
        <v>Não</v>
      </c>
      <c r="K90" s="54">
        <v>45685.0</v>
      </c>
      <c r="L90" s="55"/>
      <c r="M90" s="32" t="s">
        <v>34</v>
      </c>
      <c r="N90" s="56">
        <v>0.01</v>
      </c>
      <c r="O90" s="23" t="s">
        <v>35</v>
      </c>
      <c r="P90" s="57">
        <v>0.1</v>
      </c>
      <c r="Q90" s="58"/>
      <c r="R90" s="58"/>
      <c r="S90" s="32" t="s">
        <v>194</v>
      </c>
      <c r="T90" s="32" t="s">
        <v>1434</v>
      </c>
      <c r="U90" s="32" t="s">
        <v>1435</v>
      </c>
      <c r="V90" s="32" t="s">
        <v>1436</v>
      </c>
      <c r="W90" s="55">
        <v>33816.0</v>
      </c>
      <c r="X90" s="23" t="s">
        <v>54</v>
      </c>
      <c r="Y90" s="60" t="str">
        <f t="shared" si="6"/>
        <v>Ativo</v>
      </c>
      <c r="Z90" s="62"/>
      <c r="AA90" s="32" t="s">
        <v>47</v>
      </c>
      <c r="AB90" s="64"/>
      <c r="AC90" s="65"/>
      <c r="AD90" s="101">
        <v>45685.0</v>
      </c>
      <c r="AE90" s="69">
        <v>4.9075100016501E13</v>
      </c>
      <c r="AF90" s="65"/>
      <c r="AG90" s="65"/>
      <c r="AH90" s="65">
        <v>302505.16</v>
      </c>
      <c r="AI90" s="65">
        <v>301019.8244</v>
      </c>
      <c r="AJ90" s="65">
        <v>306520.5426</v>
      </c>
      <c r="AK90" s="65">
        <v>299252.1884</v>
      </c>
      <c r="AL90" s="65">
        <v>305733.0436</v>
      </c>
      <c r="AM90" s="65">
        <v>310434.2765</v>
      </c>
      <c r="AN90" s="71">
        <v>310759.2293</v>
      </c>
      <c r="AO90" s="71">
        <v>316258.5026</v>
      </c>
      <c r="AP90" s="72">
        <v>319832.5297</v>
      </c>
      <c r="AQ90" s="72">
        <v>323881.9336</v>
      </c>
      <c r="AR90" s="72">
        <v>326177.3629</v>
      </c>
      <c r="AS90" s="72">
        <v>328035.9655</v>
      </c>
      <c r="AT90" s="72">
        <v>331917.967</v>
      </c>
      <c r="AU90" s="72">
        <v>334160.8931</v>
      </c>
      <c r="AV90" s="72">
        <v>335519.5287</v>
      </c>
      <c r="AW90" s="72">
        <v>337445.64</v>
      </c>
      <c r="AX90" s="72">
        <v>337364.3671</v>
      </c>
      <c r="AY90" s="72">
        <v>339124.9526</v>
      </c>
      <c r="AZ90" s="65">
        <f t="array" ref="AZ90">XLOOKUP(C90,'PL TOTAL D0'!K:K,'PL TOTAL D0'!L:L,"")</f>
        <v>341520.8585</v>
      </c>
    </row>
    <row r="91" ht="15.75" customHeight="1">
      <c r="A91" s="42" t="s">
        <v>98</v>
      </c>
      <c r="B91" s="43" t="s">
        <v>1442</v>
      </c>
      <c r="C91" s="32">
        <v>2146957.0</v>
      </c>
      <c r="D91" s="23" t="s">
        <v>210</v>
      </c>
      <c r="E91" s="32" t="s">
        <v>199</v>
      </c>
      <c r="F91" s="23" t="s">
        <v>275</v>
      </c>
      <c r="G91" s="47" t="str">
        <f t="shared" si="1"/>
        <v>Gabriel</v>
      </c>
      <c r="H91" s="49" t="s">
        <v>295</v>
      </c>
      <c r="I91" s="49" t="s">
        <v>447</v>
      </c>
      <c r="J91" s="47" t="str">
        <f t="shared" si="5"/>
        <v>Não</v>
      </c>
      <c r="K91" s="54">
        <v>45722.0</v>
      </c>
      <c r="L91" s="55"/>
      <c r="M91" s="32" t="s">
        <v>201</v>
      </c>
      <c r="N91" s="56">
        <v>0.0</v>
      </c>
      <c r="O91" s="23" t="s">
        <v>66</v>
      </c>
      <c r="P91" s="57">
        <v>0.0</v>
      </c>
      <c r="Q91" s="58"/>
      <c r="R91" s="58" t="s">
        <v>1444</v>
      </c>
      <c r="S91" s="32" t="s">
        <v>194</v>
      </c>
      <c r="T91" s="32" t="s">
        <v>1445</v>
      </c>
      <c r="U91" s="32" t="s">
        <v>1446</v>
      </c>
      <c r="V91" s="32" t="s">
        <v>1447</v>
      </c>
      <c r="W91" s="32" t="s">
        <v>1448</v>
      </c>
      <c r="X91" s="23" t="s">
        <v>199</v>
      </c>
      <c r="Y91" s="60" t="str">
        <f t="shared" si="6"/>
        <v>Ativo</v>
      </c>
      <c r="Z91" s="62"/>
      <c r="AA91" s="32" t="s">
        <v>107</v>
      </c>
      <c r="AB91" s="64"/>
      <c r="AC91" s="65"/>
      <c r="AD91" s="101">
        <v>45722.0</v>
      </c>
      <c r="AE91" s="69">
        <v>4.9075100018431E13</v>
      </c>
      <c r="AF91" s="65"/>
      <c r="AG91" s="65"/>
      <c r="AH91" s="65"/>
      <c r="AI91" s="65"/>
      <c r="AJ91" s="65">
        <v>1247472.84</v>
      </c>
      <c r="AK91" s="65">
        <v>1046161.786</v>
      </c>
      <c r="AL91" s="65">
        <v>1056032.037</v>
      </c>
      <c r="AM91" s="65">
        <v>1067974.394</v>
      </c>
      <c r="AN91" s="71">
        <v>349620.0002</v>
      </c>
      <c r="AO91" s="71">
        <v>353029.2762</v>
      </c>
      <c r="AP91" s="72">
        <v>348443.0862</v>
      </c>
      <c r="AQ91" s="72">
        <v>352560.8149</v>
      </c>
      <c r="AR91" s="72">
        <v>355063.4918</v>
      </c>
      <c r="AS91" s="72">
        <v>357112.64</v>
      </c>
      <c r="AT91" s="72">
        <v>241524.97</v>
      </c>
      <c r="AU91" s="72">
        <v>243363.14</v>
      </c>
      <c r="AV91" s="72">
        <v>244609.31</v>
      </c>
      <c r="AW91" s="72">
        <v>246613.32</v>
      </c>
      <c r="AX91" s="72">
        <v>248573.65</v>
      </c>
      <c r="AY91" s="72">
        <v>250673.35</v>
      </c>
      <c r="AZ91" s="65">
        <f t="array" ref="AZ91">XLOOKUP(C91,'PL TOTAL D0'!K:K,'PL TOTAL D0'!L:L,"")</f>
        <v>253111.9972</v>
      </c>
    </row>
    <row r="92" ht="15.75" customHeight="1">
      <c r="A92" s="42" t="s">
        <v>98</v>
      </c>
      <c r="B92" s="43" t="s">
        <v>1452</v>
      </c>
      <c r="C92" s="32">
        <v>4334650.0</v>
      </c>
      <c r="D92" s="23" t="s">
        <v>210</v>
      </c>
      <c r="E92" s="32" t="s">
        <v>199</v>
      </c>
      <c r="F92" s="23" t="s">
        <v>275</v>
      </c>
      <c r="G92" s="47" t="str">
        <f t="shared" si="1"/>
        <v>David</v>
      </c>
      <c r="H92" s="49" t="s">
        <v>183</v>
      </c>
      <c r="I92" s="49" t="s">
        <v>66</v>
      </c>
      <c r="J92" s="47" t="str">
        <f t="shared" si="5"/>
        <v>Não</v>
      </c>
      <c r="K92" s="54">
        <v>45709.0</v>
      </c>
      <c r="L92" s="55"/>
      <c r="M92" s="32" t="s">
        <v>61</v>
      </c>
      <c r="N92" s="56">
        <v>0.012</v>
      </c>
      <c r="O92" s="23" t="s">
        <v>66</v>
      </c>
      <c r="P92" s="57">
        <v>0.0</v>
      </c>
      <c r="Q92" s="58"/>
      <c r="R92" s="58"/>
      <c r="S92" s="32" t="s">
        <v>194</v>
      </c>
      <c r="T92" s="32" t="s">
        <v>1457</v>
      </c>
      <c r="U92" s="32" t="s">
        <v>1458</v>
      </c>
      <c r="V92" s="32" t="s">
        <v>1459</v>
      </c>
      <c r="W92" s="55">
        <v>28306.0</v>
      </c>
      <c r="X92" s="23" t="s">
        <v>199</v>
      </c>
      <c r="Y92" s="60" t="str">
        <f t="shared" si="6"/>
        <v>Ativo</v>
      </c>
      <c r="Z92" s="62"/>
      <c r="AA92" s="32" t="s">
        <v>107</v>
      </c>
      <c r="AB92" s="64"/>
      <c r="AC92" s="65"/>
      <c r="AD92" s="101">
        <v>45709.0</v>
      </c>
      <c r="AE92" s="69">
        <v>4.9075100018081E13</v>
      </c>
      <c r="AF92" s="65"/>
      <c r="AG92" s="65"/>
      <c r="AH92" s="65"/>
      <c r="AI92" s="65">
        <v>469243.2627</v>
      </c>
      <c r="AJ92" s="65">
        <v>302661.9451</v>
      </c>
      <c r="AK92" s="65">
        <v>811912.0479</v>
      </c>
      <c r="AL92" s="65">
        <v>820070.7214</v>
      </c>
      <c r="AM92" s="65">
        <v>742683.4615</v>
      </c>
      <c r="AN92" s="71">
        <v>113295.317</v>
      </c>
      <c r="AO92" s="71">
        <v>93593.42836</v>
      </c>
      <c r="AP92" s="72">
        <v>97392.73651</v>
      </c>
      <c r="AQ92" s="72">
        <v>98623.76521</v>
      </c>
      <c r="AR92" s="72">
        <v>99327.98515</v>
      </c>
      <c r="AS92" s="72">
        <v>97727.3351</v>
      </c>
      <c r="AT92" s="72">
        <v>87758.28107</v>
      </c>
      <c r="AU92" s="72">
        <v>46089.86051</v>
      </c>
      <c r="AV92" s="72">
        <v>46542.11</v>
      </c>
      <c r="AW92" s="72">
        <v>44516.15</v>
      </c>
      <c r="AX92" s="72">
        <v>44850.08032</v>
      </c>
      <c r="AY92" s="72">
        <v>45389.30037</v>
      </c>
      <c r="AZ92" s="65">
        <f t="array" ref="AZ92">XLOOKUP(C92,'PL TOTAL D0'!K:K,'PL TOTAL D0'!L:L,"")</f>
        <v>33614.2765</v>
      </c>
    </row>
    <row r="93" ht="15.75" customHeight="1">
      <c r="A93" s="42" t="s">
        <v>98</v>
      </c>
      <c r="B93" s="43" t="s">
        <v>1464</v>
      </c>
      <c r="C93" s="32">
        <v>9071920.0</v>
      </c>
      <c r="D93" s="23" t="s">
        <v>210</v>
      </c>
      <c r="E93" s="32" t="s">
        <v>199</v>
      </c>
      <c r="F93" s="23" t="s">
        <v>275</v>
      </c>
      <c r="G93" s="47" t="str">
        <f t="shared" si="1"/>
        <v>David</v>
      </c>
      <c r="H93" s="49" t="s">
        <v>183</v>
      </c>
      <c r="I93" s="49" t="s">
        <v>66</v>
      </c>
      <c r="J93" s="47" t="str">
        <f t="shared" si="5"/>
        <v>Não</v>
      </c>
      <c r="K93" s="54">
        <v>45716.0</v>
      </c>
      <c r="L93" s="55"/>
      <c r="M93" s="32" t="s">
        <v>61</v>
      </c>
      <c r="N93" s="56">
        <v>0.012</v>
      </c>
      <c r="O93" s="23" t="s">
        <v>66</v>
      </c>
      <c r="P93" s="57">
        <v>0.0</v>
      </c>
      <c r="Q93" s="58"/>
      <c r="R93" s="58"/>
      <c r="S93" s="32" t="s">
        <v>194</v>
      </c>
      <c r="T93" s="32" t="s">
        <v>1468</v>
      </c>
      <c r="U93" s="32" t="s">
        <v>1471</v>
      </c>
      <c r="V93" s="32" t="s">
        <v>1472</v>
      </c>
      <c r="W93" s="55">
        <v>30747.0</v>
      </c>
      <c r="X93" s="23" t="s">
        <v>199</v>
      </c>
      <c r="Y93" s="60" t="str">
        <f t="shared" si="6"/>
        <v>Ativo</v>
      </c>
      <c r="Z93" s="62"/>
      <c r="AA93" s="32" t="s">
        <v>107</v>
      </c>
      <c r="AB93" s="64"/>
      <c r="AC93" s="65"/>
      <c r="AD93" s="101">
        <v>45716.0</v>
      </c>
      <c r="AE93" s="69">
        <v>4.9075100018073E13</v>
      </c>
      <c r="AF93" s="65"/>
      <c r="AG93" s="65"/>
      <c r="AH93" s="65"/>
      <c r="AI93" s="65">
        <v>113362.8315</v>
      </c>
      <c r="AJ93" s="65">
        <v>19104.42</v>
      </c>
      <c r="AK93" s="65">
        <v>19165.87</v>
      </c>
      <c r="AL93" s="65">
        <v>19914.47875</v>
      </c>
      <c r="AM93" s="65">
        <v>20425.96538</v>
      </c>
      <c r="AN93" s="71">
        <v>20802.96805</v>
      </c>
      <c r="AO93" s="71">
        <v>21260.7727</v>
      </c>
      <c r="AP93" s="72">
        <v>21653.55</v>
      </c>
      <c r="AQ93" s="72">
        <v>22107.38</v>
      </c>
      <c r="AR93" s="72">
        <v>22063.33</v>
      </c>
      <c r="AS93" s="72">
        <v>22296.13</v>
      </c>
      <c r="AT93" s="72">
        <v>22530.94</v>
      </c>
      <c r="AU93" s="72">
        <v>22545.02</v>
      </c>
      <c r="AV93" s="72">
        <v>21654.95</v>
      </c>
      <c r="AW93" s="72">
        <v>17935.09</v>
      </c>
      <c r="AX93" s="72">
        <v>18607.9</v>
      </c>
      <c r="AY93" s="72">
        <v>18607.54</v>
      </c>
      <c r="AZ93" s="65">
        <f t="array" ref="AZ93">XLOOKUP(C93,'PL TOTAL D0'!K:K,'PL TOTAL D0'!L:L,"")</f>
        <v>18765.51601</v>
      </c>
    </row>
    <row r="94" ht="15.75" customHeight="1">
      <c r="A94" s="42" t="s">
        <v>98</v>
      </c>
      <c r="B94" s="43" t="s">
        <v>1479</v>
      </c>
      <c r="C94" s="32">
        <v>1.9620735E7</v>
      </c>
      <c r="D94" s="23" t="s">
        <v>27</v>
      </c>
      <c r="E94" s="32" t="s">
        <v>28</v>
      </c>
      <c r="F94" s="23" t="s">
        <v>29</v>
      </c>
      <c r="G94" s="47" t="str">
        <f t="shared" si="1"/>
        <v>David</v>
      </c>
      <c r="H94" s="49" t="s">
        <v>183</v>
      </c>
      <c r="I94" s="49" t="s">
        <v>66</v>
      </c>
      <c r="J94" s="47" t="str">
        <f t="shared" si="5"/>
        <v>Não</v>
      </c>
      <c r="K94" s="54">
        <v>46176.0</v>
      </c>
      <c r="L94" s="55"/>
      <c r="M94" s="32" t="s">
        <v>61</v>
      </c>
      <c r="N94" s="56">
        <v>0.012</v>
      </c>
      <c r="O94" s="23" t="s">
        <v>66</v>
      </c>
      <c r="P94" s="57">
        <v>0.0</v>
      </c>
      <c r="Q94" s="58"/>
      <c r="R94" s="58"/>
      <c r="S94" s="32" t="s">
        <v>194</v>
      </c>
      <c r="T94" s="32" t="s">
        <v>1483</v>
      </c>
      <c r="U94" s="32" t="s">
        <v>1484</v>
      </c>
      <c r="V94" s="32" t="s">
        <v>1485</v>
      </c>
      <c r="W94" s="55">
        <v>31541.0</v>
      </c>
      <c r="X94" s="23" t="s">
        <v>28</v>
      </c>
      <c r="Y94" s="60" t="str">
        <f t="shared" si="6"/>
        <v>Ativo</v>
      </c>
      <c r="Z94" s="62"/>
      <c r="AA94" s="32" t="s">
        <v>165</v>
      </c>
      <c r="AB94" s="64"/>
      <c r="AC94" s="65"/>
      <c r="AD94" s="101"/>
      <c r="AE94" s="69"/>
      <c r="AF94" s="65"/>
      <c r="AG94" s="65"/>
      <c r="AH94" s="65"/>
      <c r="AI94" s="65"/>
      <c r="AJ94" s="65"/>
      <c r="AK94" s="65"/>
      <c r="AL94" s="65"/>
      <c r="AM94" s="65"/>
      <c r="AN94" s="71"/>
      <c r="AO94" s="71"/>
      <c r="AP94" s="72"/>
      <c r="AQ94" s="72"/>
      <c r="AR94" s="72"/>
      <c r="AS94" s="72"/>
      <c r="AT94" s="72"/>
      <c r="AU94" s="72"/>
      <c r="AV94" s="72"/>
      <c r="AW94" s="72"/>
      <c r="AX94" s="72">
        <v>0.0</v>
      </c>
      <c r="AY94" s="72">
        <v>0.0</v>
      </c>
      <c r="AZ94" s="65">
        <f t="array" ref="AZ94">XLOOKUP(C94,'PL TOTAL D0'!K:K,'PL TOTAL D0'!L:L,"")</f>
        <v>0</v>
      </c>
    </row>
    <row r="95" ht="15.75" customHeight="1">
      <c r="A95" s="42" t="s">
        <v>98</v>
      </c>
      <c r="B95" s="43" t="s">
        <v>1486</v>
      </c>
      <c r="C95" s="32">
        <v>47176.0</v>
      </c>
      <c r="D95" s="23" t="s">
        <v>53</v>
      </c>
      <c r="E95" s="32" t="s">
        <v>54</v>
      </c>
      <c r="F95" s="23" t="s">
        <v>1488</v>
      </c>
      <c r="G95" s="47" t="str">
        <f t="shared" si="1"/>
        <v>Marcus</v>
      </c>
      <c r="H95" s="49" t="s">
        <v>183</v>
      </c>
      <c r="I95" s="49" t="s">
        <v>66</v>
      </c>
      <c r="J95" s="47" t="str">
        <f t="shared" si="5"/>
        <v>Não</v>
      </c>
      <c r="K95" s="54">
        <v>45905.0</v>
      </c>
      <c r="L95" s="55"/>
      <c r="M95" s="32" t="s">
        <v>716</v>
      </c>
      <c r="N95" s="56">
        <v>0.012</v>
      </c>
      <c r="O95" s="23" t="s">
        <v>66</v>
      </c>
      <c r="P95" s="57">
        <v>0.0</v>
      </c>
      <c r="Q95" s="58"/>
      <c r="R95" s="58"/>
      <c r="S95" s="32" t="s">
        <v>194</v>
      </c>
      <c r="T95" s="32" t="s">
        <v>1491</v>
      </c>
      <c r="U95" s="32" t="s">
        <v>1492</v>
      </c>
      <c r="V95" s="32" t="s">
        <v>1493</v>
      </c>
      <c r="W95" s="121">
        <v>24704.0</v>
      </c>
      <c r="X95" s="23" t="s">
        <v>54</v>
      </c>
      <c r="Y95" s="60" t="str">
        <f t="shared" si="6"/>
        <v>Ativo</v>
      </c>
      <c r="Z95" s="62"/>
      <c r="AA95" s="32" t="s">
        <v>47</v>
      </c>
      <c r="AB95" s="64"/>
      <c r="AC95" s="65"/>
      <c r="AD95" s="67">
        <v>45905.0</v>
      </c>
      <c r="AE95" s="69">
        <v>4.9075100019411E13</v>
      </c>
      <c r="AF95" s="65"/>
      <c r="AG95" s="65"/>
      <c r="AH95" s="65"/>
      <c r="AI95" s="65"/>
      <c r="AJ95" s="65"/>
      <c r="AK95" s="65"/>
      <c r="AL95" s="65"/>
      <c r="AM95" s="65"/>
      <c r="AN95" s="71">
        <v>1682016.0</v>
      </c>
      <c r="AO95" s="71">
        <v>1713666.371</v>
      </c>
      <c r="AP95" s="72">
        <v>1735819.355</v>
      </c>
      <c r="AQ95" s="72">
        <v>1698398.914</v>
      </c>
      <c r="AR95" s="72">
        <v>1387044.966</v>
      </c>
      <c r="AS95" s="72">
        <v>1395665.043</v>
      </c>
      <c r="AT95" s="72">
        <v>1405176.166</v>
      </c>
      <c r="AU95" s="72">
        <v>1413645.763</v>
      </c>
      <c r="AV95" s="72">
        <v>1407924.934</v>
      </c>
      <c r="AW95" s="72">
        <v>1418278.12</v>
      </c>
      <c r="AX95" s="72">
        <v>1427094.517</v>
      </c>
      <c r="AY95" s="72">
        <v>1435369.903</v>
      </c>
      <c r="AZ95" s="65">
        <f t="array" ref="AZ95">XLOOKUP(C95,'PL TOTAL D0'!K:K,'PL TOTAL D0'!L:L,"")</f>
        <v>1445073.48</v>
      </c>
    </row>
    <row r="96" ht="15.75" customHeight="1">
      <c r="A96" s="42" t="s">
        <v>98</v>
      </c>
      <c r="B96" s="43" t="s">
        <v>1501</v>
      </c>
      <c r="C96" s="32">
        <v>1.5463905E7</v>
      </c>
      <c r="D96" s="23" t="s">
        <v>210</v>
      </c>
      <c r="E96" s="32" t="s">
        <v>199</v>
      </c>
      <c r="F96" s="23" t="s">
        <v>275</v>
      </c>
      <c r="G96" s="47" t="str">
        <f t="shared" si="1"/>
        <v>David</v>
      </c>
      <c r="H96" s="49" t="s">
        <v>183</v>
      </c>
      <c r="I96" s="49" t="s">
        <v>66</v>
      </c>
      <c r="J96" s="47" t="str">
        <f t="shared" si="5"/>
        <v>Sim</v>
      </c>
      <c r="K96" s="54">
        <v>45706.0</v>
      </c>
      <c r="L96" s="55"/>
      <c r="M96" s="32" t="s">
        <v>61</v>
      </c>
      <c r="N96" s="56">
        <v>0.012</v>
      </c>
      <c r="O96" s="23" t="s">
        <v>66</v>
      </c>
      <c r="P96" s="57">
        <v>0.0</v>
      </c>
      <c r="Q96" s="58" t="s">
        <v>1503</v>
      </c>
      <c r="R96" s="58"/>
      <c r="S96" s="32" t="s">
        <v>194</v>
      </c>
      <c r="T96" s="32" t="s">
        <v>1504</v>
      </c>
      <c r="U96" s="32" t="s">
        <v>1505</v>
      </c>
      <c r="V96" s="32" t="s">
        <v>1506</v>
      </c>
      <c r="W96" s="55">
        <v>35082.0</v>
      </c>
      <c r="X96" s="23" t="s">
        <v>1507</v>
      </c>
      <c r="Y96" s="60" t="str">
        <f t="shared" si="6"/>
        <v>Ativo</v>
      </c>
      <c r="Z96" s="62"/>
      <c r="AA96" s="32" t="s">
        <v>107</v>
      </c>
      <c r="AB96" s="64"/>
      <c r="AC96" s="65"/>
      <c r="AD96" s="101">
        <v>45706.0</v>
      </c>
      <c r="AE96" s="69">
        <v>4.9075100018006E13</v>
      </c>
      <c r="AF96" s="65"/>
      <c r="AG96" s="65"/>
      <c r="AH96" s="65"/>
      <c r="AI96" s="65">
        <v>23038.38</v>
      </c>
      <c r="AJ96" s="65">
        <v>22966.84705</v>
      </c>
      <c r="AK96" s="65">
        <v>23202.67004</v>
      </c>
      <c r="AL96" s="65">
        <v>23393.53501</v>
      </c>
      <c r="AM96" s="65">
        <v>23619.65133</v>
      </c>
      <c r="AN96" s="71">
        <v>23885.6344</v>
      </c>
      <c r="AO96" s="71">
        <v>24181.00523</v>
      </c>
      <c r="AP96" s="72">
        <v>24422.80291</v>
      </c>
      <c r="AQ96" s="72">
        <v>24703.41619</v>
      </c>
      <c r="AR96" s="72">
        <v>24781.79006</v>
      </c>
      <c r="AS96" s="72">
        <v>25044.42</v>
      </c>
      <c r="AT96" s="72">
        <v>25302.03524</v>
      </c>
      <c r="AU96" s="72">
        <v>25524.00658</v>
      </c>
      <c r="AV96" s="72">
        <v>25688.55</v>
      </c>
      <c r="AW96" s="72">
        <v>25967.29</v>
      </c>
      <c r="AX96" s="72">
        <v>26091.04</v>
      </c>
      <c r="AY96" s="72">
        <v>26369.35</v>
      </c>
      <c r="AZ96" s="65">
        <f t="array" ref="AZ96">XLOOKUP(C96,'PL TOTAL D0'!K:K,'PL TOTAL D0'!L:L,"")</f>
        <v>26668.48837</v>
      </c>
    </row>
    <row r="97" ht="15.75" customHeight="1">
      <c r="A97" s="42" t="s">
        <v>98</v>
      </c>
      <c r="B97" s="43" t="s">
        <v>1508</v>
      </c>
      <c r="C97" s="32">
        <v>2427743.0</v>
      </c>
      <c r="D97" s="23" t="s">
        <v>210</v>
      </c>
      <c r="E97" s="32" t="s">
        <v>199</v>
      </c>
      <c r="F97" s="23" t="s">
        <v>275</v>
      </c>
      <c r="G97" s="47" t="str">
        <f t="shared" si="1"/>
        <v>Gabriel</v>
      </c>
      <c r="H97" s="49" t="s">
        <v>183</v>
      </c>
      <c r="I97" s="49" t="s">
        <v>66</v>
      </c>
      <c r="J97" s="47" t="str">
        <f t="shared" si="5"/>
        <v>Sim</v>
      </c>
      <c r="K97" s="54">
        <v>45708.0</v>
      </c>
      <c r="L97" s="55"/>
      <c r="M97" s="32" t="s">
        <v>61</v>
      </c>
      <c r="N97" s="56">
        <v>0.011</v>
      </c>
      <c r="O97" s="23" t="s">
        <v>66</v>
      </c>
      <c r="P97" s="57">
        <v>0.0</v>
      </c>
      <c r="Q97" s="58" t="s">
        <v>1511</v>
      </c>
      <c r="R97" s="58"/>
      <c r="S97" s="32" t="s">
        <v>194</v>
      </c>
      <c r="T97" s="32" t="s">
        <v>1512</v>
      </c>
      <c r="U97" s="32" t="s">
        <v>1513</v>
      </c>
      <c r="V97" s="32" t="s">
        <v>1514</v>
      </c>
      <c r="W97" s="55">
        <v>30125.0</v>
      </c>
      <c r="X97" s="23" t="s">
        <v>475</v>
      </c>
      <c r="Y97" s="60" t="str">
        <f t="shared" si="6"/>
        <v>Ativo</v>
      </c>
      <c r="Z97" s="62"/>
      <c r="AA97" s="32" t="s">
        <v>107</v>
      </c>
      <c r="AB97" s="64"/>
      <c r="AC97" s="65"/>
      <c r="AD97" s="101">
        <v>45708.0</v>
      </c>
      <c r="AE97" s="69">
        <v>4.9075100017956E13</v>
      </c>
      <c r="AF97" s="65"/>
      <c r="AG97" s="65"/>
      <c r="AH97" s="65"/>
      <c r="AI97" s="65">
        <v>404787.6474</v>
      </c>
      <c r="AJ97" s="65">
        <v>379042.0164</v>
      </c>
      <c r="AK97" s="65">
        <v>379847.6963</v>
      </c>
      <c r="AL97" s="65">
        <v>383758.3975</v>
      </c>
      <c r="AM97" s="65">
        <v>388355.9984</v>
      </c>
      <c r="AN97" s="71">
        <v>405743.4216</v>
      </c>
      <c r="AO97" s="71">
        <v>411115.0664</v>
      </c>
      <c r="AP97" s="72">
        <v>437028.7905</v>
      </c>
      <c r="AQ97" s="72">
        <v>441077.8063</v>
      </c>
      <c r="AR97" s="72">
        <v>422950.6218</v>
      </c>
      <c r="AS97" s="72">
        <v>425858.1032</v>
      </c>
      <c r="AT97" s="72">
        <v>475061.9144</v>
      </c>
      <c r="AU97" s="72">
        <v>453451.3259</v>
      </c>
      <c r="AV97" s="72">
        <v>455734.7</v>
      </c>
      <c r="AW97" s="72">
        <v>456443.16</v>
      </c>
      <c r="AX97" s="72">
        <v>454099.1727</v>
      </c>
      <c r="AY97" s="72">
        <v>451105.9532</v>
      </c>
      <c r="AZ97" s="65">
        <f t="array" ref="AZ97">XLOOKUP(C97,'PL TOTAL D0'!K:K,'PL TOTAL D0'!L:L,"")</f>
        <v>484350.2438</v>
      </c>
    </row>
    <row r="98" ht="15.75" customHeight="1">
      <c r="A98" s="42" t="s">
        <v>98</v>
      </c>
      <c r="B98" s="43" t="s">
        <v>1519</v>
      </c>
      <c r="C98" s="32">
        <v>4862996.0</v>
      </c>
      <c r="D98" s="23" t="s">
        <v>142</v>
      </c>
      <c r="E98" s="32" t="s">
        <v>54</v>
      </c>
      <c r="F98" s="23" t="s">
        <v>158</v>
      </c>
      <c r="G98" s="47" t="str">
        <f t="shared" si="1"/>
        <v>Marcus</v>
      </c>
      <c r="H98" s="49" t="s">
        <v>183</v>
      </c>
      <c r="I98" s="49" t="s">
        <v>66</v>
      </c>
      <c r="J98" s="47" t="str">
        <f t="shared" si="5"/>
        <v>Não</v>
      </c>
      <c r="K98" s="54">
        <v>45680.0</v>
      </c>
      <c r="L98" s="55"/>
      <c r="M98" s="32" t="s">
        <v>61</v>
      </c>
      <c r="N98" s="56">
        <v>0.01</v>
      </c>
      <c r="O98" s="23" t="s">
        <v>66</v>
      </c>
      <c r="P98" s="57">
        <v>0.0</v>
      </c>
      <c r="Q98" s="70"/>
      <c r="R98" s="58"/>
      <c r="S98" s="32" t="s">
        <v>194</v>
      </c>
      <c r="T98" s="32" t="s">
        <v>1521</v>
      </c>
      <c r="U98" s="32" t="s">
        <v>1522</v>
      </c>
      <c r="V98" s="32" t="s">
        <v>1523</v>
      </c>
      <c r="W98" s="55">
        <v>28999.0</v>
      </c>
      <c r="X98" s="23" t="s">
        <v>199</v>
      </c>
      <c r="Y98" s="60" t="str">
        <f t="shared" si="6"/>
        <v>Ativo</v>
      </c>
      <c r="Z98" s="62"/>
      <c r="AA98" s="32" t="s">
        <v>47</v>
      </c>
      <c r="AB98" s="64"/>
      <c r="AC98" s="65"/>
      <c r="AD98" s="101">
        <v>45680.0</v>
      </c>
      <c r="AE98" s="69">
        <v>4.9075100016453E13</v>
      </c>
      <c r="AF98" s="65"/>
      <c r="AG98" s="65"/>
      <c r="AH98" s="65">
        <v>1319148.941</v>
      </c>
      <c r="AI98" s="65">
        <v>1323669.022</v>
      </c>
      <c r="AJ98" s="65">
        <v>1307283.031</v>
      </c>
      <c r="AK98" s="65">
        <v>1317137.515</v>
      </c>
      <c r="AL98" s="65">
        <v>1346424.356</v>
      </c>
      <c r="AM98" s="65">
        <v>1362997.587</v>
      </c>
      <c r="AN98" s="71">
        <v>1382873.748</v>
      </c>
      <c r="AO98" s="71">
        <v>1402671.018</v>
      </c>
      <c r="AP98" s="72">
        <v>1426062.034</v>
      </c>
      <c r="AQ98" s="72">
        <v>1446567.392</v>
      </c>
      <c r="AR98" s="72">
        <v>1444716.15</v>
      </c>
      <c r="AS98" s="72">
        <v>1454168.467</v>
      </c>
      <c r="AT98" s="72">
        <v>1467028.649</v>
      </c>
      <c r="AU98" s="72">
        <v>1460146.265</v>
      </c>
      <c r="AV98" s="72">
        <v>1403628.954</v>
      </c>
      <c r="AW98" s="72">
        <v>1472822.62</v>
      </c>
      <c r="AX98" s="72">
        <v>1518910.263</v>
      </c>
      <c r="AY98" s="72">
        <v>1513462.642</v>
      </c>
      <c r="AZ98" s="65">
        <f t="array" ref="AZ98">XLOOKUP(C98,'PL TOTAL D0'!K:K,'PL TOTAL D0'!L:L,"")</f>
        <v>1512463.062</v>
      </c>
    </row>
    <row r="99" ht="15.75" customHeight="1">
      <c r="A99" s="42" t="s">
        <v>98</v>
      </c>
      <c r="B99" s="43" t="s">
        <v>1529</v>
      </c>
      <c r="C99" s="32">
        <v>4114582.0</v>
      </c>
      <c r="D99" s="23" t="s">
        <v>53</v>
      </c>
      <c r="E99" s="32" t="s">
        <v>54</v>
      </c>
      <c r="F99" s="23" t="s">
        <v>507</v>
      </c>
      <c r="G99" s="47" t="str">
        <f t="shared" si="1"/>
        <v>Gabriel</v>
      </c>
      <c r="H99" s="49" t="s">
        <v>183</v>
      </c>
      <c r="I99" s="49" t="s">
        <v>66</v>
      </c>
      <c r="J99" s="47" t="str">
        <f t="shared" si="5"/>
        <v>Sim</v>
      </c>
      <c r="K99" s="54">
        <v>45671.0</v>
      </c>
      <c r="L99" s="55"/>
      <c r="M99" s="32" t="s">
        <v>209</v>
      </c>
      <c r="N99" s="56">
        <v>0.015</v>
      </c>
      <c r="O99" s="23" t="s">
        <v>35</v>
      </c>
      <c r="P99" s="57">
        <v>0.1</v>
      </c>
      <c r="Q99" s="58" t="s">
        <v>1530</v>
      </c>
      <c r="R99" s="58" t="s">
        <v>1531</v>
      </c>
      <c r="S99" s="32" t="s">
        <v>194</v>
      </c>
      <c r="T99" s="32" t="s">
        <v>1532</v>
      </c>
      <c r="U99" s="32" t="s">
        <v>1533</v>
      </c>
      <c r="V99" s="32" t="s">
        <v>1534</v>
      </c>
      <c r="W99" s="55">
        <v>28921.0</v>
      </c>
      <c r="X99" s="23" t="s">
        <v>54</v>
      </c>
      <c r="Y99" s="60" t="str">
        <f t="shared" si="6"/>
        <v>Ativo</v>
      </c>
      <c r="Z99" s="62"/>
      <c r="AA99" s="32" t="s">
        <v>47</v>
      </c>
      <c r="AB99" s="64"/>
      <c r="AC99" s="65"/>
      <c r="AD99" s="101">
        <v>45671.0</v>
      </c>
      <c r="AE99" s="69">
        <v>4.9075100016488E13</v>
      </c>
      <c r="AF99" s="65"/>
      <c r="AG99" s="65"/>
      <c r="AH99" s="65">
        <v>201474.1013</v>
      </c>
      <c r="AI99" s="65">
        <v>202720.1335</v>
      </c>
      <c r="AJ99" s="65">
        <v>205008.4204</v>
      </c>
      <c r="AK99" s="65">
        <v>207053.7897</v>
      </c>
      <c r="AL99" s="65">
        <v>208560.1303</v>
      </c>
      <c r="AM99" s="65">
        <v>210440.0033</v>
      </c>
      <c r="AN99" s="71">
        <v>211860.5908</v>
      </c>
      <c r="AO99" s="71">
        <v>213519.4178</v>
      </c>
      <c r="AP99" s="72">
        <v>215621.8373</v>
      </c>
      <c r="AQ99" s="72">
        <v>218050.8392</v>
      </c>
      <c r="AR99" s="72">
        <v>219577.7851</v>
      </c>
      <c r="AS99" s="72">
        <v>221873.0818</v>
      </c>
      <c r="AT99" s="72">
        <v>270934.5041</v>
      </c>
      <c r="AU99" s="72">
        <v>272987.4524</v>
      </c>
      <c r="AV99" s="72">
        <v>292190.225</v>
      </c>
      <c r="AW99" s="72">
        <v>294828.63</v>
      </c>
      <c r="AX99" s="72">
        <v>290032.0258</v>
      </c>
      <c r="AY99" s="72">
        <v>292864.1842</v>
      </c>
      <c r="AZ99" s="65">
        <f t="array" ref="AZ99">XLOOKUP(C99,'PL TOTAL D0'!K:K,'PL TOTAL D0'!L:L,"")</f>
        <v>295112.1625</v>
      </c>
    </row>
    <row r="100" ht="15.75" customHeight="1">
      <c r="A100" s="42" t="s">
        <v>98</v>
      </c>
      <c r="B100" s="43" t="s">
        <v>1539</v>
      </c>
      <c r="C100" s="32">
        <v>2182451.0</v>
      </c>
      <c r="D100" s="23" t="s">
        <v>249</v>
      </c>
      <c r="E100" s="32" t="s">
        <v>199</v>
      </c>
      <c r="F100" s="30" t="s">
        <v>251</v>
      </c>
      <c r="G100" s="47" t="str">
        <f t="shared" si="1"/>
        <v>David</v>
      </c>
      <c r="H100" s="49" t="s">
        <v>295</v>
      </c>
      <c r="I100" s="49" t="s">
        <v>694</v>
      </c>
      <c r="J100" s="47" t="str">
        <f t="shared" si="5"/>
        <v>Não</v>
      </c>
      <c r="K100" s="54">
        <v>45870.0</v>
      </c>
      <c r="L100" s="55"/>
      <c r="M100" s="32" t="s">
        <v>390</v>
      </c>
      <c r="N100" s="56">
        <v>0.005</v>
      </c>
      <c r="O100" s="23" t="s">
        <v>66</v>
      </c>
      <c r="P100" s="57">
        <v>0.0</v>
      </c>
      <c r="Q100" s="58"/>
      <c r="R100" s="58"/>
      <c r="S100" s="32" t="s">
        <v>194</v>
      </c>
      <c r="T100" s="32" t="s">
        <v>1544</v>
      </c>
      <c r="U100" s="32" t="s">
        <v>1545</v>
      </c>
      <c r="V100" s="32" t="s">
        <v>1547</v>
      </c>
      <c r="W100" s="55">
        <v>33716.0</v>
      </c>
      <c r="X100" s="23" t="s">
        <v>475</v>
      </c>
      <c r="Y100" s="60" t="str">
        <f t="shared" si="6"/>
        <v>Ativo</v>
      </c>
      <c r="Z100" s="62"/>
      <c r="AA100" s="32" t="s">
        <v>47</v>
      </c>
      <c r="AB100" s="64"/>
      <c r="AC100" s="65"/>
      <c r="AD100" s="101">
        <v>45943.0</v>
      </c>
      <c r="AE100" s="148">
        <v>4.9075100019606E13</v>
      </c>
      <c r="AF100" s="65"/>
      <c r="AG100" s="65"/>
      <c r="AH100" s="65"/>
      <c r="AI100" s="65"/>
      <c r="AJ100" s="65"/>
      <c r="AK100" s="65"/>
      <c r="AL100" s="65"/>
      <c r="AM100" s="65"/>
      <c r="AN100" s="71">
        <v>0.0</v>
      </c>
      <c r="AO100" s="71">
        <v>0.0</v>
      </c>
      <c r="AP100" s="72">
        <v>0.0</v>
      </c>
      <c r="AQ100" s="72">
        <v>134212.45</v>
      </c>
      <c r="AR100" s="72">
        <v>197786.39</v>
      </c>
      <c r="AS100" s="72">
        <v>200113.34</v>
      </c>
      <c r="AT100" s="72">
        <v>202370.93</v>
      </c>
      <c r="AU100" s="72">
        <v>204283.15</v>
      </c>
      <c r="AV100" s="72">
        <v>206703.38</v>
      </c>
      <c r="AW100" s="72">
        <v>208819.41</v>
      </c>
      <c r="AX100" s="72">
        <v>208926.35</v>
      </c>
      <c r="AY100" s="72">
        <v>211192.44</v>
      </c>
      <c r="AZ100" s="65">
        <f t="array" ref="AZ100">XLOOKUP(C100,'PL TOTAL D0'!K:K,'PL TOTAL D0'!L:L,"")</f>
        <v>213794.47</v>
      </c>
    </row>
    <row r="101" ht="15.75" customHeight="1">
      <c r="A101" s="42" t="s">
        <v>98</v>
      </c>
      <c r="B101" s="43" t="s">
        <v>1549</v>
      </c>
      <c r="C101" s="32">
        <v>1.5218743E7</v>
      </c>
      <c r="D101" s="23" t="s">
        <v>249</v>
      </c>
      <c r="E101" s="32" t="s">
        <v>199</v>
      </c>
      <c r="F101" s="30" t="s">
        <v>251</v>
      </c>
      <c r="G101" s="47" t="str">
        <f t="shared" si="1"/>
        <v>David</v>
      </c>
      <c r="H101" s="49" t="s">
        <v>183</v>
      </c>
      <c r="I101" s="49" t="s">
        <v>66</v>
      </c>
      <c r="J101" s="47" t="str">
        <f t="shared" si="5"/>
        <v>Não</v>
      </c>
      <c r="K101" s="54">
        <v>45740.0</v>
      </c>
      <c r="L101" s="55"/>
      <c r="M101" s="32" t="s">
        <v>390</v>
      </c>
      <c r="N101" s="56">
        <v>0.0</v>
      </c>
      <c r="O101" s="23" t="s">
        <v>66</v>
      </c>
      <c r="P101" s="57">
        <v>0.0</v>
      </c>
      <c r="Q101" s="58"/>
      <c r="R101" s="58"/>
      <c r="S101" s="32" t="s">
        <v>194</v>
      </c>
      <c r="T101" s="32" t="s">
        <v>1553</v>
      </c>
      <c r="U101" s="32" t="s">
        <v>1554</v>
      </c>
      <c r="V101" s="32" t="s">
        <v>1556</v>
      </c>
      <c r="W101" s="55">
        <v>31875.0</v>
      </c>
      <c r="X101" s="23" t="s">
        <v>199</v>
      </c>
      <c r="Y101" s="60" t="str">
        <f t="shared" si="6"/>
        <v>Ativo</v>
      </c>
      <c r="Z101" s="62"/>
      <c r="AA101" s="32" t="s">
        <v>47</v>
      </c>
      <c r="AB101" s="64"/>
      <c r="AC101" s="65"/>
      <c r="AD101" s="139"/>
      <c r="AE101" s="69"/>
      <c r="AF101" s="65"/>
      <c r="AG101" s="65"/>
      <c r="AH101" s="65"/>
      <c r="AI101" s="65"/>
      <c r="AJ101" s="65">
        <v>0.0</v>
      </c>
      <c r="AK101" s="65">
        <v>0.0</v>
      </c>
      <c r="AL101" s="65">
        <v>0.0</v>
      </c>
      <c r="AM101" s="65">
        <v>0.0</v>
      </c>
      <c r="AN101" s="71">
        <v>0.0</v>
      </c>
      <c r="AO101" s="71">
        <v>0.0</v>
      </c>
      <c r="AP101" s="72">
        <v>0.0</v>
      </c>
      <c r="AQ101" s="72">
        <v>0.0</v>
      </c>
      <c r="AR101" s="72">
        <v>0.0</v>
      </c>
      <c r="AS101" s="72">
        <v>0.0</v>
      </c>
      <c r="AT101" s="72">
        <v>0.0</v>
      </c>
      <c r="AU101" s="72">
        <v>0.0</v>
      </c>
      <c r="AV101" s="72">
        <v>0.0</v>
      </c>
      <c r="AW101" s="72">
        <v>0.0</v>
      </c>
      <c r="AX101" s="72">
        <v>0.0</v>
      </c>
      <c r="AY101" s="72">
        <v>0.0</v>
      </c>
      <c r="AZ101" s="65">
        <f t="array" ref="AZ101">XLOOKUP(C101,'PL TOTAL D0'!K:K,'PL TOTAL D0'!L:L,"")</f>
        <v>0</v>
      </c>
    </row>
    <row r="102" ht="15.75" customHeight="1">
      <c r="A102" s="42" t="s">
        <v>98</v>
      </c>
      <c r="B102" s="43" t="s">
        <v>1566</v>
      </c>
      <c r="C102" s="32">
        <v>1.7006336E7</v>
      </c>
      <c r="D102" s="23" t="s">
        <v>120</v>
      </c>
      <c r="E102" s="32" t="s">
        <v>199</v>
      </c>
      <c r="F102" s="23" t="s">
        <v>1567</v>
      </c>
      <c r="G102" s="47" t="str">
        <f t="shared" si="1"/>
        <v>David</v>
      </c>
      <c r="H102" s="49" t="s">
        <v>295</v>
      </c>
      <c r="I102" s="49" t="s">
        <v>382</v>
      </c>
      <c r="J102" s="47" t="str">
        <f t="shared" si="5"/>
        <v>Não</v>
      </c>
      <c r="K102" s="54">
        <v>45639.0</v>
      </c>
      <c r="L102" s="55"/>
      <c r="M102" s="32" t="s">
        <v>390</v>
      </c>
      <c r="N102" s="56">
        <v>0.0</v>
      </c>
      <c r="O102" s="23" t="s">
        <v>66</v>
      </c>
      <c r="P102" s="57">
        <v>0.0</v>
      </c>
      <c r="Q102" s="70"/>
      <c r="R102" s="58"/>
      <c r="S102" s="32" t="s">
        <v>194</v>
      </c>
      <c r="T102" s="32" t="s">
        <v>1569</v>
      </c>
      <c r="U102" s="32"/>
      <c r="V102" s="32"/>
      <c r="W102" s="32"/>
      <c r="X102" s="23" t="s">
        <v>199</v>
      </c>
      <c r="Y102" s="60" t="str">
        <f t="shared" si="6"/>
        <v>Ativo</v>
      </c>
      <c r="Z102" s="62"/>
      <c r="AA102" s="32" t="s">
        <v>107</v>
      </c>
      <c r="AB102" s="64"/>
      <c r="AC102" s="65"/>
      <c r="AD102" s="139"/>
      <c r="AE102" s="69"/>
      <c r="AF102" s="65"/>
      <c r="AG102" s="65">
        <v>0.0</v>
      </c>
      <c r="AH102" s="65">
        <v>0.0</v>
      </c>
      <c r="AI102" s="65">
        <v>0.0</v>
      </c>
      <c r="AJ102" s="65">
        <v>0.0</v>
      </c>
      <c r="AK102" s="65">
        <v>0.0</v>
      </c>
      <c r="AL102" s="65">
        <v>0.0</v>
      </c>
      <c r="AM102" s="65">
        <v>0.0</v>
      </c>
      <c r="AN102" s="71">
        <v>0.0</v>
      </c>
      <c r="AO102" s="71">
        <v>0.0</v>
      </c>
      <c r="AP102" s="72">
        <v>0.0</v>
      </c>
      <c r="AQ102" s="72">
        <v>0.0</v>
      </c>
      <c r="AR102" s="72">
        <v>0.0</v>
      </c>
      <c r="AS102" s="72">
        <v>0.0</v>
      </c>
      <c r="AT102" s="72">
        <v>0.0</v>
      </c>
      <c r="AU102" s="72">
        <v>0.0</v>
      </c>
      <c r="AV102" s="72">
        <v>0.0</v>
      </c>
      <c r="AW102" s="72">
        <v>0.0</v>
      </c>
      <c r="AX102" s="72">
        <v>0.0</v>
      </c>
      <c r="AY102" s="72">
        <v>0.0</v>
      </c>
      <c r="AZ102" s="65">
        <f t="array" ref="AZ102">XLOOKUP(C102,'PL TOTAL D0'!K:K,'PL TOTAL D0'!L:L,"")</f>
        <v>0</v>
      </c>
    </row>
    <row r="103" ht="15.75" customHeight="1">
      <c r="A103" s="42" t="s">
        <v>98</v>
      </c>
      <c r="B103" s="43" t="s">
        <v>1577</v>
      </c>
      <c r="C103" s="32">
        <v>4329986.0</v>
      </c>
      <c r="D103" s="23" t="s">
        <v>53</v>
      </c>
      <c r="E103" s="32" t="s">
        <v>54</v>
      </c>
      <c r="F103" s="23" t="s">
        <v>507</v>
      </c>
      <c r="G103" s="47" t="str">
        <f t="shared" si="1"/>
        <v>David</v>
      </c>
      <c r="H103" s="49" t="s">
        <v>183</v>
      </c>
      <c r="I103" s="49" t="s">
        <v>66</v>
      </c>
      <c r="J103" s="47" t="str">
        <f t="shared" si="5"/>
        <v>Não</v>
      </c>
      <c r="K103" s="54">
        <v>45896.0</v>
      </c>
      <c r="L103" s="55"/>
      <c r="M103" s="32" t="s">
        <v>61</v>
      </c>
      <c r="N103" s="56">
        <v>0.012</v>
      </c>
      <c r="O103" s="23" t="s">
        <v>66</v>
      </c>
      <c r="P103" s="57">
        <v>0.0</v>
      </c>
      <c r="Q103" s="58"/>
      <c r="R103" s="58"/>
      <c r="S103" s="32" t="s">
        <v>194</v>
      </c>
      <c r="T103" s="32" t="s">
        <v>1583</v>
      </c>
      <c r="U103" s="32" t="s">
        <v>1584</v>
      </c>
      <c r="V103" s="32" t="s">
        <v>1585</v>
      </c>
      <c r="W103" s="55">
        <v>27990.0</v>
      </c>
      <c r="X103" s="23" t="s">
        <v>1586</v>
      </c>
      <c r="Y103" s="60" t="str">
        <f t="shared" si="6"/>
        <v>Ativo</v>
      </c>
      <c r="Z103" s="62"/>
      <c r="AA103" s="32" t="s">
        <v>47</v>
      </c>
      <c r="AB103" s="64"/>
      <c r="AC103" s="65"/>
      <c r="AD103" s="67">
        <v>45896.0</v>
      </c>
      <c r="AE103" s="69">
        <v>4.9075100019282E13</v>
      </c>
      <c r="AF103" s="65"/>
      <c r="AG103" s="65"/>
      <c r="AH103" s="65"/>
      <c r="AI103" s="65"/>
      <c r="AJ103" s="65"/>
      <c r="AK103" s="65"/>
      <c r="AL103" s="65"/>
      <c r="AM103" s="65"/>
      <c r="AN103" s="71">
        <v>73797.02386</v>
      </c>
      <c r="AO103" s="71">
        <v>75031.37756</v>
      </c>
      <c r="AP103" s="72">
        <v>191750.9083</v>
      </c>
      <c r="AQ103" s="72">
        <v>196195.366</v>
      </c>
      <c r="AR103" s="72">
        <v>197824.8507</v>
      </c>
      <c r="AS103" s="72">
        <v>200236.4923</v>
      </c>
      <c r="AT103" s="72">
        <v>199840.9123</v>
      </c>
      <c r="AU103" s="72">
        <v>180208.9612</v>
      </c>
      <c r="AV103" s="72">
        <v>182449.3347</v>
      </c>
      <c r="AW103" s="72">
        <v>184587.84</v>
      </c>
      <c r="AX103" s="72">
        <v>185763.1086</v>
      </c>
      <c r="AY103" s="72">
        <v>187866.3017</v>
      </c>
      <c r="AZ103" s="65">
        <f t="array" ref="AZ103">XLOOKUP(C103,'PL TOTAL D0'!K:K,'PL TOTAL D0'!L:L,"")</f>
        <v>190049.3768</v>
      </c>
    </row>
    <row r="104" ht="15.75" customHeight="1">
      <c r="A104" s="42" t="s">
        <v>98</v>
      </c>
      <c r="B104" s="43" t="s">
        <v>1592</v>
      </c>
      <c r="C104" s="32">
        <v>2569205.0</v>
      </c>
      <c r="D104" s="23" t="s">
        <v>210</v>
      </c>
      <c r="E104" s="32" t="s">
        <v>199</v>
      </c>
      <c r="F104" s="23" t="s">
        <v>275</v>
      </c>
      <c r="G104" s="47" t="str">
        <f t="shared" si="1"/>
        <v>David</v>
      </c>
      <c r="H104" s="49" t="s">
        <v>183</v>
      </c>
      <c r="I104" s="49" t="s">
        <v>66</v>
      </c>
      <c r="J104" s="47" t="str">
        <f t="shared" si="5"/>
        <v>Sim</v>
      </c>
      <c r="K104" s="54">
        <v>45716.0</v>
      </c>
      <c r="L104" s="55"/>
      <c r="M104" s="32" t="s">
        <v>61</v>
      </c>
      <c r="N104" s="56">
        <v>0.012</v>
      </c>
      <c r="O104" s="23" t="s">
        <v>66</v>
      </c>
      <c r="P104" s="57">
        <v>0.0</v>
      </c>
      <c r="Q104" s="58" t="s">
        <v>314</v>
      </c>
      <c r="R104" s="58"/>
      <c r="S104" s="32" t="s">
        <v>194</v>
      </c>
      <c r="T104" s="32" t="s">
        <v>1600</v>
      </c>
      <c r="U104" s="32" t="s">
        <v>1602</v>
      </c>
      <c r="V104" s="32" t="s">
        <v>1603</v>
      </c>
      <c r="W104" s="55">
        <v>27600.0</v>
      </c>
      <c r="X104" s="23" t="s">
        <v>199</v>
      </c>
      <c r="Y104" s="60" t="str">
        <f t="shared" si="6"/>
        <v>Ativo</v>
      </c>
      <c r="Z104" s="62"/>
      <c r="AA104" s="32" t="s">
        <v>107</v>
      </c>
      <c r="AB104" s="64"/>
      <c r="AC104" s="65"/>
      <c r="AD104" s="101">
        <v>45716.0</v>
      </c>
      <c r="AE104" s="69">
        <v>4.9075100017816E13</v>
      </c>
      <c r="AF104" s="65"/>
      <c r="AG104" s="65"/>
      <c r="AH104" s="65"/>
      <c r="AI104" s="65">
        <v>374009.4821</v>
      </c>
      <c r="AJ104" s="65">
        <v>364114.5595</v>
      </c>
      <c r="AK104" s="65">
        <v>362475.9798</v>
      </c>
      <c r="AL104" s="65">
        <v>366115.2928</v>
      </c>
      <c r="AM104" s="65">
        <v>370108.7804</v>
      </c>
      <c r="AN104" s="71">
        <v>158248.06</v>
      </c>
      <c r="AO104" s="71">
        <v>104008.35</v>
      </c>
      <c r="AP104" s="72">
        <v>105244.0</v>
      </c>
      <c r="AQ104" s="72">
        <v>106355.56</v>
      </c>
      <c r="AR104" s="72">
        <v>107315.57</v>
      </c>
      <c r="AS104" s="72">
        <v>108302.61</v>
      </c>
      <c r="AT104" s="72">
        <v>109503.632</v>
      </c>
      <c r="AU104" s="72">
        <v>110213.58</v>
      </c>
      <c r="AV104" s="72">
        <v>10138.73</v>
      </c>
      <c r="AW104" s="72">
        <v>10083.88</v>
      </c>
      <c r="AX104" s="72">
        <v>10074.01</v>
      </c>
      <c r="AY104" s="72">
        <v>10065.05</v>
      </c>
      <c r="AZ104" s="65">
        <f t="array" ref="AZ104">XLOOKUP(C104,'PL TOTAL D0'!K:K,'PL TOTAL D0'!L:L,"")</f>
        <v>10055.72</v>
      </c>
    </row>
    <row r="105" ht="15.75" customHeight="1">
      <c r="A105" s="42" t="s">
        <v>98</v>
      </c>
      <c r="B105" s="43" t="s">
        <v>1611</v>
      </c>
      <c r="C105" s="32">
        <v>287927.0</v>
      </c>
      <c r="D105" s="23" t="s">
        <v>249</v>
      </c>
      <c r="E105" s="32" t="s">
        <v>199</v>
      </c>
      <c r="F105" s="23" t="s">
        <v>251</v>
      </c>
      <c r="G105" s="47" t="str">
        <f t="shared" si="1"/>
        <v>David</v>
      </c>
      <c r="H105" s="49" t="s">
        <v>183</v>
      </c>
      <c r="I105" s="49" t="s">
        <v>66</v>
      </c>
      <c r="J105" s="47" t="str">
        <f t="shared" si="5"/>
        <v>Não</v>
      </c>
      <c r="K105" s="54">
        <v>45707.0</v>
      </c>
      <c r="L105" s="55"/>
      <c r="M105" s="32" t="s">
        <v>34</v>
      </c>
      <c r="N105" s="56">
        <v>0.012</v>
      </c>
      <c r="O105" s="23" t="s">
        <v>35</v>
      </c>
      <c r="P105" s="57">
        <v>0.1</v>
      </c>
      <c r="Q105" s="70"/>
      <c r="R105" s="58"/>
      <c r="S105" s="32" t="s">
        <v>194</v>
      </c>
      <c r="T105" s="32" t="s">
        <v>1614</v>
      </c>
      <c r="U105" s="32" t="s">
        <v>1615</v>
      </c>
      <c r="V105" s="32" t="s">
        <v>1617</v>
      </c>
      <c r="W105" s="55">
        <v>20488.0</v>
      </c>
      <c r="X105" s="23" t="s">
        <v>1620</v>
      </c>
      <c r="Y105" s="60" t="str">
        <f t="shared" si="6"/>
        <v>Ativo</v>
      </c>
      <c r="Z105" s="62"/>
      <c r="AA105" s="32" t="s">
        <v>47</v>
      </c>
      <c r="AB105" s="64"/>
      <c r="AC105" s="65"/>
      <c r="AD105" s="101">
        <v>45707.0</v>
      </c>
      <c r="AE105" s="69">
        <v>4.9075100017999E13</v>
      </c>
      <c r="AF105" s="65"/>
      <c r="AG105" s="65"/>
      <c r="AH105" s="65"/>
      <c r="AI105" s="65">
        <v>80887.39546</v>
      </c>
      <c r="AJ105" s="65">
        <v>81702.35375</v>
      </c>
      <c r="AK105" s="65">
        <v>82501.97097</v>
      </c>
      <c r="AL105" s="65">
        <v>82798.71615</v>
      </c>
      <c r="AM105" s="65">
        <v>83763.99</v>
      </c>
      <c r="AN105" s="71">
        <v>84804.04025</v>
      </c>
      <c r="AO105" s="71">
        <v>84901.28406</v>
      </c>
      <c r="AP105" s="72">
        <v>88660.5233</v>
      </c>
      <c r="AQ105" s="72">
        <v>89802.92212</v>
      </c>
      <c r="AR105" s="72">
        <v>90414.28804</v>
      </c>
      <c r="AS105" s="72">
        <v>88621.72</v>
      </c>
      <c r="AT105" s="72">
        <v>143741.3533</v>
      </c>
      <c r="AU105" s="72">
        <v>144897.6007</v>
      </c>
      <c r="AV105" s="72">
        <v>146525.1944</v>
      </c>
      <c r="AW105" s="72">
        <v>148110.61</v>
      </c>
      <c r="AX105" s="72">
        <v>149573.0917</v>
      </c>
      <c r="AY105" s="72">
        <v>151239.7735</v>
      </c>
      <c r="AZ105" s="65">
        <f t="array" ref="AZ105">XLOOKUP(C105,'PL TOTAL D0'!K:K,'PL TOTAL D0'!L:L,"")</f>
        <v>155610.5163</v>
      </c>
    </row>
    <row r="106" ht="15.75" customHeight="1">
      <c r="A106" s="42" t="s">
        <v>98</v>
      </c>
      <c r="B106" s="43" t="s">
        <v>1625</v>
      </c>
      <c r="C106" s="32">
        <v>2523005.0</v>
      </c>
      <c r="D106" s="23" t="s">
        <v>120</v>
      </c>
      <c r="E106" s="32" t="s">
        <v>54</v>
      </c>
      <c r="F106" s="23" t="s">
        <v>348</v>
      </c>
      <c r="G106" s="47" t="str">
        <f t="shared" si="1"/>
        <v>Marcus</v>
      </c>
      <c r="H106" s="49" t="s">
        <v>224</v>
      </c>
      <c r="I106" s="49" t="s">
        <v>66</v>
      </c>
      <c r="J106" s="47" t="str">
        <f t="shared" si="5"/>
        <v>Não</v>
      </c>
      <c r="K106" s="54">
        <v>45706.0</v>
      </c>
      <c r="L106" s="55">
        <v>45860.0</v>
      </c>
      <c r="M106" s="32" t="s">
        <v>61</v>
      </c>
      <c r="N106" s="56">
        <v>0.012</v>
      </c>
      <c r="O106" s="23" t="s">
        <v>66</v>
      </c>
      <c r="P106" s="57">
        <v>0.0</v>
      </c>
      <c r="Q106" s="70"/>
      <c r="R106" s="58"/>
      <c r="S106" s="32" t="s">
        <v>194</v>
      </c>
      <c r="T106" s="32" t="s">
        <v>1627</v>
      </c>
      <c r="U106" s="32"/>
      <c r="V106" s="32"/>
      <c r="W106" s="32"/>
      <c r="X106" s="23" t="s">
        <v>1586</v>
      </c>
      <c r="Y106" s="60" t="str">
        <f t="shared" si="6"/>
        <v>Encerrado</v>
      </c>
      <c r="Z106" s="62"/>
      <c r="AA106" s="32" t="s">
        <v>107</v>
      </c>
      <c r="AB106" s="64"/>
      <c r="AC106" s="65"/>
      <c r="AD106" s="101">
        <v>45706.0</v>
      </c>
      <c r="AE106" s="69">
        <v>4.9075100017859E13</v>
      </c>
      <c r="AF106" s="65"/>
      <c r="AG106" s="65"/>
      <c r="AH106" s="65"/>
      <c r="AI106" s="65">
        <v>61927.67</v>
      </c>
      <c r="AJ106" s="65">
        <v>62591.76</v>
      </c>
      <c r="AK106" s="65">
        <v>62740.53</v>
      </c>
      <c r="AL106" s="65">
        <v>63136.414</v>
      </c>
      <c r="AM106" s="65">
        <v>63340.1395</v>
      </c>
      <c r="AN106" s="71">
        <v>0.0</v>
      </c>
      <c r="AO106" s="71">
        <v>0.0</v>
      </c>
      <c r="AP106" s="72">
        <v>0.0</v>
      </c>
      <c r="AQ106" s="72">
        <v>0.0</v>
      </c>
      <c r="AR106" s="72">
        <v>0.0</v>
      </c>
      <c r="AS106" s="72">
        <v>0.0</v>
      </c>
      <c r="AT106" s="72">
        <v>0.0</v>
      </c>
      <c r="AU106" s="72">
        <v>0.0</v>
      </c>
      <c r="AV106" s="72">
        <v>0.0</v>
      </c>
      <c r="AW106" s="72">
        <v>0.0</v>
      </c>
      <c r="AX106" s="72">
        <v>0.0</v>
      </c>
      <c r="AY106" s="72">
        <v>0.0</v>
      </c>
      <c r="AZ106" s="65" t="str">
        <f t="array" ref="AZ106">XLOOKUP(C106,'PL TOTAL D0'!K:K,'PL TOTAL D0'!L:L,"")</f>
        <v/>
      </c>
    </row>
    <row r="107" ht="15.75" customHeight="1">
      <c r="A107" s="42" t="s">
        <v>98</v>
      </c>
      <c r="B107" s="43" t="s">
        <v>1632</v>
      </c>
      <c r="C107" s="32">
        <v>1.9573989E7</v>
      </c>
      <c r="D107" s="23" t="s">
        <v>249</v>
      </c>
      <c r="E107" s="32" t="s">
        <v>199</v>
      </c>
      <c r="F107" s="23" t="s">
        <v>251</v>
      </c>
      <c r="G107" s="47" t="str">
        <f t="shared" si="1"/>
        <v>Gabriel</v>
      </c>
      <c r="H107" s="49" t="s">
        <v>183</v>
      </c>
      <c r="I107" s="49" t="s">
        <v>66</v>
      </c>
      <c r="J107" s="47" t="str">
        <f t="shared" si="5"/>
        <v>Não</v>
      </c>
      <c r="K107" s="54">
        <v>46198.0</v>
      </c>
      <c r="L107" s="55"/>
      <c r="M107" s="32" t="s">
        <v>61</v>
      </c>
      <c r="N107" s="56">
        <v>0.012</v>
      </c>
      <c r="O107" s="23" t="s">
        <v>66</v>
      </c>
      <c r="P107" s="57">
        <v>0.0</v>
      </c>
      <c r="Q107" s="70"/>
      <c r="R107" s="58"/>
      <c r="S107" s="32" t="s">
        <v>194</v>
      </c>
      <c r="T107" s="32" t="s">
        <v>1636</v>
      </c>
      <c r="U107" s="32" t="s">
        <v>1637</v>
      </c>
      <c r="V107" s="32" t="s">
        <v>1638</v>
      </c>
      <c r="W107" s="121">
        <v>25982.0</v>
      </c>
      <c r="X107" s="23" t="s">
        <v>199</v>
      </c>
      <c r="Y107" s="60" t="str">
        <f t="shared" si="6"/>
        <v>Ativo</v>
      </c>
      <c r="Z107" s="62"/>
      <c r="AA107" s="32" t="s">
        <v>107</v>
      </c>
      <c r="AB107" s="64"/>
      <c r="AC107" s="65"/>
      <c r="AD107" s="101"/>
      <c r="AE107" s="69"/>
      <c r="AF107" s="65"/>
      <c r="AG107" s="65"/>
      <c r="AH107" s="65"/>
      <c r="AI107" s="65"/>
      <c r="AJ107" s="65"/>
      <c r="AK107" s="65"/>
      <c r="AL107" s="65"/>
      <c r="AM107" s="65"/>
      <c r="AN107" s="71"/>
      <c r="AO107" s="71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>
        <v>55424.95542</v>
      </c>
      <c r="AZ107" s="65">
        <f t="array" ref="AZ107">XLOOKUP(C107,'PL TOTAL D0'!K:K,'PL TOTAL D0'!L:L,"")</f>
        <v>317552.255</v>
      </c>
    </row>
    <row r="108" ht="15.75" customHeight="1">
      <c r="A108" s="42" t="s">
        <v>98</v>
      </c>
      <c r="B108" s="43" t="s">
        <v>1642</v>
      </c>
      <c r="C108" s="32">
        <v>3709756.0</v>
      </c>
      <c r="D108" s="23" t="s">
        <v>142</v>
      </c>
      <c r="E108" s="32" t="s">
        <v>54</v>
      </c>
      <c r="F108" s="23" t="s">
        <v>158</v>
      </c>
      <c r="G108" s="47" t="str">
        <f t="shared" si="1"/>
        <v>David</v>
      </c>
      <c r="H108" s="49" t="s">
        <v>183</v>
      </c>
      <c r="I108" s="49" t="s">
        <v>66</v>
      </c>
      <c r="J108" s="47" t="str">
        <f t="shared" si="5"/>
        <v>Não</v>
      </c>
      <c r="K108" s="54">
        <v>45728.0</v>
      </c>
      <c r="L108" s="55"/>
      <c r="M108" s="32" t="s">
        <v>61</v>
      </c>
      <c r="N108" s="56">
        <v>0.012</v>
      </c>
      <c r="O108" s="23" t="s">
        <v>66</v>
      </c>
      <c r="P108" s="57">
        <v>0.0</v>
      </c>
      <c r="Q108" s="70"/>
      <c r="R108" s="58"/>
      <c r="S108" s="32" t="s">
        <v>194</v>
      </c>
      <c r="T108" s="32" t="s">
        <v>1648</v>
      </c>
      <c r="U108" s="32" t="s">
        <v>1649</v>
      </c>
      <c r="V108" s="32" t="s">
        <v>1650</v>
      </c>
      <c r="W108" s="55">
        <v>29790.0</v>
      </c>
      <c r="X108" s="23" t="s">
        <v>54</v>
      </c>
      <c r="Y108" s="60" t="str">
        <f t="shared" si="6"/>
        <v>Ativo</v>
      </c>
      <c r="Z108" s="62"/>
      <c r="AA108" s="32" t="s">
        <v>47</v>
      </c>
      <c r="AB108" s="64"/>
      <c r="AC108" s="65"/>
      <c r="AD108" s="101">
        <v>45728.0</v>
      </c>
      <c r="AE108" s="69">
        <v>4.9075100018499E13</v>
      </c>
      <c r="AF108" s="65"/>
      <c r="AG108" s="65"/>
      <c r="AH108" s="65"/>
      <c r="AI108" s="65"/>
      <c r="AJ108" s="65">
        <v>144746.7769</v>
      </c>
      <c r="AK108" s="65">
        <v>145970.1676</v>
      </c>
      <c r="AL108" s="65">
        <v>147720.6708</v>
      </c>
      <c r="AM108" s="65">
        <v>148613.8674</v>
      </c>
      <c r="AN108" s="71">
        <v>200912.488</v>
      </c>
      <c r="AO108" s="71">
        <v>203079.6161</v>
      </c>
      <c r="AP108" s="72">
        <v>206110.2202</v>
      </c>
      <c r="AQ108" s="72">
        <v>209024.5899</v>
      </c>
      <c r="AR108" s="72">
        <v>210958.6196</v>
      </c>
      <c r="AS108" s="72">
        <v>213480.9426</v>
      </c>
      <c r="AT108" s="72">
        <v>215688.9516</v>
      </c>
      <c r="AU108" s="72">
        <v>216989.8037</v>
      </c>
      <c r="AV108" s="72">
        <v>218521.0636</v>
      </c>
      <c r="AW108" s="72">
        <v>221476.69</v>
      </c>
      <c r="AX108" s="72">
        <v>223491.3587</v>
      </c>
      <c r="AY108" s="72">
        <v>225212.2465</v>
      </c>
      <c r="AZ108" s="65">
        <f t="array" ref="AZ108">XLOOKUP(C108,'PL TOTAL D0'!K:K,'PL TOTAL D0'!L:L,"")</f>
        <v>0</v>
      </c>
    </row>
    <row r="109" ht="15.75" customHeight="1">
      <c r="A109" s="42" t="s">
        <v>98</v>
      </c>
      <c r="B109" s="43" t="s">
        <v>1654</v>
      </c>
      <c r="C109" s="32">
        <v>1.9685218E7</v>
      </c>
      <c r="D109" s="23" t="s">
        <v>27</v>
      </c>
      <c r="E109" s="32" t="s">
        <v>28</v>
      </c>
      <c r="F109" s="23" t="s">
        <v>908</v>
      </c>
      <c r="G109" s="47" t="str">
        <f t="shared" si="1"/>
        <v>Marcus</v>
      </c>
      <c r="H109" s="49" t="s">
        <v>183</v>
      </c>
      <c r="I109" s="49" t="s">
        <v>66</v>
      </c>
      <c r="J109" s="47" t="str">
        <f t="shared" si="5"/>
        <v>Não</v>
      </c>
      <c r="K109" s="54">
        <v>46196.0</v>
      </c>
      <c r="L109" s="55"/>
      <c r="M109" s="32" t="s">
        <v>61</v>
      </c>
      <c r="N109" s="56">
        <v>0.012</v>
      </c>
      <c r="O109" s="23" t="s">
        <v>66</v>
      </c>
      <c r="P109" s="57">
        <v>0.0</v>
      </c>
      <c r="Q109" s="70"/>
      <c r="R109" s="58"/>
      <c r="S109" s="32" t="s">
        <v>194</v>
      </c>
      <c r="T109" s="32" t="s">
        <v>1656</v>
      </c>
      <c r="U109" s="32" t="s">
        <v>1657</v>
      </c>
      <c r="V109" s="32" t="s">
        <v>1659</v>
      </c>
      <c r="W109" s="55">
        <v>29531.0</v>
      </c>
      <c r="X109" s="23" t="s">
        <v>28</v>
      </c>
      <c r="Y109" s="60" t="str">
        <f t="shared" si="6"/>
        <v>Ativo</v>
      </c>
      <c r="Z109" s="62"/>
      <c r="AA109" s="32" t="s">
        <v>47</v>
      </c>
      <c r="AB109" s="64"/>
      <c r="AC109" s="65"/>
      <c r="AD109" s="101"/>
      <c r="AE109" s="69"/>
      <c r="AF109" s="65"/>
      <c r="AG109" s="65"/>
      <c r="AH109" s="65"/>
      <c r="AI109" s="65"/>
      <c r="AJ109" s="65"/>
      <c r="AK109" s="65"/>
      <c r="AL109" s="65"/>
      <c r="AM109" s="65"/>
      <c r="AN109" s="71"/>
      <c r="AO109" s="71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>
        <v>1597665.457</v>
      </c>
      <c r="AZ109" s="65">
        <f t="array" ref="AZ109">XLOOKUP(C109,'PL TOTAL D0'!K:K,'PL TOTAL D0'!L:L,"")</f>
        <v>1867373.469</v>
      </c>
    </row>
    <row r="110" ht="15.75" customHeight="1">
      <c r="A110" s="42" t="s">
        <v>98</v>
      </c>
      <c r="B110" s="43" t="s">
        <v>1668</v>
      </c>
      <c r="C110" s="32">
        <v>1.839725E7</v>
      </c>
      <c r="D110" s="23" t="s">
        <v>210</v>
      </c>
      <c r="E110" s="32" t="s">
        <v>199</v>
      </c>
      <c r="F110" s="23" t="s">
        <v>275</v>
      </c>
      <c r="G110" s="47" t="str">
        <f t="shared" si="1"/>
        <v>Gabriel</v>
      </c>
      <c r="H110" s="49" t="s">
        <v>183</v>
      </c>
      <c r="I110" s="49" t="s">
        <v>66</v>
      </c>
      <c r="J110" s="47" t="str">
        <f t="shared" si="5"/>
        <v>Não</v>
      </c>
      <c r="K110" s="54">
        <v>45862.0</v>
      </c>
      <c r="L110" s="55"/>
      <c r="M110" s="32" t="s">
        <v>61</v>
      </c>
      <c r="N110" s="56">
        <v>0.012</v>
      </c>
      <c r="O110" s="23" t="s">
        <v>66</v>
      </c>
      <c r="P110" s="57">
        <v>0.0</v>
      </c>
      <c r="Q110" s="70"/>
      <c r="R110" s="58"/>
      <c r="S110" s="32" t="s">
        <v>194</v>
      </c>
      <c r="T110" s="32" t="s">
        <v>1670</v>
      </c>
      <c r="U110" s="32" t="s">
        <v>1671</v>
      </c>
      <c r="V110" s="32" t="s">
        <v>1672</v>
      </c>
      <c r="W110" s="121">
        <v>27351.0</v>
      </c>
      <c r="X110" s="23" t="s">
        <v>199</v>
      </c>
      <c r="Y110" s="60" t="str">
        <f t="shared" si="6"/>
        <v>Ativo</v>
      </c>
      <c r="Z110" s="62"/>
      <c r="AA110" s="32" t="s">
        <v>107</v>
      </c>
      <c r="AB110" s="64"/>
      <c r="AC110" s="65"/>
      <c r="AD110" s="67">
        <v>45862.0</v>
      </c>
      <c r="AE110" s="69">
        <v>4.9075100019231E13</v>
      </c>
      <c r="AF110" s="65"/>
      <c r="AG110" s="65"/>
      <c r="AH110" s="65"/>
      <c r="AI110" s="65"/>
      <c r="AJ110" s="65"/>
      <c r="AK110" s="65"/>
      <c r="AL110" s="65"/>
      <c r="AM110" s="65"/>
      <c r="AN110" s="71">
        <v>477318.0524</v>
      </c>
      <c r="AO110" s="71">
        <v>482833.2394</v>
      </c>
      <c r="AP110" s="72">
        <v>483738.7159</v>
      </c>
      <c r="AQ110" s="72">
        <v>482073.4845</v>
      </c>
      <c r="AR110" s="72">
        <v>484563.7705</v>
      </c>
      <c r="AS110" s="72">
        <v>485601.5945</v>
      </c>
      <c r="AT110" s="72">
        <v>482439.2803</v>
      </c>
      <c r="AU110" s="72">
        <v>479654.2993</v>
      </c>
      <c r="AV110" s="72">
        <v>482252.2019</v>
      </c>
      <c r="AW110" s="72">
        <v>476230.67</v>
      </c>
      <c r="AX110" s="72">
        <v>480114.8443</v>
      </c>
      <c r="AY110" s="72">
        <v>484438.0482</v>
      </c>
      <c r="AZ110" s="65">
        <f t="array" ref="AZ110">XLOOKUP(C110,'PL TOTAL D0'!K:K,'PL TOTAL D0'!L:L,"")</f>
        <v>487283.0934</v>
      </c>
    </row>
    <row r="111" ht="15.75" customHeight="1">
      <c r="A111" s="42" t="s">
        <v>98</v>
      </c>
      <c r="B111" s="43" t="s">
        <v>1674</v>
      </c>
      <c r="C111" s="32">
        <v>1.9693984E7</v>
      </c>
      <c r="D111" s="23" t="s">
        <v>27</v>
      </c>
      <c r="E111" s="32" t="s">
        <v>28</v>
      </c>
      <c r="F111" s="23" t="s">
        <v>29</v>
      </c>
      <c r="G111" s="47" t="str">
        <f t="shared" si="1"/>
        <v>David</v>
      </c>
      <c r="H111" s="49" t="s">
        <v>183</v>
      </c>
      <c r="I111" s="49" t="s">
        <v>66</v>
      </c>
      <c r="J111" s="47" t="str">
        <f t="shared" si="5"/>
        <v>Não</v>
      </c>
      <c r="K111" s="54">
        <v>46213.0</v>
      </c>
      <c r="L111" s="55"/>
      <c r="M111" s="32" t="s">
        <v>1678</v>
      </c>
      <c r="N111" s="56">
        <v>0.015</v>
      </c>
      <c r="O111" s="23" t="s">
        <v>66</v>
      </c>
      <c r="P111" s="57">
        <v>0.0</v>
      </c>
      <c r="Q111" s="70"/>
      <c r="R111" s="58"/>
      <c r="S111" s="32" t="s">
        <v>194</v>
      </c>
      <c r="T111" s="32" t="s">
        <v>1681</v>
      </c>
      <c r="U111" s="32" t="s">
        <v>1682</v>
      </c>
      <c r="V111" s="32" t="s">
        <v>1683</v>
      </c>
      <c r="W111" s="121">
        <v>17783.0</v>
      </c>
      <c r="X111" s="23" t="s">
        <v>28</v>
      </c>
      <c r="Y111" s="60" t="str">
        <f t="shared" si="6"/>
        <v>Ativo</v>
      </c>
      <c r="Z111" s="62"/>
      <c r="AA111" s="32" t="s">
        <v>47</v>
      </c>
      <c r="AB111" s="64"/>
      <c r="AC111" s="65"/>
      <c r="AD111" s="67"/>
      <c r="AE111" s="69"/>
      <c r="AF111" s="65"/>
      <c r="AG111" s="65"/>
      <c r="AH111" s="65"/>
      <c r="AI111" s="65"/>
      <c r="AJ111" s="65"/>
      <c r="AK111" s="65"/>
      <c r="AL111" s="65"/>
      <c r="AM111" s="65"/>
      <c r="AN111" s="71"/>
      <c r="AO111" s="71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>
        <v>0.0</v>
      </c>
      <c r="AZ111" s="65">
        <f t="array" ref="AZ111">XLOOKUP(C111,'PL TOTAL D0'!K:K,'PL TOTAL D0'!L:L,"")</f>
        <v>195295.9244</v>
      </c>
    </row>
    <row r="112" ht="15.75" customHeight="1">
      <c r="A112" s="42" t="s">
        <v>98</v>
      </c>
      <c r="B112" s="43" t="s">
        <v>1686</v>
      </c>
      <c r="C112" s="32">
        <v>4743435.0</v>
      </c>
      <c r="D112" s="23" t="s">
        <v>53</v>
      </c>
      <c r="E112" s="32" t="s">
        <v>54</v>
      </c>
      <c r="F112" s="23" t="s">
        <v>401</v>
      </c>
      <c r="G112" s="47" t="str">
        <f t="shared" si="1"/>
        <v>Gabriel</v>
      </c>
      <c r="H112" s="49" t="s">
        <v>183</v>
      </c>
      <c r="I112" s="49" t="s">
        <v>66</v>
      </c>
      <c r="J112" s="47" t="str">
        <f t="shared" si="5"/>
        <v>Sim</v>
      </c>
      <c r="K112" s="54">
        <v>45849.0</v>
      </c>
      <c r="L112" s="55"/>
      <c r="M112" s="32" t="s">
        <v>61</v>
      </c>
      <c r="N112" s="56">
        <v>0.012</v>
      </c>
      <c r="O112" s="23" t="s">
        <v>66</v>
      </c>
      <c r="P112" s="57">
        <v>0.0</v>
      </c>
      <c r="Q112" s="58" t="s">
        <v>1687</v>
      </c>
      <c r="R112" s="58"/>
      <c r="S112" s="32" t="s">
        <v>194</v>
      </c>
      <c r="T112" s="32" t="s">
        <v>1688</v>
      </c>
      <c r="U112" s="32" t="s">
        <v>1689</v>
      </c>
      <c r="V112" s="32" t="s">
        <v>1690</v>
      </c>
      <c r="W112" s="55">
        <v>25279.0</v>
      </c>
      <c r="X112" s="23" t="s">
        <v>54</v>
      </c>
      <c r="Y112" s="60" t="str">
        <f t="shared" si="6"/>
        <v>Ativo</v>
      </c>
      <c r="Z112" s="62"/>
      <c r="AA112" s="32" t="s">
        <v>47</v>
      </c>
      <c r="AB112" s="64"/>
      <c r="AC112" s="65"/>
      <c r="AD112" s="67">
        <v>45849.0</v>
      </c>
      <c r="AE112" s="69">
        <v>4.9075100019134E13</v>
      </c>
      <c r="AF112" s="65"/>
      <c r="AG112" s="65"/>
      <c r="AH112" s="65"/>
      <c r="AI112" s="65"/>
      <c r="AJ112" s="65"/>
      <c r="AK112" s="65"/>
      <c r="AL112" s="65"/>
      <c r="AM112" s="65"/>
      <c r="AN112" s="71">
        <v>607981.1591</v>
      </c>
      <c r="AO112" s="71">
        <v>613050.6592</v>
      </c>
      <c r="AP112" s="72">
        <v>620300.9554</v>
      </c>
      <c r="AQ112" s="72">
        <v>616709.8531</v>
      </c>
      <c r="AR112" s="72">
        <v>620831.8153</v>
      </c>
      <c r="AS112" s="72">
        <v>626355.45</v>
      </c>
      <c r="AT112" s="72">
        <v>632328.5677</v>
      </c>
      <c r="AU112" s="72">
        <v>570715.963</v>
      </c>
      <c r="AV112" s="72">
        <v>575360.5671</v>
      </c>
      <c r="AW112" s="72">
        <v>583059.38</v>
      </c>
      <c r="AX112" s="72">
        <v>588795.3441</v>
      </c>
      <c r="AY112" s="72">
        <v>593302.27</v>
      </c>
      <c r="AZ112" s="65">
        <f t="array" ref="AZ112">XLOOKUP(C112,'PL TOTAL D0'!K:K,'PL TOTAL D0'!L:L,"")</f>
        <v>599640.1714</v>
      </c>
    </row>
    <row r="113" ht="15.75" customHeight="1">
      <c r="A113" s="42" t="s">
        <v>98</v>
      </c>
      <c r="B113" s="43" t="s">
        <v>1694</v>
      </c>
      <c r="C113" s="32">
        <v>1.9774585E7</v>
      </c>
      <c r="D113" s="23" t="s">
        <v>1695</v>
      </c>
      <c r="E113" s="32" t="s">
        <v>475</v>
      </c>
      <c r="F113" s="23" t="s">
        <v>1696</v>
      </c>
      <c r="G113" s="47" t="str">
        <f t="shared" si="1"/>
        <v>David</v>
      </c>
      <c r="H113" s="49" t="s">
        <v>183</v>
      </c>
      <c r="I113" s="49" t="s">
        <v>66</v>
      </c>
      <c r="J113" s="47" t="str">
        <f t="shared" si="5"/>
        <v>Não</v>
      </c>
      <c r="K113" s="54">
        <v>46232.0</v>
      </c>
      <c r="L113" s="55"/>
      <c r="M113" s="32" t="s">
        <v>1697</v>
      </c>
      <c r="N113" s="56">
        <v>0.005</v>
      </c>
      <c r="O113" s="23" t="s">
        <v>35</v>
      </c>
      <c r="P113" s="57">
        <v>0.2</v>
      </c>
      <c r="Q113" s="58"/>
      <c r="R113" s="58"/>
      <c r="S113" s="32" t="s">
        <v>194</v>
      </c>
      <c r="T113" s="32" t="s">
        <v>1700</v>
      </c>
      <c r="U113" s="32" t="s">
        <v>1701</v>
      </c>
      <c r="V113" s="32" t="s">
        <v>1702</v>
      </c>
      <c r="W113" s="55">
        <v>30561.0</v>
      </c>
      <c r="X113" s="23" t="s">
        <v>475</v>
      </c>
      <c r="Y113" s="60" t="str">
        <f t="shared" si="6"/>
        <v>Ativo</v>
      </c>
      <c r="Z113" s="62"/>
      <c r="AA113" s="32" t="s">
        <v>47</v>
      </c>
      <c r="AB113" s="64"/>
      <c r="AC113" s="65"/>
      <c r="AD113" s="67"/>
      <c r="AE113" s="69"/>
      <c r="AF113" s="65"/>
      <c r="AG113" s="65"/>
      <c r="AH113" s="65"/>
      <c r="AI113" s="65"/>
      <c r="AJ113" s="65"/>
      <c r="AK113" s="65"/>
      <c r="AL113" s="65"/>
      <c r="AM113" s="65"/>
      <c r="AN113" s="71"/>
      <c r="AO113" s="71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65"/>
    </row>
    <row r="114" ht="15.75" customHeight="1">
      <c r="A114" s="42" t="s">
        <v>98</v>
      </c>
      <c r="B114" s="43" t="s">
        <v>1704</v>
      </c>
      <c r="C114" s="32">
        <v>1.9228652E7</v>
      </c>
      <c r="D114" s="23" t="s">
        <v>53</v>
      </c>
      <c r="E114" s="32" t="s">
        <v>54</v>
      </c>
      <c r="F114" s="23" t="s">
        <v>608</v>
      </c>
      <c r="G114" s="47" t="str">
        <f t="shared" si="1"/>
        <v>David</v>
      </c>
      <c r="H114" s="49" t="s">
        <v>183</v>
      </c>
      <c r="I114" s="49" t="s">
        <v>66</v>
      </c>
      <c r="J114" s="47" t="str">
        <f t="shared" si="5"/>
        <v>Não</v>
      </c>
      <c r="K114" s="54">
        <v>46080.0</v>
      </c>
      <c r="L114" s="55"/>
      <c r="M114" s="32" t="s">
        <v>34</v>
      </c>
      <c r="N114" s="56">
        <v>0.012</v>
      </c>
      <c r="O114" s="23" t="s">
        <v>66</v>
      </c>
      <c r="P114" s="57">
        <v>0.0</v>
      </c>
      <c r="Q114" s="58"/>
      <c r="R114" s="58"/>
      <c r="S114" s="32" t="s">
        <v>194</v>
      </c>
      <c r="T114" s="32" t="s">
        <v>1709</v>
      </c>
      <c r="U114" s="32" t="s">
        <v>1710</v>
      </c>
      <c r="V114" s="32" t="s">
        <v>1711</v>
      </c>
      <c r="W114" s="55">
        <v>24241.0</v>
      </c>
      <c r="X114" s="23" t="s">
        <v>54</v>
      </c>
      <c r="Y114" s="60" t="str">
        <f t="shared" si="6"/>
        <v>Ativo</v>
      </c>
      <c r="Z114" s="62"/>
      <c r="AA114" s="32" t="s">
        <v>47</v>
      </c>
      <c r="AB114" s="64"/>
      <c r="AC114" s="65"/>
      <c r="AD114" s="67"/>
      <c r="AE114" s="69"/>
      <c r="AF114" s="65"/>
      <c r="AG114" s="65"/>
      <c r="AH114" s="65"/>
      <c r="AI114" s="65"/>
      <c r="AJ114" s="65"/>
      <c r="AK114" s="65"/>
      <c r="AL114" s="65"/>
      <c r="AM114" s="65"/>
      <c r="AN114" s="71"/>
      <c r="AO114" s="71"/>
      <c r="AP114" s="72"/>
      <c r="AQ114" s="72"/>
      <c r="AR114" s="72"/>
      <c r="AS114" s="72"/>
      <c r="AT114" s="72"/>
      <c r="AU114" s="72">
        <v>0.0</v>
      </c>
      <c r="AV114" s="72">
        <v>0.0</v>
      </c>
      <c r="AW114" s="72">
        <v>0.0</v>
      </c>
      <c r="AX114" s="72">
        <v>0.0</v>
      </c>
      <c r="AY114" s="72">
        <v>0.0</v>
      </c>
      <c r="AZ114" s="65">
        <f t="array" ref="AZ114">XLOOKUP(C114,'PL TOTAL D0'!K:K,'PL TOTAL D0'!L:L,"")</f>
        <v>0</v>
      </c>
    </row>
    <row r="115" ht="15.75" customHeight="1">
      <c r="A115" s="42" t="s">
        <v>98</v>
      </c>
      <c r="B115" s="43" t="s">
        <v>1714</v>
      </c>
      <c r="C115" s="32">
        <v>3671989.0</v>
      </c>
      <c r="D115" s="23" t="s">
        <v>210</v>
      </c>
      <c r="E115" s="32" t="s">
        <v>199</v>
      </c>
      <c r="F115" s="23" t="s">
        <v>275</v>
      </c>
      <c r="G115" s="47" t="str">
        <f t="shared" si="1"/>
        <v>Gabriel</v>
      </c>
      <c r="H115" s="49" t="s">
        <v>183</v>
      </c>
      <c r="I115" s="49" t="s">
        <v>66</v>
      </c>
      <c r="J115" s="47" t="str">
        <f t="shared" si="5"/>
        <v>Sim</v>
      </c>
      <c r="K115" s="54">
        <v>45705.0</v>
      </c>
      <c r="L115" s="55"/>
      <c r="M115" s="32" t="s">
        <v>61</v>
      </c>
      <c r="N115" s="56">
        <v>0.012</v>
      </c>
      <c r="O115" s="23" t="s">
        <v>66</v>
      </c>
      <c r="P115" s="57">
        <v>0.0</v>
      </c>
      <c r="Q115" s="58" t="s">
        <v>1716</v>
      </c>
      <c r="R115" s="58"/>
      <c r="S115" s="32" t="s">
        <v>194</v>
      </c>
      <c r="T115" s="32" t="s">
        <v>1717</v>
      </c>
      <c r="U115" s="32" t="s">
        <v>1718</v>
      </c>
      <c r="V115" s="32" t="s">
        <v>1719</v>
      </c>
      <c r="W115" s="55">
        <v>27285.0</v>
      </c>
      <c r="X115" s="23" t="s">
        <v>199</v>
      </c>
      <c r="Y115" s="60" t="str">
        <f t="shared" si="6"/>
        <v>Ativo</v>
      </c>
      <c r="Z115" s="62"/>
      <c r="AA115" s="32" t="s">
        <v>107</v>
      </c>
      <c r="AB115" s="64"/>
      <c r="AC115" s="65"/>
      <c r="AD115" s="101">
        <v>45705.0</v>
      </c>
      <c r="AE115" s="69">
        <v>4.9075100017931E13</v>
      </c>
      <c r="AF115" s="65"/>
      <c r="AG115" s="65"/>
      <c r="AH115" s="65"/>
      <c r="AI115" s="65">
        <v>404320.4188</v>
      </c>
      <c r="AJ115" s="65">
        <v>409427.742</v>
      </c>
      <c r="AK115" s="65">
        <v>411661.5044</v>
      </c>
      <c r="AL115" s="65">
        <v>418142.673</v>
      </c>
      <c r="AM115" s="65">
        <v>422154.4554</v>
      </c>
      <c r="AN115" s="71">
        <v>424921.8753</v>
      </c>
      <c r="AO115" s="71">
        <v>432760.7908</v>
      </c>
      <c r="AP115" s="72">
        <v>440731.5757</v>
      </c>
      <c r="AQ115" s="72">
        <v>448685.0297</v>
      </c>
      <c r="AR115" s="72">
        <v>134560.3969</v>
      </c>
      <c r="AS115" s="72">
        <v>135113.6071</v>
      </c>
      <c r="AT115" s="72">
        <v>141429.9545</v>
      </c>
      <c r="AU115" s="72">
        <v>144505.5603</v>
      </c>
      <c r="AV115" s="72">
        <v>444600.67</v>
      </c>
      <c r="AW115" s="72">
        <v>449799.03</v>
      </c>
      <c r="AX115" s="72">
        <v>512508.6646</v>
      </c>
      <c r="AY115" s="72">
        <v>487214.0605</v>
      </c>
      <c r="AZ115" s="65">
        <f t="array" ref="AZ115">XLOOKUP(C115,'PL TOTAL D0'!K:K,'PL TOTAL D0'!L:L,"")</f>
        <v>491528.6712</v>
      </c>
    </row>
    <row r="116" ht="15.75" customHeight="1">
      <c r="A116" s="42" t="s">
        <v>98</v>
      </c>
      <c r="B116" s="43" t="s">
        <v>1726</v>
      </c>
      <c r="C116" s="32">
        <v>1.8936181E7</v>
      </c>
      <c r="D116" s="23" t="s">
        <v>210</v>
      </c>
      <c r="E116" s="32" t="s">
        <v>199</v>
      </c>
      <c r="F116" s="23" t="s">
        <v>275</v>
      </c>
      <c r="G116" s="47" t="str">
        <f t="shared" si="1"/>
        <v>Gabriel</v>
      </c>
      <c r="H116" s="49" t="s">
        <v>183</v>
      </c>
      <c r="I116" s="49" t="s">
        <v>66</v>
      </c>
      <c r="J116" s="47" t="str">
        <f t="shared" si="5"/>
        <v>Não</v>
      </c>
      <c r="K116" s="54">
        <v>46013.0</v>
      </c>
      <c r="L116" s="55"/>
      <c r="M116" s="32" t="s">
        <v>61</v>
      </c>
      <c r="N116" s="56">
        <v>0.012</v>
      </c>
      <c r="O116" s="23" t="s">
        <v>66</v>
      </c>
      <c r="P116" s="57">
        <v>0.0</v>
      </c>
      <c r="Q116" s="58"/>
      <c r="R116" s="58"/>
      <c r="S116" s="32" t="s">
        <v>194</v>
      </c>
      <c r="T116" s="32" t="s">
        <v>1733</v>
      </c>
      <c r="U116" s="32" t="s">
        <v>728</v>
      </c>
      <c r="V116" s="32" t="s">
        <v>730</v>
      </c>
      <c r="W116" s="55">
        <v>28480.0</v>
      </c>
      <c r="X116" s="23" t="s">
        <v>199</v>
      </c>
      <c r="Y116" s="60" t="str">
        <f t="shared" si="6"/>
        <v>Ativo</v>
      </c>
      <c r="Z116" s="62"/>
      <c r="AA116" s="32" t="s">
        <v>107</v>
      </c>
      <c r="AB116" s="64"/>
      <c r="AC116" s="65"/>
      <c r="AD116" s="101"/>
      <c r="AE116" s="69"/>
      <c r="AF116" s="65"/>
      <c r="AG116" s="65"/>
      <c r="AH116" s="65"/>
      <c r="AI116" s="65"/>
      <c r="AJ116" s="65"/>
      <c r="AK116" s="65"/>
      <c r="AL116" s="65"/>
      <c r="AM116" s="65"/>
      <c r="AN116" s="71"/>
      <c r="AO116" s="71"/>
      <c r="AP116" s="72"/>
      <c r="AQ116" s="72"/>
      <c r="AR116" s="72"/>
      <c r="AS116" s="72">
        <v>0.0</v>
      </c>
      <c r="AT116" s="72">
        <v>2404.64</v>
      </c>
      <c r="AU116" s="72">
        <v>250664.0</v>
      </c>
      <c r="AV116" s="72">
        <v>303650.38</v>
      </c>
      <c r="AW116" s="72">
        <v>303650.38</v>
      </c>
      <c r="AX116" s="72">
        <v>346333.84</v>
      </c>
      <c r="AY116" s="72">
        <v>395143.69</v>
      </c>
      <c r="AZ116" s="65">
        <f t="array" ref="AZ116">XLOOKUP(C116,'PL TOTAL D0'!K:K,'PL TOTAL D0'!L:L,"")</f>
        <v>439914.9998</v>
      </c>
    </row>
    <row r="117" ht="15.75" customHeight="1">
      <c r="A117" s="42" t="s">
        <v>98</v>
      </c>
      <c r="B117" s="43" t="s">
        <v>1740</v>
      </c>
      <c r="C117" s="32">
        <v>1.4411211E7</v>
      </c>
      <c r="D117" s="23" t="s">
        <v>210</v>
      </c>
      <c r="E117" s="32" t="s">
        <v>199</v>
      </c>
      <c r="F117" s="23" t="s">
        <v>275</v>
      </c>
      <c r="G117" s="47" t="str">
        <f t="shared" si="1"/>
        <v>Gabriel</v>
      </c>
      <c r="H117" s="49" t="s">
        <v>183</v>
      </c>
      <c r="I117" s="49" t="s">
        <v>66</v>
      </c>
      <c r="J117" s="47" t="str">
        <f t="shared" si="5"/>
        <v>Sim</v>
      </c>
      <c r="K117" s="54">
        <v>45712.0</v>
      </c>
      <c r="L117" s="55"/>
      <c r="M117" s="32" t="s">
        <v>61</v>
      </c>
      <c r="N117" s="56">
        <v>0.011</v>
      </c>
      <c r="O117" s="23" t="s">
        <v>66</v>
      </c>
      <c r="P117" s="57">
        <v>0.0</v>
      </c>
      <c r="Q117" s="58" t="s">
        <v>326</v>
      </c>
      <c r="R117" s="58"/>
      <c r="S117" s="32" t="s">
        <v>194</v>
      </c>
      <c r="T117" s="32" t="s">
        <v>1743</v>
      </c>
      <c r="U117" s="32" t="s">
        <v>1744</v>
      </c>
      <c r="V117" s="32" t="s">
        <v>1746</v>
      </c>
      <c r="W117" s="55">
        <v>31443.0</v>
      </c>
      <c r="X117" s="23" t="s">
        <v>199</v>
      </c>
      <c r="Y117" s="60" t="str">
        <f t="shared" si="6"/>
        <v>Ativo</v>
      </c>
      <c r="Z117" s="62"/>
      <c r="AA117" s="32" t="s">
        <v>107</v>
      </c>
      <c r="AB117" s="64"/>
      <c r="AC117" s="65"/>
      <c r="AD117" s="101">
        <v>45712.0</v>
      </c>
      <c r="AE117" s="69">
        <v>4.9075100018022E13</v>
      </c>
      <c r="AF117" s="65"/>
      <c r="AG117" s="65"/>
      <c r="AH117" s="65"/>
      <c r="AI117" s="65">
        <v>212444.3581</v>
      </c>
      <c r="AJ117" s="65">
        <v>216191.6977</v>
      </c>
      <c r="AK117" s="65">
        <v>231371.8388</v>
      </c>
      <c r="AL117" s="65">
        <v>234029.2436</v>
      </c>
      <c r="AM117" s="65">
        <v>242877.4801</v>
      </c>
      <c r="AN117" s="71">
        <v>245630.3336</v>
      </c>
      <c r="AO117" s="71">
        <v>254735.589</v>
      </c>
      <c r="AP117" s="72">
        <v>264073.9578</v>
      </c>
      <c r="AQ117" s="72">
        <v>273872.6405</v>
      </c>
      <c r="AR117" s="72">
        <v>281675.7322</v>
      </c>
      <c r="AS117" s="72">
        <v>291481.48</v>
      </c>
      <c r="AT117" s="72">
        <v>239579.5943</v>
      </c>
      <c r="AU117" s="72">
        <v>310377.9973</v>
      </c>
      <c r="AV117" s="72">
        <v>320346.96</v>
      </c>
      <c r="AW117" s="72">
        <v>330596.2</v>
      </c>
      <c r="AX117" s="72">
        <v>339018.9</v>
      </c>
      <c r="AY117" s="72">
        <v>342425.3751</v>
      </c>
      <c r="AZ117" s="65">
        <f t="array" ref="AZ117">XLOOKUP(C117,'PL TOTAL D0'!K:K,'PL TOTAL D0'!L:L,"")</f>
        <v>359071.0288</v>
      </c>
    </row>
    <row r="118" ht="15.75" customHeight="1">
      <c r="A118" s="42" t="s">
        <v>98</v>
      </c>
      <c r="B118" s="43" t="s">
        <v>1751</v>
      </c>
      <c r="C118" s="32">
        <v>2379924.0</v>
      </c>
      <c r="D118" s="23" t="s">
        <v>120</v>
      </c>
      <c r="E118" s="32" t="s">
        <v>199</v>
      </c>
      <c r="F118" s="23" t="s">
        <v>502</v>
      </c>
      <c r="G118" s="47" t="str">
        <f t="shared" si="1"/>
        <v>David</v>
      </c>
      <c r="H118" s="49" t="s">
        <v>183</v>
      </c>
      <c r="I118" s="49" t="s">
        <v>66</v>
      </c>
      <c r="J118" s="47" t="str">
        <f t="shared" si="5"/>
        <v>Não</v>
      </c>
      <c r="K118" s="54">
        <v>45658.0</v>
      </c>
      <c r="L118" s="55"/>
      <c r="M118" s="32" t="s">
        <v>231</v>
      </c>
      <c r="N118" s="56">
        <v>0.025</v>
      </c>
      <c r="O118" s="23" t="s">
        <v>233</v>
      </c>
      <c r="P118" s="57">
        <v>0.2</v>
      </c>
      <c r="Q118" s="70"/>
      <c r="R118" s="58"/>
      <c r="S118" s="32" t="s">
        <v>194</v>
      </c>
      <c r="T118" s="32" t="s">
        <v>1752</v>
      </c>
      <c r="U118" s="32" t="s">
        <v>1753</v>
      </c>
      <c r="V118" s="32" t="s">
        <v>1754</v>
      </c>
      <c r="W118" s="55">
        <v>33486.0</v>
      </c>
      <c r="X118" s="23" t="s">
        <v>475</v>
      </c>
      <c r="Y118" s="60" t="str">
        <f t="shared" si="6"/>
        <v>Ativo</v>
      </c>
      <c r="Z118" s="62"/>
      <c r="AA118" s="32" t="s">
        <v>165</v>
      </c>
      <c r="AB118" s="64"/>
      <c r="AC118" s="65"/>
      <c r="AD118" s="101">
        <v>45658.0</v>
      </c>
      <c r="AE118" s="69">
        <v>4.9075100016496E13</v>
      </c>
      <c r="AF118" s="65"/>
      <c r="AG118" s="65">
        <v>0.0</v>
      </c>
      <c r="AH118" s="65">
        <v>2136.99</v>
      </c>
      <c r="AI118" s="65">
        <v>2154.7</v>
      </c>
      <c r="AJ118" s="65">
        <v>2176.99</v>
      </c>
      <c r="AK118" s="65">
        <v>2211.67</v>
      </c>
      <c r="AL118" s="65">
        <v>2225.29</v>
      </c>
      <c r="AM118" s="65">
        <v>2252.31</v>
      </c>
      <c r="AN118" s="71">
        <v>2275.41</v>
      </c>
      <c r="AO118" s="71">
        <v>2302.47</v>
      </c>
      <c r="AP118" s="72">
        <v>2330.87</v>
      </c>
      <c r="AQ118" s="72">
        <v>2355.06</v>
      </c>
      <c r="AR118" s="72">
        <v>2358.36</v>
      </c>
      <c r="AS118" s="72">
        <v>2380.74</v>
      </c>
      <c r="AT118" s="72">
        <v>680468.3721</v>
      </c>
      <c r="AU118" s="72">
        <v>2423.27</v>
      </c>
      <c r="AV118" s="72">
        <v>2441.6</v>
      </c>
      <c r="AW118" s="72">
        <v>2465.35</v>
      </c>
      <c r="AX118" s="72">
        <v>2463.23</v>
      </c>
      <c r="AY118" s="72">
        <v>2486.73</v>
      </c>
      <c r="AZ118" s="65">
        <f t="array" ref="AZ118">XLOOKUP(C118,'PL TOTAL D0'!K:K,'PL TOTAL D0'!L:L,"")</f>
        <v>2508.32</v>
      </c>
    </row>
    <row r="119" ht="15.75" customHeight="1">
      <c r="A119" s="42" t="s">
        <v>98</v>
      </c>
      <c r="B119" s="43" t="s">
        <v>1759</v>
      </c>
      <c r="C119" s="32">
        <v>750733.0</v>
      </c>
      <c r="D119" s="23" t="s">
        <v>142</v>
      </c>
      <c r="E119" s="32" t="s">
        <v>54</v>
      </c>
      <c r="F119" s="23" t="s">
        <v>158</v>
      </c>
      <c r="G119" s="47" t="str">
        <f t="shared" si="1"/>
        <v>Gabriel</v>
      </c>
      <c r="H119" s="49" t="s">
        <v>183</v>
      </c>
      <c r="I119" s="49" t="s">
        <v>66</v>
      </c>
      <c r="J119" s="47" t="str">
        <f t="shared" si="5"/>
        <v>Não</v>
      </c>
      <c r="K119" s="54">
        <v>45646.0</v>
      </c>
      <c r="L119" s="55"/>
      <c r="M119" s="32" t="s">
        <v>61</v>
      </c>
      <c r="N119" s="56">
        <v>0.012</v>
      </c>
      <c r="O119" s="23" t="s">
        <v>66</v>
      </c>
      <c r="P119" s="57">
        <v>0.0</v>
      </c>
      <c r="Q119" s="70"/>
      <c r="R119" s="58"/>
      <c r="S119" s="32" t="s">
        <v>194</v>
      </c>
      <c r="T119" s="32" t="s">
        <v>1764</v>
      </c>
      <c r="U119" s="32" t="s">
        <v>1765</v>
      </c>
      <c r="V119" s="32" t="s">
        <v>1766</v>
      </c>
      <c r="W119" s="121">
        <v>28479.0</v>
      </c>
      <c r="X119" s="23" t="s">
        <v>54</v>
      </c>
      <c r="Y119" s="60" t="str">
        <f t="shared" si="6"/>
        <v>Ativo</v>
      </c>
      <c r="Z119" s="62"/>
      <c r="AA119" s="32" t="s">
        <v>165</v>
      </c>
      <c r="AB119" s="64"/>
      <c r="AC119" s="65"/>
      <c r="AD119" s="101">
        <v>45659.0</v>
      </c>
      <c r="AE119" s="69">
        <v>4.9075100016577E13</v>
      </c>
      <c r="AF119" s="65"/>
      <c r="AG119" s="65">
        <v>207042.8974</v>
      </c>
      <c r="AH119" s="65">
        <v>212478.3106</v>
      </c>
      <c r="AI119" s="65">
        <v>214554.8962</v>
      </c>
      <c r="AJ119" s="65">
        <v>273102.3021</v>
      </c>
      <c r="AK119" s="65">
        <v>219694.5922</v>
      </c>
      <c r="AL119" s="65">
        <v>221956.1625</v>
      </c>
      <c r="AM119" s="65">
        <v>224133.8415</v>
      </c>
      <c r="AN119" s="71">
        <v>226916.993</v>
      </c>
      <c r="AO119" s="71">
        <v>229384.3835</v>
      </c>
      <c r="AP119" s="72">
        <v>287533.6098</v>
      </c>
      <c r="AQ119" s="72">
        <v>290218.2914</v>
      </c>
      <c r="AR119" s="72">
        <v>236180.2091</v>
      </c>
      <c r="AS119" s="72">
        <v>238841.4663</v>
      </c>
      <c r="AT119" s="72">
        <v>214655.28</v>
      </c>
      <c r="AU119" s="72">
        <v>241982.3756</v>
      </c>
      <c r="AV119" s="72">
        <v>245107.72</v>
      </c>
      <c r="AW119" s="72">
        <v>247958.43</v>
      </c>
      <c r="AX119" s="72">
        <v>250300.7859</v>
      </c>
      <c r="AY119" s="72">
        <v>251446.9048</v>
      </c>
      <c r="AZ119" s="65">
        <f t="array" ref="AZ119">XLOOKUP(C119,'PL TOTAL D0'!K:K,'PL TOTAL D0'!L:L,"")</f>
        <v>307396.7931</v>
      </c>
    </row>
    <row r="120" ht="15.75" customHeight="1">
      <c r="A120" s="42" t="s">
        <v>98</v>
      </c>
      <c r="B120" s="43" t="s">
        <v>1769</v>
      </c>
      <c r="C120" s="32">
        <v>4574738.0</v>
      </c>
      <c r="D120" s="23" t="s">
        <v>210</v>
      </c>
      <c r="E120" s="32" t="s">
        <v>199</v>
      </c>
      <c r="F120" s="23" t="s">
        <v>275</v>
      </c>
      <c r="G120" s="47" t="str">
        <f t="shared" si="1"/>
        <v>Gabriel</v>
      </c>
      <c r="H120" s="49" t="s">
        <v>183</v>
      </c>
      <c r="I120" s="49" t="s">
        <v>66</v>
      </c>
      <c r="J120" s="47" t="str">
        <f t="shared" si="5"/>
        <v>Sim</v>
      </c>
      <c r="K120" s="54">
        <v>45716.0</v>
      </c>
      <c r="L120" s="55"/>
      <c r="M120" s="32" t="s">
        <v>61</v>
      </c>
      <c r="N120" s="56">
        <v>0.012</v>
      </c>
      <c r="O120" s="23" t="s">
        <v>66</v>
      </c>
      <c r="P120" s="57">
        <v>0.0</v>
      </c>
      <c r="Q120" s="58" t="s">
        <v>326</v>
      </c>
      <c r="R120" s="58"/>
      <c r="S120" s="32" t="s">
        <v>194</v>
      </c>
      <c r="T120" s="32" t="s">
        <v>1770</v>
      </c>
      <c r="U120" s="32" t="s">
        <v>1771</v>
      </c>
      <c r="V120" s="32" t="s">
        <v>1772</v>
      </c>
      <c r="W120" s="55">
        <v>28095.0</v>
      </c>
      <c r="X120" s="23" t="s">
        <v>199</v>
      </c>
      <c r="Y120" s="60" t="str">
        <f t="shared" si="6"/>
        <v>Ativo</v>
      </c>
      <c r="Z120" s="62"/>
      <c r="AA120" s="32" t="s">
        <v>107</v>
      </c>
      <c r="AB120" s="64"/>
      <c r="AC120" s="65"/>
      <c r="AD120" s="101">
        <v>45716.0</v>
      </c>
      <c r="AE120" s="69">
        <v>4.907510001803E13</v>
      </c>
      <c r="AF120" s="65"/>
      <c r="AG120" s="65"/>
      <c r="AH120" s="65"/>
      <c r="AI120" s="65">
        <v>1086669.712</v>
      </c>
      <c r="AJ120" s="65">
        <v>1097918.134</v>
      </c>
      <c r="AK120" s="65">
        <v>906395.8332</v>
      </c>
      <c r="AL120" s="65">
        <v>915413.806</v>
      </c>
      <c r="AM120" s="65">
        <v>924409.1728</v>
      </c>
      <c r="AN120" s="71">
        <v>934852.9605</v>
      </c>
      <c r="AO120" s="71">
        <v>944286.176</v>
      </c>
      <c r="AP120" s="72">
        <v>954492.0455</v>
      </c>
      <c r="AQ120" s="72">
        <v>965760.2474</v>
      </c>
      <c r="AR120" s="72">
        <v>976906.5391</v>
      </c>
      <c r="AS120" s="72">
        <v>985821.834</v>
      </c>
      <c r="AT120" s="72">
        <v>130813.01</v>
      </c>
      <c r="AU120" s="72">
        <v>849257.5851</v>
      </c>
      <c r="AV120" s="72">
        <v>857437.72</v>
      </c>
      <c r="AW120" s="72">
        <v>770439.26</v>
      </c>
      <c r="AX120" s="72">
        <v>800518.9313</v>
      </c>
      <c r="AY120" s="72">
        <v>762392.6979</v>
      </c>
      <c r="AZ120" s="65">
        <f t="array" ref="AZ120">XLOOKUP(C120,'PL TOTAL D0'!K:K,'PL TOTAL D0'!L:L,"")</f>
        <v>673115.0059</v>
      </c>
    </row>
    <row r="121" ht="15.75" customHeight="1">
      <c r="A121" s="42" t="s">
        <v>98</v>
      </c>
      <c r="B121" s="43" t="s">
        <v>1773</v>
      </c>
      <c r="C121" s="32">
        <v>1.8718124E7</v>
      </c>
      <c r="D121" s="23" t="s">
        <v>53</v>
      </c>
      <c r="E121" s="32" t="s">
        <v>54</v>
      </c>
      <c r="F121" s="23" t="s">
        <v>507</v>
      </c>
      <c r="G121" s="47" t="str">
        <f t="shared" si="1"/>
        <v>David</v>
      </c>
      <c r="H121" s="49" t="s">
        <v>295</v>
      </c>
      <c r="I121" s="49" t="s">
        <v>447</v>
      </c>
      <c r="J121" s="47" t="str">
        <f t="shared" si="5"/>
        <v>Não</v>
      </c>
      <c r="K121" s="54">
        <v>45938.0</v>
      </c>
      <c r="L121" s="55"/>
      <c r="M121" s="32" t="s">
        <v>201</v>
      </c>
      <c r="N121" s="56">
        <v>0.0</v>
      </c>
      <c r="O121" s="23" t="s">
        <v>66</v>
      </c>
      <c r="P121" s="57">
        <v>0.0</v>
      </c>
      <c r="Q121" s="58"/>
      <c r="R121" s="58"/>
      <c r="S121" s="32" t="s">
        <v>194</v>
      </c>
      <c r="T121" s="32" t="s">
        <v>1776</v>
      </c>
      <c r="U121" s="32" t="s">
        <v>1777</v>
      </c>
      <c r="V121" s="32" t="s">
        <v>1778</v>
      </c>
      <c r="W121" s="55">
        <v>33089.0</v>
      </c>
      <c r="X121" s="23" t="s">
        <v>54</v>
      </c>
      <c r="Y121" s="60" t="str">
        <f t="shared" si="6"/>
        <v>Ativo</v>
      </c>
      <c r="Z121" s="62"/>
      <c r="AA121" s="32" t="s">
        <v>47</v>
      </c>
      <c r="AB121" s="64"/>
      <c r="AC121" s="65"/>
      <c r="AD121" s="139"/>
      <c r="AE121" s="69"/>
      <c r="AF121" s="65"/>
      <c r="AG121" s="65"/>
      <c r="AH121" s="65"/>
      <c r="AI121" s="65"/>
      <c r="AJ121" s="65"/>
      <c r="AK121" s="65"/>
      <c r="AL121" s="65"/>
      <c r="AM121" s="65"/>
      <c r="AN121" s="71"/>
      <c r="AO121" s="71"/>
      <c r="AP121" s="72">
        <v>0.0</v>
      </c>
      <c r="AQ121" s="72">
        <v>0.0</v>
      </c>
      <c r="AR121" s="72">
        <v>0.0</v>
      </c>
      <c r="AS121" s="72">
        <v>26250.89</v>
      </c>
      <c r="AT121" s="72">
        <v>630099.6216</v>
      </c>
      <c r="AU121" s="72">
        <v>5.5</v>
      </c>
      <c r="AV121" s="72">
        <v>5.5</v>
      </c>
      <c r="AW121" s="72">
        <v>9.71</v>
      </c>
      <c r="AX121" s="72">
        <v>9.71</v>
      </c>
      <c r="AY121" s="72">
        <v>9.71</v>
      </c>
      <c r="AZ121" s="65">
        <f t="array" ref="AZ121">XLOOKUP(C121,'PL TOTAL D0'!K:K,'PL TOTAL D0'!L:L,"")</f>
        <v>12.28</v>
      </c>
    </row>
    <row r="122" ht="15.75" customHeight="1">
      <c r="A122" s="42" t="s">
        <v>98</v>
      </c>
      <c r="B122" s="43" t="s">
        <v>1782</v>
      </c>
      <c r="C122" s="32">
        <v>9389773.0</v>
      </c>
      <c r="D122" s="23" t="s">
        <v>210</v>
      </c>
      <c r="E122" s="32" t="s">
        <v>199</v>
      </c>
      <c r="F122" s="23" t="s">
        <v>275</v>
      </c>
      <c r="G122" s="47" t="str">
        <f t="shared" si="1"/>
        <v>David</v>
      </c>
      <c r="H122" s="49" t="s">
        <v>183</v>
      </c>
      <c r="I122" s="49" t="s">
        <v>66</v>
      </c>
      <c r="J122" s="47" t="str">
        <f t="shared" si="5"/>
        <v>Não</v>
      </c>
      <c r="K122" s="54">
        <v>45705.0</v>
      </c>
      <c r="L122" s="55"/>
      <c r="M122" s="32" t="s">
        <v>61</v>
      </c>
      <c r="N122" s="56">
        <v>0.012</v>
      </c>
      <c r="O122" s="23" t="s">
        <v>66</v>
      </c>
      <c r="P122" s="57">
        <v>0.0</v>
      </c>
      <c r="Q122" s="70"/>
      <c r="R122" s="58"/>
      <c r="S122" s="32" t="s">
        <v>234</v>
      </c>
      <c r="T122" s="32" t="s">
        <v>1783</v>
      </c>
      <c r="U122" s="32" t="s">
        <v>1718</v>
      </c>
      <c r="V122" s="32" t="s">
        <v>1719</v>
      </c>
      <c r="W122" s="32" t="s">
        <v>234</v>
      </c>
      <c r="X122" s="23" t="s">
        <v>199</v>
      </c>
      <c r="Y122" s="60" t="str">
        <f t="shared" si="6"/>
        <v>Ativo</v>
      </c>
      <c r="Z122" s="62"/>
      <c r="AA122" s="32" t="s">
        <v>107</v>
      </c>
      <c r="AB122" s="64"/>
      <c r="AC122" s="65"/>
      <c r="AD122" s="101">
        <v>45705.0</v>
      </c>
      <c r="AE122" s="69">
        <v>4.9075100018014E13</v>
      </c>
      <c r="AF122" s="65"/>
      <c r="AG122" s="65"/>
      <c r="AH122" s="65"/>
      <c r="AI122" s="65">
        <v>98189.72</v>
      </c>
      <c r="AJ122" s="65">
        <v>98760.8</v>
      </c>
      <c r="AK122" s="65">
        <v>99877.38</v>
      </c>
      <c r="AL122" s="65">
        <v>100913.2012</v>
      </c>
      <c r="AM122" s="65">
        <v>121899.2635</v>
      </c>
      <c r="AN122" s="71">
        <v>123291.6469</v>
      </c>
      <c r="AO122" s="71">
        <v>124522.7571</v>
      </c>
      <c r="AP122" s="72">
        <v>125717.9944</v>
      </c>
      <c r="AQ122" s="72">
        <v>127178.4092</v>
      </c>
      <c r="AR122" s="72">
        <v>128139.3323</v>
      </c>
      <c r="AS122" s="72">
        <v>129483.81</v>
      </c>
      <c r="AT122" s="72">
        <v>178663.6831</v>
      </c>
      <c r="AU122" s="72">
        <v>131968.4354</v>
      </c>
      <c r="AV122" s="72">
        <v>132257.4308</v>
      </c>
      <c r="AW122" s="72">
        <v>133298.57</v>
      </c>
      <c r="AX122" s="72">
        <v>134136.8139</v>
      </c>
      <c r="AY122" s="72">
        <v>134992.7</v>
      </c>
      <c r="AZ122" s="65">
        <f t="array" ref="AZ122">XLOOKUP(C122,'PL TOTAL D0'!K:K,'PL TOTAL D0'!L:L,"")</f>
        <v>136491.7915</v>
      </c>
    </row>
    <row r="123" ht="15.75" customHeight="1">
      <c r="A123" s="42" t="s">
        <v>98</v>
      </c>
      <c r="B123" s="43" t="s">
        <v>1785</v>
      </c>
      <c r="C123" s="32">
        <v>5612032.0</v>
      </c>
      <c r="D123" s="23" t="s">
        <v>142</v>
      </c>
      <c r="E123" s="32" t="s">
        <v>54</v>
      </c>
      <c r="F123" s="23" t="s">
        <v>158</v>
      </c>
      <c r="G123" s="47" t="str">
        <f t="shared" si="1"/>
        <v>Gabriel</v>
      </c>
      <c r="H123" s="49" t="s">
        <v>183</v>
      </c>
      <c r="I123" s="49" t="s">
        <v>66</v>
      </c>
      <c r="J123" s="47" t="str">
        <f t="shared" si="5"/>
        <v>Não</v>
      </c>
      <c r="K123" s="54">
        <v>45658.0</v>
      </c>
      <c r="L123" s="55"/>
      <c r="M123" s="32" t="s">
        <v>61</v>
      </c>
      <c r="N123" s="56">
        <v>0.012</v>
      </c>
      <c r="O123" s="23" t="s">
        <v>66</v>
      </c>
      <c r="P123" s="57">
        <v>0.0</v>
      </c>
      <c r="Q123" s="58"/>
      <c r="R123" s="58"/>
      <c r="S123" s="32" t="s">
        <v>194</v>
      </c>
      <c r="T123" s="32" t="s">
        <v>1787</v>
      </c>
      <c r="U123" s="32" t="s">
        <v>1788</v>
      </c>
      <c r="V123" s="32" t="s">
        <v>1789</v>
      </c>
      <c r="W123" s="55">
        <v>28689.0</v>
      </c>
      <c r="X123" s="23" t="s">
        <v>54</v>
      </c>
      <c r="Y123" s="60" t="str">
        <f t="shared" si="6"/>
        <v>Ativo</v>
      </c>
      <c r="Z123" s="62"/>
      <c r="AA123" s="32" t="s">
        <v>47</v>
      </c>
      <c r="AB123" s="64"/>
      <c r="AC123" s="65"/>
      <c r="AD123" s="101">
        <v>45658.0</v>
      </c>
      <c r="AE123" s="69">
        <v>4.9075100016471E13</v>
      </c>
      <c r="AF123" s="65"/>
      <c r="AG123" s="65">
        <v>0.0</v>
      </c>
      <c r="AH123" s="65">
        <v>563546.4878</v>
      </c>
      <c r="AI123" s="65">
        <v>563403.492</v>
      </c>
      <c r="AJ123" s="65">
        <v>553614.349</v>
      </c>
      <c r="AK123" s="65">
        <v>556850.1602</v>
      </c>
      <c r="AL123" s="65">
        <v>572436.0538</v>
      </c>
      <c r="AM123" s="65">
        <v>583712.4695</v>
      </c>
      <c r="AN123" s="71">
        <v>591905.9316</v>
      </c>
      <c r="AO123" s="71">
        <v>601186.7159</v>
      </c>
      <c r="AP123" s="72">
        <v>610859.6784</v>
      </c>
      <c r="AQ123" s="72">
        <v>620342.9991</v>
      </c>
      <c r="AR123" s="72">
        <v>622494.0686</v>
      </c>
      <c r="AS123" s="72">
        <v>628759.362</v>
      </c>
      <c r="AT123" s="72">
        <v>203470.4932</v>
      </c>
      <c r="AU123" s="72">
        <v>631879.4489</v>
      </c>
      <c r="AV123" s="72">
        <v>617062.15</v>
      </c>
      <c r="AW123" s="72">
        <v>648176.35</v>
      </c>
      <c r="AX123" s="72">
        <v>665887.35</v>
      </c>
      <c r="AY123" s="72">
        <v>665385.08</v>
      </c>
      <c r="AZ123" s="65">
        <f t="array" ref="AZ123">XLOOKUP(C123,'PL TOTAL D0'!K:K,'PL TOTAL D0'!L:L,"")</f>
        <v>669923.0627</v>
      </c>
    </row>
    <row r="124" ht="15.75" customHeight="1">
      <c r="A124" s="42" t="s">
        <v>98</v>
      </c>
      <c r="B124" s="43" t="s">
        <v>1793</v>
      </c>
      <c r="C124" s="32">
        <v>4660824.0</v>
      </c>
      <c r="D124" s="23" t="s">
        <v>210</v>
      </c>
      <c r="E124" s="32" t="s">
        <v>199</v>
      </c>
      <c r="F124" s="23" t="s">
        <v>275</v>
      </c>
      <c r="G124" s="47" t="str">
        <f t="shared" si="1"/>
        <v>David</v>
      </c>
      <c r="H124" s="49" t="s">
        <v>183</v>
      </c>
      <c r="I124" s="49" t="s">
        <v>66</v>
      </c>
      <c r="J124" s="47" t="str">
        <f t="shared" si="5"/>
        <v>Sim</v>
      </c>
      <c r="K124" s="54">
        <v>45705.0</v>
      </c>
      <c r="L124" s="55"/>
      <c r="M124" s="32" t="s">
        <v>61</v>
      </c>
      <c r="N124" s="56">
        <v>0.012</v>
      </c>
      <c r="O124" s="23" t="s">
        <v>66</v>
      </c>
      <c r="P124" s="57">
        <v>0.0</v>
      </c>
      <c r="Q124" s="58" t="s">
        <v>632</v>
      </c>
      <c r="R124" s="58"/>
      <c r="S124" s="32" t="s">
        <v>194</v>
      </c>
      <c r="T124" s="32" t="s">
        <v>1795</v>
      </c>
      <c r="U124" s="32" t="s">
        <v>1796</v>
      </c>
      <c r="V124" s="32" t="s">
        <v>1797</v>
      </c>
      <c r="W124" s="55">
        <v>33057.0</v>
      </c>
      <c r="X124" s="23" t="s">
        <v>397</v>
      </c>
      <c r="Y124" s="60" t="str">
        <f t="shared" si="6"/>
        <v>Ativo</v>
      </c>
      <c r="Z124" s="62"/>
      <c r="AA124" s="32" t="s">
        <v>107</v>
      </c>
      <c r="AB124" s="64"/>
      <c r="AC124" s="65"/>
      <c r="AD124" s="101">
        <v>45705.0</v>
      </c>
      <c r="AE124" s="69">
        <v>4.9075100017972E13</v>
      </c>
      <c r="AF124" s="65"/>
      <c r="AG124" s="65"/>
      <c r="AH124" s="65"/>
      <c r="AI124" s="65">
        <v>196329.801</v>
      </c>
      <c r="AJ124" s="65">
        <v>196512.9622</v>
      </c>
      <c r="AK124" s="65">
        <v>198627.0231</v>
      </c>
      <c r="AL124" s="65">
        <v>200507.7525</v>
      </c>
      <c r="AM124" s="65">
        <v>202618.24</v>
      </c>
      <c r="AN124" s="71">
        <v>192684.4721</v>
      </c>
      <c r="AO124" s="71">
        <v>189564.2512</v>
      </c>
      <c r="AP124" s="72">
        <v>191602.7279</v>
      </c>
      <c r="AQ124" s="72">
        <v>187732.7471</v>
      </c>
      <c r="AR124" s="72">
        <v>181843.514</v>
      </c>
      <c r="AS124" s="72">
        <v>183831.9047</v>
      </c>
      <c r="AT124" s="72">
        <v>574064.92</v>
      </c>
      <c r="AU124" s="72">
        <v>180226.8499</v>
      </c>
      <c r="AV124" s="72">
        <v>180683.53</v>
      </c>
      <c r="AW124" s="72">
        <v>182388.25</v>
      </c>
      <c r="AX124" s="72">
        <v>183052.3511</v>
      </c>
      <c r="AY124" s="72">
        <v>184874.342</v>
      </c>
      <c r="AZ124" s="65">
        <f t="array" ref="AZ124">XLOOKUP(C124,'PL TOTAL D0'!K:K,'PL TOTAL D0'!L:L,"")</f>
        <v>186912.3304</v>
      </c>
    </row>
    <row r="125" ht="15.75" customHeight="1">
      <c r="A125" s="42" t="s">
        <v>98</v>
      </c>
      <c r="B125" s="43" t="s">
        <v>1798</v>
      </c>
      <c r="C125" s="32">
        <v>4627761.0</v>
      </c>
      <c r="D125" s="23" t="s">
        <v>210</v>
      </c>
      <c r="E125" s="32" t="s">
        <v>199</v>
      </c>
      <c r="F125" s="23" t="s">
        <v>275</v>
      </c>
      <c r="G125" s="47" t="str">
        <f t="shared" si="1"/>
        <v>David</v>
      </c>
      <c r="H125" s="49" t="s">
        <v>183</v>
      </c>
      <c r="I125" s="49" t="s">
        <v>66</v>
      </c>
      <c r="J125" s="47" t="str">
        <f t="shared" si="5"/>
        <v>Sim</v>
      </c>
      <c r="K125" s="54">
        <v>45705.0</v>
      </c>
      <c r="L125" s="55"/>
      <c r="M125" s="32" t="s">
        <v>390</v>
      </c>
      <c r="N125" s="56">
        <v>0.011</v>
      </c>
      <c r="O125" s="23" t="s">
        <v>66</v>
      </c>
      <c r="P125" s="57">
        <v>0.0</v>
      </c>
      <c r="Q125" s="58" t="s">
        <v>1511</v>
      </c>
      <c r="R125" s="58"/>
      <c r="S125" s="32" t="s">
        <v>194</v>
      </c>
      <c r="T125" s="32" t="s">
        <v>1799</v>
      </c>
      <c r="U125" s="32" t="s">
        <v>1800</v>
      </c>
      <c r="V125" s="32" t="s">
        <v>1801</v>
      </c>
      <c r="W125" s="55">
        <v>29631.0</v>
      </c>
      <c r="X125" s="23" t="s">
        <v>199</v>
      </c>
      <c r="Y125" s="60" t="str">
        <f t="shared" si="6"/>
        <v>Ativo</v>
      </c>
      <c r="Z125" s="62"/>
      <c r="AA125" s="32" t="s">
        <v>47</v>
      </c>
      <c r="AB125" s="64"/>
      <c r="AC125" s="65"/>
      <c r="AD125" s="101">
        <v>45705.0</v>
      </c>
      <c r="AE125" s="69">
        <v>4.9075100017832E13</v>
      </c>
      <c r="AF125" s="65"/>
      <c r="AG125" s="65"/>
      <c r="AH125" s="65"/>
      <c r="AI125" s="65">
        <v>204592.5697</v>
      </c>
      <c r="AJ125" s="65">
        <v>212757.8159</v>
      </c>
      <c r="AK125" s="65">
        <v>216388.4038</v>
      </c>
      <c r="AL125" s="65">
        <v>214704.4631</v>
      </c>
      <c r="AM125" s="65">
        <v>209190.9438</v>
      </c>
      <c r="AN125" s="71">
        <v>199213.8603</v>
      </c>
      <c r="AO125" s="71">
        <v>196256.9338</v>
      </c>
      <c r="AP125" s="72">
        <v>198898.8283</v>
      </c>
      <c r="AQ125" s="72">
        <v>201583.1309</v>
      </c>
      <c r="AR125" s="72">
        <v>203631.9668</v>
      </c>
      <c r="AS125" s="72">
        <v>206714.9559</v>
      </c>
      <c r="AT125" s="72">
        <v>203490.49</v>
      </c>
      <c r="AU125" s="72">
        <v>190236.3603</v>
      </c>
      <c r="AV125" s="72">
        <v>182335.8</v>
      </c>
      <c r="AW125" s="72">
        <v>183134.74</v>
      </c>
      <c r="AX125" s="72">
        <v>180444.1887</v>
      </c>
      <c r="AY125" s="72">
        <v>175134.3596</v>
      </c>
      <c r="AZ125" s="65">
        <f t="array" ref="AZ125">XLOOKUP(C125,'PL TOTAL D0'!K:K,'PL TOTAL D0'!L:L,"")</f>
        <v>175912.3119</v>
      </c>
    </row>
    <row r="126" ht="15.75" customHeight="1">
      <c r="A126" s="42" t="s">
        <v>98</v>
      </c>
      <c r="B126" s="43" t="s">
        <v>1803</v>
      </c>
      <c r="C126" s="32">
        <v>474990.0</v>
      </c>
      <c r="D126" s="23" t="s">
        <v>210</v>
      </c>
      <c r="E126" s="32" t="s">
        <v>199</v>
      </c>
      <c r="F126" s="23" t="s">
        <v>275</v>
      </c>
      <c r="G126" s="47" t="str">
        <f t="shared" si="1"/>
        <v>Gabriel</v>
      </c>
      <c r="H126" s="49" t="s">
        <v>295</v>
      </c>
      <c r="I126" s="49" t="s">
        <v>447</v>
      </c>
      <c r="J126" s="47" t="str">
        <f t="shared" si="5"/>
        <v>Sim</v>
      </c>
      <c r="K126" s="54">
        <v>45716.0</v>
      </c>
      <c r="L126" s="55"/>
      <c r="M126" s="32" t="s">
        <v>201</v>
      </c>
      <c r="N126" s="56">
        <v>0.0</v>
      </c>
      <c r="O126" s="23" t="s">
        <v>66</v>
      </c>
      <c r="P126" s="57">
        <v>0.0</v>
      </c>
      <c r="Q126" s="58" t="s">
        <v>326</v>
      </c>
      <c r="R126" s="58"/>
      <c r="S126" s="32" t="s">
        <v>194</v>
      </c>
      <c r="T126" s="32" t="s">
        <v>1804</v>
      </c>
      <c r="U126" s="32" t="s">
        <v>1805</v>
      </c>
      <c r="V126" s="32" t="s">
        <v>1806</v>
      </c>
      <c r="W126" s="121">
        <v>30281.0</v>
      </c>
      <c r="X126" s="23" t="s">
        <v>199</v>
      </c>
      <c r="Y126" s="60" t="str">
        <f t="shared" si="6"/>
        <v>Ativo</v>
      </c>
      <c r="Z126" s="62"/>
      <c r="AA126" s="32" t="s">
        <v>107</v>
      </c>
      <c r="AB126" s="64"/>
      <c r="AC126" s="65"/>
      <c r="AD126" s="101">
        <v>45716.0</v>
      </c>
      <c r="AE126" s="69">
        <v>4.9075100018057E13</v>
      </c>
      <c r="AF126" s="65"/>
      <c r="AG126" s="65"/>
      <c r="AH126" s="65"/>
      <c r="AI126" s="65">
        <v>1275066.602</v>
      </c>
      <c r="AJ126" s="65">
        <v>1290778.759</v>
      </c>
      <c r="AK126" s="65">
        <v>1289715.184</v>
      </c>
      <c r="AL126" s="65">
        <v>1306428.491</v>
      </c>
      <c r="AM126" s="65">
        <v>1317124.19</v>
      </c>
      <c r="AN126" s="71">
        <v>1327222.773</v>
      </c>
      <c r="AO126" s="71">
        <v>1344406.717</v>
      </c>
      <c r="AP126" s="72">
        <v>1353959.621</v>
      </c>
      <c r="AQ126" s="72">
        <v>1365529.837</v>
      </c>
      <c r="AR126" s="72">
        <v>1375481.602</v>
      </c>
      <c r="AS126" s="72">
        <v>1382647.82</v>
      </c>
      <c r="AT126" s="72">
        <v>574064.92</v>
      </c>
      <c r="AU126" s="72">
        <v>416105.81</v>
      </c>
      <c r="AV126" s="72">
        <v>403522.47</v>
      </c>
      <c r="AW126" s="72">
        <v>411075.35</v>
      </c>
      <c r="AX126" s="72">
        <v>417996.53</v>
      </c>
      <c r="AY126" s="72">
        <v>416242.67</v>
      </c>
      <c r="AZ126" s="65">
        <f t="array" ref="AZ126">XLOOKUP(C126,'PL TOTAL D0'!K:K,'PL TOTAL D0'!L:L,"")</f>
        <v>424136.717</v>
      </c>
    </row>
    <row r="127" ht="15.75" customHeight="1">
      <c r="A127" s="42" t="s">
        <v>98</v>
      </c>
      <c r="B127" s="43" t="s">
        <v>1803</v>
      </c>
      <c r="C127" s="32">
        <v>1.8809506E7</v>
      </c>
      <c r="D127" s="23" t="s">
        <v>210</v>
      </c>
      <c r="E127" s="32" t="s">
        <v>199</v>
      </c>
      <c r="F127" s="23" t="s">
        <v>275</v>
      </c>
      <c r="G127" s="47" t="str">
        <f t="shared" si="1"/>
        <v>Marcus</v>
      </c>
      <c r="H127" s="49" t="s">
        <v>295</v>
      </c>
      <c r="I127" s="49" t="s">
        <v>1807</v>
      </c>
      <c r="J127" s="47" t="str">
        <f t="shared" si="5"/>
        <v>Não</v>
      </c>
      <c r="K127" s="54">
        <v>45966.0</v>
      </c>
      <c r="L127" s="55"/>
      <c r="M127" s="32" t="s">
        <v>201</v>
      </c>
      <c r="N127" s="56">
        <v>0.0</v>
      </c>
      <c r="O127" s="23" t="s">
        <v>66</v>
      </c>
      <c r="P127" s="57">
        <v>0.0</v>
      </c>
      <c r="Q127" s="58"/>
      <c r="R127" s="58"/>
      <c r="S127" s="32" t="s">
        <v>194</v>
      </c>
      <c r="T127" s="32" t="s">
        <v>1804</v>
      </c>
      <c r="U127" s="32" t="s">
        <v>1805</v>
      </c>
      <c r="V127" s="32" t="s">
        <v>1806</v>
      </c>
      <c r="W127" s="121">
        <v>30281.0</v>
      </c>
      <c r="X127" s="23" t="s">
        <v>199</v>
      </c>
      <c r="Y127" s="60" t="str">
        <f t="shared" si="6"/>
        <v>Ativo</v>
      </c>
      <c r="Z127" s="62"/>
      <c r="AA127" s="32" t="s">
        <v>107</v>
      </c>
      <c r="AB127" s="64"/>
      <c r="AC127" s="65"/>
      <c r="AD127" s="139"/>
      <c r="AE127" s="69"/>
      <c r="AF127" s="65"/>
      <c r="AG127" s="65"/>
      <c r="AH127" s="65"/>
      <c r="AI127" s="65"/>
      <c r="AJ127" s="65"/>
      <c r="AK127" s="65"/>
      <c r="AL127" s="65"/>
      <c r="AM127" s="65"/>
      <c r="AN127" s="71"/>
      <c r="AO127" s="71"/>
      <c r="AP127" s="72"/>
      <c r="AQ127" s="72">
        <v>0.0</v>
      </c>
      <c r="AR127" s="72">
        <v>0.0</v>
      </c>
      <c r="AS127" s="72">
        <v>0.0</v>
      </c>
      <c r="AT127" s="72">
        <v>526683.06</v>
      </c>
      <c r="AU127" s="72">
        <v>984964.18</v>
      </c>
      <c r="AV127" s="72">
        <v>970548.37</v>
      </c>
      <c r="AW127" s="72">
        <v>980203.93</v>
      </c>
      <c r="AX127" s="72">
        <v>990508.98</v>
      </c>
      <c r="AY127" s="72">
        <v>1000510.55</v>
      </c>
      <c r="AZ127" s="65">
        <f t="array" ref="AZ127">XLOOKUP(C127,'PL TOTAL D0'!K:K,'PL TOTAL D0'!L:L,"")</f>
        <v>1054853.714</v>
      </c>
    </row>
    <row r="128" ht="15.75" customHeight="1">
      <c r="A128" s="42" t="s">
        <v>98</v>
      </c>
      <c r="B128" s="43" t="s">
        <v>1809</v>
      </c>
      <c r="C128" s="32">
        <v>9169673.0</v>
      </c>
      <c r="D128" s="23" t="s">
        <v>120</v>
      </c>
      <c r="E128" s="32" t="s">
        <v>199</v>
      </c>
      <c r="F128" s="23" t="s">
        <v>1582</v>
      </c>
      <c r="G128" s="47" t="str">
        <f t="shared" si="1"/>
        <v>David</v>
      </c>
      <c r="H128" s="49" t="s">
        <v>295</v>
      </c>
      <c r="I128" s="49" t="s">
        <v>447</v>
      </c>
      <c r="J128" s="47" t="str">
        <f t="shared" si="5"/>
        <v>Não</v>
      </c>
      <c r="K128" s="54">
        <v>45852.0</v>
      </c>
      <c r="L128" s="55"/>
      <c r="M128" s="32" t="s">
        <v>201</v>
      </c>
      <c r="N128" s="56">
        <v>0.0</v>
      </c>
      <c r="O128" s="23" t="s">
        <v>66</v>
      </c>
      <c r="P128" s="57">
        <v>0.0</v>
      </c>
      <c r="Q128" s="58"/>
      <c r="R128" s="58"/>
      <c r="S128" s="32" t="s">
        <v>194</v>
      </c>
      <c r="T128" s="32" t="s">
        <v>1810</v>
      </c>
      <c r="U128" s="32" t="s">
        <v>1811</v>
      </c>
      <c r="V128" s="32" t="s">
        <v>1812</v>
      </c>
      <c r="W128" s="121">
        <v>36858.0</v>
      </c>
      <c r="X128" s="23" t="s">
        <v>199</v>
      </c>
      <c r="Y128" s="60" t="str">
        <f t="shared" si="6"/>
        <v>Ativo</v>
      </c>
      <c r="Z128" s="62"/>
      <c r="AA128" s="32" t="s">
        <v>47</v>
      </c>
      <c r="AB128" s="64"/>
      <c r="AC128" s="65"/>
      <c r="AD128" s="139"/>
      <c r="AE128" s="69"/>
      <c r="AF128" s="65"/>
      <c r="AG128" s="65"/>
      <c r="AH128" s="65"/>
      <c r="AI128" s="65"/>
      <c r="AJ128" s="65"/>
      <c r="AK128" s="65"/>
      <c r="AL128" s="65"/>
      <c r="AM128" s="65"/>
      <c r="AN128" s="71">
        <v>0.0</v>
      </c>
      <c r="AO128" s="71">
        <v>0.0</v>
      </c>
      <c r="AP128" s="72">
        <v>0.0</v>
      </c>
      <c r="AQ128" s="72">
        <v>0.0</v>
      </c>
      <c r="AR128" s="72">
        <v>0.0</v>
      </c>
      <c r="AS128" s="72">
        <v>0.0</v>
      </c>
      <c r="AT128" s="72">
        <v>0.0</v>
      </c>
      <c r="AU128" s="72">
        <v>0.0</v>
      </c>
      <c r="AV128" s="72">
        <v>0.0</v>
      </c>
      <c r="AW128" s="72">
        <v>0.0</v>
      </c>
      <c r="AX128" s="72">
        <v>0.0</v>
      </c>
      <c r="AY128" s="72">
        <v>0.0</v>
      </c>
      <c r="AZ128" s="65">
        <f t="array" ref="AZ128">XLOOKUP(C128,'PL TOTAL D0'!K:K,'PL TOTAL D0'!L:L,"")</f>
        <v>0</v>
      </c>
    </row>
    <row r="129" ht="15.75" customHeight="1">
      <c r="A129" s="42" t="s">
        <v>98</v>
      </c>
      <c r="B129" s="43" t="s">
        <v>1813</v>
      </c>
      <c r="C129" s="32">
        <v>9602680.0</v>
      </c>
      <c r="D129" s="23" t="s">
        <v>210</v>
      </c>
      <c r="E129" s="32" t="s">
        <v>199</v>
      </c>
      <c r="F129" s="23" t="s">
        <v>275</v>
      </c>
      <c r="G129" s="47" t="str">
        <f t="shared" si="1"/>
        <v>Gabriel</v>
      </c>
      <c r="H129" s="49" t="s">
        <v>183</v>
      </c>
      <c r="I129" s="49" t="s">
        <v>66</v>
      </c>
      <c r="J129" s="47" t="str">
        <f t="shared" si="5"/>
        <v>Sim</v>
      </c>
      <c r="K129" s="54">
        <v>45712.0</v>
      </c>
      <c r="L129" s="55"/>
      <c r="M129" s="32" t="s">
        <v>61</v>
      </c>
      <c r="N129" s="56">
        <v>0.012</v>
      </c>
      <c r="O129" s="23" t="s">
        <v>66</v>
      </c>
      <c r="P129" s="57">
        <v>0.0</v>
      </c>
      <c r="Q129" s="58" t="s">
        <v>314</v>
      </c>
      <c r="R129" s="58"/>
      <c r="S129" s="32" t="s">
        <v>194</v>
      </c>
      <c r="T129" s="32" t="s">
        <v>1814</v>
      </c>
      <c r="U129" s="32" t="s">
        <v>1815</v>
      </c>
      <c r="V129" s="32" t="s">
        <v>1816</v>
      </c>
      <c r="W129" s="55">
        <v>13971.0</v>
      </c>
      <c r="X129" s="23" t="s">
        <v>199</v>
      </c>
      <c r="Y129" s="60" t="str">
        <f t="shared" si="6"/>
        <v>Ativo</v>
      </c>
      <c r="Z129" s="62"/>
      <c r="AA129" s="32" t="s">
        <v>107</v>
      </c>
      <c r="AB129" s="64"/>
      <c r="AC129" s="65"/>
      <c r="AD129" s="101">
        <v>45712.0</v>
      </c>
      <c r="AE129" s="69">
        <v>4.9075100017921E13</v>
      </c>
      <c r="AF129" s="65"/>
      <c r="AG129" s="65"/>
      <c r="AH129" s="65"/>
      <c r="AI129" s="65">
        <v>957309.9113</v>
      </c>
      <c r="AJ129" s="65">
        <v>953028.1766</v>
      </c>
      <c r="AK129" s="65">
        <v>958320.77</v>
      </c>
      <c r="AL129" s="65">
        <v>974565.0575</v>
      </c>
      <c r="AM129" s="65">
        <v>989840.0136</v>
      </c>
      <c r="AN129" s="71">
        <v>707930.2844</v>
      </c>
      <c r="AO129" s="71">
        <v>720008.0695</v>
      </c>
      <c r="AP129" s="72">
        <v>731588.2132</v>
      </c>
      <c r="AQ129" s="72">
        <v>743611.522</v>
      </c>
      <c r="AR129" s="72">
        <v>745877.2055</v>
      </c>
      <c r="AS129" s="72">
        <v>518558.58</v>
      </c>
      <c r="AT129" s="72">
        <v>720467.2731</v>
      </c>
      <c r="AU129" s="72">
        <v>527051.4874</v>
      </c>
      <c r="AV129" s="72">
        <v>507418.53</v>
      </c>
      <c r="AW129" s="72">
        <v>534146.97</v>
      </c>
      <c r="AX129" s="72">
        <v>549033.41</v>
      </c>
      <c r="AY129" s="72">
        <v>544767.61</v>
      </c>
      <c r="AZ129" s="65">
        <f t="array" ref="AZ129">XLOOKUP(C129,'PL TOTAL D0'!K:K,'PL TOTAL D0'!L:L,"")</f>
        <v>546635.5148</v>
      </c>
    </row>
    <row r="130" ht="15.75" customHeight="1">
      <c r="A130" s="42" t="s">
        <v>98</v>
      </c>
      <c r="B130" s="43" t="s">
        <v>1822</v>
      </c>
      <c r="C130" s="32">
        <v>2694253.0</v>
      </c>
      <c r="D130" s="23" t="s">
        <v>120</v>
      </c>
      <c r="E130" s="32" t="s">
        <v>199</v>
      </c>
      <c r="F130" s="23" t="s">
        <v>290</v>
      </c>
      <c r="G130" s="47" t="str">
        <f t="shared" si="1"/>
        <v>Gabriel</v>
      </c>
      <c r="H130" s="49" t="s">
        <v>295</v>
      </c>
      <c r="I130" s="49" t="s">
        <v>66</v>
      </c>
      <c r="J130" s="47" t="str">
        <f t="shared" si="5"/>
        <v>Não</v>
      </c>
      <c r="K130" s="54">
        <v>45923.0</v>
      </c>
      <c r="L130" s="55"/>
      <c r="M130" s="32" t="s">
        <v>201</v>
      </c>
      <c r="N130" s="56">
        <v>0.0</v>
      </c>
      <c r="O130" s="23" t="s">
        <v>66</v>
      </c>
      <c r="P130" s="57">
        <v>0.0</v>
      </c>
      <c r="Q130" s="58"/>
      <c r="R130" s="58" t="s">
        <v>1823</v>
      </c>
      <c r="S130" s="32" t="s">
        <v>234</v>
      </c>
      <c r="T130" s="32" t="s">
        <v>1824</v>
      </c>
      <c r="U130" s="32"/>
      <c r="V130" s="32"/>
      <c r="W130" s="55"/>
      <c r="X130" s="23"/>
      <c r="Y130" s="60" t="str">
        <f t="shared" si="6"/>
        <v>Ativo</v>
      </c>
      <c r="Z130" s="62"/>
      <c r="AA130" s="32"/>
      <c r="AB130" s="64"/>
      <c r="AC130" s="65"/>
      <c r="AD130" s="67">
        <v>45923.0</v>
      </c>
      <c r="AE130" s="69">
        <v>4.907510001946E13</v>
      </c>
      <c r="AF130" s="65"/>
      <c r="AG130" s="65"/>
      <c r="AH130" s="65"/>
      <c r="AI130" s="65"/>
      <c r="AJ130" s="65"/>
      <c r="AK130" s="65"/>
      <c r="AL130" s="65"/>
      <c r="AM130" s="65"/>
      <c r="AN130" s="71"/>
      <c r="AO130" s="71"/>
      <c r="AP130" s="72">
        <v>634881.82</v>
      </c>
      <c r="AQ130" s="72">
        <v>642547.7</v>
      </c>
      <c r="AR130" s="72">
        <v>643431.03</v>
      </c>
      <c r="AS130" s="72">
        <v>651426.78</v>
      </c>
      <c r="AT130" s="72">
        <v>100130.3702</v>
      </c>
      <c r="AU130" s="72">
        <v>665998.32</v>
      </c>
      <c r="AV130" s="72">
        <v>587622.41</v>
      </c>
      <c r="AW130" s="72">
        <v>593859.6</v>
      </c>
      <c r="AX130" s="72">
        <v>594918.18</v>
      </c>
      <c r="AY130" s="72">
        <v>581925.3</v>
      </c>
      <c r="AZ130" s="65">
        <f t="array" ref="AZ130">XLOOKUP(C130,'PL TOTAL D0'!K:K,'PL TOTAL D0'!L:L,"")</f>
        <v>431585.25</v>
      </c>
    </row>
    <row r="131" ht="15.75" customHeight="1">
      <c r="A131" s="42" t="s">
        <v>98</v>
      </c>
      <c r="B131" s="43" t="s">
        <v>1830</v>
      </c>
      <c r="C131" s="32">
        <v>87474.0</v>
      </c>
      <c r="D131" s="23" t="s">
        <v>210</v>
      </c>
      <c r="E131" s="32" t="s">
        <v>199</v>
      </c>
      <c r="F131" s="23" t="s">
        <v>275</v>
      </c>
      <c r="G131" s="47" t="str">
        <f t="shared" si="1"/>
        <v>Gabriel</v>
      </c>
      <c r="H131" s="49" t="s">
        <v>183</v>
      </c>
      <c r="I131" s="49" t="s">
        <v>66</v>
      </c>
      <c r="J131" s="47" t="str">
        <f t="shared" si="5"/>
        <v>Sim</v>
      </c>
      <c r="K131" s="54">
        <v>45706.0</v>
      </c>
      <c r="L131" s="55"/>
      <c r="M131" s="32" t="s">
        <v>390</v>
      </c>
      <c r="N131" s="56">
        <v>0.007</v>
      </c>
      <c r="O131" s="23" t="s">
        <v>66</v>
      </c>
      <c r="P131" s="57">
        <v>0.0</v>
      </c>
      <c r="Q131" s="58" t="s">
        <v>326</v>
      </c>
      <c r="R131" s="58"/>
      <c r="S131" s="32" t="s">
        <v>194</v>
      </c>
      <c r="T131" s="32" t="s">
        <v>1834</v>
      </c>
      <c r="U131" s="32" t="s">
        <v>1835</v>
      </c>
      <c r="V131" s="32" t="s">
        <v>1836</v>
      </c>
      <c r="W131" s="55">
        <v>33063.0</v>
      </c>
      <c r="X131" s="23" t="s">
        <v>199</v>
      </c>
      <c r="Y131" s="60" t="str">
        <f t="shared" si="6"/>
        <v>Ativo</v>
      </c>
      <c r="Z131" s="62"/>
      <c r="AA131" s="32" t="s">
        <v>47</v>
      </c>
      <c r="AB131" s="64"/>
      <c r="AC131" s="65"/>
      <c r="AD131" s="101">
        <v>45706.0</v>
      </c>
      <c r="AE131" s="69">
        <v>4.9075100017824E13</v>
      </c>
      <c r="AF131" s="65"/>
      <c r="AG131" s="65"/>
      <c r="AH131" s="65"/>
      <c r="AI131" s="65">
        <v>608685.3332</v>
      </c>
      <c r="AJ131" s="65">
        <v>590322.7233</v>
      </c>
      <c r="AK131" s="65">
        <v>604533.2208</v>
      </c>
      <c r="AL131" s="65">
        <v>619862.5624</v>
      </c>
      <c r="AM131" s="65">
        <v>627086.61</v>
      </c>
      <c r="AN131" s="71">
        <v>634042.73</v>
      </c>
      <c r="AO131" s="71">
        <v>660218.3292</v>
      </c>
      <c r="AP131" s="72">
        <v>585825.9338</v>
      </c>
      <c r="AQ131" s="72">
        <v>688611.5534</v>
      </c>
      <c r="AR131" s="72">
        <v>665269.9636</v>
      </c>
      <c r="AS131" s="72">
        <v>717289.4404</v>
      </c>
      <c r="AT131" s="72">
        <v>597946.41</v>
      </c>
      <c r="AU131" s="72">
        <v>722682.4048</v>
      </c>
      <c r="AV131" s="72">
        <v>726989.8165</v>
      </c>
      <c r="AW131" s="72">
        <v>736377.06</v>
      </c>
      <c r="AX131" s="72">
        <v>736318.3281</v>
      </c>
      <c r="AY131" s="72">
        <v>735750.0501</v>
      </c>
      <c r="AZ131" s="65">
        <f t="array" ref="AZ131">XLOOKUP(C131,'PL TOTAL D0'!K:K,'PL TOTAL D0'!L:L,"")</f>
        <v>765787.8022</v>
      </c>
    </row>
    <row r="132" ht="15.75" customHeight="1">
      <c r="A132" s="42" t="s">
        <v>98</v>
      </c>
      <c r="B132" s="43" t="s">
        <v>1843</v>
      </c>
      <c r="C132" s="32">
        <v>3821522.0</v>
      </c>
      <c r="D132" s="23" t="s">
        <v>365</v>
      </c>
      <c r="E132" s="32" t="s">
        <v>199</v>
      </c>
      <c r="F132" s="23" t="s">
        <v>1111</v>
      </c>
      <c r="G132" s="47" t="str">
        <f t="shared" si="1"/>
        <v>David</v>
      </c>
      <c r="H132" s="49" t="s">
        <v>183</v>
      </c>
      <c r="I132" s="49" t="s">
        <v>66</v>
      </c>
      <c r="J132" s="47" t="str">
        <f t="shared" si="5"/>
        <v>Não</v>
      </c>
      <c r="K132" s="54">
        <v>45790.0</v>
      </c>
      <c r="L132" s="55"/>
      <c r="M132" s="32" t="s">
        <v>61</v>
      </c>
      <c r="N132" s="56">
        <v>0.012</v>
      </c>
      <c r="O132" s="23" t="s">
        <v>66</v>
      </c>
      <c r="P132" s="57">
        <v>0.0</v>
      </c>
      <c r="Q132" s="58"/>
      <c r="R132" s="58"/>
      <c r="S132" s="32" t="s">
        <v>194</v>
      </c>
      <c r="T132" s="32" t="s">
        <v>1844</v>
      </c>
      <c r="U132" s="32" t="s">
        <v>1845</v>
      </c>
      <c r="V132" s="32" t="s">
        <v>1846</v>
      </c>
      <c r="W132" s="121">
        <v>19349.0</v>
      </c>
      <c r="X132" s="23" t="s">
        <v>199</v>
      </c>
      <c r="Y132" s="60" t="str">
        <f t="shared" si="6"/>
        <v>Ativo</v>
      </c>
      <c r="Z132" s="62"/>
      <c r="AA132" s="32" t="s">
        <v>165</v>
      </c>
      <c r="AB132" s="64"/>
      <c r="AC132" s="65"/>
      <c r="AD132" s="67">
        <v>45790.0</v>
      </c>
      <c r="AE132" s="69">
        <v>4.9075100018901E13</v>
      </c>
      <c r="AF132" s="65"/>
      <c r="AG132" s="65"/>
      <c r="AH132" s="65"/>
      <c r="AI132" s="65"/>
      <c r="AJ132" s="65"/>
      <c r="AK132" s="65"/>
      <c r="AL132" s="65">
        <v>89953.53796</v>
      </c>
      <c r="AM132" s="65">
        <v>82760.48044</v>
      </c>
      <c r="AN132" s="71">
        <v>90622.32421</v>
      </c>
      <c r="AO132" s="71">
        <v>91145.81653</v>
      </c>
      <c r="AP132" s="72">
        <v>82515.8512</v>
      </c>
      <c r="AQ132" s="72">
        <v>83710.43125</v>
      </c>
      <c r="AR132" s="72">
        <v>90654.47135</v>
      </c>
      <c r="AS132" s="72">
        <v>100228.16</v>
      </c>
      <c r="AT132" s="72">
        <v>294857.602</v>
      </c>
      <c r="AU132" s="72">
        <v>95578.88024</v>
      </c>
      <c r="AV132" s="72">
        <v>96910.03778</v>
      </c>
      <c r="AW132" s="72">
        <v>100030.58</v>
      </c>
      <c r="AX132" s="72">
        <v>101146.136</v>
      </c>
      <c r="AY132" s="72">
        <v>102129.5032</v>
      </c>
      <c r="AZ132" s="65">
        <f t="array" ref="AZ132">XLOOKUP(C132,'PL TOTAL D0'!K:K,'PL TOTAL D0'!L:L,"")</f>
        <v>107094.3482</v>
      </c>
    </row>
    <row r="133" ht="15.75" customHeight="1">
      <c r="A133" s="320"/>
      <c r="B133" s="320"/>
      <c r="C133" s="321"/>
      <c r="D133" s="256"/>
      <c r="E133" s="256"/>
      <c r="F133" s="254"/>
      <c r="G133" s="254"/>
      <c r="H133" s="253"/>
      <c r="I133" s="323"/>
      <c r="J133" s="253"/>
      <c r="K133" s="324"/>
      <c r="L133" s="324"/>
      <c r="M133" s="254"/>
      <c r="N133" s="273"/>
      <c r="O133" s="273"/>
      <c r="P133" s="325"/>
      <c r="Q133" s="274"/>
      <c r="R133" s="274"/>
      <c r="S133" s="254"/>
      <c r="T133" s="254"/>
      <c r="U133" s="254"/>
      <c r="V133" s="254"/>
      <c r="W133" s="254"/>
      <c r="X133" s="254"/>
      <c r="Y133" s="254"/>
      <c r="Z133" s="324"/>
      <c r="AA133" s="324"/>
      <c r="AB133" s="324"/>
      <c r="AC133" s="327"/>
      <c r="AD133" s="327"/>
      <c r="AE133" s="327"/>
      <c r="AF133" s="210"/>
      <c r="AG133" s="210"/>
      <c r="AH133" s="210"/>
      <c r="AI133" s="210"/>
      <c r="AJ133" s="210"/>
      <c r="AK133" s="210"/>
      <c r="AL133" s="210"/>
      <c r="AM133" s="210"/>
      <c r="AN133" s="210"/>
      <c r="AO133" s="210"/>
      <c r="AP133" s="210"/>
      <c r="AQ133" s="210"/>
      <c r="AR133" s="210"/>
      <c r="AS133" s="210"/>
      <c r="AT133" s="210"/>
      <c r="AU133" s="210"/>
      <c r="AV133" s="210"/>
      <c r="AW133" s="210"/>
      <c r="AX133" s="210"/>
      <c r="AY133" s="210"/>
      <c r="AZ133" s="210"/>
    </row>
    <row r="134" ht="15.75" customHeight="1">
      <c r="A134" s="320"/>
      <c r="B134" s="320"/>
      <c r="C134" s="321"/>
      <c r="D134" s="256"/>
      <c r="E134" s="256"/>
      <c r="F134" s="254"/>
      <c r="G134" s="254"/>
      <c r="H134" s="253"/>
      <c r="I134" s="323"/>
      <c r="J134" s="253"/>
      <c r="K134" s="324"/>
      <c r="L134" s="324"/>
      <c r="M134" s="254"/>
      <c r="N134" s="273"/>
      <c r="O134" s="273"/>
      <c r="P134" s="325"/>
      <c r="Q134" s="274"/>
      <c r="R134" s="274"/>
      <c r="S134" s="254"/>
      <c r="T134" s="254"/>
      <c r="U134" s="254"/>
      <c r="V134" s="254"/>
      <c r="W134" s="254"/>
      <c r="X134" s="254"/>
      <c r="Y134" s="254"/>
      <c r="Z134" s="324"/>
      <c r="AA134" s="324"/>
      <c r="AB134" s="324"/>
      <c r="AC134" s="327"/>
      <c r="AD134" s="327"/>
      <c r="AE134" s="327"/>
      <c r="AF134" s="210"/>
      <c r="AG134" s="210"/>
      <c r="AH134" s="210"/>
      <c r="AI134" s="210"/>
      <c r="AJ134" s="210"/>
      <c r="AK134" s="210"/>
      <c r="AL134" s="210"/>
      <c r="AM134" s="210"/>
      <c r="AN134" s="210"/>
      <c r="AO134" s="210"/>
      <c r="AP134" s="210"/>
      <c r="AQ134" s="210"/>
      <c r="AR134" s="210"/>
      <c r="AS134" s="210"/>
      <c r="AT134" s="210"/>
      <c r="AU134" s="210"/>
      <c r="AV134" s="210"/>
      <c r="AW134" s="210"/>
      <c r="AX134" s="210"/>
      <c r="AY134" s="210"/>
      <c r="AZ134" s="210"/>
    </row>
    <row r="135" ht="15.75" customHeight="1">
      <c r="A135" s="333"/>
      <c r="B135" s="334" t="s">
        <v>1353</v>
      </c>
      <c r="C135" s="335">
        <f>COUNTIF(H:H,"Ativo")</f>
        <v>97</v>
      </c>
      <c r="D135" s="336"/>
      <c r="E135" s="254"/>
      <c r="F135" s="254"/>
      <c r="G135" s="254"/>
      <c r="H135" s="254"/>
      <c r="I135" s="255"/>
      <c r="J135" s="254"/>
      <c r="K135" s="324"/>
      <c r="L135" s="324"/>
      <c r="M135" s="254"/>
      <c r="N135" s="273"/>
      <c r="O135" s="273"/>
      <c r="P135" s="325"/>
      <c r="Q135" s="274"/>
      <c r="R135" s="274"/>
      <c r="S135" s="254"/>
      <c r="T135" s="336"/>
      <c r="U135" s="336"/>
      <c r="V135" s="336"/>
      <c r="W135" s="336"/>
      <c r="X135" s="336"/>
      <c r="Y135" s="254"/>
      <c r="Z135" s="324"/>
      <c r="AA135" s="324"/>
      <c r="AB135" s="324"/>
      <c r="AC135" s="327"/>
      <c r="AD135" s="327"/>
      <c r="AE135" s="327"/>
      <c r="AF135" s="289">
        <f t="shared" ref="AF135:AZ135" si="7">SUM(AF3:AF134)</f>
        <v>6723922.69</v>
      </c>
      <c r="AG135" s="289">
        <f t="shared" si="7"/>
        <v>10033640.48</v>
      </c>
      <c r="AH135" s="289">
        <f t="shared" si="7"/>
        <v>15733286.06</v>
      </c>
      <c r="AI135" s="289">
        <f t="shared" si="7"/>
        <v>29722528.97</v>
      </c>
      <c r="AJ135" s="289">
        <f t="shared" si="7"/>
        <v>32414790.09</v>
      </c>
      <c r="AK135" s="289">
        <f t="shared" si="7"/>
        <v>34222285.26</v>
      </c>
      <c r="AL135" s="289">
        <f t="shared" si="7"/>
        <v>42780824.16</v>
      </c>
      <c r="AM135" s="289">
        <f t="shared" si="7"/>
        <v>45023459.49</v>
      </c>
      <c r="AN135" s="289">
        <f t="shared" si="7"/>
        <v>48684325.91</v>
      </c>
      <c r="AO135" s="289">
        <f t="shared" si="7"/>
        <v>48691667.37</v>
      </c>
      <c r="AP135" s="289">
        <f t="shared" si="7"/>
        <v>45504612.91</v>
      </c>
      <c r="AQ135" s="289">
        <f t="shared" si="7"/>
        <v>45977693.79</v>
      </c>
      <c r="AR135" s="289">
        <f t="shared" si="7"/>
        <v>44732686.79</v>
      </c>
      <c r="AS135" s="289">
        <f t="shared" si="7"/>
        <v>44972695.92</v>
      </c>
      <c r="AT135" s="289">
        <f t="shared" si="7"/>
        <v>47811773.77</v>
      </c>
      <c r="AU135" s="289">
        <f t="shared" si="7"/>
        <v>49495241.83</v>
      </c>
      <c r="AV135" s="289">
        <f t="shared" si="7"/>
        <v>48077840.32</v>
      </c>
      <c r="AW135" s="289">
        <f t="shared" si="7"/>
        <v>48546074.75</v>
      </c>
      <c r="AX135" s="289">
        <f t="shared" si="7"/>
        <v>47771344.91</v>
      </c>
      <c r="AY135" s="289">
        <f t="shared" si="7"/>
        <v>48099484.29</v>
      </c>
      <c r="AZ135" s="289">
        <f t="shared" si="7"/>
        <v>49255617.1</v>
      </c>
    </row>
    <row r="136" ht="15.75" customHeight="1">
      <c r="A136" s="338"/>
      <c r="B136" s="271" t="s">
        <v>1370</v>
      </c>
      <c r="C136" s="341">
        <f>COUNTIF(H:H,"Inativo")</f>
        <v>21</v>
      </c>
      <c r="D136" s="336"/>
      <c r="E136" s="342"/>
      <c r="F136" s="253"/>
      <c r="G136" s="253"/>
      <c r="H136" s="256"/>
      <c r="I136" s="259"/>
      <c r="J136" s="256"/>
      <c r="K136" s="343"/>
      <c r="L136" s="344"/>
      <c r="M136" s="256"/>
      <c r="N136" s="273"/>
      <c r="O136" s="273"/>
      <c r="P136" s="325"/>
      <c r="Q136" s="274"/>
      <c r="R136" s="274"/>
      <c r="S136" s="254"/>
      <c r="T136" s="336"/>
      <c r="U136" s="336"/>
      <c r="V136" s="336"/>
      <c r="W136" s="336"/>
      <c r="X136" s="336"/>
      <c r="Y136" s="254"/>
      <c r="Z136" s="344"/>
      <c r="AA136" s="344"/>
      <c r="AB136" s="344"/>
      <c r="AC136" s="327"/>
      <c r="AD136" s="327"/>
      <c r="AE136" s="327"/>
      <c r="AF136" s="301"/>
      <c r="AG136" s="301"/>
      <c r="AH136" s="301"/>
      <c r="AI136" s="301"/>
      <c r="AJ136" s="301"/>
      <c r="AK136" s="301"/>
      <c r="AL136" s="301"/>
      <c r="AM136" s="301"/>
      <c r="AN136" s="301"/>
      <c r="AO136" s="301"/>
      <c r="AP136" s="301"/>
      <c r="AQ136" s="301"/>
      <c r="AR136" s="301"/>
      <c r="AS136" s="301"/>
      <c r="AT136" s="301"/>
      <c r="AU136" s="301"/>
      <c r="AV136" s="301"/>
      <c r="AW136" s="301"/>
      <c r="AX136" s="301"/>
      <c r="AY136" s="301"/>
      <c r="AZ136" s="301"/>
    </row>
    <row r="137" ht="15.75" customHeight="1">
      <c r="A137" s="338"/>
      <c r="B137" s="271" t="s">
        <v>1407</v>
      </c>
      <c r="C137" s="341">
        <f>COUNTIF(H:H,"Encerrado")</f>
        <v>11</v>
      </c>
      <c r="D137" s="336"/>
      <c r="E137" s="342"/>
      <c r="F137" s="253"/>
      <c r="G137" s="253"/>
      <c r="H137" s="256"/>
      <c r="I137" s="259"/>
      <c r="J137" s="256"/>
      <c r="K137" s="343"/>
      <c r="L137" s="344"/>
      <c r="M137" s="256"/>
      <c r="N137" s="273"/>
      <c r="O137" s="273"/>
      <c r="P137" s="325"/>
      <c r="Q137" s="274"/>
      <c r="R137" s="274"/>
      <c r="S137" s="254"/>
      <c r="T137" s="336"/>
      <c r="U137" s="336"/>
      <c r="V137" s="336"/>
      <c r="W137" s="336"/>
      <c r="X137" s="336"/>
      <c r="Y137" s="254"/>
      <c r="Z137" s="344"/>
      <c r="AA137" s="344"/>
      <c r="AB137" s="344"/>
      <c r="AC137" s="327"/>
      <c r="AD137" s="327"/>
      <c r="AE137" s="327"/>
      <c r="AF137" s="301"/>
      <c r="AG137" s="301"/>
      <c r="AH137" s="301"/>
      <c r="AI137" s="301"/>
      <c r="AJ137" s="301"/>
      <c r="AK137" s="301"/>
      <c r="AL137" s="301"/>
      <c r="AM137" s="301"/>
      <c r="AN137" s="301"/>
      <c r="AO137" s="301"/>
      <c r="AP137" s="301"/>
      <c r="AQ137" s="301"/>
      <c r="AR137" s="301"/>
      <c r="AS137" s="301"/>
      <c r="AT137" s="301"/>
      <c r="AU137" s="301"/>
      <c r="AV137" s="301"/>
      <c r="AW137" s="301"/>
      <c r="AX137" s="301"/>
      <c r="AY137" s="301"/>
      <c r="AZ137" s="301"/>
    </row>
    <row r="138" ht="15.75" customHeight="1">
      <c r="A138" s="349"/>
      <c r="B138" s="278" t="s">
        <v>1426</v>
      </c>
      <c r="C138" s="350">
        <f>COUNTIF(H:H,"Pode Operar")</f>
        <v>1</v>
      </c>
      <c r="D138" s="336"/>
      <c r="E138" s="342"/>
      <c r="F138" s="253"/>
      <c r="G138" s="253"/>
      <c r="H138" s="256"/>
      <c r="I138" s="259"/>
      <c r="J138" s="256"/>
      <c r="K138" s="343"/>
      <c r="L138" s="344"/>
      <c r="M138" s="256"/>
      <c r="N138" s="273"/>
      <c r="O138" s="273"/>
      <c r="P138" s="325"/>
      <c r="Q138" s="274"/>
      <c r="R138" s="274"/>
      <c r="S138" s="254"/>
      <c r="T138" s="336"/>
      <c r="U138" s="336"/>
      <c r="V138" s="336"/>
      <c r="W138" s="336"/>
      <c r="X138" s="336"/>
      <c r="Y138" s="254"/>
      <c r="Z138" s="344"/>
      <c r="AA138" s="344"/>
      <c r="AB138" s="344"/>
      <c r="AC138" s="327"/>
      <c r="AD138" s="327"/>
      <c r="AE138" s="327"/>
      <c r="AF138" s="301"/>
      <c r="AG138" s="301"/>
      <c r="AH138" s="301"/>
      <c r="AI138" s="301"/>
      <c r="AJ138" s="301"/>
      <c r="AK138" s="301"/>
      <c r="AL138" s="301"/>
      <c r="AM138" s="301"/>
      <c r="AN138" s="301"/>
      <c r="AO138" s="301"/>
      <c r="AP138" s="301"/>
      <c r="AQ138" s="301"/>
      <c r="AR138" s="301"/>
      <c r="AS138" s="301"/>
      <c r="AT138" s="301"/>
      <c r="AU138" s="301"/>
      <c r="AV138" s="301"/>
      <c r="AW138" s="301"/>
      <c r="AX138" s="301"/>
      <c r="AY138" s="301"/>
      <c r="AZ138" s="301"/>
    </row>
    <row r="139" ht="15.75" customHeight="1">
      <c r="A139" s="351"/>
      <c r="B139" s="351"/>
      <c r="C139" s="352"/>
      <c r="D139" s="342"/>
      <c r="E139" s="342"/>
      <c r="F139" s="353"/>
      <c r="G139" s="353"/>
      <c r="H139" s="256"/>
      <c r="I139" s="259"/>
      <c r="J139" s="256"/>
      <c r="K139" s="343"/>
      <c r="L139" s="324"/>
      <c r="M139" s="254"/>
      <c r="N139" s="273"/>
      <c r="O139" s="273"/>
      <c r="P139" s="325"/>
      <c r="Q139" s="274"/>
      <c r="R139" s="274"/>
      <c r="S139" s="254"/>
      <c r="T139" s="356"/>
      <c r="U139" s="356"/>
      <c r="V139" s="356"/>
      <c r="W139" s="356"/>
      <c r="X139" s="254"/>
      <c r="Y139" s="254"/>
      <c r="Z139" s="324"/>
      <c r="AA139" s="324"/>
      <c r="AB139" s="324"/>
      <c r="AC139" s="327"/>
      <c r="AD139" s="327"/>
      <c r="AE139" s="327"/>
      <c r="AF139" s="210"/>
      <c r="AG139" s="210"/>
      <c r="AH139" s="210"/>
      <c r="AI139" s="210"/>
      <c r="AJ139" s="210"/>
      <c r="AK139" s="210"/>
      <c r="AL139" s="210"/>
      <c r="AM139" s="210"/>
      <c r="AN139" s="210"/>
      <c r="AO139" s="210"/>
      <c r="AP139" s="210"/>
      <c r="AQ139" s="210"/>
      <c r="AR139" s="210"/>
      <c r="AS139" s="210"/>
      <c r="AT139" s="210"/>
      <c r="AU139" s="210"/>
      <c r="AV139" s="210"/>
      <c r="AW139" s="210"/>
      <c r="AX139" s="210"/>
      <c r="AY139" s="210"/>
      <c r="AZ139" s="210"/>
    </row>
    <row r="140" ht="15.75" customHeight="1">
      <c r="A140" s="351"/>
      <c r="B140" s="351"/>
      <c r="C140" s="352"/>
      <c r="D140" s="342"/>
      <c r="E140" s="342"/>
      <c r="F140" s="353"/>
      <c r="G140" s="353"/>
      <c r="H140" s="256"/>
      <c r="I140" s="259"/>
      <c r="J140" s="256"/>
      <c r="K140" s="343"/>
      <c r="L140" s="324"/>
      <c r="M140" s="254"/>
      <c r="N140" s="273"/>
      <c r="O140" s="273"/>
      <c r="P140" s="325"/>
      <c r="Q140" s="274"/>
      <c r="R140" s="274"/>
      <c r="S140" s="254"/>
      <c r="T140" s="356"/>
      <c r="U140" s="356"/>
      <c r="V140" s="356"/>
      <c r="W140" s="356"/>
      <c r="X140" s="254"/>
      <c r="Y140" s="254"/>
      <c r="Z140" s="324"/>
      <c r="AA140" s="324"/>
      <c r="AB140" s="324"/>
      <c r="AC140" s="327"/>
      <c r="AD140" s="327"/>
      <c r="AE140" s="327"/>
      <c r="AF140" s="210"/>
      <c r="AG140" s="210"/>
      <c r="AH140" s="210"/>
      <c r="AI140" s="210"/>
      <c r="AJ140" s="210"/>
      <c r="AK140" s="210"/>
      <c r="AL140" s="210"/>
      <c r="AM140" s="210"/>
      <c r="AN140" s="210"/>
      <c r="AO140" s="210"/>
      <c r="AP140" s="210"/>
      <c r="AQ140" s="210"/>
      <c r="AR140" s="210"/>
      <c r="AS140" s="210"/>
      <c r="AT140" s="210"/>
      <c r="AU140" s="210"/>
      <c r="AV140" s="210"/>
      <c r="AW140" s="210"/>
      <c r="AX140" s="210"/>
      <c r="AY140" s="210"/>
      <c r="AZ140" s="210"/>
    </row>
    <row r="141" ht="15.75" customHeight="1">
      <c r="A141" s="351"/>
      <c r="B141" s="351"/>
      <c r="C141" s="352"/>
      <c r="D141" s="342"/>
      <c r="E141" s="342"/>
      <c r="F141" s="353"/>
      <c r="G141" s="353"/>
      <c r="H141" s="256"/>
      <c r="I141" s="259"/>
      <c r="J141" s="256"/>
      <c r="K141" s="343"/>
      <c r="L141" s="324"/>
      <c r="M141" s="254"/>
      <c r="N141" s="273"/>
      <c r="O141" s="273"/>
      <c r="P141" s="325"/>
      <c r="Q141" s="274"/>
      <c r="R141" s="274"/>
      <c r="S141" s="254"/>
      <c r="T141" s="356"/>
      <c r="U141" s="356"/>
      <c r="V141" s="356"/>
      <c r="W141" s="356"/>
      <c r="X141" s="254"/>
      <c r="Y141" s="254"/>
      <c r="Z141" s="324"/>
      <c r="AA141" s="324"/>
      <c r="AB141" s="324"/>
      <c r="AC141" s="327"/>
      <c r="AD141" s="327"/>
      <c r="AE141" s="327"/>
      <c r="AF141" s="210"/>
      <c r="AG141" s="210"/>
      <c r="AH141" s="210"/>
      <c r="AI141" s="210"/>
      <c r="AJ141" s="210"/>
      <c r="AK141" s="210"/>
      <c r="AL141" s="210"/>
      <c r="AM141" s="210"/>
      <c r="AN141" s="210"/>
      <c r="AO141" s="210"/>
      <c r="AP141" s="210"/>
      <c r="AQ141" s="210"/>
      <c r="AR141" s="210"/>
      <c r="AS141" s="210"/>
      <c r="AT141" s="210"/>
      <c r="AU141" s="210"/>
      <c r="AV141" s="210"/>
      <c r="AW141" s="210"/>
      <c r="AX141" s="210"/>
      <c r="AY141" s="210"/>
      <c r="AZ141" s="210"/>
    </row>
    <row r="142" ht="15.75" customHeight="1">
      <c r="A142" s="351"/>
      <c r="B142" s="351"/>
      <c r="C142" s="352"/>
      <c r="D142" s="342"/>
      <c r="E142" s="342"/>
      <c r="F142" s="353"/>
      <c r="G142" s="353"/>
      <c r="H142" s="256"/>
      <c r="I142" s="259"/>
      <c r="J142" s="256"/>
      <c r="K142" s="343"/>
      <c r="L142" s="324"/>
      <c r="M142" s="254"/>
      <c r="N142" s="273"/>
      <c r="O142" s="273"/>
      <c r="P142" s="325"/>
      <c r="Q142" s="274"/>
      <c r="R142" s="274"/>
      <c r="S142" s="254"/>
      <c r="T142" s="356"/>
      <c r="U142" s="356"/>
      <c r="V142" s="356"/>
      <c r="W142" s="356"/>
      <c r="X142" s="254"/>
      <c r="Y142" s="254"/>
      <c r="Z142" s="324"/>
      <c r="AA142" s="324"/>
      <c r="AB142" s="324"/>
      <c r="AC142" s="327"/>
      <c r="AD142" s="327"/>
      <c r="AE142" s="327"/>
      <c r="AF142" s="210"/>
      <c r="AG142" s="210"/>
      <c r="AH142" s="210"/>
      <c r="AI142" s="210"/>
      <c r="AJ142" s="210"/>
      <c r="AK142" s="210"/>
      <c r="AL142" s="210"/>
      <c r="AM142" s="210"/>
      <c r="AN142" s="210"/>
      <c r="AO142" s="210"/>
      <c r="AP142" s="210"/>
      <c r="AQ142" s="210"/>
      <c r="AR142" s="210"/>
      <c r="AS142" s="210"/>
      <c r="AT142" s="210"/>
      <c r="AU142" s="210"/>
      <c r="AV142" s="210"/>
      <c r="AW142" s="210"/>
      <c r="AX142" s="210"/>
      <c r="AY142" s="210"/>
      <c r="AZ142" s="210"/>
    </row>
  </sheetData>
  <customSheetViews>
    <customSheetView guid="{1B07E80D-FBB4-4384-987D-9AD626C1FAAA}" filter="1" showAutoFilter="1">
      <autoFilter ref="$A$1:$AE$132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>
            <filter val="Alteração de C.A"/>
            <filter val="STVM Saída"/>
            <filter val="Distrato"/>
            <filter val="------"/>
            <filter val="Situação"/>
            <filter val="Sem Saldo"/>
            <filter val="Resgate Total"/>
            <filter val="Monitoramento"/>
          </filters>
        </filterColumn>
        <filterColumn colId="12">
          <filters>
            <filter val="INC/ COADM"/>
            <filter val="CON"/>
            <filter val="MOD"/>
            <filter val="FUND"/>
            <filter val="TEMÁTICA"/>
            <filter val="EQT"/>
            <filter val="MULT PRIV"/>
            <filter val="MULT PRIV/ COADM"/>
            <filter val="CON/ GR"/>
            <filter val="MOD / GR"/>
            <filter val="PREV CON"/>
            <filter val="INC CP"/>
            <filter val="Carteira"/>
            <filter val="MOD/ GR"/>
            <filter val="INC"/>
          </filters>
        </filterColumn>
      </autoFilter>
    </customSheetView>
    <customSheetView guid="{CC8A7891-EB49-4940-A740-FC8BDC1AB592}" filter="1" showAutoFilter="1">
      <autoFilter ref="$A$1:$AE$132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  <filter val="Grupo Mowe"/>
            <filter val="Bluemetrix"/>
            <filter val="Investeseg"/>
          </filters>
        </filterColumn>
        <filterColumn colId="4">
          <filters>
            <filter val="UF"/>
            <filter val="DF"/>
            <filter val="BA"/>
          </filters>
        </filterColumn>
        <filterColumn colId="5">
          <filters>
            <filter val="Bruno Rodrigues"/>
            <filter val="Norton Jr"/>
            <filter val="Rafaela Souza"/>
            <filter val="Bruno Henrique"/>
            <filter val="Vivian"/>
            <filter val="Lucas Moraes"/>
            <filter val="Thanira Moreira"/>
            <filter val="Felipe Rios"/>
            <filter val="Caroline Cichello"/>
            <filter val="André de Queiroz Coelho"/>
            <filter val="João Moreira"/>
            <filter val="Mariana Rocha"/>
            <filter val="Guilherme Marques"/>
            <filter val="Thiago Canabrava"/>
            <filter val="Murilo Silva"/>
            <filter val="Bluemetrix Asset"/>
            <filter val="Rafael Vilela"/>
            <filter val="Italo Teles"/>
            <filter val="Vitor Pedrazzi"/>
            <filter val="Paula Bonfim"/>
            <filter val="Gustavo Amorim"/>
            <filter val="Alcivana Marques"/>
            <filter val="Jorge Luiz Braga de Carvalho"/>
            <filter val="Thais Helena"/>
            <filter val="Flavio Silva"/>
            <filter val="Bruno Ribeiro"/>
            <filter val="Assessor"/>
            <filter val="Daniel Melhado"/>
          </filters>
        </filterColumn>
        <filterColumn colId="23">
          <filters blank="1">
            <filter val="UF cliente"/>
            <filter val="MT"/>
            <filter val="ES"/>
            <filter val="PA"/>
            <filter val="SE"/>
            <filter val="MA"/>
          </filters>
        </filterColumn>
      </autoFilter>
    </customSheetView>
    <customSheetView guid="{0341D29D-7608-4A0E-B511-8874684203B9}" filter="1" showAutoFilter="1">
      <autoFilter ref="$B$2:$AE$139"/>
    </customSheetView>
    <customSheetView guid="{B720098B-70F4-44B5-833C-52F5E38957BF}" filter="1" showAutoFilter="1">
      <autoFilter ref="$B$2:$AE$134"/>
    </customSheetView>
    <customSheetView guid="{CA9CE70D-C062-42B7-A5AF-9E10E753649D}" filter="1" showAutoFilter="1">
      <autoFilter ref="$A$1:$AE$134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B7695AD5-7545-4CED-8EDC-4FB5BC578C39}" filter="1" showAutoFilter="1">
      <autoFilter ref="$A$1:$AE$132">
        <filterColumn colId="5">
          <filters>
            <filter val="Bruno Rodrigues"/>
            <filter val="Norton Jr"/>
            <filter val="Rafaela Souza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867688F4-DA77-491A-BC2D-EE63B05CD8C6}" filter="1" showAutoFilter="1">
      <autoFilter ref="$A$1:$AE$134">
        <filterColumn colId="6">
          <filters>
            <filter val="Marcus"/>
            <filter val="David"/>
            <filter val="Gabriel"/>
          </filters>
        </filterColumn>
        <filterColumn colId="12">
          <filters blank="1">
            <filter val="INC/ COADM"/>
            <filter val="CON"/>
            <filter val="MOD"/>
            <filter val="TEMÁTICA"/>
            <filter val="EQT"/>
            <filter val="MONT"/>
            <filter val="MULT PRIV"/>
            <filter val="MULT PRIV/ COADM"/>
            <filter val="CON/ GR"/>
            <filter val="MOD / GR"/>
            <filter val="PREV CON"/>
            <filter val="INC CP"/>
            <filter val="Carteira"/>
            <filter val="MOD/ GR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STVM Saída"/>
            <filter val="Distrato"/>
            <filter val="------"/>
            <filter val="Situação"/>
            <filter val="Resgate Total"/>
            <filter val="Monitoramento"/>
          </filters>
        </filterColumn>
      </autoFilter>
    </customSheetView>
    <customSheetView guid="{7811813C-14A1-4A80-B350-9619658DA978}" filter="1" showAutoFilter="1">
      <autoFilter ref="$A$1:$AE$134">
        <filterColumn colId="7">
          <filters blank="1">
            <filter val="Pode Operar"/>
          </filters>
        </filterColumn>
        <filterColumn colId="8">
          <filters blank="1">
            <filter val="Alteração de C.A"/>
            <filter val="STVM Saída"/>
            <filter val="Distrato"/>
            <filter val="------"/>
            <filter val="Situação"/>
            <filter val="Sem Saldo"/>
            <filter val="Resgate Total"/>
            <filter val="Monitorament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B2B469ED-065E-487B-B6B9-536EFFBE72EB}" filter="1" showAutoFilter="1">
      <autoFilter ref="$A$2:$AE$134"/>
    </customSheetView>
    <customSheetView guid="{7241ABC4-7A48-45ED-A7DF-BA2A467779A1}" filter="1" showAutoFilter="1">
      <autoFilter ref="$A$2:$AE$132">
        <filterColumn colId="8">
          <filters>
            <filter val="Alteração de C.A"/>
            <filter val="STVM Saída"/>
            <filter val="Distrato"/>
            <filter val="Resgate Total"/>
          </filters>
        </filterColumn>
      </autoFilter>
    </customSheetView>
    <customSheetView guid="{69049776-CFDF-4D0B-A26F-F2D5FB0083D2}" filter="1" showAutoFilter="1">
      <autoFilter ref="$A$1:$AE$132">
        <filterColumn colId="17">
          <filters>
            <filter val="Observações Backoffice"/>
            <filter val="Distrato unilateral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0C67F5DA-14A5-47C5-91B5-988FF202FC69}" filter="1" showAutoFilter="1">
      <autoFilter ref="$D$2:$K$139">
        <filterColumn colId="7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98958A95-4992-40C8-8E85-ED54A4B5623A}" filter="1" showAutoFilter="1">
      <autoFilter ref="$A$1:$AE$132">
        <filterColumn colId="1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0395DF53-412F-4E58-A92E-3DC69A727BB5}" filter="1" showAutoFilter="1">
      <autoFilter ref="$A$1:$AN$134"/>
    </customSheetView>
    <customSheetView guid="{3E797136-3B85-4512-BAFF-677FFB5D6710}" filter="1" showAutoFilter="1">
      <autoFilter ref="$A$1:$AE$132"/>
    </customSheetView>
    <customSheetView guid="{0BD3746B-3FD0-468C-ABAC-538913C42215}" filter="1" showAutoFilter="1">
      <autoFilter ref="$A$1:$AE$138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A5110C8F-A3C9-4498-9128-3D1BCD33EAD6}" filter="1" showAutoFilter="1">
      <autoFilter ref="$A$1:$AE$134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INC/ COADM"/>
            <filter val="CON"/>
            <filter val="MOD"/>
            <filter val="FUND"/>
            <filter val="TEMÁTICA"/>
            <filter val="EQT"/>
            <filter val="MONT"/>
            <filter val="MULT PRIV"/>
            <filter val="MULT PRIV/ COADM"/>
            <filter val="CON/ GR"/>
            <filter val="MOD / GR"/>
            <filter val="PREV CON"/>
            <filter val="INC CP"/>
            <filter val="Carteira"/>
            <filter val="MOD/ GR"/>
          </filters>
        </filterColumn>
      </autoFilter>
    </customSheetView>
    <customSheetView guid="{466D5FAB-D655-4B18-90D2-28C25ECFE9B0}" filter="1" showAutoFilter="1">
      <autoFilter ref="$A$2:$AE$132">
        <filterColumn colId="7">
          <filters>
            <filter val="Encerrado"/>
            <filter val="Pode Operar"/>
          </filters>
        </filterColumn>
        <filterColumn colId="17">
          <filters>
            <filter val="Distrato unilateral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A03660A7-9D48-49DA-BC0E-ED8F769D2A1C}" filter="1" showAutoFilter="1">
      <autoFilter ref="$B$2:$AE$134"/>
    </customSheetView>
    <customSheetView guid="{876BADF1-FCFF-4C45-A0CD-C6DF3171442D}" filter="1" showAutoFilter="1">
      <autoFilter ref="$B$2:$AE$134"/>
    </customSheetView>
    <customSheetView guid="{1C90D351-8183-4CD8-8B10-7D7D43346581}" filter="1" showAutoFilter="1">
      <autoFilter ref="$A$1:$AE$132"/>
    </customSheetView>
    <customSheetView guid="{2259A80A-0B36-4E70-A4A9-9EEA18E02BB8}" filter="1" showAutoFilter="1">
      <autoFilter ref="$A$1:$AE$132">
        <filterColumn colId="5">
          <filters>
            <filter val="Bruno Rodrigues"/>
            <filter val="Norton Jr"/>
            <filter val="Rafaela Souza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9B73345C-F33C-41C8-B12C-AF426AF28CF2}" filter="1" showAutoFilter="1">
      <autoFilter ref="$A$1:$AE$138">
        <filterColumn colId="12">
          <filters>
            <filter val="INC/ COADM"/>
            <filter val="TEMÁTICA"/>
            <filter val="MULT PRIV"/>
            <filter val="MULT PRIV/ COADM"/>
            <filter val="CON/ GR"/>
            <filter val="MOD / GR"/>
            <filter val="INC CP"/>
            <filter val="MOD/ GR"/>
          </filters>
        </filterColumn>
      </autoFilter>
    </customSheetView>
    <customSheetView guid="{2351D5E5-F8AC-4E80-BACB-97F4DC969D91}" filter="1" showAutoFilter="1">
      <autoFilter ref="$A$1:$AE$132">
        <filterColumn colId="5">
          <filters>
            <filter val="Bruno Rodrigues"/>
            <filter val="Norton Jr"/>
            <filter val="Rafaela Souza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298F1453-B650-4D68-9A4F-A9E86BD56A4D}" filter="1" showAutoFilter="1">
      <autoFilter ref="$A$2:$AE$132">
        <filterColumn colId="8">
          <filters>
            <filter val="Distrato"/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F5354E08-B6E9-4CA3-B3EA-CD773B8ADACB}" filter="1" showAutoFilter="1">
      <autoFilter ref="$A$1:$AE$139">
        <filterColumn colId="5">
          <filters>
            <filter val="Bruno Rodrigues"/>
            <filter val="Norton Jr"/>
            <filter val="Rafaela Souza"/>
            <filter val="Bruno Henrique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8D8D3085-AB50-4CBA-97BF-5552334D2C30}" filter="1" showAutoFilter="1">
      <autoFilter ref="$F$2:$F$139"/>
    </customSheetView>
    <customSheetView guid="{7F6EBB9D-4C6B-4F0A-9736-FC94E3B466E1}" filter="1" showAutoFilter="1">
      <autoFilter ref="$M$2:$O$139"/>
    </customSheetView>
    <customSheetView guid="{A0B95A44-8FE9-47B9-8B52-DE67E8D5CD4F}" filter="1" showAutoFilter="1">
      <autoFilter ref="$B$2:$AE$134"/>
    </customSheetView>
    <customSheetView guid="{181C22BD-9FB8-4211-B38F-92D0B2C9BC50}" filter="1" showAutoFilter="1">
      <autoFilter ref="$B$2:$AE$134">
        <filterColumn colId="15">
          <filters>
            <filter val="Não movimentar carteira (27/11/2024)"/>
            <filter val="70K D+0 (05/08/2025)"/>
            <filter val="20K D+0 (28/03/2025)"/>
            <filter val="40k PGBL (27/05/2026).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Resgates mensais 2.500,00 (09/06/2026)."/>
            <filter val="15K D+0 (28/03/2025)"/>
            <filter val="Máx 10% CrPr (29/11/2024)"/>
            <filter val="200K D+0 (28/03/2025)"/>
            <filter val="Vencimentos em D+0 (05/12/2025)"/>
            <filter val="40% D+0 (03/08/2026)"/>
            <filter val="Próximos vencimentos D+0 (04/06/2025)"/>
            <filter val="30K D+0 (07/05/2025)"/>
            <filter val="100k D+0 (22/07/2026)"/>
            <filter val="100k D+0 e 100k aplic. de 6 meses (15/09/2025)"/>
            <filter val="50K D+0 (08/05/2026)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  <filter val="Mínimo 80% em RF, até 10% em Ações e até 10% em FIIs (04/08/2026)"/>
          </filters>
        </filterColumn>
      </autoFilter>
    </customSheetView>
    <customSheetView guid="{F74C4763-B110-4317-BA48-93E15369D235}" filter="1" showAutoFilter="1">
      <autoFilter ref="$Q$2:$Q$139">
        <filterColumn colId="0">
          <filters>
            <filter val="Não movimentar carteira (27/11/2024)"/>
            <filter val="70K D+0 (05/08/2025)"/>
            <filter val="20K D+0 (28/03/2025)"/>
            <filter val="40k PGBL (27/05/2026).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Resgates mensais 2.500,00 (09/06/2026)."/>
            <filter val="15K D+0 (28/03/2025)"/>
            <filter val="Máx 10% CrPr (29/11/2024)"/>
            <filter val="200K D+0 (28/03/2025)"/>
            <filter val="Vencimentos em D+0 (05/12/2025)"/>
            <filter val="40% D+0 (03/08/2026)"/>
            <filter val="Próximos vencimentos D+0 (04/06/2025)"/>
            <filter val="30K D+0 (07/05/2025)"/>
            <filter val="100k D+0 (22/07/2026)"/>
            <filter val="100k D+0 e 100k aplic. de 6 meses (15/09/2025)"/>
            <filter val="50K D+0 (08/05/2026)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  <filter val="Mínimo 80% em RF, até 10% em Ações e até 10% em FIIs (04/08/2026)"/>
          </filters>
        </filterColumn>
      </autoFilter>
    </customSheetView>
    <customSheetView guid="{428C49DB-A299-4126-9E22-27159D3140B5}" filter="1" showAutoFilter="1">
      <autoFilter ref="$A$2:$AE$132">
        <filterColumn colId="24">
          <filters>
            <filter val="Ativo"/>
          </filters>
        </filterColumn>
      </autoFilter>
    </customSheetView>
    <customSheetView guid="{F2EF48BC-2DE2-4EAE-9B39-DF0524B366C9}" filter="1" showAutoFilter="1">
      <autoFilter ref="$B$2:$AE$134"/>
    </customSheetView>
    <customSheetView guid="{981F54B3-AD47-4881-8E48-9580C9672236}" filter="1" showAutoFilter="1">
      <autoFilter ref="$A$1:$AE$132"/>
    </customSheetView>
    <customSheetView guid="{DB8907F8-5CF4-4338-A86D-37428C1ED7D2}" filter="1" showAutoFilter="1">
      <autoFilter ref="$A$1:$AE$132"/>
    </customSheetView>
    <customSheetView guid="{67C01C50-489A-43C6-898D-F58DB0C2FE7C}" filter="1" showAutoFilter="1">
      <autoFilter ref="$K$2:$K$139"/>
    </customSheetView>
    <customSheetView guid="{53A3823D-765D-4290-A114-7121374C6831}" filter="1" showAutoFilter="1">
      <autoFilter ref="$A$1:$AE$132"/>
    </customSheetView>
    <customSheetView guid="{1A5CB954-232D-4D49-A5F7-C09A85AC5DA3}" filter="1" showAutoFilter="1">
      <autoFilter ref="$A$1:$AE$132">
        <filterColumn colId="5">
          <filters>
            <filter val="Bruno Rodrigues"/>
            <filter val="Norton Jr"/>
            <filter val="Rafaela Souza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  <filterColumn colId="12">
          <filters>
            <filter val="INC/ COADM"/>
            <filter val="FUND"/>
            <filter val="TEMÁTICA"/>
            <filter val="MONT"/>
            <filter val="MULT PRIV"/>
            <filter val="MULT PRIV/ COADM"/>
            <filter val="CON/ GR"/>
            <filter val="MOD / GR"/>
            <filter val="PREV CON"/>
            <filter val="INC CP"/>
            <filter val="Carteira"/>
            <filter val="MOD/ GR"/>
          </filters>
        </filterColumn>
      </autoFilter>
    </customSheetView>
    <customSheetView guid="{B6B1CE0E-38E0-4906-A76E-D306BEA256D4}" filter="1" showAutoFilter="1">
      <autoFilter ref="$A$1:$AE$132">
        <filterColumn colId="24">
          <filters>
            <filter val="Ativo"/>
          </filters>
        </filterColumn>
      </autoFilter>
    </customSheetView>
    <customSheetView guid="{3F7281AE-855A-4F16-9462-FB365670BAD2}" filter="1" showAutoFilter="1">
      <autoFilter ref="$A$1:$AE$134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Alteração de C.A"/>
            <filter val="STVM Saída"/>
            <filter val="Distrato"/>
            <filter val="Situação"/>
            <filter val="Sem Saldo"/>
            <filter val="Resgate Total"/>
            <filter val="Monitoramento"/>
          </filters>
        </filterColumn>
      </autoFilter>
    </customSheetView>
    <customSheetView guid="{B9CAED52-F68F-46DC-BC9D-365E252014AF}" filter="1" showAutoFilter="1">
      <autoFilter ref="$F$2:$M$139"/>
    </customSheetView>
    <customSheetView guid="{80EACFF0-21DA-499B-A807-CBB674849A80}" filter="1" showAutoFilter="1">
      <autoFilter ref="$A$1:$AE$132"/>
    </customSheetView>
    <customSheetView guid="{D231C3E6-8F34-4669-BD4B-6375A5FD1A7D}" filter="1" showAutoFilter="1">
      <autoFilter ref="$B$2:$AE$139"/>
    </customSheetView>
    <customSheetView guid="{F6C2467A-F0F2-4A7D-B977-32245C4F1613}" filter="1" showAutoFilter="1">
      <autoFilter ref="$A$1:$AE$132"/>
    </customSheetView>
    <customSheetView guid="{23BBB91E-E8AC-4A5C-A03A-F7CA7D1A1FA0}" filter="1" showAutoFilter="1">
      <autoFilter ref="$A$1:$AE$139">
        <filterColumn colId="5">
          <filters>
            <filter val="Bruno Rodrigues"/>
            <filter val="Norton Jr"/>
            <filter val="Rafaela Souza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  <filterColumn colId="12">
          <filters blank="1">
            <filter val="INC/ COADM"/>
            <filter val="TEMÁTICA"/>
            <filter val="EQT"/>
            <filter val="MULT PRIV"/>
            <filter val="MULT PRIV/ COADM"/>
            <filter val="CON/ GR"/>
            <filter val="MOD / GR"/>
            <filter val="PREV CON"/>
            <filter val="INC CP"/>
            <filter val="Carteira"/>
            <filter val="MOD/ GR"/>
          </filters>
        </filterColumn>
      </autoFilter>
    </customSheetView>
    <customSheetView guid="{5C84BDDA-ECA1-49A6-AA70-22484C035470}" filter="1" showAutoFilter="1">
      <autoFilter ref="$J$1:$P$132"/>
    </customSheetView>
    <customSheetView guid="{1E1E7651-8A79-4640-8C04-6985941B1A23}" filter="1" showAutoFilter="1">
      <autoFilter ref="$A$1:$AE$132">
        <filterColumn colId="12">
          <filters>
            <filter val="INC/ COADM"/>
            <filter val="FUND"/>
            <filter val="TEMÁTICA"/>
            <filter val="MULT PRIV"/>
            <filter val="MULT PRIV/ COADM"/>
            <filter val="MOD / GR"/>
            <filter val="INC CP"/>
          </filters>
        </filterColumn>
      </autoFilter>
    </customSheetView>
    <customSheetView guid="{ABBBA665-4775-4A10-A798-C01BBFABA2EF}" filter="1" showAutoFilter="1">
      <autoFilter ref="$K$2:$K$139"/>
    </customSheetView>
    <customSheetView guid="{C6AF0DFC-8C6B-4361-8E96-E27C127094D5}" filter="1" showAutoFilter="1">
      <autoFilter ref="$A$1:$AE$132">
        <filterColumn colId="17">
          <filters>
            <filter val="Distrato unilateral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EE3A4244-611E-4446-9499-9903DB4304D2}" filter="1" showAutoFilter="1">
      <autoFilter ref="$A$2:$AE$132">
        <filterColumn colId="8">
          <filters>
            <filter val="Distrato"/>
            <filter val="Resgate Total"/>
            <filter val="Monitoramento"/>
          </filters>
        </filterColumn>
      </autoFilter>
    </customSheetView>
    <customSheetView guid="{D383AB68-0115-4D3B-B6BE-207AECE317EE}" filter="1" showAutoFilter="1">
      <autoFilter ref="$A$1:$AE$132">
        <filterColumn colId="8">
          <filters>
            <filter val="STVM Saída"/>
            <filter val="Distrato"/>
            <filter val="Resgate Total"/>
          </filters>
        </filterColumn>
      </autoFilter>
    </customSheetView>
    <customSheetView guid="{60066A11-447C-4650-AEF7-9FE005963B06}" filter="1" showAutoFilter="1">
      <autoFilter ref="$A$1:$AE$134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90494278-C593-4FBA-B90B-FB914FDE88CA}" filter="1" showAutoFilter="1">
      <autoFilter ref="$A$1:$AE$132">
        <filterColumn colId="17">
          <filters>
            <filter val="Observações Backoffice"/>
            <filter val="Distrato unilateral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654A5899-80B2-4C15-A2FD-0DB5CDC13F98}" filter="1" showAutoFilter="1">
      <autoFilter ref="$B$2:$AE$139"/>
    </customSheetView>
    <customSheetView guid="{77048510-7681-471A-8ABA-CEF5057C5417}" filter="1" showAutoFilter="1">
      <autoFilter ref="$A$1:$AE$139">
        <filterColumn colId="4">
          <filters blank="1">
            <filter val="UF"/>
            <filter val="DF"/>
            <filter val="SP"/>
            <filter val="BA"/>
          </filters>
        </filterColumn>
        <filterColumn colId="17">
          <filters>
            <filter val="Distrato unilateral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3D9A4475-5E5C-4472-A129-35E6A30C6B54}" filter="1" showAutoFilter="1">
      <autoFilter ref="$K$2:$K$139">
        <filterColumn colId="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2F696A84-E0A2-4357-AFCA-01998AF33B79}" filter="1" showAutoFilter="1">
      <autoFilter ref="$B$2:$AE$134"/>
    </customSheetView>
    <customSheetView guid="{E80CA402-71E3-41A6-BCC8-EF9B79EFF256}" filter="1" showAutoFilter="1">
      <autoFilter ref="$B$2:$AE$134"/>
    </customSheetView>
    <customSheetView guid="{3AF03EB6-56CC-4410-8FFA-3735BC7F66A2}" filter="1" showAutoFilter="1">
      <autoFilter ref="$B$2:$AE$134"/>
    </customSheetView>
    <customSheetView guid="{290A7CAD-8498-49F2-ACC3-7E165D752B61}" filter="1" showAutoFilter="1">
      <autoFilter ref="$A$1:$AE$132">
        <filterColumn colId="8">
          <filters>
            <filter val="Distrato"/>
            <filter val="Resgate Total"/>
          </filters>
        </filterColumn>
      </autoFilter>
    </customSheetView>
    <customSheetView guid="{76811BFC-6AF1-42FD-933F-8DEF2DDC606B}" filter="1" showAutoFilter="1">
      <autoFilter ref="$F$2:$F$139"/>
    </customSheetView>
    <customSheetView guid="{98849F6F-DF55-434F-8EC1-0BF9B8DC5EE7}" filter="1" showAutoFilter="1">
      <autoFilter ref="$D$2:$F$139"/>
    </customSheetView>
    <customSheetView guid="{F6337007-513B-42BB-BB5C-E4B29034F3A9}" filter="1" showAutoFilter="1">
      <autoFilter ref="$A$2:$AE$132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  <filter val="Grupo Mowe"/>
            <filter val="Investeseg"/>
          </filters>
        </filterColumn>
        <filterColumn colId="5">
          <filters>
            <filter val="Bruno Rodrigues"/>
            <filter val="Norton Jr"/>
            <filter val="Rafaela Souza"/>
            <filter val="Bruno Henrique"/>
            <filter val="Vivian"/>
            <filter val="Lucas Moraes"/>
            <filter val="Thanira Moreira"/>
            <filter val="Felipe Rios"/>
            <filter val="Caroline Cichello"/>
            <filter val="André de Queiroz Coelho"/>
            <filter val="João Moreira"/>
            <filter val="Mariana Rocha"/>
            <filter val="Guilherme Marques"/>
            <filter val="Thiago Canabrava"/>
            <filter val="Murilo Silva"/>
            <filter val="Bluemetrix Asset"/>
            <filter val="Rafael Vilela"/>
            <filter val="Italo Teles"/>
            <filter val="Vitor Pedrazzi"/>
            <filter val="Paula Bonfim"/>
            <filter val="Gustavo Amor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</autoFilter>
    </customSheetView>
    <customSheetView guid="{281EB145-47F3-4262-92E2-5389E42992B6}" filter="1" showAutoFilter="1">
      <autoFilter ref="$A$1:$AE$132">
        <filterColumn colId="7">
          <filters>
            <filter val="Pode Operar"/>
          </filters>
        </filterColumn>
      </autoFilter>
    </customSheetView>
    <customSheetView guid="{6584D975-877B-45B6-93A9-51B70EB0018E}" filter="1" showAutoFilter="1">
      <autoFilter ref="$A$1:$AE$134">
        <filterColumn colId="5">
          <filters blank="1">
            <filter val="Bruno Rodrigues"/>
            <filter val="Norton Jr"/>
            <filter val="Rafaela Souza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7908B5B3-622B-49DE-9EE9-800AD2280514}" filter="1" showAutoFilter="1">
      <autoFilter ref="$A$1:$AE$132"/>
    </customSheetView>
    <customSheetView guid="{3E31C90A-3057-42E9-B92F-76D1CB60C81E}" filter="1" showAutoFilter="1">
      <autoFilter ref="$A$2:$AE$132">
        <filterColumn colId="12">
          <filters>
            <filter val="INC/ COADM"/>
            <filter val="CON"/>
            <filter val="MOD"/>
            <filter val="TEMÁTICA"/>
            <filter val="EQT"/>
            <filter val="MULT PRIV"/>
            <filter val="MULT PRIV/ COADM"/>
            <filter val="CON/ GR"/>
            <filter val="MOD / GR"/>
            <filter val="INC CP"/>
            <filter val="MOD/ GR"/>
          </filters>
        </filterColumn>
        <filterColumn colId="8">
          <filters>
            <filter val="Alteração de C.A"/>
            <filter val="STVM Saída"/>
            <filter val="Distrato"/>
            <filter val="------"/>
            <filter val="Sem Saldo"/>
            <filter val="Resgate Total"/>
          </filters>
        </filterColumn>
        <filterColumn colId="7">
          <filters>
            <filter val="Ativo"/>
            <filter val="Pode Operar"/>
          </filters>
        </filterColumn>
      </autoFilter>
    </customSheetView>
    <customSheetView guid="{C62C338D-6DD7-4E1D-BD83-DBDE22838042}" filter="1" showAutoFilter="1">
      <autoFilter ref="$K$2:$K$139">
        <filterColumn colId="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CCB54C7E-993A-4B2D-ACB8-60B4B8B158D0}" filter="1" showAutoFilter="1">
      <autoFilter ref="$A$2:$AE$132">
        <filterColumn colId="8">
          <filters>
            <filter val="Alteração de C.A"/>
            <filter val="STVM Saída"/>
            <filter val="Distrato"/>
            <filter val="Resgate Total"/>
          </filters>
        </filterColumn>
      </autoFilter>
    </customSheetView>
    <customSheetView guid="{08F7F748-3961-4A6D-B19F-B00BB1F86BAE}" filter="1" showAutoFilter="1">
      <autoFilter ref="$D$2:$F$139"/>
    </customSheetView>
    <customSheetView guid="{97ED08F8-0902-4DF2-B169-6E35A244D709}" filter="1" showAutoFilter="1">
      <autoFilter ref="$B$2:$AE$134"/>
    </customSheetView>
    <customSheetView guid="{CFC6ADAB-EA49-4F10-AB39-1F497DAF85D3}" filter="1" showAutoFilter="1">
      <autoFilter ref="$F$2:$F$139"/>
    </customSheetView>
    <customSheetView guid="{D9F720D9-5985-417C-9131-10AEE008595B}" filter="1" showAutoFilter="1">
      <autoFilter ref="$A$1:$AE$132"/>
    </customSheetView>
    <customSheetView guid="{89658390-5C37-4C7E-86DD-F1980A0E7F1E}" filter="1" showAutoFilter="1">
      <autoFilter ref="$A$2:$AE$132">
        <filterColumn colId="1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  <filterColumn colId="7">
          <filters>
            <filter val="Encerrado"/>
          </filters>
        </filterColumn>
      </autoFilter>
    </customSheetView>
    <customSheetView guid="{18305FC1-D259-4640-9665-7FBD61614DE9}" filter="1" showAutoFilter="1">
      <autoFilter ref="$A$1:$AE$134"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D657000B-DB7E-4866-89BA-EE41C00F8715}" filter="1" showAutoFilter="1">
      <autoFilter ref="$A$2:$AE$132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BDEA0D28-6EB0-4544-8313-7877B5E9979F}" filter="1" showAutoFilter="1">
      <autoFilter ref="$B$2:$AE$134"/>
    </customSheetView>
    <customSheetView guid="{7995FA59-641A-41E1-A8E4-4E25098B6ECE}" filter="1" showAutoFilter="1">
      <autoFilter ref="$A$1:$AN$134"/>
    </customSheetView>
    <customSheetView guid="{538FDDD0-78A9-40B0-A279-3A97BDFBD764}" filter="1" showAutoFilter="1">
      <autoFilter ref="$A$2:$AE$132">
        <filterColumn colId="7">
          <filters>
            <filter val="Ativo"/>
          </filters>
        </filterColumn>
      </autoFilter>
    </customSheetView>
    <customSheetView guid="{5CA085AB-9F04-4C5E-A250-EB57A3DB8059}" filter="1" showAutoFilter="1">
      <autoFilter ref="$A$2:$AE$132">
        <filterColumn colId="24">
          <filters/>
        </filterColumn>
      </autoFilter>
    </customSheetView>
    <customSheetView guid="{E9EF4B04-EC2E-4866-A0D6-B498EEFB67F1}" filter="1" showAutoFilter="1">
      <autoFilter ref="$E$2:$F$139"/>
    </customSheetView>
    <customSheetView guid="{8E23099A-352A-46B6-8EAF-566C415C9723}" filter="1" showAutoFilter="1">
      <autoFilter ref="$D$2:$F$139"/>
    </customSheetView>
    <customSheetView guid="{49DFE820-1C93-4C02-A5DC-F8D6F0A2587A}" filter="1" showAutoFilter="1">
      <autoFilter ref="$A$1:$AE$132">
        <filterColumn colId="7">
          <filters>
            <filter val="Encerrado"/>
          </filters>
        </filterColumn>
        <filterColumn colId="11">
          <filters blank="1">
            <filter val="07/10/2025"/>
            <filter val="03/06/2026"/>
            <filter val="24/03/2026"/>
            <filter val="28/10/2025"/>
            <filter val="22/07/2025"/>
            <filter val="03/03/2026"/>
            <filter val="29/07/2026"/>
            <filter val="13/05/2026"/>
            <filter val="25/08/2025"/>
            <filter val="Data distrato"/>
            <filter val="09/07/2025"/>
          </filters>
        </filterColumn>
      </autoFilter>
    </customSheetView>
    <customSheetView guid="{CF50F9BD-DAED-4762-A970-27959259F675}" filter="1" showAutoFilter="1">
      <autoFilter ref="$A$1:$AE$132">
        <filterColumn colId="7">
          <filters>
            <filter val="Inativo"/>
          </filters>
        </filterColumn>
        <filterColumn colId="8">
          <filters>
            <filter val="Alteração de C.A"/>
            <filter val="STVM Saída"/>
            <filter val="Distrato"/>
            <filter val="------"/>
            <filter val="Situação"/>
            <filter val="Resgate Total"/>
            <filter val="Monitoramento"/>
          </filters>
        </filterColumn>
      </autoFilter>
    </customSheetView>
    <customSheetView guid="{D1D59EAF-0D63-4FBE-B89F-57DAF6BA1C2D}" filter="1" showAutoFilter="1">
      <autoFilter ref="$A$1:$AE$134"/>
    </customSheetView>
    <customSheetView guid="{7206ACFF-4CDC-43A8-9D17-70E44C8BA13D}" filter="1" showAutoFilter="1">
      <autoFilter ref="$D$2:$F$139"/>
    </customSheetView>
    <customSheetView guid="{2BED0996-212A-43D6-A5BB-6E4636AD45BE}" filter="1" showAutoFilter="1">
      <autoFilter ref="$A$1:$AE$132">
        <filterColumn colId="24">
          <filters/>
        </filterColumn>
      </autoFilter>
    </customSheetView>
    <customSheetView guid="{902577D3-573C-4441-9717-39868E3B5A0E}" filter="1" showAutoFilter="1">
      <autoFilter ref="$A$2:$AE$132"/>
    </customSheetView>
    <customSheetView guid="{22EAFBDC-F786-4265-98F2-E728CC4DB199}" filter="1" showAutoFilter="1">
      <autoFilter ref="$B$2:$AE$134"/>
    </customSheetView>
    <customSheetView guid="{4E961BEB-49AD-4B3A-B742-A30ADAC0D0C3}" filter="1" showAutoFilter="1">
      <autoFilter ref="$B$2:$AE$134">
        <filterColumn colId="11">
          <filters blank="1">
            <filter val="INC/ COADM"/>
            <filter val="MOD"/>
            <filter val="TEMÁTICA"/>
            <filter val="MULT PRIV"/>
            <filter val="MULT PRIV/ COADM"/>
            <filter val="CON/ GR"/>
            <filter val="MOD / GR"/>
            <filter val="INC CP"/>
            <filter val="MOD/ GR"/>
          </filters>
        </filterColumn>
        <filterColumn colId="13">
          <filters blank="1">
            <filter val="IBOVESPA"/>
            <filter val="IPCA +7%"/>
          </filters>
        </filterColumn>
      </autoFilter>
    </customSheetView>
    <customSheetView guid="{AD03D55C-02EC-4A45-85EF-6E94354AF395}" filter="1" showAutoFilter="1">
      <autoFilter ref="$A$1:$AE$139">
        <filterColumn colId="5">
          <filters>
            <filter val="Bruno Rodrigues"/>
            <filter val="Norton Jr"/>
            <filter val="Rafaela Souza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  <filterColumn colId="12">
          <filters blank="1">
            <filter val="INC/ COADM"/>
            <filter val="TEMÁTICA"/>
            <filter val="EQT"/>
            <filter val="MULT PRIV"/>
            <filter val="MULT PRIV/ COADM"/>
            <filter val="CON/ GR"/>
            <filter val="MOD / GR"/>
            <filter val="PREV CON"/>
            <filter val="INC CP"/>
            <filter val="Carteira"/>
            <filter val="MOD/ GR"/>
          </filters>
        </filterColumn>
      </autoFilter>
    </customSheetView>
    <customSheetView guid="{69A2FE61-06A8-43F0-9BB6-CA53305A03F9}" filter="1" showAutoFilter="1">
      <autoFilter ref="$A$1:$AE$132"/>
    </customSheetView>
    <customSheetView guid="{0E8B470D-7ADE-40FE-B97D-D07FC82360BD}" filter="1" showAutoFilter="1">
      <autoFilter ref="$A$2:$AE$132">
        <filterColumn colId="1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4E09A950-F52E-442B-8DC3-BD654493555F}" filter="1" showAutoFilter="1">
      <autoFilter ref="$A$1:$AE$132"/>
    </customSheetView>
    <customSheetView guid="{3222D8C9-292D-42A9-9FB9-C02C74427E3B}" filter="1" showAutoFilter="1">
      <autoFilter ref="$B$2:$AE$134">
        <filterColumn colId="15">
          <filters>
            <filter val="Não movimentar carteira (27/11/2024)"/>
            <filter val="70K D+0 (05/08/2025)"/>
            <filter val="20K D+0 (28/03/2025)"/>
            <filter val="40k PGBL (27/05/2026).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Resgates mensais 2.500,00 (09/06/2026)."/>
            <filter val="15K D+0 (28/03/2025)"/>
            <filter val="Máx 10% CrPr (29/11/2024)"/>
            <filter val="200K D+0 (28/03/2025)"/>
            <filter val="Vencimentos em D+0 (05/12/2025)"/>
            <filter val="40% D+0 (03/08/2026)"/>
            <filter val="Próximos vencimentos D+0 (04/06/2025)"/>
            <filter val="30K D+0 (07/05/2025)"/>
            <filter val="100k D+0 (22/07/2026)"/>
            <filter val="100k D+0 e 100k aplic. de 6 meses (15/09/2025)"/>
            <filter val="50K D+0 (08/05/2026)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  <filter val="Mínimo 80% em RF, até 10% em Ações e até 10% em FIIs (04/08/2026)"/>
          </filters>
        </filterColumn>
      </autoFilter>
    </customSheetView>
    <customSheetView guid="{F93CDEF9-2774-4CF9-AD7F-8B246521D3B8}" filter="1" showAutoFilter="1">
      <autoFilter ref="$A$1:$AE$132"/>
    </customSheetView>
    <customSheetView guid="{D9530DEF-0123-43FC-A161-4BC7736CB274}" filter="1" showAutoFilter="1">
      <autoFilter ref="$A$2:$AE$132">
        <filterColumn colId="8">
          <filters>
            <filter val="Distrato"/>
            <filter val="Sem Saldo"/>
            <filter val="Resgate Total"/>
          </filters>
        </filterColumn>
      </autoFilter>
    </customSheetView>
    <customSheetView guid="{9E44EB80-D057-49A3-B0D2-F7DA7E7CE002}" filter="1" showAutoFilter="1">
      <autoFilter ref="$A$1:$AE$132">
        <filterColumn colId="4">
          <filters>
            <filter val="UF"/>
            <filter val="DF"/>
            <filter val="BA"/>
          </filters>
        </filterColumn>
        <filterColumn colId="5">
          <filters>
            <filter val="Bruno Rodrigues"/>
            <filter val="Norton Jr"/>
            <filter val="Rafaela Souza"/>
            <filter val="Bruno Henrique"/>
            <filter val="Vivian"/>
            <filter val="Lucas Moraes"/>
            <filter val="Thanira Moreira"/>
            <filter val="Felipe Rios"/>
            <filter val="Caroline Cichello"/>
            <filter val="André de Queiroz Coelho"/>
            <filter val="João Moreira"/>
            <filter val="Mariana Rocha"/>
            <filter val="Guilherme Marques"/>
            <filter val="Thiago Canabrava"/>
            <filter val="Murilo Silva"/>
            <filter val="Bluemetrix Asset"/>
            <filter val="Rafael Vilela"/>
            <filter val="Italo Teles"/>
            <filter val="Vitor Pedrazzi"/>
            <filter val="Paula Bonfim"/>
            <filter val="Gustavo Amorim"/>
            <filter val="Alcivana Marques"/>
            <filter val="Jorge Luiz Braga de Carvalho"/>
            <filter val="Thais Helena"/>
            <filter val="Flavio Silva"/>
            <filter val="Bruno Ribeiro"/>
            <filter val="Assessor"/>
            <filter val="Daniel Melhado"/>
          </filters>
        </filterColumn>
        <filterColumn colId="23">
          <filters blank="1">
            <filter val="ES"/>
            <filter val="SE"/>
            <filter val="MA"/>
          </filters>
        </filterColumn>
      </autoFilter>
    </customSheetView>
    <customSheetView guid="{65680E02-236A-4088-A637-2526A6F5A73E}" filter="1" showAutoFilter="1">
      <autoFilter ref="$A$1:$AE$134"/>
    </customSheetView>
    <customSheetView guid="{00E60367-C557-4A9D-ABF1-08D0B4DFDFC8}" filter="1" showAutoFilter="1">
      <autoFilter ref="$B$2:$Q$134">
        <filterColumn colId="13">
          <filters blank="1">
            <filter val="IBOVESPA"/>
            <filter val="IPCA +7%"/>
          </filters>
        </filterColumn>
      </autoFilter>
    </customSheetView>
    <customSheetView guid="{8FF0F0BD-2ABF-4564-9B1A-9F23E317D8DE}" filter="1" showAutoFilter="1">
      <autoFilter ref="$A$2:$AE$132"/>
    </customSheetView>
    <customSheetView guid="{7B595886-3679-4CE5-8338-C329E3005A7E}" filter="1" showAutoFilter="1">
      <autoFilter ref="$F$2:$AE$139"/>
    </customSheetView>
    <customSheetView guid="{1378EEFE-F08B-4D31-8374-BF3463E0C9B2}" filter="1" showAutoFilter="1">
      <autoFilter ref="$A$1:$AE$132">
        <filterColumn colId="4">
          <filters>
            <filter val="UF"/>
            <filter val="GO"/>
            <filter val="BA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Grupo Mowe"/>
            <filter val="Bluemetrix"/>
            <filter val="Investeseg"/>
          </filters>
        </filterColumn>
        <filterColumn colId="23">
          <filters blank="1">
            <filter val="UF cliente"/>
            <filter val="MT"/>
            <filter val="ES"/>
            <filter val="PA"/>
            <filter val="SE"/>
            <filter val="MA"/>
          </filters>
        </filterColumn>
      </autoFilter>
    </customSheetView>
    <customSheetView guid="{0410CE2D-75BD-465E-9E8C-279627BB2044}" filter="1" showAutoFilter="1">
      <autoFilter ref="$A$1:$AE$139">
        <filterColumn colId="7">
          <filters>
            <filter val="Ativo"/>
          </filters>
        </filterColumn>
        <filterColumn colId="12">
          <filters blank="1">
            <filter val="INC/ COADM"/>
            <filter val="FUND"/>
            <filter val="TEMÁTICA"/>
            <filter val="MONT"/>
            <filter val="MULT PRIV"/>
            <filter val="MULT PRIV/ COADM"/>
            <filter val="CON/ GR"/>
            <filter val="MOD / GR"/>
            <filter val="INC CP"/>
            <filter val="Carteira"/>
            <filter val="MOD/ GR"/>
          </filters>
        </filterColumn>
      </autoFilter>
    </customSheetView>
    <customSheetView guid="{D72A8D76-4C52-45A1-B03B-AA69964DED90}" filter="1" showAutoFilter="1">
      <autoFilter ref="$A$1:$AE$139"/>
    </customSheetView>
    <customSheetView guid="{CE2411D1-E1EA-4B10-9A09-B64AA7454FEF}" filter="1" showAutoFilter="1">
      <autoFilter ref="$B$2:$AE$134"/>
    </customSheetView>
    <customSheetView guid="{BC0B1DB1-8786-41B4-8FFF-B82431D10F35}" filter="1" showAutoFilter="1">
      <autoFilter ref="$B$2:$AE$139"/>
    </customSheetView>
    <customSheetView guid="{782C1766-D366-4791-A229-466454E378AF}" filter="1" showAutoFilter="1">
      <autoFilter ref="$A$1:$AE$132">
        <filterColumn colId="4">
          <filters>
            <filter val="DF"/>
            <filter val="BA"/>
          </filters>
        </filterColumn>
      </autoFilter>
    </customSheetView>
    <customSheetView guid="{AC58E428-8995-4215-A75A-AD2C96080690}" filter="1" showAutoFilter="1">
      <autoFilter ref="$H$1:$I$132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>
            <filter val="Alteração de C.A"/>
            <filter val="STVM Saída"/>
            <filter val="Distrato"/>
            <filter val="------"/>
            <filter val="Situação"/>
            <filter val="Resgate Total"/>
            <filter val="Monitoramento"/>
          </filters>
        </filterColumn>
      </autoFilter>
    </customSheetView>
    <customSheetView guid="{BED19743-79B0-4CE0-8BB5-CC952BE87801}" filter="1" showAutoFilter="1">
      <autoFilter ref="$A$1:$AE$139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BA"/>
          </filters>
        </filterColumn>
      </autoFilter>
    </customSheetView>
    <customSheetView guid="{451C6C33-BC1A-49FA-B291-60C00A458E45}" filter="1" showAutoFilter="1">
      <autoFilter ref="$D$2:$E$124">
        <filterColumn colId="1">
          <filters>
            <filter val="BA"/>
          </filters>
        </filterColumn>
      </autoFilter>
    </customSheetView>
    <customSheetView guid="{B7EA2B43-FFDE-4C9E-B072-96B56F96CE37}" filter="1" showAutoFilter="1">
      <autoFilter ref="$B$2:$AE$134"/>
    </customSheetView>
    <customSheetView guid="{AC585C66-5314-4E46-945A-ACB6A5C6C665}" filter="1" showAutoFilter="1">
      <autoFilter ref="$A$1:$AE$134">
        <filterColumn colId="7">
          <filters blank="1">
            <filter val="Ativo"/>
          </filters>
        </filterColumn>
      </autoFilter>
    </customSheetView>
    <customSheetView guid="{A214FC91-2926-4021-8CFF-EA2F61021101}" filter="1" showAutoFilter="1">
      <autoFilter ref="$B$2:$AE$134">
        <filterColumn colId="6">
          <filters blank="1">
            <filter val="Inativo"/>
            <filter val="Ativo"/>
          </filters>
        </filterColumn>
      </autoFilter>
    </customSheetView>
    <customSheetView guid="{9D3DEFCC-A924-4E8D-9CE6-778E89A63856}" filter="1" showAutoFilter="1">
      <autoFilter ref="$A$1:$F$132"/>
    </customSheetView>
    <customSheetView guid="{7228C4C0-6366-410B-999F-F4ED1D860199}" filter="1" showAutoFilter="1">
      <autoFilter ref="$F$2:$F$139"/>
    </customSheetView>
    <customSheetView guid="{CB45C91D-37D9-452E-AFFE-508EB217137F}" filter="1" showAutoFilter="1">
      <autoFilter ref="$F$2:$F$139"/>
    </customSheetView>
    <customSheetView guid="{68DA9D9B-2BB9-4E03-B61D-259411CE2611}" filter="1" showAutoFilter="1">
      <autoFilter ref="$A$1:$AE$134">
        <filterColumn colId="12">
          <filters blank="1">
            <filter val="INC/ COADM"/>
            <filter val="FUND"/>
            <filter val="TEMÁTICA"/>
            <filter val="MONT"/>
            <filter val="MULT PRIV"/>
            <filter val="MULT PRIV/ COADM"/>
            <filter val="CON/ GR"/>
            <filter val="MOD / GR"/>
            <filter val="INC CP"/>
            <filter val="Carteira"/>
            <filter val="MOD/ GR"/>
          </filters>
        </filterColumn>
        <filterColumn colId="6">
          <filters>
            <filter val="Marcus"/>
            <filter val="David"/>
            <filter val="Gabriel"/>
          </filters>
        </filterColumn>
      </autoFilter>
    </customSheetView>
    <customSheetView guid="{4E06399B-CA7D-4E4D-A17E-E4B9B1AF63C4}" filter="1" showAutoFilter="1">
      <autoFilter ref="$B$2:$AE$134"/>
    </customSheetView>
    <customSheetView guid="{B40945C9-974D-43EF-AB93-58449A090935}" filter="1" showAutoFilter="1">
      <autoFilter ref="$B$2:$AE$134"/>
    </customSheetView>
    <customSheetView guid="{0635E86D-97FE-4BEF-B100-0431664E8011}" filter="1" showAutoFilter="1">
      <autoFilter ref="$A$2:$AE$132">
        <filterColumn colId="12">
          <filters>
            <filter val="INC/ COADM"/>
            <filter val="TEMÁTICA"/>
            <filter val="MULT PRIV"/>
            <filter val="MULT PRIV/ COADM"/>
            <filter val="CON/ GR"/>
            <filter val="MOD / GR"/>
            <filter val="INC CP"/>
            <filter val="MOD/ GR"/>
          </filters>
        </filterColumn>
      </autoFilter>
    </customSheetView>
    <customSheetView guid="{6029AC19-417B-4102-AB04-0D587EB064E7}" filter="1" showAutoFilter="1">
      <autoFilter ref="$A$1:$AE$134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INC/ COADM"/>
            <filter val="TEMÁTICA"/>
            <filter val="MONT"/>
            <filter val="MULT PRIV"/>
            <filter val="MULT PRIV/ COADM"/>
            <filter val="CON/ GR"/>
            <filter val="MOD / GR"/>
            <filter val="PREV CON"/>
            <filter val="INC CP"/>
            <filter val="Carteira"/>
            <filter val="MOD/ GR"/>
            <filter val="INC"/>
          </filters>
        </filterColumn>
      </autoFilter>
    </customSheetView>
    <customSheetView guid="{DF1A3CB9-3C9E-40AC-BF2C-102973F9E739}" filter="1" showAutoFilter="1">
      <autoFilter ref="$A$1:$AE$132">
        <filterColumn colId="8">
          <filters>
            <filter val="Alteração de C.A"/>
            <filter val="STVM Saída"/>
            <filter val="Distrato"/>
            <filter val="Resgate Total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E2D20005-B3FA-4B28-9FF1-464AED71BB3E}" filter="1" showAutoFilter="1">
      <autoFilter ref="$A$1:$AE$132">
        <filterColumn colId="12">
          <filters>
            <filter val="INC/ COADM"/>
            <filter val="TEMÁTICA"/>
            <filter val="MULT PRIV"/>
            <filter val="MULT PRIV/ COADM"/>
            <filter val="MOD / GR"/>
            <filter val="INC CP"/>
          </filters>
        </filterColumn>
      </autoFilter>
    </customSheetView>
    <customSheetView guid="{CAA79F67-A6A3-4ED0-A1B0-0DAAC59C98FC}" filter="1" showAutoFilter="1">
      <autoFilter ref="$B$2:$AE$134"/>
    </customSheetView>
    <customSheetView guid="{171F7247-BE81-48D0-A26A-F63427616EBA}" filter="1" showAutoFilter="1">
      <autoFilter ref="$A$1:$AE$132">
        <filterColumn colId="24">
          <filters/>
        </filterColumn>
      </autoFilter>
    </customSheetView>
    <customSheetView guid="{2689B0F3-C848-484D-8837-E91813906F10}" filter="1" showAutoFilter="1">
      <autoFilter ref="$A$1:$AE$134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31E47E3C-FDA0-4B26-8783-ED349E6494F7}" filter="1" showAutoFilter="1">
      <autoFilter ref="$B$2:$AE$134"/>
    </customSheetView>
    <customSheetView guid="{70B0536D-D383-4AAB-9558-2A0D578102A2}" filter="1" showAutoFilter="1">
      <autoFilter ref="$A$1:$AE$139">
        <filterColumn colId="5">
          <filters>
            <filter val="Bruno Rodrigues"/>
            <filter val="Norton Jr"/>
            <filter val="Rafaela Souza"/>
            <filter val="Bruno Henrique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F891595F-A274-4CEA-9DDC-4053E320D873}" filter="1" showAutoFilter="1">
      <autoFilter ref="$A$2:$AE$132">
        <filterColumn colId="7">
          <filters>
            <filter val="Inativo"/>
          </filters>
        </filterColumn>
        <filterColumn colId="8">
          <filters>
            <filter val="Distrato"/>
            <filter val="------"/>
            <filter val="Resgate Total"/>
          </filters>
        </filterColumn>
      </autoFilter>
    </customSheetView>
    <customSheetView guid="{2B799362-B7B1-4E34-BAF1-CA385A7DA9EA}" filter="1" showAutoFilter="1">
      <autoFilter ref="$B$2:$AE$134"/>
    </customSheetView>
    <customSheetView guid="{1CB918E4-DFB3-4EDB-9A6F-2EB78141C963}" filter="1" showAutoFilter="1">
      <autoFilter ref="$A$1:$AE$132">
        <filterColumn colId="7">
          <filters>
            <filter val="Pode Operar"/>
          </filters>
        </filterColumn>
        <filterColumn colId="8">
          <filters>
            <filter val="Alteração de C.A"/>
            <filter val="STVM Saída"/>
            <filter val="Distrato"/>
            <filter val="Situação"/>
            <filter val="Resgate Total"/>
            <filter val="Monitoramento"/>
          </filters>
        </filterColumn>
      </autoFilter>
    </customSheetView>
    <customSheetView guid="{B0EBEE94-932C-4E01-8EA0-E4B52D8BC3D0}" filter="1" showAutoFilter="1">
      <autoFilter ref="$A$1:$AE$132">
        <filterColumn colId="8">
          <filters>
            <filter val="STVM Saída"/>
            <filter val="Distrato"/>
            <filter val="Resgate Total"/>
          </filters>
        </filterColumn>
      </autoFilter>
    </customSheetView>
    <customSheetView guid="{51A8D2F4-8D86-4679-86B1-EA64A0EE4A10}" filter="1" showAutoFilter="1">
      <autoFilter ref="$A$1:$AE$132">
        <filterColumn colId="17">
          <filters>
            <filter val="Observações Backoffice"/>
            <filter val="Distrato unilateral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112F537C-77AF-4182-AB1C-99E1DCD0F91A}" filter="1" showAutoFilter="1">
      <autoFilter ref="$A$1:$AE$134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D2CEFE79-E609-463C-AA33-4D88E759492B}" filter="1" showAutoFilter="1">
      <autoFilter ref="$F$2:$F$139"/>
    </customSheetView>
    <customSheetView guid="{D32BF63B-B2CA-4C3E-931C-80018C77A928}" filter="1" showAutoFilter="1">
      <autoFilter ref="$B$2:$AE$134"/>
    </customSheetView>
    <customSheetView guid="{D4A6E9C6-7410-45D4-B7C4-015122FEDC4D}" filter="1" showAutoFilter="1">
      <autoFilter ref="$A$1:$AE$134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21B7878B-52E2-4788-B095-9054A5981802}" filter="1" showAutoFilter="1">
      <autoFilter ref="$K$2:$K$139">
        <filterColumn colId="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0C1020D9-8109-496F-9ED6-28A7ED1A2AB7}" filter="1" showAutoFilter="1">
      <autoFilter ref="$A$2:$AE$132">
        <filterColumn colId="7">
          <filters>
            <filter val="Pode Operar"/>
          </filters>
        </filterColumn>
      </autoFilter>
    </customSheetView>
    <customSheetView guid="{FBD4E7F3-FBBA-4389-B8DB-C6E19298F85D}" filter="1" showAutoFilter="1">
      <autoFilter ref="$K$2:$L$139">
        <filterColumn colId="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8CF65A8E-5474-475B-B455-24393DDEE9FA}" filter="1" showAutoFilter="1">
      <autoFilter ref="$A$1:$AE$132">
        <filterColumn colId="1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06003629-F286-4216-A213-4AFE1E36A40B}" filter="1" showAutoFilter="1">
      <autoFilter ref="$A$1:$AE$134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1E462D75-8D74-420B-A407-97545AE355DA}" filter="1" showAutoFilter="1">
      <autoFilter ref="$B$2:$AE$134"/>
    </customSheetView>
    <customSheetView guid="{04FF9915-DD3B-4396-A7AF-B26F880882B9}" filter="1" showAutoFilter="1">
      <autoFilter ref="$A$1:$AE$139"/>
    </customSheetView>
    <customSheetView guid="{5AE5DDB4-0A42-4F43-9F28-CD5785369358}" filter="1" showAutoFilter="1">
      <autoFilter ref="$A$1:$AE$132">
        <filterColumn colId="7">
          <filters>
            <filter val="Pode Operar"/>
          </filters>
        </filterColumn>
      </autoFilter>
    </customSheetView>
    <customSheetView guid="{03FF394B-A3CC-412E-AC3C-43FCE662566C}" filter="1" showAutoFilter="1">
      <autoFilter ref="$A$1:$AE$139"/>
    </customSheetView>
    <customSheetView guid="{C1CA0EF5-D163-4398-B2A2-BDDFC98F2FB3}" filter="1" showAutoFilter="1">
      <autoFilter ref="$D$2:$F$139"/>
    </customSheetView>
    <customSheetView guid="{8A3172FC-4096-49AA-9413-180E1AFFE242}" filter="1" showAutoFilter="1">
      <autoFilter ref="$A$1:$AE$134">
        <filterColumn colId="12">
          <filters blank="1">
            <filter val="INC/ COADM"/>
            <filter val="CON"/>
            <filter val="MOD"/>
            <filter val="FUND"/>
            <filter val="TEMÁTICA"/>
            <filter val="MULT PRIV"/>
            <filter val="MULT PRIV/ COADM"/>
            <filter val="CON/ GR"/>
            <filter val="MOD / GR"/>
            <filter val="PREV CON"/>
            <filter val="INC CP"/>
            <filter val="Carteira"/>
            <filter val="MOD/ GR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Alteração de C.A"/>
            <filter val="STVM Saída"/>
            <filter val="Distrato"/>
            <filter val="------"/>
            <filter val="Situação"/>
            <filter val="Resgate Total"/>
            <filter val="Monitoramento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722B78C8-FCD4-4998-92AC-C08554C3B012}" filter="1" showAutoFilter="1">
      <autoFilter ref="$D$2:$AE$139"/>
    </customSheetView>
    <customSheetView guid="{5A18E0C5-1738-42D5-B301-46BE58627A66}" filter="1" showAutoFilter="1">
      <autoFilter ref="$A$1:$AE$132">
        <filterColumn colId="24">
          <filters/>
        </filterColumn>
      </autoFilter>
    </customSheetView>
    <customSheetView guid="{44DF447E-19F1-4EC8-8BEF-6D48B5598A57}" filter="1" showAutoFilter="1">
      <autoFilter ref="$A$2:$AE$132">
        <filterColumn colId="12">
          <filters>
            <filter val="INC/ COADM"/>
            <filter val="TEMÁTICA"/>
            <filter val="MULT PRIV"/>
            <filter val="MULT PRIV/ COADM"/>
            <filter val="MOD / GR"/>
            <filter val="INC CP"/>
            <filter val="INC"/>
          </filters>
        </filterColumn>
      </autoFilter>
    </customSheetView>
    <customSheetView guid="{A22650EC-12B2-4768-B2BE-5B4E4FD4134F}" filter="1" showAutoFilter="1">
      <autoFilter ref="$A$2:$AE$132">
        <filterColumn colId="12">
          <filters>
            <filter val="INC/ COADM"/>
            <filter val="TEMÁTICA"/>
            <filter val="MULT PRIV"/>
            <filter val="MULT PRIV/ COADM"/>
            <filter val="MOD / GR"/>
            <filter val="INC CP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</autoFilter>
    </customSheetView>
    <customSheetView guid="{1FC13B34-835E-47A1-85A4-01FE60642626}" filter="1" showAutoFilter="1">
      <autoFilter ref="$A$1:$AE$132">
        <filterColumn colId="24">
          <filters/>
        </filterColumn>
      </autoFilter>
    </customSheetView>
    <customSheetView guid="{C22C274A-8351-4552-955C-17C75AF11B50}" filter="1" showAutoFilter="1">
      <autoFilter ref="$D$2:$AE$139"/>
    </customSheetView>
    <customSheetView guid="{C0B03341-4AEF-4BF7-A18B-DDC8CBEE8AA1}" filter="1" showAutoFilter="1">
      <autoFilter ref="$A$2:$AE$132">
        <filterColumn colId="4">
          <filters>
            <filter val="BA"/>
          </filters>
        </filterColumn>
      </autoFilter>
    </customSheetView>
    <customSheetView guid="{E9BF6AF0-BC32-4F88-8BD2-3FA7A1B4D5AB}" filter="1" showAutoFilter="1">
      <autoFilter ref="$K$2:$K$139">
        <filterColumn colId="0">
          <filters>
            <filter val="07/07/2026"/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4/2026"/>
            <filter val="14/01/2025"/>
            <filter val="05/11/2025"/>
            <filter val="05/06/2026"/>
            <filter val="11/07/2025"/>
            <filter val="11/02/2026"/>
            <filter val="27/02/2026"/>
            <filter val="22/08/2025"/>
            <filter val="27/05/2026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03/08/2026"/>
            <filter val="15/05/2026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25/06/2026"/>
            <filter val="09/04/2025"/>
            <filter val="20/12/2024"/>
            <filter val="17/10/2025"/>
            <filter val="19/02/2025"/>
            <filter val="23/06/2026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29/07/2026"/>
            <filter val="17/03/2025"/>
            <filter val="07/05/2026"/>
            <filter val="18/06/2025"/>
            <filter val="19/09/2025"/>
            <filter val="24/02/2025"/>
            <filter val="03/06/2026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24/07/2026"/>
            <filter val="10/07/2026"/>
            <filter val="14/02/2025"/>
            <filter val="24/07/2025"/>
            <filter val="28/02/2025"/>
            <filter val="03/01/2025"/>
            <filter val="27/11/2024"/>
            <filter val="13/06/2025"/>
            <filter val="22/07/2026"/>
            <filter val="16/05/2025"/>
            <filter val="22/12/2025"/>
          </filters>
        </filterColumn>
      </autoFilter>
    </customSheetView>
    <customSheetView guid="{9C32ABC4-642F-4A73-8F3D-FD161726996C}" filter="1" showAutoFilter="1">
      <autoFilter ref="$A$1:$AE$132">
        <filterColumn colId="5">
          <filters>
            <filter val="Bruno Rodrigues"/>
            <filter val="Norton Jr"/>
            <filter val="Rafaela Souza"/>
            <filter val="Lucas Moraes"/>
            <filter val="Thanira Moreira"/>
            <filter val="Caroline Cichello"/>
            <filter val="André de Queiroz Coelho"/>
            <filter val="João Moreira"/>
            <filter val="Mariana Rocha"/>
            <filter val="Murilo Silva"/>
            <filter val="Bluemetrix Asset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8D0E9103-9A25-42C2-8CEF-4FE04634B0B7}" filter="1" showAutoFilter="1">
      <autoFilter ref="$A$1:$AE$134"/>
    </customSheetView>
    <customSheetView guid="{70F7446A-0DAC-4D27-A21A-B34FE380E0B8}" filter="1" showAutoFilter="1">
      <autoFilter ref="$A$1:$AE$134">
        <filterColumn colId="12">
          <filters blank="1">
            <filter val="INC/ COADM"/>
            <filter val="MOD"/>
            <filter val="TEMÁTICA"/>
            <filter val="EQT"/>
            <filter val="MULT PRIV"/>
            <filter val="MULT PRIV/ COADM"/>
            <filter val="CON/ GR"/>
            <filter val="MOD / GR"/>
            <filter val="INC CP"/>
            <filter val="MOD/ GR"/>
          </filters>
        </filterColumn>
      </autoFilter>
    </customSheetView>
    <customSheetView guid="{F54AB606-0A02-4CDB-B6E2-C5D4DD633C39}" filter="1" showAutoFilter="1">
      <autoFilter ref="$M$2:$M$139">
        <filterColumn colId="0">
          <filters>
            <filter val="INC/ COADM"/>
            <filter val="TEMÁTICA"/>
            <filter val="MULT PRIV"/>
            <filter val="MULT PRIV/ COADM"/>
            <filter val="CON/ GR"/>
            <filter val="MOD / GR"/>
            <filter val="PREV CON"/>
            <filter val="INC CP"/>
            <filter val="MOD/ GR"/>
          </filters>
        </filterColumn>
      </autoFilter>
    </customSheetView>
    <customSheetView guid="{FFF8B650-CBF3-4052-87D6-A8C0A82089E5}" filter="1" showAutoFilter="1">
      <autoFilter ref="$A$2:$AE$132">
        <filterColumn colId="7">
          <filters>
            <filter val="Inativo"/>
          </filters>
        </filterColumn>
      </autoFilter>
    </customSheetView>
    <customSheetView guid="{C47A8014-6FA4-42E4-9F12-F1011B9C099B}" filter="1" showAutoFilter="1">
      <autoFilter ref="$B$2:$AE$134"/>
    </customSheetView>
    <customSheetView guid="{70E57EE2-2FF1-4169-9A89-59FDF3A2B70F}" filter="1" showAutoFilter="1">
      <autoFilter ref="$A$1:$AE$132"/>
    </customSheetView>
    <customSheetView guid="{5D99C391-A582-4147-B89C-A2E2E90FF18D}" filter="1" showAutoFilter="1">
      <autoFilter ref="$B$2:$AE$134"/>
    </customSheetView>
    <customSheetView guid="{065E01C9-57BE-450A-9C4A-C82F63BD101C}" filter="1" showAutoFilter="1">
      <autoFilter ref="$A$1:$AE$132">
        <filterColumn colId="17">
          <filters>
            <filter val="Distrato unilateral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F68FA5A8-97B1-4212-8002-48B0E2190285}" filter="1" showAutoFilter="1">
      <autoFilter ref="$A$2:$AE$134">
        <filterColumn colId="3">
          <filters blank="1">
            <filter val="Poupinvista"/>
            <filter val="MI Smart"/>
            <filter val="Miura"/>
            <filter val="VcInvest"/>
            <filter val="Expert"/>
            <filter val="Altum"/>
            <filter val="Nexco"/>
            <filter val="Grupo Mowe"/>
            <filter val="Investeseg"/>
          </filters>
        </filterColumn>
      </autoFilter>
    </customSheetView>
    <customSheetView guid="{DBF97924-AD64-437D-8F5D-C0F6C70BE8D1}" filter="1" showAutoFilter="1">
      <autoFilter ref="$A$1:$AE$132">
        <filterColumn colId="4">
          <filters>
            <filter val="BA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Grupo Mowe"/>
            <filter val="Bluemetrix"/>
            <filter val="Investeseg"/>
            <filter val="Escritório"/>
          </filters>
        </filterColumn>
      </autoFilter>
    </customSheetView>
    <customSheetView guid="{660A2834-41D4-4E6F-9572-4A1EE6F73E5A}" filter="1" showAutoFilter="1">
      <autoFilter ref="$A$1:$AE$132">
        <filterColumn colId="17">
          <filters>
            <filter val="Distrato unilateral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B604FAC0-0919-4A33-B240-F21979965E15}" filter="1" showAutoFilter="1">
      <autoFilter ref="$B$2:$AE$134"/>
    </customSheetView>
    <customSheetView guid="{0D6E73C6-3261-43FB-A2C9-4B9A53AC06CB}" filter="1" showAutoFilter="1">
      <autoFilter ref="$B$2:$AE$134"/>
    </customSheetView>
  </customSheetViews>
  <mergeCells count="4">
    <mergeCell ref="A1:F1"/>
    <mergeCell ref="H1:I1"/>
    <mergeCell ref="J1:P1"/>
    <mergeCell ref="S1:AE1"/>
  </mergeCells>
  <conditionalFormatting sqref="E3:E132">
    <cfRule type="cellIs" dxfId="1" priority="1" operator="equal">
      <formula>"Conquest"</formula>
    </cfRule>
  </conditionalFormatting>
  <conditionalFormatting sqref="E3:E132">
    <cfRule type="cellIs" dxfId="2" priority="2" operator="equal">
      <formula>"Voga"</formula>
    </cfRule>
  </conditionalFormatting>
  <conditionalFormatting sqref="Z3:AA132">
    <cfRule type="notContainsBlanks" dxfId="0" priority="3">
      <formula>LEN(TRIM(Z3))&gt;0</formula>
    </cfRule>
  </conditionalFormatting>
  <dataValidations>
    <dataValidation type="list" allowBlank="1" showErrorMessage="1" sqref="I3:I132">
      <formula1>"------,Sem Saldo,STVM Entrada,STVM Saída,Alteração de C.A,Monitoramento,Bloqueado,Resgate,Resgate Total,Troca de Assessoria,Distrato"</formula1>
    </dataValidation>
    <dataValidation type="list" allowBlank="1" showErrorMessage="1" sqref="Z3:AA132">
      <formula1>"Conservador,Moderado,Arrojado"</formula1>
    </dataValidation>
    <dataValidation type="list" allowBlank="1" showErrorMessage="1" sqref="Y3:Y132">
      <formula1>"Ativo,Inativo,Encerrado"</formula1>
    </dataValidation>
    <dataValidation type="list" allowBlank="1" showErrorMessage="1" sqref="D3:D132">
      <formula1>"Bluemetrix,Voga,Conquest,VcInvest,MI Smart,Altum,Poupinvista,Solution For Life,Miura,Expert,Nexco,Investeseg,Grupo Mowe"</formula1>
    </dataValidation>
    <dataValidation type="list" allowBlank="1" showErrorMessage="1" sqref="AB3:AB132">
      <formula1>"Não Qualificado,Qualificado,Profissional"</formula1>
    </dataValidation>
    <dataValidation type="list" allowBlank="1" showErrorMessage="1" sqref="O3:O132">
      <formula1>"IBOVESPA,CDI,------,IFIX,SMLL,S&amp;P 500,IPCA +7% "</formula1>
    </dataValidation>
    <dataValidation type="list" allowBlank="1" showErrorMessage="1" sqref="E3:E132">
      <formula1>"DF,GO,SUL,SP,RJ,BA"</formula1>
    </dataValidation>
    <dataValidation type="list" allowBlank="1" showErrorMessage="1" sqref="H3:H132">
      <formula1>"Ativo,Inativo,Encerrado,Pode Operar"</formula1>
    </dataValidation>
    <dataValidation type="list" allowBlank="1" showErrorMessage="1" sqref="S3:S132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26.88"/>
    <col customWidth="1" min="3" max="3" width="7.63"/>
    <col customWidth="1" min="4" max="4" width="11.0"/>
    <col customWidth="1" min="5" max="5" width="5.63"/>
    <col customWidth="1" min="6" max="6" width="13.25"/>
    <col customWidth="1" min="7" max="7" width="18.0"/>
    <col customWidth="1" min="8" max="8" width="15.63"/>
    <col customWidth="1" min="9" max="9" width="12.75"/>
    <col customWidth="1" min="10" max="10" width="11.0"/>
    <col customWidth="1" min="11" max="11" width="12.63"/>
    <col customWidth="1" min="12" max="12" width="10.38"/>
    <col customWidth="1" min="13" max="13" width="11.0"/>
    <col customWidth="1" min="14" max="14" width="11.88"/>
    <col customWidth="1" min="15" max="15" width="16.38"/>
    <col customWidth="1" min="16" max="16" width="7.63"/>
    <col customWidth="1" min="17" max="17" width="45.25"/>
    <col customWidth="1" min="18" max="18" width="28.13"/>
    <col customWidth="1" min="19" max="19" width="9.25"/>
    <col customWidth="1" min="20" max="20" width="14.5"/>
    <col customWidth="1" min="21" max="21" width="12.25"/>
    <col customWidth="1" min="22" max="22" width="27.0"/>
    <col customWidth="1" min="23" max="23" width="9.38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hidden="1" min="32" max="42" width="18.75"/>
    <col customWidth="1" hidden="1" min="43" max="52" width="13.38"/>
    <col customWidth="1" hidden="1" min="53" max="53" width="13.25"/>
    <col customWidth="1" hidden="1" min="54" max="56" width="13.38"/>
    <col customWidth="1" hidden="1" min="57" max="57" width="13.5"/>
    <col customWidth="1" hidden="1" min="58" max="58" width="14.0"/>
    <col customWidth="1" hidden="1" min="59" max="83" width="14.88"/>
    <col customWidth="1" hidden="1" min="84" max="86" width="12.25"/>
    <col customWidth="1" hidden="1" min="87" max="95" width="11.0"/>
    <col customWidth="1" min="96" max="98" width="11.0"/>
    <col customWidth="1" min="99" max="113" width="12.25"/>
  </cols>
  <sheetData>
    <row r="1" ht="15.75" customHeight="1">
      <c r="A1" s="2" t="s">
        <v>0</v>
      </c>
      <c r="G1" s="4" t="s">
        <v>3</v>
      </c>
      <c r="H1" s="5" t="s">
        <v>6</v>
      </c>
      <c r="J1" s="2" t="s">
        <v>0</v>
      </c>
      <c r="Q1" s="6" t="s">
        <v>10</v>
      </c>
      <c r="R1" s="8" t="s">
        <v>11</v>
      </c>
      <c r="S1" s="9" t="s">
        <v>13</v>
      </c>
      <c r="AF1" s="11" t="s">
        <v>18</v>
      </c>
      <c r="AG1" s="11" t="s">
        <v>18</v>
      </c>
      <c r="AH1" s="11" t="s">
        <v>18</v>
      </c>
      <c r="AI1" s="11" t="s">
        <v>18</v>
      </c>
      <c r="AJ1" s="11" t="s">
        <v>18</v>
      </c>
      <c r="AK1" s="11" t="s">
        <v>18</v>
      </c>
      <c r="AL1" s="11" t="s">
        <v>18</v>
      </c>
      <c r="AM1" s="11" t="s">
        <v>18</v>
      </c>
      <c r="AN1" s="11" t="s">
        <v>18</v>
      </c>
      <c r="AO1" s="11" t="s">
        <v>18</v>
      </c>
      <c r="AP1" s="11" t="s">
        <v>18</v>
      </c>
      <c r="AQ1" s="11" t="s">
        <v>18</v>
      </c>
      <c r="AR1" s="11" t="s">
        <v>18</v>
      </c>
      <c r="AS1" s="11" t="s">
        <v>18</v>
      </c>
      <c r="AT1" s="11" t="s">
        <v>18</v>
      </c>
      <c r="AU1" s="11" t="s">
        <v>18</v>
      </c>
      <c r="AV1" s="11" t="s">
        <v>18</v>
      </c>
      <c r="AW1" s="11" t="s">
        <v>18</v>
      </c>
      <c r="AX1" s="11" t="s">
        <v>18</v>
      </c>
      <c r="AY1" s="11" t="s">
        <v>18</v>
      </c>
      <c r="AZ1" s="11" t="s">
        <v>18</v>
      </c>
      <c r="BA1" s="11" t="s">
        <v>18</v>
      </c>
      <c r="BB1" s="11" t="s">
        <v>18</v>
      </c>
      <c r="BC1" s="11" t="s">
        <v>18</v>
      </c>
      <c r="BD1" s="11" t="s">
        <v>18</v>
      </c>
      <c r="BE1" s="11" t="s">
        <v>18</v>
      </c>
      <c r="BF1" s="11" t="s">
        <v>18</v>
      </c>
      <c r="BG1" s="11" t="s">
        <v>18</v>
      </c>
      <c r="BH1" s="11" t="s">
        <v>18</v>
      </c>
      <c r="BI1" s="11" t="s">
        <v>18</v>
      </c>
      <c r="BJ1" s="11" t="s">
        <v>18</v>
      </c>
      <c r="BK1" s="11" t="s">
        <v>18</v>
      </c>
      <c r="BL1" s="11" t="s">
        <v>18</v>
      </c>
      <c r="BM1" s="11" t="s">
        <v>18</v>
      </c>
      <c r="BN1" s="11" t="s">
        <v>18</v>
      </c>
      <c r="BO1" s="11" t="s">
        <v>18</v>
      </c>
      <c r="BP1" s="11" t="s">
        <v>18</v>
      </c>
      <c r="BQ1" s="11" t="s">
        <v>18</v>
      </c>
      <c r="BR1" s="11" t="s">
        <v>18</v>
      </c>
      <c r="BS1" s="11" t="s">
        <v>18</v>
      </c>
      <c r="BT1" s="11" t="s">
        <v>18</v>
      </c>
      <c r="BU1" s="11" t="s">
        <v>18</v>
      </c>
      <c r="BV1" s="11" t="s">
        <v>18</v>
      </c>
      <c r="BW1" s="11" t="s">
        <v>18</v>
      </c>
      <c r="BX1" s="11" t="s">
        <v>18</v>
      </c>
      <c r="BY1" s="11" t="s">
        <v>18</v>
      </c>
      <c r="BZ1" s="11" t="s">
        <v>18</v>
      </c>
      <c r="CA1" s="11" t="s">
        <v>18</v>
      </c>
      <c r="CB1" s="11" t="s">
        <v>18</v>
      </c>
      <c r="CC1" s="11" t="s">
        <v>18</v>
      </c>
      <c r="CD1" s="11" t="s">
        <v>18</v>
      </c>
      <c r="CE1" s="11" t="s">
        <v>18</v>
      </c>
      <c r="CF1" s="11" t="s">
        <v>18</v>
      </c>
      <c r="CG1" s="11" t="s">
        <v>18</v>
      </c>
      <c r="CH1" s="11" t="s">
        <v>18</v>
      </c>
      <c r="CI1" s="11" t="s">
        <v>18</v>
      </c>
      <c r="CJ1" s="11" t="s">
        <v>18</v>
      </c>
      <c r="CK1" s="11" t="s">
        <v>18</v>
      </c>
      <c r="CL1" s="11" t="s">
        <v>18</v>
      </c>
      <c r="CM1" s="11" t="s">
        <v>18</v>
      </c>
      <c r="CN1" s="11" t="s">
        <v>18</v>
      </c>
      <c r="CO1" s="11" t="s">
        <v>18</v>
      </c>
      <c r="CP1" s="11" t="s">
        <v>18</v>
      </c>
      <c r="CQ1" s="11" t="s">
        <v>18</v>
      </c>
      <c r="CR1" s="11" t="s">
        <v>18</v>
      </c>
      <c r="CS1" s="11" t="s">
        <v>18</v>
      </c>
      <c r="CT1" s="11" t="s">
        <v>18</v>
      </c>
      <c r="CU1" s="11" t="s">
        <v>18</v>
      </c>
      <c r="CV1" s="11" t="s">
        <v>18</v>
      </c>
      <c r="CW1" s="11" t="s">
        <v>18</v>
      </c>
      <c r="CX1" s="11" t="s">
        <v>18</v>
      </c>
      <c r="CY1" s="11" t="s">
        <v>18</v>
      </c>
      <c r="CZ1" s="11" t="s">
        <v>18</v>
      </c>
      <c r="DA1" s="11" t="s">
        <v>18</v>
      </c>
      <c r="DB1" s="11" t="s">
        <v>18</v>
      </c>
      <c r="DC1" s="11" t="s">
        <v>18</v>
      </c>
      <c r="DD1" s="11" t="s">
        <v>18</v>
      </c>
      <c r="DE1" s="11" t="s">
        <v>18</v>
      </c>
      <c r="DF1" s="11" t="s">
        <v>18</v>
      </c>
      <c r="DG1" s="11" t="s">
        <v>18</v>
      </c>
      <c r="DH1" s="11" t="s">
        <v>18</v>
      </c>
      <c r="DI1" s="11" t="s">
        <v>18</v>
      </c>
    </row>
    <row r="2" ht="15.75" customHeight="1">
      <c r="A2" s="25" t="s">
        <v>31</v>
      </c>
      <c r="B2" s="12" t="s">
        <v>33</v>
      </c>
      <c r="C2" s="25" t="s">
        <v>2</v>
      </c>
      <c r="D2" s="28" t="s">
        <v>4</v>
      </c>
      <c r="E2" s="28" t="s">
        <v>5</v>
      </c>
      <c r="F2" s="28" t="s">
        <v>7</v>
      </c>
      <c r="G2" s="28" t="s">
        <v>36</v>
      </c>
      <c r="H2" s="28" t="s">
        <v>37</v>
      </c>
      <c r="I2" s="28" t="s">
        <v>38</v>
      </c>
      <c r="J2" s="28" t="s">
        <v>39</v>
      </c>
      <c r="K2" s="25" t="s">
        <v>41</v>
      </c>
      <c r="L2" s="25" t="s">
        <v>42</v>
      </c>
      <c r="M2" s="25" t="s">
        <v>12</v>
      </c>
      <c r="N2" s="25" t="s">
        <v>45</v>
      </c>
      <c r="O2" s="12" t="s">
        <v>46</v>
      </c>
      <c r="P2" s="25" t="s">
        <v>16</v>
      </c>
      <c r="Q2" s="35" t="s">
        <v>9</v>
      </c>
      <c r="R2" s="36" t="s">
        <v>48</v>
      </c>
      <c r="S2" s="28" t="s">
        <v>50</v>
      </c>
      <c r="T2" s="12" t="s">
        <v>17</v>
      </c>
      <c r="U2" s="12" t="s">
        <v>19</v>
      </c>
      <c r="V2" s="12" t="s">
        <v>20</v>
      </c>
      <c r="W2" s="12" t="s">
        <v>21</v>
      </c>
      <c r="X2" s="25" t="s">
        <v>22</v>
      </c>
      <c r="Y2" s="41" t="s">
        <v>56</v>
      </c>
      <c r="Z2" s="12" t="s">
        <v>57</v>
      </c>
      <c r="AA2" s="12" t="s">
        <v>58</v>
      </c>
      <c r="AB2" s="25" t="s">
        <v>60</v>
      </c>
      <c r="AC2" s="38" t="s">
        <v>62</v>
      </c>
      <c r="AD2" s="38" t="s">
        <v>63</v>
      </c>
      <c r="AE2" s="38" t="s">
        <v>64</v>
      </c>
      <c r="AF2" s="28" t="s">
        <v>102</v>
      </c>
      <c r="AG2" s="28" t="s">
        <v>103</v>
      </c>
      <c r="AH2" s="28" t="s">
        <v>104</v>
      </c>
      <c r="AI2" s="28" t="s">
        <v>105</v>
      </c>
      <c r="AJ2" s="28" t="s">
        <v>108</v>
      </c>
      <c r="AK2" s="28" t="s">
        <v>110</v>
      </c>
      <c r="AL2" s="28" t="s">
        <v>113</v>
      </c>
      <c r="AM2" s="28" t="s">
        <v>116</v>
      </c>
      <c r="AN2" s="28" t="s">
        <v>119</v>
      </c>
      <c r="AO2" s="28" t="s">
        <v>122</v>
      </c>
      <c r="AP2" s="44" t="s">
        <v>124</v>
      </c>
      <c r="AQ2" s="45" t="s">
        <v>129</v>
      </c>
      <c r="AR2" s="45" t="s">
        <v>131</v>
      </c>
      <c r="AS2" s="45" t="s">
        <v>134</v>
      </c>
      <c r="AT2" s="45" t="s">
        <v>137</v>
      </c>
      <c r="AU2" s="45" t="s">
        <v>139</v>
      </c>
      <c r="AV2" s="45" t="s">
        <v>141</v>
      </c>
      <c r="AW2" s="45" t="s">
        <v>144</v>
      </c>
      <c r="AX2" s="45" t="s">
        <v>145</v>
      </c>
      <c r="AY2" s="45" t="s">
        <v>147</v>
      </c>
      <c r="AZ2" s="45" t="s">
        <v>150</v>
      </c>
      <c r="BA2" s="45" t="s">
        <v>151</v>
      </c>
      <c r="BB2" s="45" t="s">
        <v>154</v>
      </c>
      <c r="BC2" s="45" t="s">
        <v>156</v>
      </c>
      <c r="BD2" s="45" t="s">
        <v>159</v>
      </c>
      <c r="BE2" s="45" t="s">
        <v>160</v>
      </c>
      <c r="BF2" s="45" t="s">
        <v>162</v>
      </c>
      <c r="BG2" s="36" t="s">
        <v>164</v>
      </c>
      <c r="BH2" s="36" t="s">
        <v>167</v>
      </c>
      <c r="BI2" s="36" t="s">
        <v>169</v>
      </c>
      <c r="BJ2" s="36" t="s">
        <v>170</v>
      </c>
      <c r="BK2" s="36" t="s">
        <v>173</v>
      </c>
      <c r="BL2" s="36" t="s">
        <v>174</v>
      </c>
      <c r="BM2" s="36" t="s">
        <v>175</v>
      </c>
      <c r="BN2" s="36" t="s">
        <v>176</v>
      </c>
      <c r="BO2" s="36" t="s">
        <v>177</v>
      </c>
      <c r="BP2" s="36" t="s">
        <v>179</v>
      </c>
      <c r="BQ2" s="36" t="s">
        <v>106</v>
      </c>
      <c r="BR2" s="36" t="s">
        <v>109</v>
      </c>
      <c r="BS2" s="36" t="s">
        <v>112</v>
      </c>
      <c r="BT2" s="36" t="s">
        <v>115</v>
      </c>
      <c r="BU2" s="36" t="s">
        <v>118</v>
      </c>
      <c r="BV2" s="36" t="s">
        <v>121</v>
      </c>
      <c r="BW2" s="45" t="s">
        <v>123</v>
      </c>
      <c r="BX2" s="45" t="s">
        <v>126</v>
      </c>
      <c r="BY2" s="45" t="s">
        <v>127</v>
      </c>
      <c r="BZ2" s="45" t="s">
        <v>128</v>
      </c>
      <c r="CA2" s="45" t="s">
        <v>130</v>
      </c>
      <c r="CB2" s="45" t="s">
        <v>132</v>
      </c>
      <c r="CC2" s="45" t="s">
        <v>135</v>
      </c>
      <c r="CD2" s="45" t="s">
        <v>138</v>
      </c>
      <c r="CE2" s="51" t="s">
        <v>140</v>
      </c>
      <c r="CF2" s="51" t="s">
        <v>143</v>
      </c>
      <c r="CG2" s="51" t="s">
        <v>146</v>
      </c>
      <c r="CH2" s="51" t="s">
        <v>149</v>
      </c>
      <c r="CI2" s="51" t="s">
        <v>153</v>
      </c>
      <c r="CJ2" s="51" t="s">
        <v>157</v>
      </c>
      <c r="CK2" s="51" t="s">
        <v>161</v>
      </c>
      <c r="CL2" s="51" t="s">
        <v>163</v>
      </c>
      <c r="CM2" s="51" t="s">
        <v>166</v>
      </c>
      <c r="CN2" s="51" t="s">
        <v>168</v>
      </c>
      <c r="CO2" s="51" t="s">
        <v>171</v>
      </c>
      <c r="CP2" s="51" t="s">
        <v>65</v>
      </c>
      <c r="CQ2" s="51" t="s">
        <v>67</v>
      </c>
      <c r="CR2" s="51" t="s">
        <v>68</v>
      </c>
      <c r="CS2" s="51" t="s">
        <v>70</v>
      </c>
      <c r="CT2" s="51" t="s">
        <v>72</v>
      </c>
      <c r="CU2" s="51" t="s">
        <v>74</v>
      </c>
      <c r="CV2" s="51" t="s">
        <v>75</v>
      </c>
      <c r="CW2" s="51" t="s">
        <v>76</v>
      </c>
      <c r="CX2" s="51" t="s">
        <v>78</v>
      </c>
      <c r="CY2" s="51" t="s">
        <v>79</v>
      </c>
      <c r="CZ2" s="51" t="s">
        <v>81</v>
      </c>
      <c r="DA2" s="51" t="s">
        <v>82</v>
      </c>
      <c r="DB2" s="51" t="s">
        <v>84</v>
      </c>
      <c r="DC2" s="51" t="s">
        <v>85</v>
      </c>
      <c r="DD2" s="51" t="s">
        <v>87</v>
      </c>
      <c r="DE2" s="51" t="s">
        <v>88</v>
      </c>
      <c r="DF2" s="51" t="s">
        <v>90</v>
      </c>
      <c r="DG2" s="51" t="s">
        <v>92</v>
      </c>
      <c r="DH2" s="51" t="s">
        <v>94</v>
      </c>
      <c r="DI2" s="51" t="s">
        <v>95</v>
      </c>
    </row>
    <row r="3" ht="15.75" customHeight="1">
      <c r="A3" s="59" t="s">
        <v>202</v>
      </c>
      <c r="B3" s="59" t="s">
        <v>204</v>
      </c>
      <c r="C3" s="61" t="s">
        <v>206</v>
      </c>
      <c r="D3" s="63" t="s">
        <v>120</v>
      </c>
      <c r="E3" s="66" t="s">
        <v>199</v>
      </c>
      <c r="F3" s="68" t="s">
        <v>212</v>
      </c>
      <c r="G3" s="47" t="str">
        <f t="shared" ref="G3:G33" si="1">IFS($DD$3:$DD$965&lt;=200000,"David",$DD$3:$DD$965&lt;=800000,"Gabriel", $DD$3:$DD$965&gt;800000,"Marcus")</f>
        <v>David</v>
      </c>
      <c r="H3" s="73" t="s">
        <v>224</v>
      </c>
      <c r="I3" s="74" t="s">
        <v>66</v>
      </c>
      <c r="J3" s="63" t="str">
        <f t="shared" ref="J3:J7" si="2">IF(Q3=0,"Não","Sim")</f>
        <v>Não</v>
      </c>
      <c r="K3" s="75">
        <v>44629.0</v>
      </c>
      <c r="L3" s="76">
        <v>45418.0</v>
      </c>
      <c r="M3" s="78" t="s">
        <v>61</v>
      </c>
      <c r="N3" s="80">
        <v>0.007</v>
      </c>
      <c r="O3" s="81" t="s">
        <v>66</v>
      </c>
      <c r="P3" s="82">
        <v>0.0</v>
      </c>
      <c r="Q3" s="59"/>
      <c r="R3" s="70"/>
      <c r="S3" s="62" t="s">
        <v>234</v>
      </c>
      <c r="T3" s="83" t="s">
        <v>236</v>
      </c>
      <c r="U3" s="84"/>
      <c r="V3" s="84"/>
      <c r="W3" s="84"/>
      <c r="X3" s="85" t="s">
        <v>199</v>
      </c>
      <c r="Y3" s="87" t="str">
        <f t="shared" ref="Y3:Y33" si="3">IFS(H:H="Encerrado","Encerrado",COUNTBLANK(CK3:CV3)&gt;0,"Ativo",SUM(CK3:CV3)=0,"Inativo",SUM(CK3:CV3)&gt;0,"Ativo")</f>
        <v>Encerrado</v>
      </c>
      <c r="Z3" s="62"/>
      <c r="AA3" s="62"/>
      <c r="AB3" s="32" t="s">
        <v>244</v>
      </c>
      <c r="AC3" s="89"/>
      <c r="AD3" s="89"/>
      <c r="AE3" s="91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3"/>
      <c r="AR3" s="93"/>
      <c r="AS3" s="93"/>
      <c r="AT3" s="93"/>
      <c r="AU3" s="93"/>
      <c r="AV3" s="93"/>
      <c r="AW3" s="93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>
        <v>30511.0</v>
      </c>
      <c r="BK3" s="96">
        <v>0.0</v>
      </c>
      <c r="BL3" s="96"/>
      <c r="BM3" s="96">
        <v>48736.86</v>
      </c>
      <c r="BN3" s="96">
        <v>51373.49</v>
      </c>
      <c r="BO3" s="96">
        <v>52228.11</v>
      </c>
      <c r="BP3" s="96">
        <v>51857.9</v>
      </c>
      <c r="BQ3" s="96">
        <v>0.0</v>
      </c>
      <c r="BR3" s="96"/>
      <c r="BS3" s="96"/>
      <c r="BT3" s="96"/>
      <c r="BU3" s="96"/>
      <c r="BV3" s="96"/>
      <c r="BW3" s="96"/>
      <c r="BX3" s="96"/>
      <c r="BY3" s="96"/>
      <c r="BZ3" s="90">
        <v>0.0</v>
      </c>
      <c r="CA3" s="90">
        <v>0.0</v>
      </c>
      <c r="CB3" s="90">
        <v>0.0</v>
      </c>
      <c r="CC3" s="90">
        <v>0.0</v>
      </c>
      <c r="CD3" s="90">
        <v>0.0</v>
      </c>
      <c r="CE3" s="90">
        <v>0.0</v>
      </c>
      <c r="CF3" s="90">
        <v>0.0</v>
      </c>
      <c r="CG3" s="90">
        <v>0.0</v>
      </c>
      <c r="CH3" s="90">
        <v>0.0</v>
      </c>
      <c r="CI3" s="90">
        <v>0.0</v>
      </c>
      <c r="CJ3" s="90">
        <v>0.0</v>
      </c>
      <c r="CK3" s="90">
        <v>0.0</v>
      </c>
      <c r="CL3" s="90">
        <v>0.0</v>
      </c>
      <c r="CM3" s="90">
        <v>0.0</v>
      </c>
      <c r="CN3" s="90">
        <v>0.0</v>
      </c>
      <c r="CO3" s="90">
        <v>0.0</v>
      </c>
      <c r="CP3" s="90">
        <v>0.0</v>
      </c>
      <c r="CQ3" s="90">
        <v>0.0</v>
      </c>
      <c r="CR3" s="90">
        <v>0.0</v>
      </c>
      <c r="CS3" s="90">
        <v>0.0</v>
      </c>
      <c r="CT3" s="90">
        <v>0.0</v>
      </c>
      <c r="CU3" s="90">
        <v>0.0</v>
      </c>
      <c r="CV3" s="90">
        <v>0.0</v>
      </c>
      <c r="CW3" s="90">
        <v>0.0</v>
      </c>
      <c r="CX3" s="100">
        <v>0.0</v>
      </c>
      <c r="CY3" s="100">
        <v>0.0</v>
      </c>
      <c r="CZ3" s="100">
        <v>0.0</v>
      </c>
      <c r="DA3" s="100">
        <v>0.0</v>
      </c>
      <c r="DB3" s="100">
        <v>0.0</v>
      </c>
      <c r="DC3" s="100">
        <v>0.0</v>
      </c>
      <c r="DD3" s="100">
        <v>0.0</v>
      </c>
      <c r="DE3" s="100">
        <v>0.0</v>
      </c>
      <c r="DF3" s="100">
        <v>0.0</v>
      </c>
      <c r="DG3" s="100">
        <v>0.0</v>
      </c>
      <c r="DH3" s="100">
        <v>0.0</v>
      </c>
      <c r="DI3" s="100">
        <v>0.0</v>
      </c>
    </row>
    <row r="4" ht="15.75" customHeight="1">
      <c r="A4" s="59" t="s">
        <v>202</v>
      </c>
      <c r="B4" s="89" t="s">
        <v>285</v>
      </c>
      <c r="C4" s="102" t="s">
        <v>286</v>
      </c>
      <c r="D4" s="63" t="s">
        <v>120</v>
      </c>
      <c r="E4" s="66" t="s">
        <v>199</v>
      </c>
      <c r="F4" s="103" t="s">
        <v>290</v>
      </c>
      <c r="G4" s="47" t="str">
        <f t="shared" si="1"/>
        <v>David</v>
      </c>
      <c r="H4" s="73" t="s">
        <v>295</v>
      </c>
      <c r="I4" s="49" t="s">
        <v>296</v>
      </c>
      <c r="J4" s="63" t="str">
        <f t="shared" si="2"/>
        <v>Não</v>
      </c>
      <c r="K4" s="104">
        <v>44075.0</v>
      </c>
      <c r="L4" s="105"/>
      <c r="M4" s="106" t="s">
        <v>209</v>
      </c>
      <c r="N4" s="107">
        <v>0.015</v>
      </c>
      <c r="O4" s="81" t="s">
        <v>66</v>
      </c>
      <c r="P4" s="82">
        <v>0.0</v>
      </c>
      <c r="Q4" s="59"/>
      <c r="R4" s="58" t="s">
        <v>304</v>
      </c>
      <c r="S4" s="62" t="s">
        <v>194</v>
      </c>
      <c r="T4" s="108" t="s">
        <v>305</v>
      </c>
      <c r="U4" s="109" t="s">
        <v>307</v>
      </c>
      <c r="V4" s="110" t="s">
        <v>310</v>
      </c>
      <c r="W4" s="111">
        <v>23776.0</v>
      </c>
      <c r="X4" s="112" t="s">
        <v>312</v>
      </c>
      <c r="Y4" s="87" t="str">
        <f t="shared" si="3"/>
        <v>Inativo</v>
      </c>
      <c r="Z4" s="62"/>
      <c r="AA4" s="62"/>
      <c r="AB4" s="32" t="s">
        <v>244</v>
      </c>
      <c r="AC4" s="89"/>
      <c r="AD4" s="89"/>
      <c r="AE4" s="91"/>
      <c r="AF4" s="92">
        <v>0.0</v>
      </c>
      <c r="AG4" s="92">
        <v>0.0</v>
      </c>
      <c r="AH4" s="92">
        <v>0.0</v>
      </c>
      <c r="AI4" s="92">
        <v>0.0</v>
      </c>
      <c r="AJ4" s="92">
        <v>0.0</v>
      </c>
      <c r="AK4" s="92">
        <v>0.0</v>
      </c>
      <c r="AL4" s="92">
        <v>0.0</v>
      </c>
      <c r="AM4" s="92">
        <v>0.0</v>
      </c>
      <c r="AN4" s="92">
        <v>0.0</v>
      </c>
      <c r="AO4" s="92">
        <v>0.0</v>
      </c>
      <c r="AP4" s="93">
        <v>120000.0</v>
      </c>
      <c r="AQ4" s="93">
        <v>117828.07</v>
      </c>
      <c r="AR4" s="93">
        <v>117951.33</v>
      </c>
      <c r="AS4" s="93">
        <v>140206.63</v>
      </c>
      <c r="AT4" s="93">
        <v>150855.83</v>
      </c>
      <c r="AU4" s="93">
        <v>148393.17</v>
      </c>
      <c r="AV4" s="93">
        <v>171615.52</v>
      </c>
      <c r="AW4" s="93">
        <v>171628.13</v>
      </c>
      <c r="AX4" s="96">
        <v>199989.14</v>
      </c>
      <c r="AY4" s="96">
        <v>214620.13</v>
      </c>
      <c r="AZ4" s="96">
        <v>214986.46</v>
      </c>
      <c r="BA4" s="96">
        <v>237099.6</v>
      </c>
      <c r="BB4" s="96">
        <v>248211.86</v>
      </c>
      <c r="BC4" s="96">
        <v>236915.45</v>
      </c>
      <c r="BD4" s="96">
        <v>254536.06</v>
      </c>
      <c r="BE4" s="96">
        <v>248974.9</v>
      </c>
      <c r="BF4" s="96">
        <v>245530.4</v>
      </c>
      <c r="BG4" s="96">
        <v>235892.49</v>
      </c>
      <c r="BH4" s="96">
        <v>210817.08</v>
      </c>
      <c r="BI4" s="96">
        <v>258231.01</v>
      </c>
      <c r="BJ4" s="96">
        <v>209992.0</v>
      </c>
      <c r="BK4" s="96">
        <v>209613.12</v>
      </c>
      <c r="BL4" s="96">
        <v>689074.29</v>
      </c>
      <c r="BM4" s="96">
        <v>691017.71</v>
      </c>
      <c r="BN4" s="96">
        <v>697475.64</v>
      </c>
      <c r="BO4" s="96">
        <v>701732.01</v>
      </c>
      <c r="BP4" s="96">
        <v>709805.97</v>
      </c>
      <c r="BQ4" s="96">
        <v>719672.68</v>
      </c>
      <c r="BR4" s="96">
        <v>717360.89</v>
      </c>
      <c r="BS4" s="96">
        <v>722848.36</v>
      </c>
      <c r="BT4" s="96">
        <v>744427.34</v>
      </c>
      <c r="BU4" s="96">
        <v>752272.27</v>
      </c>
      <c r="BV4" s="96">
        <v>764710.32</v>
      </c>
      <c r="BW4" s="96">
        <v>785604.92</v>
      </c>
      <c r="BX4" s="96">
        <v>800837.41</v>
      </c>
      <c r="BY4" s="96">
        <v>807773.22</v>
      </c>
      <c r="BZ4" s="96">
        <v>807773.22</v>
      </c>
      <c r="CA4" s="96">
        <v>817740.04</v>
      </c>
      <c r="CB4" s="96">
        <v>798392.52</v>
      </c>
      <c r="CC4" s="96">
        <v>800618.61</v>
      </c>
      <c r="CD4" s="96">
        <v>814987.04</v>
      </c>
      <c r="CE4" s="90">
        <v>839929.71</v>
      </c>
      <c r="CF4" s="90">
        <v>0.0</v>
      </c>
      <c r="CG4" s="90">
        <v>0.0</v>
      </c>
      <c r="CH4" s="90">
        <v>0.0</v>
      </c>
      <c r="CI4" s="90">
        <v>0.0</v>
      </c>
      <c r="CJ4" s="90">
        <v>0.0</v>
      </c>
      <c r="CK4" s="90">
        <v>0.0</v>
      </c>
      <c r="CL4" s="90">
        <v>0.0</v>
      </c>
      <c r="CM4" s="90">
        <v>0.0</v>
      </c>
      <c r="CN4" s="90">
        <v>0.0</v>
      </c>
      <c r="CO4" s="90">
        <v>0.0</v>
      </c>
      <c r="CP4" s="90">
        <v>0.0</v>
      </c>
      <c r="CQ4" s="90">
        <v>0.0</v>
      </c>
      <c r="CR4" s="90">
        <v>0.0</v>
      </c>
      <c r="CS4" s="90">
        <v>0.0</v>
      </c>
      <c r="CT4" s="90">
        <v>0.0</v>
      </c>
      <c r="CU4" s="90">
        <v>0.0</v>
      </c>
      <c r="CV4" s="90">
        <v>0.0</v>
      </c>
      <c r="CW4" s="90">
        <v>0.0</v>
      </c>
      <c r="CX4" s="100">
        <v>0.0</v>
      </c>
      <c r="CY4" s="100">
        <v>0.0</v>
      </c>
      <c r="CZ4" s="100">
        <v>0.0</v>
      </c>
      <c r="DA4" s="100">
        <v>0.0</v>
      </c>
      <c r="DB4" s="100">
        <v>0.0</v>
      </c>
      <c r="DC4" s="100">
        <v>0.0</v>
      </c>
      <c r="DD4" s="100">
        <v>0.0</v>
      </c>
      <c r="DE4" s="100">
        <v>0.0</v>
      </c>
      <c r="DF4" s="100">
        <v>0.0</v>
      </c>
      <c r="DG4" s="100">
        <v>0.0</v>
      </c>
      <c r="DH4" s="100">
        <v>0.0</v>
      </c>
      <c r="DI4" s="100">
        <v>0.0</v>
      </c>
    </row>
    <row r="5" ht="15.75" customHeight="1">
      <c r="A5" s="59" t="s">
        <v>202</v>
      </c>
      <c r="B5" s="113" t="s">
        <v>330</v>
      </c>
      <c r="C5" s="114" t="s">
        <v>331</v>
      </c>
      <c r="D5" s="63" t="s">
        <v>120</v>
      </c>
      <c r="E5" s="66" t="s">
        <v>199</v>
      </c>
      <c r="F5" s="30" t="s">
        <v>332</v>
      </c>
      <c r="G5" s="47" t="str">
        <f t="shared" si="1"/>
        <v>David</v>
      </c>
      <c r="H5" s="115" t="s">
        <v>183</v>
      </c>
      <c r="I5" s="74" t="s">
        <v>66</v>
      </c>
      <c r="J5" s="63" t="str">
        <f t="shared" si="2"/>
        <v>Não</v>
      </c>
      <c r="K5" s="116">
        <v>45107.0</v>
      </c>
      <c r="L5" s="105"/>
      <c r="M5" s="78" t="s">
        <v>61</v>
      </c>
      <c r="N5" s="107">
        <v>0.012</v>
      </c>
      <c r="O5" s="81" t="s">
        <v>66</v>
      </c>
      <c r="P5" s="82">
        <v>0.0</v>
      </c>
      <c r="Q5" s="59"/>
      <c r="R5" s="70"/>
      <c r="S5" s="62" t="s">
        <v>194</v>
      </c>
      <c r="T5" s="117" t="s">
        <v>336</v>
      </c>
      <c r="U5" s="109" t="s">
        <v>337</v>
      </c>
      <c r="V5" s="110" t="s">
        <v>338</v>
      </c>
      <c r="W5" s="111">
        <v>22063.0</v>
      </c>
      <c r="X5" s="118" t="s">
        <v>199</v>
      </c>
      <c r="Y5" s="87" t="str">
        <f t="shared" si="3"/>
        <v>Ativo</v>
      </c>
      <c r="Z5" s="62"/>
      <c r="AA5" s="62"/>
      <c r="AB5" s="32" t="s">
        <v>244</v>
      </c>
      <c r="AC5" s="89"/>
      <c r="AD5" s="119">
        <v>45107.0</v>
      </c>
      <c r="AE5" s="91">
        <v>4.9075100015287E13</v>
      </c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3"/>
      <c r="AR5" s="93"/>
      <c r="AS5" s="93"/>
      <c r="AT5" s="93"/>
      <c r="AU5" s="93"/>
      <c r="AV5" s="93"/>
      <c r="AW5" s="93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>
        <v>110430.21</v>
      </c>
      <c r="BZ5" s="96">
        <v>110430.21</v>
      </c>
      <c r="CA5" s="96">
        <v>111796.7</v>
      </c>
      <c r="CB5" s="96">
        <v>117723.31</v>
      </c>
      <c r="CC5" s="96">
        <v>118564.24</v>
      </c>
      <c r="CD5" s="96">
        <v>123445.88</v>
      </c>
      <c r="CE5" s="90">
        <v>124184.08</v>
      </c>
      <c r="CF5" s="90">
        <v>125268.94</v>
      </c>
      <c r="CG5" s="90">
        <v>126358.95</v>
      </c>
      <c r="CH5" s="90">
        <v>127359.83</v>
      </c>
      <c r="CI5" s="90">
        <v>128402.04</v>
      </c>
      <c r="CJ5" s="90">
        <v>129442.46</v>
      </c>
      <c r="CK5" s="90">
        <v>130436.62</v>
      </c>
      <c r="CL5" s="90">
        <v>131303.6</v>
      </c>
      <c r="CM5" s="90">
        <v>132261.52</v>
      </c>
      <c r="CN5" s="90">
        <v>133269.07</v>
      </c>
      <c r="CO5" s="90">
        <v>134561.54</v>
      </c>
      <c r="CP5" s="90">
        <v>135435.14</v>
      </c>
      <c r="CQ5" s="90">
        <v>135542.67</v>
      </c>
      <c r="CR5" s="90">
        <v>136786.57</v>
      </c>
      <c r="CS5" s="90">
        <v>138419.36</v>
      </c>
      <c r="CT5" s="90">
        <v>139917.45</v>
      </c>
      <c r="CU5" s="90">
        <v>141317.81</v>
      </c>
      <c r="CV5" s="90">
        <v>142567.78</v>
      </c>
      <c r="CW5" s="90">
        <v>143715.87</v>
      </c>
      <c r="CX5" s="100">
        <v>145376.06</v>
      </c>
      <c r="CY5" s="100" t="s">
        <v>353</v>
      </c>
      <c r="CZ5" s="100">
        <v>148082.33</v>
      </c>
      <c r="DA5" s="100">
        <v>149774.26</v>
      </c>
      <c r="DB5" s="100">
        <v>150787.46</v>
      </c>
      <c r="DC5" s="100">
        <v>152259.02</v>
      </c>
      <c r="DD5" s="100">
        <v>152256.03</v>
      </c>
      <c r="DE5" s="100">
        <v>153679.64</v>
      </c>
      <c r="DF5" s="100">
        <v>155618.54</v>
      </c>
      <c r="DG5" s="100">
        <v>157416.74</v>
      </c>
      <c r="DH5" s="100">
        <v>158946.84</v>
      </c>
      <c r="DI5" s="100">
        <v>76520.99</v>
      </c>
    </row>
    <row r="6" ht="15.75" customHeight="1">
      <c r="A6" s="59" t="s">
        <v>202</v>
      </c>
      <c r="B6" s="89" t="s">
        <v>355</v>
      </c>
      <c r="C6" s="102" t="s">
        <v>356</v>
      </c>
      <c r="D6" s="63" t="s">
        <v>120</v>
      </c>
      <c r="E6" s="66" t="s">
        <v>199</v>
      </c>
      <c r="F6" s="106" t="s">
        <v>357</v>
      </c>
      <c r="G6" s="47" t="str">
        <f t="shared" si="1"/>
        <v>David</v>
      </c>
      <c r="H6" s="115" t="s">
        <v>224</v>
      </c>
      <c r="I6" s="74" t="s">
        <v>66</v>
      </c>
      <c r="J6" s="63" t="str">
        <f t="shared" si="2"/>
        <v>Sim</v>
      </c>
      <c r="K6" s="104">
        <v>43759.0</v>
      </c>
      <c r="L6" s="105"/>
      <c r="M6" s="106" t="s">
        <v>361</v>
      </c>
      <c r="N6" s="107">
        <v>0.02</v>
      </c>
      <c r="O6" s="81" t="s">
        <v>35</v>
      </c>
      <c r="P6" s="82">
        <v>0.2</v>
      </c>
      <c r="Q6" s="59" t="s">
        <v>362</v>
      </c>
      <c r="R6" s="58"/>
      <c r="S6" s="62" t="s">
        <v>194</v>
      </c>
      <c r="T6" s="108" t="s">
        <v>366</v>
      </c>
      <c r="U6" s="109" t="s">
        <v>367</v>
      </c>
      <c r="V6" s="110" t="s">
        <v>369</v>
      </c>
      <c r="W6" s="120"/>
      <c r="X6" s="112" t="s">
        <v>199</v>
      </c>
      <c r="Y6" s="87" t="str">
        <f t="shared" si="3"/>
        <v>Encerrado</v>
      </c>
      <c r="Z6" s="62"/>
      <c r="AA6" s="62"/>
      <c r="AB6" s="32" t="s">
        <v>244</v>
      </c>
      <c r="AC6" s="89"/>
      <c r="AD6" s="89"/>
      <c r="AE6" s="91"/>
      <c r="AF6" s="92">
        <v>4987.96</v>
      </c>
      <c r="AG6" s="92">
        <v>5039.52</v>
      </c>
      <c r="AH6" s="93">
        <v>5153.89</v>
      </c>
      <c r="AI6" s="93">
        <v>5136.17</v>
      </c>
      <c r="AJ6" s="93">
        <v>4895.74</v>
      </c>
      <c r="AK6" s="93">
        <v>4349.46</v>
      </c>
      <c r="AL6" s="93">
        <v>4454.04</v>
      </c>
      <c r="AM6" s="93">
        <v>4521.56</v>
      </c>
      <c r="AN6" s="93">
        <v>4694.08</v>
      </c>
      <c r="AO6" s="93">
        <v>4862.9</v>
      </c>
      <c r="AP6" s="93">
        <v>4816.16</v>
      </c>
      <c r="AQ6" s="93">
        <v>4647.29</v>
      </c>
      <c r="AR6" s="93">
        <v>4642.15</v>
      </c>
      <c r="AS6" s="93">
        <v>4910.84</v>
      </c>
      <c r="AT6" s="93">
        <v>5055.8</v>
      </c>
      <c r="AU6" s="93">
        <v>4973.2</v>
      </c>
      <c r="AV6" s="93">
        <v>4874.09</v>
      </c>
      <c r="AW6" s="93">
        <v>4907.65</v>
      </c>
      <c r="AX6" s="96">
        <v>5004.75</v>
      </c>
      <c r="AY6" s="96">
        <v>5046.15</v>
      </c>
      <c r="AZ6" s="96">
        <v>5038.64</v>
      </c>
      <c r="BA6" s="96">
        <v>5045.9</v>
      </c>
      <c r="BB6" s="96">
        <v>55.75</v>
      </c>
      <c r="BC6" s="96"/>
      <c r="BD6" s="96"/>
      <c r="BE6" s="96"/>
      <c r="BF6" s="96"/>
      <c r="BG6" s="96"/>
      <c r="BH6" s="96"/>
      <c r="BI6" s="96"/>
      <c r="BJ6" s="96"/>
      <c r="BK6" s="96">
        <v>0.0</v>
      </c>
      <c r="BL6" s="96"/>
      <c r="BM6" s="96" t="s">
        <v>377</v>
      </c>
      <c r="BN6" s="96"/>
      <c r="BO6" s="96"/>
      <c r="BP6" s="96"/>
      <c r="BQ6" s="96">
        <v>0.0</v>
      </c>
      <c r="BR6" s="96"/>
      <c r="BS6" s="96"/>
      <c r="BT6" s="96"/>
      <c r="BU6" s="96"/>
      <c r="BV6" s="96"/>
      <c r="BW6" s="96"/>
      <c r="BX6" s="96"/>
      <c r="BY6" s="96"/>
      <c r="BZ6" s="90">
        <v>0.0</v>
      </c>
      <c r="CA6" s="90">
        <v>0.0</v>
      </c>
      <c r="CB6" s="90">
        <v>0.0</v>
      </c>
      <c r="CC6" s="90">
        <v>0.0</v>
      </c>
      <c r="CD6" s="90">
        <v>0.0</v>
      </c>
      <c r="CE6" s="122">
        <v>0.0</v>
      </c>
      <c r="CF6" s="90">
        <v>0.0</v>
      </c>
      <c r="CG6" s="90">
        <v>0.0</v>
      </c>
      <c r="CH6" s="90">
        <v>0.0</v>
      </c>
      <c r="CI6" s="90">
        <v>0.0</v>
      </c>
      <c r="CJ6" s="90">
        <v>0.0</v>
      </c>
      <c r="CK6" s="90">
        <v>0.0</v>
      </c>
      <c r="CL6" s="90">
        <v>0.0</v>
      </c>
      <c r="CM6" s="90">
        <v>0.0</v>
      </c>
      <c r="CN6" s="90">
        <v>0.0</v>
      </c>
      <c r="CO6" s="90">
        <v>0.0</v>
      </c>
      <c r="CP6" s="90">
        <v>0.0</v>
      </c>
      <c r="CQ6" s="90">
        <v>0.0</v>
      </c>
      <c r="CR6" s="90">
        <v>0.0</v>
      </c>
      <c r="CS6" s="90">
        <v>0.0</v>
      </c>
      <c r="CT6" s="90">
        <v>0.0</v>
      </c>
      <c r="CU6" s="90">
        <v>0.0</v>
      </c>
      <c r="CV6" s="90">
        <v>0.0</v>
      </c>
      <c r="CW6" s="90">
        <v>0.0</v>
      </c>
      <c r="CX6" s="100">
        <v>0.0</v>
      </c>
      <c r="CY6" s="100">
        <v>0.0</v>
      </c>
      <c r="CZ6" s="100">
        <v>0.0</v>
      </c>
      <c r="DA6" s="100">
        <v>0.0</v>
      </c>
      <c r="DB6" s="100">
        <v>0.0</v>
      </c>
      <c r="DC6" s="100">
        <v>0.0</v>
      </c>
      <c r="DD6" s="100">
        <v>0.0</v>
      </c>
      <c r="DE6" s="123">
        <v>0.0</v>
      </c>
      <c r="DF6" s="123">
        <v>0.0</v>
      </c>
      <c r="DG6" s="124">
        <v>0.0</v>
      </c>
      <c r="DH6" s="124">
        <v>0.0</v>
      </c>
      <c r="DI6" s="124">
        <v>0.0</v>
      </c>
    </row>
    <row r="7" ht="15.75" customHeight="1">
      <c r="A7" s="59" t="s">
        <v>202</v>
      </c>
      <c r="B7" s="89" t="s">
        <v>386</v>
      </c>
      <c r="C7" s="102" t="s">
        <v>387</v>
      </c>
      <c r="D7" s="63" t="s">
        <v>120</v>
      </c>
      <c r="E7" s="66" t="s">
        <v>199</v>
      </c>
      <c r="F7" s="103" t="s">
        <v>388</v>
      </c>
      <c r="G7" s="47" t="str">
        <f t="shared" si="1"/>
        <v>David</v>
      </c>
      <c r="H7" s="73" t="s">
        <v>295</v>
      </c>
      <c r="I7" s="74" t="s">
        <v>66</v>
      </c>
      <c r="J7" s="63" t="str">
        <f t="shared" si="2"/>
        <v>Não</v>
      </c>
      <c r="K7" s="104">
        <v>43686.0</v>
      </c>
      <c r="L7" s="105"/>
      <c r="M7" s="106" t="s">
        <v>231</v>
      </c>
      <c r="N7" s="125">
        <v>0.02</v>
      </c>
      <c r="O7" s="30" t="s">
        <v>233</v>
      </c>
      <c r="P7" s="82">
        <v>0.2</v>
      </c>
      <c r="Q7" s="59"/>
      <c r="R7" s="70"/>
      <c r="S7" s="62" t="s">
        <v>194</v>
      </c>
      <c r="T7" s="108" t="s">
        <v>392</v>
      </c>
      <c r="U7" s="109" t="s">
        <v>393</v>
      </c>
      <c r="V7" s="110" t="s">
        <v>394</v>
      </c>
      <c r="W7" s="120"/>
      <c r="X7" s="112" t="s">
        <v>397</v>
      </c>
      <c r="Y7" s="87" t="str">
        <f t="shared" si="3"/>
        <v>Inativo</v>
      </c>
      <c r="Z7" s="62"/>
      <c r="AA7" s="62"/>
      <c r="AB7" s="32" t="s">
        <v>244</v>
      </c>
      <c r="AC7" s="89"/>
      <c r="AD7" s="89"/>
      <c r="AE7" s="91"/>
      <c r="AF7" s="92">
        <v>0.0</v>
      </c>
      <c r="AG7" s="92">
        <v>0.0</v>
      </c>
      <c r="AH7" s="93">
        <v>0.0</v>
      </c>
      <c r="AI7" s="93">
        <v>0.0</v>
      </c>
      <c r="AJ7" s="93">
        <v>0.0</v>
      </c>
      <c r="AK7" s="93">
        <v>0.0</v>
      </c>
      <c r="AL7" s="93">
        <v>0.0</v>
      </c>
      <c r="AM7" s="93">
        <v>0.0</v>
      </c>
      <c r="AN7" s="93">
        <v>0.0</v>
      </c>
      <c r="AO7" s="93">
        <v>0.0</v>
      </c>
      <c r="AP7" s="93"/>
      <c r="AQ7" s="93">
        <v>0.0</v>
      </c>
      <c r="AR7" s="93">
        <v>0.0</v>
      </c>
      <c r="AS7" s="93"/>
      <c r="AT7" s="127"/>
      <c r="AU7" s="127">
        <v>0.0</v>
      </c>
      <c r="AV7" s="127"/>
      <c r="AW7" s="127"/>
      <c r="AX7" s="127"/>
      <c r="AY7" s="127"/>
      <c r="AZ7" s="127">
        <v>0.0</v>
      </c>
      <c r="BA7" s="93"/>
      <c r="BB7" s="127"/>
      <c r="BC7" s="93"/>
      <c r="BD7" s="93"/>
      <c r="BE7" s="93"/>
      <c r="BF7" s="93"/>
      <c r="BG7" s="93"/>
      <c r="BH7" s="93"/>
      <c r="BI7" s="93"/>
      <c r="BJ7" s="93">
        <v>0.0</v>
      </c>
      <c r="BK7" s="93">
        <v>0.0</v>
      </c>
      <c r="BL7" s="93"/>
      <c r="BM7" s="93" t="s">
        <v>377</v>
      </c>
      <c r="BN7" s="93"/>
      <c r="BO7" s="96"/>
      <c r="BP7" s="96"/>
      <c r="BQ7" s="96">
        <v>0.0</v>
      </c>
      <c r="BR7" s="96"/>
      <c r="BS7" s="96"/>
      <c r="BT7" s="96"/>
      <c r="BU7" s="96"/>
      <c r="BV7" s="96"/>
      <c r="BW7" s="96"/>
      <c r="BX7" s="96"/>
      <c r="BY7" s="96"/>
      <c r="BZ7" s="90">
        <v>0.0</v>
      </c>
      <c r="CA7" s="90">
        <v>0.0</v>
      </c>
      <c r="CB7" s="90">
        <v>0.0</v>
      </c>
      <c r="CC7" s="90">
        <v>0.0</v>
      </c>
      <c r="CD7" s="90">
        <v>0.0</v>
      </c>
      <c r="CE7" s="90">
        <v>0.0</v>
      </c>
      <c r="CF7" s="90">
        <v>0.0</v>
      </c>
      <c r="CG7" s="90">
        <v>0.0</v>
      </c>
      <c r="CH7" s="90">
        <v>0.0</v>
      </c>
      <c r="CI7" s="90">
        <v>0.0</v>
      </c>
      <c r="CJ7" s="90">
        <v>0.0</v>
      </c>
      <c r="CK7" s="90">
        <v>0.0</v>
      </c>
      <c r="CL7" s="90">
        <v>0.0</v>
      </c>
      <c r="CM7" s="90">
        <v>0.0</v>
      </c>
      <c r="CN7" s="90">
        <v>0.0</v>
      </c>
      <c r="CO7" s="90">
        <v>0.0</v>
      </c>
      <c r="CP7" s="90">
        <v>0.0</v>
      </c>
      <c r="CQ7" s="90">
        <v>0.0</v>
      </c>
      <c r="CR7" s="90">
        <v>0.0</v>
      </c>
      <c r="CS7" s="90">
        <v>0.0</v>
      </c>
      <c r="CT7" s="90">
        <v>0.0</v>
      </c>
      <c r="CU7" s="90">
        <v>0.0</v>
      </c>
      <c r="CV7" s="90">
        <v>0.0</v>
      </c>
      <c r="CW7" s="90">
        <v>0.0</v>
      </c>
      <c r="CX7" s="100">
        <v>0.0</v>
      </c>
      <c r="CY7" s="100">
        <v>0.0</v>
      </c>
      <c r="CZ7" s="100">
        <v>0.0</v>
      </c>
      <c r="DA7" s="100">
        <v>0.0</v>
      </c>
      <c r="DB7" s="100">
        <v>0.0</v>
      </c>
      <c r="DC7" s="100">
        <v>0.0</v>
      </c>
      <c r="DD7" s="100">
        <v>0.0</v>
      </c>
      <c r="DE7" s="123">
        <v>0.0</v>
      </c>
      <c r="DF7" s="123">
        <v>0.0</v>
      </c>
      <c r="DG7" s="124">
        <v>0.0</v>
      </c>
      <c r="DH7" s="124">
        <v>0.0</v>
      </c>
      <c r="DI7" s="124">
        <v>0.0</v>
      </c>
    </row>
    <row r="8" ht="15.75" customHeight="1">
      <c r="A8" s="59" t="s">
        <v>202</v>
      </c>
      <c r="B8" s="89" t="s">
        <v>409</v>
      </c>
      <c r="C8" s="102" t="s">
        <v>410</v>
      </c>
      <c r="D8" s="63" t="s">
        <v>120</v>
      </c>
      <c r="E8" s="66" t="s">
        <v>199</v>
      </c>
      <c r="F8" s="103" t="s">
        <v>290</v>
      </c>
      <c r="G8" s="47" t="str">
        <f t="shared" si="1"/>
        <v>David</v>
      </c>
      <c r="H8" s="73" t="s">
        <v>295</v>
      </c>
      <c r="I8" s="49" t="s">
        <v>382</v>
      </c>
      <c r="J8" s="63" t="str">
        <f>IF(R8=0,"Não","Sim")</f>
        <v>Sim</v>
      </c>
      <c r="K8" s="104">
        <v>43934.0</v>
      </c>
      <c r="L8" s="105"/>
      <c r="M8" s="106" t="s">
        <v>361</v>
      </c>
      <c r="N8" s="107">
        <v>0.02</v>
      </c>
      <c r="O8" s="81" t="s">
        <v>35</v>
      </c>
      <c r="P8" s="82">
        <v>0.2</v>
      </c>
      <c r="Q8" s="59"/>
      <c r="R8" s="128" t="s">
        <v>417</v>
      </c>
      <c r="S8" s="62" t="s">
        <v>194</v>
      </c>
      <c r="T8" s="108" t="s">
        <v>418</v>
      </c>
      <c r="U8" s="109" t="s">
        <v>419</v>
      </c>
      <c r="V8" s="110" t="s">
        <v>420</v>
      </c>
      <c r="W8" s="120"/>
      <c r="X8" s="112" t="s">
        <v>199</v>
      </c>
      <c r="Y8" s="87" t="str">
        <f t="shared" si="3"/>
        <v>Inativo</v>
      </c>
      <c r="Z8" s="62"/>
      <c r="AA8" s="62"/>
      <c r="AB8" s="32" t="s">
        <v>244</v>
      </c>
      <c r="AC8" s="89"/>
      <c r="AD8" s="89"/>
      <c r="AE8" s="91"/>
      <c r="AF8" s="92">
        <v>0.0</v>
      </c>
      <c r="AG8" s="92">
        <v>0.0</v>
      </c>
      <c r="AH8" s="93">
        <v>0.0</v>
      </c>
      <c r="AI8" s="93">
        <v>0.0</v>
      </c>
      <c r="AJ8" s="93">
        <v>0.0</v>
      </c>
      <c r="AK8" s="93">
        <v>0.0</v>
      </c>
      <c r="AL8" s="93">
        <v>198532.35</v>
      </c>
      <c r="AM8" s="93">
        <v>200529.88</v>
      </c>
      <c r="AN8" s="93">
        <v>205168.39</v>
      </c>
      <c r="AO8" s="93">
        <v>213829.98</v>
      </c>
      <c r="AP8" s="93">
        <v>187848.55</v>
      </c>
      <c r="AQ8" s="93">
        <v>174344.73</v>
      </c>
      <c r="AR8" s="93">
        <v>166428.38</v>
      </c>
      <c r="AS8" s="93">
        <v>188027.13</v>
      </c>
      <c r="AT8" s="93">
        <v>194461.93</v>
      </c>
      <c r="AU8" s="93">
        <v>185425.29</v>
      </c>
      <c r="AV8" s="93">
        <v>172948.62</v>
      </c>
      <c r="AW8" s="93">
        <v>172028.87</v>
      </c>
      <c r="AX8" s="96">
        <v>188472.31</v>
      </c>
      <c r="AY8" s="96">
        <v>324026.19</v>
      </c>
      <c r="AZ8" s="96">
        <v>324564.13</v>
      </c>
      <c r="BA8" s="96">
        <v>346831.26</v>
      </c>
      <c r="BB8" s="93">
        <v>340509.38</v>
      </c>
      <c r="BC8" s="93">
        <v>337088.71</v>
      </c>
      <c r="BD8" s="93">
        <v>323344.58</v>
      </c>
      <c r="BE8" s="93">
        <v>256752.44</v>
      </c>
      <c r="BF8" s="93">
        <v>222781.82</v>
      </c>
      <c r="BG8" s="93">
        <v>199036.78</v>
      </c>
      <c r="BH8" s="93">
        <v>217354.12</v>
      </c>
      <c r="BI8" s="93">
        <v>238771.9</v>
      </c>
      <c r="BJ8" s="93">
        <v>216488.31</v>
      </c>
      <c r="BK8" s="93">
        <v>211368.96</v>
      </c>
      <c r="BL8" s="93">
        <v>211692.9</v>
      </c>
      <c r="BM8" s="93">
        <v>205428.81</v>
      </c>
      <c r="BN8" s="93">
        <v>213872.48</v>
      </c>
      <c r="BO8" s="96">
        <v>216201.72</v>
      </c>
      <c r="BP8" s="96">
        <v>221755.58</v>
      </c>
      <c r="BQ8" s="96">
        <v>232860.98</v>
      </c>
      <c r="BR8" s="96">
        <v>226603.36</v>
      </c>
      <c r="BS8" s="96">
        <v>240596.62</v>
      </c>
      <c r="BT8" s="96">
        <v>220563.0</v>
      </c>
      <c r="BU8" s="96">
        <v>220713.5</v>
      </c>
      <c r="BV8" s="96">
        <v>222820.29</v>
      </c>
      <c r="BW8" s="96">
        <v>223093.59</v>
      </c>
      <c r="BX8" s="96">
        <v>225951.9</v>
      </c>
      <c r="BY8" s="96">
        <v>230485.87</v>
      </c>
      <c r="BZ8" s="96">
        <v>230485.87</v>
      </c>
      <c r="CA8" s="96">
        <v>235650.07</v>
      </c>
      <c r="CB8" s="96">
        <v>243881.08</v>
      </c>
      <c r="CC8" s="96">
        <v>234936.15</v>
      </c>
      <c r="CD8" s="96">
        <v>239749.64</v>
      </c>
      <c r="CE8" s="90">
        <v>253213.06</v>
      </c>
      <c r="CF8" s="90">
        <v>233920.0</v>
      </c>
      <c r="CG8" s="90">
        <v>270614.46</v>
      </c>
      <c r="CH8" s="90">
        <v>217850.43</v>
      </c>
      <c r="CI8" s="90">
        <v>1685.37</v>
      </c>
      <c r="CJ8" s="90">
        <v>0.0</v>
      </c>
      <c r="CK8" s="90">
        <v>0.0</v>
      </c>
      <c r="CL8" s="90">
        <v>0.0</v>
      </c>
      <c r="CM8" s="90">
        <v>0.0</v>
      </c>
      <c r="CN8" s="90">
        <v>0.0</v>
      </c>
      <c r="CO8" s="90">
        <v>0.0</v>
      </c>
      <c r="CP8" s="90">
        <v>0.0</v>
      </c>
      <c r="CQ8" s="90">
        <v>0.0</v>
      </c>
      <c r="CR8" s="90">
        <v>0.0</v>
      </c>
      <c r="CS8" s="90">
        <v>0.0</v>
      </c>
      <c r="CT8" s="90">
        <v>0.0</v>
      </c>
      <c r="CU8" s="90">
        <v>0.0</v>
      </c>
      <c r="CV8" s="90">
        <v>0.0</v>
      </c>
      <c r="CW8" s="90">
        <v>0.0</v>
      </c>
      <c r="CX8" s="100">
        <v>0.0</v>
      </c>
      <c r="CY8" s="100">
        <v>0.0</v>
      </c>
      <c r="CZ8" s="100">
        <v>0.0</v>
      </c>
      <c r="DA8" s="100">
        <v>0.0</v>
      </c>
      <c r="DB8" s="100">
        <v>0.0</v>
      </c>
      <c r="DC8" s="100">
        <v>0.0</v>
      </c>
      <c r="DD8" s="100">
        <v>0.0</v>
      </c>
      <c r="DE8" s="123">
        <v>0.0</v>
      </c>
      <c r="DF8" s="123">
        <v>0.0</v>
      </c>
      <c r="DG8" s="124">
        <v>0.0</v>
      </c>
      <c r="DH8" s="124">
        <v>0.0</v>
      </c>
      <c r="DI8" s="124">
        <v>0.0</v>
      </c>
    </row>
    <row r="9" ht="15.75" customHeight="1">
      <c r="A9" s="59" t="s">
        <v>202</v>
      </c>
      <c r="B9" s="89" t="s">
        <v>437</v>
      </c>
      <c r="C9" s="102" t="s">
        <v>438</v>
      </c>
      <c r="D9" s="63" t="s">
        <v>120</v>
      </c>
      <c r="E9" s="66" t="s">
        <v>199</v>
      </c>
      <c r="F9" s="103" t="s">
        <v>439</v>
      </c>
      <c r="G9" s="47" t="str">
        <f t="shared" si="1"/>
        <v>David</v>
      </c>
      <c r="H9" s="73" t="s">
        <v>295</v>
      </c>
      <c r="I9" s="74" t="s">
        <v>66</v>
      </c>
      <c r="J9" s="63" t="str">
        <f t="shared" ref="J9:J18" si="4">IF(Q9=0,"Não","Sim")</f>
        <v>Sim</v>
      </c>
      <c r="K9" s="104">
        <v>43663.0</v>
      </c>
      <c r="L9" s="105"/>
      <c r="M9" s="106" t="s">
        <v>361</v>
      </c>
      <c r="N9" s="125">
        <v>0.01</v>
      </c>
      <c r="O9" s="81" t="s">
        <v>35</v>
      </c>
      <c r="P9" s="82">
        <v>0.15</v>
      </c>
      <c r="Q9" s="59" t="s">
        <v>362</v>
      </c>
      <c r="R9" s="135"/>
      <c r="S9" s="62" t="s">
        <v>194</v>
      </c>
      <c r="T9" s="108" t="s">
        <v>445</v>
      </c>
      <c r="U9" s="137"/>
      <c r="V9" s="110" t="s">
        <v>448</v>
      </c>
      <c r="W9" s="120"/>
      <c r="X9" s="112" t="s">
        <v>199</v>
      </c>
      <c r="Y9" s="87" t="str">
        <f t="shared" si="3"/>
        <v>Inativo</v>
      </c>
      <c r="Z9" s="62"/>
      <c r="AA9" s="62"/>
      <c r="AB9" s="32" t="s">
        <v>244</v>
      </c>
      <c r="AC9" s="89"/>
      <c r="AD9" s="89"/>
      <c r="AE9" s="91"/>
      <c r="AF9" s="92">
        <v>0.0</v>
      </c>
      <c r="AG9" s="92">
        <v>0.0</v>
      </c>
      <c r="AH9" s="93">
        <v>0.0</v>
      </c>
      <c r="AI9" s="93">
        <v>0.0</v>
      </c>
      <c r="AJ9" s="93">
        <v>0.0</v>
      </c>
      <c r="AK9" s="93">
        <v>0.0</v>
      </c>
      <c r="AL9" s="93">
        <v>0.0</v>
      </c>
      <c r="AM9" s="93">
        <v>0.0</v>
      </c>
      <c r="AN9" s="93">
        <v>0.0</v>
      </c>
      <c r="AO9" s="93">
        <v>0.0</v>
      </c>
      <c r="AP9" s="93"/>
      <c r="AQ9" s="93">
        <v>0.0</v>
      </c>
      <c r="AR9" s="93">
        <v>0.0</v>
      </c>
      <c r="AS9" s="93"/>
      <c r="AT9" s="93"/>
      <c r="AU9" s="93">
        <v>0.0</v>
      </c>
      <c r="AV9" s="93"/>
      <c r="AW9" s="93"/>
      <c r="AX9" s="93"/>
      <c r="AY9" s="93"/>
      <c r="AZ9" s="93">
        <v>0.0</v>
      </c>
      <c r="BA9" s="93"/>
      <c r="BB9" s="93"/>
      <c r="BC9" s="93"/>
      <c r="BD9" s="93"/>
      <c r="BE9" s="93"/>
      <c r="BF9" s="93"/>
      <c r="BG9" s="93"/>
      <c r="BH9" s="93"/>
      <c r="BI9" s="93"/>
      <c r="BJ9" s="93">
        <v>0.0</v>
      </c>
      <c r="BK9" s="93">
        <v>0.0</v>
      </c>
      <c r="BL9" s="93"/>
      <c r="BM9" s="93" t="s">
        <v>377</v>
      </c>
      <c r="BN9" s="93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0">
        <v>0.0</v>
      </c>
      <c r="CA9" s="90">
        <v>0.0</v>
      </c>
      <c r="CB9" s="90">
        <v>0.0</v>
      </c>
      <c r="CC9" s="90">
        <v>0.0</v>
      </c>
      <c r="CD9" s="90">
        <v>0.0</v>
      </c>
      <c r="CE9" s="90">
        <v>0.0</v>
      </c>
      <c r="CF9" s="90">
        <v>0.0</v>
      </c>
      <c r="CG9" s="90">
        <v>0.0</v>
      </c>
      <c r="CH9" s="90">
        <v>0.0</v>
      </c>
      <c r="CI9" s="90">
        <v>0.0</v>
      </c>
      <c r="CJ9" s="90">
        <v>0.0</v>
      </c>
      <c r="CK9" s="90">
        <v>0.0</v>
      </c>
      <c r="CL9" s="90">
        <v>0.0</v>
      </c>
      <c r="CM9" s="90">
        <v>0.0</v>
      </c>
      <c r="CN9" s="90">
        <v>0.0</v>
      </c>
      <c r="CO9" s="90">
        <v>0.0</v>
      </c>
      <c r="CP9" s="90">
        <v>0.0</v>
      </c>
      <c r="CQ9" s="90">
        <v>0.0</v>
      </c>
      <c r="CR9" s="90">
        <v>0.0</v>
      </c>
      <c r="CS9" s="90">
        <v>0.0</v>
      </c>
      <c r="CT9" s="90">
        <v>0.0</v>
      </c>
      <c r="CU9" s="90">
        <v>0.0</v>
      </c>
      <c r="CV9" s="90">
        <v>0.0</v>
      </c>
      <c r="CW9" s="90">
        <v>0.0</v>
      </c>
      <c r="CX9" s="100">
        <v>0.0</v>
      </c>
      <c r="CY9" s="100">
        <v>0.0</v>
      </c>
      <c r="CZ9" s="100">
        <v>0.0</v>
      </c>
      <c r="DA9" s="100">
        <v>0.0</v>
      </c>
      <c r="DB9" s="100">
        <v>0.0</v>
      </c>
      <c r="DC9" s="100">
        <v>0.0</v>
      </c>
      <c r="DD9" s="100">
        <v>0.0</v>
      </c>
      <c r="DE9" s="123">
        <v>0.0</v>
      </c>
      <c r="DF9" s="123">
        <v>0.0</v>
      </c>
      <c r="DG9" s="124">
        <v>0.0</v>
      </c>
      <c r="DH9" s="124">
        <v>0.0</v>
      </c>
      <c r="DI9" s="124">
        <v>0.0</v>
      </c>
    </row>
    <row r="10" ht="15.75" customHeight="1">
      <c r="A10" s="59" t="s">
        <v>202</v>
      </c>
      <c r="B10" s="89" t="s">
        <v>469</v>
      </c>
      <c r="C10" s="149" t="s">
        <v>470</v>
      </c>
      <c r="D10" s="63" t="s">
        <v>120</v>
      </c>
      <c r="E10" s="66" t="s">
        <v>199</v>
      </c>
      <c r="F10" s="103" t="s">
        <v>439</v>
      </c>
      <c r="G10" s="47" t="str">
        <f t="shared" si="1"/>
        <v>David</v>
      </c>
      <c r="H10" s="73" t="s">
        <v>295</v>
      </c>
      <c r="I10" s="74" t="s">
        <v>66</v>
      </c>
      <c r="J10" s="63" t="str">
        <f t="shared" si="4"/>
        <v>Não</v>
      </c>
      <c r="K10" s="104">
        <v>43864.0</v>
      </c>
      <c r="L10" s="105"/>
      <c r="M10" s="106" t="s">
        <v>209</v>
      </c>
      <c r="N10" s="125">
        <v>1.0E-4</v>
      </c>
      <c r="O10" s="81" t="s">
        <v>66</v>
      </c>
      <c r="P10" s="82">
        <v>0.0</v>
      </c>
      <c r="Q10" s="59"/>
      <c r="R10" s="135"/>
      <c r="S10" s="62" t="s">
        <v>194</v>
      </c>
      <c r="T10" s="108" t="s">
        <v>477</v>
      </c>
      <c r="U10" s="109" t="s">
        <v>478</v>
      </c>
      <c r="V10" s="110" t="s">
        <v>479</v>
      </c>
      <c r="W10" s="120"/>
      <c r="X10" s="112" t="s">
        <v>199</v>
      </c>
      <c r="Y10" s="87" t="str">
        <f t="shared" si="3"/>
        <v>Inativo</v>
      </c>
      <c r="Z10" s="62"/>
      <c r="AA10" s="62"/>
      <c r="AB10" s="32" t="s">
        <v>244</v>
      </c>
      <c r="AC10" s="89"/>
      <c r="AD10" s="89"/>
      <c r="AE10" s="91"/>
      <c r="AF10" s="92">
        <v>0.0</v>
      </c>
      <c r="AG10" s="92">
        <v>0.0</v>
      </c>
      <c r="AH10" s="93">
        <v>0.0</v>
      </c>
      <c r="AI10" s="93">
        <v>0.0</v>
      </c>
      <c r="AJ10" s="93">
        <v>257539.37</v>
      </c>
      <c r="AK10" s="93">
        <v>248290.05</v>
      </c>
      <c r="AL10" s="93">
        <v>257290.32</v>
      </c>
      <c r="AM10" s="93">
        <v>261574.77</v>
      </c>
      <c r="AN10" s="93">
        <v>265766.68</v>
      </c>
      <c r="AO10" s="93">
        <v>270591.32</v>
      </c>
      <c r="AP10" s="93">
        <v>266448.06</v>
      </c>
      <c r="AQ10" s="93">
        <v>258292.02</v>
      </c>
      <c r="AR10" s="93">
        <v>258061.12</v>
      </c>
      <c r="AS10" s="93">
        <v>276790.53</v>
      </c>
      <c r="AT10" s="93">
        <v>284352.66</v>
      </c>
      <c r="AU10" s="93">
        <v>276673.82</v>
      </c>
      <c r="AV10" s="93">
        <v>268457.18</v>
      </c>
      <c r="AW10" s="93">
        <v>267932.75</v>
      </c>
      <c r="AX10" s="96">
        <v>280352.87</v>
      </c>
      <c r="AY10" s="96">
        <v>276492.88</v>
      </c>
      <c r="AZ10" s="96">
        <v>276542.41</v>
      </c>
      <c r="BA10" s="96">
        <v>280807.88</v>
      </c>
      <c r="BB10" s="96">
        <v>280244.33</v>
      </c>
      <c r="BC10" s="96">
        <v>277956.49</v>
      </c>
      <c r="BD10" s="96">
        <v>275858.1</v>
      </c>
      <c r="BE10" s="96">
        <v>270518.24</v>
      </c>
      <c r="BF10" s="96">
        <v>266140.43</v>
      </c>
      <c r="BG10" s="96">
        <v>257981.5</v>
      </c>
      <c r="BH10" s="96">
        <v>266871.1</v>
      </c>
      <c r="BI10" s="96">
        <v>276031.85</v>
      </c>
      <c r="BJ10" s="96">
        <v>280031.89</v>
      </c>
      <c r="BK10" s="96">
        <v>280789.91</v>
      </c>
      <c r="BL10" s="96">
        <v>284504.27</v>
      </c>
      <c r="BM10" s="96">
        <v>116971.52</v>
      </c>
      <c r="BN10" s="96">
        <v>694.79</v>
      </c>
      <c r="BO10" s="96">
        <v>849.9</v>
      </c>
      <c r="BP10" s="96">
        <v>849.9</v>
      </c>
      <c r="BQ10" s="96">
        <v>0.0</v>
      </c>
      <c r="BR10" s="96"/>
      <c r="BS10" s="96"/>
      <c r="BT10" s="96"/>
      <c r="BU10" s="96"/>
      <c r="BV10" s="96"/>
      <c r="BW10" s="96"/>
      <c r="BX10" s="96"/>
      <c r="BY10" s="96"/>
      <c r="BZ10" s="90">
        <v>0.0</v>
      </c>
      <c r="CA10" s="90">
        <v>0.0</v>
      </c>
      <c r="CB10" s="90">
        <v>0.0</v>
      </c>
      <c r="CC10" s="90">
        <v>0.0</v>
      </c>
      <c r="CD10" s="90">
        <v>0.0</v>
      </c>
      <c r="CE10" s="90">
        <v>0.0</v>
      </c>
      <c r="CF10" s="90">
        <v>0.0</v>
      </c>
      <c r="CG10" s="90">
        <v>0.0</v>
      </c>
      <c r="CH10" s="90">
        <v>0.0</v>
      </c>
      <c r="CI10" s="90">
        <v>0.0</v>
      </c>
      <c r="CJ10" s="90">
        <v>0.0</v>
      </c>
      <c r="CK10" s="90">
        <v>0.0</v>
      </c>
      <c r="CL10" s="90">
        <v>0.0</v>
      </c>
      <c r="CM10" s="90">
        <v>0.0</v>
      </c>
      <c r="CN10" s="90">
        <v>0.0</v>
      </c>
      <c r="CO10" s="90">
        <v>0.0</v>
      </c>
      <c r="CP10" s="90">
        <v>0.0</v>
      </c>
      <c r="CQ10" s="90">
        <v>0.0</v>
      </c>
      <c r="CR10" s="90">
        <v>0.0</v>
      </c>
      <c r="CS10" s="90">
        <v>0.0</v>
      </c>
      <c r="CT10" s="90">
        <v>0.0</v>
      </c>
      <c r="CU10" s="90">
        <v>0.0</v>
      </c>
      <c r="CV10" s="90">
        <v>0.0</v>
      </c>
      <c r="CW10" s="90">
        <v>0.0</v>
      </c>
      <c r="CX10" s="100">
        <v>0.0</v>
      </c>
      <c r="CY10" s="100">
        <v>0.0</v>
      </c>
      <c r="CZ10" s="100">
        <v>0.0</v>
      </c>
      <c r="DA10" s="100">
        <v>0.0</v>
      </c>
      <c r="DB10" s="100">
        <v>0.0</v>
      </c>
      <c r="DC10" s="100">
        <v>0.0</v>
      </c>
      <c r="DD10" s="100">
        <v>0.0</v>
      </c>
      <c r="DE10" s="123">
        <v>0.0</v>
      </c>
      <c r="DF10" s="123">
        <v>0.0</v>
      </c>
      <c r="DG10" s="124">
        <v>0.0</v>
      </c>
      <c r="DH10" s="124">
        <v>0.0</v>
      </c>
      <c r="DI10" s="124">
        <v>0.0</v>
      </c>
    </row>
    <row r="11" ht="15.75" customHeight="1">
      <c r="A11" s="59" t="s">
        <v>202</v>
      </c>
      <c r="B11" s="89" t="s">
        <v>508</v>
      </c>
      <c r="C11" s="149" t="s">
        <v>510</v>
      </c>
      <c r="D11" s="63" t="s">
        <v>120</v>
      </c>
      <c r="E11" s="66" t="s">
        <v>199</v>
      </c>
      <c r="F11" s="103" t="s">
        <v>120</v>
      </c>
      <c r="G11" s="47" t="str">
        <f t="shared" si="1"/>
        <v>David</v>
      </c>
      <c r="H11" s="73" t="s">
        <v>295</v>
      </c>
      <c r="I11" s="74" t="s">
        <v>66</v>
      </c>
      <c r="J11" s="63" t="str">
        <f t="shared" si="4"/>
        <v>Não</v>
      </c>
      <c r="K11" s="104">
        <v>44062.0</v>
      </c>
      <c r="L11" s="105"/>
      <c r="M11" s="106" t="s">
        <v>209</v>
      </c>
      <c r="N11" s="125">
        <v>0.015</v>
      </c>
      <c r="O11" s="81" t="s">
        <v>66</v>
      </c>
      <c r="P11" s="82">
        <v>0.0</v>
      </c>
      <c r="Q11" s="59"/>
      <c r="R11" s="70"/>
      <c r="S11" s="62" t="s">
        <v>194</v>
      </c>
      <c r="T11" s="108" t="s">
        <v>517</v>
      </c>
      <c r="U11" s="109" t="s">
        <v>518</v>
      </c>
      <c r="V11" s="110" t="s">
        <v>519</v>
      </c>
      <c r="W11" s="120"/>
      <c r="X11" s="112" t="s">
        <v>199</v>
      </c>
      <c r="Y11" s="87" t="str">
        <f t="shared" si="3"/>
        <v>Inativo</v>
      </c>
      <c r="Z11" s="62"/>
      <c r="AA11" s="62"/>
      <c r="AB11" s="32" t="s">
        <v>244</v>
      </c>
      <c r="AC11" s="89"/>
      <c r="AD11" s="89"/>
      <c r="AE11" s="91"/>
      <c r="AF11" s="92">
        <v>0.0</v>
      </c>
      <c r="AG11" s="92">
        <v>0.0</v>
      </c>
      <c r="AH11" s="92">
        <v>0.0</v>
      </c>
      <c r="AI11" s="92">
        <v>0.0</v>
      </c>
      <c r="AJ11" s="92">
        <v>0.0</v>
      </c>
      <c r="AK11" s="92">
        <v>0.0</v>
      </c>
      <c r="AL11" s="92">
        <v>0.0</v>
      </c>
      <c r="AM11" s="92">
        <v>0.0</v>
      </c>
      <c r="AN11" s="92">
        <v>0.0</v>
      </c>
      <c r="AO11" s="92">
        <v>0.0</v>
      </c>
      <c r="AP11" s="92">
        <v>180093.37</v>
      </c>
      <c r="AQ11" s="92">
        <v>172792.99</v>
      </c>
      <c r="AR11" s="92">
        <v>172710.75</v>
      </c>
      <c r="AS11" s="92">
        <v>177927.11</v>
      </c>
      <c r="AT11" s="92">
        <v>181504.78</v>
      </c>
      <c r="AU11" s="92">
        <v>177719.78</v>
      </c>
      <c r="AV11" s="92">
        <v>164338.46</v>
      </c>
      <c r="AW11" s="92">
        <v>163504.22</v>
      </c>
      <c r="AX11" s="96">
        <v>105356.68</v>
      </c>
      <c r="AY11" s="96">
        <v>71410.36</v>
      </c>
      <c r="AZ11" s="96">
        <v>71700.88</v>
      </c>
      <c r="BA11" s="96">
        <v>66430.76</v>
      </c>
      <c r="BB11" s="96">
        <v>66648.36</v>
      </c>
      <c r="BC11" s="96">
        <v>53190.78</v>
      </c>
      <c r="BD11" s="96">
        <v>49858.56</v>
      </c>
      <c r="BE11" s="96">
        <v>49187.42</v>
      </c>
      <c r="BF11" s="96">
        <v>37247.04</v>
      </c>
      <c r="BG11" s="96">
        <v>28733.39</v>
      </c>
      <c r="BH11" s="96">
        <v>28963.08</v>
      </c>
      <c r="BI11" s="96">
        <v>22571.29</v>
      </c>
      <c r="BJ11" s="96">
        <v>19775.15</v>
      </c>
      <c r="BK11" s="96">
        <v>14460.46</v>
      </c>
      <c r="BL11" s="96">
        <v>15287.31</v>
      </c>
      <c r="BM11" s="96">
        <v>11673.3</v>
      </c>
      <c r="BN11" s="96">
        <v>3549.51</v>
      </c>
      <c r="BO11" s="96">
        <v>3049.0</v>
      </c>
      <c r="BP11" s="96">
        <v>0.0</v>
      </c>
      <c r="BQ11" s="96">
        <v>0.0</v>
      </c>
      <c r="BR11" s="96"/>
      <c r="BS11" s="96"/>
      <c r="BT11" s="96"/>
      <c r="BU11" s="96"/>
      <c r="BV11" s="96"/>
      <c r="BW11" s="96"/>
      <c r="BX11" s="96"/>
      <c r="BY11" s="96"/>
      <c r="BZ11" s="90">
        <v>0.0</v>
      </c>
      <c r="CA11" s="90">
        <v>0.0</v>
      </c>
      <c r="CB11" s="90">
        <v>0.0</v>
      </c>
      <c r="CC11" s="90">
        <v>0.0</v>
      </c>
      <c r="CD11" s="90">
        <v>0.0</v>
      </c>
      <c r="CE11" s="90">
        <v>0.0</v>
      </c>
      <c r="CF11" s="90">
        <v>0.0</v>
      </c>
      <c r="CG11" s="90">
        <v>0.0</v>
      </c>
      <c r="CH11" s="90">
        <v>0.0</v>
      </c>
      <c r="CI11" s="90">
        <v>0.0</v>
      </c>
      <c r="CJ11" s="90">
        <v>0.0</v>
      </c>
      <c r="CK11" s="90">
        <v>0.0</v>
      </c>
      <c r="CL11" s="90">
        <v>0.0</v>
      </c>
      <c r="CM11" s="90">
        <v>0.0</v>
      </c>
      <c r="CN11" s="90">
        <v>0.0</v>
      </c>
      <c r="CO11" s="90">
        <v>0.0</v>
      </c>
      <c r="CP11" s="90">
        <v>0.0</v>
      </c>
      <c r="CQ11" s="90">
        <v>0.0</v>
      </c>
      <c r="CR11" s="90">
        <v>0.0</v>
      </c>
      <c r="CS11" s="90">
        <v>0.0</v>
      </c>
      <c r="CT11" s="90">
        <v>0.0</v>
      </c>
      <c r="CU11" s="90">
        <v>0.0</v>
      </c>
      <c r="CV11" s="90">
        <v>0.0</v>
      </c>
      <c r="CW11" s="90">
        <v>0.0</v>
      </c>
      <c r="CX11" s="100">
        <v>0.0</v>
      </c>
      <c r="CY11" s="100">
        <v>0.0</v>
      </c>
      <c r="CZ11" s="100">
        <v>0.0</v>
      </c>
      <c r="DA11" s="100">
        <v>0.0</v>
      </c>
      <c r="DB11" s="100">
        <v>0.0</v>
      </c>
      <c r="DC11" s="100">
        <v>0.0</v>
      </c>
      <c r="DD11" s="100">
        <v>0.0</v>
      </c>
      <c r="DE11" s="123">
        <v>0.0</v>
      </c>
      <c r="DF11" s="123">
        <v>0.0</v>
      </c>
      <c r="DG11" s="124">
        <v>0.0</v>
      </c>
      <c r="DH11" s="124">
        <v>0.0</v>
      </c>
      <c r="DI11" s="124">
        <v>0.0</v>
      </c>
    </row>
    <row r="12" ht="15.75" customHeight="1">
      <c r="A12" s="59" t="s">
        <v>202</v>
      </c>
      <c r="B12" s="91" t="s">
        <v>544</v>
      </c>
      <c r="C12" s="149" t="s">
        <v>545</v>
      </c>
      <c r="D12" s="63" t="s">
        <v>255</v>
      </c>
      <c r="E12" s="66" t="s">
        <v>199</v>
      </c>
      <c r="F12" s="103" t="s">
        <v>548</v>
      </c>
      <c r="G12" s="47" t="str">
        <f t="shared" si="1"/>
        <v>David</v>
      </c>
      <c r="H12" s="115" t="s">
        <v>224</v>
      </c>
      <c r="I12" s="74" t="s">
        <v>66</v>
      </c>
      <c r="J12" s="63" t="str">
        <f t="shared" si="4"/>
        <v>Não</v>
      </c>
      <c r="K12" s="104">
        <v>44774.0</v>
      </c>
      <c r="L12" s="105">
        <v>44942.0</v>
      </c>
      <c r="M12" s="106" t="s">
        <v>209</v>
      </c>
      <c r="N12" s="125">
        <v>0.015</v>
      </c>
      <c r="O12" s="81" t="s">
        <v>66</v>
      </c>
      <c r="P12" s="82">
        <v>0.0</v>
      </c>
      <c r="Q12" s="59"/>
      <c r="R12" s="157"/>
      <c r="S12" s="62" t="s">
        <v>194</v>
      </c>
      <c r="T12" s="108" t="s">
        <v>551</v>
      </c>
      <c r="U12" s="109" t="s">
        <v>552</v>
      </c>
      <c r="V12" s="110" t="s">
        <v>555</v>
      </c>
      <c r="W12" s="120"/>
      <c r="X12" s="118" t="s">
        <v>199</v>
      </c>
      <c r="Y12" s="87" t="str">
        <f t="shared" si="3"/>
        <v>Encerrado</v>
      </c>
      <c r="Z12" s="62"/>
      <c r="AA12" s="62"/>
      <c r="AB12" s="32" t="s">
        <v>244</v>
      </c>
      <c r="AC12" s="89"/>
      <c r="AD12" s="89"/>
      <c r="AE12" s="91"/>
      <c r="AF12" s="92"/>
      <c r="AG12" s="92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6"/>
      <c r="BP12" s="96">
        <v>1029046.34</v>
      </c>
      <c r="BQ12" s="96">
        <v>1125492.29</v>
      </c>
      <c r="BR12" s="96">
        <v>1115086.74</v>
      </c>
      <c r="BS12" s="96">
        <v>1126305.3</v>
      </c>
      <c r="BT12" s="96">
        <v>0.0</v>
      </c>
      <c r="BU12" s="96">
        <v>0.0</v>
      </c>
      <c r="BV12" s="96"/>
      <c r="BW12" s="96"/>
      <c r="BX12" s="96"/>
      <c r="BY12" s="96"/>
      <c r="BZ12" s="90">
        <v>0.0</v>
      </c>
      <c r="CA12" s="90">
        <v>0.0</v>
      </c>
      <c r="CB12" s="90">
        <v>0.0</v>
      </c>
      <c r="CC12" s="90">
        <v>0.0</v>
      </c>
      <c r="CD12" s="90">
        <v>0.0</v>
      </c>
      <c r="CE12" s="90">
        <v>0.0</v>
      </c>
      <c r="CF12" s="90">
        <v>0.0</v>
      </c>
      <c r="CG12" s="90">
        <v>0.0</v>
      </c>
      <c r="CH12" s="90">
        <v>0.0</v>
      </c>
      <c r="CI12" s="90">
        <v>0.0</v>
      </c>
      <c r="CJ12" s="90">
        <v>0.0</v>
      </c>
      <c r="CK12" s="90">
        <v>0.0</v>
      </c>
      <c r="CL12" s="90">
        <v>0.0</v>
      </c>
      <c r="CM12" s="90">
        <v>0.0</v>
      </c>
      <c r="CN12" s="90">
        <v>0.0</v>
      </c>
      <c r="CO12" s="90">
        <v>0.0</v>
      </c>
      <c r="CP12" s="90">
        <v>0.0</v>
      </c>
      <c r="CQ12" s="90">
        <v>0.0</v>
      </c>
      <c r="CR12" s="90">
        <v>0.0</v>
      </c>
      <c r="CS12" s="90">
        <v>0.0</v>
      </c>
      <c r="CT12" s="90">
        <v>0.0</v>
      </c>
      <c r="CU12" s="90">
        <v>0.0</v>
      </c>
      <c r="CV12" s="90">
        <v>0.0</v>
      </c>
      <c r="CW12" s="90">
        <v>0.0</v>
      </c>
      <c r="CX12" s="100">
        <v>0.0</v>
      </c>
      <c r="CY12" s="100">
        <v>0.0</v>
      </c>
      <c r="CZ12" s="100">
        <v>0.0</v>
      </c>
      <c r="DA12" s="100">
        <v>0.0</v>
      </c>
      <c r="DB12" s="100">
        <v>0.0</v>
      </c>
      <c r="DC12" s="100">
        <v>0.0</v>
      </c>
      <c r="DD12" s="100">
        <v>0.0</v>
      </c>
      <c r="DE12" s="123">
        <v>0.0</v>
      </c>
      <c r="DF12" s="123">
        <v>0.0</v>
      </c>
      <c r="DG12" s="124">
        <v>0.0</v>
      </c>
      <c r="DH12" s="124">
        <v>0.0</v>
      </c>
      <c r="DI12" s="124">
        <v>0.0</v>
      </c>
    </row>
    <row r="13" ht="15.75" customHeight="1">
      <c r="A13" s="59" t="s">
        <v>202</v>
      </c>
      <c r="B13" s="89" t="s">
        <v>578</v>
      </c>
      <c r="C13" s="149" t="s">
        <v>579</v>
      </c>
      <c r="D13" s="63" t="s">
        <v>120</v>
      </c>
      <c r="E13" s="66" t="s">
        <v>199</v>
      </c>
      <c r="F13" s="103" t="s">
        <v>439</v>
      </c>
      <c r="G13" s="47" t="str">
        <f t="shared" si="1"/>
        <v>David</v>
      </c>
      <c r="H13" s="115" t="s">
        <v>224</v>
      </c>
      <c r="I13" s="74" t="s">
        <v>66</v>
      </c>
      <c r="J13" s="63" t="str">
        <f t="shared" si="4"/>
        <v>Não</v>
      </c>
      <c r="K13" s="116" t="s">
        <v>584</v>
      </c>
      <c r="L13" s="105"/>
      <c r="M13" s="106" t="s">
        <v>209</v>
      </c>
      <c r="N13" s="125">
        <v>0.015</v>
      </c>
      <c r="O13" s="81" t="s">
        <v>66</v>
      </c>
      <c r="P13" s="82">
        <v>0.0</v>
      </c>
      <c r="Q13" s="59"/>
      <c r="R13" s="70"/>
      <c r="S13" s="62" t="s">
        <v>194</v>
      </c>
      <c r="T13" s="108" t="s">
        <v>585</v>
      </c>
      <c r="U13" s="137"/>
      <c r="V13" s="84"/>
      <c r="W13" s="120"/>
      <c r="X13" s="112" t="s">
        <v>199</v>
      </c>
      <c r="Y13" s="87" t="str">
        <f t="shared" si="3"/>
        <v>Encerrado</v>
      </c>
      <c r="Z13" s="62"/>
      <c r="AA13" s="62"/>
      <c r="AB13" s="32" t="s">
        <v>244</v>
      </c>
      <c r="AC13" s="89"/>
      <c r="AD13" s="89"/>
      <c r="AE13" s="91"/>
      <c r="AF13" s="92">
        <v>0.0</v>
      </c>
      <c r="AG13" s="92">
        <v>0.0</v>
      </c>
      <c r="AH13" s="93">
        <v>0.0</v>
      </c>
      <c r="AI13" s="93">
        <v>0.0</v>
      </c>
      <c r="AJ13" s="93">
        <v>0.0</v>
      </c>
      <c r="AK13" s="93">
        <v>0.0</v>
      </c>
      <c r="AL13" s="93">
        <v>0.0</v>
      </c>
      <c r="AM13" s="93">
        <v>0.0</v>
      </c>
      <c r="AN13" s="93">
        <v>0.0</v>
      </c>
      <c r="AO13" s="93">
        <v>0.0</v>
      </c>
      <c r="AP13" s="93"/>
      <c r="AQ13" s="93">
        <v>0.0</v>
      </c>
      <c r="AR13" s="93">
        <v>0.0</v>
      </c>
      <c r="AS13" s="93"/>
      <c r="AT13" s="93"/>
      <c r="AU13" s="93">
        <v>0.0</v>
      </c>
      <c r="AV13" s="93"/>
      <c r="AW13" s="93"/>
      <c r="AX13" s="93"/>
      <c r="AY13" s="93"/>
      <c r="AZ13" s="93">
        <v>0.0</v>
      </c>
      <c r="BA13" s="93"/>
      <c r="BB13" s="93"/>
      <c r="BC13" s="93"/>
      <c r="BD13" s="93"/>
      <c r="BE13" s="93"/>
      <c r="BF13" s="93"/>
      <c r="BG13" s="93"/>
      <c r="BH13" s="93"/>
      <c r="BI13" s="93"/>
      <c r="BJ13" s="93">
        <v>0.0</v>
      </c>
      <c r="BK13" s="93">
        <v>0.0</v>
      </c>
      <c r="BL13" s="93"/>
      <c r="BM13" s="93" t="s">
        <v>377</v>
      </c>
      <c r="BN13" s="93"/>
      <c r="BO13" s="96"/>
      <c r="BP13" s="96"/>
      <c r="BQ13" s="96">
        <v>0.0</v>
      </c>
      <c r="BR13" s="96"/>
      <c r="BS13" s="96"/>
      <c r="BT13" s="96"/>
      <c r="BU13" s="96"/>
      <c r="BV13" s="96"/>
      <c r="BW13" s="96"/>
      <c r="BX13" s="96"/>
      <c r="BY13" s="96"/>
      <c r="BZ13" s="90">
        <v>0.0</v>
      </c>
      <c r="CA13" s="90">
        <v>0.0</v>
      </c>
      <c r="CB13" s="90">
        <v>0.0</v>
      </c>
      <c r="CC13" s="90">
        <v>0.0</v>
      </c>
      <c r="CD13" s="90">
        <v>0.0</v>
      </c>
      <c r="CE13" s="90">
        <v>0.0</v>
      </c>
      <c r="CF13" s="90">
        <v>0.0</v>
      </c>
      <c r="CG13" s="90">
        <v>0.0</v>
      </c>
      <c r="CH13" s="90">
        <v>0.0</v>
      </c>
      <c r="CI13" s="90">
        <v>0.0</v>
      </c>
      <c r="CJ13" s="90">
        <v>0.0</v>
      </c>
      <c r="CK13" s="90">
        <v>0.0</v>
      </c>
      <c r="CL13" s="90">
        <v>0.0</v>
      </c>
      <c r="CM13" s="90">
        <v>0.0</v>
      </c>
      <c r="CN13" s="90">
        <v>0.0</v>
      </c>
      <c r="CO13" s="90">
        <v>0.0</v>
      </c>
      <c r="CP13" s="90">
        <v>0.0</v>
      </c>
      <c r="CQ13" s="90">
        <v>0.0</v>
      </c>
      <c r="CR13" s="90">
        <v>0.0</v>
      </c>
      <c r="CS13" s="90">
        <v>0.0</v>
      </c>
      <c r="CT13" s="90">
        <v>0.0</v>
      </c>
      <c r="CU13" s="90">
        <v>0.0</v>
      </c>
      <c r="CV13" s="90">
        <v>0.0</v>
      </c>
      <c r="CW13" s="90">
        <v>0.0</v>
      </c>
      <c r="CX13" s="100">
        <v>0.0</v>
      </c>
      <c r="CY13" s="100">
        <v>0.0</v>
      </c>
      <c r="CZ13" s="100">
        <v>0.0</v>
      </c>
      <c r="DA13" s="100">
        <v>0.0</v>
      </c>
      <c r="DB13" s="100">
        <v>0.0</v>
      </c>
      <c r="DC13" s="100">
        <v>0.0</v>
      </c>
      <c r="DD13" s="100">
        <v>0.0</v>
      </c>
      <c r="DE13" s="123">
        <v>0.0</v>
      </c>
      <c r="DF13" s="123">
        <v>0.0</v>
      </c>
      <c r="DG13" s="124">
        <v>0.0</v>
      </c>
      <c r="DH13" s="124">
        <v>0.0</v>
      </c>
      <c r="DI13" s="124">
        <v>0.0</v>
      </c>
    </row>
    <row r="14" ht="15.75" customHeight="1">
      <c r="A14" s="59" t="s">
        <v>202</v>
      </c>
      <c r="B14" s="91" t="s">
        <v>625</v>
      </c>
      <c r="C14" s="102" t="s">
        <v>626</v>
      </c>
      <c r="D14" s="63" t="s">
        <v>120</v>
      </c>
      <c r="E14" s="66" t="s">
        <v>199</v>
      </c>
      <c r="F14" s="103" t="s">
        <v>628</v>
      </c>
      <c r="G14" s="47" t="str">
        <f t="shared" si="1"/>
        <v>David</v>
      </c>
      <c r="H14" s="73" t="s">
        <v>295</v>
      </c>
      <c r="I14" s="74" t="s">
        <v>66</v>
      </c>
      <c r="J14" s="63" t="str">
        <f t="shared" si="4"/>
        <v>Sim</v>
      </c>
      <c r="K14" s="104">
        <v>45007.0</v>
      </c>
      <c r="L14" s="105"/>
      <c r="M14" s="106" t="s">
        <v>231</v>
      </c>
      <c r="N14" s="125">
        <v>0.023</v>
      </c>
      <c r="O14" s="30" t="s">
        <v>233</v>
      </c>
      <c r="P14" s="82">
        <v>0.2</v>
      </c>
      <c r="Q14" s="59" t="s">
        <v>635</v>
      </c>
      <c r="R14" s="166" t="s">
        <v>637</v>
      </c>
      <c r="S14" s="62" t="s">
        <v>194</v>
      </c>
      <c r="T14" s="108" t="s">
        <v>638</v>
      </c>
      <c r="U14" s="109" t="s">
        <v>639</v>
      </c>
      <c r="V14" s="110" t="s">
        <v>640</v>
      </c>
      <c r="W14" s="120"/>
      <c r="X14" s="118" t="s">
        <v>618</v>
      </c>
      <c r="Y14" s="87" t="str">
        <f t="shared" si="3"/>
        <v>Inativo</v>
      </c>
      <c r="Z14" s="62"/>
      <c r="AA14" s="62"/>
      <c r="AB14" s="32" t="s">
        <v>244</v>
      </c>
      <c r="AC14" s="89"/>
      <c r="AD14" s="89"/>
      <c r="AE14" s="91"/>
      <c r="AF14" s="92"/>
      <c r="AG14" s="92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>
        <v>1205260.4</v>
      </c>
      <c r="BW14" s="96">
        <v>1179376.51</v>
      </c>
      <c r="BX14" s="96">
        <v>1205168.45</v>
      </c>
      <c r="BY14" s="96">
        <v>1226959.18</v>
      </c>
      <c r="BZ14" s="96">
        <v>1226959.18</v>
      </c>
      <c r="CA14" s="96">
        <v>200884.45</v>
      </c>
      <c r="CB14" s="96">
        <v>84820.52</v>
      </c>
      <c r="CC14" s="96">
        <v>0.0</v>
      </c>
      <c r="CD14" s="90">
        <v>0.0</v>
      </c>
      <c r="CE14" s="90">
        <v>0.0</v>
      </c>
      <c r="CF14" s="90">
        <v>0.0</v>
      </c>
      <c r="CG14" s="90">
        <v>0.0</v>
      </c>
      <c r="CH14" s="90">
        <v>0.0</v>
      </c>
      <c r="CI14" s="90">
        <v>0.0</v>
      </c>
      <c r="CJ14" s="90">
        <v>0.0</v>
      </c>
      <c r="CK14" s="90">
        <v>0.0</v>
      </c>
      <c r="CL14" s="90">
        <v>0.0</v>
      </c>
      <c r="CM14" s="90">
        <v>0.0</v>
      </c>
      <c r="CN14" s="90">
        <v>0.0</v>
      </c>
      <c r="CO14" s="90">
        <v>0.0</v>
      </c>
      <c r="CP14" s="90">
        <v>0.0</v>
      </c>
      <c r="CQ14" s="90">
        <v>0.0</v>
      </c>
      <c r="CR14" s="90">
        <v>0.0</v>
      </c>
      <c r="CS14" s="90">
        <v>0.0</v>
      </c>
      <c r="CT14" s="90">
        <v>0.0</v>
      </c>
      <c r="CU14" s="90">
        <v>0.0</v>
      </c>
      <c r="CV14" s="90">
        <v>0.0</v>
      </c>
      <c r="CW14" s="90">
        <v>0.0</v>
      </c>
      <c r="CX14" s="100">
        <v>0.0</v>
      </c>
      <c r="CY14" s="100">
        <v>0.0</v>
      </c>
      <c r="CZ14" s="100">
        <v>0.0</v>
      </c>
      <c r="DA14" s="100">
        <v>0.0</v>
      </c>
      <c r="DB14" s="100">
        <v>0.0</v>
      </c>
      <c r="DC14" s="100">
        <v>0.0</v>
      </c>
      <c r="DD14" s="100">
        <v>0.0</v>
      </c>
      <c r="DE14" s="123">
        <v>0.0</v>
      </c>
      <c r="DF14" s="123">
        <v>0.0</v>
      </c>
      <c r="DG14" s="124">
        <v>0.0</v>
      </c>
      <c r="DH14" s="124">
        <v>0.0</v>
      </c>
      <c r="DI14" s="124">
        <v>0.0</v>
      </c>
    </row>
    <row r="15" ht="15.75" customHeight="1">
      <c r="A15" s="59" t="s">
        <v>202</v>
      </c>
      <c r="B15" s="89" t="s">
        <v>667</v>
      </c>
      <c r="C15" s="102" t="s">
        <v>668</v>
      </c>
      <c r="D15" s="63" t="s">
        <v>669</v>
      </c>
      <c r="E15" s="66" t="s">
        <v>199</v>
      </c>
      <c r="F15" s="103" t="s">
        <v>669</v>
      </c>
      <c r="G15" s="47" t="str">
        <f t="shared" si="1"/>
        <v>David</v>
      </c>
      <c r="H15" s="73" t="s">
        <v>295</v>
      </c>
      <c r="I15" s="74" t="s">
        <v>66</v>
      </c>
      <c r="J15" s="63" t="str">
        <f t="shared" si="4"/>
        <v>Não</v>
      </c>
      <c r="K15" s="104">
        <v>44014.0</v>
      </c>
      <c r="L15" s="105"/>
      <c r="M15" s="106" t="s">
        <v>231</v>
      </c>
      <c r="N15" s="125">
        <v>0.025</v>
      </c>
      <c r="O15" s="30" t="s">
        <v>233</v>
      </c>
      <c r="P15" s="82">
        <v>0.2</v>
      </c>
      <c r="Q15" s="59"/>
      <c r="R15" s="128"/>
      <c r="S15" s="62" t="s">
        <v>194</v>
      </c>
      <c r="T15" s="108" t="s">
        <v>672</v>
      </c>
      <c r="U15" s="109" t="s">
        <v>673</v>
      </c>
      <c r="V15" s="110" t="s">
        <v>675</v>
      </c>
      <c r="W15" s="120"/>
      <c r="X15" s="112" t="s">
        <v>311</v>
      </c>
      <c r="Y15" s="87" t="str">
        <f t="shared" si="3"/>
        <v>Inativo</v>
      </c>
      <c r="Z15" s="62"/>
      <c r="AA15" s="62"/>
      <c r="AB15" s="32" t="s">
        <v>244</v>
      </c>
      <c r="AC15" s="89"/>
      <c r="AD15" s="89"/>
      <c r="AE15" s="91"/>
      <c r="AF15" s="92">
        <v>0.0</v>
      </c>
      <c r="AG15" s="92"/>
      <c r="AH15" s="93"/>
      <c r="AI15" s="93"/>
      <c r="AJ15" s="93"/>
      <c r="AK15" s="93"/>
      <c r="AL15" s="93">
        <v>0.0</v>
      </c>
      <c r="AM15" s="93">
        <v>0.0</v>
      </c>
      <c r="AN15" s="93">
        <v>150000.0</v>
      </c>
      <c r="AO15" s="93">
        <v>154085.03</v>
      </c>
      <c r="AP15" s="93">
        <v>147704.92</v>
      </c>
      <c r="AQ15" s="93">
        <v>135094.55</v>
      </c>
      <c r="AR15" s="93">
        <v>133801.09</v>
      </c>
      <c r="AS15" s="93">
        <v>157134.19</v>
      </c>
      <c r="AT15" s="93">
        <v>164046.07</v>
      </c>
      <c r="AU15" s="93">
        <v>153189.97</v>
      </c>
      <c r="AV15" s="93">
        <v>143688.57</v>
      </c>
      <c r="AW15" s="93">
        <v>142786.18</v>
      </c>
      <c r="AX15" s="96">
        <v>166210.28</v>
      </c>
      <c r="AY15" s="96">
        <v>153449.98</v>
      </c>
      <c r="AZ15" s="96">
        <v>154013.12</v>
      </c>
      <c r="BA15" s="96">
        <v>159213.93</v>
      </c>
      <c r="BB15" s="96">
        <v>155185.38</v>
      </c>
      <c r="BC15" s="96">
        <v>151604.09</v>
      </c>
      <c r="BD15" s="96">
        <v>147449.72</v>
      </c>
      <c r="BE15" s="96">
        <v>138631.81</v>
      </c>
      <c r="BF15" s="96">
        <v>130862.98</v>
      </c>
      <c r="BG15" s="96">
        <v>117364.76</v>
      </c>
      <c r="BH15" s="96">
        <v>115166.78</v>
      </c>
      <c r="BI15" s="96">
        <v>104163.54</v>
      </c>
      <c r="BJ15" s="96">
        <v>107429.62</v>
      </c>
      <c r="BK15" s="96">
        <v>79074.94</v>
      </c>
      <c r="BL15" s="96">
        <v>78299.41</v>
      </c>
      <c r="BM15" s="96">
        <v>73645.94</v>
      </c>
      <c r="BN15" s="96">
        <v>77808.43</v>
      </c>
      <c r="BO15" s="96">
        <v>78780.62</v>
      </c>
      <c r="BP15" s="96">
        <v>81729.71</v>
      </c>
      <c r="BQ15" s="96">
        <v>88108.56</v>
      </c>
      <c r="BR15" s="96">
        <v>84233.05</v>
      </c>
      <c r="BS15" s="96">
        <v>85116.2</v>
      </c>
      <c r="BT15" s="96">
        <v>86683.24</v>
      </c>
      <c r="BU15" s="96">
        <v>17.83</v>
      </c>
      <c r="BV15" s="96"/>
      <c r="BW15" s="96"/>
      <c r="BX15" s="96"/>
      <c r="BY15" s="96"/>
      <c r="BZ15" s="90">
        <v>0.0</v>
      </c>
      <c r="CA15" s="90">
        <v>0.0</v>
      </c>
      <c r="CB15" s="90">
        <v>0.0</v>
      </c>
      <c r="CC15" s="90">
        <v>0.0</v>
      </c>
      <c r="CD15" s="90">
        <v>0.0</v>
      </c>
      <c r="CE15" s="90">
        <v>0.0</v>
      </c>
      <c r="CF15" s="90">
        <v>0.0</v>
      </c>
      <c r="CG15" s="90">
        <v>0.0</v>
      </c>
      <c r="CH15" s="90">
        <v>0.0</v>
      </c>
      <c r="CI15" s="90">
        <v>0.0</v>
      </c>
      <c r="CJ15" s="90">
        <v>0.0</v>
      </c>
      <c r="CK15" s="90">
        <v>0.0</v>
      </c>
      <c r="CL15" s="90">
        <v>0.0</v>
      </c>
      <c r="CM15" s="90">
        <v>0.0</v>
      </c>
      <c r="CN15" s="90">
        <v>0.0</v>
      </c>
      <c r="CO15" s="90">
        <v>0.0</v>
      </c>
      <c r="CP15" s="90">
        <v>0.0</v>
      </c>
      <c r="CQ15" s="90">
        <v>0.0</v>
      </c>
      <c r="CR15" s="90">
        <v>0.0</v>
      </c>
      <c r="CS15" s="90">
        <v>0.0</v>
      </c>
      <c r="CT15" s="90">
        <v>0.0</v>
      </c>
      <c r="CU15" s="90">
        <v>0.0</v>
      </c>
      <c r="CV15" s="90">
        <v>0.0</v>
      </c>
      <c r="CW15" s="90">
        <v>0.0</v>
      </c>
      <c r="CX15" s="100">
        <v>0.0</v>
      </c>
      <c r="CY15" s="100">
        <v>0.0</v>
      </c>
      <c r="CZ15" s="100">
        <v>0.0</v>
      </c>
      <c r="DA15" s="100">
        <v>0.0</v>
      </c>
      <c r="DB15" s="100">
        <v>0.0</v>
      </c>
      <c r="DC15" s="100">
        <v>0.0</v>
      </c>
      <c r="DD15" s="100">
        <v>0.0</v>
      </c>
      <c r="DE15" s="123">
        <v>0.0</v>
      </c>
      <c r="DF15" s="123">
        <v>0.0</v>
      </c>
      <c r="DG15" s="124">
        <v>0.0</v>
      </c>
      <c r="DH15" s="124">
        <v>0.0</v>
      </c>
      <c r="DI15" s="124">
        <v>0.0</v>
      </c>
    </row>
    <row r="16" ht="15.75" customHeight="1">
      <c r="A16" s="59" t="s">
        <v>202</v>
      </c>
      <c r="B16" s="91" t="s">
        <v>708</v>
      </c>
      <c r="C16" s="169" t="s">
        <v>709</v>
      </c>
      <c r="D16" s="141" t="s">
        <v>120</v>
      </c>
      <c r="E16" s="27" t="s">
        <v>199</v>
      </c>
      <c r="F16" s="117" t="s">
        <v>388</v>
      </c>
      <c r="G16" s="47" t="str">
        <f t="shared" si="1"/>
        <v>David</v>
      </c>
      <c r="H16" s="73" t="s">
        <v>183</v>
      </c>
      <c r="I16" s="49" t="s">
        <v>66</v>
      </c>
      <c r="J16" s="63" t="str">
        <f t="shared" si="4"/>
        <v>Não</v>
      </c>
      <c r="K16" s="170">
        <v>46107.0</v>
      </c>
      <c r="L16" s="105"/>
      <c r="M16" s="108" t="s">
        <v>716</v>
      </c>
      <c r="N16" s="172">
        <v>0.02</v>
      </c>
      <c r="O16" s="30" t="s">
        <v>66</v>
      </c>
      <c r="P16" s="173">
        <v>0.0</v>
      </c>
      <c r="Q16" s="59"/>
      <c r="R16" s="128"/>
      <c r="S16" s="32" t="s">
        <v>194</v>
      </c>
      <c r="T16" s="108" t="s">
        <v>720</v>
      </c>
      <c r="U16" s="109" t="s">
        <v>721</v>
      </c>
      <c r="V16" s="110" t="s">
        <v>722</v>
      </c>
      <c r="W16" s="174">
        <v>20113.0</v>
      </c>
      <c r="X16" s="118" t="s">
        <v>724</v>
      </c>
      <c r="Y16" s="87" t="str">
        <f t="shared" si="3"/>
        <v>Ativo</v>
      </c>
      <c r="Z16" s="62"/>
      <c r="AA16" s="32" t="s">
        <v>47</v>
      </c>
      <c r="AB16" s="32"/>
      <c r="AC16" s="89"/>
      <c r="AD16" s="89"/>
      <c r="AE16" s="91"/>
      <c r="AF16" s="92"/>
      <c r="AG16" s="92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  <c r="CT16" s="90"/>
      <c r="CU16" s="90"/>
      <c r="CV16" s="90"/>
      <c r="CW16" s="90"/>
      <c r="CX16" s="100"/>
      <c r="CY16" s="100"/>
      <c r="CZ16" s="100"/>
      <c r="DA16" s="100"/>
      <c r="DB16" s="100"/>
      <c r="DC16" s="100"/>
      <c r="DD16" s="100"/>
      <c r="DE16" s="123"/>
      <c r="DF16" s="123"/>
      <c r="DG16" s="124"/>
      <c r="DH16" s="124">
        <v>0.0</v>
      </c>
      <c r="DI16" s="124">
        <v>0.0</v>
      </c>
    </row>
    <row r="17" ht="15.75" customHeight="1">
      <c r="A17" s="59" t="s">
        <v>202</v>
      </c>
      <c r="B17" s="89" t="s">
        <v>746</v>
      </c>
      <c r="C17" s="102" t="s">
        <v>747</v>
      </c>
      <c r="D17" s="63" t="s">
        <v>120</v>
      </c>
      <c r="E17" s="66" t="s">
        <v>199</v>
      </c>
      <c r="F17" s="106" t="s">
        <v>290</v>
      </c>
      <c r="G17" s="47" t="str">
        <f t="shared" si="1"/>
        <v>Gabriel</v>
      </c>
      <c r="H17" s="115" t="s">
        <v>183</v>
      </c>
      <c r="I17" s="74" t="s">
        <v>66</v>
      </c>
      <c r="J17" s="63" t="str">
        <f t="shared" si="4"/>
        <v>Não</v>
      </c>
      <c r="K17" s="104">
        <v>45035.0</v>
      </c>
      <c r="L17" s="105"/>
      <c r="M17" s="78" t="s">
        <v>61</v>
      </c>
      <c r="N17" s="107">
        <v>0.01</v>
      </c>
      <c r="O17" s="81" t="s">
        <v>66</v>
      </c>
      <c r="P17" s="82">
        <v>0.0</v>
      </c>
      <c r="Q17" s="59"/>
      <c r="R17" s="128"/>
      <c r="S17" s="62" t="s">
        <v>194</v>
      </c>
      <c r="T17" s="108" t="s">
        <v>755</v>
      </c>
      <c r="U17" s="109" t="s">
        <v>757</v>
      </c>
      <c r="V17" s="110" t="s">
        <v>758</v>
      </c>
      <c r="W17" s="120"/>
      <c r="X17" s="112" t="s">
        <v>199</v>
      </c>
      <c r="Y17" s="87" t="str">
        <f t="shared" si="3"/>
        <v>Ativo</v>
      </c>
      <c r="Z17" s="62"/>
      <c r="AA17" s="62"/>
      <c r="AB17" s="32" t="s">
        <v>244</v>
      </c>
      <c r="AC17" s="89"/>
      <c r="AD17" s="175">
        <v>45035.0</v>
      </c>
      <c r="AE17" s="91">
        <v>4.9075100015279E13</v>
      </c>
      <c r="AF17" s="92"/>
      <c r="AG17" s="92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>
        <v>371768.51</v>
      </c>
      <c r="BX17" s="96">
        <v>379646.82</v>
      </c>
      <c r="BY17" s="96">
        <v>382813.53</v>
      </c>
      <c r="BZ17" s="96">
        <v>382813.53</v>
      </c>
      <c r="CA17" s="96">
        <v>255436.9</v>
      </c>
      <c r="CB17" s="96">
        <v>394999.15</v>
      </c>
      <c r="CC17" s="96">
        <v>388198.78</v>
      </c>
      <c r="CD17" s="96">
        <v>387360.16</v>
      </c>
      <c r="CE17" s="90">
        <v>409108.56</v>
      </c>
      <c r="CF17" s="90">
        <v>398920.33</v>
      </c>
      <c r="CG17" s="90">
        <v>402253.42</v>
      </c>
      <c r="CH17" s="90">
        <v>404282.86</v>
      </c>
      <c r="CI17" s="90">
        <v>403154.29</v>
      </c>
      <c r="CJ17" s="90">
        <v>404274.79</v>
      </c>
      <c r="CK17" s="90">
        <v>407067.26</v>
      </c>
      <c r="CL17" s="90">
        <v>411286.81</v>
      </c>
      <c r="CM17" s="90">
        <v>415456.38</v>
      </c>
      <c r="CN17" s="90">
        <v>416967.11</v>
      </c>
      <c r="CO17" s="90">
        <v>417631.11</v>
      </c>
      <c r="CP17" s="90">
        <v>416664.71</v>
      </c>
      <c r="CQ17" s="90">
        <v>382545.71</v>
      </c>
      <c r="CR17" s="90">
        <v>421371.63</v>
      </c>
      <c r="CS17" s="90">
        <v>424652.02</v>
      </c>
      <c r="CT17" s="90">
        <v>425656.35</v>
      </c>
      <c r="CU17" s="90">
        <v>430425.4</v>
      </c>
      <c r="CV17" s="90">
        <v>434569.77</v>
      </c>
      <c r="CW17" s="90">
        <v>438968.32</v>
      </c>
      <c r="CX17" s="100">
        <v>444144.33</v>
      </c>
      <c r="CY17" s="100">
        <v>427724.54</v>
      </c>
      <c r="CZ17" s="100">
        <v>453090.18</v>
      </c>
      <c r="DA17" s="100">
        <v>458407.07</v>
      </c>
      <c r="DB17" s="100">
        <v>461321.21</v>
      </c>
      <c r="DC17" s="100">
        <v>466458.11</v>
      </c>
      <c r="DD17" s="100">
        <v>471230.81</v>
      </c>
      <c r="DE17" s="100">
        <v>475813.54</v>
      </c>
      <c r="DF17" s="100">
        <v>480282.6</v>
      </c>
      <c r="DG17" s="124">
        <v>485169.59</v>
      </c>
      <c r="DH17" s="100">
        <v>489860.11</v>
      </c>
      <c r="DI17" s="100">
        <v>495521.0</v>
      </c>
    </row>
    <row r="18" ht="15.75" customHeight="1">
      <c r="A18" s="59" t="s">
        <v>202</v>
      </c>
      <c r="B18" s="89" t="s">
        <v>776</v>
      </c>
      <c r="C18" s="102" t="s">
        <v>777</v>
      </c>
      <c r="D18" s="63" t="s">
        <v>120</v>
      </c>
      <c r="E18" s="66" t="s">
        <v>199</v>
      </c>
      <c r="F18" s="106" t="s">
        <v>778</v>
      </c>
      <c r="G18" s="47" t="str">
        <f t="shared" si="1"/>
        <v>David</v>
      </c>
      <c r="H18" s="115" t="s">
        <v>224</v>
      </c>
      <c r="I18" s="74" t="s">
        <v>66</v>
      </c>
      <c r="J18" s="63" t="str">
        <f t="shared" si="4"/>
        <v>Não</v>
      </c>
      <c r="K18" s="104">
        <v>43864.0</v>
      </c>
      <c r="L18" s="105">
        <v>44657.0</v>
      </c>
      <c r="M18" s="106" t="s">
        <v>209</v>
      </c>
      <c r="N18" s="107">
        <v>0.015</v>
      </c>
      <c r="O18" s="81" t="s">
        <v>66</v>
      </c>
      <c r="P18" s="82">
        <v>0.0</v>
      </c>
      <c r="Q18" s="59"/>
      <c r="R18" s="70"/>
      <c r="S18" s="62" t="s">
        <v>194</v>
      </c>
      <c r="T18" s="108" t="s">
        <v>783</v>
      </c>
      <c r="U18" s="109" t="s">
        <v>784</v>
      </c>
      <c r="V18" s="110" t="s">
        <v>785</v>
      </c>
      <c r="W18" s="120"/>
      <c r="X18" s="112" t="s">
        <v>199</v>
      </c>
      <c r="Y18" s="87" t="str">
        <f t="shared" si="3"/>
        <v>Encerrado</v>
      </c>
      <c r="Z18" s="62"/>
      <c r="AA18" s="62"/>
      <c r="AB18" s="32" t="s">
        <v>244</v>
      </c>
      <c r="AC18" s="89"/>
      <c r="AD18" s="89"/>
      <c r="AE18" s="91"/>
      <c r="AF18" s="92">
        <v>0.0</v>
      </c>
      <c r="AG18" s="92">
        <v>0.0</v>
      </c>
      <c r="AH18" s="93">
        <v>0.0</v>
      </c>
      <c r="AI18" s="93">
        <v>0.0</v>
      </c>
      <c r="AJ18" s="93">
        <v>104973.36</v>
      </c>
      <c r="AK18" s="93">
        <v>101864.78</v>
      </c>
      <c r="AL18" s="93">
        <v>127584.03</v>
      </c>
      <c r="AM18" s="93">
        <v>135425.65</v>
      </c>
      <c r="AN18" s="93">
        <v>136310.8</v>
      </c>
      <c r="AO18" s="93">
        <v>151459.68</v>
      </c>
      <c r="AP18" s="93">
        <v>163953.77</v>
      </c>
      <c r="AQ18" s="93">
        <v>161726.33</v>
      </c>
      <c r="AR18" s="93">
        <v>163166.59</v>
      </c>
      <c r="AS18" s="93">
        <v>182933.93</v>
      </c>
      <c r="AT18" s="93">
        <v>196792.23</v>
      </c>
      <c r="AU18" s="93">
        <v>192130.07</v>
      </c>
      <c r="AV18" s="93">
        <v>219192.57</v>
      </c>
      <c r="AW18" s="93">
        <v>233942.68</v>
      </c>
      <c r="AX18" s="96">
        <v>251640.58</v>
      </c>
      <c r="AY18" s="96">
        <v>255338.79</v>
      </c>
      <c r="AZ18" s="96">
        <v>255534.55</v>
      </c>
      <c r="BA18" s="96">
        <v>267655.2</v>
      </c>
      <c r="BB18" s="96">
        <v>271824.26</v>
      </c>
      <c r="BC18" s="96">
        <v>275531.76</v>
      </c>
      <c r="BD18" s="96">
        <v>287563.8</v>
      </c>
      <c r="BE18" s="96">
        <v>288866.79</v>
      </c>
      <c r="BF18" s="96">
        <v>290267.07</v>
      </c>
      <c r="BG18" s="96">
        <v>282479.37</v>
      </c>
      <c r="BH18" s="96">
        <v>266283.29</v>
      </c>
      <c r="BI18" s="96">
        <v>344975.72</v>
      </c>
      <c r="BJ18" s="96">
        <v>328438.9</v>
      </c>
      <c r="BK18" s="96">
        <v>0.0</v>
      </c>
      <c r="BL18" s="96"/>
      <c r="BM18" s="96" t="s">
        <v>377</v>
      </c>
      <c r="BN18" s="96"/>
      <c r="BO18" s="96"/>
      <c r="BP18" s="96"/>
      <c r="BQ18" s="96">
        <v>0.0</v>
      </c>
      <c r="BR18" s="96"/>
      <c r="BS18" s="96"/>
      <c r="BT18" s="96"/>
      <c r="BU18" s="96"/>
      <c r="BV18" s="96"/>
      <c r="BW18" s="96"/>
      <c r="BX18" s="96"/>
      <c r="BY18" s="96"/>
      <c r="BZ18" s="90">
        <v>0.0</v>
      </c>
      <c r="CA18" s="90">
        <v>0.0</v>
      </c>
      <c r="CB18" s="90">
        <v>0.0</v>
      </c>
      <c r="CC18" s="90">
        <v>0.0</v>
      </c>
      <c r="CD18" s="90">
        <v>0.0</v>
      </c>
      <c r="CE18" s="122">
        <v>0.0</v>
      </c>
      <c r="CF18" s="90">
        <v>0.0</v>
      </c>
      <c r="CG18" s="90">
        <v>0.0</v>
      </c>
      <c r="CH18" s="90">
        <v>0.0</v>
      </c>
      <c r="CI18" s="90">
        <v>0.0</v>
      </c>
      <c r="CJ18" s="90">
        <v>0.0</v>
      </c>
      <c r="CK18" s="90">
        <v>0.0</v>
      </c>
      <c r="CL18" s="90">
        <v>0.0</v>
      </c>
      <c r="CM18" s="90">
        <v>0.0</v>
      </c>
      <c r="CN18" s="90">
        <v>0.0</v>
      </c>
      <c r="CO18" s="90">
        <v>0.0</v>
      </c>
      <c r="CP18" s="90">
        <v>0.0</v>
      </c>
      <c r="CQ18" s="90">
        <v>0.0</v>
      </c>
      <c r="CR18" s="90">
        <v>0.0</v>
      </c>
      <c r="CS18" s="90">
        <v>0.0</v>
      </c>
      <c r="CT18" s="90">
        <v>0.0</v>
      </c>
      <c r="CU18" s="90">
        <v>0.0</v>
      </c>
      <c r="CV18" s="90">
        <v>0.0</v>
      </c>
      <c r="CW18" s="90">
        <v>0.0</v>
      </c>
      <c r="CX18" s="100">
        <v>0.0</v>
      </c>
      <c r="CY18" s="100">
        <v>0.0</v>
      </c>
      <c r="CZ18" s="100">
        <v>0.0</v>
      </c>
      <c r="DA18" s="100">
        <v>0.0</v>
      </c>
      <c r="DB18" s="100">
        <v>0.0</v>
      </c>
      <c r="DC18" s="100">
        <v>0.0</v>
      </c>
      <c r="DD18" s="100">
        <v>0.0</v>
      </c>
      <c r="DE18" s="123">
        <v>0.0</v>
      </c>
      <c r="DF18" s="123">
        <v>0.0</v>
      </c>
      <c r="DG18" s="124">
        <v>0.0</v>
      </c>
      <c r="DH18" s="124">
        <v>0.0</v>
      </c>
      <c r="DI18" s="124">
        <v>0.0</v>
      </c>
    </row>
    <row r="19" ht="15.75" customHeight="1">
      <c r="A19" s="59" t="s">
        <v>202</v>
      </c>
      <c r="B19" s="89" t="s">
        <v>801</v>
      </c>
      <c r="C19" s="102" t="s">
        <v>802</v>
      </c>
      <c r="D19" s="63" t="s">
        <v>120</v>
      </c>
      <c r="E19" s="66" t="s">
        <v>199</v>
      </c>
      <c r="F19" s="103" t="s">
        <v>803</v>
      </c>
      <c r="G19" s="47" t="str">
        <f t="shared" si="1"/>
        <v>David</v>
      </c>
      <c r="H19" s="73" t="s">
        <v>295</v>
      </c>
      <c r="I19" s="74" t="s">
        <v>66</v>
      </c>
      <c r="J19" s="63" t="str">
        <f>IF(R19=0,"Não","Sim")</f>
        <v>Sim</v>
      </c>
      <c r="K19" s="104">
        <v>43670.0</v>
      </c>
      <c r="L19" s="105"/>
      <c r="M19" s="78" t="s">
        <v>61</v>
      </c>
      <c r="N19" s="125">
        <v>0.012</v>
      </c>
      <c r="O19" s="81" t="s">
        <v>66</v>
      </c>
      <c r="P19" s="82">
        <v>0.0</v>
      </c>
      <c r="Q19" s="59"/>
      <c r="R19" s="59" t="s">
        <v>811</v>
      </c>
      <c r="S19" s="62" t="s">
        <v>194</v>
      </c>
      <c r="T19" s="108" t="s">
        <v>813</v>
      </c>
      <c r="U19" s="109" t="s">
        <v>814</v>
      </c>
      <c r="V19" s="110" t="s">
        <v>816</v>
      </c>
      <c r="W19" s="120"/>
      <c r="X19" s="112" t="s">
        <v>199</v>
      </c>
      <c r="Y19" s="87" t="str">
        <f t="shared" si="3"/>
        <v>Ativo</v>
      </c>
      <c r="Z19" s="62"/>
      <c r="AA19" s="62"/>
      <c r="AB19" s="32" t="s">
        <v>244</v>
      </c>
      <c r="AC19" s="89"/>
      <c r="AD19" s="175">
        <v>43670.0</v>
      </c>
      <c r="AE19" s="91">
        <v>4.9075100015244E13</v>
      </c>
      <c r="AF19" s="92">
        <v>104261.62</v>
      </c>
      <c r="AG19" s="92">
        <v>105215.56</v>
      </c>
      <c r="AH19" s="93">
        <v>107060.43</v>
      </c>
      <c r="AI19" s="93">
        <v>107393.01</v>
      </c>
      <c r="AJ19" s="93">
        <v>104961.39</v>
      </c>
      <c r="AK19" s="93">
        <v>97162.13</v>
      </c>
      <c r="AL19" s="93">
        <v>99951.48</v>
      </c>
      <c r="AM19" s="93">
        <v>100487.3</v>
      </c>
      <c r="AN19" s="93">
        <v>103517.1</v>
      </c>
      <c r="AO19" s="93">
        <v>108611.01</v>
      </c>
      <c r="AP19" s="93">
        <v>107731.68</v>
      </c>
      <c r="AQ19" s="93">
        <v>104602.16</v>
      </c>
      <c r="AR19" s="93">
        <v>106975.65</v>
      </c>
      <c r="AS19" s="93">
        <v>111126.9</v>
      </c>
      <c r="AT19" s="93">
        <v>113037.71</v>
      </c>
      <c r="AU19" s="93">
        <v>114392.79</v>
      </c>
      <c r="AV19" s="93">
        <v>111702.3</v>
      </c>
      <c r="AW19" s="93">
        <v>112210.21</v>
      </c>
      <c r="AX19" s="96">
        <v>113748.22</v>
      </c>
      <c r="AY19" s="96">
        <v>112074.27</v>
      </c>
      <c r="AZ19" s="96">
        <v>112272.18</v>
      </c>
      <c r="BA19" s="96">
        <v>114083.85</v>
      </c>
      <c r="BB19" s="96">
        <v>112878.17</v>
      </c>
      <c r="BC19" s="96">
        <v>111223.43</v>
      </c>
      <c r="BD19" s="96">
        <v>110180.15</v>
      </c>
      <c r="BE19" s="96">
        <v>41600.82</v>
      </c>
      <c r="BF19" s="96">
        <v>39335.36</v>
      </c>
      <c r="BG19" s="96">
        <v>34960.37</v>
      </c>
      <c r="BH19" s="96">
        <v>36605.93</v>
      </c>
      <c r="BI19" s="96">
        <v>21204.8393</v>
      </c>
      <c r="BJ19" s="96">
        <v>21578.95</v>
      </c>
      <c r="BK19" s="96">
        <v>1400.73</v>
      </c>
      <c r="BL19" s="96">
        <v>1786.42</v>
      </c>
      <c r="BM19" s="96">
        <v>1803.56</v>
      </c>
      <c r="BN19" s="96">
        <v>1866.18</v>
      </c>
      <c r="BO19" s="96">
        <v>1883.43</v>
      </c>
      <c r="BP19" s="96">
        <v>1899.61</v>
      </c>
      <c r="BQ19" s="96">
        <v>0.0</v>
      </c>
      <c r="BR19" s="96">
        <v>1916.15</v>
      </c>
      <c r="BS19" s="96"/>
      <c r="BT19" s="96"/>
      <c r="BU19" s="96"/>
      <c r="BV19" s="96"/>
      <c r="BW19" s="96"/>
      <c r="BX19" s="96"/>
      <c r="BY19" s="96"/>
      <c r="BZ19" s="90">
        <v>0.0</v>
      </c>
      <c r="CA19" s="90">
        <v>0.0</v>
      </c>
      <c r="CB19" s="90">
        <v>0.0</v>
      </c>
      <c r="CC19" s="90">
        <v>0.0</v>
      </c>
      <c r="CD19" s="90">
        <v>0.0</v>
      </c>
      <c r="CE19" s="90">
        <v>0.0</v>
      </c>
      <c r="CF19" s="90">
        <v>0.0</v>
      </c>
      <c r="CG19" s="90">
        <v>0.0</v>
      </c>
      <c r="CH19" s="90">
        <v>0.0</v>
      </c>
      <c r="CI19" s="90">
        <v>2164.22</v>
      </c>
      <c r="CJ19" s="90">
        <v>2165.76</v>
      </c>
      <c r="CK19" s="90">
        <v>2179.7</v>
      </c>
      <c r="CL19" s="90">
        <v>1766.55</v>
      </c>
      <c r="CM19" s="90">
        <v>1782.14</v>
      </c>
      <c r="CN19" s="90">
        <v>1797.04</v>
      </c>
      <c r="CO19" s="90">
        <v>2243.07</v>
      </c>
      <c r="CP19" s="90">
        <v>2243.7</v>
      </c>
      <c r="CQ19" s="90">
        <v>2260.26</v>
      </c>
      <c r="CR19" s="90">
        <v>2278.77</v>
      </c>
      <c r="CS19" s="90">
        <v>2297.1</v>
      </c>
      <c r="CT19" s="90">
        <v>2315.05</v>
      </c>
      <c r="CU19" s="90">
        <v>2335.06</v>
      </c>
      <c r="CV19" s="90">
        <v>2339.84</v>
      </c>
      <c r="CW19" s="90">
        <v>2360.82</v>
      </c>
      <c r="CX19" s="100">
        <v>2385.62</v>
      </c>
      <c r="CY19" s="100">
        <v>1978.85</v>
      </c>
      <c r="CZ19" s="100">
        <v>2432.48</v>
      </c>
      <c r="DA19" s="100">
        <v>2458.06</v>
      </c>
      <c r="DB19" s="100">
        <v>2029.01</v>
      </c>
      <c r="DC19" s="100">
        <v>2483.12</v>
      </c>
      <c r="DD19" s="100">
        <v>2507.2</v>
      </c>
      <c r="DE19" s="100">
        <v>2527.93</v>
      </c>
      <c r="DF19" s="100">
        <v>2552.98</v>
      </c>
      <c r="DG19" s="124">
        <v>2576.1</v>
      </c>
      <c r="DH19" s="100">
        <v>2578.56</v>
      </c>
      <c r="DI19" s="100">
        <v>2603.5</v>
      </c>
    </row>
    <row r="20" ht="16.5" customHeight="1">
      <c r="A20" s="59" t="s">
        <v>202</v>
      </c>
      <c r="B20" s="89" t="s">
        <v>839</v>
      </c>
      <c r="C20" s="102" t="s">
        <v>840</v>
      </c>
      <c r="D20" s="63" t="s">
        <v>120</v>
      </c>
      <c r="E20" s="66" t="s">
        <v>199</v>
      </c>
      <c r="F20" s="106" t="s">
        <v>841</v>
      </c>
      <c r="G20" s="47" t="str">
        <f t="shared" si="1"/>
        <v>David</v>
      </c>
      <c r="H20" s="115" t="s">
        <v>224</v>
      </c>
      <c r="I20" s="74" t="s">
        <v>66</v>
      </c>
      <c r="J20" s="63" t="str">
        <f t="shared" ref="J20:J25" si="5">IF(Q20=0,"Não","Sim")</f>
        <v>Não</v>
      </c>
      <c r="K20" s="104">
        <v>44027.0</v>
      </c>
      <c r="L20" s="105">
        <v>44726.0</v>
      </c>
      <c r="M20" s="106" t="s">
        <v>209</v>
      </c>
      <c r="N20" s="107">
        <v>0.015</v>
      </c>
      <c r="O20" s="81" t="s">
        <v>66</v>
      </c>
      <c r="P20" s="82">
        <v>0.0</v>
      </c>
      <c r="Q20" s="59"/>
      <c r="R20" s="70"/>
      <c r="S20" s="62" t="s">
        <v>194</v>
      </c>
      <c r="T20" s="108" t="s">
        <v>843</v>
      </c>
      <c r="U20" s="109" t="s">
        <v>844</v>
      </c>
      <c r="V20" s="110" t="s">
        <v>845</v>
      </c>
      <c r="W20" s="120"/>
      <c r="X20" s="112" t="s">
        <v>199</v>
      </c>
      <c r="Y20" s="87" t="str">
        <f t="shared" si="3"/>
        <v>Encerrado</v>
      </c>
      <c r="Z20" s="62"/>
      <c r="AA20" s="62"/>
      <c r="AB20" s="32" t="s">
        <v>244</v>
      </c>
      <c r="AC20" s="89"/>
      <c r="AD20" s="89"/>
      <c r="AE20" s="91"/>
      <c r="AF20" s="92">
        <v>0.0</v>
      </c>
      <c r="AG20" s="92">
        <v>0.0</v>
      </c>
      <c r="AH20" s="92">
        <v>0.0</v>
      </c>
      <c r="AI20" s="92">
        <v>0.0</v>
      </c>
      <c r="AJ20" s="92">
        <v>0.0</v>
      </c>
      <c r="AK20" s="92">
        <v>0.0</v>
      </c>
      <c r="AL20" s="92">
        <v>0.0</v>
      </c>
      <c r="AM20" s="92">
        <v>0.0</v>
      </c>
      <c r="AN20" s="92">
        <v>0.0</v>
      </c>
      <c r="AO20" s="92">
        <v>41914.07</v>
      </c>
      <c r="AP20" s="92">
        <v>41455.39</v>
      </c>
      <c r="AQ20" s="92">
        <v>39879.28</v>
      </c>
      <c r="AR20" s="92">
        <v>39588.55</v>
      </c>
      <c r="AS20" s="92">
        <v>42049.01</v>
      </c>
      <c r="AT20" s="92">
        <v>42841.95</v>
      </c>
      <c r="AU20" s="92">
        <v>41551.87</v>
      </c>
      <c r="AV20" s="92">
        <v>40363.57</v>
      </c>
      <c r="AW20" s="92">
        <v>40508.92</v>
      </c>
      <c r="AX20" s="96">
        <v>41818.93</v>
      </c>
      <c r="AY20" s="96">
        <v>41644.65</v>
      </c>
      <c r="AZ20" s="96">
        <v>41952.86</v>
      </c>
      <c r="BA20" s="96">
        <v>42017.63</v>
      </c>
      <c r="BB20" s="96">
        <v>41699.62</v>
      </c>
      <c r="BC20" s="96">
        <v>41630.12</v>
      </c>
      <c r="BD20" s="96">
        <v>41305.02</v>
      </c>
      <c r="BE20" s="96">
        <v>40684.72</v>
      </c>
      <c r="BF20" s="96">
        <v>40164.19</v>
      </c>
      <c r="BG20" s="96">
        <v>38855.13</v>
      </c>
      <c r="BH20" s="93">
        <v>39385.49</v>
      </c>
      <c r="BI20" s="93">
        <v>41484.64</v>
      </c>
      <c r="BJ20" s="93">
        <v>41919.0</v>
      </c>
      <c r="BK20" s="96">
        <v>41500.9</v>
      </c>
      <c r="BL20" s="96">
        <v>42223.46</v>
      </c>
      <c r="BM20" s="96">
        <v>42005.41</v>
      </c>
      <c r="BN20" s="96"/>
      <c r="BO20" s="96"/>
      <c r="BP20" s="96"/>
      <c r="BQ20" s="96">
        <v>0.0</v>
      </c>
      <c r="BR20" s="96"/>
      <c r="BS20" s="96"/>
      <c r="BT20" s="96"/>
      <c r="BU20" s="96"/>
      <c r="BV20" s="96"/>
      <c r="BW20" s="96"/>
      <c r="BX20" s="96"/>
      <c r="BY20" s="96"/>
      <c r="BZ20" s="90">
        <v>0.0</v>
      </c>
      <c r="CA20" s="90">
        <v>0.0</v>
      </c>
      <c r="CB20" s="90">
        <v>0.0</v>
      </c>
      <c r="CC20" s="90">
        <v>0.0</v>
      </c>
      <c r="CD20" s="90">
        <v>0.0</v>
      </c>
      <c r="CE20" s="122">
        <v>0.0</v>
      </c>
      <c r="CF20" s="90">
        <v>0.0</v>
      </c>
      <c r="CG20" s="90">
        <v>0.0</v>
      </c>
      <c r="CH20" s="90">
        <v>0.0</v>
      </c>
      <c r="CI20" s="90">
        <v>0.0</v>
      </c>
      <c r="CJ20" s="90">
        <v>0.0</v>
      </c>
      <c r="CK20" s="90">
        <v>0.0</v>
      </c>
      <c r="CL20" s="90">
        <v>0.0</v>
      </c>
      <c r="CM20" s="90">
        <v>0.0</v>
      </c>
      <c r="CN20" s="90">
        <v>0.0</v>
      </c>
      <c r="CO20" s="90">
        <v>0.0</v>
      </c>
      <c r="CP20" s="90">
        <v>0.0</v>
      </c>
      <c r="CQ20" s="90">
        <v>0.0</v>
      </c>
      <c r="CR20" s="90">
        <v>0.0</v>
      </c>
      <c r="CS20" s="90">
        <v>0.0</v>
      </c>
      <c r="CT20" s="90">
        <v>0.0</v>
      </c>
      <c r="CU20" s="90">
        <v>0.0</v>
      </c>
      <c r="CV20" s="90">
        <v>0.0</v>
      </c>
      <c r="CW20" s="90">
        <v>0.0</v>
      </c>
      <c r="CX20" s="100">
        <v>0.0</v>
      </c>
      <c r="CY20" s="100">
        <v>0.0</v>
      </c>
      <c r="CZ20" s="100">
        <v>0.0</v>
      </c>
      <c r="DA20" s="100">
        <v>0.0</v>
      </c>
      <c r="DB20" s="100">
        <v>0.0</v>
      </c>
      <c r="DC20" s="100">
        <v>0.0</v>
      </c>
      <c r="DD20" s="100">
        <v>0.0</v>
      </c>
      <c r="DE20" s="123">
        <v>0.0</v>
      </c>
      <c r="DF20" s="123">
        <v>0.0</v>
      </c>
      <c r="DG20" s="124">
        <v>0.0</v>
      </c>
      <c r="DH20" s="124">
        <v>0.0</v>
      </c>
      <c r="DI20" s="124">
        <v>0.0</v>
      </c>
    </row>
    <row r="21" ht="15.75" customHeight="1">
      <c r="A21" s="59" t="s">
        <v>202</v>
      </c>
      <c r="B21" s="91" t="s">
        <v>865</v>
      </c>
      <c r="C21" s="169" t="s">
        <v>867</v>
      </c>
      <c r="D21" s="141" t="s">
        <v>120</v>
      </c>
      <c r="E21" s="27" t="s">
        <v>54</v>
      </c>
      <c r="F21" s="108" t="s">
        <v>125</v>
      </c>
      <c r="G21" s="47" t="str">
        <f t="shared" si="1"/>
        <v>Marcus</v>
      </c>
      <c r="H21" s="73" t="s">
        <v>183</v>
      </c>
      <c r="I21" s="49" t="s">
        <v>66</v>
      </c>
      <c r="J21" s="63" t="str">
        <f t="shared" si="5"/>
        <v>Sim</v>
      </c>
      <c r="K21" s="170">
        <v>45769.0</v>
      </c>
      <c r="L21" s="105"/>
      <c r="M21" s="108" t="s">
        <v>61</v>
      </c>
      <c r="N21" s="178">
        <v>0.012</v>
      </c>
      <c r="O21" s="30" t="s">
        <v>66</v>
      </c>
      <c r="P21" s="173">
        <v>0.0</v>
      </c>
      <c r="Q21" s="179" t="s">
        <v>872</v>
      </c>
      <c r="R21" s="70"/>
      <c r="S21" s="32" t="s">
        <v>234</v>
      </c>
      <c r="T21" s="108" t="s">
        <v>874</v>
      </c>
      <c r="U21" s="109" t="s">
        <v>875</v>
      </c>
      <c r="V21" s="110" t="s">
        <v>876</v>
      </c>
      <c r="W21" s="111">
        <v>44301.0</v>
      </c>
      <c r="X21" s="118" t="s">
        <v>54</v>
      </c>
      <c r="Y21" s="87" t="str">
        <f t="shared" si="3"/>
        <v>Ativo</v>
      </c>
      <c r="Z21" s="62"/>
      <c r="AA21" s="32" t="s">
        <v>47</v>
      </c>
      <c r="AB21" s="32"/>
      <c r="AC21" s="89"/>
      <c r="AD21" s="89"/>
      <c r="AE21" s="91">
        <v>4.9075100018685E13</v>
      </c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3"/>
      <c r="BI21" s="93"/>
      <c r="BJ21" s="93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0"/>
      <c r="CA21" s="90"/>
      <c r="CB21" s="90"/>
      <c r="CC21" s="90"/>
      <c r="CD21" s="90"/>
      <c r="CE21" s="122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>
        <v>1456140.92</v>
      </c>
      <c r="CV21" s="90">
        <v>1509920.95</v>
      </c>
      <c r="CW21" s="90">
        <v>1597847.33</v>
      </c>
      <c r="CX21" s="100">
        <v>2502843.37</v>
      </c>
      <c r="CY21" s="100">
        <v>2438101.49</v>
      </c>
      <c r="CZ21" s="100">
        <v>2639015.37</v>
      </c>
      <c r="DA21" s="100">
        <v>2586057.18</v>
      </c>
      <c r="DB21" s="100">
        <v>2643957.55</v>
      </c>
      <c r="DC21" s="100">
        <v>2752743.52</v>
      </c>
      <c r="DD21" s="100">
        <v>2774145.28</v>
      </c>
      <c r="DE21" s="100">
        <v>2850704.69</v>
      </c>
      <c r="DF21" s="100">
        <v>2977877.76</v>
      </c>
      <c r="DG21" s="124">
        <v>3106873.93</v>
      </c>
      <c r="DH21" s="100">
        <v>3165322.83</v>
      </c>
      <c r="DI21" s="100">
        <v>2932463.55</v>
      </c>
    </row>
    <row r="22" ht="15.75" customHeight="1">
      <c r="A22" s="59" t="s">
        <v>202</v>
      </c>
      <c r="B22" s="89" t="s">
        <v>903</v>
      </c>
      <c r="C22" s="102" t="s">
        <v>904</v>
      </c>
      <c r="D22" s="63" t="s">
        <v>120</v>
      </c>
      <c r="E22" s="66" t="s">
        <v>199</v>
      </c>
      <c r="F22" s="103" t="s">
        <v>905</v>
      </c>
      <c r="G22" s="47" t="str">
        <f t="shared" si="1"/>
        <v>David</v>
      </c>
      <c r="H22" s="73" t="s">
        <v>295</v>
      </c>
      <c r="I22" s="74" t="s">
        <v>66</v>
      </c>
      <c r="J22" s="63" t="str">
        <f t="shared" si="5"/>
        <v>Não</v>
      </c>
      <c r="K22" s="104">
        <v>43718.0</v>
      </c>
      <c r="L22" s="105"/>
      <c r="M22" s="106" t="s">
        <v>34</v>
      </c>
      <c r="N22" s="125">
        <v>0.005</v>
      </c>
      <c r="O22" s="81" t="s">
        <v>66</v>
      </c>
      <c r="P22" s="82">
        <v>0.0</v>
      </c>
      <c r="Q22" s="181"/>
      <c r="R22" s="70"/>
      <c r="S22" s="62" t="s">
        <v>194</v>
      </c>
      <c r="T22" s="108" t="s">
        <v>913</v>
      </c>
      <c r="U22" s="109" t="s">
        <v>914</v>
      </c>
      <c r="V22" s="110" t="s">
        <v>915</v>
      </c>
      <c r="W22" s="120"/>
      <c r="X22" s="112" t="s">
        <v>54</v>
      </c>
      <c r="Y22" s="87" t="str">
        <f t="shared" si="3"/>
        <v>Inativo</v>
      </c>
      <c r="Z22" s="62"/>
      <c r="AA22" s="62"/>
      <c r="AB22" s="32" t="s">
        <v>244</v>
      </c>
      <c r="AC22" s="89"/>
      <c r="AD22" s="89"/>
      <c r="AE22" s="91"/>
      <c r="AF22" s="92">
        <v>15459.45</v>
      </c>
      <c r="AG22" s="92">
        <v>16764.63</v>
      </c>
      <c r="AH22" s="93">
        <v>16826.83</v>
      </c>
      <c r="AI22" s="93">
        <v>16889.76</v>
      </c>
      <c r="AJ22" s="93">
        <v>16937.59</v>
      </c>
      <c r="AK22" s="93">
        <v>16839.95</v>
      </c>
      <c r="AL22" s="93">
        <v>16905.31</v>
      </c>
      <c r="AM22" s="93">
        <v>16963.98</v>
      </c>
      <c r="AN22" s="93">
        <v>17030.9</v>
      </c>
      <c r="AO22" s="93">
        <v>17120.58</v>
      </c>
      <c r="AP22" s="93">
        <v>17128.17</v>
      </c>
      <c r="AQ22" s="93">
        <v>8948.79</v>
      </c>
      <c r="AR22" s="93">
        <v>8964.95</v>
      </c>
      <c r="AS22" s="93">
        <v>8977.47</v>
      </c>
      <c r="AT22" s="93">
        <v>8979.13</v>
      </c>
      <c r="AU22" s="93">
        <v>8994.55</v>
      </c>
      <c r="AV22" s="93">
        <v>9004.6</v>
      </c>
      <c r="AW22" s="93">
        <v>9009.94</v>
      </c>
      <c r="AX22" s="96">
        <v>9022.78</v>
      </c>
      <c r="AY22" s="96">
        <v>8952.59</v>
      </c>
      <c r="AZ22" s="96">
        <v>9041.14</v>
      </c>
      <c r="BA22" s="96">
        <v>8977.55</v>
      </c>
      <c r="BB22" s="96">
        <v>9071.26</v>
      </c>
      <c r="BC22" s="96">
        <v>9103.61</v>
      </c>
      <c r="BD22" s="96">
        <v>9135.27</v>
      </c>
      <c r="BE22" s="96">
        <v>9179.26</v>
      </c>
      <c r="BF22" s="96">
        <v>9213.2</v>
      </c>
      <c r="BG22" s="96">
        <v>9220.38</v>
      </c>
      <c r="BH22" s="96">
        <v>9304.57</v>
      </c>
      <c r="BI22" s="96"/>
      <c r="BJ22" s="96">
        <v>0.0</v>
      </c>
      <c r="BK22" s="96">
        <v>0.0</v>
      </c>
      <c r="BL22" s="96"/>
      <c r="BM22" s="96" t="s">
        <v>377</v>
      </c>
      <c r="BN22" s="96"/>
      <c r="BO22" s="96"/>
      <c r="BP22" s="96"/>
      <c r="BQ22" s="96">
        <v>0.0</v>
      </c>
      <c r="BR22" s="96"/>
      <c r="BS22" s="96"/>
      <c r="BT22" s="96"/>
      <c r="BU22" s="96"/>
      <c r="BV22" s="96"/>
      <c r="BW22" s="96"/>
      <c r="BX22" s="96"/>
      <c r="BY22" s="96"/>
      <c r="BZ22" s="90">
        <v>0.0</v>
      </c>
      <c r="CA22" s="90">
        <v>0.0</v>
      </c>
      <c r="CB22" s="90">
        <v>0.0</v>
      </c>
      <c r="CC22" s="90">
        <v>0.0</v>
      </c>
      <c r="CD22" s="90">
        <v>0.0</v>
      </c>
      <c r="CE22" s="90">
        <v>0.0</v>
      </c>
      <c r="CF22" s="90">
        <v>0.0</v>
      </c>
      <c r="CG22" s="90">
        <v>0.0</v>
      </c>
      <c r="CH22" s="90">
        <v>0.0</v>
      </c>
      <c r="CI22" s="90">
        <v>0.0</v>
      </c>
      <c r="CJ22" s="90">
        <v>0.0</v>
      </c>
      <c r="CK22" s="90">
        <v>0.0</v>
      </c>
      <c r="CL22" s="90">
        <v>0.0</v>
      </c>
      <c r="CM22" s="90">
        <v>0.0</v>
      </c>
      <c r="CN22" s="90">
        <v>0.0</v>
      </c>
      <c r="CO22" s="90">
        <v>0.0</v>
      </c>
      <c r="CP22" s="90">
        <v>0.0</v>
      </c>
      <c r="CQ22" s="90">
        <v>0.0</v>
      </c>
      <c r="CR22" s="90">
        <v>0.0</v>
      </c>
      <c r="CS22" s="90">
        <v>0.0</v>
      </c>
      <c r="CT22" s="90">
        <v>0.0</v>
      </c>
      <c r="CU22" s="90">
        <v>0.0</v>
      </c>
      <c r="CV22" s="90">
        <v>0.0</v>
      </c>
      <c r="CW22" s="90">
        <v>0.0</v>
      </c>
      <c r="CX22" s="100">
        <v>0.0</v>
      </c>
      <c r="CY22" s="100">
        <v>0.0</v>
      </c>
      <c r="CZ22" s="100">
        <v>0.0</v>
      </c>
      <c r="DA22" s="100">
        <v>0.0</v>
      </c>
      <c r="DB22" s="100">
        <v>0.0</v>
      </c>
      <c r="DC22" s="100">
        <v>0.0</v>
      </c>
      <c r="DD22" s="100">
        <v>0.0</v>
      </c>
      <c r="DE22" s="123">
        <v>0.0</v>
      </c>
      <c r="DF22" s="123">
        <v>0.0</v>
      </c>
      <c r="DG22" s="124">
        <v>0.0</v>
      </c>
      <c r="DH22" s="124">
        <v>0.0</v>
      </c>
      <c r="DI22" s="124">
        <v>0.0</v>
      </c>
    </row>
    <row r="23" ht="15.75" customHeight="1">
      <c r="A23" s="59" t="s">
        <v>202</v>
      </c>
      <c r="B23" s="89" t="s">
        <v>951</v>
      </c>
      <c r="C23" s="102" t="s">
        <v>953</v>
      </c>
      <c r="D23" s="63" t="s">
        <v>120</v>
      </c>
      <c r="E23" s="66" t="s">
        <v>199</v>
      </c>
      <c r="F23" s="106" t="s">
        <v>803</v>
      </c>
      <c r="G23" s="47" t="str">
        <f t="shared" si="1"/>
        <v>David</v>
      </c>
      <c r="H23" s="115" t="s">
        <v>224</v>
      </c>
      <c r="I23" s="74" t="s">
        <v>66</v>
      </c>
      <c r="J23" s="63" t="str">
        <f t="shared" si="5"/>
        <v>Não</v>
      </c>
      <c r="K23" s="104">
        <v>43637.0</v>
      </c>
      <c r="L23" s="105"/>
      <c r="M23" s="106" t="s">
        <v>361</v>
      </c>
      <c r="N23" s="107">
        <v>0.015</v>
      </c>
      <c r="O23" s="81" t="s">
        <v>35</v>
      </c>
      <c r="P23" s="82">
        <v>0.2</v>
      </c>
      <c r="Q23" s="128"/>
      <c r="R23" s="59"/>
      <c r="S23" s="62" t="s">
        <v>194</v>
      </c>
      <c r="T23" s="108" t="s">
        <v>958</v>
      </c>
      <c r="U23" s="137"/>
      <c r="V23" s="84"/>
      <c r="W23" s="120"/>
      <c r="X23" s="112" t="s">
        <v>199</v>
      </c>
      <c r="Y23" s="87" t="str">
        <f t="shared" si="3"/>
        <v>Encerrado</v>
      </c>
      <c r="Z23" s="62"/>
      <c r="AA23" s="62"/>
      <c r="AB23" s="32" t="s">
        <v>244</v>
      </c>
      <c r="AC23" s="89"/>
      <c r="AD23" s="89"/>
      <c r="AE23" s="91"/>
      <c r="AF23" s="92">
        <v>44939.07</v>
      </c>
      <c r="AG23" s="92">
        <v>44491.05</v>
      </c>
      <c r="AH23" s="93">
        <v>45210.27</v>
      </c>
      <c r="AI23" s="93">
        <v>44582.99</v>
      </c>
      <c r="AJ23" s="93">
        <v>43026.97</v>
      </c>
      <c r="AK23" s="93">
        <v>39406.51</v>
      </c>
      <c r="AL23" s="93">
        <v>40449.49</v>
      </c>
      <c r="AM23" s="93">
        <v>40760.15</v>
      </c>
      <c r="AN23" s="93">
        <v>33110.23</v>
      </c>
      <c r="AO23" s="93">
        <v>42627.71</v>
      </c>
      <c r="AP23" s="93">
        <v>50.0</v>
      </c>
      <c r="AQ23" s="93">
        <v>0.0</v>
      </c>
      <c r="AR23" s="93">
        <v>0.0</v>
      </c>
      <c r="AS23" s="93">
        <v>0.0</v>
      </c>
      <c r="AT23" s="93">
        <v>0.0</v>
      </c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>
        <v>0.0</v>
      </c>
      <c r="BL23" s="93"/>
      <c r="BM23" s="93" t="s">
        <v>377</v>
      </c>
      <c r="BN23" s="93"/>
      <c r="BO23" s="96"/>
      <c r="BP23" s="96"/>
      <c r="BQ23" s="96">
        <v>0.0</v>
      </c>
      <c r="BR23" s="96"/>
      <c r="BS23" s="96"/>
      <c r="BT23" s="96"/>
      <c r="BU23" s="96"/>
      <c r="BV23" s="96"/>
      <c r="BW23" s="96"/>
      <c r="BX23" s="96"/>
      <c r="BY23" s="96"/>
      <c r="BZ23" s="90">
        <v>0.0</v>
      </c>
      <c r="CA23" s="90">
        <v>0.0</v>
      </c>
      <c r="CB23" s="90">
        <v>0.0</v>
      </c>
      <c r="CC23" s="90">
        <v>0.0</v>
      </c>
      <c r="CD23" s="90">
        <v>0.0</v>
      </c>
      <c r="CE23" s="122">
        <v>0.0</v>
      </c>
      <c r="CF23" s="90">
        <v>0.0</v>
      </c>
      <c r="CG23" s="90">
        <v>0.0</v>
      </c>
      <c r="CH23" s="90">
        <v>0.0</v>
      </c>
      <c r="CI23" s="90">
        <v>0.0</v>
      </c>
      <c r="CJ23" s="90">
        <v>0.0</v>
      </c>
      <c r="CK23" s="90">
        <v>0.0</v>
      </c>
      <c r="CL23" s="90">
        <v>0.0</v>
      </c>
      <c r="CM23" s="90">
        <v>0.0</v>
      </c>
      <c r="CN23" s="90">
        <v>0.0</v>
      </c>
      <c r="CO23" s="90">
        <v>0.0</v>
      </c>
      <c r="CP23" s="90">
        <v>0.0</v>
      </c>
      <c r="CQ23" s="90">
        <v>0.0</v>
      </c>
      <c r="CR23" s="90">
        <v>0.0</v>
      </c>
      <c r="CS23" s="90">
        <v>0.0</v>
      </c>
      <c r="CT23" s="90">
        <v>0.0</v>
      </c>
      <c r="CU23" s="90">
        <v>0.0</v>
      </c>
      <c r="CV23" s="90">
        <v>0.0</v>
      </c>
      <c r="CW23" s="90">
        <v>0.0</v>
      </c>
      <c r="CX23" s="100">
        <v>0.0</v>
      </c>
      <c r="CY23" s="100">
        <v>0.0</v>
      </c>
      <c r="CZ23" s="100">
        <v>0.0</v>
      </c>
      <c r="DA23" s="100">
        <v>0.0</v>
      </c>
      <c r="DB23" s="100">
        <v>0.0</v>
      </c>
      <c r="DC23" s="100">
        <v>0.0</v>
      </c>
      <c r="DD23" s="100">
        <v>0.0</v>
      </c>
      <c r="DE23" s="123">
        <v>0.0</v>
      </c>
      <c r="DF23" s="123">
        <v>0.0</v>
      </c>
      <c r="DG23" s="124">
        <v>0.0</v>
      </c>
      <c r="DH23" s="124">
        <v>0.0</v>
      </c>
      <c r="DI23" s="124">
        <v>0.0</v>
      </c>
    </row>
    <row r="24" ht="15.75" customHeight="1">
      <c r="A24" s="182" t="s">
        <v>202</v>
      </c>
      <c r="B24" s="91" t="s">
        <v>977</v>
      </c>
      <c r="C24" s="169" t="s">
        <v>978</v>
      </c>
      <c r="D24" s="141" t="s">
        <v>120</v>
      </c>
      <c r="E24" s="27" t="s">
        <v>199</v>
      </c>
      <c r="F24" s="108" t="s">
        <v>803</v>
      </c>
      <c r="G24" s="47" t="str">
        <f t="shared" si="1"/>
        <v>David</v>
      </c>
      <c r="H24" s="73" t="s">
        <v>183</v>
      </c>
      <c r="I24" s="49" t="s">
        <v>66</v>
      </c>
      <c r="J24" s="63" t="str">
        <f t="shared" si="5"/>
        <v>Não</v>
      </c>
      <c r="K24" s="170">
        <v>43773.0</v>
      </c>
      <c r="L24" s="105"/>
      <c r="M24" s="108" t="s">
        <v>361</v>
      </c>
      <c r="N24" s="178">
        <v>0.02</v>
      </c>
      <c r="O24" s="30" t="s">
        <v>35</v>
      </c>
      <c r="P24" s="173">
        <v>0.2</v>
      </c>
      <c r="Q24" s="128"/>
      <c r="R24" s="59"/>
      <c r="S24" s="32" t="s">
        <v>194</v>
      </c>
      <c r="T24" s="108" t="s">
        <v>983</v>
      </c>
      <c r="U24" s="109" t="s">
        <v>984</v>
      </c>
      <c r="V24" s="110" t="s">
        <v>985</v>
      </c>
      <c r="W24" s="120"/>
      <c r="X24" s="118" t="s">
        <v>54</v>
      </c>
      <c r="Y24" s="87" t="str">
        <f t="shared" si="3"/>
        <v>Inativo</v>
      </c>
      <c r="Z24" s="62"/>
      <c r="AA24" s="62"/>
      <c r="AB24" s="32" t="s">
        <v>244</v>
      </c>
      <c r="AC24" s="89"/>
      <c r="AD24" s="184">
        <v>43773.0</v>
      </c>
      <c r="AE24" s="91">
        <v>4.9075100019401E13</v>
      </c>
      <c r="AF24" s="185" t="s">
        <v>992</v>
      </c>
      <c r="AG24" s="185" t="s">
        <v>993</v>
      </c>
      <c r="AH24" s="187" t="s">
        <v>995</v>
      </c>
      <c r="AI24" s="187" t="s">
        <v>999</v>
      </c>
      <c r="AJ24" s="187" t="s">
        <v>1000</v>
      </c>
      <c r="AK24" s="187" t="s">
        <v>1001</v>
      </c>
      <c r="AL24" s="187" t="s">
        <v>1002</v>
      </c>
      <c r="AM24" s="187" t="s">
        <v>1003</v>
      </c>
      <c r="AN24" s="187" t="s">
        <v>1005</v>
      </c>
      <c r="AO24" s="187" t="s">
        <v>1006</v>
      </c>
      <c r="AP24" s="187" t="s">
        <v>1007</v>
      </c>
      <c r="AQ24" s="187" t="s">
        <v>1009</v>
      </c>
      <c r="AR24" s="187" t="s">
        <v>1010</v>
      </c>
      <c r="AS24" s="187" t="s">
        <v>1012</v>
      </c>
      <c r="AT24" s="187" t="s">
        <v>1013</v>
      </c>
      <c r="AU24" s="187" t="s">
        <v>1014</v>
      </c>
      <c r="AV24" s="187" t="s">
        <v>1015</v>
      </c>
      <c r="AW24" s="187" t="s">
        <v>1016</v>
      </c>
      <c r="AX24" s="187" t="s">
        <v>1018</v>
      </c>
      <c r="AY24" s="187" t="s">
        <v>1019</v>
      </c>
      <c r="AZ24" s="187" t="s">
        <v>1020</v>
      </c>
      <c r="BA24" s="187" t="s">
        <v>1021</v>
      </c>
      <c r="BB24" s="187" t="s">
        <v>1022</v>
      </c>
      <c r="BC24" s="187" t="s">
        <v>1023</v>
      </c>
      <c r="BD24" s="187" t="s">
        <v>1024</v>
      </c>
      <c r="BE24" s="187" t="s">
        <v>1025</v>
      </c>
      <c r="BF24" s="187" t="s">
        <v>1026</v>
      </c>
      <c r="BG24" s="187" t="s">
        <v>1027</v>
      </c>
      <c r="BH24" s="187" t="s">
        <v>1028</v>
      </c>
      <c r="BI24" s="187" t="s">
        <v>1029</v>
      </c>
      <c r="BJ24" s="187" t="s">
        <v>1030</v>
      </c>
      <c r="BK24" s="187" t="s">
        <v>1031</v>
      </c>
      <c r="BL24" s="187" t="s">
        <v>1034</v>
      </c>
      <c r="BM24" s="187" t="s">
        <v>1037</v>
      </c>
      <c r="BN24" s="187" t="s">
        <v>1040</v>
      </c>
      <c r="BO24" s="90" t="s">
        <v>1041</v>
      </c>
      <c r="BP24" s="90" t="s">
        <v>1042</v>
      </c>
      <c r="BQ24" s="90" t="s">
        <v>1043</v>
      </c>
      <c r="BR24" s="90" t="s">
        <v>1044</v>
      </c>
      <c r="BS24" s="90" t="s">
        <v>1045</v>
      </c>
      <c r="BT24" s="90" t="s">
        <v>1046</v>
      </c>
      <c r="BU24" s="90" t="s">
        <v>1047</v>
      </c>
      <c r="BV24" s="96"/>
      <c r="BW24" s="96"/>
      <c r="BX24" s="96"/>
      <c r="BY24" s="96"/>
      <c r="BZ24" s="90" t="s">
        <v>1048</v>
      </c>
      <c r="CA24" s="90" t="s">
        <v>1048</v>
      </c>
      <c r="CB24" s="90" t="s">
        <v>1048</v>
      </c>
      <c r="CC24" s="90" t="s">
        <v>1048</v>
      </c>
      <c r="CD24" s="90" t="s">
        <v>1048</v>
      </c>
      <c r="CE24" s="122" t="s">
        <v>1048</v>
      </c>
      <c r="CF24" s="90" t="s">
        <v>1048</v>
      </c>
      <c r="CG24" s="90" t="s">
        <v>1048</v>
      </c>
      <c r="CH24" s="90" t="s">
        <v>1048</v>
      </c>
      <c r="CI24" s="90" t="s">
        <v>1049</v>
      </c>
      <c r="CJ24" s="90" t="s">
        <v>1050</v>
      </c>
      <c r="CK24" s="90" t="s">
        <v>1051</v>
      </c>
      <c r="CL24" s="90" t="s">
        <v>1053</v>
      </c>
      <c r="CM24" s="90" t="s">
        <v>1054</v>
      </c>
      <c r="CN24" s="90" t="s">
        <v>1055</v>
      </c>
      <c r="CO24" s="90" t="s">
        <v>1056</v>
      </c>
      <c r="CP24" s="90" t="s">
        <v>1057</v>
      </c>
      <c r="CQ24" s="90" t="s">
        <v>1058</v>
      </c>
      <c r="CR24" s="90" t="s">
        <v>1059</v>
      </c>
      <c r="CS24" s="90" t="s">
        <v>1060</v>
      </c>
      <c r="CT24" s="90" t="s">
        <v>1061</v>
      </c>
      <c r="CU24" s="90" t="s">
        <v>1062</v>
      </c>
      <c r="CV24" s="90" t="s">
        <v>1064</v>
      </c>
      <c r="CW24" s="90" t="s">
        <v>1065</v>
      </c>
      <c r="CX24" s="100" t="s">
        <v>1066</v>
      </c>
      <c r="CY24" s="100" t="s">
        <v>1067</v>
      </c>
      <c r="CZ24" s="100">
        <v>20004.05</v>
      </c>
      <c r="DA24" s="100">
        <v>20082.19</v>
      </c>
      <c r="DB24" s="100">
        <v>7019.28</v>
      </c>
      <c r="DC24" s="100">
        <v>20327.79</v>
      </c>
      <c r="DD24" s="100">
        <v>20774.43</v>
      </c>
      <c r="DE24" s="100">
        <v>21019.95</v>
      </c>
      <c r="DF24" s="100">
        <v>20976.91</v>
      </c>
      <c r="DG24" s="124">
        <v>21136.53</v>
      </c>
      <c r="DH24" s="100">
        <v>20803.22</v>
      </c>
      <c r="DI24" s="100">
        <v>20724.33</v>
      </c>
    </row>
    <row r="25" ht="15.75" customHeight="1">
      <c r="A25" s="59" t="s">
        <v>202</v>
      </c>
      <c r="B25" s="89" t="s">
        <v>1075</v>
      </c>
      <c r="C25" s="102" t="s">
        <v>1076</v>
      </c>
      <c r="D25" s="63" t="s">
        <v>120</v>
      </c>
      <c r="E25" s="66" t="s">
        <v>199</v>
      </c>
      <c r="F25" s="103" t="s">
        <v>290</v>
      </c>
      <c r="G25" s="47" t="str">
        <f t="shared" si="1"/>
        <v>David</v>
      </c>
      <c r="H25" s="73" t="s">
        <v>295</v>
      </c>
      <c r="I25" s="74" t="s">
        <v>66</v>
      </c>
      <c r="J25" s="63" t="str">
        <f t="shared" si="5"/>
        <v>Não</v>
      </c>
      <c r="K25" s="104">
        <v>43893.0</v>
      </c>
      <c r="L25" s="105"/>
      <c r="M25" s="106" t="s">
        <v>361</v>
      </c>
      <c r="N25" s="107">
        <v>0.02</v>
      </c>
      <c r="O25" s="81" t="s">
        <v>35</v>
      </c>
      <c r="P25" s="82">
        <v>0.2</v>
      </c>
      <c r="Q25" s="59"/>
      <c r="R25" s="70"/>
      <c r="S25" s="62" t="s">
        <v>194</v>
      </c>
      <c r="T25" s="108" t="s">
        <v>1081</v>
      </c>
      <c r="U25" s="109" t="s">
        <v>1082</v>
      </c>
      <c r="V25" s="110" t="s">
        <v>1083</v>
      </c>
      <c r="W25" s="120"/>
      <c r="X25" s="112" t="s">
        <v>199</v>
      </c>
      <c r="Y25" s="87" t="str">
        <f t="shared" si="3"/>
        <v>Inativo</v>
      </c>
      <c r="Z25" s="62"/>
      <c r="AA25" s="62"/>
      <c r="AB25" s="32" t="s">
        <v>244</v>
      </c>
      <c r="AC25" s="89"/>
      <c r="AD25" s="89"/>
      <c r="AE25" s="91"/>
      <c r="AF25" s="92">
        <v>0.0</v>
      </c>
      <c r="AG25" s="92">
        <v>0.0</v>
      </c>
      <c r="AH25" s="93">
        <v>0.0</v>
      </c>
      <c r="AI25" s="93">
        <v>0.0</v>
      </c>
      <c r="AJ25" s="93">
        <v>0.0</v>
      </c>
      <c r="AK25" s="93">
        <v>0.0</v>
      </c>
      <c r="AL25" s="93">
        <v>207950.31</v>
      </c>
      <c r="AM25" s="93">
        <v>267868.62</v>
      </c>
      <c r="AN25" s="93">
        <v>4076.83</v>
      </c>
      <c r="AO25" s="93">
        <v>4123.78</v>
      </c>
      <c r="AP25" s="93">
        <v>4062.74</v>
      </c>
      <c r="AQ25" s="93">
        <v>3898.11</v>
      </c>
      <c r="AR25" s="93">
        <v>3891.69</v>
      </c>
      <c r="AS25" s="93">
        <v>50.04</v>
      </c>
      <c r="AT25" s="93">
        <v>29.74</v>
      </c>
      <c r="AU25" s="93">
        <v>29.74</v>
      </c>
      <c r="AV25" s="93"/>
      <c r="AW25" s="93">
        <v>29.74</v>
      </c>
      <c r="AX25" s="93"/>
      <c r="AY25" s="93"/>
      <c r="AZ25" s="93">
        <v>0.0</v>
      </c>
      <c r="BA25" s="93"/>
      <c r="BB25" s="93"/>
      <c r="BC25" s="93"/>
      <c r="BD25" s="93"/>
      <c r="BE25" s="93"/>
      <c r="BF25" s="93"/>
      <c r="BG25" s="93"/>
      <c r="BH25" s="93"/>
      <c r="BI25" s="93"/>
      <c r="BJ25" s="93">
        <v>-10.26</v>
      </c>
      <c r="BK25" s="93">
        <v>0.0</v>
      </c>
      <c r="BL25" s="93"/>
      <c r="BM25" s="93" t="s">
        <v>377</v>
      </c>
      <c r="BN25" s="93"/>
      <c r="BO25" s="96"/>
      <c r="BP25" s="96"/>
      <c r="BQ25" s="96">
        <v>0.0</v>
      </c>
      <c r="BR25" s="96"/>
      <c r="BS25" s="96"/>
      <c r="BT25" s="96"/>
      <c r="BU25" s="96"/>
      <c r="BV25" s="96"/>
      <c r="BW25" s="96"/>
      <c r="BX25" s="96"/>
      <c r="BY25" s="96"/>
      <c r="BZ25" s="90">
        <v>0.0</v>
      </c>
      <c r="CA25" s="90">
        <v>0.0</v>
      </c>
      <c r="CB25" s="90">
        <v>0.0</v>
      </c>
      <c r="CC25" s="90">
        <v>0.0</v>
      </c>
      <c r="CD25" s="90">
        <v>0.0</v>
      </c>
      <c r="CE25" s="90">
        <v>0.0</v>
      </c>
      <c r="CF25" s="90">
        <v>0.0</v>
      </c>
      <c r="CG25" s="90">
        <v>0.0</v>
      </c>
      <c r="CH25" s="90">
        <v>0.0</v>
      </c>
      <c r="CI25" s="90">
        <v>0.0</v>
      </c>
      <c r="CJ25" s="90">
        <v>0.0</v>
      </c>
      <c r="CK25" s="90">
        <v>0.0</v>
      </c>
      <c r="CL25" s="90">
        <v>0.0</v>
      </c>
      <c r="CM25" s="90">
        <v>0.0</v>
      </c>
      <c r="CN25" s="90">
        <v>0.0</v>
      </c>
      <c r="CO25" s="90">
        <v>0.0</v>
      </c>
      <c r="CP25" s="90">
        <v>0.0</v>
      </c>
      <c r="CQ25" s="90">
        <v>0.0</v>
      </c>
      <c r="CR25" s="90">
        <v>0.0</v>
      </c>
      <c r="CS25" s="90">
        <v>0.0</v>
      </c>
      <c r="CT25" s="90">
        <v>0.0</v>
      </c>
      <c r="CU25" s="90">
        <v>0.0</v>
      </c>
      <c r="CV25" s="90">
        <v>0.0</v>
      </c>
      <c r="CW25" s="90">
        <v>0.0</v>
      </c>
      <c r="CX25" s="100">
        <v>0.0</v>
      </c>
      <c r="CY25" s="100">
        <v>0.0</v>
      </c>
      <c r="CZ25" s="100">
        <v>0.0</v>
      </c>
      <c r="DA25" s="100">
        <v>0.0</v>
      </c>
      <c r="DB25" s="100">
        <v>0.0</v>
      </c>
      <c r="DC25" s="100">
        <v>0.0</v>
      </c>
      <c r="DD25" s="100">
        <v>0.0</v>
      </c>
      <c r="DE25" s="123">
        <v>0.0</v>
      </c>
      <c r="DF25" s="123">
        <v>0.0</v>
      </c>
      <c r="DG25" s="124">
        <v>0.0</v>
      </c>
      <c r="DH25" s="124">
        <v>0.0</v>
      </c>
      <c r="DI25" s="124">
        <v>0.0</v>
      </c>
    </row>
    <row r="26" ht="15.75" customHeight="1">
      <c r="A26" s="59" t="s">
        <v>202</v>
      </c>
      <c r="B26" s="89" t="s">
        <v>1106</v>
      </c>
      <c r="C26" s="102" t="s">
        <v>1107</v>
      </c>
      <c r="D26" s="63" t="s">
        <v>120</v>
      </c>
      <c r="E26" s="66" t="s">
        <v>199</v>
      </c>
      <c r="F26" s="103" t="s">
        <v>1108</v>
      </c>
      <c r="G26" s="47" t="str">
        <f t="shared" si="1"/>
        <v>David</v>
      </c>
      <c r="H26" s="73" t="s">
        <v>295</v>
      </c>
      <c r="I26" s="74" t="s">
        <v>66</v>
      </c>
      <c r="J26" s="63" t="str">
        <f>IF(R26=0,"Não","Sim")</f>
        <v>Sim</v>
      </c>
      <c r="K26" s="104">
        <v>43900.0</v>
      </c>
      <c r="L26" s="105"/>
      <c r="M26" s="106" t="s">
        <v>231</v>
      </c>
      <c r="N26" s="107">
        <v>0.0</v>
      </c>
      <c r="O26" s="81" t="s">
        <v>66</v>
      </c>
      <c r="P26" s="82">
        <v>0.0</v>
      </c>
      <c r="Q26" s="59"/>
      <c r="R26" s="59" t="s">
        <v>1116</v>
      </c>
      <c r="S26" s="62" t="s">
        <v>194</v>
      </c>
      <c r="T26" s="108" t="s">
        <v>1119</v>
      </c>
      <c r="U26" s="109" t="s">
        <v>1121</v>
      </c>
      <c r="V26" s="110" t="s">
        <v>1122</v>
      </c>
      <c r="W26" s="174">
        <v>34265.0</v>
      </c>
      <c r="X26" s="112" t="s">
        <v>397</v>
      </c>
      <c r="Y26" s="87" t="str">
        <f t="shared" si="3"/>
        <v>Inativo</v>
      </c>
      <c r="Z26" s="62"/>
      <c r="AA26" s="62"/>
      <c r="AB26" s="32" t="s">
        <v>244</v>
      </c>
      <c r="AC26" s="89"/>
      <c r="AD26" s="89"/>
      <c r="AE26" s="91"/>
      <c r="AF26" s="92">
        <v>0.0</v>
      </c>
      <c r="AG26" s="92">
        <v>0.0</v>
      </c>
      <c r="AH26" s="93">
        <v>0.0</v>
      </c>
      <c r="AI26" s="93">
        <v>0.0</v>
      </c>
      <c r="AJ26" s="93">
        <v>0.0</v>
      </c>
      <c r="AK26" s="93">
        <v>31383.3</v>
      </c>
      <c r="AL26" s="93">
        <v>42017.12</v>
      </c>
      <c r="AM26" s="93">
        <v>44135.62</v>
      </c>
      <c r="AN26" s="93">
        <v>47393.72</v>
      </c>
      <c r="AO26" s="93">
        <v>50959.21</v>
      </c>
      <c r="AP26" s="93">
        <v>50178.36</v>
      </c>
      <c r="AQ26" s="93">
        <v>47326.2</v>
      </c>
      <c r="AR26" s="93">
        <v>48131.05</v>
      </c>
      <c r="AS26" s="93">
        <v>52903.02</v>
      </c>
      <c r="AT26" s="93">
        <v>55231.82</v>
      </c>
      <c r="AU26" s="93">
        <v>55324.96</v>
      </c>
      <c r="AV26" s="93">
        <v>52414.78</v>
      </c>
      <c r="AW26" s="93">
        <v>52130.09</v>
      </c>
      <c r="AX26" s="96">
        <v>55067.69</v>
      </c>
      <c r="AY26" s="96">
        <v>53236.84</v>
      </c>
      <c r="AZ26" s="96">
        <v>53716.48</v>
      </c>
      <c r="BA26" s="96">
        <v>54645.64</v>
      </c>
      <c r="BB26" s="96">
        <v>54568.14</v>
      </c>
      <c r="BC26" s="96">
        <v>54470.73</v>
      </c>
      <c r="BD26" s="96"/>
      <c r="BE26" s="96"/>
      <c r="BF26" s="96"/>
      <c r="BG26" s="96"/>
      <c r="BH26" s="96"/>
      <c r="BI26" s="96"/>
      <c r="BJ26" s="96">
        <v>312.45</v>
      </c>
      <c r="BK26" s="93">
        <v>0.0</v>
      </c>
      <c r="BL26" s="93"/>
      <c r="BM26" s="93">
        <v>317.13</v>
      </c>
      <c r="BN26" s="93"/>
      <c r="BO26" s="96"/>
      <c r="BP26" s="96"/>
      <c r="BQ26" s="96">
        <v>0.0</v>
      </c>
      <c r="BR26" s="96"/>
      <c r="BS26" s="96"/>
      <c r="BT26" s="96"/>
      <c r="BU26" s="96"/>
      <c r="BV26" s="96"/>
      <c r="BW26" s="96"/>
      <c r="BX26" s="96"/>
      <c r="BY26" s="96"/>
      <c r="BZ26" s="90">
        <v>0.0</v>
      </c>
      <c r="CA26" s="90">
        <v>0.0</v>
      </c>
      <c r="CB26" s="90">
        <v>0.0</v>
      </c>
      <c r="CC26" s="90">
        <v>0.0</v>
      </c>
      <c r="CD26" s="90">
        <v>0.0</v>
      </c>
      <c r="CE26" s="90">
        <v>0.0</v>
      </c>
      <c r="CF26" s="90">
        <v>0.0</v>
      </c>
      <c r="CG26" s="90">
        <v>0.0</v>
      </c>
      <c r="CH26" s="90">
        <v>0.0</v>
      </c>
      <c r="CI26" s="90">
        <v>0.0</v>
      </c>
      <c r="CJ26" s="90">
        <v>0.0</v>
      </c>
      <c r="CK26" s="90">
        <v>0.0</v>
      </c>
      <c r="CL26" s="90">
        <v>0.0</v>
      </c>
      <c r="CM26" s="90">
        <v>0.0</v>
      </c>
      <c r="CN26" s="90">
        <v>0.0</v>
      </c>
      <c r="CO26" s="90">
        <v>0.0</v>
      </c>
      <c r="CP26" s="90">
        <v>0.0</v>
      </c>
      <c r="CQ26" s="90">
        <v>0.0</v>
      </c>
      <c r="CR26" s="90">
        <v>0.0</v>
      </c>
      <c r="CS26" s="90">
        <v>0.0</v>
      </c>
      <c r="CT26" s="90">
        <v>0.0</v>
      </c>
      <c r="CU26" s="90">
        <v>0.0</v>
      </c>
      <c r="CV26" s="90">
        <v>0.0</v>
      </c>
      <c r="CW26" s="90">
        <v>0.0</v>
      </c>
      <c r="CX26" s="100">
        <v>0.0</v>
      </c>
      <c r="CY26" s="100">
        <v>0.0</v>
      </c>
      <c r="CZ26" s="100">
        <v>0.0</v>
      </c>
      <c r="DA26" s="100">
        <v>0.0</v>
      </c>
      <c r="DB26" s="100">
        <v>0.0</v>
      </c>
      <c r="DC26" s="100">
        <v>0.0</v>
      </c>
      <c r="DD26" s="100">
        <v>0.0</v>
      </c>
      <c r="DE26" s="123">
        <v>0.0</v>
      </c>
      <c r="DF26" s="123">
        <v>0.0</v>
      </c>
      <c r="DG26" s="124">
        <v>0.0</v>
      </c>
      <c r="DH26" s="124">
        <v>0.0</v>
      </c>
      <c r="DI26" s="124">
        <v>0.0</v>
      </c>
    </row>
    <row r="27" ht="15.75" customHeight="1">
      <c r="A27" s="59" t="s">
        <v>202</v>
      </c>
      <c r="B27" s="89" t="s">
        <v>1137</v>
      </c>
      <c r="C27" s="102" t="s">
        <v>1138</v>
      </c>
      <c r="D27" s="63" t="s">
        <v>120</v>
      </c>
      <c r="E27" s="66" t="s">
        <v>199</v>
      </c>
      <c r="F27" s="106" t="s">
        <v>1140</v>
      </c>
      <c r="G27" s="47" t="str">
        <f t="shared" si="1"/>
        <v>David</v>
      </c>
      <c r="H27" s="115" t="s">
        <v>224</v>
      </c>
      <c r="I27" s="74" t="s">
        <v>66</v>
      </c>
      <c r="J27" s="63" t="str">
        <f t="shared" ref="J27:J28" si="6">IF(Q27=0,"Não","Sim")</f>
        <v>Sim</v>
      </c>
      <c r="K27" s="104">
        <v>43742.0</v>
      </c>
      <c r="L27" s="105"/>
      <c r="M27" s="106" t="s">
        <v>209</v>
      </c>
      <c r="N27" s="107">
        <v>0.015</v>
      </c>
      <c r="O27" s="81" t="s">
        <v>66</v>
      </c>
      <c r="P27" s="82">
        <v>0.0</v>
      </c>
      <c r="Q27" s="128" t="s">
        <v>492</v>
      </c>
      <c r="R27" s="166" t="s">
        <v>1146</v>
      </c>
      <c r="S27" s="62" t="s">
        <v>194</v>
      </c>
      <c r="T27" s="108" t="s">
        <v>1147</v>
      </c>
      <c r="U27" s="193" t="s">
        <v>1149</v>
      </c>
      <c r="V27" s="110" t="s">
        <v>1150</v>
      </c>
      <c r="W27" s="120"/>
      <c r="X27" s="112" t="s">
        <v>54</v>
      </c>
      <c r="Y27" s="87" t="str">
        <f t="shared" si="3"/>
        <v>Encerrado</v>
      </c>
      <c r="Z27" s="62"/>
      <c r="AA27" s="62"/>
      <c r="AB27" s="32" t="s">
        <v>244</v>
      </c>
      <c r="AC27" s="89"/>
      <c r="AD27" s="89"/>
      <c r="AE27" s="91"/>
      <c r="AF27" s="92">
        <v>101162.49</v>
      </c>
      <c r="AG27" s="92">
        <v>100737.25</v>
      </c>
      <c r="AH27" s="93">
        <v>100538.63</v>
      </c>
      <c r="AI27" s="93">
        <v>100839.65</v>
      </c>
      <c r="AJ27" s="93">
        <v>99736.59</v>
      </c>
      <c r="AK27" s="93">
        <v>97840.9</v>
      </c>
      <c r="AL27" s="93">
        <v>98166.8</v>
      </c>
      <c r="AM27" s="93">
        <v>98501.93</v>
      </c>
      <c r="AN27" s="93">
        <v>99138.48</v>
      </c>
      <c r="AO27" s="93">
        <v>100134.27</v>
      </c>
      <c r="AP27" s="93">
        <v>99539.9</v>
      </c>
      <c r="AQ27" s="93">
        <v>96820.12</v>
      </c>
      <c r="AR27" s="93">
        <v>0.0</v>
      </c>
      <c r="AS27" s="93"/>
      <c r="AT27" s="93">
        <v>262.09</v>
      </c>
      <c r="AU27" s="93"/>
      <c r="AV27" s="93"/>
      <c r="AW27" s="93"/>
      <c r="AX27" s="96">
        <v>262.09</v>
      </c>
      <c r="AY27" s="96"/>
      <c r="AZ27" s="96">
        <v>262.09</v>
      </c>
      <c r="BA27" s="96"/>
      <c r="BB27" s="96"/>
      <c r="BC27" s="96"/>
      <c r="BD27" s="96"/>
      <c r="BE27" s="96"/>
      <c r="BF27" s="96"/>
      <c r="BG27" s="96"/>
      <c r="BH27" s="96"/>
      <c r="BI27" s="96"/>
      <c r="BJ27" s="96">
        <v>365.0</v>
      </c>
      <c r="BK27" s="93">
        <v>0.0</v>
      </c>
      <c r="BL27" s="93"/>
      <c r="BM27" s="93" t="s">
        <v>377</v>
      </c>
      <c r="BN27" s="93"/>
      <c r="BO27" s="96"/>
      <c r="BP27" s="96"/>
      <c r="BQ27" s="96">
        <v>0.0</v>
      </c>
      <c r="BR27" s="96"/>
      <c r="BS27" s="96"/>
      <c r="BT27" s="96"/>
      <c r="BU27" s="96"/>
      <c r="BV27" s="96"/>
      <c r="BW27" s="96"/>
      <c r="BX27" s="96"/>
      <c r="BY27" s="96"/>
      <c r="BZ27" s="90">
        <v>0.0</v>
      </c>
      <c r="CA27" s="90">
        <v>0.0</v>
      </c>
      <c r="CB27" s="90">
        <v>0.0</v>
      </c>
      <c r="CC27" s="90">
        <v>0.0</v>
      </c>
      <c r="CD27" s="90">
        <v>0.0</v>
      </c>
      <c r="CE27" s="122">
        <v>0.0</v>
      </c>
      <c r="CF27" s="90">
        <v>0.0</v>
      </c>
      <c r="CG27" s="90">
        <v>0.0</v>
      </c>
      <c r="CH27" s="90">
        <v>0.0</v>
      </c>
      <c r="CI27" s="90">
        <v>0.0</v>
      </c>
      <c r="CJ27" s="90">
        <v>0.0</v>
      </c>
      <c r="CK27" s="90">
        <v>0.0</v>
      </c>
      <c r="CL27" s="90">
        <v>0.0</v>
      </c>
      <c r="CM27" s="90">
        <v>0.0</v>
      </c>
      <c r="CN27" s="90">
        <v>0.0</v>
      </c>
      <c r="CO27" s="90">
        <v>0.0</v>
      </c>
      <c r="CP27" s="90">
        <v>0.0</v>
      </c>
      <c r="CQ27" s="90">
        <v>0.0</v>
      </c>
      <c r="CR27" s="90">
        <v>0.0</v>
      </c>
      <c r="CS27" s="90">
        <v>0.0</v>
      </c>
      <c r="CT27" s="90">
        <v>0.0</v>
      </c>
      <c r="CU27" s="90">
        <v>0.0</v>
      </c>
      <c r="CV27" s="90">
        <v>0.0</v>
      </c>
      <c r="CW27" s="90">
        <v>0.0</v>
      </c>
      <c r="CX27" s="100">
        <v>0.0</v>
      </c>
      <c r="CY27" s="100">
        <v>0.0</v>
      </c>
      <c r="CZ27" s="100">
        <v>0.0</v>
      </c>
      <c r="DA27" s="100">
        <v>0.0</v>
      </c>
      <c r="DB27" s="100">
        <v>0.0</v>
      </c>
      <c r="DC27" s="100">
        <v>0.0</v>
      </c>
      <c r="DD27" s="100">
        <v>0.0</v>
      </c>
      <c r="DE27" s="123">
        <v>0.0</v>
      </c>
      <c r="DF27" s="123">
        <v>0.0</v>
      </c>
      <c r="DG27" s="124">
        <v>0.0</v>
      </c>
      <c r="DH27" s="124">
        <v>0.0</v>
      </c>
      <c r="DI27" s="124">
        <v>0.0</v>
      </c>
    </row>
    <row r="28" ht="15.75" customHeight="1">
      <c r="A28" s="59" t="s">
        <v>202</v>
      </c>
      <c r="B28" s="89" t="s">
        <v>1171</v>
      </c>
      <c r="C28" s="102" t="s">
        <v>1173</v>
      </c>
      <c r="D28" s="63" t="s">
        <v>120</v>
      </c>
      <c r="E28" s="66" t="s">
        <v>199</v>
      </c>
      <c r="F28" s="103" t="s">
        <v>1174</v>
      </c>
      <c r="G28" s="47" t="str">
        <f t="shared" si="1"/>
        <v>David</v>
      </c>
      <c r="H28" s="73" t="s">
        <v>224</v>
      </c>
      <c r="I28" s="49" t="s">
        <v>66</v>
      </c>
      <c r="J28" s="63" t="str">
        <f t="shared" si="6"/>
        <v>Sim</v>
      </c>
      <c r="K28" s="104">
        <v>44403.0</v>
      </c>
      <c r="L28" s="170">
        <v>45789.0</v>
      </c>
      <c r="M28" s="106" t="s">
        <v>1142</v>
      </c>
      <c r="N28" s="107">
        <v>0.008</v>
      </c>
      <c r="O28" s="81" t="s">
        <v>1143</v>
      </c>
      <c r="P28" s="82">
        <v>0.1</v>
      </c>
      <c r="Q28" s="128" t="s">
        <v>1176</v>
      </c>
      <c r="R28" s="70"/>
      <c r="S28" s="62" t="s">
        <v>194</v>
      </c>
      <c r="T28" s="108" t="s">
        <v>1179</v>
      </c>
      <c r="U28" s="137"/>
      <c r="V28" s="84"/>
      <c r="W28" s="120"/>
      <c r="X28" s="112" t="s">
        <v>397</v>
      </c>
      <c r="Y28" s="87" t="str">
        <f t="shared" si="3"/>
        <v>Encerrado</v>
      </c>
      <c r="Z28" s="62"/>
      <c r="AA28" s="62"/>
      <c r="AB28" s="32" t="s">
        <v>244</v>
      </c>
      <c r="AC28" s="89"/>
      <c r="AD28" s="175">
        <v>44403.0</v>
      </c>
      <c r="AE28" s="91">
        <v>4.907510001526E13</v>
      </c>
      <c r="AF28" s="92"/>
      <c r="AG28" s="92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6"/>
      <c r="AY28" s="96"/>
      <c r="AZ28" s="96"/>
      <c r="BA28" s="96"/>
      <c r="BB28" s="96"/>
      <c r="BC28" s="96"/>
      <c r="BD28" s="96">
        <v>241450.73</v>
      </c>
      <c r="BE28" s="96">
        <v>239523.47</v>
      </c>
      <c r="BF28" s="96">
        <v>238510.47</v>
      </c>
      <c r="BG28" s="96">
        <v>221067.28</v>
      </c>
      <c r="BH28" s="96">
        <v>235937.85</v>
      </c>
      <c r="BI28" s="96">
        <v>238524.66</v>
      </c>
      <c r="BJ28" s="96">
        <v>223994.0</v>
      </c>
      <c r="BK28" s="93">
        <v>230718.46</v>
      </c>
      <c r="BL28" s="93">
        <v>234078.03</v>
      </c>
      <c r="BM28" s="93">
        <v>242403.89</v>
      </c>
      <c r="BN28" s="93">
        <v>244380.73</v>
      </c>
      <c r="BO28" s="96">
        <v>249269.28</v>
      </c>
      <c r="BP28" s="96">
        <v>248994.47</v>
      </c>
      <c r="BQ28" s="96">
        <v>248286.69</v>
      </c>
      <c r="BR28" s="96">
        <v>239927.81</v>
      </c>
      <c r="BS28" s="96">
        <v>239353.39</v>
      </c>
      <c r="BT28" s="96">
        <v>236623.85</v>
      </c>
      <c r="BU28" s="96">
        <v>232136.66</v>
      </c>
      <c r="BV28" s="96">
        <v>229021.07</v>
      </c>
      <c r="BW28" s="96">
        <v>233010.98</v>
      </c>
      <c r="BX28" s="96">
        <v>243489.95</v>
      </c>
      <c r="BY28" s="96">
        <v>249177.92</v>
      </c>
      <c r="BZ28" s="96">
        <v>249177.92</v>
      </c>
      <c r="CA28" s="96">
        <v>372804.91</v>
      </c>
      <c r="CB28" s="96">
        <v>256210.25</v>
      </c>
      <c r="CC28" s="96">
        <v>390582.22</v>
      </c>
      <c r="CD28" s="96">
        <v>395069.66</v>
      </c>
      <c r="CE28" s="90">
        <v>254423.36</v>
      </c>
      <c r="CF28" s="90">
        <v>366248.07</v>
      </c>
      <c r="CG28" s="90">
        <v>260724.64</v>
      </c>
      <c r="CH28" s="90">
        <v>252262.65</v>
      </c>
      <c r="CI28" s="90">
        <v>246714.92</v>
      </c>
      <c r="CJ28" s="90">
        <v>243888.0</v>
      </c>
      <c r="CK28" s="90">
        <v>241602.09</v>
      </c>
      <c r="CL28" s="90">
        <v>245256.65</v>
      </c>
      <c r="CM28" s="90">
        <v>245193.93</v>
      </c>
      <c r="CN28" s="90">
        <v>240724.11</v>
      </c>
      <c r="CO28" s="90">
        <v>236964.71</v>
      </c>
      <c r="CP28" s="90">
        <v>232742.67</v>
      </c>
      <c r="CQ28" s="90">
        <v>33507.19</v>
      </c>
      <c r="CR28" s="90">
        <v>227624.06</v>
      </c>
      <c r="CS28" s="90">
        <v>229766.32</v>
      </c>
      <c r="CT28" s="90">
        <v>239181.87</v>
      </c>
      <c r="CU28" s="90">
        <v>245893.49</v>
      </c>
      <c r="CV28" s="90">
        <v>0.0</v>
      </c>
      <c r="CW28" s="90">
        <v>0.0</v>
      </c>
      <c r="CX28" s="100">
        <v>0.0</v>
      </c>
      <c r="CY28" s="100">
        <v>0.0</v>
      </c>
      <c r="CZ28" s="100">
        <v>0.0</v>
      </c>
      <c r="DA28" s="100">
        <v>0.0</v>
      </c>
      <c r="DB28" s="100">
        <v>0.0</v>
      </c>
      <c r="DC28" s="100">
        <v>0.0</v>
      </c>
      <c r="DD28" s="100">
        <v>0.0</v>
      </c>
      <c r="DE28" s="123">
        <v>0.0</v>
      </c>
      <c r="DF28" s="123">
        <v>0.0</v>
      </c>
      <c r="DG28" s="124">
        <v>0.0</v>
      </c>
      <c r="DH28" s="124">
        <v>0.0</v>
      </c>
      <c r="DI28" s="124">
        <v>0.0</v>
      </c>
    </row>
    <row r="29" ht="15.75" customHeight="1">
      <c r="A29" s="59" t="s">
        <v>202</v>
      </c>
      <c r="B29" s="89" t="s">
        <v>1192</v>
      </c>
      <c r="C29" s="102" t="s">
        <v>1193</v>
      </c>
      <c r="D29" s="63" t="s">
        <v>120</v>
      </c>
      <c r="E29" s="66" t="s">
        <v>199</v>
      </c>
      <c r="F29" s="106" t="s">
        <v>778</v>
      </c>
      <c r="G29" s="47" t="str">
        <f t="shared" si="1"/>
        <v>David</v>
      </c>
      <c r="H29" s="115" t="s">
        <v>224</v>
      </c>
      <c r="I29" s="74" t="s">
        <v>66</v>
      </c>
      <c r="J29" s="63" t="str">
        <f>IF(R29=0,"Não","Sim")</f>
        <v>Sim</v>
      </c>
      <c r="K29" s="104">
        <v>43731.0</v>
      </c>
      <c r="L29" s="105"/>
      <c r="M29" s="106" t="s">
        <v>361</v>
      </c>
      <c r="N29" s="107">
        <v>0.02</v>
      </c>
      <c r="O29" s="81" t="s">
        <v>35</v>
      </c>
      <c r="P29" s="82">
        <v>0.2</v>
      </c>
      <c r="Q29" s="59"/>
      <c r="R29" s="128" t="s">
        <v>1198</v>
      </c>
      <c r="S29" s="62" t="s">
        <v>194</v>
      </c>
      <c r="T29" s="108" t="s">
        <v>1201</v>
      </c>
      <c r="U29" s="109" t="s">
        <v>1204</v>
      </c>
      <c r="V29" s="110" t="s">
        <v>1206</v>
      </c>
      <c r="W29" s="120"/>
      <c r="X29" s="112" t="s">
        <v>199</v>
      </c>
      <c r="Y29" s="87" t="str">
        <f t="shared" si="3"/>
        <v>Encerrado</v>
      </c>
      <c r="Z29" s="62"/>
      <c r="AA29" s="62"/>
      <c r="AB29" s="32" t="s">
        <v>244</v>
      </c>
      <c r="AC29" s="89"/>
      <c r="AD29" s="89"/>
      <c r="AE29" s="91"/>
      <c r="AF29" s="92">
        <v>69669.84</v>
      </c>
      <c r="AG29" s="92">
        <v>96201.29</v>
      </c>
      <c r="AH29" s="93">
        <v>105318.45</v>
      </c>
      <c r="AI29" s="93">
        <v>108463.67</v>
      </c>
      <c r="AJ29" s="93">
        <v>103479.24</v>
      </c>
      <c r="AK29" s="93">
        <v>91238.3</v>
      </c>
      <c r="AL29" s="93">
        <v>93658.33</v>
      </c>
      <c r="AM29" s="93">
        <v>94605.88</v>
      </c>
      <c r="AN29" s="93">
        <v>112707.37</v>
      </c>
      <c r="AO29" s="93">
        <v>115300.04</v>
      </c>
      <c r="AP29" s="93">
        <v>113727.17</v>
      </c>
      <c r="AQ29" s="93">
        <v>108346.96</v>
      </c>
      <c r="AR29" s="93">
        <v>108601.63</v>
      </c>
      <c r="AS29" s="93">
        <v>116918.15</v>
      </c>
      <c r="AT29" s="93">
        <v>164715.22</v>
      </c>
      <c r="AU29" s="93">
        <v>160189.2</v>
      </c>
      <c r="AV29" s="93">
        <v>153940.85</v>
      </c>
      <c r="AW29" s="93">
        <v>153702.82</v>
      </c>
      <c r="AX29" s="96">
        <v>165206.89</v>
      </c>
      <c r="AY29" s="96">
        <v>161072.32</v>
      </c>
      <c r="AZ29" s="96">
        <v>161261.3</v>
      </c>
      <c r="BA29" s="96">
        <v>164513.87</v>
      </c>
      <c r="BB29" s="96">
        <v>162488.56</v>
      </c>
      <c r="BC29" s="96">
        <v>160906.44</v>
      </c>
      <c r="BD29" s="96">
        <v>157189.65</v>
      </c>
      <c r="BE29" s="96">
        <v>152202.82</v>
      </c>
      <c r="BF29" s="96">
        <v>147785.53</v>
      </c>
      <c r="BG29" s="96">
        <v>140059.07</v>
      </c>
      <c r="BH29" s="96">
        <v>144165.25</v>
      </c>
      <c r="BI29" s="96"/>
      <c r="BJ29" s="96">
        <v>48906.76</v>
      </c>
      <c r="BK29" s="96">
        <v>0.0</v>
      </c>
      <c r="BL29" s="96"/>
      <c r="BM29" s="96" t="s">
        <v>377</v>
      </c>
      <c r="BN29" s="96"/>
      <c r="BO29" s="96"/>
      <c r="BP29" s="96"/>
      <c r="BQ29" s="96">
        <v>0.0</v>
      </c>
      <c r="BR29" s="96"/>
      <c r="BS29" s="96"/>
      <c r="BT29" s="96"/>
      <c r="BU29" s="96"/>
      <c r="BV29" s="96"/>
      <c r="BW29" s="96"/>
      <c r="BX29" s="96"/>
      <c r="BY29" s="96"/>
      <c r="BZ29" s="90">
        <v>0.0</v>
      </c>
      <c r="CA29" s="90">
        <v>0.0</v>
      </c>
      <c r="CB29" s="90">
        <v>0.0</v>
      </c>
      <c r="CC29" s="90">
        <v>0.0</v>
      </c>
      <c r="CD29" s="90">
        <v>0.0</v>
      </c>
      <c r="CE29" s="122">
        <v>0.0</v>
      </c>
      <c r="CF29" s="90">
        <v>0.0</v>
      </c>
      <c r="CG29" s="90">
        <v>0.0</v>
      </c>
      <c r="CH29" s="90">
        <v>0.0</v>
      </c>
      <c r="CI29" s="90">
        <v>0.0</v>
      </c>
      <c r="CJ29" s="90">
        <v>0.0</v>
      </c>
      <c r="CK29" s="90">
        <v>0.0</v>
      </c>
      <c r="CL29" s="90">
        <v>0.0</v>
      </c>
      <c r="CM29" s="90">
        <v>0.0</v>
      </c>
      <c r="CN29" s="90">
        <v>0.0</v>
      </c>
      <c r="CO29" s="90">
        <v>0.0</v>
      </c>
      <c r="CP29" s="90">
        <v>0.0</v>
      </c>
      <c r="CQ29" s="90">
        <v>0.0</v>
      </c>
      <c r="CR29" s="90">
        <v>0.0</v>
      </c>
      <c r="CS29" s="90">
        <v>0.0</v>
      </c>
      <c r="CT29" s="90">
        <v>0.0</v>
      </c>
      <c r="CU29" s="90">
        <v>0.0</v>
      </c>
      <c r="CV29" s="90">
        <v>0.0</v>
      </c>
      <c r="CW29" s="90">
        <v>0.0</v>
      </c>
      <c r="CX29" s="100">
        <v>0.0</v>
      </c>
      <c r="CY29" s="100">
        <v>0.0</v>
      </c>
      <c r="CZ29" s="100">
        <v>0.0</v>
      </c>
      <c r="DA29" s="100">
        <v>0.0</v>
      </c>
      <c r="DB29" s="100">
        <v>0.0</v>
      </c>
      <c r="DC29" s="100">
        <v>0.0</v>
      </c>
      <c r="DD29" s="100">
        <v>0.0</v>
      </c>
      <c r="DE29" s="123">
        <v>0.0</v>
      </c>
      <c r="DF29" s="123">
        <v>0.0</v>
      </c>
      <c r="DG29" s="124">
        <v>0.0</v>
      </c>
      <c r="DH29" s="124">
        <v>0.0</v>
      </c>
      <c r="DI29" s="124">
        <v>0.0</v>
      </c>
    </row>
    <row r="30" ht="15.75" customHeight="1">
      <c r="A30" s="59" t="s">
        <v>202</v>
      </c>
      <c r="B30" s="89" t="s">
        <v>1220</v>
      </c>
      <c r="C30" s="102" t="s">
        <v>1221</v>
      </c>
      <c r="D30" s="63" t="s">
        <v>120</v>
      </c>
      <c r="E30" s="66" t="s">
        <v>199</v>
      </c>
      <c r="F30" s="103" t="s">
        <v>290</v>
      </c>
      <c r="G30" s="47" t="str">
        <f t="shared" si="1"/>
        <v>David</v>
      </c>
      <c r="H30" s="73" t="s">
        <v>295</v>
      </c>
      <c r="I30" s="74" t="s">
        <v>66</v>
      </c>
      <c r="J30" s="63" t="str">
        <f t="shared" ref="J30:J33" si="7">IF(Q30=0,"Não","Sim")</f>
        <v>Sim</v>
      </c>
      <c r="K30" s="104">
        <v>43635.0</v>
      </c>
      <c r="L30" s="105"/>
      <c r="M30" s="106" t="s">
        <v>209</v>
      </c>
      <c r="N30" s="125">
        <v>0.01</v>
      </c>
      <c r="O30" s="81" t="s">
        <v>66</v>
      </c>
      <c r="P30" s="82">
        <v>0.0</v>
      </c>
      <c r="Q30" s="70" t="s">
        <v>492</v>
      </c>
      <c r="R30" s="70"/>
      <c r="S30" s="62" t="s">
        <v>194</v>
      </c>
      <c r="T30" s="108" t="s">
        <v>1229</v>
      </c>
      <c r="U30" s="109" t="s">
        <v>1230</v>
      </c>
      <c r="V30" s="110" t="s">
        <v>1231</v>
      </c>
      <c r="W30" s="120"/>
      <c r="X30" s="112" t="s">
        <v>199</v>
      </c>
      <c r="Y30" s="87" t="str">
        <f t="shared" si="3"/>
        <v>Inativo</v>
      </c>
      <c r="Z30" s="62"/>
      <c r="AA30" s="62"/>
      <c r="AB30" s="32" t="s">
        <v>244</v>
      </c>
      <c r="AC30" s="89"/>
      <c r="AD30" s="89"/>
      <c r="AE30" s="91"/>
      <c r="AF30" s="92">
        <v>80465.69</v>
      </c>
      <c r="AG30" s="92">
        <v>71421.48</v>
      </c>
      <c r="AH30" s="93">
        <v>65049.8</v>
      </c>
      <c r="AI30" s="93">
        <v>57572.88</v>
      </c>
      <c r="AJ30" s="93">
        <v>56933.94</v>
      </c>
      <c r="AK30" s="93">
        <v>46610.54</v>
      </c>
      <c r="AL30" s="93">
        <v>41821.65</v>
      </c>
      <c r="AM30" s="93">
        <v>41754.17</v>
      </c>
      <c r="AN30" s="93">
        <v>31105.93</v>
      </c>
      <c r="AO30" s="93">
        <v>31138.37</v>
      </c>
      <c r="AP30" s="93">
        <v>27421.23</v>
      </c>
      <c r="AQ30" s="93">
        <v>17165.36</v>
      </c>
      <c r="AR30" s="93">
        <v>9253.91</v>
      </c>
      <c r="AS30" s="93">
        <v>3172.23</v>
      </c>
      <c r="AT30" s="93">
        <v>3411.62</v>
      </c>
      <c r="AU30" s="93">
        <v>3253.62</v>
      </c>
      <c r="AV30" s="93">
        <v>2308.62</v>
      </c>
      <c r="AW30" s="93">
        <v>2243.62</v>
      </c>
      <c r="AX30" s="96">
        <v>2494.62</v>
      </c>
      <c r="AY30" s="96">
        <v>2310.0</v>
      </c>
      <c r="AZ30" s="96">
        <v>2525.78</v>
      </c>
      <c r="BA30" s="96">
        <v>2609.0</v>
      </c>
      <c r="BB30" s="96">
        <v>3056.96</v>
      </c>
      <c r="BC30" s="96">
        <v>2981.35</v>
      </c>
      <c r="BD30" s="96">
        <v>158.81</v>
      </c>
      <c r="BE30" s="96"/>
      <c r="BF30" s="96"/>
      <c r="BG30" s="96"/>
      <c r="BH30" s="96"/>
      <c r="BI30" s="96"/>
      <c r="BJ30" s="96">
        <v>157.06</v>
      </c>
      <c r="BK30" s="96">
        <v>0.0</v>
      </c>
      <c r="BL30" s="96"/>
      <c r="BM30" s="96" t="s">
        <v>377</v>
      </c>
      <c r="BN30" s="96"/>
      <c r="BO30" s="96"/>
      <c r="BP30" s="96"/>
      <c r="BQ30" s="96">
        <v>0.0</v>
      </c>
      <c r="BR30" s="96"/>
      <c r="BS30" s="96"/>
      <c r="BT30" s="96"/>
      <c r="BU30" s="96"/>
      <c r="BV30" s="96"/>
      <c r="BW30" s="96"/>
      <c r="BX30" s="96"/>
      <c r="BY30" s="96"/>
      <c r="BZ30" s="90">
        <v>0.0</v>
      </c>
      <c r="CA30" s="90">
        <v>0.0</v>
      </c>
      <c r="CB30" s="90">
        <v>0.0</v>
      </c>
      <c r="CC30" s="90">
        <v>0.0</v>
      </c>
      <c r="CD30" s="90">
        <v>0.0</v>
      </c>
      <c r="CE30" s="90">
        <v>0.0</v>
      </c>
      <c r="CF30" s="90">
        <v>0.0</v>
      </c>
      <c r="CG30" s="90">
        <v>0.0</v>
      </c>
      <c r="CH30" s="90">
        <v>0.0</v>
      </c>
      <c r="CI30" s="90">
        <v>0.0</v>
      </c>
      <c r="CJ30" s="90">
        <v>0.0</v>
      </c>
      <c r="CK30" s="90">
        <v>0.0</v>
      </c>
      <c r="CL30" s="90">
        <v>0.0</v>
      </c>
      <c r="CM30" s="90">
        <v>0.0</v>
      </c>
      <c r="CN30" s="90">
        <v>0.0</v>
      </c>
      <c r="CO30" s="90">
        <v>0.0</v>
      </c>
      <c r="CP30" s="90">
        <v>0.0</v>
      </c>
      <c r="CQ30" s="90">
        <v>0.0</v>
      </c>
      <c r="CR30" s="90">
        <v>0.0</v>
      </c>
      <c r="CS30" s="90">
        <v>0.0</v>
      </c>
      <c r="CT30" s="90">
        <v>0.0</v>
      </c>
      <c r="CU30" s="90">
        <v>0.0</v>
      </c>
      <c r="CV30" s="90">
        <v>0.0</v>
      </c>
      <c r="CW30" s="90">
        <v>0.0</v>
      </c>
      <c r="CX30" s="100">
        <v>0.0</v>
      </c>
      <c r="CY30" s="100">
        <v>0.0</v>
      </c>
      <c r="CZ30" s="100">
        <v>0.0</v>
      </c>
      <c r="DA30" s="100">
        <v>0.0</v>
      </c>
      <c r="DB30" s="100">
        <v>0.0</v>
      </c>
      <c r="DC30" s="100">
        <v>0.0</v>
      </c>
      <c r="DD30" s="100">
        <v>0.0</v>
      </c>
      <c r="DE30" s="123">
        <v>0.0</v>
      </c>
      <c r="DF30" s="123">
        <v>0.0</v>
      </c>
      <c r="DG30" s="124">
        <v>0.0</v>
      </c>
      <c r="DH30" s="124">
        <v>0.0</v>
      </c>
      <c r="DI30" s="124">
        <v>0.0</v>
      </c>
    </row>
    <row r="31" ht="15.75" customHeight="1">
      <c r="A31" s="59" t="s">
        <v>202</v>
      </c>
      <c r="B31" s="89" t="s">
        <v>1249</v>
      </c>
      <c r="C31" s="102" t="s">
        <v>1251</v>
      </c>
      <c r="D31" s="63" t="s">
        <v>120</v>
      </c>
      <c r="E31" s="66" t="s">
        <v>199</v>
      </c>
      <c r="F31" s="106" t="s">
        <v>841</v>
      </c>
      <c r="G31" s="47" t="str">
        <f t="shared" si="1"/>
        <v>David</v>
      </c>
      <c r="H31" s="115" t="s">
        <v>224</v>
      </c>
      <c r="I31" s="74" t="s">
        <v>66</v>
      </c>
      <c r="J31" s="63" t="str">
        <f t="shared" si="7"/>
        <v>Não</v>
      </c>
      <c r="K31" s="104">
        <v>44028.0</v>
      </c>
      <c r="L31" s="105">
        <v>44726.0</v>
      </c>
      <c r="M31" s="106" t="s">
        <v>209</v>
      </c>
      <c r="N31" s="107">
        <v>0.015</v>
      </c>
      <c r="O31" s="81" t="s">
        <v>66</v>
      </c>
      <c r="P31" s="82">
        <v>0.0</v>
      </c>
      <c r="Q31" s="59"/>
      <c r="R31" s="70"/>
      <c r="S31" s="62" t="s">
        <v>194</v>
      </c>
      <c r="T31" s="108" t="s">
        <v>1259</v>
      </c>
      <c r="U31" s="109" t="s">
        <v>1260</v>
      </c>
      <c r="V31" s="110" t="s">
        <v>1261</v>
      </c>
      <c r="W31" s="120"/>
      <c r="X31" s="112" t="s">
        <v>199</v>
      </c>
      <c r="Y31" s="87" t="str">
        <f t="shared" si="3"/>
        <v>Encerrado</v>
      </c>
      <c r="Z31" s="62"/>
      <c r="AA31" s="62"/>
      <c r="AB31" s="32" t="s">
        <v>244</v>
      </c>
      <c r="AC31" s="89"/>
      <c r="AD31" s="89"/>
      <c r="AE31" s="91"/>
      <c r="AF31" s="92">
        <v>0.0</v>
      </c>
      <c r="AG31" s="92">
        <v>0.0</v>
      </c>
      <c r="AH31" s="92">
        <v>0.0</v>
      </c>
      <c r="AI31" s="92">
        <v>0.0</v>
      </c>
      <c r="AJ31" s="92">
        <v>0.0</v>
      </c>
      <c r="AK31" s="92">
        <v>0.0</v>
      </c>
      <c r="AL31" s="92">
        <v>0.0</v>
      </c>
      <c r="AM31" s="92">
        <v>0.0</v>
      </c>
      <c r="AN31" s="92">
        <v>0.0</v>
      </c>
      <c r="AO31" s="92">
        <v>41912.09</v>
      </c>
      <c r="AP31" s="92">
        <v>41954.05</v>
      </c>
      <c r="AQ31" s="92">
        <v>40446.59</v>
      </c>
      <c r="AR31" s="92">
        <v>40170.84</v>
      </c>
      <c r="AS31" s="92">
        <v>42653.31</v>
      </c>
      <c r="AT31" s="92">
        <v>43372.73</v>
      </c>
      <c r="AU31" s="92">
        <v>42092.12</v>
      </c>
      <c r="AV31" s="92">
        <v>40898.93</v>
      </c>
      <c r="AW31" s="92">
        <v>41058.28</v>
      </c>
      <c r="AX31" s="96">
        <v>42366.04</v>
      </c>
      <c r="AY31" s="96">
        <v>42235.19</v>
      </c>
      <c r="AZ31" s="96">
        <v>42541.9</v>
      </c>
      <c r="BA31" s="96">
        <v>42590.95</v>
      </c>
      <c r="BB31" s="96">
        <v>42533.66</v>
      </c>
      <c r="BC31" s="96">
        <v>42484.25</v>
      </c>
      <c r="BD31" s="96">
        <v>41863.14</v>
      </c>
      <c r="BE31" s="96">
        <v>41239.37</v>
      </c>
      <c r="BF31" s="96">
        <v>40671.12</v>
      </c>
      <c r="BG31" s="96">
        <v>39401.79</v>
      </c>
      <c r="BH31" s="96">
        <v>28410.77</v>
      </c>
      <c r="BI31" s="96">
        <v>41892.01</v>
      </c>
      <c r="BJ31" s="96">
        <v>42311.54</v>
      </c>
      <c r="BK31" s="96">
        <v>42256.28</v>
      </c>
      <c r="BL31" s="96">
        <v>42951.59</v>
      </c>
      <c r="BM31" s="96">
        <v>13439.98</v>
      </c>
      <c r="BN31" s="96"/>
      <c r="BO31" s="96"/>
      <c r="BP31" s="96"/>
      <c r="BQ31" s="96">
        <v>0.0</v>
      </c>
      <c r="BR31" s="96"/>
      <c r="BS31" s="96"/>
      <c r="BT31" s="96"/>
      <c r="BU31" s="96"/>
      <c r="BV31" s="96"/>
      <c r="BW31" s="96"/>
      <c r="BX31" s="96"/>
      <c r="BY31" s="96"/>
      <c r="BZ31" s="90">
        <v>0.0</v>
      </c>
      <c r="CA31" s="90">
        <v>0.0</v>
      </c>
      <c r="CB31" s="90">
        <v>0.0</v>
      </c>
      <c r="CC31" s="90">
        <v>0.0</v>
      </c>
      <c r="CD31" s="90">
        <v>0.0</v>
      </c>
      <c r="CE31" s="90">
        <v>0.0</v>
      </c>
      <c r="CF31" s="90">
        <v>0.0</v>
      </c>
      <c r="CG31" s="90">
        <v>0.0</v>
      </c>
      <c r="CH31" s="90">
        <v>0.0</v>
      </c>
      <c r="CI31" s="90">
        <v>0.0</v>
      </c>
      <c r="CJ31" s="90">
        <v>0.0</v>
      </c>
      <c r="CK31" s="90">
        <v>0.0</v>
      </c>
      <c r="CL31" s="90">
        <v>0.0</v>
      </c>
      <c r="CM31" s="90">
        <v>0.0</v>
      </c>
      <c r="CN31" s="90">
        <v>0.0</v>
      </c>
      <c r="CO31" s="90">
        <v>0.0</v>
      </c>
      <c r="CP31" s="90">
        <v>0.0</v>
      </c>
      <c r="CQ31" s="90">
        <v>0.0</v>
      </c>
      <c r="CR31" s="90">
        <v>0.0</v>
      </c>
      <c r="CS31" s="90">
        <v>0.0</v>
      </c>
      <c r="CT31" s="90">
        <v>0.0</v>
      </c>
      <c r="CU31" s="90">
        <v>0.0</v>
      </c>
      <c r="CV31" s="90">
        <v>0.0</v>
      </c>
      <c r="CW31" s="90">
        <v>0.0</v>
      </c>
      <c r="CX31" s="100">
        <v>0.0</v>
      </c>
      <c r="CY31" s="100">
        <v>0.0</v>
      </c>
      <c r="CZ31" s="100">
        <v>0.0</v>
      </c>
      <c r="DA31" s="100">
        <v>0.0</v>
      </c>
      <c r="DB31" s="100">
        <v>0.0</v>
      </c>
      <c r="DC31" s="100">
        <v>0.0</v>
      </c>
      <c r="DD31" s="100">
        <v>0.0</v>
      </c>
      <c r="DE31" s="123">
        <v>0.0</v>
      </c>
      <c r="DF31" s="123">
        <v>0.0</v>
      </c>
      <c r="DG31" s="124">
        <v>0.0</v>
      </c>
      <c r="DH31" s="124">
        <v>0.0</v>
      </c>
      <c r="DI31" s="124">
        <v>0.0</v>
      </c>
    </row>
    <row r="32" ht="15.75" customHeight="1">
      <c r="A32" s="59" t="s">
        <v>202</v>
      </c>
      <c r="B32" s="89" t="s">
        <v>1279</v>
      </c>
      <c r="C32" s="102" t="s">
        <v>1280</v>
      </c>
      <c r="D32" s="63" t="s">
        <v>120</v>
      </c>
      <c r="E32" s="66" t="s">
        <v>199</v>
      </c>
      <c r="F32" s="106" t="s">
        <v>841</v>
      </c>
      <c r="G32" s="47" t="str">
        <f t="shared" si="1"/>
        <v>David</v>
      </c>
      <c r="H32" s="115" t="s">
        <v>224</v>
      </c>
      <c r="I32" s="74" t="s">
        <v>66</v>
      </c>
      <c r="J32" s="63" t="str">
        <f t="shared" si="7"/>
        <v>Não</v>
      </c>
      <c r="K32" s="104">
        <v>43797.0</v>
      </c>
      <c r="L32" s="105"/>
      <c r="M32" s="106" t="s">
        <v>34</v>
      </c>
      <c r="N32" s="107">
        <v>0.006</v>
      </c>
      <c r="O32" s="81" t="s">
        <v>66</v>
      </c>
      <c r="P32" s="82">
        <v>0.0</v>
      </c>
      <c r="Q32" s="59"/>
      <c r="R32" s="70"/>
      <c r="S32" s="62" t="s">
        <v>194</v>
      </c>
      <c r="T32" s="108" t="s">
        <v>1283</v>
      </c>
      <c r="U32" s="109" t="s">
        <v>1285</v>
      </c>
      <c r="V32" s="110" t="s">
        <v>1287</v>
      </c>
      <c r="W32" s="120"/>
      <c r="X32" s="112" t="s">
        <v>199</v>
      </c>
      <c r="Y32" s="87" t="str">
        <f t="shared" si="3"/>
        <v>Encerrado</v>
      </c>
      <c r="Z32" s="62"/>
      <c r="AA32" s="62"/>
      <c r="AB32" s="32" t="s">
        <v>244</v>
      </c>
      <c r="AC32" s="89"/>
      <c r="AD32" s="89"/>
      <c r="AE32" s="91"/>
      <c r="AF32" s="92">
        <v>149934.86</v>
      </c>
      <c r="AG32" s="92">
        <v>150629.56</v>
      </c>
      <c r="AH32" s="93">
        <v>152614.46</v>
      </c>
      <c r="AI32" s="93">
        <v>238180.83</v>
      </c>
      <c r="AJ32" s="93">
        <v>236324.33</v>
      </c>
      <c r="AK32" s="93">
        <v>201975.91</v>
      </c>
      <c r="AL32" s="93">
        <v>177311.37</v>
      </c>
      <c r="AM32" s="93">
        <v>168144.3</v>
      </c>
      <c r="AN32" s="93">
        <v>166471.03</v>
      </c>
      <c r="AO32" s="93">
        <v>158319.57</v>
      </c>
      <c r="AP32" s="93">
        <v>160166.56</v>
      </c>
      <c r="AQ32" s="93">
        <v>155961.49</v>
      </c>
      <c r="AR32" s="93">
        <v>155166.89</v>
      </c>
      <c r="AS32" s="93">
        <v>156877.55</v>
      </c>
      <c r="AT32" s="93">
        <v>58059.9</v>
      </c>
      <c r="AU32" s="93">
        <v>36233.5</v>
      </c>
      <c r="AV32" s="93">
        <v>21477.13</v>
      </c>
      <c r="AW32" s="93">
        <v>15.24</v>
      </c>
      <c r="AX32" s="96">
        <v>36.07</v>
      </c>
      <c r="AY32" s="96">
        <v>38.07</v>
      </c>
      <c r="AZ32" s="96">
        <v>38.07</v>
      </c>
      <c r="BA32" s="96"/>
      <c r="BB32" s="96"/>
      <c r="BC32" s="96"/>
      <c r="BD32" s="96"/>
      <c r="BE32" s="96"/>
      <c r="BF32" s="96"/>
      <c r="BG32" s="96"/>
      <c r="BH32" s="96"/>
      <c r="BI32" s="96"/>
      <c r="BJ32" s="96">
        <v>254.0</v>
      </c>
      <c r="BK32" s="96">
        <v>0.0</v>
      </c>
      <c r="BL32" s="96"/>
      <c r="BM32" s="96" t="s">
        <v>377</v>
      </c>
      <c r="BN32" s="96"/>
      <c r="BO32" s="96"/>
      <c r="BP32" s="96"/>
      <c r="BQ32" s="96">
        <v>0.0</v>
      </c>
      <c r="BR32" s="96"/>
      <c r="BS32" s="96"/>
      <c r="BT32" s="96"/>
      <c r="BU32" s="96"/>
      <c r="BV32" s="96"/>
      <c r="BW32" s="96"/>
      <c r="BX32" s="96"/>
      <c r="BY32" s="96"/>
      <c r="BZ32" s="90">
        <v>0.0</v>
      </c>
      <c r="CA32" s="90">
        <v>0.0</v>
      </c>
      <c r="CB32" s="90">
        <v>0.0</v>
      </c>
      <c r="CC32" s="90">
        <v>0.0</v>
      </c>
      <c r="CD32" s="90">
        <v>0.0</v>
      </c>
      <c r="CE32" s="90">
        <v>0.0</v>
      </c>
      <c r="CF32" s="90">
        <v>0.0</v>
      </c>
      <c r="CG32" s="90">
        <v>0.0</v>
      </c>
      <c r="CH32" s="90">
        <v>0.0</v>
      </c>
      <c r="CI32" s="90">
        <v>0.0</v>
      </c>
      <c r="CJ32" s="90">
        <v>0.0</v>
      </c>
      <c r="CK32" s="90">
        <v>0.0</v>
      </c>
      <c r="CL32" s="90">
        <v>0.0</v>
      </c>
      <c r="CM32" s="90">
        <v>0.0</v>
      </c>
      <c r="CN32" s="90">
        <v>0.0</v>
      </c>
      <c r="CO32" s="90">
        <v>0.0</v>
      </c>
      <c r="CP32" s="90">
        <v>0.0</v>
      </c>
      <c r="CQ32" s="90">
        <v>0.0</v>
      </c>
      <c r="CR32" s="90">
        <v>0.0</v>
      </c>
      <c r="CS32" s="90">
        <v>0.0</v>
      </c>
      <c r="CT32" s="90">
        <v>0.0</v>
      </c>
      <c r="CU32" s="90">
        <v>0.0</v>
      </c>
      <c r="CV32" s="90">
        <v>0.0</v>
      </c>
      <c r="CW32" s="90">
        <v>0.0</v>
      </c>
      <c r="CX32" s="100">
        <v>0.0</v>
      </c>
      <c r="CY32" s="100">
        <v>0.0</v>
      </c>
      <c r="CZ32" s="100">
        <v>0.0</v>
      </c>
      <c r="DA32" s="100">
        <v>0.0</v>
      </c>
      <c r="DB32" s="100">
        <v>0.0</v>
      </c>
      <c r="DC32" s="100">
        <v>0.0</v>
      </c>
      <c r="DD32" s="100">
        <v>0.0</v>
      </c>
      <c r="DE32" s="123">
        <v>0.0</v>
      </c>
      <c r="DF32" s="123">
        <v>0.0</v>
      </c>
      <c r="DG32" s="124">
        <v>0.0</v>
      </c>
      <c r="DH32" s="124">
        <v>0.0</v>
      </c>
      <c r="DI32" s="124">
        <v>0.0</v>
      </c>
    </row>
    <row r="33" ht="15.75" customHeight="1">
      <c r="A33" s="59" t="s">
        <v>202</v>
      </c>
      <c r="B33" s="89" t="s">
        <v>1302</v>
      </c>
      <c r="C33" s="102" t="s">
        <v>1303</v>
      </c>
      <c r="D33" s="63" t="s">
        <v>120</v>
      </c>
      <c r="E33" s="66" t="s">
        <v>199</v>
      </c>
      <c r="F33" s="106" t="s">
        <v>439</v>
      </c>
      <c r="G33" s="47" t="str">
        <f t="shared" si="1"/>
        <v>David</v>
      </c>
      <c r="H33" s="115" t="s">
        <v>224</v>
      </c>
      <c r="I33" s="74" t="s">
        <v>66</v>
      </c>
      <c r="J33" s="63" t="str">
        <f t="shared" si="7"/>
        <v>Sim</v>
      </c>
      <c r="K33" s="104">
        <v>43873.0</v>
      </c>
      <c r="L33" s="105"/>
      <c r="M33" s="106" t="s">
        <v>361</v>
      </c>
      <c r="N33" s="107">
        <v>0.02</v>
      </c>
      <c r="O33" s="81" t="s">
        <v>35</v>
      </c>
      <c r="P33" s="82">
        <v>0.2</v>
      </c>
      <c r="Q33" s="59" t="s">
        <v>1311</v>
      </c>
      <c r="R33" s="70"/>
      <c r="S33" s="62" t="s">
        <v>194</v>
      </c>
      <c r="T33" s="108" t="s">
        <v>1313</v>
      </c>
      <c r="U33" s="109" t="s">
        <v>1315</v>
      </c>
      <c r="V33" s="110" t="s">
        <v>1317</v>
      </c>
      <c r="W33" s="111">
        <v>28679.0</v>
      </c>
      <c r="X33" s="112" t="s">
        <v>199</v>
      </c>
      <c r="Y33" s="87" t="str">
        <f t="shared" si="3"/>
        <v>Encerrado</v>
      </c>
      <c r="Z33" s="62"/>
      <c r="AA33" s="62"/>
      <c r="AB33" s="32" t="s">
        <v>244</v>
      </c>
      <c r="AC33" s="89"/>
      <c r="AD33" s="89"/>
      <c r="AE33" s="91"/>
      <c r="AF33" s="93">
        <v>0.0</v>
      </c>
      <c r="AG33" s="93">
        <v>0.0</v>
      </c>
      <c r="AH33" s="93">
        <v>0.0</v>
      </c>
      <c r="AI33" s="93">
        <v>0.0</v>
      </c>
      <c r="AJ33" s="93">
        <v>59919.62</v>
      </c>
      <c r="AK33" s="93">
        <v>109434.3</v>
      </c>
      <c r="AL33" s="93">
        <v>116074.11</v>
      </c>
      <c r="AM33" s="93">
        <v>119974.57</v>
      </c>
      <c r="AN33" s="93">
        <v>124954.96</v>
      </c>
      <c r="AO33" s="93">
        <v>128929.13</v>
      </c>
      <c r="AP33" s="93">
        <v>124146.77</v>
      </c>
      <c r="AQ33" s="93">
        <v>114212.47</v>
      </c>
      <c r="AR33" s="93">
        <v>114147.96</v>
      </c>
      <c r="AS33" s="93">
        <v>132377.53</v>
      </c>
      <c r="AT33" s="93">
        <v>178208.97</v>
      </c>
      <c r="AU33" s="93">
        <v>170733.59</v>
      </c>
      <c r="AV33" s="93">
        <v>159792.62</v>
      </c>
      <c r="AW33" s="93">
        <v>159488.48</v>
      </c>
      <c r="AX33" s="96">
        <v>177919.62</v>
      </c>
      <c r="AY33" s="96">
        <v>172715.47</v>
      </c>
      <c r="AZ33" s="96">
        <v>172747.92</v>
      </c>
      <c r="BA33" s="96">
        <v>178256.34</v>
      </c>
      <c r="BB33" s="96">
        <v>174498.47</v>
      </c>
      <c r="BC33" s="96">
        <v>173155.47</v>
      </c>
      <c r="BD33" s="96">
        <v>164718.4</v>
      </c>
      <c r="BE33" s="96">
        <v>155602.57</v>
      </c>
      <c r="BF33" s="96">
        <v>147526.63</v>
      </c>
      <c r="BG33" s="96">
        <v>133318.86</v>
      </c>
      <c r="BH33" s="96">
        <v>143880.47</v>
      </c>
      <c r="BI33" s="96"/>
      <c r="BJ33" s="96">
        <v>0.0</v>
      </c>
      <c r="BK33" s="96">
        <v>0.0</v>
      </c>
      <c r="BL33" s="96"/>
      <c r="BM33" s="96" t="s">
        <v>377</v>
      </c>
      <c r="BN33" s="96"/>
      <c r="BO33" s="96"/>
      <c r="BP33" s="96"/>
      <c r="BQ33" s="96">
        <v>0.0</v>
      </c>
      <c r="BR33" s="96"/>
      <c r="BS33" s="96"/>
      <c r="BT33" s="96"/>
      <c r="BU33" s="96"/>
      <c r="BV33" s="96"/>
      <c r="BW33" s="96"/>
      <c r="BX33" s="96"/>
      <c r="BY33" s="96"/>
      <c r="BZ33" s="90">
        <v>0.0</v>
      </c>
      <c r="CA33" s="90">
        <v>0.0</v>
      </c>
      <c r="CB33" s="90">
        <v>0.0</v>
      </c>
      <c r="CC33" s="90">
        <v>0.0</v>
      </c>
      <c r="CD33" s="90">
        <v>0.0</v>
      </c>
      <c r="CE33" s="90">
        <v>0.0</v>
      </c>
      <c r="CF33" s="90">
        <v>0.0</v>
      </c>
      <c r="CG33" s="90">
        <v>0.0</v>
      </c>
      <c r="CH33" s="90">
        <v>0.0</v>
      </c>
      <c r="CI33" s="90">
        <v>0.0</v>
      </c>
      <c r="CJ33" s="90">
        <v>0.0</v>
      </c>
      <c r="CK33" s="90">
        <v>0.0</v>
      </c>
      <c r="CL33" s="90">
        <v>0.0</v>
      </c>
      <c r="CM33" s="90">
        <v>0.0</v>
      </c>
      <c r="CN33" s="90">
        <v>0.0</v>
      </c>
      <c r="CO33" s="90">
        <v>0.0</v>
      </c>
      <c r="CP33" s="90">
        <v>0.0</v>
      </c>
      <c r="CQ33" s="90">
        <v>0.0</v>
      </c>
      <c r="CR33" s="90">
        <v>0.0</v>
      </c>
      <c r="CS33" s="90">
        <v>0.0</v>
      </c>
      <c r="CT33" s="90">
        <v>0.0</v>
      </c>
      <c r="CU33" s="90">
        <v>0.0</v>
      </c>
      <c r="CV33" s="90">
        <v>0.0</v>
      </c>
      <c r="CW33" s="90">
        <v>0.0</v>
      </c>
      <c r="CX33" s="100">
        <v>0.0</v>
      </c>
      <c r="CY33" s="100">
        <v>0.0</v>
      </c>
      <c r="CZ33" s="100">
        <v>0.0</v>
      </c>
      <c r="DA33" s="100">
        <v>0.0</v>
      </c>
      <c r="DB33" s="100">
        <v>0.0</v>
      </c>
      <c r="DC33" s="100">
        <v>0.0</v>
      </c>
      <c r="DD33" s="100">
        <v>0.0</v>
      </c>
      <c r="DE33" s="123">
        <v>0.0</v>
      </c>
      <c r="DF33" s="123">
        <v>0.0</v>
      </c>
      <c r="DG33" s="124">
        <v>0.0</v>
      </c>
      <c r="DH33" s="124">
        <v>0.0</v>
      </c>
      <c r="DI33" s="124">
        <v>0.0</v>
      </c>
    </row>
    <row r="34" ht="15.75" customHeight="1">
      <c r="A34" s="201"/>
      <c r="B34" s="201"/>
      <c r="C34" s="202"/>
      <c r="D34" s="203"/>
      <c r="E34" s="203"/>
      <c r="F34" s="203"/>
      <c r="G34" s="203"/>
      <c r="H34" s="203"/>
      <c r="I34" s="203"/>
      <c r="J34" s="203"/>
      <c r="K34" s="204"/>
      <c r="L34" s="204"/>
      <c r="M34" s="203"/>
      <c r="N34" s="205"/>
      <c r="O34" s="205"/>
      <c r="P34" s="206"/>
      <c r="Q34" s="207"/>
      <c r="R34" s="207"/>
      <c r="S34" s="203"/>
      <c r="T34" s="208"/>
      <c r="U34" s="208"/>
      <c r="V34" s="208"/>
      <c r="W34" s="208"/>
      <c r="X34" s="203"/>
      <c r="Y34" s="209"/>
      <c r="Z34" s="204"/>
      <c r="AA34" s="204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0"/>
      <c r="BQ34" s="210"/>
      <c r="BR34" s="210"/>
      <c r="BS34" s="210"/>
      <c r="BT34" s="210"/>
      <c r="BU34" s="210"/>
      <c r="BV34" s="210"/>
      <c r="BW34" s="210"/>
      <c r="BX34" s="210"/>
      <c r="BY34" s="210"/>
      <c r="BZ34" s="210"/>
      <c r="CA34" s="210"/>
      <c r="CB34" s="210"/>
      <c r="CC34" s="210"/>
      <c r="CD34" s="210"/>
      <c r="CE34" s="210"/>
      <c r="CF34" s="210"/>
      <c r="CG34" s="210"/>
      <c r="CH34" s="210"/>
      <c r="CI34" s="210"/>
      <c r="CJ34" s="210"/>
      <c r="CK34" s="210"/>
      <c r="CL34" s="210"/>
      <c r="CM34" s="210"/>
      <c r="CN34" s="210"/>
      <c r="CO34" s="210"/>
      <c r="CP34" s="210"/>
      <c r="CQ34" s="210"/>
      <c r="CR34" s="210"/>
      <c r="CS34" s="210"/>
      <c r="CT34" s="210"/>
      <c r="CU34" s="210"/>
      <c r="CV34" s="210"/>
      <c r="CW34" s="210"/>
      <c r="CX34" s="210"/>
      <c r="CY34" s="210"/>
      <c r="CZ34" s="210"/>
      <c r="DA34" s="210"/>
      <c r="DB34" s="210"/>
      <c r="DC34" s="210"/>
      <c r="DD34" s="210"/>
      <c r="DE34" s="210"/>
      <c r="DF34" s="210"/>
      <c r="DG34" s="210"/>
      <c r="DH34" s="210"/>
      <c r="DI34" s="210"/>
    </row>
    <row r="35" ht="15.75" customHeight="1">
      <c r="A35" s="211"/>
      <c r="B35" s="212" t="s">
        <v>1353</v>
      </c>
      <c r="C35" s="213">
        <f>COUNTIF(H:H,"Ativo")</f>
        <v>5</v>
      </c>
      <c r="D35" s="214"/>
      <c r="E35" s="214"/>
      <c r="F35" s="215"/>
      <c r="G35" s="216"/>
      <c r="H35" s="216"/>
      <c r="I35" s="216"/>
      <c r="J35" s="216"/>
      <c r="K35" s="217"/>
      <c r="L35" s="218"/>
      <c r="M35" s="216"/>
      <c r="N35" s="205"/>
      <c r="O35" s="205"/>
      <c r="P35" s="206"/>
      <c r="Q35" s="207"/>
      <c r="R35" s="207"/>
      <c r="S35" s="203"/>
      <c r="T35" s="219"/>
      <c r="U35" s="219"/>
      <c r="V35" s="219"/>
      <c r="W35" s="219"/>
      <c r="Y35" s="209"/>
      <c r="Z35" s="220"/>
      <c r="AA35" s="220"/>
      <c r="AB35" s="218"/>
      <c r="AC35" s="218"/>
      <c r="AD35" s="218"/>
      <c r="AE35" s="218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21"/>
      <c r="BB35" s="221"/>
      <c r="BC35" s="210"/>
      <c r="BD35" s="210"/>
      <c r="BE35" s="210"/>
      <c r="BF35" s="210"/>
      <c r="BG35" s="210"/>
      <c r="BH35" s="210"/>
      <c r="BI35" s="210"/>
      <c r="BJ35" s="222"/>
      <c r="BK35" s="222"/>
      <c r="BL35" s="210"/>
      <c r="BM35" s="210"/>
      <c r="BN35" s="210"/>
      <c r="BO35" s="210"/>
      <c r="BP35" s="210"/>
      <c r="BQ35" s="210"/>
      <c r="BR35" s="210"/>
      <c r="BS35" s="210"/>
      <c r="BT35" s="210"/>
      <c r="BU35" s="210"/>
      <c r="BV35" s="210"/>
      <c r="BW35" s="210"/>
      <c r="BX35" s="210"/>
      <c r="BY35" s="210"/>
      <c r="BZ35" s="210"/>
      <c r="CA35" s="210"/>
      <c r="CB35" s="210"/>
      <c r="CC35" s="210"/>
      <c r="CD35" s="210"/>
      <c r="CE35" s="210"/>
      <c r="CF35" s="210"/>
      <c r="CG35" s="210"/>
      <c r="CH35" s="210"/>
      <c r="CI35" s="210"/>
      <c r="CJ35" s="210"/>
      <c r="CK35" s="210"/>
      <c r="CL35" s="210"/>
      <c r="CM35" s="210"/>
      <c r="CN35" s="210"/>
      <c r="CO35" s="210"/>
      <c r="CP35" s="210"/>
      <c r="CQ35" s="210"/>
      <c r="CR35" s="210"/>
      <c r="CS35" s="210"/>
      <c r="CT35" s="210"/>
      <c r="CU35" s="210"/>
      <c r="CV35" s="210"/>
      <c r="CW35" s="210"/>
      <c r="CX35" s="210"/>
      <c r="CY35" s="210"/>
      <c r="CZ35" s="210"/>
      <c r="DA35" s="210"/>
      <c r="DB35" s="210"/>
      <c r="DC35" s="210"/>
      <c r="DD35" s="210"/>
      <c r="DE35" s="210"/>
      <c r="DF35" s="210"/>
      <c r="DG35" s="210"/>
      <c r="DH35" s="210"/>
      <c r="DI35" s="210"/>
    </row>
    <row r="36" ht="15.75" customHeight="1">
      <c r="A36" s="223"/>
      <c r="B36" s="224" t="s">
        <v>1370</v>
      </c>
      <c r="C36" s="227">
        <f>COUNTIF(H:H,"Inativo")</f>
        <v>13</v>
      </c>
      <c r="D36" s="214"/>
      <c r="E36" s="214"/>
      <c r="F36" s="215"/>
      <c r="G36" s="216"/>
      <c r="H36" s="216"/>
      <c r="I36" s="216"/>
      <c r="J36" s="216"/>
      <c r="K36" s="217"/>
      <c r="L36" s="218"/>
      <c r="M36" s="216"/>
      <c r="N36" s="205"/>
      <c r="O36" s="205"/>
      <c r="P36" s="206"/>
      <c r="Q36" s="207"/>
      <c r="R36" s="207"/>
      <c r="S36" s="203"/>
      <c r="T36" s="219"/>
      <c r="U36" s="219"/>
      <c r="V36" s="219"/>
      <c r="W36" s="219"/>
      <c r="Y36" s="209"/>
      <c r="Z36" s="220"/>
      <c r="AA36" s="220"/>
      <c r="AB36" s="218"/>
      <c r="AC36" s="218"/>
      <c r="AD36" s="218"/>
      <c r="AE36" s="218"/>
      <c r="AF36" s="230">
        <f t="shared" ref="AF36:AO36" si="8">SUM(AF6:AF34)</f>
        <v>570880.98</v>
      </c>
      <c r="AG36" s="230">
        <f t="shared" si="8"/>
        <v>590500.34</v>
      </c>
      <c r="AH36" s="230">
        <f t="shared" si="8"/>
        <v>597772.76</v>
      </c>
      <c r="AI36" s="230">
        <f t="shared" si="8"/>
        <v>679058.96</v>
      </c>
      <c r="AJ36" s="230">
        <f t="shared" si="8"/>
        <v>1088728.14</v>
      </c>
      <c r="AK36" s="230">
        <f t="shared" si="8"/>
        <v>1086396.13</v>
      </c>
      <c r="AL36" s="230">
        <f t="shared" si="8"/>
        <v>1522166.71</v>
      </c>
      <c r="AM36" s="231">
        <f t="shared" si="8"/>
        <v>1595248.38</v>
      </c>
      <c r="AN36" s="231">
        <f t="shared" si="8"/>
        <v>1501446.5</v>
      </c>
      <c r="AO36" s="231">
        <f t="shared" si="8"/>
        <v>1635918.74</v>
      </c>
      <c r="AP36" s="231">
        <f t="shared" ref="AP36:BI36" si="9">SUM(AP3:AP34)</f>
        <v>1858426.85</v>
      </c>
      <c r="AQ36" s="231">
        <f t="shared" si="9"/>
        <v>1762333.51</v>
      </c>
      <c r="AR36" s="231">
        <f t="shared" si="9"/>
        <v>1651654.53</v>
      </c>
      <c r="AS36" s="231">
        <f t="shared" si="9"/>
        <v>1795035.57</v>
      </c>
      <c r="AT36" s="231">
        <f t="shared" si="9"/>
        <v>1845220.18</v>
      </c>
      <c r="AU36" s="231">
        <f t="shared" si="9"/>
        <v>1771301.24</v>
      </c>
      <c r="AV36" s="231">
        <f t="shared" si="9"/>
        <v>1737018.41</v>
      </c>
      <c r="AW36" s="231">
        <f t="shared" si="9"/>
        <v>1727127.82</v>
      </c>
      <c r="AX36" s="231">
        <f t="shared" si="9"/>
        <v>1804969.56</v>
      </c>
      <c r="AY36" s="231">
        <f t="shared" si="9"/>
        <v>1894663.88</v>
      </c>
      <c r="AZ36" s="231">
        <f t="shared" si="9"/>
        <v>1898739.91</v>
      </c>
      <c r="BA36" s="231">
        <f t="shared" si="9"/>
        <v>1970779.36</v>
      </c>
      <c r="BB36" s="231">
        <f t="shared" si="9"/>
        <v>1963474.16</v>
      </c>
      <c r="BC36" s="231">
        <f t="shared" si="9"/>
        <v>1928242.68</v>
      </c>
      <c r="BD36" s="231">
        <f t="shared" si="9"/>
        <v>2104611.99</v>
      </c>
      <c r="BE36" s="231">
        <f t="shared" si="9"/>
        <v>1932964.63</v>
      </c>
      <c r="BF36" s="231">
        <f t="shared" si="9"/>
        <v>1856036.24</v>
      </c>
      <c r="BG36" s="231">
        <f t="shared" si="9"/>
        <v>1738371.17</v>
      </c>
      <c r="BH36" s="231">
        <f t="shared" si="9"/>
        <v>1743145.78</v>
      </c>
      <c r="BI36" s="231">
        <f t="shared" si="9"/>
        <v>1587851.459</v>
      </c>
      <c r="BJ36" s="230">
        <f>SUM(BJ7:BJ35)</f>
        <v>1331952.37</v>
      </c>
      <c r="BK36" s="230">
        <f t="shared" ref="BK36:DI36" si="10">SUM(BK3:BK35)</f>
        <v>1111183.76</v>
      </c>
      <c r="BL36" s="230">
        <f t="shared" si="10"/>
        <v>1599897.68</v>
      </c>
      <c r="BM36" s="230">
        <f t="shared" si="10"/>
        <v>1447444.11</v>
      </c>
      <c r="BN36" s="230">
        <f t="shared" si="10"/>
        <v>1291021.25</v>
      </c>
      <c r="BO36" s="230">
        <f t="shared" si="10"/>
        <v>1303994.07</v>
      </c>
      <c r="BP36" s="230">
        <f t="shared" si="10"/>
        <v>2345939.48</v>
      </c>
      <c r="BQ36" s="230">
        <f t="shared" si="10"/>
        <v>2414421.2</v>
      </c>
      <c r="BR36" s="230">
        <f t="shared" si="10"/>
        <v>2385128</v>
      </c>
      <c r="BS36" s="230">
        <f t="shared" si="10"/>
        <v>2414219.87</v>
      </c>
      <c r="BT36" s="230">
        <f t="shared" si="10"/>
        <v>1288297.43</v>
      </c>
      <c r="BU36" s="230">
        <f t="shared" si="10"/>
        <v>1205140.26</v>
      </c>
      <c r="BV36" s="230">
        <f t="shared" si="10"/>
        <v>2421812.08</v>
      </c>
      <c r="BW36" s="230">
        <f t="shared" si="10"/>
        <v>2792854.51</v>
      </c>
      <c r="BX36" s="230">
        <f t="shared" si="10"/>
        <v>2855094.53</v>
      </c>
      <c r="BY36" s="230">
        <f t="shared" si="10"/>
        <v>3007639.93</v>
      </c>
      <c r="BZ36" s="230">
        <f t="shared" si="10"/>
        <v>3007639.93</v>
      </c>
      <c r="CA36" s="230">
        <f t="shared" si="10"/>
        <v>1994313.07</v>
      </c>
      <c r="CB36" s="230">
        <f t="shared" si="10"/>
        <v>1896026.83</v>
      </c>
      <c r="CC36" s="230">
        <f t="shared" si="10"/>
        <v>1932900</v>
      </c>
      <c r="CD36" s="230">
        <f t="shared" si="10"/>
        <v>1960612.38</v>
      </c>
      <c r="CE36" s="230">
        <f t="shared" si="10"/>
        <v>1880858.77</v>
      </c>
      <c r="CF36" s="230">
        <f t="shared" si="10"/>
        <v>1124357.34</v>
      </c>
      <c r="CG36" s="230">
        <f t="shared" si="10"/>
        <v>1059951.47</v>
      </c>
      <c r="CH36" s="230">
        <f t="shared" si="10"/>
        <v>1001755.77</v>
      </c>
      <c r="CI36" s="230">
        <f t="shared" si="10"/>
        <v>782120.84</v>
      </c>
      <c r="CJ36" s="230">
        <f t="shared" si="10"/>
        <v>779771.01</v>
      </c>
      <c r="CK36" s="230">
        <f t="shared" si="10"/>
        <v>781285.67</v>
      </c>
      <c r="CL36" s="230">
        <f t="shared" si="10"/>
        <v>789613.61</v>
      </c>
      <c r="CM36" s="230">
        <f t="shared" si="10"/>
        <v>794693.97</v>
      </c>
      <c r="CN36" s="230">
        <f t="shared" si="10"/>
        <v>792757.33</v>
      </c>
      <c r="CO36" s="230">
        <f t="shared" si="10"/>
        <v>791400.43</v>
      </c>
      <c r="CP36" s="230">
        <f t="shared" si="10"/>
        <v>787086.22</v>
      </c>
      <c r="CQ36" s="230">
        <f t="shared" si="10"/>
        <v>553855.83</v>
      </c>
      <c r="CR36" s="230">
        <f t="shared" si="10"/>
        <v>788061.03</v>
      </c>
      <c r="CS36" s="230">
        <f t="shared" si="10"/>
        <v>795134.8</v>
      </c>
      <c r="CT36" s="230">
        <f t="shared" si="10"/>
        <v>807070.72</v>
      </c>
      <c r="CU36" s="230">
        <f t="shared" si="10"/>
        <v>2276112.68</v>
      </c>
      <c r="CV36" s="230">
        <f t="shared" si="10"/>
        <v>2089398.34</v>
      </c>
      <c r="CW36" s="230">
        <f t="shared" si="10"/>
        <v>2182892.34</v>
      </c>
      <c r="CX36" s="230">
        <f t="shared" si="10"/>
        <v>3094749.38</v>
      </c>
      <c r="CY36" s="230">
        <f t="shared" si="10"/>
        <v>2867804.88</v>
      </c>
      <c r="CZ36" s="230">
        <f t="shared" si="10"/>
        <v>3262624.41</v>
      </c>
      <c r="DA36" s="230">
        <f t="shared" si="10"/>
        <v>3216778.76</v>
      </c>
      <c r="DB36" s="230">
        <f t="shared" si="10"/>
        <v>3265114.51</v>
      </c>
      <c r="DC36" s="230">
        <f t="shared" si="10"/>
        <v>3394271.56</v>
      </c>
      <c r="DD36" s="230">
        <f t="shared" si="10"/>
        <v>3420913.75</v>
      </c>
      <c r="DE36" s="230">
        <f t="shared" si="10"/>
        <v>3503745.75</v>
      </c>
      <c r="DF36" s="230">
        <f t="shared" si="10"/>
        <v>3637308.79</v>
      </c>
      <c r="DG36" s="230">
        <f t="shared" si="10"/>
        <v>3773172.89</v>
      </c>
      <c r="DH36" s="230">
        <f t="shared" si="10"/>
        <v>3837511.56</v>
      </c>
      <c r="DI36" s="230">
        <f t="shared" si="10"/>
        <v>3527833.37</v>
      </c>
    </row>
    <row r="37" ht="15.75" customHeight="1">
      <c r="A37" s="223"/>
      <c r="B37" s="224" t="s">
        <v>1407</v>
      </c>
      <c r="C37" s="227">
        <f>COUNTIF(H:H,"Encerrado")</f>
        <v>13</v>
      </c>
      <c r="D37" s="214"/>
      <c r="E37" s="214"/>
      <c r="F37" s="215"/>
      <c r="G37" s="216"/>
      <c r="H37" s="216"/>
      <c r="I37" s="216"/>
      <c r="J37" s="216"/>
      <c r="K37" s="217"/>
      <c r="L37" s="218"/>
      <c r="M37" s="216"/>
      <c r="N37" s="205"/>
      <c r="O37" s="205"/>
      <c r="P37" s="206"/>
      <c r="Q37" s="207"/>
      <c r="R37" s="207"/>
      <c r="S37" s="203"/>
      <c r="T37" s="219"/>
      <c r="U37" s="219"/>
      <c r="V37" s="219"/>
      <c r="W37" s="219"/>
      <c r="Y37" s="209"/>
      <c r="Z37" s="220"/>
      <c r="AA37" s="220"/>
      <c r="AB37" s="218"/>
      <c r="AC37" s="218"/>
      <c r="AD37" s="218"/>
      <c r="AE37" s="218"/>
      <c r="AF37" s="210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03"/>
      <c r="AR37" s="203"/>
      <c r="AS37" s="203"/>
      <c r="AT37" s="203"/>
      <c r="AU37" s="203"/>
      <c r="AV37" s="203"/>
      <c r="AW37" s="203"/>
      <c r="AX37" s="221"/>
      <c r="AY37" s="221"/>
      <c r="AZ37" s="210"/>
      <c r="BA37" s="210"/>
      <c r="BB37" s="210"/>
      <c r="BC37" s="210"/>
      <c r="BD37" s="210"/>
      <c r="BE37" s="210"/>
      <c r="BF37" s="210"/>
      <c r="BG37" s="210"/>
      <c r="BH37" s="210"/>
      <c r="BI37" s="210"/>
      <c r="BJ37" s="210"/>
      <c r="BK37" s="210"/>
      <c r="BL37" s="210"/>
      <c r="BM37" s="210"/>
      <c r="BN37" s="210"/>
      <c r="BO37" s="210"/>
      <c r="BP37" s="210"/>
      <c r="BQ37" s="210"/>
      <c r="BR37" s="210"/>
      <c r="BS37" s="210"/>
      <c r="BT37" s="210"/>
      <c r="BU37" s="210"/>
      <c r="BV37" s="210"/>
      <c r="BW37" s="210"/>
      <c r="BX37" s="210"/>
      <c r="BY37" s="210"/>
      <c r="BZ37" s="210"/>
      <c r="CA37" s="210"/>
      <c r="CB37" s="210"/>
      <c r="CC37" s="210"/>
      <c r="CD37" s="210"/>
      <c r="CE37" s="210"/>
      <c r="CF37" s="210"/>
      <c r="CG37" s="210"/>
      <c r="CH37" s="210"/>
      <c r="CI37" s="210"/>
      <c r="CJ37" s="210"/>
      <c r="CK37" s="210"/>
      <c r="CL37" s="210"/>
      <c r="CM37" s="210"/>
      <c r="CN37" s="210"/>
      <c r="CO37" s="210"/>
      <c r="CP37" s="210"/>
      <c r="CQ37" s="210"/>
      <c r="CR37" s="210"/>
      <c r="CS37" s="210"/>
      <c r="CT37" s="210"/>
      <c r="CU37" s="210"/>
      <c r="CV37" s="210"/>
      <c r="CW37" s="210"/>
      <c r="CX37" s="210"/>
      <c r="CY37" s="210"/>
      <c r="CZ37" s="210"/>
      <c r="DA37" s="210"/>
      <c r="DB37" s="210"/>
      <c r="DC37" s="210"/>
      <c r="DD37" s="210"/>
      <c r="DE37" s="210"/>
      <c r="DF37" s="210"/>
      <c r="DG37" s="210"/>
      <c r="DH37" s="210"/>
      <c r="DI37" s="210"/>
    </row>
    <row r="38" ht="15.75" customHeight="1">
      <c r="A38" s="233"/>
      <c r="B38" s="234" t="s">
        <v>1426</v>
      </c>
      <c r="C38" s="235">
        <f>COUNTIF(H:H,"Pode Operar")</f>
        <v>0</v>
      </c>
      <c r="D38" s="214"/>
      <c r="E38" s="214"/>
      <c r="F38" s="236"/>
      <c r="G38" s="216"/>
      <c r="H38" s="216"/>
      <c r="I38" s="216"/>
      <c r="J38" s="216"/>
      <c r="K38" s="217"/>
      <c r="L38" s="204"/>
      <c r="M38" s="203"/>
      <c r="N38" s="205"/>
      <c r="O38" s="205"/>
      <c r="P38" s="206"/>
      <c r="Q38" s="207"/>
      <c r="R38" s="207"/>
      <c r="S38" s="203"/>
      <c r="T38" s="219"/>
      <c r="U38" s="219"/>
      <c r="V38" s="219"/>
      <c r="W38" s="219"/>
      <c r="Y38" s="209"/>
      <c r="Z38" s="204"/>
      <c r="AA38" s="204"/>
      <c r="AB38" s="204"/>
      <c r="AC38" s="204"/>
      <c r="AD38" s="204"/>
      <c r="AE38" s="204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03"/>
      <c r="AR38" s="203"/>
      <c r="AS38" s="203"/>
      <c r="AT38" s="203"/>
      <c r="AU38" s="203"/>
      <c r="AV38" s="203"/>
      <c r="AW38" s="203"/>
      <c r="AX38" s="221"/>
      <c r="AY38" s="221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0"/>
      <c r="BN38" s="210"/>
      <c r="BO38" s="210"/>
      <c r="BP38" s="210"/>
      <c r="BQ38" s="210"/>
      <c r="BR38" s="210"/>
      <c r="BS38" s="210"/>
      <c r="BT38" s="210"/>
      <c r="BU38" s="210"/>
      <c r="BV38" s="210"/>
      <c r="BW38" s="210"/>
      <c r="BX38" s="210"/>
      <c r="BY38" s="210"/>
      <c r="BZ38" s="210"/>
      <c r="CA38" s="210"/>
      <c r="CB38" s="210"/>
      <c r="CC38" s="210"/>
      <c r="CD38" s="210"/>
      <c r="CE38" s="210"/>
      <c r="CF38" s="210"/>
      <c r="CG38" s="210"/>
      <c r="CH38" s="210"/>
      <c r="CI38" s="210"/>
      <c r="CJ38" s="210"/>
      <c r="CK38" s="210"/>
      <c r="CL38" s="210"/>
      <c r="CM38" s="210"/>
      <c r="CN38" s="210"/>
      <c r="CO38" s="210"/>
      <c r="CP38" s="210"/>
      <c r="CQ38" s="210"/>
      <c r="CR38" s="210"/>
      <c r="CS38" s="210"/>
      <c r="CT38" s="210"/>
      <c r="CU38" s="210"/>
      <c r="CV38" s="210"/>
      <c r="CW38" s="210"/>
      <c r="CX38" s="210"/>
      <c r="CY38" s="210"/>
      <c r="CZ38" s="210"/>
      <c r="DA38" s="210"/>
      <c r="DB38" s="210"/>
      <c r="DC38" s="210"/>
      <c r="DD38" s="210"/>
      <c r="DE38" s="210"/>
      <c r="DF38" s="210"/>
      <c r="DG38" s="210"/>
      <c r="DH38" s="210"/>
      <c r="DI38" s="210"/>
    </row>
    <row r="39" ht="15.75" customHeight="1">
      <c r="A39" s="237"/>
      <c r="C39" s="238"/>
      <c r="D39" s="214"/>
      <c r="E39" s="214"/>
      <c r="F39" s="215"/>
      <c r="G39" s="216"/>
      <c r="H39" s="216"/>
      <c r="I39" s="216"/>
      <c r="J39" s="216"/>
      <c r="K39" s="217"/>
      <c r="L39" s="204"/>
      <c r="M39" s="203"/>
      <c r="N39" s="205"/>
      <c r="O39" s="205"/>
      <c r="P39" s="206"/>
      <c r="Q39" s="207"/>
      <c r="R39" s="207"/>
      <c r="S39" s="203"/>
      <c r="T39" s="203"/>
      <c r="U39" s="203"/>
      <c r="V39" s="203"/>
      <c r="W39" s="203"/>
      <c r="X39" s="203"/>
      <c r="Y39" s="209"/>
      <c r="Z39" s="204"/>
      <c r="AA39" s="204"/>
      <c r="AB39" s="204"/>
      <c r="AC39" s="204"/>
      <c r="AD39" s="204"/>
      <c r="AE39" s="204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03"/>
      <c r="AR39" s="203"/>
      <c r="AS39" s="203"/>
      <c r="AT39" s="203"/>
      <c r="AU39" s="203"/>
      <c r="AV39" s="203"/>
      <c r="AW39" s="203"/>
      <c r="AX39" s="221"/>
      <c r="AY39" s="221"/>
      <c r="AZ39" s="210"/>
      <c r="BA39" s="210"/>
      <c r="BB39" s="210"/>
      <c r="BC39" s="210"/>
      <c r="BD39" s="210"/>
      <c r="BE39" s="210"/>
      <c r="BF39" s="210"/>
      <c r="BG39" s="210"/>
      <c r="BH39" s="210"/>
      <c r="BI39" s="210"/>
      <c r="BJ39" s="210"/>
      <c r="BK39" s="210"/>
      <c r="BL39" s="210"/>
      <c r="BM39" s="210"/>
      <c r="BN39" s="210"/>
      <c r="BO39" s="210"/>
      <c r="BP39" s="210"/>
      <c r="BQ39" s="210"/>
      <c r="BR39" s="210"/>
      <c r="BS39" s="210"/>
      <c r="BT39" s="210"/>
      <c r="BU39" s="210"/>
      <c r="BV39" s="210"/>
      <c r="BW39" s="210"/>
      <c r="BX39" s="210"/>
      <c r="BY39" s="210"/>
      <c r="BZ39" s="210"/>
      <c r="CA39" s="210"/>
      <c r="CB39" s="210"/>
      <c r="CC39" s="210"/>
      <c r="CD39" s="210"/>
      <c r="CE39" s="210"/>
      <c r="CF39" s="210"/>
      <c r="CG39" s="210"/>
      <c r="CH39" s="210"/>
      <c r="CI39" s="210"/>
      <c r="CJ39" s="210"/>
      <c r="CK39" s="210"/>
      <c r="CL39" s="210"/>
      <c r="CM39" s="210"/>
      <c r="CN39" s="210"/>
      <c r="CO39" s="210"/>
      <c r="CP39" s="210"/>
      <c r="CQ39" s="210"/>
      <c r="CR39" s="210"/>
      <c r="CS39" s="210"/>
      <c r="CT39" s="210"/>
      <c r="CU39" s="210"/>
      <c r="CV39" s="210"/>
      <c r="CW39" s="210"/>
      <c r="CX39" s="210"/>
      <c r="CY39" s="210"/>
      <c r="CZ39" s="210"/>
      <c r="DA39" s="210"/>
      <c r="DB39" s="210"/>
      <c r="DC39" s="210"/>
      <c r="DD39" s="210"/>
      <c r="DE39" s="210"/>
      <c r="DF39" s="210"/>
      <c r="DG39" s="210"/>
      <c r="DH39" s="210"/>
      <c r="DI39" s="210"/>
    </row>
    <row r="40" ht="15.75" customHeight="1">
      <c r="A40" s="240"/>
      <c r="C40" s="238"/>
      <c r="D40" s="214"/>
      <c r="E40" s="214"/>
      <c r="F40" s="215"/>
      <c r="G40" s="216"/>
      <c r="H40" s="216"/>
      <c r="I40" s="216"/>
      <c r="J40" s="216"/>
      <c r="K40" s="217"/>
      <c r="L40" s="218"/>
      <c r="M40" s="216"/>
      <c r="N40" s="205"/>
      <c r="O40" s="205"/>
      <c r="P40" s="206"/>
      <c r="Q40" s="207"/>
      <c r="R40" s="207"/>
      <c r="S40" s="203"/>
      <c r="T40" s="241"/>
      <c r="U40" s="241"/>
      <c r="V40" s="241"/>
      <c r="W40" s="241"/>
      <c r="X40" s="203"/>
      <c r="Y40" s="209"/>
      <c r="Z40" s="218"/>
      <c r="AA40" s="218"/>
      <c r="AB40" s="218"/>
      <c r="AC40" s="218"/>
      <c r="AD40" s="218"/>
      <c r="AE40" s="218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03"/>
      <c r="AR40" s="203"/>
      <c r="AS40" s="203"/>
      <c r="AT40" s="203"/>
      <c r="AU40" s="203"/>
      <c r="AV40" s="203"/>
      <c r="AW40" s="203"/>
      <c r="AX40" s="221"/>
      <c r="AY40" s="221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10"/>
      <c r="BM40" s="210"/>
      <c r="BN40" s="210"/>
      <c r="BO40" s="210"/>
      <c r="BP40" s="210"/>
      <c r="BQ40" s="210"/>
      <c r="BR40" s="210"/>
      <c r="BS40" s="210"/>
      <c r="BT40" s="210"/>
      <c r="BU40" s="210"/>
      <c r="BV40" s="210"/>
      <c r="BW40" s="210"/>
      <c r="BX40" s="210"/>
      <c r="BY40" s="210"/>
      <c r="BZ40" s="210"/>
      <c r="CA40" s="210"/>
      <c r="CB40" s="210"/>
      <c r="CC40" s="210"/>
      <c r="CD40" s="210"/>
      <c r="CE40" s="210"/>
      <c r="CF40" s="210"/>
      <c r="CG40" s="210"/>
      <c r="CH40" s="210"/>
      <c r="CI40" s="210"/>
      <c r="CJ40" s="210"/>
      <c r="CK40" s="210"/>
      <c r="CL40" s="210"/>
      <c r="CM40" s="210"/>
      <c r="CN40" s="210"/>
      <c r="CO40" s="210"/>
      <c r="CP40" s="210"/>
      <c r="CQ40" s="210"/>
      <c r="CR40" s="210"/>
      <c r="CS40" s="210"/>
      <c r="CT40" s="210"/>
      <c r="CU40" s="210"/>
      <c r="CV40" s="210"/>
      <c r="CW40" s="210"/>
      <c r="CX40" s="210"/>
      <c r="CY40" s="210"/>
      <c r="CZ40" s="210"/>
      <c r="DA40" s="210"/>
      <c r="DB40" s="210"/>
      <c r="DC40" s="210"/>
      <c r="DD40" s="210"/>
      <c r="DE40" s="210"/>
      <c r="DF40" s="210"/>
      <c r="DG40" s="210"/>
      <c r="DH40" s="210"/>
      <c r="DI40" s="210"/>
    </row>
    <row r="41" ht="15.75" customHeight="1">
      <c r="A41" s="240"/>
      <c r="C41" s="238"/>
      <c r="D41" s="214"/>
      <c r="E41" s="214"/>
      <c r="F41" s="215"/>
      <c r="G41" s="216"/>
      <c r="H41" s="216"/>
      <c r="I41" s="216"/>
      <c r="J41" s="216"/>
      <c r="K41" s="217"/>
      <c r="L41" s="204"/>
      <c r="M41" s="203"/>
      <c r="N41" s="205"/>
      <c r="O41" s="205"/>
      <c r="P41" s="206"/>
      <c r="Q41" s="207"/>
      <c r="R41" s="207"/>
      <c r="S41" s="203"/>
      <c r="T41" s="241"/>
      <c r="U41" s="241"/>
      <c r="V41" s="241"/>
      <c r="W41" s="241"/>
      <c r="X41" s="203"/>
      <c r="Y41" s="209"/>
      <c r="Z41" s="204"/>
      <c r="AA41" s="204"/>
      <c r="AB41" s="204"/>
      <c r="AC41" s="204"/>
      <c r="AD41" s="204"/>
      <c r="AE41" s="204"/>
      <c r="AF41" s="210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03"/>
      <c r="AR41" s="203"/>
      <c r="AS41" s="203"/>
      <c r="AT41" s="203"/>
      <c r="AU41" s="203"/>
      <c r="AV41" s="203"/>
      <c r="AW41" s="203"/>
      <c r="AX41" s="221"/>
      <c r="AY41" s="221"/>
      <c r="AZ41" s="210"/>
      <c r="BA41" s="210"/>
      <c r="BB41" s="210"/>
      <c r="BC41" s="210"/>
      <c r="BD41" s="210"/>
      <c r="BE41" s="210"/>
      <c r="BF41" s="210"/>
      <c r="BG41" s="210"/>
      <c r="BH41" s="210"/>
      <c r="BI41" s="210"/>
      <c r="BJ41" s="210"/>
      <c r="BK41" s="210"/>
      <c r="BL41" s="210"/>
      <c r="BM41" s="210"/>
      <c r="BN41" s="210"/>
      <c r="BO41" s="210"/>
      <c r="BP41" s="210"/>
      <c r="BQ41" s="210"/>
      <c r="BR41" s="210"/>
      <c r="BS41" s="210"/>
      <c r="BT41" s="210"/>
      <c r="BU41" s="210"/>
      <c r="BV41" s="210"/>
      <c r="BW41" s="210"/>
      <c r="BX41" s="210"/>
      <c r="BY41" s="210"/>
      <c r="BZ41" s="210"/>
      <c r="CA41" s="210"/>
      <c r="CB41" s="210"/>
      <c r="CC41" s="210"/>
      <c r="CD41" s="210"/>
      <c r="CE41" s="210"/>
      <c r="CF41" s="210"/>
      <c r="CG41" s="210"/>
      <c r="CH41" s="210"/>
      <c r="CI41" s="210"/>
      <c r="CJ41" s="210"/>
      <c r="CK41" s="210"/>
      <c r="CL41" s="210"/>
      <c r="CM41" s="210"/>
      <c r="CN41" s="210"/>
      <c r="CO41" s="210"/>
      <c r="CP41" s="210"/>
      <c r="CQ41" s="210"/>
      <c r="CR41" s="210"/>
      <c r="CS41" s="210"/>
      <c r="CT41" s="210"/>
      <c r="CU41" s="210"/>
      <c r="CV41" s="210"/>
      <c r="CW41" s="210"/>
      <c r="CX41" s="210"/>
      <c r="CY41" s="210"/>
      <c r="CZ41" s="210"/>
      <c r="DA41" s="210"/>
      <c r="DB41" s="210"/>
      <c r="DC41" s="210"/>
      <c r="DD41" s="210"/>
      <c r="DE41" s="210"/>
      <c r="DF41" s="210"/>
      <c r="DG41" s="210"/>
      <c r="DH41" s="210"/>
      <c r="DI41" s="210"/>
    </row>
  </sheetData>
  <customSheetViews>
    <customSheetView guid="{A214FC91-2926-4021-8CFF-EA2F61021101}" filter="1" showAutoFilter="1">
      <autoFilter ref="$A$1:$CC$41">
        <filterColumn colId="7">
          <filters>
            <filter val="Inativo"/>
            <filter val="Ativo"/>
          </filters>
        </filterColumn>
      </autoFilter>
    </customSheetView>
    <customSheetView guid="{FBD4E7F3-FBBA-4389-B8DB-C6E19298F85D}" filter="1" showAutoFilter="1">
      <autoFilter ref="$A$2:$CF$33"/>
    </customSheetView>
  </customSheetViews>
  <mergeCells count="4">
    <mergeCell ref="A1:F1"/>
    <mergeCell ref="H1:I1"/>
    <mergeCell ref="J1:P1"/>
    <mergeCell ref="S1:AE1"/>
  </mergeCells>
  <conditionalFormatting sqref="E3:E33">
    <cfRule type="cellIs" dxfId="1" priority="1" operator="equal">
      <formula>"Conquest"</formula>
    </cfRule>
  </conditionalFormatting>
  <conditionalFormatting sqref="E3:E33">
    <cfRule type="cellIs" dxfId="2" priority="2" operator="equal">
      <formula>"Voga"</formula>
    </cfRule>
  </conditionalFormatting>
  <conditionalFormatting sqref="F41">
    <cfRule type="cellIs" dxfId="3" priority="3" operator="equal">
      <formula>"Bluemetrix"</formula>
    </cfRule>
  </conditionalFormatting>
  <conditionalFormatting sqref="Z3:AA33">
    <cfRule type="notContainsBlanks" dxfId="0" priority="4">
      <formula>LEN(TRIM(Z3))&gt;0</formula>
    </cfRule>
  </conditionalFormatting>
  <dataValidations>
    <dataValidation type="list" allowBlank="1" showErrorMessage="1" sqref="H3:H33">
      <formula1>"Ativo,Pode Operar,Inativo,Encerrado,Monitoramento,Sem PL,STVM,Alteração de C.A,Não Operar"</formula1>
    </dataValidation>
    <dataValidation type="list" allowBlank="1" showErrorMessage="1" sqref="Z3:AA33">
      <formula1>"Conservador,Moderado,Arrojado"</formula1>
    </dataValidation>
    <dataValidation type="list" allowBlank="1" showErrorMessage="1" sqref="Y3:Y33">
      <formula1>"Ativo,Inativo,Encerrado"</formula1>
    </dataValidation>
    <dataValidation type="list" allowBlank="1" showErrorMessage="1" sqref="D3:D33">
      <formula1>"Bluemetrix,Voga,Conquest"</formula1>
    </dataValidation>
    <dataValidation type="list" allowBlank="1" showErrorMessage="1" sqref="O3:O33">
      <formula1>"IBOVESPA,CDI,------,IFIX,SMLL,S&amp;P 500"</formula1>
    </dataValidation>
    <dataValidation type="list" allowBlank="1" showErrorMessage="1" sqref="AB3:AB33">
      <formula1>"Não Qualificado,Qualificado,Profissional"</formula1>
    </dataValidation>
    <dataValidation type="list" allowBlank="1" showErrorMessage="1" sqref="I3:I33">
      <formula1>"------,Sem Saldo,STVM Entrada,STVM Saída,Alteração de C.A,Monitoramento,Bloqueado,Resgate,Resgate Total, Troca de Assessoria,Distrato"</formula1>
    </dataValidation>
    <dataValidation type="list" allowBlank="1" showErrorMessage="1" sqref="E3:E33">
      <formula1>"DF,GO,SUL,SP"</formula1>
    </dataValidation>
    <dataValidation type="list" allowBlank="1" showErrorMessage="1" sqref="S3:S33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1.75"/>
    <col customWidth="1" min="22" max="22" width="26.13"/>
    <col customWidth="1" min="23" max="24" width="10.75"/>
    <col customWidth="1" min="25" max="25" width="14.13"/>
    <col customWidth="1" min="26" max="26" width="19.13"/>
    <col customWidth="1" min="27" max="27" width="20.63"/>
    <col customWidth="1" min="28" max="28" width="22.63"/>
    <col customWidth="1" min="29" max="31" width="20.13"/>
    <col customWidth="1" min="32" max="50" width="15.13"/>
  </cols>
  <sheetData>
    <row r="1" ht="15.75" customHeight="1">
      <c r="A1" s="130" t="s">
        <v>11</v>
      </c>
      <c r="B1" s="16"/>
      <c r="C1" s="16"/>
      <c r="D1" s="16"/>
      <c r="E1" s="16"/>
      <c r="F1" s="19"/>
      <c r="G1" s="131" t="s">
        <v>3</v>
      </c>
      <c r="H1" s="132" t="s">
        <v>6</v>
      </c>
      <c r="I1" s="19"/>
      <c r="J1" s="130" t="s">
        <v>11</v>
      </c>
      <c r="K1" s="16"/>
      <c r="L1" s="16"/>
      <c r="M1" s="16"/>
      <c r="N1" s="16"/>
      <c r="O1" s="16"/>
      <c r="P1" s="19"/>
      <c r="Q1" s="133" t="s">
        <v>10</v>
      </c>
      <c r="R1" s="134" t="s">
        <v>11</v>
      </c>
      <c r="S1" s="136" t="s">
        <v>13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9"/>
      <c r="AF1" s="138" t="s">
        <v>18</v>
      </c>
      <c r="AG1" s="138" t="s">
        <v>18</v>
      </c>
      <c r="AH1" s="138" t="s">
        <v>18</v>
      </c>
      <c r="AI1" s="138" t="s">
        <v>18</v>
      </c>
      <c r="AJ1" s="138" t="s">
        <v>18</v>
      </c>
      <c r="AK1" s="138" t="s">
        <v>18</v>
      </c>
      <c r="AL1" s="138" t="s">
        <v>18</v>
      </c>
      <c r="AM1" s="138" t="s">
        <v>18</v>
      </c>
      <c r="AN1" s="138" t="s">
        <v>18</v>
      </c>
      <c r="AO1" s="138" t="s">
        <v>18</v>
      </c>
      <c r="AP1" s="138" t="s">
        <v>18</v>
      </c>
      <c r="AQ1" s="138" t="s">
        <v>18</v>
      </c>
      <c r="AR1" s="138" t="s">
        <v>18</v>
      </c>
      <c r="AS1" s="138" t="s">
        <v>18</v>
      </c>
      <c r="AT1" s="138" t="s">
        <v>18</v>
      </c>
      <c r="AU1" s="138" t="s">
        <v>18</v>
      </c>
      <c r="AV1" s="138" t="s">
        <v>18</v>
      </c>
      <c r="AW1" s="138" t="s">
        <v>18</v>
      </c>
      <c r="AX1" s="138" t="s">
        <v>18</v>
      </c>
    </row>
    <row r="2" ht="15.75" customHeight="1">
      <c r="A2" s="25" t="s">
        <v>31</v>
      </c>
      <c r="B2" s="12" t="s">
        <v>33</v>
      </c>
      <c r="C2" s="25" t="s">
        <v>2</v>
      </c>
      <c r="D2" s="28" t="s">
        <v>4</v>
      </c>
      <c r="E2" s="28" t="s">
        <v>5</v>
      </c>
      <c r="F2" s="28" t="s">
        <v>7</v>
      </c>
      <c r="G2" s="28" t="s">
        <v>36</v>
      </c>
      <c r="H2" s="28" t="s">
        <v>37</v>
      </c>
      <c r="I2" s="28" t="s">
        <v>38</v>
      </c>
      <c r="J2" s="28" t="s">
        <v>39</v>
      </c>
      <c r="K2" s="25" t="s">
        <v>41</v>
      </c>
      <c r="L2" s="25" t="s">
        <v>42</v>
      </c>
      <c r="M2" s="25" t="s">
        <v>12</v>
      </c>
      <c r="N2" s="25" t="s">
        <v>45</v>
      </c>
      <c r="O2" s="12" t="s">
        <v>46</v>
      </c>
      <c r="P2" s="25" t="s">
        <v>16</v>
      </c>
      <c r="Q2" s="35" t="s">
        <v>9</v>
      </c>
      <c r="R2" s="36" t="s">
        <v>48</v>
      </c>
      <c r="S2" s="28" t="s">
        <v>50</v>
      </c>
      <c r="T2" s="12" t="s">
        <v>17</v>
      </c>
      <c r="U2" s="12" t="s">
        <v>19</v>
      </c>
      <c r="V2" s="12" t="s">
        <v>20</v>
      </c>
      <c r="W2" s="12" t="s">
        <v>21</v>
      </c>
      <c r="X2" s="25" t="s">
        <v>22</v>
      </c>
      <c r="Y2" s="41" t="s">
        <v>56</v>
      </c>
      <c r="Z2" s="12" t="s">
        <v>57</v>
      </c>
      <c r="AA2" s="12" t="s">
        <v>58</v>
      </c>
      <c r="AB2" s="25" t="s">
        <v>60</v>
      </c>
      <c r="AC2" s="38" t="s">
        <v>62</v>
      </c>
      <c r="AD2" s="38" t="s">
        <v>63</v>
      </c>
      <c r="AE2" s="38" t="s">
        <v>64</v>
      </c>
      <c r="AF2" s="46" t="s">
        <v>67</v>
      </c>
      <c r="AG2" s="46" t="s">
        <v>68</v>
      </c>
      <c r="AH2" s="46" t="s">
        <v>70</v>
      </c>
      <c r="AI2" s="46" t="s">
        <v>72</v>
      </c>
      <c r="AJ2" s="46" t="s">
        <v>74</v>
      </c>
      <c r="AK2" s="46" t="s">
        <v>75</v>
      </c>
      <c r="AL2" s="46" t="s">
        <v>76</v>
      </c>
      <c r="AM2" s="46" t="s">
        <v>78</v>
      </c>
      <c r="AN2" s="46" t="s">
        <v>79</v>
      </c>
      <c r="AO2" s="46" t="s">
        <v>81</v>
      </c>
      <c r="AP2" s="46" t="s">
        <v>82</v>
      </c>
      <c r="AQ2" s="46" t="s">
        <v>84</v>
      </c>
      <c r="AR2" s="46" t="s">
        <v>85</v>
      </c>
      <c r="AS2" s="46" t="s">
        <v>87</v>
      </c>
      <c r="AT2" s="46" t="s">
        <v>88</v>
      </c>
      <c r="AU2" s="46" t="s">
        <v>90</v>
      </c>
      <c r="AV2" s="46" t="s">
        <v>92</v>
      </c>
      <c r="AW2" s="46" t="s">
        <v>94</v>
      </c>
      <c r="AX2" s="46" t="s">
        <v>95</v>
      </c>
    </row>
    <row r="3" ht="15.75" customHeight="1">
      <c r="A3" s="140" t="s">
        <v>458</v>
      </c>
      <c r="B3" s="50" t="s">
        <v>459</v>
      </c>
      <c r="C3" s="141">
        <v>3251756.0</v>
      </c>
      <c r="D3" s="141" t="s">
        <v>89</v>
      </c>
      <c r="E3" s="63" t="s">
        <v>91</v>
      </c>
      <c r="F3" s="63" t="s">
        <v>193</v>
      </c>
      <c r="G3" s="47" t="str">
        <f t="shared" ref="G3:G96" si="1">IFS($AS$3:$AS$964&lt;=200000,"David",$AS$3:$AS$964&lt;=800000,"Gabriel", $AS$3:$AS$964&gt;800000,"Marcus")</f>
        <v>David</v>
      </c>
      <c r="H3" s="142" t="s">
        <v>295</v>
      </c>
      <c r="I3" s="49" t="s">
        <v>382</v>
      </c>
      <c r="J3" s="63" t="str">
        <f t="shared" ref="J3:J10" si="2">IF(Q3=0,"Não","Sim")</f>
        <v>Não</v>
      </c>
      <c r="K3" s="143">
        <v>44664.0</v>
      </c>
      <c r="L3" s="81"/>
      <c r="M3" s="81" t="s">
        <v>34</v>
      </c>
      <c r="N3" s="144">
        <v>0.012</v>
      </c>
      <c r="O3" s="141" t="s">
        <v>66</v>
      </c>
      <c r="P3" s="145">
        <v>0.0</v>
      </c>
      <c r="Q3" s="146"/>
      <c r="R3" s="70" t="s">
        <v>427</v>
      </c>
      <c r="S3" s="62" t="s">
        <v>194</v>
      </c>
      <c r="T3" s="22" t="s">
        <v>466</v>
      </c>
      <c r="U3" s="147" t="s">
        <v>467</v>
      </c>
      <c r="V3" s="147" t="s">
        <v>468</v>
      </c>
      <c r="W3" s="67">
        <v>25952.0</v>
      </c>
      <c r="X3" s="95" t="s">
        <v>221</v>
      </c>
      <c r="Y3" s="49" t="str">
        <f t="shared" ref="Y3:Y96" si="3">IFS(H:H="Encerrado","Encerrado",COUNTBLANK(AF3:AH3)&gt;0,"Ativo",SUM(AF3:AH3)=0,"Inativo",SUM(AF3:AH3)&gt;0,"Ativo")</f>
        <v>Ativo</v>
      </c>
      <c r="Z3" s="150"/>
      <c r="AA3" s="150"/>
      <c r="AB3" s="30"/>
      <c r="AC3" s="81"/>
      <c r="AD3" s="151">
        <v>45659.0</v>
      </c>
      <c r="AE3" s="30">
        <v>4.9075100017298E13</v>
      </c>
      <c r="AF3" s="65">
        <v>0.24</v>
      </c>
      <c r="AG3" s="65">
        <v>0.24</v>
      </c>
      <c r="AH3" s="65">
        <v>0.24</v>
      </c>
      <c r="AI3" s="65">
        <v>0.24</v>
      </c>
      <c r="AJ3" s="65">
        <v>0.24</v>
      </c>
      <c r="AK3" s="65">
        <v>0.24</v>
      </c>
      <c r="AL3" s="65">
        <v>0.0</v>
      </c>
      <c r="AM3" s="65">
        <v>67011.0</v>
      </c>
      <c r="AN3" s="65">
        <v>67011.0</v>
      </c>
      <c r="AO3" s="65">
        <v>67011.0</v>
      </c>
      <c r="AP3" s="65">
        <v>0.0</v>
      </c>
      <c r="AQ3" s="65">
        <v>0.0</v>
      </c>
      <c r="AR3" s="65">
        <v>0.0</v>
      </c>
      <c r="AS3" s="65">
        <v>0.0</v>
      </c>
      <c r="AT3" s="65">
        <v>0.0</v>
      </c>
      <c r="AU3" s="65">
        <v>0.0</v>
      </c>
      <c r="AV3" s="65">
        <v>0.0</v>
      </c>
      <c r="AW3" s="65">
        <v>0.0</v>
      </c>
      <c r="AX3" s="65">
        <v>0.0</v>
      </c>
    </row>
    <row r="4" ht="15.75" customHeight="1">
      <c r="A4" s="140" t="s">
        <v>458</v>
      </c>
      <c r="B4" s="50" t="s">
        <v>476</v>
      </c>
      <c r="C4" s="141">
        <v>3252345.0</v>
      </c>
      <c r="D4" s="63" t="s">
        <v>120</v>
      </c>
      <c r="E4" s="63" t="s">
        <v>199</v>
      </c>
      <c r="F4" s="30" t="s">
        <v>332</v>
      </c>
      <c r="G4" s="47" t="str">
        <f t="shared" si="1"/>
        <v>David</v>
      </c>
      <c r="H4" s="152" t="s">
        <v>183</v>
      </c>
      <c r="I4" s="74" t="s">
        <v>66</v>
      </c>
      <c r="J4" s="63" t="str">
        <f t="shared" si="2"/>
        <v>Não</v>
      </c>
      <c r="K4" s="143">
        <v>43816.0</v>
      </c>
      <c r="L4" s="81"/>
      <c r="M4" s="81" t="s">
        <v>34</v>
      </c>
      <c r="N4" s="144">
        <v>0.012</v>
      </c>
      <c r="O4" s="141" t="s">
        <v>66</v>
      </c>
      <c r="P4" s="145">
        <v>0.0</v>
      </c>
      <c r="Q4" s="146"/>
      <c r="R4" s="153" t="s">
        <v>481</v>
      </c>
      <c r="S4" s="62" t="s">
        <v>194</v>
      </c>
      <c r="T4" s="30" t="s">
        <v>482</v>
      </c>
      <c r="U4" s="147" t="s">
        <v>484</v>
      </c>
      <c r="V4" s="147" t="s">
        <v>486</v>
      </c>
      <c r="W4" s="154">
        <v>28058.0</v>
      </c>
      <c r="X4" s="81" t="s">
        <v>199</v>
      </c>
      <c r="Y4" s="49" t="str">
        <f t="shared" si="3"/>
        <v>Ativo</v>
      </c>
      <c r="Z4" s="150"/>
      <c r="AA4" s="150"/>
      <c r="AB4" s="30"/>
      <c r="AC4" s="81"/>
      <c r="AD4" s="151">
        <v>45659.0</v>
      </c>
      <c r="AE4" s="30">
        <v>4.9075100016658E13</v>
      </c>
      <c r="AF4" s="65">
        <v>43470.62</v>
      </c>
      <c r="AG4" s="65">
        <v>56677.57</v>
      </c>
      <c r="AH4" s="65">
        <v>56861.12</v>
      </c>
      <c r="AI4" s="65">
        <v>57738.82</v>
      </c>
      <c r="AJ4" s="65">
        <v>45111.23</v>
      </c>
      <c r="AK4" s="65">
        <v>45463.68</v>
      </c>
      <c r="AL4" s="65">
        <v>45942.7</v>
      </c>
      <c r="AM4" s="65">
        <v>46496.92</v>
      </c>
      <c r="AN4" s="65">
        <v>46984.92</v>
      </c>
      <c r="AO4" s="65">
        <v>47494.77</v>
      </c>
      <c r="AP4" s="65">
        <v>48042.06</v>
      </c>
      <c r="AQ4" s="65">
        <v>48065.01</v>
      </c>
      <c r="AR4" s="65">
        <v>48434.95</v>
      </c>
      <c r="AS4" s="65">
        <v>48897.11</v>
      </c>
      <c r="AT4" s="65">
        <v>49329.59</v>
      </c>
      <c r="AU4" s="65">
        <v>49857.68</v>
      </c>
      <c r="AV4" s="65">
        <v>50311.42</v>
      </c>
      <c r="AW4" s="65">
        <v>50755.12</v>
      </c>
      <c r="AX4" s="65">
        <v>50798.14</v>
      </c>
    </row>
    <row r="5" ht="15.75" customHeight="1">
      <c r="A5" s="140" t="s">
        <v>458</v>
      </c>
      <c r="B5" s="50" t="s">
        <v>491</v>
      </c>
      <c r="C5" s="141">
        <v>3252027.0</v>
      </c>
      <c r="D5" s="63" t="s">
        <v>120</v>
      </c>
      <c r="E5" s="63" t="s">
        <v>199</v>
      </c>
      <c r="F5" s="30" t="s">
        <v>332</v>
      </c>
      <c r="G5" s="47" t="str">
        <f t="shared" si="1"/>
        <v>David</v>
      </c>
      <c r="H5" s="152" t="s">
        <v>183</v>
      </c>
      <c r="I5" s="74" t="s">
        <v>66</v>
      </c>
      <c r="J5" s="63" t="str">
        <f t="shared" si="2"/>
        <v>Sim</v>
      </c>
      <c r="K5" s="143">
        <v>43684.0</v>
      </c>
      <c r="L5" s="81"/>
      <c r="M5" s="81" t="s">
        <v>209</v>
      </c>
      <c r="N5" s="144">
        <v>0.01</v>
      </c>
      <c r="O5" s="141" t="s">
        <v>35</v>
      </c>
      <c r="P5" s="145">
        <v>0.1</v>
      </c>
      <c r="Q5" s="146" t="s">
        <v>492</v>
      </c>
      <c r="R5" s="153" t="s">
        <v>481</v>
      </c>
      <c r="S5" s="62" t="s">
        <v>194</v>
      </c>
      <c r="T5" s="141" t="s">
        <v>493</v>
      </c>
      <c r="U5" s="147" t="s">
        <v>494</v>
      </c>
      <c r="V5" s="147" t="s">
        <v>495</v>
      </c>
      <c r="W5" s="67">
        <v>26364.0</v>
      </c>
      <c r="X5" s="81" t="s">
        <v>199</v>
      </c>
      <c r="Y5" s="49" t="str">
        <f t="shared" si="3"/>
        <v>Ativo</v>
      </c>
      <c r="Z5" s="150"/>
      <c r="AA5" s="150"/>
      <c r="AB5" s="30"/>
      <c r="AC5" s="81"/>
      <c r="AD5" s="151">
        <v>45659.0</v>
      </c>
      <c r="AE5" s="30">
        <v>4.9075100016623E13</v>
      </c>
      <c r="AF5" s="65">
        <v>174.04</v>
      </c>
      <c r="AG5" s="65">
        <v>21203.05</v>
      </c>
      <c r="AH5" s="65">
        <v>21387.86</v>
      </c>
      <c r="AI5" s="65">
        <v>21568.5</v>
      </c>
      <c r="AJ5" s="65">
        <v>21770.18</v>
      </c>
      <c r="AK5" s="65">
        <v>21972.07</v>
      </c>
      <c r="AL5" s="65">
        <v>22023.03</v>
      </c>
      <c r="AM5" s="65">
        <v>22280.51</v>
      </c>
      <c r="AN5" s="65">
        <v>22515.21</v>
      </c>
      <c r="AO5" s="65">
        <v>22765.25</v>
      </c>
      <c r="AP5" s="65">
        <v>23030.61</v>
      </c>
      <c r="AQ5" s="65">
        <v>22909.15</v>
      </c>
      <c r="AR5" s="65">
        <v>23217.4</v>
      </c>
      <c r="AS5" s="65">
        <v>23257.69</v>
      </c>
      <c r="AT5" s="65">
        <v>23458.7</v>
      </c>
      <c r="AU5" s="65">
        <v>23715.99</v>
      </c>
      <c r="AV5" s="65">
        <v>23934.02</v>
      </c>
      <c r="AW5" s="65">
        <v>24147.48</v>
      </c>
      <c r="AX5" s="65">
        <v>24157.79</v>
      </c>
    </row>
    <row r="6" ht="15.75" customHeight="1">
      <c r="A6" s="140" t="s">
        <v>458</v>
      </c>
      <c r="B6" s="50" t="s">
        <v>500</v>
      </c>
      <c r="C6" s="141">
        <v>3252396.0</v>
      </c>
      <c r="D6" s="63" t="s">
        <v>120</v>
      </c>
      <c r="E6" s="63" t="s">
        <v>199</v>
      </c>
      <c r="F6" s="141" t="s">
        <v>502</v>
      </c>
      <c r="G6" s="47" t="str">
        <f t="shared" si="1"/>
        <v>Gabriel</v>
      </c>
      <c r="H6" s="142" t="s">
        <v>183</v>
      </c>
      <c r="I6" s="74" t="s">
        <v>66</v>
      </c>
      <c r="J6" s="63" t="str">
        <f t="shared" si="2"/>
        <v>Não</v>
      </c>
      <c r="K6" s="143">
        <v>44970.0</v>
      </c>
      <c r="L6" s="81"/>
      <c r="M6" s="81" t="s">
        <v>61</v>
      </c>
      <c r="N6" s="144">
        <v>0.01</v>
      </c>
      <c r="O6" s="141" t="s">
        <v>66</v>
      </c>
      <c r="P6" s="145">
        <v>0.0</v>
      </c>
      <c r="Q6" s="146"/>
      <c r="R6" s="70"/>
      <c r="S6" s="62" t="s">
        <v>194</v>
      </c>
      <c r="T6" s="22" t="s">
        <v>503</v>
      </c>
      <c r="U6" s="147" t="s">
        <v>504</v>
      </c>
      <c r="V6" s="147" t="s">
        <v>505</v>
      </c>
      <c r="W6" s="67">
        <v>34201.0</v>
      </c>
      <c r="X6" s="22" t="s">
        <v>199</v>
      </c>
      <c r="Y6" s="49" t="str">
        <f t="shared" si="3"/>
        <v>Ativo</v>
      </c>
      <c r="Z6" s="150"/>
      <c r="AA6" s="150"/>
      <c r="AB6" s="30"/>
      <c r="AC6" s="81"/>
      <c r="AD6" s="151">
        <v>45659.0</v>
      </c>
      <c r="AE6" s="30">
        <v>4.9075100016933E13</v>
      </c>
      <c r="AF6" s="65">
        <v>348102.25</v>
      </c>
      <c r="AG6" s="65">
        <v>423456.91</v>
      </c>
      <c r="AH6" s="65">
        <v>426964.55</v>
      </c>
      <c r="AI6" s="65">
        <v>429786.28</v>
      </c>
      <c r="AJ6" s="65">
        <v>434301.74</v>
      </c>
      <c r="AK6" s="65">
        <v>438456.64</v>
      </c>
      <c r="AL6" s="65">
        <v>441273.23</v>
      </c>
      <c r="AM6" s="65">
        <v>444791.04</v>
      </c>
      <c r="AN6" s="65">
        <v>448820.02</v>
      </c>
      <c r="AO6" s="65">
        <v>453393.31</v>
      </c>
      <c r="AP6" s="65">
        <v>458512.6</v>
      </c>
      <c r="AQ6" s="65">
        <v>462120.96</v>
      </c>
      <c r="AR6" s="65">
        <v>486476.82</v>
      </c>
      <c r="AS6" s="65">
        <v>510486.02</v>
      </c>
      <c r="AT6" s="65">
        <v>514706.12</v>
      </c>
      <c r="AU6" s="65">
        <v>521270.34</v>
      </c>
      <c r="AV6" s="65">
        <v>546491.97</v>
      </c>
      <c r="AW6" s="65">
        <v>567170.61</v>
      </c>
      <c r="AX6" s="65">
        <v>583654.22</v>
      </c>
    </row>
    <row r="7" ht="15.75" customHeight="1">
      <c r="A7" s="140" t="s">
        <v>458</v>
      </c>
      <c r="B7" s="50" t="s">
        <v>500</v>
      </c>
      <c r="C7" s="141">
        <v>3252418.0</v>
      </c>
      <c r="D7" s="63" t="s">
        <v>120</v>
      </c>
      <c r="E7" s="63" t="s">
        <v>199</v>
      </c>
      <c r="F7" s="141" t="s">
        <v>502</v>
      </c>
      <c r="G7" s="47" t="str">
        <f t="shared" si="1"/>
        <v>Gabriel</v>
      </c>
      <c r="H7" s="142" t="s">
        <v>183</v>
      </c>
      <c r="I7" s="74" t="s">
        <v>66</v>
      </c>
      <c r="J7" s="63" t="str">
        <f t="shared" si="2"/>
        <v>Não</v>
      </c>
      <c r="K7" s="143">
        <v>44971.0</v>
      </c>
      <c r="L7" s="81"/>
      <c r="M7" s="81" t="s">
        <v>231</v>
      </c>
      <c r="N7" s="144">
        <v>0.025</v>
      </c>
      <c r="O7" s="141" t="s">
        <v>233</v>
      </c>
      <c r="P7" s="145">
        <v>0.2</v>
      </c>
      <c r="Q7" s="146"/>
      <c r="R7" s="70"/>
      <c r="S7" s="62" t="s">
        <v>194</v>
      </c>
      <c r="T7" s="155" t="s">
        <v>503</v>
      </c>
      <c r="U7" s="147" t="s">
        <v>504</v>
      </c>
      <c r="V7" s="147" t="s">
        <v>505</v>
      </c>
      <c r="W7" s="67">
        <v>34201.0</v>
      </c>
      <c r="X7" s="22" t="s">
        <v>199</v>
      </c>
      <c r="Y7" s="49" t="str">
        <f t="shared" si="3"/>
        <v>Ativo</v>
      </c>
      <c r="Z7" s="150"/>
      <c r="AA7" s="150"/>
      <c r="AB7" s="30"/>
      <c r="AC7" s="81"/>
      <c r="AD7" s="151">
        <v>45659.0</v>
      </c>
      <c r="AE7" s="30">
        <v>4.9075100016917E13</v>
      </c>
      <c r="AF7" s="65">
        <v>298364.89</v>
      </c>
      <c r="AG7" s="65">
        <v>306400.9</v>
      </c>
      <c r="AH7" s="65">
        <v>301359.04</v>
      </c>
      <c r="AI7" s="65">
        <v>310390.18</v>
      </c>
      <c r="AJ7" s="65">
        <v>320837.45</v>
      </c>
      <c r="AK7" s="65">
        <v>328772.03</v>
      </c>
      <c r="AL7" s="65">
        <v>340769.55</v>
      </c>
      <c r="AM7" s="65">
        <v>333176.41</v>
      </c>
      <c r="AN7" s="65">
        <v>324659.86</v>
      </c>
      <c r="AO7" s="65">
        <v>356903.18</v>
      </c>
      <c r="AP7" s="65">
        <v>362053.94</v>
      </c>
      <c r="AQ7" s="65">
        <v>374740.39</v>
      </c>
      <c r="AR7" s="65">
        <v>403968.35</v>
      </c>
      <c r="AS7" s="65">
        <v>467096.17</v>
      </c>
      <c r="AT7" s="65">
        <v>482058.35</v>
      </c>
      <c r="AU7" s="65">
        <v>474435.74</v>
      </c>
      <c r="AV7" s="65">
        <v>491560.85</v>
      </c>
      <c r="AW7" s="65">
        <v>475403.68</v>
      </c>
      <c r="AX7" s="65">
        <v>505646.48</v>
      </c>
    </row>
    <row r="8" ht="15.75" customHeight="1">
      <c r="A8" s="140" t="s">
        <v>458</v>
      </c>
      <c r="B8" s="50" t="s">
        <v>520</v>
      </c>
      <c r="C8" s="141">
        <v>3251951.0</v>
      </c>
      <c r="D8" s="141" t="s">
        <v>89</v>
      </c>
      <c r="E8" s="63" t="s">
        <v>91</v>
      </c>
      <c r="F8" s="63" t="s">
        <v>521</v>
      </c>
      <c r="G8" s="47" t="str">
        <f t="shared" si="1"/>
        <v>David</v>
      </c>
      <c r="H8" s="142" t="s">
        <v>295</v>
      </c>
      <c r="I8" s="49" t="s">
        <v>382</v>
      </c>
      <c r="J8" s="63" t="str">
        <f t="shared" si="2"/>
        <v>Não</v>
      </c>
      <c r="K8" s="143">
        <v>44321.0</v>
      </c>
      <c r="L8" s="81"/>
      <c r="M8" s="81" t="s">
        <v>209</v>
      </c>
      <c r="N8" s="144">
        <v>0.015</v>
      </c>
      <c r="O8" s="141" t="s">
        <v>35</v>
      </c>
      <c r="P8" s="145">
        <v>0.1</v>
      </c>
      <c r="Q8" s="146"/>
      <c r="R8" s="70"/>
      <c r="S8" s="62" t="s">
        <v>194</v>
      </c>
      <c r="T8" s="22" t="s">
        <v>523</v>
      </c>
      <c r="U8" s="147" t="s">
        <v>524</v>
      </c>
      <c r="V8" s="147" t="s">
        <v>525</v>
      </c>
      <c r="W8" s="67">
        <v>25802.0</v>
      </c>
      <c r="X8" s="95" t="s">
        <v>221</v>
      </c>
      <c r="Y8" s="49" t="str">
        <f t="shared" si="3"/>
        <v>Inativo</v>
      </c>
      <c r="Z8" s="150"/>
      <c r="AA8" s="150"/>
      <c r="AB8" s="30"/>
      <c r="AC8" s="81"/>
      <c r="AD8" s="151">
        <v>45659.0</v>
      </c>
      <c r="AE8" s="30">
        <v>4.9075100017077E13</v>
      </c>
      <c r="AF8" s="65">
        <v>0.0</v>
      </c>
      <c r="AG8" s="65">
        <v>0.0</v>
      </c>
      <c r="AH8" s="65">
        <v>0.0</v>
      </c>
      <c r="AI8" s="65">
        <v>0.0</v>
      </c>
      <c r="AJ8" s="65">
        <v>0.0</v>
      </c>
      <c r="AK8" s="65">
        <v>0.0</v>
      </c>
      <c r="AL8" s="65">
        <v>0.0</v>
      </c>
      <c r="AM8" s="65">
        <v>0.0</v>
      </c>
      <c r="AN8" s="65">
        <v>0.0</v>
      </c>
      <c r="AO8" s="65">
        <v>0.0</v>
      </c>
      <c r="AP8" s="65">
        <v>0.0</v>
      </c>
      <c r="AQ8" s="65">
        <v>0.0</v>
      </c>
      <c r="AR8" s="65">
        <v>0.0</v>
      </c>
      <c r="AS8" s="65">
        <v>0.0</v>
      </c>
      <c r="AT8" s="65">
        <v>0.0</v>
      </c>
      <c r="AU8" s="65">
        <v>0.0</v>
      </c>
      <c r="AV8" s="65">
        <v>0.0</v>
      </c>
      <c r="AW8" s="65">
        <v>0.0</v>
      </c>
      <c r="AX8" s="65">
        <v>0.0</v>
      </c>
    </row>
    <row r="9" ht="15.75" customHeight="1">
      <c r="A9" s="140" t="s">
        <v>458</v>
      </c>
      <c r="B9" s="50" t="s">
        <v>530</v>
      </c>
      <c r="C9" s="141">
        <v>3252311.0</v>
      </c>
      <c r="D9" s="63" t="s">
        <v>120</v>
      </c>
      <c r="E9" s="63" t="s">
        <v>199</v>
      </c>
      <c r="F9" s="63" t="s">
        <v>290</v>
      </c>
      <c r="G9" s="47" t="str">
        <f t="shared" si="1"/>
        <v>Gabriel</v>
      </c>
      <c r="H9" s="152" t="s">
        <v>295</v>
      </c>
      <c r="I9" s="49" t="s">
        <v>382</v>
      </c>
      <c r="J9" s="63" t="str">
        <f t="shared" si="2"/>
        <v>Não</v>
      </c>
      <c r="K9" s="143">
        <v>45020.0</v>
      </c>
      <c r="L9" s="81"/>
      <c r="M9" s="81" t="s">
        <v>61</v>
      </c>
      <c r="N9" s="144">
        <v>0.007</v>
      </c>
      <c r="O9" s="141" t="s">
        <v>66</v>
      </c>
      <c r="P9" s="145">
        <v>0.0</v>
      </c>
      <c r="Q9" s="146"/>
      <c r="R9" s="70"/>
      <c r="S9" s="62" t="s">
        <v>194</v>
      </c>
      <c r="T9" s="30" t="s">
        <v>531</v>
      </c>
      <c r="U9" s="147" t="s">
        <v>532</v>
      </c>
      <c r="V9" s="147" t="s">
        <v>533</v>
      </c>
      <c r="W9" s="67">
        <v>27819.0</v>
      </c>
      <c r="X9" s="22" t="s">
        <v>199</v>
      </c>
      <c r="Y9" s="49" t="str">
        <f t="shared" si="3"/>
        <v>Ativo</v>
      </c>
      <c r="Z9" s="150"/>
      <c r="AA9" s="150"/>
      <c r="AB9" s="30"/>
      <c r="AC9" s="81"/>
      <c r="AD9" s="151">
        <v>45659.0</v>
      </c>
      <c r="AE9" s="30">
        <v>4.9075100016895E13</v>
      </c>
      <c r="AF9" s="65">
        <v>252850.48</v>
      </c>
      <c r="AG9" s="65">
        <v>275964.02</v>
      </c>
      <c r="AH9" s="65">
        <v>278197.09</v>
      </c>
      <c r="AI9" s="65">
        <v>276775.91</v>
      </c>
      <c r="AJ9" s="65">
        <v>279738.46</v>
      </c>
      <c r="AK9" s="65">
        <v>282238.02</v>
      </c>
      <c r="AL9" s="65">
        <v>284564.9</v>
      </c>
      <c r="AM9" s="65">
        <v>287775.19</v>
      </c>
      <c r="AN9" s="65">
        <v>290584.03</v>
      </c>
      <c r="AO9" s="65">
        <v>293283.27</v>
      </c>
      <c r="AP9" s="65">
        <v>296555.91</v>
      </c>
      <c r="AQ9" s="65">
        <v>298112.94</v>
      </c>
      <c r="AR9" s="65">
        <v>300874.12</v>
      </c>
      <c r="AS9" s="65">
        <v>303842.54</v>
      </c>
      <c r="AT9" s="65">
        <v>0.0</v>
      </c>
      <c r="AU9" s="65">
        <v>2.71</v>
      </c>
      <c r="AV9" s="65">
        <v>2.71</v>
      </c>
      <c r="AW9" s="65">
        <v>2.71</v>
      </c>
      <c r="AX9" s="65">
        <v>0.0</v>
      </c>
    </row>
    <row r="10" ht="15.75" customHeight="1">
      <c r="A10" s="140" t="s">
        <v>458</v>
      </c>
      <c r="B10" s="50" t="s">
        <v>547</v>
      </c>
      <c r="C10" s="141">
        <v>3251985.0</v>
      </c>
      <c r="D10" s="141" t="s">
        <v>89</v>
      </c>
      <c r="E10" s="63" t="s">
        <v>91</v>
      </c>
      <c r="F10" s="63" t="s">
        <v>521</v>
      </c>
      <c r="G10" s="47" t="str">
        <f t="shared" si="1"/>
        <v>David</v>
      </c>
      <c r="H10" s="142" t="s">
        <v>295</v>
      </c>
      <c r="I10" s="49" t="s">
        <v>296</v>
      </c>
      <c r="J10" s="63" t="str">
        <f t="shared" si="2"/>
        <v>Não</v>
      </c>
      <c r="K10" s="143">
        <v>44266.0</v>
      </c>
      <c r="L10" s="81"/>
      <c r="M10" s="81" t="s">
        <v>361</v>
      </c>
      <c r="N10" s="144">
        <v>0.02</v>
      </c>
      <c r="O10" s="141" t="s">
        <v>35</v>
      </c>
      <c r="P10" s="145">
        <v>0.2</v>
      </c>
      <c r="Q10" s="146"/>
      <c r="R10" s="158" t="s">
        <v>550</v>
      </c>
      <c r="S10" s="62" t="s">
        <v>194</v>
      </c>
      <c r="T10" s="141" t="s">
        <v>553</v>
      </c>
      <c r="U10" s="147" t="s">
        <v>554</v>
      </c>
      <c r="V10" s="147" t="s">
        <v>556</v>
      </c>
      <c r="W10" s="67">
        <v>22196.0</v>
      </c>
      <c r="X10" s="95" t="s">
        <v>221</v>
      </c>
      <c r="Y10" s="49" t="str">
        <f t="shared" si="3"/>
        <v>Ativo</v>
      </c>
      <c r="Z10" s="150"/>
      <c r="AA10" s="150"/>
      <c r="AB10" s="30"/>
      <c r="AC10" s="81"/>
      <c r="AD10" s="151">
        <v>45659.0</v>
      </c>
      <c r="AE10" s="30">
        <v>4.9075100017263E13</v>
      </c>
      <c r="AF10" s="65">
        <v>0.18</v>
      </c>
      <c r="AG10" s="65">
        <v>0.18</v>
      </c>
      <c r="AH10" s="65">
        <v>0.18</v>
      </c>
      <c r="AI10" s="65">
        <v>0.18</v>
      </c>
      <c r="AJ10" s="65">
        <v>0.18</v>
      </c>
      <c r="AK10" s="65">
        <v>0.18</v>
      </c>
      <c r="AL10" s="65">
        <v>0.0</v>
      </c>
      <c r="AM10" s="65">
        <v>50258.0</v>
      </c>
      <c r="AN10" s="65">
        <v>50258.0</v>
      </c>
      <c r="AO10" s="65">
        <v>50258.0</v>
      </c>
      <c r="AP10" s="65">
        <v>0.0</v>
      </c>
      <c r="AQ10" s="65">
        <v>0.0</v>
      </c>
      <c r="AR10" s="65">
        <v>0.0</v>
      </c>
      <c r="AS10" s="65">
        <v>0.0</v>
      </c>
      <c r="AT10" s="65">
        <v>0.0</v>
      </c>
      <c r="AU10" s="65">
        <v>0.0</v>
      </c>
      <c r="AV10" s="65">
        <v>0.0</v>
      </c>
      <c r="AW10" s="65">
        <v>0.0</v>
      </c>
      <c r="AX10" s="65">
        <v>0.0</v>
      </c>
    </row>
    <row r="11" ht="15.75" customHeight="1">
      <c r="A11" s="140" t="s">
        <v>458</v>
      </c>
      <c r="B11" s="50" t="s">
        <v>561</v>
      </c>
      <c r="C11" s="141">
        <v>3252477.0</v>
      </c>
      <c r="D11" s="141" t="s">
        <v>89</v>
      </c>
      <c r="E11" s="63" t="s">
        <v>91</v>
      </c>
      <c r="F11" s="63" t="s">
        <v>193</v>
      </c>
      <c r="G11" s="47" t="str">
        <f t="shared" si="1"/>
        <v>David</v>
      </c>
      <c r="H11" s="142" t="s">
        <v>295</v>
      </c>
      <c r="I11" s="49" t="s">
        <v>382</v>
      </c>
      <c r="J11" s="63" t="s">
        <v>563</v>
      </c>
      <c r="K11" s="143">
        <v>44670.0</v>
      </c>
      <c r="L11" s="81"/>
      <c r="M11" s="81" t="s">
        <v>34</v>
      </c>
      <c r="N11" s="144">
        <v>0.012</v>
      </c>
      <c r="O11" s="141" t="s">
        <v>66</v>
      </c>
      <c r="P11" s="145">
        <v>0.0</v>
      </c>
      <c r="Q11" s="146"/>
      <c r="R11" s="159"/>
      <c r="S11" s="62" t="s">
        <v>194</v>
      </c>
      <c r="T11" s="141" t="s">
        <v>566</v>
      </c>
      <c r="U11" s="147" t="s">
        <v>567</v>
      </c>
      <c r="V11" s="147" t="s">
        <v>569</v>
      </c>
      <c r="W11" s="67">
        <v>22847.0</v>
      </c>
      <c r="X11" s="95" t="s">
        <v>221</v>
      </c>
      <c r="Y11" s="49" t="str">
        <f t="shared" si="3"/>
        <v>Ativo</v>
      </c>
      <c r="Z11" s="150"/>
      <c r="AA11" s="150"/>
      <c r="AB11" s="30"/>
      <c r="AC11" s="81"/>
      <c r="AD11" s="151">
        <v>45659.0</v>
      </c>
      <c r="AE11" s="30">
        <v>4.9075100017001E13</v>
      </c>
      <c r="AF11" s="65">
        <v>0.0</v>
      </c>
      <c r="AG11" s="65">
        <v>0.01</v>
      </c>
      <c r="AH11" s="65">
        <v>0.01</v>
      </c>
      <c r="AI11" s="65">
        <v>0.01</v>
      </c>
      <c r="AJ11" s="65">
        <v>0.01</v>
      </c>
      <c r="AK11" s="65">
        <v>0.01</v>
      </c>
      <c r="AL11" s="65">
        <v>0.01</v>
      </c>
      <c r="AM11" s="65">
        <v>0.01</v>
      </c>
      <c r="AN11" s="65">
        <v>0.01</v>
      </c>
      <c r="AO11" s="65">
        <v>0.0</v>
      </c>
      <c r="AP11" s="65">
        <v>0.0</v>
      </c>
      <c r="AQ11" s="65">
        <v>0.0</v>
      </c>
      <c r="AR11" s="65">
        <v>0.0</v>
      </c>
      <c r="AS11" s="65">
        <v>0.0</v>
      </c>
      <c r="AT11" s="65">
        <v>0.0</v>
      </c>
      <c r="AU11" s="65">
        <v>0.0</v>
      </c>
      <c r="AV11" s="65">
        <v>0.0</v>
      </c>
      <c r="AW11" s="65">
        <v>0.0</v>
      </c>
      <c r="AX11" s="65">
        <v>0.0</v>
      </c>
    </row>
    <row r="12" ht="15.75" customHeight="1">
      <c r="A12" s="140" t="s">
        <v>458</v>
      </c>
      <c r="B12" s="50" t="s">
        <v>576</v>
      </c>
      <c r="C12" s="141">
        <v>3251993.0</v>
      </c>
      <c r="D12" s="141" t="s">
        <v>89</v>
      </c>
      <c r="E12" s="63" t="s">
        <v>91</v>
      </c>
      <c r="F12" s="63" t="s">
        <v>521</v>
      </c>
      <c r="G12" s="47" t="str">
        <f t="shared" si="1"/>
        <v>David</v>
      </c>
      <c r="H12" s="152" t="s">
        <v>295</v>
      </c>
      <c r="I12" s="49" t="s">
        <v>296</v>
      </c>
      <c r="J12" s="63" t="str">
        <f t="shared" ref="J12:J96" si="4">IF(Q12=0,"Não","Sim")</f>
        <v>Sim</v>
      </c>
      <c r="K12" s="143">
        <v>44263.0</v>
      </c>
      <c r="L12" s="81"/>
      <c r="M12" s="81" t="s">
        <v>34</v>
      </c>
      <c r="N12" s="144">
        <v>0.012</v>
      </c>
      <c r="O12" s="141" t="s">
        <v>66</v>
      </c>
      <c r="P12" s="145">
        <v>0.0</v>
      </c>
      <c r="Q12" s="146" t="s">
        <v>577</v>
      </c>
      <c r="R12" s="160"/>
      <c r="S12" s="62" t="s">
        <v>194</v>
      </c>
      <c r="T12" s="141" t="s">
        <v>580</v>
      </c>
      <c r="U12" s="147" t="s">
        <v>581</v>
      </c>
      <c r="V12" s="147" t="s">
        <v>583</v>
      </c>
      <c r="W12" s="67">
        <v>19914.0</v>
      </c>
      <c r="X12" s="95" t="s">
        <v>221</v>
      </c>
      <c r="Y12" s="49" t="str">
        <f t="shared" si="3"/>
        <v>Ativo</v>
      </c>
      <c r="Z12" s="150"/>
      <c r="AA12" s="150"/>
      <c r="AB12" s="30"/>
      <c r="AC12" s="81"/>
      <c r="AD12" s="151">
        <v>45659.0</v>
      </c>
      <c r="AE12" s="30">
        <v>4.9075100016674E13</v>
      </c>
      <c r="AF12" s="65">
        <v>87458.99</v>
      </c>
      <c r="AG12" s="65">
        <v>13704.35</v>
      </c>
      <c r="AH12" s="65">
        <v>13819.08</v>
      </c>
      <c r="AI12" s="65">
        <v>13960.59</v>
      </c>
      <c r="AJ12" s="65">
        <v>14047.94</v>
      </c>
      <c r="AK12" s="65">
        <v>854.07</v>
      </c>
      <c r="AL12" s="65">
        <v>854.07</v>
      </c>
      <c r="AM12" s="65">
        <v>854.07</v>
      </c>
      <c r="AN12" s="65">
        <v>854.07</v>
      </c>
      <c r="AO12" s="65">
        <v>854.07</v>
      </c>
      <c r="AP12" s="65">
        <v>854.07</v>
      </c>
      <c r="AQ12" s="65">
        <v>854.07</v>
      </c>
      <c r="AR12" s="65">
        <v>854.07</v>
      </c>
      <c r="AS12" s="65">
        <v>0.0</v>
      </c>
      <c r="AT12" s="65">
        <v>0.0</v>
      </c>
      <c r="AU12" s="65">
        <v>0.0</v>
      </c>
      <c r="AV12" s="65">
        <v>0.0</v>
      </c>
      <c r="AW12" s="65">
        <v>0.0</v>
      </c>
      <c r="AX12" s="65">
        <v>0.0</v>
      </c>
    </row>
    <row r="13" ht="15.75" customHeight="1">
      <c r="A13" s="140" t="s">
        <v>458</v>
      </c>
      <c r="B13" s="50" t="s">
        <v>592</v>
      </c>
      <c r="C13" s="141">
        <v>3252531.0</v>
      </c>
      <c r="D13" s="141" t="s">
        <v>89</v>
      </c>
      <c r="E13" s="63" t="s">
        <v>91</v>
      </c>
      <c r="F13" s="63" t="s">
        <v>521</v>
      </c>
      <c r="G13" s="47" t="str">
        <f t="shared" si="1"/>
        <v>David</v>
      </c>
      <c r="H13" s="161" t="s">
        <v>183</v>
      </c>
      <c r="I13" s="74" t="s">
        <v>66</v>
      </c>
      <c r="J13" s="63" t="str">
        <f t="shared" si="4"/>
        <v>Não</v>
      </c>
      <c r="K13" s="143">
        <v>44623.0</v>
      </c>
      <c r="L13" s="81"/>
      <c r="M13" s="81" t="s">
        <v>231</v>
      </c>
      <c r="N13" s="144">
        <v>0.025</v>
      </c>
      <c r="O13" s="141" t="s">
        <v>233</v>
      </c>
      <c r="P13" s="145">
        <v>0.2</v>
      </c>
      <c r="Q13" s="146"/>
      <c r="R13" s="158"/>
      <c r="S13" s="62" t="s">
        <v>194</v>
      </c>
      <c r="T13" s="22" t="s">
        <v>604</v>
      </c>
      <c r="U13" s="147" t="s">
        <v>605</v>
      </c>
      <c r="V13" s="147" t="s">
        <v>606</v>
      </c>
      <c r="W13" s="67">
        <v>28372.0</v>
      </c>
      <c r="X13" s="95" t="s">
        <v>221</v>
      </c>
      <c r="Y13" s="49" t="str">
        <f t="shared" si="3"/>
        <v>Ativo</v>
      </c>
      <c r="Z13" s="150"/>
      <c r="AA13" s="150"/>
      <c r="AB13" s="30"/>
      <c r="AC13" s="81"/>
      <c r="AD13" s="151">
        <v>45659.0</v>
      </c>
      <c r="AE13" s="30">
        <v>4.9075100016666E13</v>
      </c>
      <c r="AF13" s="65">
        <v>0.01</v>
      </c>
      <c r="AG13" s="65">
        <v>92306.36</v>
      </c>
      <c r="AH13" s="65">
        <v>89404.71</v>
      </c>
      <c r="AI13" s="65">
        <v>94737.34</v>
      </c>
      <c r="AJ13" s="65">
        <v>96267.75</v>
      </c>
      <c r="AK13" s="65">
        <v>99017.72</v>
      </c>
      <c r="AL13" s="65">
        <v>103965.43</v>
      </c>
      <c r="AM13" s="65">
        <v>101402.37</v>
      </c>
      <c r="AN13" s="65">
        <v>98807.78</v>
      </c>
      <c r="AO13" s="65">
        <v>108914.68</v>
      </c>
      <c r="AP13" s="65">
        <v>110038.01</v>
      </c>
      <c r="AQ13" s="65">
        <v>114448.54</v>
      </c>
      <c r="AR13" s="65">
        <v>117592.75</v>
      </c>
      <c r="AS13" s="65">
        <v>129753.82</v>
      </c>
      <c r="AT13" s="65">
        <v>134166.38</v>
      </c>
      <c r="AU13" s="65">
        <v>133733.69</v>
      </c>
      <c r="AV13" s="65">
        <v>132064.83</v>
      </c>
      <c r="AW13" s="65">
        <v>126369.09</v>
      </c>
      <c r="AX13" s="65">
        <v>127422.46</v>
      </c>
    </row>
    <row r="14" ht="15.75" customHeight="1">
      <c r="A14" s="140" t="s">
        <v>458</v>
      </c>
      <c r="B14" s="50" t="s">
        <v>609</v>
      </c>
      <c r="C14" s="141">
        <v>3251799.0</v>
      </c>
      <c r="D14" s="141" t="s">
        <v>89</v>
      </c>
      <c r="E14" s="63" t="s">
        <v>91</v>
      </c>
      <c r="F14" s="63" t="s">
        <v>521</v>
      </c>
      <c r="G14" s="47" t="str">
        <f t="shared" si="1"/>
        <v>David</v>
      </c>
      <c r="H14" s="161" t="s">
        <v>295</v>
      </c>
      <c r="I14" s="49" t="s">
        <v>296</v>
      </c>
      <c r="J14" s="63" t="str">
        <f t="shared" si="4"/>
        <v>Não</v>
      </c>
      <c r="K14" s="143">
        <v>44267.0</v>
      </c>
      <c r="L14" s="81"/>
      <c r="M14" s="81" t="s">
        <v>209</v>
      </c>
      <c r="N14" s="144">
        <v>0.015</v>
      </c>
      <c r="O14" s="141" t="s">
        <v>35</v>
      </c>
      <c r="P14" s="162">
        <v>0.1</v>
      </c>
      <c r="Q14" s="146"/>
      <c r="R14" s="163" t="s">
        <v>614</v>
      </c>
      <c r="S14" s="62" t="s">
        <v>194</v>
      </c>
      <c r="T14" s="30" t="s">
        <v>615</v>
      </c>
      <c r="U14" s="147" t="s">
        <v>616</v>
      </c>
      <c r="V14" s="147" t="s">
        <v>617</v>
      </c>
      <c r="W14" s="67">
        <v>18114.0</v>
      </c>
      <c r="X14" s="95" t="s">
        <v>618</v>
      </c>
      <c r="Y14" s="49" t="str">
        <f t="shared" si="3"/>
        <v>Ativo</v>
      </c>
      <c r="Z14" s="150"/>
      <c r="AA14" s="150"/>
      <c r="AB14" s="30"/>
      <c r="AC14" s="81"/>
      <c r="AD14" s="151">
        <v>45659.0</v>
      </c>
      <c r="AE14" s="30">
        <v>4.9075100017336E13</v>
      </c>
      <c r="AF14" s="65">
        <v>0.81</v>
      </c>
      <c r="AG14" s="65">
        <v>0.81</v>
      </c>
      <c r="AH14" s="65">
        <v>0.81</v>
      </c>
      <c r="AI14" s="65">
        <v>0.81</v>
      </c>
      <c r="AJ14" s="65">
        <v>0.81</v>
      </c>
      <c r="AK14" s="65">
        <v>0.81</v>
      </c>
      <c r="AL14" s="65">
        <v>0.0</v>
      </c>
      <c r="AM14" s="65">
        <v>226162.0</v>
      </c>
      <c r="AN14" s="65">
        <v>226162.0</v>
      </c>
      <c r="AO14" s="65">
        <v>226162.0</v>
      </c>
      <c r="AP14" s="65">
        <v>0.0</v>
      </c>
      <c r="AQ14" s="65">
        <v>0.0</v>
      </c>
      <c r="AR14" s="65">
        <v>0.0</v>
      </c>
      <c r="AS14" s="65">
        <v>0.0</v>
      </c>
      <c r="AT14" s="65">
        <v>0.0</v>
      </c>
      <c r="AU14" s="65">
        <v>0.0</v>
      </c>
      <c r="AV14" s="65">
        <v>0.0</v>
      </c>
      <c r="AW14" s="65">
        <v>0.0</v>
      </c>
      <c r="AX14" s="65">
        <v>0.0</v>
      </c>
    </row>
    <row r="15" ht="15.75" customHeight="1">
      <c r="A15" s="140" t="s">
        <v>458</v>
      </c>
      <c r="B15" s="50" t="s">
        <v>621</v>
      </c>
      <c r="C15" s="141">
        <v>3250091.0</v>
      </c>
      <c r="D15" s="63" t="s">
        <v>120</v>
      </c>
      <c r="E15" s="63" t="s">
        <v>622</v>
      </c>
      <c r="F15" s="63" t="s">
        <v>623</v>
      </c>
      <c r="G15" s="47" t="str">
        <f t="shared" si="1"/>
        <v>David</v>
      </c>
      <c r="H15" s="142" t="s">
        <v>295</v>
      </c>
      <c r="I15" s="49" t="s">
        <v>382</v>
      </c>
      <c r="J15" s="63" t="str">
        <f t="shared" si="4"/>
        <v>Não</v>
      </c>
      <c r="K15" s="143">
        <v>44512.0</v>
      </c>
      <c r="L15" s="81"/>
      <c r="M15" s="81" t="s">
        <v>34</v>
      </c>
      <c r="N15" s="144">
        <v>0.012</v>
      </c>
      <c r="O15" s="141" t="s">
        <v>66</v>
      </c>
      <c r="P15" s="145">
        <v>0.0</v>
      </c>
      <c r="Q15" s="146"/>
      <c r="R15" s="70"/>
      <c r="S15" s="62" t="s">
        <v>194</v>
      </c>
      <c r="T15" s="27" t="s">
        <v>631</v>
      </c>
      <c r="U15" s="164"/>
      <c r="V15" s="164"/>
      <c r="W15" s="164"/>
      <c r="X15" s="62" t="s">
        <v>618</v>
      </c>
      <c r="Y15" s="49" t="str">
        <f t="shared" si="3"/>
        <v>Inativo</v>
      </c>
      <c r="Z15" s="150"/>
      <c r="AA15" s="150"/>
      <c r="AB15" s="30"/>
      <c r="AC15" s="81"/>
      <c r="AD15" s="151">
        <v>45659.0</v>
      </c>
      <c r="AE15" s="30">
        <v>4.9075100017069E13</v>
      </c>
      <c r="AF15" s="65">
        <v>0.0</v>
      </c>
      <c r="AG15" s="65">
        <v>0.0</v>
      </c>
      <c r="AH15" s="65">
        <v>0.0</v>
      </c>
      <c r="AI15" s="65">
        <v>0.0</v>
      </c>
      <c r="AJ15" s="65">
        <v>0.0</v>
      </c>
      <c r="AK15" s="65">
        <v>0.0</v>
      </c>
      <c r="AL15" s="65">
        <v>0.0</v>
      </c>
      <c r="AM15" s="65">
        <v>0.0</v>
      </c>
      <c r="AN15" s="65">
        <v>0.0</v>
      </c>
      <c r="AO15" s="65">
        <v>0.0</v>
      </c>
      <c r="AP15" s="65">
        <v>0.0</v>
      </c>
      <c r="AQ15" s="65">
        <v>0.0</v>
      </c>
      <c r="AR15" s="65">
        <v>0.0</v>
      </c>
      <c r="AS15" s="65">
        <v>0.0</v>
      </c>
      <c r="AT15" s="65">
        <v>0.0</v>
      </c>
      <c r="AU15" s="65">
        <v>0.0</v>
      </c>
      <c r="AV15" s="65">
        <v>0.0</v>
      </c>
      <c r="AW15" s="65">
        <v>0.0</v>
      </c>
      <c r="AX15" s="65">
        <v>0.0</v>
      </c>
    </row>
    <row r="16" ht="15.75" customHeight="1">
      <c r="A16" s="140" t="s">
        <v>458</v>
      </c>
      <c r="B16" s="50" t="s">
        <v>641</v>
      </c>
      <c r="C16" s="141">
        <v>3252094.0</v>
      </c>
      <c r="D16" s="63" t="s">
        <v>120</v>
      </c>
      <c r="E16" s="63" t="s">
        <v>199</v>
      </c>
      <c r="F16" s="63" t="s">
        <v>212</v>
      </c>
      <c r="G16" s="47" t="str">
        <f t="shared" si="1"/>
        <v>David</v>
      </c>
      <c r="H16" s="152" t="s">
        <v>295</v>
      </c>
      <c r="I16" s="49" t="s">
        <v>382</v>
      </c>
      <c r="J16" s="63" t="str">
        <f t="shared" si="4"/>
        <v>Não</v>
      </c>
      <c r="K16" s="143">
        <v>43903.0</v>
      </c>
      <c r="L16" s="81"/>
      <c r="M16" s="81" t="s">
        <v>209</v>
      </c>
      <c r="N16" s="144">
        <v>0.015</v>
      </c>
      <c r="O16" s="141" t="s">
        <v>66</v>
      </c>
      <c r="P16" s="145">
        <v>0.0</v>
      </c>
      <c r="Q16" s="146"/>
      <c r="R16" s="153" t="s">
        <v>642</v>
      </c>
      <c r="S16" s="62" t="s">
        <v>194</v>
      </c>
      <c r="T16" s="30" t="s">
        <v>644</v>
      </c>
      <c r="U16" s="147" t="s">
        <v>645</v>
      </c>
      <c r="V16" s="147" t="s">
        <v>646</v>
      </c>
      <c r="W16" s="67">
        <v>46473.0</v>
      </c>
      <c r="X16" s="81" t="s">
        <v>397</v>
      </c>
      <c r="Y16" s="49" t="str">
        <f t="shared" si="3"/>
        <v>Ativo</v>
      </c>
      <c r="Z16" s="150"/>
      <c r="AA16" s="150"/>
      <c r="AB16" s="30"/>
      <c r="AC16" s="81"/>
      <c r="AD16" s="151">
        <v>45659.0</v>
      </c>
      <c r="AE16" s="30">
        <v>4.9075100017451E13</v>
      </c>
      <c r="AF16" s="65">
        <v>210.8</v>
      </c>
      <c r="AG16" s="65">
        <v>210.8</v>
      </c>
      <c r="AH16" s="65">
        <v>210.8</v>
      </c>
      <c r="AI16" s="65">
        <v>224.35</v>
      </c>
      <c r="AJ16" s="65">
        <v>286.31</v>
      </c>
      <c r="AK16" s="65">
        <v>286.31</v>
      </c>
      <c r="AL16" s="65">
        <v>286.31</v>
      </c>
      <c r="AM16" s="65">
        <v>286.31</v>
      </c>
      <c r="AN16" s="65">
        <v>286.31</v>
      </c>
      <c r="AO16" s="65">
        <v>286.31</v>
      </c>
      <c r="AP16" s="65">
        <v>286.31</v>
      </c>
      <c r="AQ16" s="65">
        <v>286.31</v>
      </c>
      <c r="AR16" s="65">
        <v>363.63</v>
      </c>
      <c r="AS16" s="65">
        <v>0.0</v>
      </c>
      <c r="AT16" s="65">
        <v>0.0</v>
      </c>
      <c r="AU16" s="65">
        <v>0.0</v>
      </c>
      <c r="AV16" s="65">
        <v>0.0</v>
      </c>
      <c r="AW16" s="65">
        <v>0.0</v>
      </c>
      <c r="AX16" s="65">
        <v>0.0</v>
      </c>
    </row>
    <row r="17" ht="15.75" customHeight="1">
      <c r="A17" s="140" t="s">
        <v>458</v>
      </c>
      <c r="B17" s="50" t="s">
        <v>649</v>
      </c>
      <c r="C17" s="141">
        <v>3251811.0</v>
      </c>
      <c r="D17" s="141" t="s">
        <v>89</v>
      </c>
      <c r="E17" s="63" t="s">
        <v>91</v>
      </c>
      <c r="F17" s="63" t="s">
        <v>521</v>
      </c>
      <c r="G17" s="47" t="str">
        <f t="shared" si="1"/>
        <v>David</v>
      </c>
      <c r="H17" s="152" t="s">
        <v>295</v>
      </c>
      <c r="I17" s="49" t="s">
        <v>382</v>
      </c>
      <c r="J17" s="63" t="str">
        <f t="shared" si="4"/>
        <v>Não</v>
      </c>
      <c r="K17" s="143">
        <v>44321.0</v>
      </c>
      <c r="L17" s="81"/>
      <c r="M17" s="81" t="s">
        <v>209</v>
      </c>
      <c r="N17" s="144">
        <v>0.015</v>
      </c>
      <c r="O17" s="141" t="s">
        <v>35</v>
      </c>
      <c r="P17" s="145">
        <v>0.1</v>
      </c>
      <c r="Q17" s="146"/>
      <c r="R17" s="70"/>
      <c r="S17" s="62" t="s">
        <v>194</v>
      </c>
      <c r="T17" s="22" t="s">
        <v>653</v>
      </c>
      <c r="U17" s="147" t="s">
        <v>654</v>
      </c>
      <c r="V17" s="147" t="s">
        <v>655</v>
      </c>
      <c r="W17" s="67">
        <v>17415.0</v>
      </c>
      <c r="X17" s="95" t="s">
        <v>221</v>
      </c>
      <c r="Y17" s="49" t="str">
        <f t="shared" si="3"/>
        <v>Ativo</v>
      </c>
      <c r="Z17" s="150"/>
      <c r="AA17" s="150"/>
      <c r="AB17" s="30"/>
      <c r="AC17" s="81"/>
      <c r="AD17" s="151">
        <v>45659.0</v>
      </c>
      <c r="AE17" s="30">
        <v>4.9075100016836E13</v>
      </c>
      <c r="AF17" s="65">
        <v>172636.67</v>
      </c>
      <c r="AG17" s="65">
        <v>177395.71</v>
      </c>
      <c r="AH17" s="65">
        <v>176802.35</v>
      </c>
      <c r="AI17" s="65">
        <v>178493.05</v>
      </c>
      <c r="AJ17" s="65">
        <v>55266.0</v>
      </c>
      <c r="AK17" s="65">
        <v>40.51</v>
      </c>
      <c r="AL17" s="65">
        <v>59.55</v>
      </c>
      <c r="AM17" s="65">
        <v>95.4</v>
      </c>
      <c r="AN17" s="65">
        <v>95.4</v>
      </c>
      <c r="AO17" s="65">
        <v>95.4</v>
      </c>
      <c r="AP17" s="65">
        <v>95.4</v>
      </c>
      <c r="AQ17" s="65">
        <v>95.4</v>
      </c>
      <c r="AR17" s="65">
        <v>188.64</v>
      </c>
      <c r="AS17" s="65">
        <v>0.0</v>
      </c>
      <c r="AT17" s="65">
        <v>0.0</v>
      </c>
      <c r="AU17" s="65">
        <v>0.0</v>
      </c>
      <c r="AV17" s="65">
        <v>0.0</v>
      </c>
      <c r="AW17" s="65">
        <v>0.0</v>
      </c>
      <c r="AX17" s="65">
        <v>0.0</v>
      </c>
    </row>
    <row r="18" ht="15.75" customHeight="1">
      <c r="A18" s="140" t="s">
        <v>458</v>
      </c>
      <c r="B18" s="50" t="s">
        <v>660</v>
      </c>
      <c r="C18" s="141">
        <v>3252001.0</v>
      </c>
      <c r="D18" s="141" t="s">
        <v>89</v>
      </c>
      <c r="E18" s="63" t="s">
        <v>91</v>
      </c>
      <c r="F18" s="63" t="s">
        <v>193</v>
      </c>
      <c r="G18" s="47" t="str">
        <f t="shared" si="1"/>
        <v>David</v>
      </c>
      <c r="H18" s="152" t="s">
        <v>295</v>
      </c>
      <c r="I18" s="49" t="s">
        <v>382</v>
      </c>
      <c r="J18" s="63" t="str">
        <f t="shared" si="4"/>
        <v>Não</v>
      </c>
      <c r="K18" s="143">
        <v>44364.0</v>
      </c>
      <c r="L18" s="81"/>
      <c r="M18" s="81" t="s">
        <v>34</v>
      </c>
      <c r="N18" s="144">
        <v>0.012</v>
      </c>
      <c r="O18" s="141" t="s">
        <v>66</v>
      </c>
      <c r="P18" s="145">
        <v>0.0</v>
      </c>
      <c r="Q18" s="146"/>
      <c r="R18" s="70"/>
      <c r="S18" s="62" t="s">
        <v>194</v>
      </c>
      <c r="T18" s="22" t="s">
        <v>664</v>
      </c>
      <c r="U18" s="147" t="s">
        <v>665</v>
      </c>
      <c r="V18" s="147" t="s">
        <v>666</v>
      </c>
      <c r="W18" s="67">
        <v>29314.0</v>
      </c>
      <c r="X18" s="95" t="s">
        <v>221</v>
      </c>
      <c r="Y18" s="49" t="str">
        <f t="shared" si="3"/>
        <v>Ativo</v>
      </c>
      <c r="Z18" s="150"/>
      <c r="AA18" s="150"/>
      <c r="AB18" s="30"/>
      <c r="AC18" s="81"/>
      <c r="AD18" s="151">
        <v>45659.0</v>
      </c>
      <c r="AE18" s="30">
        <v>4.9075100017468E13</v>
      </c>
      <c r="AF18" s="65">
        <v>268.4</v>
      </c>
      <c r="AG18" s="65">
        <v>268.4</v>
      </c>
      <c r="AH18" s="65">
        <v>268.4</v>
      </c>
      <c r="AI18" s="65">
        <v>268.4</v>
      </c>
      <c r="AJ18" s="65">
        <v>268.4</v>
      </c>
      <c r="AK18" s="65">
        <v>268.4</v>
      </c>
      <c r="AL18" s="65">
        <v>268.4</v>
      </c>
      <c r="AM18" s="65">
        <v>268.4</v>
      </c>
      <c r="AN18" s="65">
        <v>268.4</v>
      </c>
      <c r="AO18" s="65">
        <v>268.4</v>
      </c>
      <c r="AP18" s="65">
        <v>268.4</v>
      </c>
      <c r="AQ18" s="65">
        <v>268.4</v>
      </c>
      <c r="AR18" s="65">
        <v>268.4</v>
      </c>
      <c r="AS18" s="65">
        <v>0.0</v>
      </c>
      <c r="AT18" s="65">
        <v>0.0</v>
      </c>
      <c r="AU18" s="65">
        <v>0.0</v>
      </c>
      <c r="AV18" s="65">
        <v>0.0</v>
      </c>
      <c r="AW18" s="65">
        <v>0.0</v>
      </c>
      <c r="AX18" s="65">
        <v>0.0</v>
      </c>
    </row>
    <row r="19" ht="15.75" customHeight="1">
      <c r="A19" s="140" t="s">
        <v>458</v>
      </c>
      <c r="B19" s="50" t="s">
        <v>671</v>
      </c>
      <c r="C19" s="141">
        <v>3259382.0</v>
      </c>
      <c r="D19" s="141" t="s">
        <v>89</v>
      </c>
      <c r="E19" s="63" t="s">
        <v>91</v>
      </c>
      <c r="F19" s="63" t="s">
        <v>521</v>
      </c>
      <c r="G19" s="47" t="str">
        <f t="shared" si="1"/>
        <v>David</v>
      </c>
      <c r="H19" s="142" t="s">
        <v>295</v>
      </c>
      <c r="I19" s="49" t="s">
        <v>382</v>
      </c>
      <c r="J19" s="63" t="str">
        <f t="shared" si="4"/>
        <v>Não</v>
      </c>
      <c r="K19" s="143">
        <v>44593.0</v>
      </c>
      <c r="L19" s="81"/>
      <c r="M19" s="81" t="s">
        <v>61</v>
      </c>
      <c r="N19" s="144">
        <v>0.007</v>
      </c>
      <c r="O19" s="141" t="s">
        <v>66</v>
      </c>
      <c r="P19" s="145">
        <v>0.0</v>
      </c>
      <c r="Q19" s="146"/>
      <c r="R19" s="58" t="s">
        <v>678</v>
      </c>
      <c r="S19" s="62" t="s">
        <v>194</v>
      </c>
      <c r="T19" s="22" t="s">
        <v>680</v>
      </c>
      <c r="U19" s="147" t="s">
        <v>683</v>
      </c>
      <c r="V19" s="147" t="s">
        <v>684</v>
      </c>
      <c r="W19" s="67">
        <v>26770.0</v>
      </c>
      <c r="X19" s="95" t="s">
        <v>221</v>
      </c>
      <c r="Y19" s="49" t="str">
        <f t="shared" si="3"/>
        <v>Ativo</v>
      </c>
      <c r="Z19" s="150"/>
      <c r="AA19" s="150"/>
      <c r="AB19" s="30"/>
      <c r="AC19" s="81"/>
      <c r="AD19" s="151">
        <v>45659.0</v>
      </c>
      <c r="AE19" s="30">
        <v>4.9075100017239E13</v>
      </c>
      <c r="AF19" s="65">
        <v>0.04</v>
      </c>
      <c r="AG19" s="65">
        <v>0.04</v>
      </c>
      <c r="AH19" s="65">
        <v>0.04</v>
      </c>
      <c r="AI19" s="65">
        <v>0.04</v>
      </c>
      <c r="AJ19" s="65">
        <v>0.04</v>
      </c>
      <c r="AK19" s="65">
        <v>0.04</v>
      </c>
      <c r="AL19" s="65">
        <v>0.04</v>
      </c>
      <c r="AM19" s="65">
        <v>0.04</v>
      </c>
      <c r="AN19" s="65">
        <v>0.04</v>
      </c>
      <c r="AO19" s="65">
        <v>0.04</v>
      </c>
      <c r="AP19" s="65">
        <v>0.04</v>
      </c>
      <c r="AQ19" s="65">
        <v>0.04</v>
      </c>
      <c r="AR19" s="65">
        <v>0.04</v>
      </c>
      <c r="AS19" s="65">
        <v>0.0</v>
      </c>
      <c r="AT19" s="65">
        <v>0.0</v>
      </c>
      <c r="AU19" s="65">
        <v>0.0</v>
      </c>
      <c r="AV19" s="65">
        <v>0.0</v>
      </c>
      <c r="AW19" s="65">
        <v>0.0</v>
      </c>
      <c r="AX19" s="65">
        <v>0.0</v>
      </c>
    </row>
    <row r="20" ht="15.75" customHeight="1">
      <c r="A20" s="140" t="s">
        <v>458</v>
      </c>
      <c r="B20" s="50" t="s">
        <v>686</v>
      </c>
      <c r="C20" s="141">
        <v>3252434.0</v>
      </c>
      <c r="D20" s="63" t="s">
        <v>120</v>
      </c>
      <c r="E20" s="63" t="s">
        <v>199</v>
      </c>
      <c r="F20" s="63" t="s">
        <v>431</v>
      </c>
      <c r="G20" s="47" t="str">
        <f t="shared" si="1"/>
        <v>David</v>
      </c>
      <c r="H20" s="152" t="s">
        <v>295</v>
      </c>
      <c r="I20" s="49" t="s">
        <v>296</v>
      </c>
      <c r="J20" s="63" t="str">
        <f t="shared" si="4"/>
        <v>Sim</v>
      </c>
      <c r="K20" s="143">
        <v>43713.0</v>
      </c>
      <c r="L20" s="81"/>
      <c r="M20" s="81" t="s">
        <v>34</v>
      </c>
      <c r="N20" s="144">
        <v>0.01</v>
      </c>
      <c r="O20" s="141" t="s">
        <v>66</v>
      </c>
      <c r="P20" s="145">
        <v>0.0</v>
      </c>
      <c r="Q20" s="146" t="s">
        <v>688</v>
      </c>
      <c r="R20" s="153" t="s">
        <v>689</v>
      </c>
      <c r="S20" s="62" t="s">
        <v>194</v>
      </c>
      <c r="T20" s="30" t="s">
        <v>690</v>
      </c>
      <c r="U20" s="147" t="s">
        <v>692</v>
      </c>
      <c r="V20" s="147" t="s">
        <v>693</v>
      </c>
      <c r="W20" s="67">
        <v>22401.0</v>
      </c>
      <c r="X20" s="81" t="s">
        <v>199</v>
      </c>
      <c r="Y20" s="49" t="str">
        <f t="shared" si="3"/>
        <v>Ativo</v>
      </c>
      <c r="Z20" s="150"/>
      <c r="AA20" s="150"/>
      <c r="AB20" s="30"/>
      <c r="AC20" s="81"/>
      <c r="AD20" s="151">
        <v>45659.0</v>
      </c>
      <c r="AE20" s="30">
        <v>4.907510001686E13</v>
      </c>
      <c r="AF20" s="65">
        <v>210215.07</v>
      </c>
      <c r="AG20" s="65">
        <v>250245.54</v>
      </c>
      <c r="AH20" s="65">
        <v>252224.54</v>
      </c>
      <c r="AI20" s="65">
        <v>253615.47</v>
      </c>
      <c r="AJ20" s="65">
        <v>95770.49</v>
      </c>
      <c r="AK20" s="65">
        <v>96801.67</v>
      </c>
      <c r="AL20" s="65">
        <v>97741.66</v>
      </c>
      <c r="AM20" s="65">
        <v>98685.74</v>
      </c>
      <c r="AN20" s="65">
        <v>99525.98</v>
      </c>
      <c r="AO20" s="65">
        <v>70780.67</v>
      </c>
      <c r="AP20" s="65">
        <v>71382.9</v>
      </c>
      <c r="AQ20" s="65">
        <v>72104.31</v>
      </c>
      <c r="AR20" s="65">
        <v>72754.67</v>
      </c>
      <c r="AS20" s="65">
        <v>73341.29</v>
      </c>
      <c r="AT20" s="65">
        <v>73922.96</v>
      </c>
      <c r="AU20" s="65">
        <v>74719.0</v>
      </c>
      <c r="AV20" s="65">
        <v>75614.7</v>
      </c>
      <c r="AW20" s="65">
        <v>76505.69</v>
      </c>
      <c r="AX20" s="65">
        <v>76708.01</v>
      </c>
    </row>
    <row r="21" ht="15.75" customHeight="1">
      <c r="A21" s="140" t="s">
        <v>458</v>
      </c>
      <c r="B21" s="50" t="s">
        <v>698</v>
      </c>
      <c r="C21" s="141">
        <v>3252361.0</v>
      </c>
      <c r="D21" s="63" t="s">
        <v>120</v>
      </c>
      <c r="E21" s="63" t="s">
        <v>91</v>
      </c>
      <c r="F21" s="63" t="s">
        <v>699</v>
      </c>
      <c r="G21" s="47" t="str">
        <f t="shared" si="1"/>
        <v>David</v>
      </c>
      <c r="H21" s="142" t="s">
        <v>295</v>
      </c>
      <c r="I21" s="49" t="s">
        <v>382</v>
      </c>
      <c r="J21" s="63" t="str">
        <f t="shared" si="4"/>
        <v>Não</v>
      </c>
      <c r="K21" s="143">
        <v>44299.0</v>
      </c>
      <c r="L21" s="81"/>
      <c r="M21" s="81" t="s">
        <v>209</v>
      </c>
      <c r="N21" s="144">
        <v>0.015</v>
      </c>
      <c r="O21" s="141" t="s">
        <v>35</v>
      </c>
      <c r="P21" s="145">
        <v>0.1</v>
      </c>
      <c r="Q21" s="146"/>
      <c r="R21" s="158" t="s">
        <v>700</v>
      </c>
      <c r="S21" s="62" t="s">
        <v>194</v>
      </c>
      <c r="T21" s="30" t="s">
        <v>701</v>
      </c>
      <c r="U21" s="147" t="s">
        <v>702</v>
      </c>
      <c r="V21" s="147" t="s">
        <v>703</v>
      </c>
      <c r="W21" s="67">
        <v>27947.0</v>
      </c>
      <c r="X21" s="95" t="s">
        <v>221</v>
      </c>
      <c r="Y21" s="49" t="str">
        <f t="shared" si="3"/>
        <v>Ativo</v>
      </c>
      <c r="Z21" s="150"/>
      <c r="AA21" s="150"/>
      <c r="AB21" s="30"/>
      <c r="AC21" s="81"/>
      <c r="AD21" s="151">
        <v>45659.0</v>
      </c>
      <c r="AE21" s="30">
        <v>4.9075100017522E13</v>
      </c>
      <c r="AF21" s="65">
        <v>0.0</v>
      </c>
      <c r="AG21" s="65">
        <v>20.27</v>
      </c>
      <c r="AH21" s="65">
        <v>20.27</v>
      </c>
      <c r="AI21" s="65">
        <v>20.27</v>
      </c>
      <c r="AJ21" s="65">
        <v>20.27</v>
      </c>
      <c r="AK21" s="65">
        <v>20.27</v>
      </c>
      <c r="AL21" s="65">
        <v>20.27</v>
      </c>
      <c r="AM21" s="65">
        <v>20.27</v>
      </c>
      <c r="AN21" s="65">
        <v>20.27</v>
      </c>
      <c r="AO21" s="65">
        <v>0.0</v>
      </c>
      <c r="AP21" s="65">
        <v>0.0</v>
      </c>
      <c r="AQ21" s="65">
        <v>0.0</v>
      </c>
      <c r="AR21" s="65">
        <v>0.0</v>
      </c>
      <c r="AS21" s="65">
        <v>0.0</v>
      </c>
      <c r="AT21" s="65">
        <v>0.0</v>
      </c>
      <c r="AU21" s="65">
        <v>0.0</v>
      </c>
      <c r="AV21" s="65">
        <v>0.0</v>
      </c>
      <c r="AW21" s="65">
        <v>0.0</v>
      </c>
      <c r="AX21" s="65">
        <v>0.0</v>
      </c>
    </row>
    <row r="22" ht="15.0" customHeight="1">
      <c r="A22" s="140" t="s">
        <v>458</v>
      </c>
      <c r="B22" s="50" t="s">
        <v>710</v>
      </c>
      <c r="C22" s="141">
        <v>3251900.0</v>
      </c>
      <c r="D22" s="141" t="s">
        <v>89</v>
      </c>
      <c r="E22" s="63" t="s">
        <v>91</v>
      </c>
      <c r="F22" s="63" t="s">
        <v>193</v>
      </c>
      <c r="G22" s="47" t="str">
        <f t="shared" si="1"/>
        <v>David</v>
      </c>
      <c r="H22" s="142" t="s">
        <v>295</v>
      </c>
      <c r="I22" s="49" t="s">
        <v>382</v>
      </c>
      <c r="J22" s="63" t="str">
        <f t="shared" si="4"/>
        <v>Não</v>
      </c>
      <c r="K22" s="143">
        <v>44586.0</v>
      </c>
      <c r="L22" s="81"/>
      <c r="M22" s="81" t="s">
        <v>61</v>
      </c>
      <c r="N22" s="144">
        <v>0.007</v>
      </c>
      <c r="O22" s="141" t="s">
        <v>66</v>
      </c>
      <c r="P22" s="145">
        <v>0.0</v>
      </c>
      <c r="Q22" s="146"/>
      <c r="R22" s="171"/>
      <c r="S22" s="62" t="s">
        <v>194</v>
      </c>
      <c r="T22" s="22" t="s">
        <v>717</v>
      </c>
      <c r="U22" s="147" t="s">
        <v>718</v>
      </c>
      <c r="V22" s="147" t="s">
        <v>719</v>
      </c>
      <c r="W22" s="67">
        <v>25335.0</v>
      </c>
      <c r="X22" s="95" t="s">
        <v>221</v>
      </c>
      <c r="Y22" s="49" t="str">
        <f t="shared" si="3"/>
        <v>Ativo</v>
      </c>
      <c r="Z22" s="150"/>
      <c r="AA22" s="150"/>
      <c r="AB22" s="30"/>
      <c r="AC22" s="81"/>
      <c r="AD22" s="151">
        <v>45659.0</v>
      </c>
      <c r="AE22" s="30">
        <v>4.9075100017212E13</v>
      </c>
      <c r="AF22" s="65">
        <v>0.02</v>
      </c>
      <c r="AG22" s="65">
        <v>0.02</v>
      </c>
      <c r="AH22" s="65">
        <v>0.02</v>
      </c>
      <c r="AI22" s="65">
        <v>0.02</v>
      </c>
      <c r="AJ22" s="65">
        <v>0.02</v>
      </c>
      <c r="AK22" s="65">
        <v>0.02</v>
      </c>
      <c r="AL22" s="65">
        <v>0.02</v>
      </c>
      <c r="AM22" s="65">
        <v>0.02</v>
      </c>
      <c r="AN22" s="65">
        <v>0.02</v>
      </c>
      <c r="AO22" s="65">
        <v>0.02</v>
      </c>
      <c r="AP22" s="65">
        <v>0.02</v>
      </c>
      <c r="AQ22" s="65">
        <v>0.02</v>
      </c>
      <c r="AR22" s="65">
        <v>0.02</v>
      </c>
      <c r="AS22" s="65">
        <v>0.0</v>
      </c>
      <c r="AT22" s="65">
        <v>0.0</v>
      </c>
      <c r="AU22" s="65">
        <v>0.0</v>
      </c>
      <c r="AV22" s="65">
        <v>0.0</v>
      </c>
      <c r="AW22" s="65">
        <v>0.0</v>
      </c>
      <c r="AX22" s="65">
        <v>0.0</v>
      </c>
    </row>
    <row r="23" ht="15.75" customHeight="1">
      <c r="A23" s="140" t="s">
        <v>458</v>
      </c>
      <c r="B23" s="50" t="s">
        <v>725</v>
      </c>
      <c r="C23" s="141">
        <v>3251683.0</v>
      </c>
      <c r="D23" s="141" t="s">
        <v>89</v>
      </c>
      <c r="E23" s="63" t="s">
        <v>91</v>
      </c>
      <c r="F23" s="63" t="s">
        <v>521</v>
      </c>
      <c r="G23" s="47" t="str">
        <f t="shared" si="1"/>
        <v>David</v>
      </c>
      <c r="H23" s="142" t="s">
        <v>183</v>
      </c>
      <c r="I23" s="74" t="s">
        <v>66</v>
      </c>
      <c r="J23" s="63" t="str">
        <f t="shared" si="4"/>
        <v>Sim</v>
      </c>
      <c r="K23" s="143">
        <v>44524.0</v>
      </c>
      <c r="L23" s="81"/>
      <c r="M23" s="81" t="s">
        <v>61</v>
      </c>
      <c r="N23" s="144">
        <v>0.007</v>
      </c>
      <c r="O23" s="141" t="s">
        <v>66</v>
      </c>
      <c r="P23" s="145">
        <v>0.0</v>
      </c>
      <c r="Q23" s="146" t="s">
        <v>726</v>
      </c>
      <c r="R23" s="70"/>
      <c r="S23" s="62" t="s">
        <v>194</v>
      </c>
      <c r="T23" s="22" t="s">
        <v>729</v>
      </c>
      <c r="U23" s="147" t="s">
        <v>731</v>
      </c>
      <c r="V23" s="147" t="s">
        <v>732</v>
      </c>
      <c r="W23" s="67">
        <v>23025.0</v>
      </c>
      <c r="X23" s="95" t="s">
        <v>221</v>
      </c>
      <c r="Y23" s="49" t="str">
        <f t="shared" si="3"/>
        <v>Ativo</v>
      </c>
      <c r="Z23" s="150"/>
      <c r="AA23" s="150"/>
      <c r="AB23" s="30"/>
      <c r="AC23" s="81"/>
      <c r="AD23" s="151">
        <v>45659.0</v>
      </c>
      <c r="AE23" s="30">
        <v>4.9075100016844E13</v>
      </c>
      <c r="AF23" s="65">
        <v>162494.34</v>
      </c>
      <c r="AG23" s="65">
        <v>186147.04</v>
      </c>
      <c r="AH23" s="65">
        <v>187612.82</v>
      </c>
      <c r="AI23" s="65">
        <v>188746.34</v>
      </c>
      <c r="AJ23" s="65">
        <v>150.23</v>
      </c>
      <c r="AK23" s="65">
        <v>151.67</v>
      </c>
      <c r="AL23" s="65">
        <v>151.67</v>
      </c>
      <c r="AM23" s="65">
        <v>151.67</v>
      </c>
      <c r="AN23" s="65">
        <v>151.67</v>
      </c>
      <c r="AO23" s="65">
        <v>151.67</v>
      </c>
      <c r="AP23" s="65">
        <v>151.67</v>
      </c>
      <c r="AQ23" s="65">
        <v>151.67</v>
      </c>
      <c r="AR23" s="65">
        <v>151.67</v>
      </c>
      <c r="AS23" s="65">
        <v>0.0</v>
      </c>
      <c r="AT23" s="65">
        <v>0.0</v>
      </c>
      <c r="AU23" s="65">
        <v>0.0</v>
      </c>
      <c r="AV23" s="65">
        <v>0.0</v>
      </c>
      <c r="AW23" s="65">
        <v>0.0</v>
      </c>
      <c r="AX23" s="65">
        <v>0.0</v>
      </c>
    </row>
    <row r="24" ht="15.75" customHeight="1">
      <c r="A24" s="140" t="s">
        <v>458</v>
      </c>
      <c r="B24" s="50" t="s">
        <v>735</v>
      </c>
      <c r="C24" s="141">
        <v>3252540.0</v>
      </c>
      <c r="D24" s="63" t="s">
        <v>120</v>
      </c>
      <c r="E24" s="63" t="s">
        <v>199</v>
      </c>
      <c r="F24" s="63" t="s">
        <v>290</v>
      </c>
      <c r="G24" s="47" t="str">
        <f t="shared" si="1"/>
        <v>Gabriel</v>
      </c>
      <c r="H24" s="142" t="s">
        <v>183</v>
      </c>
      <c r="I24" s="74" t="s">
        <v>66</v>
      </c>
      <c r="J24" s="63" t="str">
        <f t="shared" si="4"/>
        <v>Não</v>
      </c>
      <c r="K24" s="143">
        <v>43564.0</v>
      </c>
      <c r="L24" s="81"/>
      <c r="M24" s="81" t="s">
        <v>61</v>
      </c>
      <c r="N24" s="144">
        <v>0.01</v>
      </c>
      <c r="O24" s="141" t="s">
        <v>66</v>
      </c>
      <c r="P24" s="145">
        <v>0.0</v>
      </c>
      <c r="Q24" s="146"/>
      <c r="R24" s="158"/>
      <c r="S24" s="62" t="s">
        <v>194</v>
      </c>
      <c r="T24" s="141" t="s">
        <v>739</v>
      </c>
      <c r="U24" s="147" t="s">
        <v>740</v>
      </c>
      <c r="V24" s="147" t="s">
        <v>741</v>
      </c>
      <c r="W24" s="67">
        <v>25747.0</v>
      </c>
      <c r="X24" s="81" t="s">
        <v>199</v>
      </c>
      <c r="Y24" s="49" t="str">
        <f t="shared" si="3"/>
        <v>Ativo</v>
      </c>
      <c r="Z24" s="150"/>
      <c r="AA24" s="150"/>
      <c r="AB24" s="30"/>
      <c r="AC24" s="81"/>
      <c r="AD24" s="151">
        <v>45659.0</v>
      </c>
      <c r="AE24" s="30">
        <v>4.9075100016887E13</v>
      </c>
      <c r="AF24" s="65">
        <v>263236.25</v>
      </c>
      <c r="AG24" s="65">
        <v>265318.11</v>
      </c>
      <c r="AH24" s="65">
        <v>267070.91</v>
      </c>
      <c r="AI24" s="65">
        <v>269720.36</v>
      </c>
      <c r="AJ24" s="65">
        <v>272715.83</v>
      </c>
      <c r="AK24" s="65">
        <v>275154.24</v>
      </c>
      <c r="AL24" s="65">
        <v>277721.33</v>
      </c>
      <c r="AM24" s="65">
        <v>280574.56</v>
      </c>
      <c r="AN24" s="65">
        <v>283140.41</v>
      </c>
      <c r="AO24" s="65">
        <v>285324.11</v>
      </c>
      <c r="AP24" s="65">
        <v>288360.05</v>
      </c>
      <c r="AQ24" s="65">
        <v>290601.56</v>
      </c>
      <c r="AR24" s="65">
        <v>293476.32</v>
      </c>
      <c r="AS24" s="65">
        <v>296166.07</v>
      </c>
      <c r="AT24" s="65">
        <v>298660.85</v>
      </c>
      <c r="AU24" s="65">
        <v>302119.4</v>
      </c>
      <c r="AV24" s="65">
        <v>305236.6</v>
      </c>
      <c r="AW24" s="65">
        <v>308228.33</v>
      </c>
      <c r="AX24" s="65">
        <v>308009.95</v>
      </c>
    </row>
    <row r="25" ht="15.75" customHeight="1">
      <c r="A25" s="140" t="s">
        <v>458</v>
      </c>
      <c r="B25" s="50" t="s">
        <v>735</v>
      </c>
      <c r="C25" s="141">
        <v>3252523.0</v>
      </c>
      <c r="D25" s="63" t="s">
        <v>120</v>
      </c>
      <c r="E25" s="63" t="s">
        <v>199</v>
      </c>
      <c r="F25" s="63" t="s">
        <v>290</v>
      </c>
      <c r="G25" s="47" t="str">
        <f t="shared" si="1"/>
        <v>Gabriel</v>
      </c>
      <c r="H25" s="152" t="s">
        <v>295</v>
      </c>
      <c r="I25" s="49" t="s">
        <v>296</v>
      </c>
      <c r="J25" s="63" t="str">
        <f t="shared" si="4"/>
        <v>Sim</v>
      </c>
      <c r="K25" s="143">
        <v>43564.0</v>
      </c>
      <c r="L25" s="81"/>
      <c r="M25" s="81" t="s">
        <v>231</v>
      </c>
      <c r="N25" s="144">
        <v>0.02</v>
      </c>
      <c r="O25" s="141" t="s">
        <v>233</v>
      </c>
      <c r="P25" s="145">
        <v>0.2</v>
      </c>
      <c r="Q25" s="146" t="s">
        <v>745</v>
      </c>
      <c r="R25" s="158"/>
      <c r="S25" s="62" t="s">
        <v>194</v>
      </c>
      <c r="T25" s="141" t="s">
        <v>739</v>
      </c>
      <c r="U25" s="147" t="s">
        <v>740</v>
      </c>
      <c r="V25" s="147" t="s">
        <v>741</v>
      </c>
      <c r="W25" s="67">
        <v>25747.0</v>
      </c>
      <c r="X25" s="81" t="s">
        <v>199</v>
      </c>
      <c r="Y25" s="49" t="str">
        <f t="shared" si="3"/>
        <v>Ativo</v>
      </c>
      <c r="Z25" s="150"/>
      <c r="AA25" s="150"/>
      <c r="AB25" s="30"/>
      <c r="AC25" s="81"/>
      <c r="AD25" s="151">
        <v>45659.0</v>
      </c>
      <c r="AE25" s="30">
        <v>4.9075100016739E13</v>
      </c>
      <c r="AF25" s="65">
        <v>44273.72</v>
      </c>
      <c r="AG25" s="65">
        <v>185226.37</v>
      </c>
      <c r="AH25" s="65">
        <v>186731.34</v>
      </c>
      <c r="AI25" s="65">
        <v>188451.13</v>
      </c>
      <c r="AJ25" s="65">
        <v>190453.39</v>
      </c>
      <c r="AK25" s="65">
        <v>192215.38</v>
      </c>
      <c r="AL25" s="65">
        <v>194037.55</v>
      </c>
      <c r="AM25" s="65">
        <v>196034.02</v>
      </c>
      <c r="AN25" s="65">
        <v>197846.59</v>
      </c>
      <c r="AO25" s="65">
        <v>199634.31</v>
      </c>
      <c r="AP25" s="65">
        <v>202026.73</v>
      </c>
      <c r="AQ25" s="65">
        <v>203949.52</v>
      </c>
      <c r="AR25" s="65">
        <v>206213.8</v>
      </c>
      <c r="AS25" s="65">
        <v>207096.25</v>
      </c>
      <c r="AT25" s="65">
        <v>208806.52</v>
      </c>
      <c r="AU25" s="65">
        <v>211374.34</v>
      </c>
      <c r="AV25" s="65">
        <v>212828.67</v>
      </c>
      <c r="AW25" s="65">
        <v>214877.03</v>
      </c>
      <c r="AX25" s="65">
        <v>217118.17</v>
      </c>
    </row>
    <row r="26" ht="15.75" customHeight="1">
      <c r="A26" s="140" t="s">
        <v>458</v>
      </c>
      <c r="B26" s="50" t="s">
        <v>749</v>
      </c>
      <c r="C26" s="141">
        <v>3252329.0</v>
      </c>
      <c r="D26" s="63" t="s">
        <v>120</v>
      </c>
      <c r="E26" s="63" t="s">
        <v>199</v>
      </c>
      <c r="F26" s="63" t="s">
        <v>212</v>
      </c>
      <c r="G26" s="47" t="str">
        <f t="shared" si="1"/>
        <v>David</v>
      </c>
      <c r="H26" s="152" t="s">
        <v>183</v>
      </c>
      <c r="I26" s="74" t="s">
        <v>66</v>
      </c>
      <c r="J26" s="63" t="str">
        <f t="shared" si="4"/>
        <v>Não</v>
      </c>
      <c r="K26" s="143">
        <v>44888.0</v>
      </c>
      <c r="L26" s="81"/>
      <c r="M26" s="81" t="s">
        <v>61</v>
      </c>
      <c r="N26" s="144">
        <v>0.0</v>
      </c>
      <c r="O26" s="141" t="s">
        <v>66</v>
      </c>
      <c r="P26" s="145">
        <v>0.0</v>
      </c>
      <c r="Q26" s="146"/>
      <c r="R26" s="158"/>
      <c r="S26" s="62" t="s">
        <v>194</v>
      </c>
      <c r="T26" s="30" t="s">
        <v>752</v>
      </c>
      <c r="U26" s="147" t="s">
        <v>753</v>
      </c>
      <c r="V26" s="147" t="s">
        <v>754</v>
      </c>
      <c r="W26" s="67">
        <v>30820.0</v>
      </c>
      <c r="X26" s="30" t="s">
        <v>199</v>
      </c>
      <c r="Y26" s="49" t="str">
        <f t="shared" si="3"/>
        <v>Ativo</v>
      </c>
      <c r="Z26" s="150"/>
      <c r="AA26" s="150"/>
      <c r="AB26" s="30"/>
      <c r="AC26" s="81"/>
      <c r="AD26" s="151">
        <v>45659.0</v>
      </c>
      <c r="AE26" s="30">
        <v>4.9075100016755E13</v>
      </c>
      <c r="AF26" s="65">
        <v>101720.16</v>
      </c>
      <c r="AG26" s="65">
        <v>105488.21</v>
      </c>
      <c r="AH26" s="65">
        <v>106497.79</v>
      </c>
      <c r="AI26" s="65">
        <v>107688.68</v>
      </c>
      <c r="AJ26" s="65">
        <v>108879.97</v>
      </c>
      <c r="AK26" s="65">
        <v>109323.04</v>
      </c>
      <c r="AL26" s="65">
        <v>110583.54</v>
      </c>
      <c r="AM26" s="65">
        <v>111855.14</v>
      </c>
      <c r="AN26" s="65">
        <v>112959.61</v>
      </c>
      <c r="AO26" s="65">
        <v>114193.62</v>
      </c>
      <c r="AP26" s="65">
        <v>115505.32</v>
      </c>
      <c r="AQ26" s="65">
        <v>116255.05</v>
      </c>
      <c r="AR26" s="65">
        <v>116713.71</v>
      </c>
      <c r="AS26" s="65">
        <v>117825.67</v>
      </c>
      <c r="AT26" s="65">
        <v>118914.48</v>
      </c>
      <c r="AU26" s="65">
        <v>120352.64</v>
      </c>
      <c r="AV26" s="65">
        <v>121691.38</v>
      </c>
      <c r="AW26" s="65">
        <v>122938.1</v>
      </c>
      <c r="AX26" s="65">
        <v>122385.63</v>
      </c>
    </row>
    <row r="27" ht="15.75" customHeight="1">
      <c r="A27" s="140" t="s">
        <v>458</v>
      </c>
      <c r="B27" s="50" t="s">
        <v>762</v>
      </c>
      <c r="C27" s="141">
        <v>3251624.0</v>
      </c>
      <c r="D27" s="141" t="s">
        <v>89</v>
      </c>
      <c r="E27" s="63" t="s">
        <v>91</v>
      </c>
      <c r="F27" s="63" t="s">
        <v>521</v>
      </c>
      <c r="G27" s="47" t="str">
        <f t="shared" si="1"/>
        <v>David</v>
      </c>
      <c r="H27" s="142" t="s">
        <v>183</v>
      </c>
      <c r="I27" s="74" t="s">
        <v>66</v>
      </c>
      <c r="J27" s="63" t="str">
        <f t="shared" si="4"/>
        <v>Não</v>
      </c>
      <c r="K27" s="143">
        <v>44733.0</v>
      </c>
      <c r="L27" s="81"/>
      <c r="M27" s="81" t="s">
        <v>61</v>
      </c>
      <c r="N27" s="144">
        <v>0.007</v>
      </c>
      <c r="O27" s="141" t="s">
        <v>66</v>
      </c>
      <c r="P27" s="145">
        <v>0.0</v>
      </c>
      <c r="Q27" s="146"/>
      <c r="R27" s="158"/>
      <c r="S27" s="62" t="s">
        <v>194</v>
      </c>
      <c r="T27" s="22" t="s">
        <v>764</v>
      </c>
      <c r="U27" s="147" t="s">
        <v>765</v>
      </c>
      <c r="V27" s="147" t="s">
        <v>766</v>
      </c>
      <c r="W27" s="67">
        <v>31356.0</v>
      </c>
      <c r="X27" s="95" t="s">
        <v>221</v>
      </c>
      <c r="Y27" s="49" t="str">
        <f t="shared" si="3"/>
        <v>Ativo</v>
      </c>
      <c r="Z27" s="150"/>
      <c r="AA27" s="150"/>
      <c r="AB27" s="30"/>
      <c r="AC27" s="81"/>
      <c r="AD27" s="151">
        <v>45659.0</v>
      </c>
      <c r="AE27" s="30">
        <v>4.9075100017441E13</v>
      </c>
      <c r="AF27" s="65">
        <v>178.03</v>
      </c>
      <c r="AG27" s="65">
        <v>178.03</v>
      </c>
      <c r="AH27" s="65">
        <v>178.03</v>
      </c>
      <c r="AI27" s="65">
        <v>178.03</v>
      </c>
      <c r="AJ27" s="65">
        <v>178.03</v>
      </c>
      <c r="AK27" s="65">
        <v>178.03</v>
      </c>
      <c r="AL27" s="65">
        <v>178.03</v>
      </c>
      <c r="AM27" s="65">
        <v>178.03</v>
      </c>
      <c r="AN27" s="65">
        <v>178.03</v>
      </c>
      <c r="AO27" s="65">
        <v>0.0</v>
      </c>
      <c r="AP27" s="65">
        <v>0.0</v>
      </c>
      <c r="AQ27" s="65">
        <v>0.0</v>
      </c>
      <c r="AR27" s="65">
        <v>0.0</v>
      </c>
      <c r="AS27" s="65">
        <v>0.0</v>
      </c>
      <c r="AT27" s="65">
        <v>0.0</v>
      </c>
      <c r="AU27" s="65">
        <v>0.0</v>
      </c>
      <c r="AV27" s="65">
        <v>0.0</v>
      </c>
      <c r="AW27" s="65">
        <v>0.0</v>
      </c>
      <c r="AX27" s="65">
        <v>0.0</v>
      </c>
    </row>
    <row r="28" ht="15.75" customHeight="1">
      <c r="A28" s="140" t="s">
        <v>458</v>
      </c>
      <c r="B28" s="50" t="s">
        <v>790</v>
      </c>
      <c r="C28" s="141">
        <v>3252019.0</v>
      </c>
      <c r="D28" s="141" t="s">
        <v>89</v>
      </c>
      <c r="E28" s="63" t="s">
        <v>91</v>
      </c>
      <c r="F28" s="63" t="s">
        <v>521</v>
      </c>
      <c r="G28" s="47" t="str">
        <f t="shared" si="1"/>
        <v>David</v>
      </c>
      <c r="H28" s="142" t="s">
        <v>295</v>
      </c>
      <c r="I28" s="49" t="s">
        <v>382</v>
      </c>
      <c r="J28" s="63" t="str">
        <f t="shared" si="4"/>
        <v>Não</v>
      </c>
      <c r="K28" s="143">
        <v>44263.0</v>
      </c>
      <c r="L28" s="81"/>
      <c r="M28" s="81" t="s">
        <v>361</v>
      </c>
      <c r="N28" s="144">
        <v>0.02</v>
      </c>
      <c r="O28" s="141" t="s">
        <v>35</v>
      </c>
      <c r="P28" s="145">
        <v>0.2</v>
      </c>
      <c r="Q28" s="146"/>
      <c r="R28" s="153" t="s">
        <v>797</v>
      </c>
      <c r="S28" s="62" t="s">
        <v>194</v>
      </c>
      <c r="T28" s="141" t="s">
        <v>798</v>
      </c>
      <c r="U28" s="147" t="s">
        <v>799</v>
      </c>
      <c r="V28" s="147" t="s">
        <v>800</v>
      </c>
      <c r="W28" s="67">
        <v>27804.0</v>
      </c>
      <c r="X28" s="95" t="s">
        <v>221</v>
      </c>
      <c r="Y28" s="49" t="str">
        <f t="shared" si="3"/>
        <v>Inativo</v>
      </c>
      <c r="Z28" s="150"/>
      <c r="AA28" s="150"/>
      <c r="AB28" s="30"/>
      <c r="AC28" s="81"/>
      <c r="AD28" s="151">
        <v>45659.0</v>
      </c>
      <c r="AE28" s="30">
        <v>4.9075100017131E13</v>
      </c>
      <c r="AF28" s="65">
        <v>0.0</v>
      </c>
      <c r="AG28" s="65">
        <v>0.0</v>
      </c>
      <c r="AH28" s="65">
        <v>0.0</v>
      </c>
      <c r="AI28" s="65">
        <v>0.0</v>
      </c>
      <c r="AJ28" s="65">
        <v>0.0</v>
      </c>
      <c r="AK28" s="65">
        <v>0.0</v>
      </c>
      <c r="AL28" s="65">
        <v>0.0</v>
      </c>
      <c r="AM28" s="65">
        <v>0.0</v>
      </c>
      <c r="AN28" s="65">
        <v>0.0</v>
      </c>
      <c r="AO28" s="65">
        <v>0.0</v>
      </c>
      <c r="AP28" s="65">
        <v>0.0</v>
      </c>
      <c r="AQ28" s="65">
        <v>0.0</v>
      </c>
      <c r="AR28" s="65">
        <v>0.0</v>
      </c>
      <c r="AS28" s="65">
        <v>0.0</v>
      </c>
      <c r="AT28" s="65">
        <v>0.0</v>
      </c>
      <c r="AU28" s="65">
        <v>0.0</v>
      </c>
      <c r="AV28" s="65">
        <v>0.0</v>
      </c>
      <c r="AW28" s="65">
        <v>0.0</v>
      </c>
      <c r="AX28" s="65">
        <v>0.0</v>
      </c>
    </row>
    <row r="29" ht="15.75" customHeight="1">
      <c r="A29" s="140" t="s">
        <v>458</v>
      </c>
      <c r="B29" s="50" t="s">
        <v>810</v>
      </c>
      <c r="C29" s="141">
        <v>3251829.0</v>
      </c>
      <c r="D29" s="141" t="s">
        <v>89</v>
      </c>
      <c r="E29" s="63" t="s">
        <v>91</v>
      </c>
      <c r="F29" s="63" t="s">
        <v>193</v>
      </c>
      <c r="G29" s="47" t="str">
        <f t="shared" si="1"/>
        <v>David</v>
      </c>
      <c r="H29" s="142" t="s">
        <v>295</v>
      </c>
      <c r="I29" s="49" t="s">
        <v>382</v>
      </c>
      <c r="J29" s="63" t="str">
        <f t="shared" si="4"/>
        <v>Sim</v>
      </c>
      <c r="K29" s="143">
        <v>44291.0</v>
      </c>
      <c r="L29" s="81"/>
      <c r="M29" s="81" t="s">
        <v>209</v>
      </c>
      <c r="N29" s="144">
        <v>0.015</v>
      </c>
      <c r="O29" s="141" t="s">
        <v>35</v>
      </c>
      <c r="P29" s="145">
        <v>0.1</v>
      </c>
      <c r="Q29" s="146" t="s">
        <v>818</v>
      </c>
      <c r="R29" s="153" t="s">
        <v>819</v>
      </c>
      <c r="S29" s="62" t="s">
        <v>194</v>
      </c>
      <c r="T29" s="30" t="s">
        <v>821</v>
      </c>
      <c r="U29" s="147" t="s">
        <v>822</v>
      </c>
      <c r="V29" s="147" t="s">
        <v>823</v>
      </c>
      <c r="W29" s="67">
        <v>27460.0</v>
      </c>
      <c r="X29" s="95" t="s">
        <v>221</v>
      </c>
      <c r="Y29" s="49" t="str">
        <f t="shared" si="3"/>
        <v>Ativo</v>
      </c>
      <c r="Z29" s="150"/>
      <c r="AA29" s="150"/>
      <c r="AB29" s="30"/>
      <c r="AC29" s="81"/>
      <c r="AD29" s="151">
        <v>45659.0</v>
      </c>
      <c r="AE29" s="30">
        <v>4.9075100017281E13</v>
      </c>
      <c r="AF29" s="65">
        <v>0.23</v>
      </c>
      <c r="AG29" s="65">
        <v>0.23</v>
      </c>
      <c r="AH29" s="65">
        <v>0.23</v>
      </c>
      <c r="AI29" s="65">
        <v>0.23</v>
      </c>
      <c r="AJ29" s="65">
        <v>0.23</v>
      </c>
      <c r="AK29" s="65">
        <v>0.23</v>
      </c>
      <c r="AL29" s="65">
        <v>0.23</v>
      </c>
      <c r="AM29" s="65">
        <v>0.23</v>
      </c>
      <c r="AN29" s="65">
        <v>0.23</v>
      </c>
      <c r="AO29" s="65">
        <v>0.23</v>
      </c>
      <c r="AP29" s="65">
        <v>0.23</v>
      </c>
      <c r="AQ29" s="65">
        <v>0.23</v>
      </c>
      <c r="AR29" s="65">
        <v>0.23</v>
      </c>
      <c r="AS29" s="65">
        <v>0.23</v>
      </c>
      <c r="AT29" s="65">
        <v>0.23</v>
      </c>
      <c r="AU29" s="65">
        <v>0.23</v>
      </c>
      <c r="AV29" s="65">
        <v>0.23</v>
      </c>
      <c r="AW29" s="65">
        <v>0.23</v>
      </c>
      <c r="AX29" s="65">
        <v>0.23</v>
      </c>
    </row>
    <row r="30" ht="15.75" customHeight="1">
      <c r="A30" s="140" t="s">
        <v>458</v>
      </c>
      <c r="B30" s="50" t="s">
        <v>831</v>
      </c>
      <c r="C30" s="141">
        <v>3252281.0</v>
      </c>
      <c r="D30" s="141" t="s">
        <v>89</v>
      </c>
      <c r="E30" s="63" t="s">
        <v>91</v>
      </c>
      <c r="F30" s="63" t="s">
        <v>521</v>
      </c>
      <c r="G30" s="47" t="str">
        <f t="shared" si="1"/>
        <v>David</v>
      </c>
      <c r="H30" s="142" t="s">
        <v>295</v>
      </c>
      <c r="I30" s="49" t="s">
        <v>382</v>
      </c>
      <c r="J30" s="63" t="str">
        <f t="shared" si="4"/>
        <v>Não</v>
      </c>
      <c r="K30" s="143">
        <v>44263.0</v>
      </c>
      <c r="L30" s="81"/>
      <c r="M30" s="81" t="s">
        <v>361</v>
      </c>
      <c r="N30" s="144">
        <v>0.025</v>
      </c>
      <c r="O30" s="141" t="s">
        <v>35</v>
      </c>
      <c r="P30" s="145">
        <v>0.2</v>
      </c>
      <c r="Q30" s="146"/>
      <c r="R30" s="158"/>
      <c r="S30" s="62" t="s">
        <v>194</v>
      </c>
      <c r="T30" s="30" t="s">
        <v>836</v>
      </c>
      <c r="U30" s="147" t="s">
        <v>837</v>
      </c>
      <c r="V30" s="147" t="s">
        <v>838</v>
      </c>
      <c r="W30" s="154">
        <v>26964.0</v>
      </c>
      <c r="X30" s="95" t="s">
        <v>221</v>
      </c>
      <c r="Y30" s="49" t="str">
        <f t="shared" si="3"/>
        <v>Ativo</v>
      </c>
      <c r="Z30" s="150"/>
      <c r="AA30" s="150"/>
      <c r="AB30" s="30"/>
      <c r="AC30" s="81"/>
      <c r="AD30" s="151">
        <v>45659.0</v>
      </c>
      <c r="AE30" s="30">
        <v>4.9075100017433E13</v>
      </c>
      <c r="AF30" s="65">
        <v>144.23</v>
      </c>
      <c r="AG30" s="65">
        <v>144.23</v>
      </c>
      <c r="AH30" s="65">
        <v>144.23</v>
      </c>
      <c r="AI30" s="65">
        <v>144.23</v>
      </c>
      <c r="AJ30" s="65">
        <v>144.23</v>
      </c>
      <c r="AK30" s="65">
        <v>144.23</v>
      </c>
      <c r="AL30" s="65">
        <v>144.23</v>
      </c>
      <c r="AM30" s="65">
        <v>144.23</v>
      </c>
      <c r="AN30" s="65">
        <v>144.23</v>
      </c>
      <c r="AO30" s="65">
        <v>144.23</v>
      </c>
      <c r="AP30" s="65">
        <v>144.23</v>
      </c>
      <c r="AQ30" s="65">
        <v>144.23</v>
      </c>
      <c r="AR30" s="65">
        <v>144.23</v>
      </c>
      <c r="AS30" s="65">
        <v>0.0</v>
      </c>
      <c r="AT30" s="65">
        <v>0.0</v>
      </c>
      <c r="AU30" s="65">
        <v>0.0</v>
      </c>
      <c r="AV30" s="65">
        <v>0.0</v>
      </c>
      <c r="AW30" s="65">
        <v>0.0</v>
      </c>
      <c r="AX30" s="65">
        <v>0.0</v>
      </c>
    </row>
    <row r="31" ht="15.75" customHeight="1">
      <c r="A31" s="140" t="s">
        <v>458</v>
      </c>
      <c r="B31" s="50" t="s">
        <v>849</v>
      </c>
      <c r="C31" s="141">
        <v>3251781.0</v>
      </c>
      <c r="D31" s="141" t="s">
        <v>89</v>
      </c>
      <c r="E31" s="63" t="s">
        <v>91</v>
      </c>
      <c r="F31" s="63" t="s">
        <v>521</v>
      </c>
      <c r="G31" s="47" t="str">
        <f t="shared" si="1"/>
        <v>David</v>
      </c>
      <c r="H31" s="142" t="s">
        <v>295</v>
      </c>
      <c r="I31" s="49" t="s">
        <v>382</v>
      </c>
      <c r="J31" s="63" t="str">
        <f t="shared" si="4"/>
        <v>Não</v>
      </c>
      <c r="K31" s="143">
        <v>44266.0</v>
      </c>
      <c r="L31" s="81"/>
      <c r="M31" s="81" t="s">
        <v>361</v>
      </c>
      <c r="N31" s="144">
        <v>0.02</v>
      </c>
      <c r="O31" s="141" t="s">
        <v>35</v>
      </c>
      <c r="P31" s="145">
        <v>0.2</v>
      </c>
      <c r="Q31" s="146"/>
      <c r="R31" s="153" t="s">
        <v>856</v>
      </c>
      <c r="S31" s="62" t="s">
        <v>194</v>
      </c>
      <c r="T31" s="141" t="s">
        <v>857</v>
      </c>
      <c r="U31" s="147" t="s">
        <v>858</v>
      </c>
      <c r="V31" s="147" t="s">
        <v>859</v>
      </c>
      <c r="W31" s="67">
        <v>29497.0</v>
      </c>
      <c r="X31" s="95" t="s">
        <v>221</v>
      </c>
      <c r="Y31" s="49" t="str">
        <f t="shared" si="3"/>
        <v>Inativo</v>
      </c>
      <c r="Z31" s="150"/>
      <c r="AA31" s="150"/>
      <c r="AB31" s="30"/>
      <c r="AC31" s="81"/>
      <c r="AD31" s="151">
        <v>45659.0</v>
      </c>
      <c r="AE31" s="30">
        <v>4.9075100017123E13</v>
      </c>
      <c r="AF31" s="65">
        <v>0.0</v>
      </c>
      <c r="AG31" s="65">
        <v>0.0</v>
      </c>
      <c r="AH31" s="65">
        <v>0.0</v>
      </c>
      <c r="AI31" s="65">
        <v>0.0</v>
      </c>
      <c r="AJ31" s="65">
        <v>0.0</v>
      </c>
      <c r="AK31" s="65">
        <v>0.0</v>
      </c>
      <c r="AL31" s="65">
        <v>0.0</v>
      </c>
      <c r="AM31" s="65">
        <v>0.0</v>
      </c>
      <c r="AN31" s="65">
        <v>0.0</v>
      </c>
      <c r="AO31" s="65">
        <v>0.0</v>
      </c>
      <c r="AP31" s="65">
        <v>0.0</v>
      </c>
      <c r="AQ31" s="65">
        <v>0.0</v>
      </c>
      <c r="AR31" s="65">
        <v>0.0</v>
      </c>
      <c r="AS31" s="65">
        <v>0.0</v>
      </c>
      <c r="AT31" s="65">
        <v>0.0</v>
      </c>
      <c r="AU31" s="65">
        <v>0.0</v>
      </c>
      <c r="AV31" s="65">
        <v>0.0</v>
      </c>
      <c r="AW31" s="65">
        <v>0.0</v>
      </c>
      <c r="AX31" s="65">
        <v>0.0</v>
      </c>
    </row>
    <row r="32" ht="15.75" customHeight="1">
      <c r="A32" s="140" t="s">
        <v>458</v>
      </c>
      <c r="B32" s="50" t="s">
        <v>866</v>
      </c>
      <c r="C32" s="141">
        <v>3252167.0</v>
      </c>
      <c r="D32" s="63" t="s">
        <v>120</v>
      </c>
      <c r="E32" s="63" t="s">
        <v>199</v>
      </c>
      <c r="F32" s="141" t="s">
        <v>502</v>
      </c>
      <c r="G32" s="47" t="str">
        <f t="shared" si="1"/>
        <v>David</v>
      </c>
      <c r="H32" s="142" t="s">
        <v>183</v>
      </c>
      <c r="I32" s="74" t="s">
        <v>66</v>
      </c>
      <c r="J32" s="63" t="str">
        <f t="shared" si="4"/>
        <v>Não</v>
      </c>
      <c r="K32" s="143">
        <v>45013.0</v>
      </c>
      <c r="L32" s="81"/>
      <c r="M32" s="81" t="s">
        <v>61</v>
      </c>
      <c r="N32" s="144">
        <v>0.01</v>
      </c>
      <c r="O32" s="141" t="s">
        <v>66</v>
      </c>
      <c r="P32" s="145">
        <v>0.0</v>
      </c>
      <c r="Q32" s="146"/>
      <c r="R32" s="158"/>
      <c r="S32" s="62" t="s">
        <v>194</v>
      </c>
      <c r="T32" s="180" t="s">
        <v>873</v>
      </c>
      <c r="U32" s="147" t="s">
        <v>877</v>
      </c>
      <c r="V32" s="147" t="s">
        <v>878</v>
      </c>
      <c r="W32" s="67">
        <v>33879.0</v>
      </c>
      <c r="X32" s="22" t="s">
        <v>397</v>
      </c>
      <c r="Y32" s="49" t="str">
        <f t="shared" si="3"/>
        <v>Ativo</v>
      </c>
      <c r="Z32" s="150"/>
      <c r="AA32" s="150"/>
      <c r="AB32" s="30"/>
      <c r="AC32" s="81"/>
      <c r="AD32" s="151">
        <v>45659.0</v>
      </c>
      <c r="AE32" s="30">
        <v>4.9075100016828E13</v>
      </c>
      <c r="AF32" s="65">
        <v>151242.34</v>
      </c>
      <c r="AG32" s="65">
        <v>178909.08</v>
      </c>
      <c r="AH32" s="65">
        <v>180275.55</v>
      </c>
      <c r="AI32" s="65">
        <v>180762.95</v>
      </c>
      <c r="AJ32" s="65">
        <v>182034.92</v>
      </c>
      <c r="AK32" s="65">
        <v>183831.0</v>
      </c>
      <c r="AL32" s="65">
        <v>185374.62</v>
      </c>
      <c r="AM32" s="65">
        <v>15903.09</v>
      </c>
      <c r="AN32" s="65">
        <v>16038.88</v>
      </c>
      <c r="AO32" s="65">
        <v>213.74</v>
      </c>
      <c r="AP32" s="65">
        <v>213.83</v>
      </c>
      <c r="AQ32" s="65">
        <v>214.11</v>
      </c>
      <c r="AR32" s="65">
        <v>214.44</v>
      </c>
      <c r="AS32" s="65">
        <v>214.62</v>
      </c>
      <c r="AT32" s="65">
        <v>214.8</v>
      </c>
      <c r="AU32" s="65">
        <v>215.01</v>
      </c>
      <c r="AV32" s="65">
        <v>218.63</v>
      </c>
      <c r="AW32" s="65">
        <v>227.54</v>
      </c>
      <c r="AX32" s="65">
        <v>234.08</v>
      </c>
    </row>
    <row r="33" ht="15.75" customHeight="1">
      <c r="A33" s="140" t="s">
        <v>458</v>
      </c>
      <c r="B33" s="50" t="s">
        <v>883</v>
      </c>
      <c r="C33" s="141">
        <v>3251667.0</v>
      </c>
      <c r="D33" s="141" t="s">
        <v>89</v>
      </c>
      <c r="E33" s="63" t="s">
        <v>91</v>
      </c>
      <c r="F33" s="63" t="s">
        <v>884</v>
      </c>
      <c r="G33" s="47" t="str">
        <f t="shared" si="1"/>
        <v>David</v>
      </c>
      <c r="H33" s="142" t="s">
        <v>295</v>
      </c>
      <c r="I33" s="49" t="s">
        <v>382</v>
      </c>
      <c r="J33" s="63" t="str">
        <f t="shared" si="4"/>
        <v>Sim</v>
      </c>
      <c r="K33" s="143">
        <v>44677.0</v>
      </c>
      <c r="L33" s="81"/>
      <c r="M33" s="81" t="s">
        <v>61</v>
      </c>
      <c r="N33" s="144">
        <v>0.007</v>
      </c>
      <c r="O33" s="141" t="s">
        <v>66</v>
      </c>
      <c r="P33" s="145">
        <v>0.0</v>
      </c>
      <c r="Q33" s="146" t="s">
        <v>885</v>
      </c>
      <c r="R33" s="158"/>
      <c r="S33" s="62" t="s">
        <v>194</v>
      </c>
      <c r="T33" s="30" t="s">
        <v>886</v>
      </c>
      <c r="U33" s="147" t="s">
        <v>887</v>
      </c>
      <c r="V33" s="147" t="s">
        <v>888</v>
      </c>
      <c r="W33" s="67">
        <v>26642.0</v>
      </c>
      <c r="X33" s="95" t="s">
        <v>475</v>
      </c>
      <c r="Y33" s="49" t="str">
        <f t="shared" si="3"/>
        <v>Ativo</v>
      </c>
      <c r="Z33" s="150"/>
      <c r="AA33" s="150"/>
      <c r="AB33" s="30"/>
      <c r="AC33" s="81"/>
      <c r="AD33" s="151">
        <v>45659.0</v>
      </c>
      <c r="AE33" s="30">
        <v>4.9075100017395E13</v>
      </c>
      <c r="AF33" s="65">
        <v>56.8</v>
      </c>
      <c r="AG33" s="65">
        <v>56.8</v>
      </c>
      <c r="AH33" s="65">
        <v>56.8</v>
      </c>
      <c r="AI33" s="65">
        <v>56.8</v>
      </c>
      <c r="AJ33" s="65">
        <v>56.8</v>
      </c>
      <c r="AK33" s="65">
        <v>56.8</v>
      </c>
      <c r="AL33" s="65">
        <v>56.8</v>
      </c>
      <c r="AM33" s="65">
        <v>56.8</v>
      </c>
      <c r="AN33" s="65">
        <v>56.8</v>
      </c>
      <c r="AO33" s="65">
        <v>56.8</v>
      </c>
      <c r="AP33" s="65">
        <v>56.8</v>
      </c>
      <c r="AQ33" s="65">
        <v>56.8</v>
      </c>
      <c r="AR33" s="65">
        <v>56.8</v>
      </c>
      <c r="AS33" s="65">
        <v>0.0</v>
      </c>
      <c r="AT33" s="65">
        <v>0.0</v>
      </c>
      <c r="AU33" s="65">
        <v>0.0</v>
      </c>
      <c r="AV33" s="65">
        <v>0.0</v>
      </c>
      <c r="AW33" s="65">
        <v>0.0</v>
      </c>
      <c r="AX33" s="65">
        <v>0.0</v>
      </c>
    </row>
    <row r="34" ht="15.75" customHeight="1">
      <c r="A34" s="140" t="s">
        <v>458</v>
      </c>
      <c r="B34" s="50" t="s">
        <v>894</v>
      </c>
      <c r="C34" s="141">
        <v>3251691.0</v>
      </c>
      <c r="D34" s="141" t="s">
        <v>89</v>
      </c>
      <c r="E34" s="63" t="s">
        <v>91</v>
      </c>
      <c r="F34" s="63" t="s">
        <v>193</v>
      </c>
      <c r="G34" s="47" t="str">
        <f t="shared" si="1"/>
        <v>David</v>
      </c>
      <c r="H34" s="142" t="s">
        <v>295</v>
      </c>
      <c r="I34" s="49" t="s">
        <v>382</v>
      </c>
      <c r="J34" s="63" t="str">
        <f t="shared" si="4"/>
        <v>Sim</v>
      </c>
      <c r="K34" s="143">
        <v>44665.0</v>
      </c>
      <c r="L34" s="81"/>
      <c r="M34" s="81" t="s">
        <v>361</v>
      </c>
      <c r="N34" s="144">
        <v>0.02</v>
      </c>
      <c r="O34" s="141" t="s">
        <v>35</v>
      </c>
      <c r="P34" s="145">
        <v>0.2</v>
      </c>
      <c r="Q34" s="146" t="s">
        <v>899</v>
      </c>
      <c r="R34" s="158"/>
      <c r="S34" s="62" t="s">
        <v>194</v>
      </c>
      <c r="T34" s="141" t="s">
        <v>900</v>
      </c>
      <c r="U34" s="147" t="s">
        <v>901</v>
      </c>
      <c r="V34" s="147" t="s">
        <v>902</v>
      </c>
      <c r="W34" s="67">
        <v>31783.0</v>
      </c>
      <c r="X34" s="81" t="s">
        <v>221</v>
      </c>
      <c r="Y34" s="49" t="str">
        <f t="shared" si="3"/>
        <v>Ativo</v>
      </c>
      <c r="Z34" s="150"/>
      <c r="AA34" s="150"/>
      <c r="AB34" s="30"/>
      <c r="AC34" s="81"/>
      <c r="AD34" s="151">
        <v>45659.0</v>
      </c>
      <c r="AE34" s="30">
        <v>4.9075100017409E13</v>
      </c>
      <c r="AF34" s="65">
        <v>77.28</v>
      </c>
      <c r="AG34" s="65">
        <v>77.28</v>
      </c>
      <c r="AH34" s="65">
        <v>77.28</v>
      </c>
      <c r="AI34" s="65">
        <v>77.28</v>
      </c>
      <c r="AJ34" s="65">
        <v>77.28</v>
      </c>
      <c r="AK34" s="65">
        <v>77.28</v>
      </c>
      <c r="AL34" s="65">
        <v>77.28</v>
      </c>
      <c r="AM34" s="65">
        <v>77.28</v>
      </c>
      <c r="AN34" s="65">
        <v>77.28</v>
      </c>
      <c r="AO34" s="65">
        <v>77.28</v>
      </c>
      <c r="AP34" s="65">
        <v>77.28</v>
      </c>
      <c r="AQ34" s="65">
        <v>77.28</v>
      </c>
      <c r="AR34" s="65">
        <v>77.28</v>
      </c>
      <c r="AS34" s="65">
        <v>0.0</v>
      </c>
      <c r="AT34" s="65">
        <v>0.0</v>
      </c>
      <c r="AU34" s="65">
        <v>0.0</v>
      </c>
      <c r="AV34" s="65">
        <v>0.0</v>
      </c>
      <c r="AW34" s="65">
        <v>0.0</v>
      </c>
      <c r="AX34" s="65">
        <v>0.0</v>
      </c>
    </row>
    <row r="35" ht="15.75" customHeight="1">
      <c r="A35" s="140" t="s">
        <v>458</v>
      </c>
      <c r="B35" s="50" t="s">
        <v>906</v>
      </c>
      <c r="C35" s="141">
        <v>3251721.0</v>
      </c>
      <c r="D35" s="141" t="s">
        <v>89</v>
      </c>
      <c r="E35" s="63" t="s">
        <v>91</v>
      </c>
      <c r="F35" s="63" t="s">
        <v>521</v>
      </c>
      <c r="G35" s="47" t="str">
        <f t="shared" si="1"/>
        <v>David</v>
      </c>
      <c r="H35" s="142" t="s">
        <v>295</v>
      </c>
      <c r="I35" s="49" t="s">
        <v>296</v>
      </c>
      <c r="J35" s="63" t="str">
        <f t="shared" si="4"/>
        <v>Não</v>
      </c>
      <c r="K35" s="143">
        <v>44291.0</v>
      </c>
      <c r="L35" s="81"/>
      <c r="M35" s="81" t="s">
        <v>34</v>
      </c>
      <c r="N35" s="144">
        <v>0.012</v>
      </c>
      <c r="O35" s="141" t="s">
        <v>66</v>
      </c>
      <c r="P35" s="145">
        <v>0.0</v>
      </c>
      <c r="Q35" s="146"/>
      <c r="R35" s="158" t="s">
        <v>909</v>
      </c>
      <c r="S35" s="62" t="s">
        <v>194</v>
      </c>
      <c r="T35" s="30" t="s">
        <v>910</v>
      </c>
      <c r="U35" s="147" t="s">
        <v>911</v>
      </c>
      <c r="V35" s="147" t="s">
        <v>912</v>
      </c>
      <c r="W35" s="67">
        <v>28226.0</v>
      </c>
      <c r="X35" s="95" t="s">
        <v>221</v>
      </c>
      <c r="Y35" s="49" t="str">
        <f t="shared" si="3"/>
        <v>Ativo</v>
      </c>
      <c r="Z35" s="150"/>
      <c r="AA35" s="150"/>
      <c r="AB35" s="30"/>
      <c r="AC35" s="81"/>
      <c r="AD35" s="151">
        <v>45659.0</v>
      </c>
      <c r="AE35" s="30">
        <v>4.9075100017255E13</v>
      </c>
      <c r="AF35" s="65">
        <v>0.16</v>
      </c>
      <c r="AG35" s="65">
        <v>0.16</v>
      </c>
      <c r="AH35" s="65">
        <v>0.16</v>
      </c>
      <c r="AI35" s="65">
        <v>0.16</v>
      </c>
      <c r="AJ35" s="65">
        <v>0.16</v>
      </c>
      <c r="AK35" s="65">
        <v>0.16</v>
      </c>
      <c r="AL35" s="65">
        <v>0.0</v>
      </c>
      <c r="AM35" s="65">
        <v>44674.0</v>
      </c>
      <c r="AN35" s="65">
        <v>44674.0</v>
      </c>
      <c r="AO35" s="65">
        <v>44674.0</v>
      </c>
      <c r="AP35" s="65">
        <v>0.0</v>
      </c>
      <c r="AQ35" s="65">
        <v>0.0</v>
      </c>
      <c r="AR35" s="65">
        <v>0.0</v>
      </c>
      <c r="AS35" s="65">
        <v>0.0</v>
      </c>
      <c r="AT35" s="65">
        <v>0.0</v>
      </c>
      <c r="AU35" s="65">
        <v>0.0</v>
      </c>
      <c r="AV35" s="65">
        <v>0.0</v>
      </c>
      <c r="AW35" s="65">
        <v>0.0</v>
      </c>
      <c r="AX35" s="65">
        <v>0.0</v>
      </c>
    </row>
    <row r="36" ht="15.75" customHeight="1">
      <c r="A36" s="140" t="s">
        <v>458</v>
      </c>
      <c r="B36" s="50" t="s">
        <v>922</v>
      </c>
      <c r="C36" s="141">
        <v>3252566.0</v>
      </c>
      <c r="D36" s="141" t="s">
        <v>89</v>
      </c>
      <c r="E36" s="63" t="s">
        <v>91</v>
      </c>
      <c r="F36" s="63" t="s">
        <v>521</v>
      </c>
      <c r="G36" s="47" t="str">
        <f t="shared" si="1"/>
        <v>David</v>
      </c>
      <c r="H36" s="142" t="s">
        <v>295</v>
      </c>
      <c r="I36" s="49" t="s">
        <v>382</v>
      </c>
      <c r="J36" s="63" t="str">
        <f t="shared" si="4"/>
        <v>Não</v>
      </c>
      <c r="K36" s="143">
        <v>44319.0</v>
      </c>
      <c r="L36" s="81"/>
      <c r="M36" s="81" t="s">
        <v>209</v>
      </c>
      <c r="N36" s="144">
        <v>0.015</v>
      </c>
      <c r="O36" s="141" t="s">
        <v>35</v>
      </c>
      <c r="P36" s="145">
        <v>0.1</v>
      </c>
      <c r="Q36" s="146"/>
      <c r="R36" s="58" t="s">
        <v>926</v>
      </c>
      <c r="S36" s="62" t="s">
        <v>194</v>
      </c>
      <c r="T36" s="22" t="s">
        <v>927</v>
      </c>
      <c r="U36" s="147" t="s">
        <v>928</v>
      </c>
      <c r="V36" s="147" t="s">
        <v>929</v>
      </c>
      <c r="W36" s="67">
        <v>29438.0</v>
      </c>
      <c r="X36" s="95" t="s">
        <v>221</v>
      </c>
      <c r="Y36" s="49" t="str">
        <f t="shared" si="3"/>
        <v>Ativo</v>
      </c>
      <c r="Z36" s="150"/>
      <c r="AA36" s="150"/>
      <c r="AB36" s="30"/>
      <c r="AC36" s="81"/>
      <c r="AD36" s="151">
        <v>45659.0</v>
      </c>
      <c r="AE36" s="30">
        <v>4.9075100017514E13</v>
      </c>
      <c r="AF36" s="65">
        <v>0.0</v>
      </c>
      <c r="AG36" s="65">
        <v>3.93</v>
      </c>
      <c r="AH36" s="65">
        <v>3.93</v>
      </c>
      <c r="AI36" s="65">
        <v>3.93</v>
      </c>
      <c r="AJ36" s="65">
        <v>3.93</v>
      </c>
      <c r="AK36" s="65">
        <v>3.93</v>
      </c>
      <c r="AL36" s="65">
        <v>3.93</v>
      </c>
      <c r="AM36" s="65">
        <v>3.93</v>
      </c>
      <c r="AN36" s="65">
        <v>3.93</v>
      </c>
      <c r="AO36" s="65">
        <v>0.0</v>
      </c>
      <c r="AP36" s="65">
        <v>0.0</v>
      </c>
      <c r="AQ36" s="65">
        <v>0.0</v>
      </c>
      <c r="AR36" s="65">
        <v>0.0</v>
      </c>
      <c r="AS36" s="65">
        <v>0.0</v>
      </c>
      <c r="AT36" s="65">
        <v>0.0</v>
      </c>
      <c r="AU36" s="65">
        <v>0.0</v>
      </c>
      <c r="AV36" s="65">
        <v>0.0</v>
      </c>
      <c r="AW36" s="65">
        <v>0.0</v>
      </c>
      <c r="AX36" s="65">
        <v>0.0</v>
      </c>
    </row>
    <row r="37" ht="15.75" customHeight="1">
      <c r="A37" s="140" t="s">
        <v>458</v>
      </c>
      <c r="B37" s="50" t="s">
        <v>935</v>
      </c>
      <c r="C37" s="141">
        <v>3258459.0</v>
      </c>
      <c r="D37" s="141" t="s">
        <v>89</v>
      </c>
      <c r="E37" s="63" t="s">
        <v>91</v>
      </c>
      <c r="F37" s="63" t="s">
        <v>521</v>
      </c>
      <c r="G37" s="47" t="str">
        <f t="shared" si="1"/>
        <v>David</v>
      </c>
      <c r="H37" s="142" t="s">
        <v>295</v>
      </c>
      <c r="I37" s="49" t="s">
        <v>382</v>
      </c>
      <c r="J37" s="63" t="str">
        <f t="shared" si="4"/>
        <v>Sim</v>
      </c>
      <c r="K37" s="143">
        <v>44319.0</v>
      </c>
      <c r="L37" s="81"/>
      <c r="M37" s="81" t="s">
        <v>231</v>
      </c>
      <c r="N37" s="144">
        <v>0.015</v>
      </c>
      <c r="O37" s="141" t="s">
        <v>233</v>
      </c>
      <c r="P37" s="145">
        <v>0.2</v>
      </c>
      <c r="Q37" s="146" t="s">
        <v>936</v>
      </c>
      <c r="R37" s="160" t="s">
        <v>937</v>
      </c>
      <c r="S37" s="62" t="s">
        <v>194</v>
      </c>
      <c r="T37" s="22" t="s">
        <v>938</v>
      </c>
      <c r="U37" s="147" t="s">
        <v>939</v>
      </c>
      <c r="V37" s="147" t="s">
        <v>940</v>
      </c>
      <c r="W37" s="67">
        <v>28378.0</v>
      </c>
      <c r="X37" s="95" t="s">
        <v>221</v>
      </c>
      <c r="Y37" s="49" t="str">
        <f t="shared" si="3"/>
        <v>Ativo</v>
      </c>
      <c r="Z37" s="150"/>
      <c r="AA37" s="150"/>
      <c r="AB37" s="30"/>
      <c r="AC37" s="81"/>
      <c r="AD37" s="151">
        <v>45659.0</v>
      </c>
      <c r="AE37" s="30">
        <v>4.9075100017417E13</v>
      </c>
      <c r="AF37" s="65">
        <v>133.22</v>
      </c>
      <c r="AG37" s="65">
        <v>133.22</v>
      </c>
      <c r="AH37" s="65">
        <v>133.22</v>
      </c>
      <c r="AI37" s="65">
        <v>133.22</v>
      </c>
      <c r="AJ37" s="65">
        <v>133.22</v>
      </c>
      <c r="AK37" s="65">
        <v>133.22</v>
      </c>
      <c r="AL37" s="65">
        <v>133.22</v>
      </c>
      <c r="AM37" s="65">
        <v>133.22</v>
      </c>
      <c r="AN37" s="65">
        <v>133.22</v>
      </c>
      <c r="AO37" s="65">
        <v>133.22</v>
      </c>
      <c r="AP37" s="65">
        <v>133.22</v>
      </c>
      <c r="AQ37" s="65">
        <v>133.22</v>
      </c>
      <c r="AR37" s="65">
        <v>133.22</v>
      </c>
      <c r="AS37" s="65">
        <v>0.0</v>
      </c>
      <c r="AT37" s="65">
        <v>0.0</v>
      </c>
      <c r="AU37" s="65">
        <v>0.0</v>
      </c>
      <c r="AV37" s="65">
        <v>0.0</v>
      </c>
      <c r="AW37" s="65">
        <v>0.0</v>
      </c>
      <c r="AX37" s="65">
        <v>0.0</v>
      </c>
    </row>
    <row r="38" ht="15.75" customHeight="1">
      <c r="A38" s="140" t="s">
        <v>458</v>
      </c>
      <c r="B38" s="50" t="s">
        <v>944</v>
      </c>
      <c r="C38" s="141">
        <v>3251837.0</v>
      </c>
      <c r="D38" s="141" t="s">
        <v>89</v>
      </c>
      <c r="E38" s="63" t="s">
        <v>91</v>
      </c>
      <c r="F38" s="63" t="s">
        <v>193</v>
      </c>
      <c r="G38" s="47" t="str">
        <f t="shared" si="1"/>
        <v>David</v>
      </c>
      <c r="H38" s="142" t="s">
        <v>295</v>
      </c>
      <c r="I38" s="49" t="s">
        <v>382</v>
      </c>
      <c r="J38" s="63" t="str">
        <f t="shared" si="4"/>
        <v>Não</v>
      </c>
      <c r="K38" s="143">
        <v>44489.0</v>
      </c>
      <c r="L38" s="81"/>
      <c r="M38" s="81" t="s">
        <v>34</v>
      </c>
      <c r="N38" s="144">
        <v>0.012</v>
      </c>
      <c r="O38" s="141" t="s">
        <v>66</v>
      </c>
      <c r="P38" s="145">
        <v>0.0</v>
      </c>
      <c r="Q38" s="146"/>
      <c r="R38" s="70"/>
      <c r="S38" s="62" t="s">
        <v>194</v>
      </c>
      <c r="T38" s="22" t="s">
        <v>948</v>
      </c>
      <c r="U38" s="147" t="s">
        <v>949</v>
      </c>
      <c r="V38" s="147" t="s">
        <v>950</v>
      </c>
      <c r="W38" s="67">
        <v>32678.0</v>
      </c>
      <c r="X38" s="95" t="s">
        <v>221</v>
      </c>
      <c r="Y38" s="49" t="str">
        <f t="shared" si="3"/>
        <v>Ativo</v>
      </c>
      <c r="Z38" s="150"/>
      <c r="AA38" s="150"/>
      <c r="AB38" s="30"/>
      <c r="AC38" s="81"/>
      <c r="AD38" s="151">
        <v>45659.0</v>
      </c>
      <c r="AE38" s="30">
        <v>4.9075100017247E13</v>
      </c>
      <c r="AF38" s="65">
        <v>0.14</v>
      </c>
      <c r="AG38" s="65">
        <v>0.14</v>
      </c>
      <c r="AH38" s="65">
        <v>0.14</v>
      </c>
      <c r="AI38" s="65">
        <v>0.14</v>
      </c>
      <c r="AJ38" s="65">
        <v>0.14</v>
      </c>
      <c r="AK38" s="65">
        <v>0.14</v>
      </c>
      <c r="AL38" s="65">
        <v>0.14</v>
      </c>
      <c r="AM38" s="65">
        <v>0.14</v>
      </c>
      <c r="AN38" s="65">
        <v>0.14</v>
      </c>
      <c r="AO38" s="65">
        <v>0.0</v>
      </c>
      <c r="AP38" s="65">
        <v>0.0</v>
      </c>
      <c r="AQ38" s="65">
        <v>0.0</v>
      </c>
      <c r="AR38" s="65">
        <v>0.0</v>
      </c>
      <c r="AS38" s="65">
        <v>0.0</v>
      </c>
      <c r="AT38" s="65">
        <v>0.0</v>
      </c>
      <c r="AU38" s="65">
        <v>0.0</v>
      </c>
      <c r="AV38" s="65">
        <v>0.0</v>
      </c>
      <c r="AW38" s="65">
        <v>0.0</v>
      </c>
      <c r="AX38" s="65">
        <v>0.0</v>
      </c>
    </row>
    <row r="39" ht="15.75" customHeight="1">
      <c r="A39" s="140" t="s">
        <v>458</v>
      </c>
      <c r="B39" s="50" t="s">
        <v>956</v>
      </c>
      <c r="C39" s="141">
        <v>3252051.0</v>
      </c>
      <c r="D39" s="63" t="s">
        <v>120</v>
      </c>
      <c r="E39" s="63" t="s">
        <v>199</v>
      </c>
      <c r="F39" s="63" t="s">
        <v>290</v>
      </c>
      <c r="G39" s="47" t="str">
        <f t="shared" si="1"/>
        <v>David</v>
      </c>
      <c r="H39" s="142" t="s">
        <v>183</v>
      </c>
      <c r="I39" s="74" t="s">
        <v>66</v>
      </c>
      <c r="J39" s="63" t="str">
        <f t="shared" si="4"/>
        <v>Não</v>
      </c>
      <c r="K39" s="143">
        <v>43605.0</v>
      </c>
      <c r="L39" s="81"/>
      <c r="M39" s="81" t="s">
        <v>34</v>
      </c>
      <c r="N39" s="144">
        <v>0.005</v>
      </c>
      <c r="O39" s="141" t="s">
        <v>66</v>
      </c>
      <c r="P39" s="145">
        <v>0.0</v>
      </c>
      <c r="Q39" s="146"/>
      <c r="R39" s="153" t="s">
        <v>959</v>
      </c>
      <c r="S39" s="62" t="s">
        <v>194</v>
      </c>
      <c r="T39" s="141" t="s">
        <v>960</v>
      </c>
      <c r="U39" s="147" t="s">
        <v>961</v>
      </c>
      <c r="V39" s="147" t="s">
        <v>962</v>
      </c>
      <c r="W39" s="67">
        <v>18097.0</v>
      </c>
      <c r="X39" s="81" t="s">
        <v>199</v>
      </c>
      <c r="Y39" s="49" t="str">
        <f t="shared" si="3"/>
        <v>Ativo</v>
      </c>
      <c r="Z39" s="150"/>
      <c r="AA39" s="150"/>
      <c r="AB39" s="30"/>
      <c r="AC39" s="81"/>
      <c r="AD39" s="151">
        <v>45659.0</v>
      </c>
      <c r="AE39" s="30">
        <v>4.9075100016798E13</v>
      </c>
      <c r="AF39" s="65">
        <v>126025.11</v>
      </c>
      <c r="AG39" s="65">
        <v>127328.16</v>
      </c>
      <c r="AH39" s="65">
        <v>126934.83</v>
      </c>
      <c r="AI39" s="65">
        <v>1123.06</v>
      </c>
      <c r="AJ39" s="65">
        <v>0.0</v>
      </c>
      <c r="AK39" s="65">
        <v>0.0</v>
      </c>
      <c r="AL39" s="65">
        <v>0.0</v>
      </c>
      <c r="AM39" s="65">
        <v>0.0</v>
      </c>
      <c r="AN39" s="65">
        <v>0.0</v>
      </c>
      <c r="AO39" s="65">
        <v>0.0</v>
      </c>
      <c r="AP39" s="65">
        <v>0.0</v>
      </c>
      <c r="AQ39" s="65">
        <v>0.0</v>
      </c>
      <c r="AR39" s="65">
        <v>20.56</v>
      </c>
      <c r="AS39" s="65">
        <v>20.56</v>
      </c>
      <c r="AT39" s="65">
        <v>20.56</v>
      </c>
      <c r="AU39" s="65">
        <v>20.56</v>
      </c>
      <c r="AV39" s="65">
        <v>20.56</v>
      </c>
      <c r="AW39" s="65">
        <v>20.56</v>
      </c>
      <c r="AX39" s="65">
        <v>20.56</v>
      </c>
    </row>
    <row r="40" ht="15.75" customHeight="1">
      <c r="A40" s="140" t="s">
        <v>458</v>
      </c>
      <c r="B40" s="50" t="s">
        <v>956</v>
      </c>
      <c r="C40" s="141">
        <v>3252043.0</v>
      </c>
      <c r="D40" s="63" t="s">
        <v>120</v>
      </c>
      <c r="E40" s="63" t="s">
        <v>199</v>
      </c>
      <c r="F40" s="63" t="s">
        <v>290</v>
      </c>
      <c r="G40" s="47" t="str">
        <f t="shared" si="1"/>
        <v>David</v>
      </c>
      <c r="H40" s="142" t="s">
        <v>183</v>
      </c>
      <c r="I40" s="74" t="s">
        <v>66</v>
      </c>
      <c r="J40" s="63" t="str">
        <f t="shared" si="4"/>
        <v>Não</v>
      </c>
      <c r="K40" s="143">
        <v>43605.0</v>
      </c>
      <c r="L40" s="81"/>
      <c r="M40" s="81" t="s">
        <v>231</v>
      </c>
      <c r="N40" s="144">
        <v>0.02</v>
      </c>
      <c r="O40" s="141" t="s">
        <v>233</v>
      </c>
      <c r="P40" s="145">
        <v>0.2</v>
      </c>
      <c r="Q40" s="146"/>
      <c r="R40" s="153" t="s">
        <v>959</v>
      </c>
      <c r="S40" s="62" t="s">
        <v>194</v>
      </c>
      <c r="T40" s="141" t="s">
        <v>960</v>
      </c>
      <c r="U40" s="147" t="s">
        <v>961</v>
      </c>
      <c r="V40" s="147" t="s">
        <v>962</v>
      </c>
      <c r="W40" s="67">
        <v>18097.0</v>
      </c>
      <c r="X40" s="81" t="s">
        <v>199</v>
      </c>
      <c r="Y40" s="49" t="str">
        <f t="shared" si="3"/>
        <v>Ativo</v>
      </c>
      <c r="Z40" s="150"/>
      <c r="AA40" s="150"/>
      <c r="AB40" s="30"/>
      <c r="AC40" s="81"/>
      <c r="AD40" s="151">
        <v>45659.0</v>
      </c>
      <c r="AE40" s="30">
        <v>4.907510001669E13</v>
      </c>
      <c r="AF40" s="65">
        <v>64076.16</v>
      </c>
      <c r="AG40" s="65">
        <v>54619.59</v>
      </c>
      <c r="AH40" s="65">
        <v>43577.18</v>
      </c>
      <c r="AI40" s="65">
        <v>241.18</v>
      </c>
      <c r="AJ40" s="65">
        <v>57.75</v>
      </c>
      <c r="AK40" s="65">
        <v>57.75</v>
      </c>
      <c r="AL40" s="65">
        <v>133.24</v>
      </c>
      <c r="AM40" s="65">
        <v>369.01</v>
      </c>
      <c r="AN40" s="65">
        <v>0.04</v>
      </c>
      <c r="AO40" s="65">
        <v>0.04</v>
      </c>
      <c r="AP40" s="65">
        <v>0.04</v>
      </c>
      <c r="AQ40" s="65">
        <v>0.04</v>
      </c>
      <c r="AR40" s="65">
        <v>160.74</v>
      </c>
      <c r="AS40" s="65">
        <v>160.8</v>
      </c>
      <c r="AT40" s="65">
        <v>160.84</v>
      </c>
      <c r="AU40" s="65">
        <v>160.89</v>
      </c>
      <c r="AV40" s="65">
        <v>161.12</v>
      </c>
      <c r="AW40" s="65">
        <v>161.2</v>
      </c>
      <c r="AX40" s="65">
        <v>161.31</v>
      </c>
    </row>
    <row r="41" ht="15.75" customHeight="1">
      <c r="A41" s="140" t="s">
        <v>458</v>
      </c>
      <c r="B41" s="50" t="s">
        <v>976</v>
      </c>
      <c r="C41" s="141">
        <v>3251969.0</v>
      </c>
      <c r="D41" s="141" t="s">
        <v>89</v>
      </c>
      <c r="E41" s="63" t="s">
        <v>91</v>
      </c>
      <c r="F41" s="63" t="s">
        <v>521</v>
      </c>
      <c r="G41" s="47" t="str">
        <f t="shared" si="1"/>
        <v>David</v>
      </c>
      <c r="H41" s="142" t="s">
        <v>295</v>
      </c>
      <c r="I41" s="49" t="s">
        <v>382</v>
      </c>
      <c r="J41" s="63" t="str">
        <f t="shared" si="4"/>
        <v>Não</v>
      </c>
      <c r="K41" s="143">
        <v>44340.0</v>
      </c>
      <c r="L41" s="81"/>
      <c r="M41" s="81" t="s">
        <v>34</v>
      </c>
      <c r="N41" s="144">
        <v>0.012</v>
      </c>
      <c r="O41" s="141" t="s">
        <v>66</v>
      </c>
      <c r="P41" s="145">
        <v>0.0</v>
      </c>
      <c r="Q41" s="146"/>
      <c r="R41" s="70"/>
      <c r="S41" s="62" t="s">
        <v>194</v>
      </c>
      <c r="T41" s="22" t="s">
        <v>979</v>
      </c>
      <c r="U41" s="147" t="s">
        <v>980</v>
      </c>
      <c r="V41" s="147" t="s">
        <v>981</v>
      </c>
      <c r="W41" s="67">
        <v>23824.0</v>
      </c>
      <c r="X41" s="95" t="s">
        <v>221</v>
      </c>
      <c r="Y41" s="49" t="str">
        <f t="shared" si="3"/>
        <v>Ativo</v>
      </c>
      <c r="Z41" s="150"/>
      <c r="AA41" s="150"/>
      <c r="AB41" s="30"/>
      <c r="AC41" s="81"/>
      <c r="AD41" s="151">
        <v>45659.0</v>
      </c>
      <c r="AE41" s="30">
        <v>4.907510001705E13</v>
      </c>
      <c r="AF41" s="65">
        <v>0.01</v>
      </c>
      <c r="AG41" s="65">
        <v>0.01</v>
      </c>
      <c r="AH41" s="65">
        <v>0.01</v>
      </c>
      <c r="AI41" s="65">
        <v>0.01</v>
      </c>
      <c r="AJ41" s="65">
        <v>0.01</v>
      </c>
      <c r="AK41" s="65">
        <v>0.01</v>
      </c>
      <c r="AL41" s="65">
        <v>0.01</v>
      </c>
      <c r="AM41" s="65">
        <v>0.01</v>
      </c>
      <c r="AN41" s="65">
        <v>0.01</v>
      </c>
      <c r="AO41" s="65">
        <v>0.01</v>
      </c>
      <c r="AP41" s="65">
        <v>0.01</v>
      </c>
      <c r="AQ41" s="65">
        <v>0.01</v>
      </c>
      <c r="AR41" s="65">
        <v>0.01</v>
      </c>
      <c r="AS41" s="65">
        <v>0.0</v>
      </c>
      <c r="AT41" s="65">
        <v>0.0</v>
      </c>
      <c r="AU41" s="65">
        <v>0.0</v>
      </c>
      <c r="AV41" s="65">
        <v>0.0</v>
      </c>
      <c r="AW41" s="65">
        <v>0.0</v>
      </c>
      <c r="AX41" s="65">
        <v>0.0</v>
      </c>
    </row>
    <row r="42" ht="15.75" customHeight="1">
      <c r="A42" s="140" t="s">
        <v>458</v>
      </c>
      <c r="B42" s="50" t="s">
        <v>988</v>
      </c>
      <c r="C42" s="141">
        <v>3252116.0</v>
      </c>
      <c r="D42" s="63" t="s">
        <v>120</v>
      </c>
      <c r="E42" s="63" t="s">
        <v>199</v>
      </c>
      <c r="F42" s="141" t="s">
        <v>502</v>
      </c>
      <c r="G42" s="47" t="str">
        <f t="shared" si="1"/>
        <v>David</v>
      </c>
      <c r="H42" s="142" t="s">
        <v>183</v>
      </c>
      <c r="I42" s="74" t="s">
        <v>66</v>
      </c>
      <c r="J42" s="63" t="str">
        <f t="shared" si="4"/>
        <v>Sim</v>
      </c>
      <c r="K42" s="143">
        <v>45146.0</v>
      </c>
      <c r="L42" s="81"/>
      <c r="M42" s="81" t="s">
        <v>61</v>
      </c>
      <c r="N42" s="144">
        <v>0.012</v>
      </c>
      <c r="O42" s="141" t="s">
        <v>66</v>
      </c>
      <c r="P42" s="145">
        <v>0.0</v>
      </c>
      <c r="Q42" s="146" t="s">
        <v>994</v>
      </c>
      <c r="R42" s="158"/>
      <c r="S42" s="62" t="s">
        <v>194</v>
      </c>
      <c r="T42" s="27" t="s">
        <v>996</v>
      </c>
      <c r="U42" s="147" t="s">
        <v>997</v>
      </c>
      <c r="V42" s="147" t="s">
        <v>998</v>
      </c>
      <c r="W42" s="67">
        <v>21361.0</v>
      </c>
      <c r="X42" s="22" t="s">
        <v>397</v>
      </c>
      <c r="Y42" s="49" t="str">
        <f t="shared" si="3"/>
        <v>Ativo</v>
      </c>
      <c r="Z42" s="150"/>
      <c r="AA42" s="150"/>
      <c r="AB42" s="30"/>
      <c r="AC42" s="81"/>
      <c r="AD42" s="151">
        <v>45659.0</v>
      </c>
      <c r="AE42" s="30">
        <v>4.9075100016641E13</v>
      </c>
      <c r="AF42" s="65">
        <v>21258.73</v>
      </c>
      <c r="AG42" s="65">
        <v>21408.94</v>
      </c>
      <c r="AH42" s="65">
        <v>21553.71</v>
      </c>
      <c r="AI42" s="65">
        <v>21796.21</v>
      </c>
      <c r="AJ42" s="65">
        <v>17310.87</v>
      </c>
      <c r="AK42" s="65">
        <v>17440.93</v>
      </c>
      <c r="AL42" s="65">
        <v>17533.08</v>
      </c>
      <c r="AM42" s="65">
        <v>17664.32</v>
      </c>
      <c r="AN42" s="65">
        <v>17704.94</v>
      </c>
      <c r="AO42" s="65">
        <v>17816.95</v>
      </c>
      <c r="AP42" s="65">
        <v>17942.81</v>
      </c>
      <c r="AQ42" s="65">
        <v>17973.09</v>
      </c>
      <c r="AR42" s="65">
        <v>18094.32</v>
      </c>
      <c r="AS42" s="65">
        <v>18210.43</v>
      </c>
      <c r="AT42" s="65">
        <v>0.19</v>
      </c>
      <c r="AU42" s="65">
        <v>0.23</v>
      </c>
      <c r="AV42" s="65">
        <v>0.23</v>
      </c>
      <c r="AW42" s="65">
        <v>0.23</v>
      </c>
      <c r="AX42" s="65">
        <v>0.23</v>
      </c>
    </row>
    <row r="43" ht="15.75" customHeight="1">
      <c r="A43" s="140" t="s">
        <v>458</v>
      </c>
      <c r="B43" s="50" t="s">
        <v>1017</v>
      </c>
      <c r="C43" s="141">
        <v>3251748.0</v>
      </c>
      <c r="D43" s="141" t="s">
        <v>89</v>
      </c>
      <c r="E43" s="63" t="s">
        <v>91</v>
      </c>
      <c r="F43" s="63" t="s">
        <v>884</v>
      </c>
      <c r="G43" s="47" t="str">
        <f t="shared" si="1"/>
        <v>David</v>
      </c>
      <c r="H43" s="142" t="s">
        <v>295</v>
      </c>
      <c r="I43" s="49" t="s">
        <v>382</v>
      </c>
      <c r="J43" s="63" t="str">
        <f t="shared" si="4"/>
        <v>Não</v>
      </c>
      <c r="K43" s="143">
        <v>44263.0</v>
      </c>
      <c r="L43" s="81"/>
      <c r="M43" s="81" t="s">
        <v>209</v>
      </c>
      <c r="N43" s="144">
        <v>0.015</v>
      </c>
      <c r="O43" s="141" t="s">
        <v>35</v>
      </c>
      <c r="P43" s="145">
        <v>0.1</v>
      </c>
      <c r="Q43" s="146"/>
      <c r="R43" s="158"/>
      <c r="S43" s="62" t="s">
        <v>194</v>
      </c>
      <c r="T43" s="30" t="s">
        <v>1032</v>
      </c>
      <c r="U43" s="147" t="s">
        <v>1035</v>
      </c>
      <c r="V43" s="147" t="s">
        <v>1039</v>
      </c>
      <c r="W43" s="67">
        <v>32023.0</v>
      </c>
      <c r="X43" s="30" t="s">
        <v>475</v>
      </c>
      <c r="Y43" s="49" t="str">
        <f t="shared" si="3"/>
        <v>Ativo</v>
      </c>
      <c r="Z43" s="150"/>
      <c r="AA43" s="150"/>
      <c r="AB43" s="30"/>
      <c r="AC43" s="81"/>
      <c r="AD43" s="151">
        <v>45659.0</v>
      </c>
      <c r="AE43" s="30">
        <v>4.9075100017034E13</v>
      </c>
      <c r="AF43" s="65">
        <v>0.08</v>
      </c>
      <c r="AG43" s="65">
        <v>0.08</v>
      </c>
      <c r="AH43" s="65">
        <v>0.08</v>
      </c>
      <c r="AI43" s="65">
        <v>0.08</v>
      </c>
      <c r="AJ43" s="65">
        <v>0.08</v>
      </c>
      <c r="AK43" s="65">
        <v>0.08</v>
      </c>
      <c r="AL43" s="65">
        <v>0.08</v>
      </c>
      <c r="AM43" s="65">
        <v>0.08</v>
      </c>
      <c r="AN43" s="65">
        <v>0.08</v>
      </c>
      <c r="AO43" s="65">
        <v>0.08</v>
      </c>
      <c r="AP43" s="65">
        <v>0.08</v>
      </c>
      <c r="AQ43" s="65">
        <v>0.08</v>
      </c>
      <c r="AR43" s="65">
        <v>0.08</v>
      </c>
      <c r="AS43" s="65">
        <v>0.0</v>
      </c>
      <c r="AT43" s="65">
        <v>0.0</v>
      </c>
      <c r="AU43" s="65">
        <v>0.0</v>
      </c>
      <c r="AV43" s="65">
        <v>0.0</v>
      </c>
      <c r="AW43" s="65">
        <v>0.0</v>
      </c>
      <c r="AX43" s="65">
        <v>0.0</v>
      </c>
    </row>
    <row r="44" ht="15.75" customHeight="1">
      <c r="A44" s="140" t="s">
        <v>458</v>
      </c>
      <c r="B44" s="50" t="s">
        <v>1052</v>
      </c>
      <c r="C44" s="141">
        <v>3252230.0</v>
      </c>
      <c r="D44" s="141" t="s">
        <v>89</v>
      </c>
      <c r="E44" s="63" t="s">
        <v>91</v>
      </c>
      <c r="F44" s="63" t="s">
        <v>193</v>
      </c>
      <c r="G44" s="47" t="str">
        <f t="shared" si="1"/>
        <v>David</v>
      </c>
      <c r="H44" s="142" t="s">
        <v>295</v>
      </c>
      <c r="I44" s="49" t="s">
        <v>382</v>
      </c>
      <c r="J44" s="63" t="str">
        <f t="shared" si="4"/>
        <v>Sim</v>
      </c>
      <c r="K44" s="143">
        <v>44278.0</v>
      </c>
      <c r="L44" s="81"/>
      <c r="M44" s="81" t="s">
        <v>361</v>
      </c>
      <c r="N44" s="144">
        <v>0.02</v>
      </c>
      <c r="O44" s="141" t="s">
        <v>35</v>
      </c>
      <c r="P44" s="145">
        <v>0.2</v>
      </c>
      <c r="Q44" s="146" t="s">
        <v>1068</v>
      </c>
      <c r="R44" s="158"/>
      <c r="S44" s="62" t="s">
        <v>194</v>
      </c>
      <c r="T44" s="30" t="s">
        <v>1070</v>
      </c>
      <c r="U44" s="147" t="s">
        <v>1072</v>
      </c>
      <c r="V44" s="147" t="s">
        <v>1073</v>
      </c>
      <c r="W44" s="67">
        <v>30187.0</v>
      </c>
      <c r="X44" s="95" t="s">
        <v>221</v>
      </c>
      <c r="Y44" s="49" t="str">
        <f t="shared" si="3"/>
        <v>Inativo</v>
      </c>
      <c r="Z44" s="150"/>
      <c r="AA44" s="150"/>
      <c r="AB44" s="30"/>
      <c r="AC44" s="81"/>
      <c r="AD44" s="151">
        <v>45659.0</v>
      </c>
      <c r="AE44" s="30">
        <v>4.9075100017182E13</v>
      </c>
      <c r="AF44" s="65">
        <v>0.0</v>
      </c>
      <c r="AG44" s="65">
        <v>0.0</v>
      </c>
      <c r="AH44" s="65">
        <v>0.0</v>
      </c>
      <c r="AI44" s="65">
        <v>0.0</v>
      </c>
      <c r="AJ44" s="65">
        <v>0.0</v>
      </c>
      <c r="AK44" s="65">
        <v>0.0</v>
      </c>
      <c r="AL44" s="65">
        <v>0.0</v>
      </c>
      <c r="AM44" s="65">
        <v>0.0</v>
      </c>
      <c r="AN44" s="65">
        <v>0.0</v>
      </c>
      <c r="AO44" s="65">
        <v>0.0</v>
      </c>
      <c r="AP44" s="65">
        <v>0.0</v>
      </c>
      <c r="AQ44" s="65">
        <v>0.0</v>
      </c>
      <c r="AR44" s="65">
        <v>0.0</v>
      </c>
      <c r="AS44" s="65">
        <v>0.0</v>
      </c>
      <c r="AT44" s="65">
        <v>0.0</v>
      </c>
      <c r="AU44" s="65">
        <v>0.0</v>
      </c>
      <c r="AV44" s="65">
        <v>0.0</v>
      </c>
      <c r="AW44" s="65">
        <v>0.0</v>
      </c>
      <c r="AX44" s="65">
        <v>0.0</v>
      </c>
    </row>
    <row r="45" ht="15.75" customHeight="1">
      <c r="A45" s="140" t="s">
        <v>458</v>
      </c>
      <c r="B45" s="50" t="s">
        <v>1052</v>
      </c>
      <c r="C45" s="141">
        <v>3252604.0</v>
      </c>
      <c r="D45" s="141" t="s">
        <v>89</v>
      </c>
      <c r="E45" s="63" t="s">
        <v>91</v>
      </c>
      <c r="F45" s="63" t="s">
        <v>193</v>
      </c>
      <c r="G45" s="47" t="str">
        <f t="shared" si="1"/>
        <v>David</v>
      </c>
      <c r="H45" s="142" t="s">
        <v>295</v>
      </c>
      <c r="I45" s="49" t="s">
        <v>382</v>
      </c>
      <c r="J45" s="63" t="str">
        <f t="shared" si="4"/>
        <v>Sim</v>
      </c>
      <c r="K45" s="143">
        <v>44278.0</v>
      </c>
      <c r="L45" s="81"/>
      <c r="M45" s="81" t="s">
        <v>231</v>
      </c>
      <c r="N45" s="144">
        <v>0.025</v>
      </c>
      <c r="O45" s="141" t="s">
        <v>233</v>
      </c>
      <c r="P45" s="145">
        <v>0.2</v>
      </c>
      <c r="Q45" s="146" t="s">
        <v>1068</v>
      </c>
      <c r="R45" s="158"/>
      <c r="S45" s="62" t="s">
        <v>194</v>
      </c>
      <c r="T45" s="30" t="s">
        <v>1070</v>
      </c>
      <c r="U45" s="147" t="s">
        <v>1072</v>
      </c>
      <c r="V45" s="147" t="s">
        <v>1073</v>
      </c>
      <c r="W45" s="67">
        <v>30187.0</v>
      </c>
      <c r="X45" s="95" t="s">
        <v>221</v>
      </c>
      <c r="Y45" s="49" t="str">
        <f t="shared" si="3"/>
        <v>Ativo</v>
      </c>
      <c r="Z45" s="150"/>
      <c r="AA45" s="150"/>
      <c r="AB45" s="30"/>
      <c r="AC45" s="81"/>
      <c r="AD45" s="151">
        <v>45659.0</v>
      </c>
      <c r="AE45" s="30">
        <v>4.9075100016992E13</v>
      </c>
      <c r="AF45" s="65">
        <v>0.0</v>
      </c>
      <c r="AG45" s="65">
        <v>0.07</v>
      </c>
      <c r="AH45" s="65">
        <v>0.07</v>
      </c>
      <c r="AI45" s="65">
        <v>0.07</v>
      </c>
      <c r="AJ45" s="65">
        <v>0.07</v>
      </c>
      <c r="AK45" s="65">
        <v>0.07</v>
      </c>
      <c r="AL45" s="65">
        <v>0.07</v>
      </c>
      <c r="AM45" s="65">
        <v>0.07</v>
      </c>
      <c r="AN45" s="65">
        <v>0.07</v>
      </c>
      <c r="AO45" s="65">
        <v>0.07</v>
      </c>
      <c r="AP45" s="65">
        <v>0.07</v>
      </c>
      <c r="AQ45" s="65">
        <v>0.07</v>
      </c>
      <c r="AR45" s="65">
        <v>0.07</v>
      </c>
      <c r="AS45" s="65">
        <v>0.0</v>
      </c>
      <c r="AT45" s="65">
        <v>0.0</v>
      </c>
      <c r="AU45" s="65">
        <v>0.0</v>
      </c>
      <c r="AV45" s="65">
        <v>0.0</v>
      </c>
      <c r="AW45" s="65">
        <v>0.0</v>
      </c>
      <c r="AX45" s="65">
        <v>0.0</v>
      </c>
    </row>
    <row r="46" ht="15.75" customHeight="1">
      <c r="A46" s="140" t="s">
        <v>458</v>
      </c>
      <c r="B46" s="50" t="s">
        <v>1085</v>
      </c>
      <c r="C46" s="141">
        <v>3251730.0</v>
      </c>
      <c r="D46" s="141" t="s">
        <v>89</v>
      </c>
      <c r="E46" s="63" t="s">
        <v>91</v>
      </c>
      <c r="F46" s="63" t="s">
        <v>521</v>
      </c>
      <c r="G46" s="47" t="str">
        <f t="shared" si="1"/>
        <v>David</v>
      </c>
      <c r="H46" s="142" t="s">
        <v>295</v>
      </c>
      <c r="I46" s="49" t="s">
        <v>382</v>
      </c>
      <c r="J46" s="63" t="str">
        <f t="shared" si="4"/>
        <v>Não</v>
      </c>
      <c r="K46" s="143">
        <v>44295.0</v>
      </c>
      <c r="L46" s="81"/>
      <c r="M46" s="81" t="s">
        <v>61</v>
      </c>
      <c r="N46" s="144">
        <v>0.007</v>
      </c>
      <c r="O46" s="141" t="s">
        <v>66</v>
      </c>
      <c r="P46" s="145">
        <v>0.0</v>
      </c>
      <c r="Q46" s="146"/>
      <c r="R46" s="190"/>
      <c r="S46" s="62" t="s">
        <v>194</v>
      </c>
      <c r="T46" s="30" t="s">
        <v>1090</v>
      </c>
      <c r="U46" s="147" t="s">
        <v>1091</v>
      </c>
      <c r="V46" s="147" t="s">
        <v>1092</v>
      </c>
      <c r="W46" s="154">
        <v>28845.0</v>
      </c>
      <c r="X46" s="95" t="s">
        <v>221</v>
      </c>
      <c r="Y46" s="49" t="str">
        <f t="shared" si="3"/>
        <v>Ativo</v>
      </c>
      <c r="Z46" s="150"/>
      <c r="AA46" s="150"/>
      <c r="AB46" s="30"/>
      <c r="AC46" s="81"/>
      <c r="AD46" s="151">
        <v>45659.0</v>
      </c>
      <c r="AE46" s="30">
        <v>4.907510001722E13</v>
      </c>
      <c r="AF46" s="65">
        <v>0.02</v>
      </c>
      <c r="AG46" s="65">
        <v>0.02</v>
      </c>
      <c r="AH46" s="65">
        <v>0.02</v>
      </c>
      <c r="AI46" s="65">
        <v>0.02</v>
      </c>
      <c r="AJ46" s="65">
        <v>0.02</v>
      </c>
      <c r="AK46" s="65">
        <v>0.02</v>
      </c>
      <c r="AL46" s="65">
        <v>0.02</v>
      </c>
      <c r="AM46" s="65">
        <v>0.02</v>
      </c>
      <c r="AN46" s="65">
        <v>0.02</v>
      </c>
      <c r="AO46" s="65">
        <v>0.0</v>
      </c>
      <c r="AP46" s="65">
        <v>0.0</v>
      </c>
      <c r="AQ46" s="65">
        <v>0.0</v>
      </c>
      <c r="AR46" s="65">
        <v>0.0</v>
      </c>
      <c r="AS46" s="65">
        <v>0.0</v>
      </c>
      <c r="AT46" s="65">
        <v>0.0</v>
      </c>
      <c r="AU46" s="65">
        <v>0.0</v>
      </c>
      <c r="AV46" s="65">
        <v>0.0</v>
      </c>
      <c r="AW46" s="65">
        <v>0.0</v>
      </c>
      <c r="AX46" s="65">
        <v>0.0</v>
      </c>
    </row>
    <row r="47" ht="15.75" customHeight="1">
      <c r="A47" s="140" t="s">
        <v>458</v>
      </c>
      <c r="B47" s="50" t="s">
        <v>1095</v>
      </c>
      <c r="C47" s="141">
        <v>3252558.0</v>
      </c>
      <c r="D47" s="63" t="s">
        <v>1096</v>
      </c>
      <c r="E47" s="63" t="s">
        <v>199</v>
      </c>
      <c r="F47" s="63" t="s">
        <v>1096</v>
      </c>
      <c r="G47" s="47" t="str">
        <f t="shared" si="1"/>
        <v>David</v>
      </c>
      <c r="H47" s="142" t="s">
        <v>183</v>
      </c>
      <c r="I47" s="74" t="s">
        <v>66</v>
      </c>
      <c r="J47" s="63" t="str">
        <f t="shared" si="4"/>
        <v>Não</v>
      </c>
      <c r="K47" s="143">
        <v>43405.0</v>
      </c>
      <c r="L47" s="81"/>
      <c r="M47" s="81" t="s">
        <v>231</v>
      </c>
      <c r="N47" s="144">
        <v>0.01</v>
      </c>
      <c r="O47" s="141" t="s">
        <v>66</v>
      </c>
      <c r="P47" s="145">
        <v>0.0</v>
      </c>
      <c r="Q47" s="146"/>
      <c r="R47" s="158"/>
      <c r="S47" s="62" t="s">
        <v>194</v>
      </c>
      <c r="T47" s="141" t="s">
        <v>1098</v>
      </c>
      <c r="U47" s="147" t="s">
        <v>1099</v>
      </c>
      <c r="V47" s="147" t="s">
        <v>1101</v>
      </c>
      <c r="W47" s="67">
        <v>13343.0</v>
      </c>
      <c r="X47" s="66" t="s">
        <v>199</v>
      </c>
      <c r="Y47" s="49" t="str">
        <f t="shared" si="3"/>
        <v>Ativo</v>
      </c>
      <c r="Z47" s="150"/>
      <c r="AA47" s="150"/>
      <c r="AB47" s="30"/>
      <c r="AC47" s="81"/>
      <c r="AD47" s="151">
        <v>45659.0</v>
      </c>
      <c r="AE47" s="30">
        <v>4.9075100016704E13</v>
      </c>
      <c r="AF47" s="65">
        <v>0.0</v>
      </c>
      <c r="AG47" s="65">
        <v>117059.73</v>
      </c>
      <c r="AH47" s="65">
        <v>115901.99</v>
      </c>
      <c r="AI47" s="65">
        <v>122300.43</v>
      </c>
      <c r="AJ47" s="65">
        <v>126915.38</v>
      </c>
      <c r="AK47" s="65">
        <v>128938.7</v>
      </c>
      <c r="AL47" s="65">
        <v>130476.49</v>
      </c>
      <c r="AM47" s="65">
        <v>128991.05</v>
      </c>
      <c r="AN47" s="65">
        <v>132754.13</v>
      </c>
      <c r="AO47" s="65">
        <v>135355.11</v>
      </c>
      <c r="AP47" s="65">
        <v>136562.41</v>
      </c>
      <c r="AQ47" s="65">
        <v>141972.19</v>
      </c>
      <c r="AR47" s="65">
        <v>144256.39</v>
      </c>
      <c r="AS47" s="65">
        <v>158705.34</v>
      </c>
      <c r="AT47" s="65">
        <v>162532.02</v>
      </c>
      <c r="AU47" s="65">
        <v>185568.97</v>
      </c>
      <c r="AV47" s="65">
        <v>184954.36</v>
      </c>
      <c r="AW47" s="65">
        <v>178752.67</v>
      </c>
      <c r="AX47" s="65">
        <v>179382.33</v>
      </c>
    </row>
    <row r="48" ht="15.75" customHeight="1">
      <c r="A48" s="140" t="s">
        <v>458</v>
      </c>
      <c r="B48" s="50" t="s">
        <v>1109</v>
      </c>
      <c r="C48" s="141">
        <v>3252400.0</v>
      </c>
      <c r="D48" s="141" t="s">
        <v>89</v>
      </c>
      <c r="E48" s="63" t="s">
        <v>91</v>
      </c>
      <c r="F48" s="63" t="s">
        <v>521</v>
      </c>
      <c r="G48" s="47" t="str">
        <f t="shared" si="1"/>
        <v>David</v>
      </c>
      <c r="H48" s="142" t="s">
        <v>295</v>
      </c>
      <c r="I48" s="49" t="s">
        <v>296</v>
      </c>
      <c r="J48" s="63" t="str">
        <f t="shared" si="4"/>
        <v>Não</v>
      </c>
      <c r="K48" s="143">
        <v>44320.0</v>
      </c>
      <c r="L48" s="81"/>
      <c r="M48" s="81" t="s">
        <v>61</v>
      </c>
      <c r="N48" s="144">
        <v>0.007</v>
      </c>
      <c r="O48" s="141" t="s">
        <v>66</v>
      </c>
      <c r="P48" s="145">
        <v>0.0</v>
      </c>
      <c r="Q48" s="146"/>
      <c r="R48" s="70" t="s">
        <v>1112</v>
      </c>
      <c r="S48" s="62" t="s">
        <v>194</v>
      </c>
      <c r="T48" s="22" t="s">
        <v>1113</v>
      </c>
      <c r="U48" s="147" t="s">
        <v>1114</v>
      </c>
      <c r="V48" s="147" t="s">
        <v>1115</v>
      </c>
      <c r="W48" s="67">
        <v>22013.0</v>
      </c>
      <c r="X48" s="95" t="s">
        <v>221</v>
      </c>
      <c r="Y48" s="49" t="str">
        <f t="shared" si="3"/>
        <v>Ativo</v>
      </c>
      <c r="Z48" s="150"/>
      <c r="AA48" s="150"/>
      <c r="AB48" s="30"/>
      <c r="AC48" s="81"/>
      <c r="AD48" s="151">
        <v>45659.0</v>
      </c>
      <c r="AE48" s="30">
        <v>4.9075100016984E13</v>
      </c>
      <c r="AF48" s="65">
        <v>0.0</v>
      </c>
      <c r="AG48" s="65">
        <v>0.41</v>
      </c>
      <c r="AH48" s="65">
        <v>0.41</v>
      </c>
      <c r="AI48" s="65">
        <v>0.41</v>
      </c>
      <c r="AJ48" s="65">
        <v>0.41</v>
      </c>
      <c r="AK48" s="65">
        <v>0.41</v>
      </c>
      <c r="AL48" s="65">
        <v>0.0</v>
      </c>
      <c r="AM48" s="65">
        <v>0.0</v>
      </c>
      <c r="AN48" s="65">
        <v>0.0</v>
      </c>
      <c r="AO48" s="65">
        <v>0.0</v>
      </c>
      <c r="AP48" s="65">
        <v>0.0</v>
      </c>
      <c r="AQ48" s="65">
        <v>0.0</v>
      </c>
      <c r="AR48" s="65">
        <v>0.0</v>
      </c>
      <c r="AS48" s="65">
        <v>0.0</v>
      </c>
      <c r="AT48" s="65">
        <v>0.0</v>
      </c>
      <c r="AU48" s="65">
        <v>0.0</v>
      </c>
      <c r="AV48" s="65">
        <v>0.0</v>
      </c>
      <c r="AW48" s="65">
        <v>0.0</v>
      </c>
      <c r="AX48" s="65">
        <v>0.0</v>
      </c>
    </row>
    <row r="49" ht="15.75" customHeight="1">
      <c r="A49" s="140" t="s">
        <v>458</v>
      </c>
      <c r="B49" s="50" t="s">
        <v>1124</v>
      </c>
      <c r="C49" s="141">
        <v>3251764.0</v>
      </c>
      <c r="D49" s="141" t="s">
        <v>89</v>
      </c>
      <c r="E49" s="63" t="s">
        <v>91</v>
      </c>
      <c r="F49" s="63" t="s">
        <v>521</v>
      </c>
      <c r="G49" s="47" t="str">
        <f t="shared" si="1"/>
        <v>David</v>
      </c>
      <c r="H49" s="142" t="s">
        <v>295</v>
      </c>
      <c r="I49" s="49" t="s">
        <v>382</v>
      </c>
      <c r="J49" s="63" t="str">
        <f t="shared" si="4"/>
        <v>Não</v>
      </c>
      <c r="K49" s="143">
        <v>44263.0</v>
      </c>
      <c r="L49" s="81"/>
      <c r="M49" s="81" t="s">
        <v>361</v>
      </c>
      <c r="N49" s="144">
        <v>0.02</v>
      </c>
      <c r="O49" s="141" t="s">
        <v>35</v>
      </c>
      <c r="P49" s="145">
        <v>0.2</v>
      </c>
      <c r="Q49" s="146"/>
      <c r="R49" s="158" t="s">
        <v>1128</v>
      </c>
      <c r="S49" s="62" t="s">
        <v>194</v>
      </c>
      <c r="T49" s="141" t="s">
        <v>1129</v>
      </c>
      <c r="U49" s="147" t="s">
        <v>1130</v>
      </c>
      <c r="V49" s="147" t="s">
        <v>1131</v>
      </c>
      <c r="W49" s="67">
        <v>33605.0</v>
      </c>
      <c r="X49" s="95" t="s">
        <v>221</v>
      </c>
      <c r="Y49" s="49" t="str">
        <f t="shared" si="3"/>
        <v>Ativo</v>
      </c>
      <c r="Z49" s="150"/>
      <c r="AA49" s="150"/>
      <c r="AB49" s="30"/>
      <c r="AC49" s="81"/>
      <c r="AD49" s="151">
        <v>45659.0</v>
      </c>
      <c r="AE49" s="30">
        <v>4.9075100017352E13</v>
      </c>
      <c r="AF49" s="65">
        <v>3.19</v>
      </c>
      <c r="AG49" s="65">
        <v>3.19</v>
      </c>
      <c r="AH49" s="65">
        <v>3.19</v>
      </c>
      <c r="AI49" s="65">
        <v>3.19</v>
      </c>
      <c r="AJ49" s="65">
        <v>3.19</v>
      </c>
      <c r="AK49" s="65">
        <v>3.19</v>
      </c>
      <c r="AL49" s="65">
        <v>3.19</v>
      </c>
      <c r="AM49" s="65">
        <v>3.19</v>
      </c>
      <c r="AN49" s="65">
        <v>3.19</v>
      </c>
      <c r="AO49" s="65">
        <v>3.19</v>
      </c>
      <c r="AP49" s="65">
        <v>3.19</v>
      </c>
      <c r="AQ49" s="65">
        <v>3.19</v>
      </c>
      <c r="AR49" s="65">
        <v>3.19</v>
      </c>
      <c r="AS49" s="65">
        <v>0.0</v>
      </c>
      <c r="AT49" s="65">
        <v>0.0</v>
      </c>
      <c r="AU49" s="65">
        <v>0.0</v>
      </c>
      <c r="AV49" s="65">
        <v>0.0</v>
      </c>
      <c r="AW49" s="65">
        <v>0.0</v>
      </c>
      <c r="AX49" s="65">
        <v>0.0</v>
      </c>
    </row>
    <row r="50" ht="15.75" customHeight="1">
      <c r="A50" s="140" t="s">
        <v>458</v>
      </c>
      <c r="B50" s="50" t="s">
        <v>1124</v>
      </c>
      <c r="C50" s="141">
        <v>3251802.0</v>
      </c>
      <c r="D50" s="141" t="s">
        <v>89</v>
      </c>
      <c r="E50" s="63" t="s">
        <v>91</v>
      </c>
      <c r="F50" s="63" t="s">
        <v>521</v>
      </c>
      <c r="G50" s="47" t="str">
        <f t="shared" si="1"/>
        <v>David</v>
      </c>
      <c r="H50" s="161" t="s">
        <v>295</v>
      </c>
      <c r="I50" s="49" t="s">
        <v>382</v>
      </c>
      <c r="J50" s="63" t="str">
        <f t="shared" si="4"/>
        <v>Não</v>
      </c>
      <c r="K50" s="143">
        <v>44390.0</v>
      </c>
      <c r="L50" s="81"/>
      <c r="M50" s="81" t="s">
        <v>209</v>
      </c>
      <c r="N50" s="144">
        <v>0.015</v>
      </c>
      <c r="O50" s="141" t="s">
        <v>35</v>
      </c>
      <c r="P50" s="162">
        <v>0.1</v>
      </c>
      <c r="Q50" s="146"/>
      <c r="R50" s="158" t="s">
        <v>1135</v>
      </c>
      <c r="S50" s="62" t="s">
        <v>194</v>
      </c>
      <c r="T50" s="141" t="s">
        <v>1129</v>
      </c>
      <c r="U50" s="147" t="s">
        <v>1130</v>
      </c>
      <c r="V50" s="147" t="s">
        <v>1131</v>
      </c>
      <c r="W50" s="67">
        <v>33605.0</v>
      </c>
      <c r="X50" s="95" t="s">
        <v>221</v>
      </c>
      <c r="Y50" s="49" t="str">
        <f t="shared" si="3"/>
        <v>Ativo</v>
      </c>
      <c r="Z50" s="150"/>
      <c r="AA50" s="150"/>
      <c r="AB50" s="30"/>
      <c r="AC50" s="81"/>
      <c r="AD50" s="151">
        <v>45659.0</v>
      </c>
      <c r="AE50" s="30">
        <v>4.9075100017344E13</v>
      </c>
      <c r="AF50" s="65">
        <v>1.74</v>
      </c>
      <c r="AG50" s="65">
        <v>1.74</v>
      </c>
      <c r="AH50" s="65">
        <v>1.74</v>
      </c>
      <c r="AI50" s="65">
        <v>1.74</v>
      </c>
      <c r="AJ50" s="65">
        <v>1.74</v>
      </c>
      <c r="AK50" s="65">
        <v>1.74</v>
      </c>
      <c r="AL50" s="65">
        <v>1.74</v>
      </c>
      <c r="AM50" s="65">
        <v>1.74</v>
      </c>
      <c r="AN50" s="65">
        <v>1.74</v>
      </c>
      <c r="AO50" s="65">
        <v>0.0</v>
      </c>
      <c r="AP50" s="65">
        <v>0.0</v>
      </c>
      <c r="AQ50" s="65">
        <v>0.0</v>
      </c>
      <c r="AR50" s="65">
        <v>0.0</v>
      </c>
      <c r="AS50" s="65">
        <v>0.0</v>
      </c>
      <c r="AT50" s="65">
        <v>0.0</v>
      </c>
      <c r="AU50" s="65">
        <v>0.0</v>
      </c>
      <c r="AV50" s="65">
        <v>0.0</v>
      </c>
      <c r="AW50" s="65">
        <v>0.0</v>
      </c>
      <c r="AX50" s="65">
        <v>0.0</v>
      </c>
    </row>
    <row r="51" ht="15.75" customHeight="1">
      <c r="A51" s="140" t="s">
        <v>458</v>
      </c>
      <c r="B51" s="50" t="s">
        <v>1145</v>
      </c>
      <c r="C51" s="141">
        <v>3252485.0</v>
      </c>
      <c r="D51" s="63" t="s">
        <v>120</v>
      </c>
      <c r="E51" s="63" t="s">
        <v>199</v>
      </c>
      <c r="F51" s="63" t="s">
        <v>1148</v>
      </c>
      <c r="G51" s="47" t="str">
        <f t="shared" si="1"/>
        <v>David</v>
      </c>
      <c r="H51" s="142" t="s">
        <v>295</v>
      </c>
      <c r="I51" s="49" t="s">
        <v>382</v>
      </c>
      <c r="J51" s="63" t="str">
        <f t="shared" si="4"/>
        <v>Não</v>
      </c>
      <c r="K51" s="143">
        <v>45098.0</v>
      </c>
      <c r="L51" s="81"/>
      <c r="M51" s="81" t="s">
        <v>61</v>
      </c>
      <c r="N51" s="144">
        <v>0.012</v>
      </c>
      <c r="O51" s="141" t="s">
        <v>66</v>
      </c>
      <c r="P51" s="145">
        <v>0.0</v>
      </c>
      <c r="Q51" s="146"/>
      <c r="R51" s="158"/>
      <c r="S51" s="62" t="s">
        <v>194</v>
      </c>
      <c r="T51" s="30" t="s">
        <v>1152</v>
      </c>
      <c r="U51" s="147" t="s">
        <v>1153</v>
      </c>
      <c r="V51" s="147" t="s">
        <v>1154</v>
      </c>
      <c r="W51" s="67">
        <v>36008.0</v>
      </c>
      <c r="X51" s="30" t="s">
        <v>199</v>
      </c>
      <c r="Y51" s="49" t="str">
        <f t="shared" si="3"/>
        <v>Inativo</v>
      </c>
      <c r="Z51" s="150"/>
      <c r="AA51" s="150"/>
      <c r="AB51" s="30"/>
      <c r="AC51" s="81"/>
      <c r="AD51" s="151">
        <v>45659.0</v>
      </c>
      <c r="AE51" s="30">
        <v>4.9075100017141E13</v>
      </c>
      <c r="AF51" s="65">
        <v>0.0</v>
      </c>
      <c r="AG51" s="65">
        <v>0.0</v>
      </c>
      <c r="AH51" s="65">
        <v>0.0</v>
      </c>
      <c r="AI51" s="65">
        <v>0.0</v>
      </c>
      <c r="AJ51" s="65">
        <v>0.0</v>
      </c>
      <c r="AK51" s="65">
        <v>0.0</v>
      </c>
      <c r="AL51" s="65">
        <v>0.0</v>
      </c>
      <c r="AM51" s="65">
        <v>0.0</v>
      </c>
      <c r="AN51" s="65">
        <v>0.0</v>
      </c>
      <c r="AO51" s="65">
        <v>0.0</v>
      </c>
      <c r="AP51" s="65">
        <v>0.0</v>
      </c>
      <c r="AQ51" s="65">
        <v>0.0</v>
      </c>
      <c r="AR51" s="65">
        <v>0.0</v>
      </c>
      <c r="AS51" s="65">
        <v>0.0</v>
      </c>
      <c r="AT51" s="65">
        <v>0.0</v>
      </c>
      <c r="AU51" s="65">
        <v>0.0</v>
      </c>
      <c r="AV51" s="65">
        <v>0.0</v>
      </c>
      <c r="AW51" s="65">
        <v>0.0</v>
      </c>
      <c r="AX51" s="65">
        <v>0.0</v>
      </c>
    </row>
    <row r="52" ht="15.75" customHeight="1">
      <c r="A52" s="140" t="s">
        <v>458</v>
      </c>
      <c r="B52" s="50" t="s">
        <v>1159</v>
      </c>
      <c r="C52" s="141">
        <v>3252205.0</v>
      </c>
      <c r="D52" s="63" t="s">
        <v>120</v>
      </c>
      <c r="E52" s="63" t="s">
        <v>199</v>
      </c>
      <c r="F52" s="141" t="s">
        <v>502</v>
      </c>
      <c r="G52" s="47" t="str">
        <f t="shared" si="1"/>
        <v>Marcus</v>
      </c>
      <c r="H52" s="152" t="s">
        <v>183</v>
      </c>
      <c r="I52" s="49" t="s">
        <v>66</v>
      </c>
      <c r="J52" s="63" t="str">
        <f t="shared" si="4"/>
        <v>Não</v>
      </c>
      <c r="K52" s="143">
        <v>45414.0</v>
      </c>
      <c r="L52" s="81"/>
      <c r="M52" s="81" t="s">
        <v>61</v>
      </c>
      <c r="N52" s="144">
        <v>0.01</v>
      </c>
      <c r="O52" s="141" t="s">
        <v>66</v>
      </c>
      <c r="P52" s="145">
        <v>0.0</v>
      </c>
      <c r="Q52" s="146"/>
      <c r="R52" s="158"/>
      <c r="S52" s="32" t="s">
        <v>194</v>
      </c>
      <c r="T52" s="177" t="s">
        <v>1163</v>
      </c>
      <c r="U52" s="147" t="s">
        <v>1164</v>
      </c>
      <c r="V52" s="147" t="s">
        <v>1165</v>
      </c>
      <c r="W52" s="67">
        <v>27619.0</v>
      </c>
      <c r="X52" s="30" t="s">
        <v>397</v>
      </c>
      <c r="Y52" s="49" t="str">
        <f t="shared" si="3"/>
        <v>Ativo</v>
      </c>
      <c r="Z52" s="196"/>
      <c r="AA52" s="196" t="s">
        <v>47</v>
      </c>
      <c r="AB52" s="30"/>
      <c r="AC52" s="81"/>
      <c r="AD52" s="151">
        <v>45659.0</v>
      </c>
      <c r="AE52" s="30">
        <v>4.9075100016951E13</v>
      </c>
      <c r="AF52" s="65">
        <v>709085.16</v>
      </c>
      <c r="AG52" s="65">
        <v>800892.98</v>
      </c>
      <c r="AH52" s="65">
        <v>807073.19</v>
      </c>
      <c r="AI52" s="65">
        <v>814022.7</v>
      </c>
      <c r="AJ52" s="65">
        <v>821772.47</v>
      </c>
      <c r="AK52" s="65">
        <v>827584.27</v>
      </c>
      <c r="AL52" s="65">
        <v>840129.58</v>
      </c>
      <c r="AM52" s="65">
        <v>858885.56</v>
      </c>
      <c r="AN52" s="65">
        <v>866279.31</v>
      </c>
      <c r="AO52" s="65">
        <v>874389.87</v>
      </c>
      <c r="AP52" s="65">
        <v>881909.66</v>
      </c>
      <c r="AQ52" s="65">
        <v>888389.06</v>
      </c>
      <c r="AR52" s="65">
        <v>825919.3</v>
      </c>
      <c r="AS52" s="65">
        <v>830282.89</v>
      </c>
      <c r="AT52" s="65">
        <v>836988.45</v>
      </c>
      <c r="AU52" s="65">
        <v>813021.15</v>
      </c>
      <c r="AV52" s="65">
        <v>822648.15</v>
      </c>
      <c r="AW52" s="65">
        <v>827950.66</v>
      </c>
      <c r="AX52" s="65">
        <v>249512.47</v>
      </c>
    </row>
    <row r="53" ht="15.75" customHeight="1">
      <c r="A53" s="140" t="s">
        <v>458</v>
      </c>
      <c r="B53" s="50" t="s">
        <v>1175</v>
      </c>
      <c r="C53" s="141">
        <v>3252060.0</v>
      </c>
      <c r="D53" s="63" t="s">
        <v>120</v>
      </c>
      <c r="E53" s="63" t="s">
        <v>199</v>
      </c>
      <c r="F53" s="63" t="s">
        <v>290</v>
      </c>
      <c r="G53" s="47" t="str">
        <f t="shared" si="1"/>
        <v>David</v>
      </c>
      <c r="H53" s="152" t="s">
        <v>295</v>
      </c>
      <c r="I53" s="49" t="s">
        <v>382</v>
      </c>
      <c r="J53" s="63" t="str">
        <f t="shared" si="4"/>
        <v>Não</v>
      </c>
      <c r="K53" s="143">
        <v>43605.0</v>
      </c>
      <c r="L53" s="81"/>
      <c r="M53" s="81" t="s">
        <v>231</v>
      </c>
      <c r="N53" s="144">
        <v>0.02</v>
      </c>
      <c r="O53" s="141" t="s">
        <v>233</v>
      </c>
      <c r="P53" s="145">
        <v>0.2</v>
      </c>
      <c r="Q53" s="146"/>
      <c r="R53" s="153" t="s">
        <v>1177</v>
      </c>
      <c r="S53" s="62" t="s">
        <v>194</v>
      </c>
      <c r="T53" s="141" t="s">
        <v>1178</v>
      </c>
      <c r="U53" s="147" t="s">
        <v>1164</v>
      </c>
      <c r="V53" s="147" t="s">
        <v>1165</v>
      </c>
      <c r="W53" s="67">
        <v>27619.0</v>
      </c>
      <c r="X53" s="81" t="s">
        <v>199</v>
      </c>
      <c r="Y53" s="49" t="str">
        <f t="shared" si="3"/>
        <v>Ativo</v>
      </c>
      <c r="Z53" s="150"/>
      <c r="AA53" s="150"/>
      <c r="AB53" s="30"/>
      <c r="AC53" s="81"/>
      <c r="AD53" s="151">
        <v>45659.0</v>
      </c>
      <c r="AE53" s="30">
        <v>4.9075100016801E13</v>
      </c>
      <c r="AF53" s="65">
        <v>111211.48</v>
      </c>
      <c r="AG53" s="65">
        <v>194089.22</v>
      </c>
      <c r="AH53" s="65">
        <v>157823.82</v>
      </c>
      <c r="AI53" s="65">
        <v>698.11</v>
      </c>
      <c r="AJ53" s="65">
        <v>101.41</v>
      </c>
      <c r="AK53" s="65">
        <v>101.42</v>
      </c>
      <c r="AL53" s="65">
        <v>233.44</v>
      </c>
      <c r="AM53" s="65">
        <v>335.35</v>
      </c>
      <c r="AN53" s="65">
        <v>335.5</v>
      </c>
      <c r="AO53" s="65">
        <v>335.67</v>
      </c>
      <c r="AP53" s="65">
        <v>335.82</v>
      </c>
      <c r="AQ53" s="65">
        <v>336.35</v>
      </c>
      <c r="AR53" s="65">
        <v>625.61</v>
      </c>
      <c r="AS53" s="65">
        <v>626.09</v>
      </c>
      <c r="AT53" s="65">
        <v>626.45</v>
      </c>
      <c r="AU53" s="65">
        <v>626.49</v>
      </c>
      <c r="AV53" s="65">
        <v>638.13</v>
      </c>
      <c r="AW53" s="65">
        <v>655.13</v>
      </c>
      <c r="AX53" s="65">
        <v>0.16</v>
      </c>
    </row>
    <row r="54" ht="15.75" customHeight="1">
      <c r="A54" s="140" t="s">
        <v>458</v>
      </c>
      <c r="B54" s="50" t="s">
        <v>1175</v>
      </c>
      <c r="C54" s="141">
        <v>3252078.0</v>
      </c>
      <c r="D54" s="63" t="s">
        <v>120</v>
      </c>
      <c r="E54" s="63" t="s">
        <v>199</v>
      </c>
      <c r="F54" s="63" t="s">
        <v>290</v>
      </c>
      <c r="G54" s="47" t="str">
        <f t="shared" si="1"/>
        <v>David</v>
      </c>
      <c r="H54" s="152" t="s">
        <v>295</v>
      </c>
      <c r="I54" s="49" t="s">
        <v>382</v>
      </c>
      <c r="J54" s="63" t="str">
        <f t="shared" si="4"/>
        <v>Não</v>
      </c>
      <c r="K54" s="143">
        <v>45225.0</v>
      </c>
      <c r="L54" s="81"/>
      <c r="M54" s="81" t="s">
        <v>34</v>
      </c>
      <c r="N54" s="144">
        <v>0.012</v>
      </c>
      <c r="O54" s="141" t="s">
        <v>35</v>
      </c>
      <c r="P54" s="145">
        <v>0.1</v>
      </c>
      <c r="Q54" s="146"/>
      <c r="R54" s="153" t="s">
        <v>1183</v>
      </c>
      <c r="S54" s="62" t="s">
        <v>194</v>
      </c>
      <c r="T54" s="22" t="s">
        <v>1178</v>
      </c>
      <c r="U54" s="197"/>
      <c r="V54" s="197"/>
      <c r="W54" s="197"/>
      <c r="X54" s="30" t="s">
        <v>199</v>
      </c>
      <c r="Y54" s="49" t="str">
        <f t="shared" si="3"/>
        <v>Ativo</v>
      </c>
      <c r="Z54" s="150"/>
      <c r="AA54" s="150"/>
      <c r="AB54" s="30"/>
      <c r="AC54" s="81"/>
      <c r="AD54" s="151">
        <v>45659.0</v>
      </c>
      <c r="AE54" s="30">
        <v>4.9075100016879E13</v>
      </c>
      <c r="AF54" s="65">
        <v>253898.19</v>
      </c>
      <c r="AG54" s="65">
        <v>256500.07</v>
      </c>
      <c r="AH54" s="65">
        <v>246568.03</v>
      </c>
      <c r="AI54" s="65">
        <v>44705.9</v>
      </c>
      <c r="AJ54" s="65">
        <v>41840.05</v>
      </c>
      <c r="AK54" s="65">
        <v>42307.71</v>
      </c>
      <c r="AL54" s="65">
        <v>42748.97</v>
      </c>
      <c r="AM54" s="65">
        <v>474.67</v>
      </c>
      <c r="AN54" s="65">
        <v>474.41</v>
      </c>
      <c r="AO54" s="65">
        <v>474.59</v>
      </c>
      <c r="AP54" s="65">
        <v>474.98</v>
      </c>
      <c r="AQ54" s="65">
        <v>475.75</v>
      </c>
      <c r="AR54" s="65">
        <v>577.65</v>
      </c>
      <c r="AS54" s="65">
        <v>578.12</v>
      </c>
      <c r="AT54" s="65">
        <v>578.48</v>
      </c>
      <c r="AU54" s="65">
        <v>582.43</v>
      </c>
      <c r="AV54" s="65">
        <v>598.82</v>
      </c>
      <c r="AW54" s="65">
        <v>616.09</v>
      </c>
      <c r="AX54" s="65">
        <v>0.14</v>
      </c>
    </row>
    <row r="55" ht="15.75" customHeight="1">
      <c r="A55" s="140" t="s">
        <v>458</v>
      </c>
      <c r="B55" s="50" t="s">
        <v>1188</v>
      </c>
      <c r="C55" s="141">
        <v>3252141.0</v>
      </c>
      <c r="D55" s="63" t="s">
        <v>120</v>
      </c>
      <c r="E55" s="63" t="s">
        <v>199</v>
      </c>
      <c r="F55" s="63" t="s">
        <v>290</v>
      </c>
      <c r="G55" s="47" t="str">
        <f t="shared" si="1"/>
        <v>David</v>
      </c>
      <c r="H55" s="152" t="s">
        <v>295</v>
      </c>
      <c r="I55" s="49" t="s">
        <v>296</v>
      </c>
      <c r="J55" s="63" t="str">
        <f t="shared" si="4"/>
        <v>Não</v>
      </c>
      <c r="K55" s="143">
        <v>43881.0</v>
      </c>
      <c r="L55" s="81"/>
      <c r="M55" s="81" t="s">
        <v>209</v>
      </c>
      <c r="N55" s="144">
        <v>0.015</v>
      </c>
      <c r="O55" s="141" t="s">
        <v>66</v>
      </c>
      <c r="P55" s="145">
        <v>0.0</v>
      </c>
      <c r="Q55" s="146"/>
      <c r="R55" s="153" t="s">
        <v>1189</v>
      </c>
      <c r="S55" s="62" t="s">
        <v>194</v>
      </c>
      <c r="T55" s="141" t="s">
        <v>1190</v>
      </c>
      <c r="U55" s="147"/>
      <c r="V55" s="147"/>
      <c r="W55" s="67"/>
      <c r="X55" s="81"/>
      <c r="Y55" s="49" t="str">
        <f t="shared" si="3"/>
        <v>Ativo</v>
      </c>
      <c r="Z55" s="150"/>
      <c r="AA55" s="150"/>
      <c r="AB55" s="30"/>
      <c r="AC55" s="81"/>
      <c r="AD55" s="151">
        <v>45659.0</v>
      </c>
      <c r="AE55" s="30">
        <v>4.9075100016968E13</v>
      </c>
      <c r="AF55" s="65">
        <v>1232337.68</v>
      </c>
      <c r="AG55" s="65">
        <v>1245071.8</v>
      </c>
      <c r="AH55" s="65">
        <v>775306.13</v>
      </c>
      <c r="AI55" s="65">
        <v>770685.27</v>
      </c>
      <c r="AJ55" s="65">
        <v>486674.51</v>
      </c>
      <c r="AK55" s="65">
        <v>0.0</v>
      </c>
      <c r="AL55" s="65">
        <v>0.0</v>
      </c>
      <c r="AM55" s="65">
        <v>0.0</v>
      </c>
      <c r="AN55" s="65">
        <v>0.0</v>
      </c>
      <c r="AO55" s="65">
        <v>0.0</v>
      </c>
      <c r="AP55" s="65">
        <v>0.0</v>
      </c>
      <c r="AQ55" s="65">
        <v>0.0</v>
      </c>
      <c r="AR55" s="65">
        <v>0.0</v>
      </c>
      <c r="AS55" s="65">
        <v>0.0</v>
      </c>
      <c r="AT55" s="65">
        <v>0.0</v>
      </c>
      <c r="AU55" s="65">
        <v>0.0</v>
      </c>
      <c r="AV55" s="65">
        <v>0.0</v>
      </c>
      <c r="AW55" s="65">
        <v>0.0</v>
      </c>
      <c r="AX55" s="65">
        <v>0.0</v>
      </c>
    </row>
    <row r="56" ht="15.75" customHeight="1">
      <c r="A56" s="140" t="s">
        <v>458</v>
      </c>
      <c r="B56" s="50" t="s">
        <v>1194</v>
      </c>
      <c r="C56" s="141">
        <v>3252299.0</v>
      </c>
      <c r="D56" s="141" t="s">
        <v>120</v>
      </c>
      <c r="E56" s="63" t="s">
        <v>199</v>
      </c>
      <c r="F56" s="63" t="s">
        <v>290</v>
      </c>
      <c r="G56" s="47" t="str">
        <f t="shared" si="1"/>
        <v>Gabriel</v>
      </c>
      <c r="H56" s="152" t="s">
        <v>183</v>
      </c>
      <c r="I56" s="49" t="s">
        <v>66</v>
      </c>
      <c r="J56" s="63" t="str">
        <f t="shared" si="4"/>
        <v>Não</v>
      </c>
      <c r="K56" s="198">
        <v>45965.0</v>
      </c>
      <c r="L56" s="151"/>
      <c r="M56" s="30" t="s">
        <v>361</v>
      </c>
      <c r="N56" s="199">
        <v>0.018</v>
      </c>
      <c r="O56" s="141" t="s">
        <v>35</v>
      </c>
      <c r="P56" s="145">
        <v>0.2</v>
      </c>
      <c r="Q56" s="146"/>
      <c r="R56" s="158"/>
      <c r="S56" s="62" t="s">
        <v>194</v>
      </c>
      <c r="T56" s="141" t="s">
        <v>1200</v>
      </c>
      <c r="U56" s="147" t="s">
        <v>1202</v>
      </c>
      <c r="V56" s="147" t="s">
        <v>1205</v>
      </c>
      <c r="W56" s="67">
        <v>24644.0</v>
      </c>
      <c r="X56" s="30" t="s">
        <v>199</v>
      </c>
      <c r="Y56" s="49" t="str">
        <f t="shared" si="3"/>
        <v>Ativo</v>
      </c>
      <c r="Z56" s="150"/>
      <c r="AA56" s="196" t="s">
        <v>165</v>
      </c>
      <c r="AB56" s="30"/>
      <c r="AC56" s="81"/>
      <c r="AD56" s="151">
        <v>45659.0</v>
      </c>
      <c r="AE56" s="30">
        <v>4.9075100016811E13</v>
      </c>
      <c r="AF56" s="65">
        <v>164044.91</v>
      </c>
      <c r="AG56" s="65">
        <v>171135.97</v>
      </c>
      <c r="AH56" s="65">
        <v>167051.73</v>
      </c>
      <c r="AI56" s="65">
        <v>175445.61</v>
      </c>
      <c r="AJ56" s="65">
        <v>180695.83</v>
      </c>
      <c r="AK56" s="65">
        <v>154046.09</v>
      </c>
      <c r="AL56" s="65">
        <v>193143.83</v>
      </c>
      <c r="AM56" s="65">
        <v>191588.24</v>
      </c>
      <c r="AN56" s="65">
        <v>195839.45</v>
      </c>
      <c r="AO56" s="65">
        <v>199881.1</v>
      </c>
      <c r="AP56" s="65">
        <v>203036.81</v>
      </c>
      <c r="AQ56" s="65">
        <v>207073.44</v>
      </c>
      <c r="AR56" s="65">
        <v>211491.61</v>
      </c>
      <c r="AS56" s="65">
        <v>215960.3</v>
      </c>
      <c r="AT56" s="65">
        <v>219260.13</v>
      </c>
      <c r="AU56" s="65">
        <v>216067.0</v>
      </c>
      <c r="AV56" s="65">
        <v>230139.19</v>
      </c>
      <c r="AW56" s="65">
        <v>229126.9</v>
      </c>
      <c r="AX56" s="65">
        <v>231694.82</v>
      </c>
    </row>
    <row r="57" ht="15.75" customHeight="1">
      <c r="A57" s="140" t="s">
        <v>458</v>
      </c>
      <c r="B57" s="50" t="s">
        <v>1210</v>
      </c>
      <c r="C57" s="141">
        <v>3252370.0</v>
      </c>
      <c r="D57" s="141" t="s">
        <v>89</v>
      </c>
      <c r="E57" s="63" t="s">
        <v>91</v>
      </c>
      <c r="F57" s="63" t="s">
        <v>193</v>
      </c>
      <c r="G57" s="47" t="str">
        <f t="shared" si="1"/>
        <v>David</v>
      </c>
      <c r="H57" s="152" t="s">
        <v>183</v>
      </c>
      <c r="I57" s="74" t="s">
        <v>66</v>
      </c>
      <c r="J57" s="63" t="str">
        <f t="shared" si="4"/>
        <v>Não</v>
      </c>
      <c r="K57" s="143">
        <v>44328.0</v>
      </c>
      <c r="L57" s="81"/>
      <c r="M57" s="81" t="s">
        <v>209</v>
      </c>
      <c r="N57" s="144">
        <v>0.015</v>
      </c>
      <c r="O57" s="141" t="s">
        <v>35</v>
      </c>
      <c r="P57" s="145">
        <v>0.1</v>
      </c>
      <c r="Q57" s="146"/>
      <c r="R57" s="70"/>
      <c r="S57" s="62" t="s">
        <v>194</v>
      </c>
      <c r="T57" s="22" t="s">
        <v>1211</v>
      </c>
      <c r="U57" s="147" t="s">
        <v>665</v>
      </c>
      <c r="V57" s="147" t="s">
        <v>666</v>
      </c>
      <c r="W57" s="67">
        <v>29314.0</v>
      </c>
      <c r="X57" s="95" t="s">
        <v>221</v>
      </c>
      <c r="Y57" s="49" t="str">
        <f t="shared" si="3"/>
        <v>Ativo</v>
      </c>
      <c r="Z57" s="150"/>
      <c r="AA57" s="150"/>
      <c r="AB57" s="30"/>
      <c r="AC57" s="81"/>
      <c r="AD57" s="151">
        <v>45659.0</v>
      </c>
      <c r="AE57" s="30">
        <v>4.9075100016631E13</v>
      </c>
      <c r="AF57" s="65">
        <v>690.93</v>
      </c>
      <c r="AG57" s="65">
        <v>35774.0</v>
      </c>
      <c r="AH57" s="65">
        <v>36067.56</v>
      </c>
      <c r="AI57" s="65">
        <v>36353.97</v>
      </c>
      <c r="AJ57" s="65">
        <v>36675.18</v>
      </c>
      <c r="AK57" s="65">
        <v>36998.89</v>
      </c>
      <c r="AL57" s="65">
        <v>37069.68</v>
      </c>
      <c r="AM57" s="65">
        <v>37484.91</v>
      </c>
      <c r="AN57" s="65">
        <v>37862.21</v>
      </c>
      <c r="AO57" s="65">
        <v>38264.85</v>
      </c>
      <c r="AP57" s="65">
        <v>38144.8</v>
      </c>
      <c r="AQ57" s="65">
        <v>39513.63</v>
      </c>
      <c r="AR57" s="65">
        <v>40361.71</v>
      </c>
      <c r="AS57" s="65">
        <v>44456.59</v>
      </c>
      <c r="AT57" s="65">
        <v>45882.33</v>
      </c>
      <c r="AU57" s="65">
        <v>45941.96</v>
      </c>
      <c r="AV57" s="65">
        <v>45830.42</v>
      </c>
      <c r="AW57" s="65">
        <v>45138.2</v>
      </c>
      <c r="AX57" s="65">
        <v>44990.23</v>
      </c>
    </row>
    <row r="58" ht="15.75" customHeight="1">
      <c r="A58" s="140" t="s">
        <v>458</v>
      </c>
      <c r="B58" s="50" t="s">
        <v>1215</v>
      </c>
      <c r="C58" s="141">
        <v>3252264.0</v>
      </c>
      <c r="D58" s="63" t="s">
        <v>120</v>
      </c>
      <c r="E58" s="63" t="s">
        <v>199</v>
      </c>
      <c r="F58" s="63" t="s">
        <v>290</v>
      </c>
      <c r="G58" s="47" t="str">
        <f t="shared" si="1"/>
        <v>David</v>
      </c>
      <c r="H58" s="142" t="s">
        <v>183</v>
      </c>
      <c r="I58" s="74" t="s">
        <v>66</v>
      </c>
      <c r="J58" s="63" t="str">
        <f t="shared" si="4"/>
        <v>Não</v>
      </c>
      <c r="K58" s="143">
        <v>45163.0</v>
      </c>
      <c r="L58" s="81"/>
      <c r="M58" s="81" t="s">
        <v>61</v>
      </c>
      <c r="N58" s="144">
        <v>0.01</v>
      </c>
      <c r="O58" s="141" t="s">
        <v>66</v>
      </c>
      <c r="P58" s="145">
        <v>0.0</v>
      </c>
      <c r="Q58" s="146"/>
      <c r="R58" s="158"/>
      <c r="S58" s="62" t="s">
        <v>194</v>
      </c>
      <c r="T58" s="27" t="s">
        <v>1217</v>
      </c>
      <c r="U58" s="147" t="s">
        <v>1218</v>
      </c>
      <c r="V58" s="147" t="s">
        <v>1219</v>
      </c>
      <c r="W58" s="67">
        <v>19857.0</v>
      </c>
      <c r="X58" s="30" t="s">
        <v>622</v>
      </c>
      <c r="Y58" s="49" t="str">
        <f t="shared" si="3"/>
        <v>Ativo</v>
      </c>
      <c r="Z58" s="150"/>
      <c r="AA58" s="150"/>
      <c r="AB58" s="30"/>
      <c r="AC58" s="81"/>
      <c r="AD58" s="151">
        <v>45659.0</v>
      </c>
      <c r="AE58" s="30">
        <v>4.9075100016763E13</v>
      </c>
      <c r="AF58" s="65">
        <v>110556.17</v>
      </c>
      <c r="AG58" s="65">
        <v>113606.87</v>
      </c>
      <c r="AH58" s="65">
        <v>114256.14</v>
      </c>
      <c r="AI58" s="65">
        <v>115048.24</v>
      </c>
      <c r="AJ58" s="65">
        <v>116343.82</v>
      </c>
      <c r="AK58" s="65">
        <v>117505.21</v>
      </c>
      <c r="AL58" s="65">
        <v>118598.5</v>
      </c>
      <c r="AM58" s="65">
        <v>119890.71</v>
      </c>
      <c r="AN58" s="65">
        <v>120764.74</v>
      </c>
      <c r="AO58" s="65">
        <v>121942.57</v>
      </c>
      <c r="AP58" s="65">
        <v>123291.05</v>
      </c>
      <c r="AQ58" s="65">
        <v>124284.56</v>
      </c>
      <c r="AR58" s="65">
        <v>125565.25</v>
      </c>
      <c r="AS58" s="65">
        <v>126773.29</v>
      </c>
      <c r="AT58" s="65">
        <v>127890.83</v>
      </c>
      <c r="AU58" s="65">
        <v>129463.72</v>
      </c>
      <c r="AV58" s="65">
        <v>130779.16</v>
      </c>
      <c r="AW58" s="65">
        <v>132134.46</v>
      </c>
      <c r="AX58" s="65">
        <v>133396.85</v>
      </c>
    </row>
    <row r="59" ht="15.75" customHeight="1">
      <c r="A59" s="140" t="s">
        <v>458</v>
      </c>
      <c r="B59" s="50" t="s">
        <v>1227</v>
      </c>
      <c r="C59" s="141">
        <v>3252493.0</v>
      </c>
      <c r="D59" s="63" t="s">
        <v>669</v>
      </c>
      <c r="E59" s="63" t="s">
        <v>199</v>
      </c>
      <c r="F59" s="63" t="s">
        <v>1228</v>
      </c>
      <c r="G59" s="47" t="str">
        <f t="shared" si="1"/>
        <v>David</v>
      </c>
      <c r="H59" s="152" t="s">
        <v>224</v>
      </c>
      <c r="I59" s="49" t="s">
        <v>382</v>
      </c>
      <c r="J59" s="63" t="str">
        <f t="shared" si="4"/>
        <v>Não</v>
      </c>
      <c r="K59" s="143">
        <v>43564.0</v>
      </c>
      <c r="L59" s="143">
        <v>43899.0</v>
      </c>
      <c r="M59" s="81" t="s">
        <v>231</v>
      </c>
      <c r="N59" s="144">
        <v>0.02</v>
      </c>
      <c r="O59" s="141" t="s">
        <v>233</v>
      </c>
      <c r="P59" s="145">
        <v>0.2</v>
      </c>
      <c r="Q59" s="146"/>
      <c r="R59" s="158"/>
      <c r="S59" s="62" t="s">
        <v>194</v>
      </c>
      <c r="T59" s="30" t="s">
        <v>1234</v>
      </c>
      <c r="U59" s="147" t="s">
        <v>1235</v>
      </c>
      <c r="V59" s="147" t="s">
        <v>1237</v>
      </c>
      <c r="W59" s="154">
        <v>27745.0</v>
      </c>
      <c r="X59" s="95" t="s">
        <v>199</v>
      </c>
      <c r="Y59" s="49" t="str">
        <f t="shared" si="3"/>
        <v>Encerrado</v>
      </c>
      <c r="Z59" s="150"/>
      <c r="AA59" s="150"/>
      <c r="AB59" s="81"/>
      <c r="AC59" s="81"/>
      <c r="AD59" s="151">
        <v>45659.0</v>
      </c>
      <c r="AE59" s="30">
        <v>4.9075100017328E13</v>
      </c>
      <c r="AF59" s="65">
        <v>0.0</v>
      </c>
      <c r="AG59" s="65">
        <v>0.0</v>
      </c>
      <c r="AH59" s="65">
        <v>0.0</v>
      </c>
      <c r="AI59" s="65">
        <v>0.0</v>
      </c>
      <c r="AJ59" s="65">
        <v>0.0</v>
      </c>
      <c r="AK59" s="65">
        <v>0.0</v>
      </c>
      <c r="AL59" s="65">
        <v>0.0</v>
      </c>
      <c r="AM59" s="65">
        <v>159151.0</v>
      </c>
      <c r="AN59" s="65">
        <v>159151.0</v>
      </c>
      <c r="AO59" s="65">
        <v>159151.0</v>
      </c>
      <c r="AP59" s="65">
        <v>0.0</v>
      </c>
      <c r="AQ59" s="65">
        <v>0.0</v>
      </c>
      <c r="AR59" s="65">
        <v>0.0</v>
      </c>
      <c r="AS59" s="65">
        <v>0.0</v>
      </c>
      <c r="AT59" s="65">
        <v>0.0</v>
      </c>
      <c r="AU59" s="65">
        <v>0.0</v>
      </c>
      <c r="AV59" s="65">
        <v>0.0</v>
      </c>
      <c r="AW59" s="65">
        <v>0.0</v>
      </c>
      <c r="AX59" s="65">
        <v>0.0</v>
      </c>
    </row>
    <row r="60" ht="15.75" customHeight="1">
      <c r="A60" s="140" t="s">
        <v>458</v>
      </c>
      <c r="B60" s="50" t="s">
        <v>1240</v>
      </c>
      <c r="C60" s="141">
        <v>3251641.0</v>
      </c>
      <c r="D60" s="63" t="s">
        <v>120</v>
      </c>
      <c r="E60" s="63" t="s">
        <v>91</v>
      </c>
      <c r="F60" s="63" t="s">
        <v>699</v>
      </c>
      <c r="G60" s="47" t="str">
        <f t="shared" si="1"/>
        <v>David</v>
      </c>
      <c r="H60" s="142" t="s">
        <v>295</v>
      </c>
      <c r="I60" s="49" t="s">
        <v>296</v>
      </c>
      <c r="J60" s="63" t="str">
        <f t="shared" si="4"/>
        <v>Sim</v>
      </c>
      <c r="K60" s="143">
        <v>44761.0</v>
      </c>
      <c r="L60" s="143"/>
      <c r="M60" s="81" t="s">
        <v>61</v>
      </c>
      <c r="N60" s="144">
        <v>0.007</v>
      </c>
      <c r="O60" s="141" t="s">
        <v>66</v>
      </c>
      <c r="P60" s="145">
        <v>0.0</v>
      </c>
      <c r="Q60" s="146" t="s">
        <v>1244</v>
      </c>
      <c r="R60" s="158"/>
      <c r="S60" s="62" t="s">
        <v>194</v>
      </c>
      <c r="T60" s="30" t="s">
        <v>1245</v>
      </c>
      <c r="U60" s="147" t="s">
        <v>1246</v>
      </c>
      <c r="V60" s="147" t="s">
        <v>1247</v>
      </c>
      <c r="W60" s="154">
        <v>26646.0</v>
      </c>
      <c r="X60" s="95" t="s">
        <v>221</v>
      </c>
      <c r="Y60" s="49" t="str">
        <f t="shared" si="3"/>
        <v>Ativo</v>
      </c>
      <c r="Z60" s="150"/>
      <c r="AA60" s="150"/>
      <c r="AB60" s="30"/>
      <c r="AC60" s="81"/>
      <c r="AD60" s="151">
        <v>45659.0</v>
      </c>
      <c r="AE60" s="30">
        <v>4.9075100017301E13</v>
      </c>
      <c r="AF60" s="65">
        <v>0.29</v>
      </c>
      <c r="AG60" s="65">
        <v>0.29</v>
      </c>
      <c r="AH60" s="65">
        <v>0.29</v>
      </c>
      <c r="AI60" s="65">
        <v>0.29</v>
      </c>
      <c r="AJ60" s="65">
        <v>0.29</v>
      </c>
      <c r="AK60" s="65">
        <v>0.29</v>
      </c>
      <c r="AL60" s="65">
        <v>0.0</v>
      </c>
      <c r="AM60" s="65">
        <v>80972.0</v>
      </c>
      <c r="AN60" s="65">
        <v>80972.0</v>
      </c>
      <c r="AO60" s="65">
        <v>80972.0</v>
      </c>
      <c r="AP60" s="65">
        <v>0.0</v>
      </c>
      <c r="AQ60" s="65">
        <v>0.0</v>
      </c>
      <c r="AR60" s="65">
        <v>0.0</v>
      </c>
      <c r="AS60" s="65">
        <v>0.0</v>
      </c>
      <c r="AT60" s="65">
        <v>0.0</v>
      </c>
      <c r="AU60" s="65">
        <v>0.0</v>
      </c>
      <c r="AV60" s="65">
        <v>0.0</v>
      </c>
      <c r="AW60" s="65">
        <v>0.0</v>
      </c>
      <c r="AX60" s="65">
        <v>0.0</v>
      </c>
    </row>
    <row r="61" ht="15.75" customHeight="1">
      <c r="A61" s="140" t="s">
        <v>458</v>
      </c>
      <c r="B61" s="50" t="s">
        <v>1250</v>
      </c>
      <c r="C61" s="141">
        <v>3252353.0</v>
      </c>
      <c r="D61" s="141" t="s">
        <v>89</v>
      </c>
      <c r="E61" s="63" t="s">
        <v>91</v>
      </c>
      <c r="F61" s="63" t="s">
        <v>521</v>
      </c>
      <c r="G61" s="47" t="str">
        <f t="shared" si="1"/>
        <v>David</v>
      </c>
      <c r="H61" s="152" t="s">
        <v>224</v>
      </c>
      <c r="I61" s="49" t="s">
        <v>382</v>
      </c>
      <c r="J61" s="63" t="str">
        <f t="shared" si="4"/>
        <v>Não</v>
      </c>
      <c r="K61" s="143">
        <v>44322.0</v>
      </c>
      <c r="L61" s="143">
        <v>44512.0</v>
      </c>
      <c r="M61" s="81" t="s">
        <v>209</v>
      </c>
      <c r="N61" s="144">
        <v>0.015</v>
      </c>
      <c r="O61" s="141" t="s">
        <v>35</v>
      </c>
      <c r="P61" s="145">
        <v>0.1</v>
      </c>
      <c r="Q61" s="146"/>
      <c r="R61" s="158"/>
      <c r="S61" s="62" t="s">
        <v>194</v>
      </c>
      <c r="T61" s="22" t="s">
        <v>1258</v>
      </c>
      <c r="U61" s="164"/>
      <c r="V61" s="164"/>
      <c r="W61" s="164"/>
      <c r="X61" s="95" t="s">
        <v>221</v>
      </c>
      <c r="Y61" s="49" t="str">
        <f t="shared" si="3"/>
        <v>Encerrado</v>
      </c>
      <c r="Z61" s="150"/>
      <c r="AA61" s="150"/>
      <c r="AB61" s="81"/>
      <c r="AC61" s="81"/>
      <c r="AD61" s="151">
        <v>45659.0</v>
      </c>
      <c r="AE61" s="30">
        <v>4.9075100017158E13</v>
      </c>
      <c r="AF61" s="65">
        <v>0.0</v>
      </c>
      <c r="AG61" s="65">
        <v>0.0</v>
      </c>
      <c r="AH61" s="65">
        <v>0.0</v>
      </c>
      <c r="AI61" s="65">
        <v>0.0</v>
      </c>
      <c r="AJ61" s="65">
        <v>0.0</v>
      </c>
      <c r="AK61" s="65">
        <v>0.0</v>
      </c>
      <c r="AL61" s="65">
        <v>0.0</v>
      </c>
      <c r="AM61" s="65">
        <v>0.0</v>
      </c>
      <c r="AN61" s="65">
        <v>0.0</v>
      </c>
      <c r="AO61" s="65">
        <v>0.0</v>
      </c>
      <c r="AP61" s="65">
        <v>0.0</v>
      </c>
      <c r="AQ61" s="65">
        <v>0.0</v>
      </c>
      <c r="AR61" s="65">
        <v>0.0</v>
      </c>
      <c r="AS61" s="65">
        <v>0.0</v>
      </c>
      <c r="AT61" s="65">
        <v>0.0</v>
      </c>
      <c r="AU61" s="65">
        <v>0.0</v>
      </c>
      <c r="AV61" s="65">
        <v>0.0</v>
      </c>
      <c r="AW61" s="65">
        <v>0.0</v>
      </c>
      <c r="AX61" s="65">
        <v>0.0</v>
      </c>
    </row>
    <row r="62" ht="15.75" customHeight="1">
      <c r="A62" s="140" t="s">
        <v>458</v>
      </c>
      <c r="B62" s="50" t="s">
        <v>1264</v>
      </c>
      <c r="C62" s="141">
        <v>3252302.0</v>
      </c>
      <c r="D62" s="63" t="s">
        <v>120</v>
      </c>
      <c r="E62" s="63" t="s">
        <v>199</v>
      </c>
      <c r="F62" s="63" t="s">
        <v>212</v>
      </c>
      <c r="G62" s="47" t="str">
        <f t="shared" si="1"/>
        <v>David</v>
      </c>
      <c r="H62" s="142" t="s">
        <v>295</v>
      </c>
      <c r="I62" s="49" t="s">
        <v>382</v>
      </c>
      <c r="J62" s="63" t="str">
        <f t="shared" si="4"/>
        <v>Não</v>
      </c>
      <c r="K62" s="143">
        <v>43647.0</v>
      </c>
      <c r="L62" s="143"/>
      <c r="M62" s="81" t="s">
        <v>34</v>
      </c>
      <c r="N62" s="144">
        <v>0.005</v>
      </c>
      <c r="O62" s="141" t="s">
        <v>66</v>
      </c>
      <c r="P62" s="145">
        <v>0.0</v>
      </c>
      <c r="Q62" s="146"/>
      <c r="R62" s="153" t="s">
        <v>1269</v>
      </c>
      <c r="S62" s="62" t="s">
        <v>194</v>
      </c>
      <c r="T62" s="141" t="s">
        <v>1271</v>
      </c>
      <c r="U62" s="147" t="s">
        <v>1273</v>
      </c>
      <c r="V62" s="147" t="s">
        <v>1274</v>
      </c>
      <c r="W62" s="67">
        <v>18771.0</v>
      </c>
      <c r="X62" s="66" t="s">
        <v>199</v>
      </c>
      <c r="Y62" s="49" t="str">
        <f t="shared" si="3"/>
        <v>Ativo</v>
      </c>
      <c r="Z62" s="150"/>
      <c r="AA62" s="150"/>
      <c r="AB62" s="30"/>
      <c r="AC62" s="81"/>
      <c r="AD62" s="151">
        <v>45659.0</v>
      </c>
      <c r="AE62" s="30">
        <v>4.907510001736E13</v>
      </c>
      <c r="AF62" s="65">
        <v>15.79</v>
      </c>
      <c r="AG62" s="65">
        <v>15.79</v>
      </c>
      <c r="AH62" s="65">
        <v>15.79</v>
      </c>
      <c r="AI62" s="65">
        <v>15.79</v>
      </c>
      <c r="AJ62" s="65">
        <v>15.79</v>
      </c>
      <c r="AK62" s="65">
        <v>15.79</v>
      </c>
      <c r="AL62" s="65">
        <v>15.79</v>
      </c>
      <c r="AM62" s="65">
        <v>15.79</v>
      </c>
      <c r="AN62" s="65">
        <v>15.79</v>
      </c>
      <c r="AO62" s="65">
        <v>15.79</v>
      </c>
      <c r="AP62" s="65">
        <v>15.79</v>
      </c>
      <c r="AQ62" s="65">
        <v>15.79</v>
      </c>
      <c r="AR62" s="65">
        <v>15.79</v>
      </c>
      <c r="AS62" s="65">
        <v>0.0</v>
      </c>
      <c r="AT62" s="65">
        <v>0.0</v>
      </c>
      <c r="AU62" s="65">
        <v>0.0</v>
      </c>
      <c r="AV62" s="65">
        <v>0.0</v>
      </c>
      <c r="AW62" s="65">
        <v>0.0</v>
      </c>
      <c r="AX62" s="65">
        <v>0.0</v>
      </c>
    </row>
    <row r="63" ht="15.75" customHeight="1">
      <c r="A63" s="140" t="s">
        <v>458</v>
      </c>
      <c r="B63" s="50" t="s">
        <v>1275</v>
      </c>
      <c r="C63" s="141">
        <v>3252612.0</v>
      </c>
      <c r="D63" s="63" t="s">
        <v>669</v>
      </c>
      <c r="E63" s="63" t="s">
        <v>199</v>
      </c>
      <c r="F63" s="63" t="s">
        <v>1228</v>
      </c>
      <c r="G63" s="47" t="str">
        <f t="shared" si="1"/>
        <v>David</v>
      </c>
      <c r="H63" s="142" t="s">
        <v>295</v>
      </c>
      <c r="I63" s="74" t="s">
        <v>66</v>
      </c>
      <c r="J63" s="63" t="str">
        <f t="shared" si="4"/>
        <v>Não</v>
      </c>
      <c r="K63" s="143">
        <v>43922.0</v>
      </c>
      <c r="L63" s="143"/>
      <c r="M63" s="81" t="s">
        <v>34</v>
      </c>
      <c r="N63" s="144">
        <v>0.012</v>
      </c>
      <c r="O63" s="141" t="s">
        <v>66</v>
      </c>
      <c r="P63" s="145">
        <v>0.0</v>
      </c>
      <c r="Q63" s="146"/>
      <c r="R63" s="160"/>
      <c r="S63" s="62" t="s">
        <v>194</v>
      </c>
      <c r="T63" s="30" t="s">
        <v>1276</v>
      </c>
      <c r="U63" s="147" t="s">
        <v>1277</v>
      </c>
      <c r="V63" s="147" t="s">
        <v>1278</v>
      </c>
      <c r="W63" s="67">
        <v>20729.0</v>
      </c>
      <c r="X63" s="66" t="s">
        <v>199</v>
      </c>
      <c r="Y63" s="49" t="str">
        <f t="shared" si="3"/>
        <v>Ativo</v>
      </c>
      <c r="Z63" s="150"/>
      <c r="AA63" s="150"/>
      <c r="AB63" s="30"/>
      <c r="AC63" s="81"/>
      <c r="AD63" s="151">
        <v>45659.0</v>
      </c>
      <c r="AE63" s="30">
        <v>4.9075100016607E13</v>
      </c>
      <c r="AF63" s="65">
        <v>3614.44</v>
      </c>
      <c r="AG63" s="65">
        <v>2206.37</v>
      </c>
      <c r="AH63" s="65">
        <v>768.1</v>
      </c>
      <c r="AI63" s="65">
        <v>2147.03</v>
      </c>
      <c r="AJ63" s="65">
        <v>2147.03</v>
      </c>
      <c r="AK63" s="65">
        <v>2147.03</v>
      </c>
      <c r="AL63" s="65">
        <v>2147.03</v>
      </c>
      <c r="AM63" s="65">
        <v>2147.03</v>
      </c>
      <c r="AN63" s="65">
        <v>2147.03</v>
      </c>
      <c r="AO63" s="65">
        <v>2147.03</v>
      </c>
      <c r="AP63" s="65">
        <v>2147.03</v>
      </c>
      <c r="AQ63" s="65">
        <v>2147.03</v>
      </c>
      <c r="AR63" s="65">
        <v>2147.03</v>
      </c>
      <c r="AS63" s="65">
        <v>2147.03</v>
      </c>
      <c r="AT63" s="65">
        <v>2147.03</v>
      </c>
      <c r="AU63" s="65">
        <v>2147.03</v>
      </c>
      <c r="AV63" s="65">
        <v>2147.03</v>
      </c>
      <c r="AW63" s="65">
        <v>2147.03</v>
      </c>
      <c r="AX63" s="65">
        <v>2147.03</v>
      </c>
    </row>
    <row r="64" ht="15.75" customHeight="1">
      <c r="A64" s="140" t="s">
        <v>458</v>
      </c>
      <c r="B64" s="50" t="s">
        <v>1286</v>
      </c>
      <c r="C64" s="141">
        <v>3251845.0</v>
      </c>
      <c r="D64" s="141" t="s">
        <v>89</v>
      </c>
      <c r="E64" s="63" t="s">
        <v>91</v>
      </c>
      <c r="F64" s="63" t="s">
        <v>521</v>
      </c>
      <c r="G64" s="47" t="str">
        <f t="shared" si="1"/>
        <v>David</v>
      </c>
      <c r="H64" s="152" t="s">
        <v>224</v>
      </c>
      <c r="I64" s="49" t="s">
        <v>382</v>
      </c>
      <c r="J64" s="63" t="str">
        <f t="shared" si="4"/>
        <v>Não</v>
      </c>
      <c r="K64" s="143">
        <v>44627.0</v>
      </c>
      <c r="L64" s="143">
        <v>44637.0</v>
      </c>
      <c r="M64" s="81" t="s">
        <v>61</v>
      </c>
      <c r="N64" s="144">
        <v>0.007</v>
      </c>
      <c r="O64" s="141" t="s">
        <v>66</v>
      </c>
      <c r="P64" s="145">
        <v>0.0</v>
      </c>
      <c r="Q64" s="146"/>
      <c r="R64" s="70"/>
      <c r="S64" s="62" t="s">
        <v>194</v>
      </c>
      <c r="T64" s="22" t="s">
        <v>1289</v>
      </c>
      <c r="U64" s="164"/>
      <c r="V64" s="164"/>
      <c r="W64" s="164"/>
      <c r="X64" s="95" t="s">
        <v>475</v>
      </c>
      <c r="Y64" s="49" t="str">
        <f t="shared" si="3"/>
        <v>Encerrado</v>
      </c>
      <c r="Z64" s="150"/>
      <c r="AA64" s="150"/>
      <c r="AB64" s="30"/>
      <c r="AC64" s="81"/>
      <c r="AD64" s="151">
        <v>45659.0</v>
      </c>
      <c r="AE64" s="30">
        <v>4.9075100017093E13</v>
      </c>
      <c r="AF64" s="65">
        <v>0.0</v>
      </c>
      <c r="AG64" s="65">
        <v>0.0</v>
      </c>
      <c r="AH64" s="65">
        <v>0.0</v>
      </c>
      <c r="AI64" s="65">
        <v>0.0</v>
      </c>
      <c r="AJ64" s="65">
        <v>0.0</v>
      </c>
      <c r="AK64" s="65">
        <v>0.0</v>
      </c>
      <c r="AL64" s="65">
        <v>0.0</v>
      </c>
      <c r="AM64" s="65">
        <v>0.0</v>
      </c>
      <c r="AN64" s="65">
        <v>0.0</v>
      </c>
      <c r="AO64" s="65">
        <v>0.0</v>
      </c>
      <c r="AP64" s="65">
        <v>0.0</v>
      </c>
      <c r="AQ64" s="65">
        <v>0.0</v>
      </c>
      <c r="AR64" s="65">
        <v>0.0</v>
      </c>
      <c r="AS64" s="65">
        <v>0.0</v>
      </c>
      <c r="AT64" s="65">
        <v>0.0</v>
      </c>
      <c r="AU64" s="65">
        <v>0.0</v>
      </c>
      <c r="AV64" s="65">
        <v>0.0</v>
      </c>
      <c r="AW64" s="65">
        <v>0.0</v>
      </c>
      <c r="AX64" s="65">
        <v>0.0</v>
      </c>
    </row>
    <row r="65" ht="15.75" customHeight="1">
      <c r="A65" s="140" t="s">
        <v>458</v>
      </c>
      <c r="B65" s="50" t="s">
        <v>1290</v>
      </c>
      <c r="C65" s="141">
        <v>3252183.0</v>
      </c>
      <c r="D65" s="63" t="s">
        <v>1096</v>
      </c>
      <c r="E65" s="63" t="s">
        <v>199</v>
      </c>
      <c r="F65" s="63" t="s">
        <v>1096</v>
      </c>
      <c r="G65" s="47" t="str">
        <f t="shared" si="1"/>
        <v>Gabriel</v>
      </c>
      <c r="H65" s="142" t="s">
        <v>183</v>
      </c>
      <c r="I65" s="74" t="s">
        <v>66</v>
      </c>
      <c r="J65" s="63" t="str">
        <f t="shared" si="4"/>
        <v>Não</v>
      </c>
      <c r="K65" s="143">
        <v>43441.0</v>
      </c>
      <c r="L65" s="143"/>
      <c r="M65" s="81" t="s">
        <v>231</v>
      </c>
      <c r="N65" s="144">
        <v>0.01</v>
      </c>
      <c r="O65" s="141" t="s">
        <v>66</v>
      </c>
      <c r="P65" s="145">
        <v>0.0</v>
      </c>
      <c r="Q65" s="146"/>
      <c r="R65" s="158"/>
      <c r="S65" s="62" t="s">
        <v>194</v>
      </c>
      <c r="T65" s="141" t="s">
        <v>1295</v>
      </c>
      <c r="U65" s="147" t="s">
        <v>1296</v>
      </c>
      <c r="V65" s="147" t="s">
        <v>1297</v>
      </c>
      <c r="W65" s="67">
        <v>22041.0</v>
      </c>
      <c r="X65" s="66" t="s">
        <v>199</v>
      </c>
      <c r="Y65" s="49" t="str">
        <f t="shared" si="3"/>
        <v>Ativo</v>
      </c>
      <c r="Z65" s="150"/>
      <c r="AA65" s="150"/>
      <c r="AB65" s="30"/>
      <c r="AC65" s="81"/>
      <c r="AD65" s="151">
        <v>45659.0</v>
      </c>
      <c r="AE65" s="30">
        <v>4.9075100016852E13</v>
      </c>
      <c r="AF65" s="65">
        <v>208597.71</v>
      </c>
      <c r="AG65" s="65">
        <v>214172.02</v>
      </c>
      <c r="AH65" s="65">
        <v>211448.77</v>
      </c>
      <c r="AI65" s="65">
        <v>223019.97</v>
      </c>
      <c r="AJ65" s="65">
        <v>232242.93</v>
      </c>
      <c r="AK65" s="65">
        <v>238696.04</v>
      </c>
      <c r="AL65" s="65">
        <v>247032.89</v>
      </c>
      <c r="AM65" s="65">
        <v>241459.01</v>
      </c>
      <c r="AN65" s="65">
        <v>235548.42</v>
      </c>
      <c r="AO65" s="65">
        <v>258992.33</v>
      </c>
      <c r="AP65" s="65">
        <v>262997.34</v>
      </c>
      <c r="AQ65" s="65">
        <v>272470.12</v>
      </c>
      <c r="AR65" s="65">
        <v>279580.57</v>
      </c>
      <c r="AS65" s="65">
        <v>310469.24</v>
      </c>
      <c r="AT65" s="65">
        <v>320511.72</v>
      </c>
      <c r="AU65" s="65">
        <v>315419.45</v>
      </c>
      <c r="AV65" s="65">
        <v>312808.5</v>
      </c>
      <c r="AW65" s="65">
        <v>301534.42</v>
      </c>
      <c r="AX65" s="65">
        <v>305064.88</v>
      </c>
    </row>
    <row r="66" ht="15.75" customHeight="1">
      <c r="A66" s="140" t="s">
        <v>458</v>
      </c>
      <c r="B66" s="50" t="s">
        <v>1301</v>
      </c>
      <c r="C66" s="141">
        <v>3252132.0</v>
      </c>
      <c r="D66" s="63" t="s">
        <v>120</v>
      </c>
      <c r="E66" s="63" t="s">
        <v>199</v>
      </c>
      <c r="F66" s="63" t="s">
        <v>290</v>
      </c>
      <c r="G66" s="47" t="str">
        <f t="shared" si="1"/>
        <v>Gabriel</v>
      </c>
      <c r="H66" s="142" t="s">
        <v>183</v>
      </c>
      <c r="I66" s="74" t="s">
        <v>66</v>
      </c>
      <c r="J66" s="63" t="str">
        <f t="shared" si="4"/>
        <v>Não</v>
      </c>
      <c r="K66" s="143">
        <v>45013.0</v>
      </c>
      <c r="L66" s="81"/>
      <c r="M66" s="81" t="s">
        <v>61</v>
      </c>
      <c r="N66" s="144">
        <v>0.01</v>
      </c>
      <c r="O66" s="141" t="s">
        <v>66</v>
      </c>
      <c r="P66" s="145">
        <v>0.0</v>
      </c>
      <c r="Q66" s="146"/>
      <c r="R66" s="158"/>
      <c r="S66" s="62" t="s">
        <v>194</v>
      </c>
      <c r="T66" s="30" t="s">
        <v>1306</v>
      </c>
      <c r="U66" s="147" t="s">
        <v>1307</v>
      </c>
      <c r="V66" s="147" t="s">
        <v>1308</v>
      </c>
      <c r="W66" s="67">
        <v>30734.0</v>
      </c>
      <c r="X66" s="30" t="s">
        <v>622</v>
      </c>
      <c r="Y66" s="49" t="str">
        <f t="shared" si="3"/>
        <v>Ativo</v>
      </c>
      <c r="Z66" s="150"/>
      <c r="AA66" s="150"/>
      <c r="AB66" s="30"/>
      <c r="AC66" s="81"/>
      <c r="AD66" s="151">
        <v>45659.0</v>
      </c>
      <c r="AE66" s="30">
        <v>4.9075100016925E13</v>
      </c>
      <c r="AF66" s="65">
        <v>334508.8</v>
      </c>
      <c r="AG66" s="65">
        <v>382990.93</v>
      </c>
      <c r="AH66" s="65">
        <v>386044.91</v>
      </c>
      <c r="AI66" s="65">
        <v>381915.26</v>
      </c>
      <c r="AJ66" s="65">
        <v>385696.14</v>
      </c>
      <c r="AK66" s="65">
        <v>389619.85</v>
      </c>
      <c r="AL66" s="65">
        <v>393098.91</v>
      </c>
      <c r="AM66" s="65">
        <v>397600.68</v>
      </c>
      <c r="AN66" s="65">
        <v>397116.33</v>
      </c>
      <c r="AO66" s="65">
        <v>401087.31</v>
      </c>
      <c r="AP66" s="65">
        <v>401596.52</v>
      </c>
      <c r="AQ66" s="65">
        <v>397162.62</v>
      </c>
      <c r="AR66" s="65">
        <v>367338.26</v>
      </c>
      <c r="AS66" s="65">
        <v>365910.93</v>
      </c>
      <c r="AT66" s="65">
        <v>364063.25</v>
      </c>
      <c r="AU66" s="65">
        <v>361585.18</v>
      </c>
      <c r="AV66" s="65">
        <v>365440.32</v>
      </c>
      <c r="AW66" s="65">
        <v>360854.39</v>
      </c>
      <c r="AX66" s="65">
        <v>365024.06</v>
      </c>
    </row>
    <row r="67" ht="15.75" customHeight="1">
      <c r="A67" s="140" t="s">
        <v>458</v>
      </c>
      <c r="B67" s="50" t="s">
        <v>1321</v>
      </c>
      <c r="C67" s="141">
        <v>3251977.0</v>
      </c>
      <c r="D67" s="141" t="s">
        <v>89</v>
      </c>
      <c r="E67" s="63" t="s">
        <v>91</v>
      </c>
      <c r="F67" s="63" t="s">
        <v>521</v>
      </c>
      <c r="G67" s="47" t="str">
        <f t="shared" si="1"/>
        <v>David</v>
      </c>
      <c r="H67" s="152" t="s">
        <v>295</v>
      </c>
      <c r="I67" s="49" t="s">
        <v>382</v>
      </c>
      <c r="J67" s="63" t="str">
        <f t="shared" si="4"/>
        <v>Sim</v>
      </c>
      <c r="K67" s="143">
        <v>44263.0</v>
      </c>
      <c r="L67" s="81"/>
      <c r="M67" s="81" t="s">
        <v>209</v>
      </c>
      <c r="N67" s="144">
        <v>0.015</v>
      </c>
      <c r="O67" s="141" t="s">
        <v>35</v>
      </c>
      <c r="P67" s="145">
        <v>0.1</v>
      </c>
      <c r="Q67" s="146" t="s">
        <v>1322</v>
      </c>
      <c r="R67" s="158"/>
      <c r="S67" s="62" t="s">
        <v>194</v>
      </c>
      <c r="T67" s="141" t="s">
        <v>1324</v>
      </c>
      <c r="U67" s="147" t="s">
        <v>1325</v>
      </c>
      <c r="V67" s="147" t="s">
        <v>1326</v>
      </c>
      <c r="W67" s="67">
        <v>30811.0</v>
      </c>
      <c r="X67" s="95" t="s">
        <v>221</v>
      </c>
      <c r="Y67" s="49" t="str">
        <f t="shared" si="3"/>
        <v>Ativo</v>
      </c>
      <c r="Z67" s="150"/>
      <c r="AA67" s="150"/>
      <c r="AB67" s="30"/>
      <c r="AC67" s="81"/>
      <c r="AD67" s="151">
        <v>45659.0</v>
      </c>
      <c r="AE67" s="30">
        <v>4.9075100017476E13</v>
      </c>
      <c r="AF67" s="65">
        <v>282.82</v>
      </c>
      <c r="AG67" s="65">
        <v>282.82</v>
      </c>
      <c r="AH67" s="65">
        <v>282.82</v>
      </c>
      <c r="AI67" s="65">
        <v>282.82</v>
      </c>
      <c r="AJ67" s="65">
        <v>282.82</v>
      </c>
      <c r="AK67" s="65">
        <v>282.82</v>
      </c>
      <c r="AL67" s="65">
        <v>282.82</v>
      </c>
      <c r="AM67" s="65">
        <v>282.82</v>
      </c>
      <c r="AN67" s="65">
        <v>282.82</v>
      </c>
      <c r="AO67" s="65">
        <v>282.82</v>
      </c>
      <c r="AP67" s="65">
        <v>282.82</v>
      </c>
      <c r="AQ67" s="65">
        <v>282.82</v>
      </c>
      <c r="AR67" s="65">
        <v>282.82</v>
      </c>
      <c r="AS67" s="65">
        <v>0.0</v>
      </c>
      <c r="AT67" s="65">
        <v>0.0</v>
      </c>
      <c r="AU67" s="65">
        <v>0.0</v>
      </c>
      <c r="AV67" s="65">
        <v>0.0</v>
      </c>
      <c r="AW67" s="65">
        <v>0.0</v>
      </c>
      <c r="AX67" s="65">
        <v>0.0</v>
      </c>
    </row>
    <row r="68" ht="15.75" customHeight="1">
      <c r="A68" s="140" t="s">
        <v>458</v>
      </c>
      <c r="B68" s="50" t="s">
        <v>1331</v>
      </c>
      <c r="C68" s="141">
        <v>3252035.0</v>
      </c>
      <c r="D68" s="141" t="s">
        <v>89</v>
      </c>
      <c r="E68" s="63" t="s">
        <v>91</v>
      </c>
      <c r="F68" s="63" t="s">
        <v>521</v>
      </c>
      <c r="G68" s="47" t="str">
        <f t="shared" si="1"/>
        <v>David</v>
      </c>
      <c r="H68" s="142" t="s">
        <v>295</v>
      </c>
      <c r="I68" s="49" t="s">
        <v>382</v>
      </c>
      <c r="J68" s="63" t="str">
        <f t="shared" si="4"/>
        <v>Sim</v>
      </c>
      <c r="K68" s="143">
        <v>44781.0</v>
      </c>
      <c r="L68" s="81"/>
      <c r="M68" s="81" t="s">
        <v>61</v>
      </c>
      <c r="N68" s="144">
        <v>0.01</v>
      </c>
      <c r="O68" s="141" t="s">
        <v>66</v>
      </c>
      <c r="P68" s="145">
        <v>0.0</v>
      </c>
      <c r="Q68" s="146" t="s">
        <v>1322</v>
      </c>
      <c r="R68" s="158"/>
      <c r="S68" s="62" t="s">
        <v>194</v>
      </c>
      <c r="T68" s="30" t="s">
        <v>1324</v>
      </c>
      <c r="U68" s="147" t="s">
        <v>1325</v>
      </c>
      <c r="V68" s="147" t="s">
        <v>1326</v>
      </c>
      <c r="W68" s="67">
        <v>30811.0</v>
      </c>
      <c r="X68" s="30" t="s">
        <v>221</v>
      </c>
      <c r="Y68" s="49" t="str">
        <f t="shared" si="3"/>
        <v>Ativo</v>
      </c>
      <c r="Z68" s="150"/>
      <c r="AA68" s="150"/>
      <c r="AB68" s="30"/>
      <c r="AC68" s="81"/>
      <c r="AD68" s="151">
        <v>45659.0</v>
      </c>
      <c r="AE68" s="30">
        <v>4.9075100017311E13</v>
      </c>
      <c r="AF68" s="65">
        <v>0.54</v>
      </c>
      <c r="AG68" s="65">
        <v>0.54</v>
      </c>
      <c r="AH68" s="65">
        <v>0.54</v>
      </c>
      <c r="AI68" s="65">
        <v>0.54</v>
      </c>
      <c r="AJ68" s="65">
        <v>0.54</v>
      </c>
      <c r="AK68" s="65">
        <v>0.54</v>
      </c>
      <c r="AL68" s="65">
        <v>0.54</v>
      </c>
      <c r="AM68" s="65">
        <v>0.54</v>
      </c>
      <c r="AN68" s="65">
        <v>0.54</v>
      </c>
      <c r="AO68" s="65">
        <v>0.54</v>
      </c>
      <c r="AP68" s="65">
        <v>0.54</v>
      </c>
      <c r="AQ68" s="65">
        <v>0.54</v>
      </c>
      <c r="AR68" s="65">
        <v>0.54</v>
      </c>
      <c r="AS68" s="65">
        <v>0.0</v>
      </c>
      <c r="AT68" s="65">
        <v>0.0</v>
      </c>
      <c r="AU68" s="65">
        <v>0.0</v>
      </c>
      <c r="AV68" s="65">
        <v>0.0</v>
      </c>
      <c r="AW68" s="65">
        <v>0.0</v>
      </c>
      <c r="AX68" s="65">
        <v>0.0</v>
      </c>
    </row>
    <row r="69" ht="15.75" customHeight="1">
      <c r="A69" s="140" t="s">
        <v>458</v>
      </c>
      <c r="B69" s="50" t="s">
        <v>1338</v>
      </c>
      <c r="C69" s="141">
        <v>3252515.0</v>
      </c>
      <c r="D69" s="63" t="s">
        <v>120</v>
      </c>
      <c r="E69" s="63" t="s">
        <v>199</v>
      </c>
      <c r="F69" s="63" t="s">
        <v>1340</v>
      </c>
      <c r="G69" s="47" t="str">
        <f t="shared" si="1"/>
        <v>David</v>
      </c>
      <c r="H69" s="152" t="s">
        <v>224</v>
      </c>
      <c r="I69" s="49" t="s">
        <v>66</v>
      </c>
      <c r="J69" s="63" t="str">
        <f t="shared" si="4"/>
        <v>Não</v>
      </c>
      <c r="K69" s="143">
        <v>45021.0</v>
      </c>
      <c r="L69" s="151">
        <v>45874.0</v>
      </c>
      <c r="M69" s="81" t="s">
        <v>209</v>
      </c>
      <c r="N69" s="144">
        <v>0.015</v>
      </c>
      <c r="O69" s="141" t="s">
        <v>35</v>
      </c>
      <c r="P69" s="145">
        <v>0.1</v>
      </c>
      <c r="Q69" s="146"/>
      <c r="R69" s="70"/>
      <c r="S69" s="62" t="s">
        <v>194</v>
      </c>
      <c r="T69" s="22" t="s">
        <v>1341</v>
      </c>
      <c r="U69" s="147" t="s">
        <v>1342</v>
      </c>
      <c r="V69" s="147" t="s">
        <v>1343</v>
      </c>
      <c r="W69" s="67">
        <v>25645.0</v>
      </c>
      <c r="X69" s="22" t="s">
        <v>618</v>
      </c>
      <c r="Y69" s="49" t="str">
        <f t="shared" si="3"/>
        <v>Encerrado</v>
      </c>
      <c r="Z69" s="150"/>
      <c r="AA69" s="150"/>
      <c r="AB69" s="30"/>
      <c r="AC69" s="81"/>
      <c r="AD69" s="151">
        <v>45659.0</v>
      </c>
      <c r="AE69" s="30">
        <v>4.9075100016747E13</v>
      </c>
      <c r="AF69" s="65">
        <v>187481.92</v>
      </c>
      <c r="AG69" s="65">
        <v>174276.79</v>
      </c>
      <c r="AH69" s="65">
        <v>19.1</v>
      </c>
      <c r="AI69" s="65">
        <v>0.0</v>
      </c>
      <c r="AJ69" s="65">
        <v>0.0</v>
      </c>
      <c r="AK69" s="65">
        <v>0.0</v>
      </c>
      <c r="AL69" s="65">
        <v>0.0</v>
      </c>
      <c r="AM69" s="65">
        <v>5.79</v>
      </c>
      <c r="AN69" s="65">
        <v>5.79</v>
      </c>
      <c r="AO69" s="65">
        <v>5.79</v>
      </c>
      <c r="AP69" s="65">
        <v>5.79</v>
      </c>
      <c r="AQ69" s="65">
        <v>5.79</v>
      </c>
      <c r="AR69" s="65">
        <v>5.79</v>
      </c>
      <c r="AS69" s="65">
        <v>5.79</v>
      </c>
      <c r="AT69" s="65">
        <v>5.79</v>
      </c>
      <c r="AU69" s="65">
        <v>5.79</v>
      </c>
      <c r="AV69" s="65">
        <v>5.79</v>
      </c>
      <c r="AW69" s="65">
        <v>5.79</v>
      </c>
      <c r="AX69" s="65">
        <v>5.79</v>
      </c>
    </row>
    <row r="70" ht="15.75" customHeight="1">
      <c r="A70" s="140" t="s">
        <v>458</v>
      </c>
      <c r="B70" s="50" t="s">
        <v>1348</v>
      </c>
      <c r="C70" s="141">
        <v>3251861.0</v>
      </c>
      <c r="D70" s="141" t="s">
        <v>89</v>
      </c>
      <c r="E70" s="63" t="s">
        <v>91</v>
      </c>
      <c r="F70" s="63" t="s">
        <v>521</v>
      </c>
      <c r="G70" s="47" t="str">
        <f t="shared" si="1"/>
        <v>David</v>
      </c>
      <c r="H70" s="142" t="s">
        <v>295</v>
      </c>
      <c r="I70" s="49" t="s">
        <v>382</v>
      </c>
      <c r="J70" s="63" t="str">
        <f t="shared" si="4"/>
        <v>Não</v>
      </c>
      <c r="K70" s="143">
        <v>44266.0</v>
      </c>
      <c r="L70" s="81"/>
      <c r="M70" s="81" t="s">
        <v>34</v>
      </c>
      <c r="N70" s="144">
        <v>0.012</v>
      </c>
      <c r="O70" s="141" t="s">
        <v>66</v>
      </c>
      <c r="P70" s="145">
        <v>0.0</v>
      </c>
      <c r="Q70" s="146"/>
      <c r="R70" s="158"/>
      <c r="S70" s="62" t="s">
        <v>194</v>
      </c>
      <c r="T70" s="30" t="s">
        <v>1354</v>
      </c>
      <c r="U70" s="147" t="s">
        <v>605</v>
      </c>
      <c r="V70" s="147" t="s">
        <v>1355</v>
      </c>
      <c r="W70" s="67">
        <v>29351.0</v>
      </c>
      <c r="X70" s="95" t="s">
        <v>221</v>
      </c>
      <c r="Y70" s="49" t="str">
        <f t="shared" si="3"/>
        <v>Ativo</v>
      </c>
      <c r="Z70" s="150"/>
      <c r="AA70" s="150"/>
      <c r="AB70" s="30"/>
      <c r="AC70" s="81"/>
      <c r="AD70" s="151">
        <v>45659.0</v>
      </c>
      <c r="AE70" s="30">
        <v>4.9075100017387E13</v>
      </c>
      <c r="AF70" s="65">
        <v>31.04</v>
      </c>
      <c r="AG70" s="65">
        <v>31.04</v>
      </c>
      <c r="AH70" s="65">
        <v>31.04</v>
      </c>
      <c r="AI70" s="65">
        <v>31.04</v>
      </c>
      <c r="AJ70" s="65">
        <v>31.04</v>
      </c>
      <c r="AK70" s="65">
        <v>31.04</v>
      </c>
      <c r="AL70" s="65">
        <v>31.04</v>
      </c>
      <c r="AM70" s="65">
        <v>31.04</v>
      </c>
      <c r="AN70" s="65">
        <v>31.04</v>
      </c>
      <c r="AO70" s="65">
        <v>0.0</v>
      </c>
      <c r="AP70" s="65">
        <v>0.0</v>
      </c>
      <c r="AQ70" s="65">
        <v>0.0</v>
      </c>
      <c r="AR70" s="65">
        <v>0.0</v>
      </c>
      <c r="AS70" s="65">
        <v>0.0</v>
      </c>
      <c r="AT70" s="65">
        <v>0.0</v>
      </c>
      <c r="AU70" s="65">
        <v>0.0</v>
      </c>
      <c r="AV70" s="65">
        <v>0.0</v>
      </c>
      <c r="AW70" s="65">
        <v>0.0</v>
      </c>
      <c r="AX70" s="65">
        <v>0.0</v>
      </c>
    </row>
    <row r="71" ht="15.75" customHeight="1">
      <c r="A71" s="140" t="s">
        <v>458</v>
      </c>
      <c r="B71" s="50" t="s">
        <v>1356</v>
      </c>
      <c r="C71" s="141">
        <v>3251616.0</v>
      </c>
      <c r="D71" s="141" t="s">
        <v>89</v>
      </c>
      <c r="E71" s="63" t="s">
        <v>91</v>
      </c>
      <c r="F71" s="63" t="s">
        <v>884</v>
      </c>
      <c r="G71" s="47" t="str">
        <f t="shared" si="1"/>
        <v>David</v>
      </c>
      <c r="H71" s="161" t="s">
        <v>295</v>
      </c>
      <c r="I71" s="49" t="s">
        <v>382</v>
      </c>
      <c r="J71" s="63" t="str">
        <f t="shared" si="4"/>
        <v>Sim</v>
      </c>
      <c r="K71" s="143">
        <v>44599.0</v>
      </c>
      <c r="L71" s="81"/>
      <c r="M71" s="81" t="s">
        <v>61</v>
      </c>
      <c r="N71" s="144">
        <v>0.007</v>
      </c>
      <c r="O71" s="141" t="s">
        <v>66</v>
      </c>
      <c r="P71" s="145">
        <v>0.0</v>
      </c>
      <c r="Q71" s="146" t="s">
        <v>1362</v>
      </c>
      <c r="R71" s="158"/>
      <c r="S71" s="62" t="s">
        <v>194</v>
      </c>
      <c r="T71" s="22" t="s">
        <v>1363</v>
      </c>
      <c r="U71" s="164"/>
      <c r="V71" s="164"/>
      <c r="W71" s="164"/>
      <c r="X71" s="95" t="s">
        <v>475</v>
      </c>
      <c r="Y71" s="49" t="str">
        <f t="shared" si="3"/>
        <v>Inativo</v>
      </c>
      <c r="Z71" s="150"/>
      <c r="AA71" s="150"/>
      <c r="AB71" s="30"/>
      <c r="AC71" s="81"/>
      <c r="AD71" s="151">
        <v>45659.0</v>
      </c>
      <c r="AE71" s="30">
        <v>4.9075100017085E13</v>
      </c>
      <c r="AF71" s="65">
        <v>0.0</v>
      </c>
      <c r="AG71" s="65">
        <v>0.0</v>
      </c>
      <c r="AH71" s="65">
        <v>0.0</v>
      </c>
      <c r="AI71" s="65">
        <v>0.0</v>
      </c>
      <c r="AJ71" s="65">
        <v>0.0</v>
      </c>
      <c r="AK71" s="65">
        <v>0.0</v>
      </c>
      <c r="AL71" s="65">
        <v>0.0</v>
      </c>
      <c r="AM71" s="65">
        <v>0.0</v>
      </c>
      <c r="AN71" s="65">
        <v>0.0</v>
      </c>
      <c r="AO71" s="65">
        <v>0.0</v>
      </c>
      <c r="AP71" s="65">
        <v>0.0</v>
      </c>
      <c r="AQ71" s="65">
        <v>0.0</v>
      </c>
      <c r="AR71" s="65">
        <v>0.0</v>
      </c>
      <c r="AS71" s="65">
        <v>0.0</v>
      </c>
      <c r="AT71" s="65">
        <v>0.0</v>
      </c>
      <c r="AU71" s="65">
        <v>0.0</v>
      </c>
      <c r="AV71" s="65">
        <v>0.0</v>
      </c>
      <c r="AW71" s="65">
        <v>0.0</v>
      </c>
      <c r="AX71" s="65">
        <v>0.0</v>
      </c>
    </row>
    <row r="72" ht="15.75" customHeight="1">
      <c r="A72" s="140" t="s">
        <v>458</v>
      </c>
      <c r="B72" s="50" t="s">
        <v>1356</v>
      </c>
      <c r="C72" s="141">
        <v>3251632.0</v>
      </c>
      <c r="D72" s="141" t="s">
        <v>89</v>
      </c>
      <c r="E72" s="63" t="s">
        <v>91</v>
      </c>
      <c r="F72" s="63" t="s">
        <v>884</v>
      </c>
      <c r="G72" s="47" t="str">
        <f t="shared" si="1"/>
        <v>David</v>
      </c>
      <c r="H72" s="142" t="s">
        <v>295</v>
      </c>
      <c r="I72" s="49" t="s">
        <v>382</v>
      </c>
      <c r="J72" s="63" t="str">
        <f t="shared" si="4"/>
        <v>Sim</v>
      </c>
      <c r="K72" s="143">
        <v>44677.0</v>
      </c>
      <c r="L72" s="81"/>
      <c r="M72" s="81" t="s">
        <v>61</v>
      </c>
      <c r="N72" s="144">
        <v>0.007</v>
      </c>
      <c r="O72" s="141" t="s">
        <v>66</v>
      </c>
      <c r="P72" s="145">
        <v>0.0</v>
      </c>
      <c r="Q72" s="146" t="s">
        <v>1362</v>
      </c>
      <c r="R72" s="158"/>
      <c r="S72" s="62" t="s">
        <v>194</v>
      </c>
      <c r="T72" s="22" t="s">
        <v>1363</v>
      </c>
      <c r="U72" s="164"/>
      <c r="V72" s="164"/>
      <c r="W72" s="164"/>
      <c r="X72" s="95" t="s">
        <v>475</v>
      </c>
      <c r="Y72" s="49" t="str">
        <f t="shared" si="3"/>
        <v>Inativo</v>
      </c>
      <c r="Z72" s="150"/>
      <c r="AA72" s="150"/>
      <c r="AB72" s="30"/>
      <c r="AC72" s="81"/>
      <c r="AD72" s="151">
        <v>45659.0</v>
      </c>
      <c r="AE72" s="30">
        <v>4.9075100017107E13</v>
      </c>
      <c r="AF72" s="65">
        <v>0.0</v>
      </c>
      <c r="AG72" s="65">
        <v>0.0</v>
      </c>
      <c r="AH72" s="65">
        <v>0.0</v>
      </c>
      <c r="AI72" s="65">
        <v>0.0</v>
      </c>
      <c r="AJ72" s="65">
        <v>0.0</v>
      </c>
      <c r="AK72" s="65">
        <v>0.0</v>
      </c>
      <c r="AL72" s="65">
        <v>0.0</v>
      </c>
      <c r="AM72" s="65">
        <v>0.0</v>
      </c>
      <c r="AN72" s="65">
        <v>0.0</v>
      </c>
      <c r="AO72" s="65">
        <v>0.0</v>
      </c>
      <c r="AP72" s="65">
        <v>0.0</v>
      </c>
      <c r="AQ72" s="65">
        <v>0.0</v>
      </c>
      <c r="AR72" s="65">
        <v>0.0</v>
      </c>
      <c r="AS72" s="65">
        <v>0.0</v>
      </c>
      <c r="AT72" s="65">
        <v>0.0</v>
      </c>
      <c r="AU72" s="65">
        <v>0.0</v>
      </c>
      <c r="AV72" s="65">
        <v>0.0</v>
      </c>
      <c r="AW72" s="65">
        <v>0.0</v>
      </c>
      <c r="AX72" s="65">
        <v>0.0</v>
      </c>
    </row>
    <row r="73" ht="15.75" customHeight="1">
      <c r="A73" s="140" t="s">
        <v>458</v>
      </c>
      <c r="B73" s="50" t="s">
        <v>1378</v>
      </c>
      <c r="C73" s="141">
        <v>3252337.0</v>
      </c>
      <c r="D73" s="63" t="s">
        <v>120</v>
      </c>
      <c r="E73" s="63" t="s">
        <v>199</v>
      </c>
      <c r="F73" s="63" t="s">
        <v>290</v>
      </c>
      <c r="G73" s="47" t="str">
        <f t="shared" si="1"/>
        <v>Marcus</v>
      </c>
      <c r="H73" s="142" t="s">
        <v>183</v>
      </c>
      <c r="I73" s="74" t="s">
        <v>66</v>
      </c>
      <c r="J73" s="63" t="str">
        <f t="shared" si="4"/>
        <v>Não</v>
      </c>
      <c r="K73" s="143">
        <v>45013.0</v>
      </c>
      <c r="L73" s="81"/>
      <c r="M73" s="81" t="s">
        <v>209</v>
      </c>
      <c r="N73" s="144">
        <v>0.015</v>
      </c>
      <c r="O73" s="141" t="s">
        <v>35</v>
      </c>
      <c r="P73" s="145">
        <v>0.1</v>
      </c>
      <c r="Q73" s="146"/>
      <c r="R73" s="158"/>
      <c r="S73" s="62" t="s">
        <v>194</v>
      </c>
      <c r="T73" s="30" t="s">
        <v>1380</v>
      </c>
      <c r="U73" s="147" t="s">
        <v>1381</v>
      </c>
      <c r="V73" s="147" t="s">
        <v>1382</v>
      </c>
      <c r="W73" s="67">
        <v>23401.0</v>
      </c>
      <c r="X73" s="30" t="s">
        <v>199</v>
      </c>
      <c r="Y73" s="49" t="str">
        <f t="shared" si="3"/>
        <v>Ativo</v>
      </c>
      <c r="Z73" s="150"/>
      <c r="AA73" s="150"/>
      <c r="AB73" s="30"/>
      <c r="AC73" s="81"/>
      <c r="AD73" s="151">
        <v>45659.0</v>
      </c>
      <c r="AE73" s="30">
        <v>4.9075100016941E13</v>
      </c>
      <c r="AF73" s="65">
        <v>967947.77</v>
      </c>
      <c r="AG73" s="65">
        <v>1209276.89</v>
      </c>
      <c r="AH73" s="65">
        <v>1187841.8</v>
      </c>
      <c r="AI73" s="65">
        <v>1231470.47</v>
      </c>
      <c r="AJ73" s="65">
        <v>1247792.14</v>
      </c>
      <c r="AK73" s="65">
        <v>1247615.38</v>
      </c>
      <c r="AL73" s="65">
        <v>1190084.67</v>
      </c>
      <c r="AM73" s="65">
        <v>1197715.79</v>
      </c>
      <c r="AN73" s="65">
        <v>1196949.43</v>
      </c>
      <c r="AO73" s="65">
        <v>1178107.16</v>
      </c>
      <c r="AP73" s="65">
        <v>1186978.09</v>
      </c>
      <c r="AQ73" s="65">
        <v>1204126.13</v>
      </c>
      <c r="AR73" s="65">
        <v>1219355.4</v>
      </c>
      <c r="AS73" s="65">
        <v>1258235.53</v>
      </c>
      <c r="AT73" s="65">
        <v>1278526.62</v>
      </c>
      <c r="AU73" s="65">
        <v>1284036.91</v>
      </c>
      <c r="AV73" s="65">
        <v>1289178.81</v>
      </c>
      <c r="AW73" s="65">
        <v>1280849.86</v>
      </c>
      <c r="AX73" s="65">
        <v>1291387.16</v>
      </c>
    </row>
    <row r="74" ht="15.75" customHeight="1">
      <c r="A74" s="140" t="s">
        <v>458</v>
      </c>
      <c r="B74" s="50" t="s">
        <v>1388</v>
      </c>
      <c r="C74" s="141">
        <v>3252671.0</v>
      </c>
      <c r="D74" s="63" t="s">
        <v>120</v>
      </c>
      <c r="E74" s="63" t="s">
        <v>199</v>
      </c>
      <c r="F74" s="63" t="s">
        <v>290</v>
      </c>
      <c r="G74" s="47" t="str">
        <f t="shared" si="1"/>
        <v>David</v>
      </c>
      <c r="H74" s="142" t="s">
        <v>183</v>
      </c>
      <c r="I74" s="74" t="s">
        <v>66</v>
      </c>
      <c r="J74" s="63" t="str">
        <f t="shared" si="4"/>
        <v>Sim</v>
      </c>
      <c r="K74" s="143">
        <v>44998.0</v>
      </c>
      <c r="L74" s="81"/>
      <c r="M74" s="81" t="s">
        <v>61</v>
      </c>
      <c r="N74" s="144">
        <v>0.012</v>
      </c>
      <c r="O74" s="141" t="s">
        <v>66</v>
      </c>
      <c r="P74" s="145">
        <v>0.0</v>
      </c>
      <c r="Q74" s="146" t="s">
        <v>1389</v>
      </c>
      <c r="R74" s="158"/>
      <c r="S74" s="62" t="s">
        <v>194</v>
      </c>
      <c r="T74" s="141" t="s">
        <v>1380</v>
      </c>
      <c r="U74" s="147" t="s">
        <v>1381</v>
      </c>
      <c r="V74" s="147" t="s">
        <v>1382</v>
      </c>
      <c r="W74" s="67">
        <v>23401.0</v>
      </c>
      <c r="X74" s="30" t="s">
        <v>199</v>
      </c>
      <c r="Y74" s="49" t="str">
        <f t="shared" si="3"/>
        <v>Ativo</v>
      </c>
      <c r="Z74" s="150"/>
      <c r="AA74" s="150"/>
      <c r="AB74" s="30"/>
      <c r="AC74" s="81"/>
      <c r="AD74" s="151">
        <v>45659.0</v>
      </c>
      <c r="AE74" s="30">
        <v>4.9075100016781E13</v>
      </c>
      <c r="AF74" s="65">
        <v>113925.38</v>
      </c>
      <c r="AG74" s="65">
        <v>115056.86</v>
      </c>
      <c r="AH74" s="65">
        <v>115802.73</v>
      </c>
      <c r="AI74" s="65">
        <v>116871.82</v>
      </c>
      <c r="AJ74" s="65">
        <v>115638.98</v>
      </c>
      <c r="AK74" s="65">
        <v>116922.59</v>
      </c>
      <c r="AL74" s="65">
        <v>117928.39</v>
      </c>
      <c r="AM74" s="65">
        <v>119270.66</v>
      </c>
      <c r="AN74" s="65">
        <v>120470.84</v>
      </c>
      <c r="AO74" s="65">
        <v>121761.47</v>
      </c>
      <c r="AP74" s="65">
        <v>123123.88</v>
      </c>
      <c r="AQ74" s="65">
        <v>123210.41</v>
      </c>
      <c r="AR74" s="65">
        <v>124569.16</v>
      </c>
      <c r="AS74" s="65">
        <v>125777.9</v>
      </c>
      <c r="AT74" s="65">
        <v>126886.32</v>
      </c>
      <c r="AU74" s="65">
        <v>128316.01</v>
      </c>
      <c r="AV74" s="65">
        <v>127932.21</v>
      </c>
      <c r="AW74" s="65">
        <v>129339.9</v>
      </c>
      <c r="AX74" s="65">
        <v>130249.42</v>
      </c>
    </row>
    <row r="75" ht="15.75" customHeight="1">
      <c r="A75" s="140" t="s">
        <v>458</v>
      </c>
      <c r="B75" s="50" t="s">
        <v>1398</v>
      </c>
      <c r="C75" s="141">
        <v>3252213.0</v>
      </c>
      <c r="D75" s="63" t="s">
        <v>120</v>
      </c>
      <c r="E75" s="63" t="s">
        <v>199</v>
      </c>
      <c r="F75" s="63" t="s">
        <v>1399</v>
      </c>
      <c r="G75" s="47" t="str">
        <f t="shared" si="1"/>
        <v>David</v>
      </c>
      <c r="H75" s="142" t="s">
        <v>295</v>
      </c>
      <c r="I75" s="49" t="s">
        <v>382</v>
      </c>
      <c r="J75" s="63" t="str">
        <f t="shared" si="4"/>
        <v>Sim</v>
      </c>
      <c r="K75" s="143">
        <v>43620.0</v>
      </c>
      <c r="L75" s="81"/>
      <c r="M75" s="81" t="s">
        <v>209</v>
      </c>
      <c r="N75" s="144">
        <v>0.015</v>
      </c>
      <c r="O75" s="141" t="s">
        <v>66</v>
      </c>
      <c r="P75" s="145">
        <v>0.0</v>
      </c>
      <c r="Q75" s="146" t="s">
        <v>1402</v>
      </c>
      <c r="R75" s="153" t="s">
        <v>642</v>
      </c>
      <c r="S75" s="62" t="s">
        <v>194</v>
      </c>
      <c r="T75" s="141" t="s">
        <v>1403</v>
      </c>
      <c r="U75" s="147" t="s">
        <v>1404</v>
      </c>
      <c r="V75" s="147" t="s">
        <v>1405</v>
      </c>
      <c r="W75" s="67">
        <v>31878.0</v>
      </c>
      <c r="X75" s="81" t="s">
        <v>199</v>
      </c>
      <c r="Y75" s="49" t="str">
        <f t="shared" si="3"/>
        <v>Ativo</v>
      </c>
      <c r="Z75" s="150"/>
      <c r="AA75" s="150"/>
      <c r="AB75" s="30"/>
      <c r="AC75" s="81"/>
      <c r="AD75" s="151">
        <v>45659.0</v>
      </c>
      <c r="AE75" s="30">
        <v>4.9075100017042E13</v>
      </c>
      <c r="AF75" s="65">
        <v>0.51</v>
      </c>
      <c r="AG75" s="65">
        <v>0.51</v>
      </c>
      <c r="AH75" s="65">
        <v>0.51</v>
      </c>
      <c r="AI75" s="65">
        <v>0.51</v>
      </c>
      <c r="AJ75" s="65">
        <v>0.51</v>
      </c>
      <c r="AK75" s="65">
        <v>0.51</v>
      </c>
      <c r="AL75" s="65">
        <v>0.51</v>
      </c>
      <c r="AM75" s="65">
        <v>0.51</v>
      </c>
      <c r="AN75" s="65">
        <v>0.51</v>
      </c>
      <c r="AO75" s="65">
        <v>0.0</v>
      </c>
      <c r="AP75" s="65">
        <v>0.0</v>
      </c>
      <c r="AQ75" s="65">
        <v>0.0</v>
      </c>
      <c r="AR75" s="65">
        <v>0.0</v>
      </c>
      <c r="AS75" s="65">
        <v>0.0</v>
      </c>
      <c r="AT75" s="65">
        <v>0.0</v>
      </c>
      <c r="AU75" s="65">
        <v>0.0</v>
      </c>
      <c r="AV75" s="65">
        <v>0.0</v>
      </c>
      <c r="AW75" s="65">
        <v>0.0</v>
      </c>
      <c r="AX75" s="65">
        <v>0.0</v>
      </c>
    </row>
    <row r="76" ht="15.75" customHeight="1">
      <c r="A76" s="140" t="s">
        <v>458</v>
      </c>
      <c r="B76" s="50" t="s">
        <v>1409</v>
      </c>
      <c r="C76" s="141">
        <v>3258475.0</v>
      </c>
      <c r="D76" s="141" t="s">
        <v>89</v>
      </c>
      <c r="E76" s="63" t="s">
        <v>91</v>
      </c>
      <c r="F76" s="63" t="s">
        <v>521</v>
      </c>
      <c r="G76" s="47" t="str">
        <f t="shared" si="1"/>
        <v>David</v>
      </c>
      <c r="H76" s="152" t="s">
        <v>295</v>
      </c>
      <c r="I76" s="49" t="s">
        <v>382</v>
      </c>
      <c r="J76" s="63" t="str">
        <f t="shared" si="4"/>
        <v>Não</v>
      </c>
      <c r="K76" s="143">
        <v>44319.0</v>
      </c>
      <c r="L76" s="81"/>
      <c r="M76" s="81" t="s">
        <v>361</v>
      </c>
      <c r="N76" s="144">
        <v>0.02</v>
      </c>
      <c r="O76" s="141" t="s">
        <v>35</v>
      </c>
      <c r="P76" s="145">
        <v>0.2</v>
      </c>
      <c r="Q76" s="146"/>
      <c r="R76" s="70"/>
      <c r="S76" s="62" t="s">
        <v>194</v>
      </c>
      <c r="T76" s="22" t="s">
        <v>1412</v>
      </c>
      <c r="U76" s="147" t="s">
        <v>1413</v>
      </c>
      <c r="V76" s="147" t="s">
        <v>1414</v>
      </c>
      <c r="W76" s="67">
        <v>35301.0</v>
      </c>
      <c r="X76" s="95" t="s">
        <v>221</v>
      </c>
      <c r="Y76" s="49" t="str">
        <f t="shared" si="3"/>
        <v>Ativo</v>
      </c>
      <c r="Z76" s="150"/>
      <c r="AA76" s="150"/>
      <c r="AB76" s="30"/>
      <c r="AC76" s="81"/>
      <c r="AD76" s="151">
        <v>45659.0</v>
      </c>
      <c r="AE76" s="30">
        <v>4.9075100017484E13</v>
      </c>
      <c r="AF76" s="65">
        <v>417.66</v>
      </c>
      <c r="AG76" s="65">
        <v>417.66</v>
      </c>
      <c r="AH76" s="65">
        <v>417.66</v>
      </c>
      <c r="AI76" s="65">
        <v>417.66</v>
      </c>
      <c r="AJ76" s="65">
        <v>417.66</v>
      </c>
      <c r="AK76" s="65">
        <v>417.66</v>
      </c>
      <c r="AL76" s="65">
        <v>417.66</v>
      </c>
      <c r="AM76" s="65">
        <v>417.66</v>
      </c>
      <c r="AN76" s="65">
        <v>417.66</v>
      </c>
      <c r="AO76" s="65">
        <v>417.66</v>
      </c>
      <c r="AP76" s="65">
        <v>417.66</v>
      </c>
      <c r="AQ76" s="65">
        <v>417.66</v>
      </c>
      <c r="AR76" s="65">
        <v>417.66</v>
      </c>
      <c r="AS76" s="65">
        <v>0.0</v>
      </c>
      <c r="AT76" s="65">
        <v>0.0</v>
      </c>
      <c r="AU76" s="65">
        <v>0.0</v>
      </c>
      <c r="AV76" s="65">
        <v>0.0</v>
      </c>
      <c r="AW76" s="65">
        <v>0.0</v>
      </c>
      <c r="AX76" s="65">
        <v>0.0</v>
      </c>
    </row>
    <row r="77" ht="15.75" customHeight="1">
      <c r="A77" s="140" t="s">
        <v>458</v>
      </c>
      <c r="B77" s="50" t="s">
        <v>1416</v>
      </c>
      <c r="C77" s="141">
        <v>3252426.0</v>
      </c>
      <c r="D77" s="63" t="s">
        <v>120</v>
      </c>
      <c r="E77" s="63" t="s">
        <v>199</v>
      </c>
      <c r="F77" s="141" t="s">
        <v>502</v>
      </c>
      <c r="G77" s="47" t="str">
        <f t="shared" si="1"/>
        <v>David</v>
      </c>
      <c r="H77" s="152" t="s">
        <v>295</v>
      </c>
      <c r="I77" s="49" t="s">
        <v>382</v>
      </c>
      <c r="J77" s="63" t="str">
        <f t="shared" si="4"/>
        <v>Não</v>
      </c>
      <c r="K77" s="143">
        <v>45013.0</v>
      </c>
      <c r="L77" s="81"/>
      <c r="M77" s="81" t="s">
        <v>231</v>
      </c>
      <c r="N77" s="144">
        <v>0.025</v>
      </c>
      <c r="O77" s="141" t="s">
        <v>233</v>
      </c>
      <c r="P77" s="145">
        <v>0.2</v>
      </c>
      <c r="Q77" s="146"/>
      <c r="R77" s="158"/>
      <c r="S77" s="62" t="s">
        <v>194</v>
      </c>
      <c r="T77" s="22" t="s">
        <v>1422</v>
      </c>
      <c r="U77" s="147" t="s">
        <v>1424</v>
      </c>
      <c r="V77" s="147" t="s">
        <v>1425</v>
      </c>
      <c r="W77" s="154">
        <v>33904.0</v>
      </c>
      <c r="X77" s="30" t="s">
        <v>397</v>
      </c>
      <c r="Y77" s="49" t="str">
        <f t="shared" si="3"/>
        <v>Ativo</v>
      </c>
      <c r="Z77" s="150"/>
      <c r="AA77" s="150"/>
      <c r="AB77" s="30"/>
      <c r="AC77" s="81"/>
      <c r="AD77" s="151">
        <v>45659.0</v>
      </c>
      <c r="AE77" s="30">
        <v>4.9075100017018E13</v>
      </c>
      <c r="AF77" s="65">
        <v>1245.91</v>
      </c>
      <c r="AG77" s="65">
        <v>1245.91</v>
      </c>
      <c r="AH77" s="65">
        <v>1245.91</v>
      </c>
      <c r="AI77" s="65">
        <v>1395.34</v>
      </c>
      <c r="AJ77" s="65">
        <v>1983.22</v>
      </c>
      <c r="AK77" s="65">
        <v>1983.22</v>
      </c>
      <c r="AL77" s="65">
        <v>1983.22</v>
      </c>
      <c r="AM77" s="65">
        <v>1983.22</v>
      </c>
      <c r="AN77" s="65">
        <v>1983.22</v>
      </c>
      <c r="AO77" s="65">
        <v>1983.22</v>
      </c>
      <c r="AP77" s="65">
        <v>1983.22</v>
      </c>
      <c r="AQ77" s="65">
        <v>1983.22</v>
      </c>
      <c r="AR77" s="65">
        <v>2564.9</v>
      </c>
      <c r="AS77" s="65">
        <v>2559.62</v>
      </c>
      <c r="AT77" s="65">
        <v>2554.35</v>
      </c>
      <c r="AU77" s="65">
        <v>2549.09</v>
      </c>
      <c r="AV77" s="65">
        <v>2543.83</v>
      </c>
      <c r="AW77" s="65">
        <v>2538.59</v>
      </c>
      <c r="AX77" s="65">
        <v>2533.36</v>
      </c>
    </row>
    <row r="78" ht="15.75" customHeight="1">
      <c r="A78" s="140" t="s">
        <v>458</v>
      </c>
      <c r="B78" s="50" t="s">
        <v>1416</v>
      </c>
      <c r="C78" s="141">
        <v>3252442.0</v>
      </c>
      <c r="D78" s="63" t="s">
        <v>120</v>
      </c>
      <c r="E78" s="63" t="s">
        <v>199</v>
      </c>
      <c r="F78" s="141" t="s">
        <v>502</v>
      </c>
      <c r="G78" s="47" t="str">
        <f t="shared" si="1"/>
        <v>David</v>
      </c>
      <c r="H78" s="142" t="s">
        <v>295</v>
      </c>
      <c r="I78" s="49" t="s">
        <v>382</v>
      </c>
      <c r="J78" s="63" t="str">
        <f t="shared" si="4"/>
        <v>Não</v>
      </c>
      <c r="K78" s="143">
        <v>45013.0</v>
      </c>
      <c r="L78" s="81"/>
      <c r="M78" s="81" t="s">
        <v>61</v>
      </c>
      <c r="N78" s="144">
        <v>0.01</v>
      </c>
      <c r="O78" s="141" t="s">
        <v>66</v>
      </c>
      <c r="P78" s="145">
        <v>0.0</v>
      </c>
      <c r="Q78" s="146"/>
      <c r="R78" s="158"/>
      <c r="S78" s="62" t="s">
        <v>194</v>
      </c>
      <c r="T78" s="22" t="s">
        <v>1422</v>
      </c>
      <c r="U78" s="147" t="s">
        <v>1424</v>
      </c>
      <c r="V78" s="147" t="s">
        <v>1425</v>
      </c>
      <c r="W78" s="154">
        <v>33904.0</v>
      </c>
      <c r="X78" s="30" t="s">
        <v>397</v>
      </c>
      <c r="Y78" s="49" t="str">
        <f t="shared" si="3"/>
        <v>Ativo</v>
      </c>
      <c r="Z78" s="150"/>
      <c r="AA78" s="150"/>
      <c r="AB78" s="30"/>
      <c r="AC78" s="81"/>
      <c r="AD78" s="151">
        <v>45659.0</v>
      </c>
      <c r="AE78" s="30">
        <v>4.9075100017506E13</v>
      </c>
      <c r="AF78" s="65">
        <v>0.0</v>
      </c>
      <c r="AG78" s="65">
        <v>1.6</v>
      </c>
      <c r="AH78" s="65">
        <v>1.6</v>
      </c>
      <c r="AI78" s="65">
        <v>1.6</v>
      </c>
      <c r="AJ78" s="65">
        <v>1.6</v>
      </c>
      <c r="AK78" s="65">
        <v>1.6</v>
      </c>
      <c r="AL78" s="65">
        <v>1.6</v>
      </c>
      <c r="AM78" s="65">
        <v>1.6</v>
      </c>
      <c r="AN78" s="65">
        <v>1.6</v>
      </c>
      <c r="AO78" s="65">
        <v>1.6</v>
      </c>
      <c r="AP78" s="65">
        <v>1.6</v>
      </c>
      <c r="AQ78" s="65">
        <v>1.6</v>
      </c>
      <c r="AR78" s="65">
        <v>1.6</v>
      </c>
      <c r="AS78" s="65">
        <v>0.0</v>
      </c>
      <c r="AT78" s="65">
        <v>0.0</v>
      </c>
      <c r="AU78" s="65">
        <v>0.0</v>
      </c>
      <c r="AV78" s="65">
        <v>0.0</v>
      </c>
      <c r="AW78" s="65">
        <v>0.0</v>
      </c>
      <c r="AX78" s="65">
        <v>0.0</v>
      </c>
    </row>
    <row r="79" ht="15.75" customHeight="1">
      <c r="A79" s="140" t="s">
        <v>458</v>
      </c>
      <c r="B79" s="50" t="s">
        <v>1432</v>
      </c>
      <c r="C79" s="141">
        <v>3252256.0</v>
      </c>
      <c r="D79" s="141" t="s">
        <v>89</v>
      </c>
      <c r="E79" s="63" t="s">
        <v>91</v>
      </c>
      <c r="F79" s="63" t="s">
        <v>193</v>
      </c>
      <c r="G79" s="47" t="str">
        <f t="shared" si="1"/>
        <v>David</v>
      </c>
      <c r="H79" s="142" t="s">
        <v>295</v>
      </c>
      <c r="I79" s="49" t="s">
        <v>382</v>
      </c>
      <c r="J79" s="63" t="str">
        <f t="shared" si="4"/>
        <v>Não</v>
      </c>
      <c r="K79" s="143">
        <v>44389.0</v>
      </c>
      <c r="L79" s="81"/>
      <c r="M79" s="81" t="s">
        <v>209</v>
      </c>
      <c r="N79" s="144">
        <v>0.015</v>
      </c>
      <c r="O79" s="141" t="s">
        <v>35</v>
      </c>
      <c r="P79" s="145">
        <v>0.1</v>
      </c>
      <c r="Q79" s="146"/>
      <c r="R79" s="70"/>
      <c r="S79" s="62" t="s">
        <v>194</v>
      </c>
      <c r="T79" s="22" t="s">
        <v>1437</v>
      </c>
      <c r="U79" s="147" t="s">
        <v>1439</v>
      </c>
      <c r="V79" s="147" t="s">
        <v>1441</v>
      </c>
      <c r="W79" s="67">
        <v>23442.0</v>
      </c>
      <c r="X79" s="62" t="s">
        <v>397</v>
      </c>
      <c r="Y79" s="49" t="str">
        <f t="shared" si="3"/>
        <v>Ativo</v>
      </c>
      <c r="Z79" s="150"/>
      <c r="AA79" s="150"/>
      <c r="AB79" s="30"/>
      <c r="AC79" s="81"/>
      <c r="AD79" s="151">
        <v>45659.0</v>
      </c>
      <c r="AE79" s="30">
        <v>4.9075100017492E13</v>
      </c>
      <c r="AF79" s="65">
        <v>0.0</v>
      </c>
      <c r="AG79" s="65">
        <v>1.03</v>
      </c>
      <c r="AH79" s="65">
        <v>1.03</v>
      </c>
      <c r="AI79" s="65">
        <v>1.03</v>
      </c>
      <c r="AJ79" s="65">
        <v>1.03</v>
      </c>
      <c r="AK79" s="65">
        <v>1.03</v>
      </c>
      <c r="AL79" s="65">
        <v>1.03</v>
      </c>
      <c r="AM79" s="65">
        <v>1.03</v>
      </c>
      <c r="AN79" s="65">
        <v>1.03</v>
      </c>
      <c r="AO79" s="65">
        <v>1.03</v>
      </c>
      <c r="AP79" s="65">
        <v>1.03</v>
      </c>
      <c r="AQ79" s="65">
        <v>1.03</v>
      </c>
      <c r="AR79" s="65">
        <v>1.03</v>
      </c>
      <c r="AS79" s="65">
        <v>0.0</v>
      </c>
      <c r="AT79" s="65">
        <v>0.0</v>
      </c>
      <c r="AU79" s="65">
        <v>0.0</v>
      </c>
      <c r="AV79" s="65">
        <v>0.0</v>
      </c>
      <c r="AW79" s="65">
        <v>0.0</v>
      </c>
      <c r="AX79" s="65">
        <v>0.0</v>
      </c>
    </row>
    <row r="80" ht="15.75" customHeight="1">
      <c r="A80" s="140" t="s">
        <v>458</v>
      </c>
      <c r="B80" s="50" t="s">
        <v>1451</v>
      </c>
      <c r="C80" s="141">
        <v>3252086.0</v>
      </c>
      <c r="D80" s="63" t="s">
        <v>120</v>
      </c>
      <c r="E80" s="63" t="s">
        <v>199</v>
      </c>
      <c r="F80" s="63" t="s">
        <v>290</v>
      </c>
      <c r="G80" s="47" t="str">
        <f t="shared" si="1"/>
        <v>David</v>
      </c>
      <c r="H80" s="239" t="s">
        <v>295</v>
      </c>
      <c r="I80" s="49" t="s">
        <v>382</v>
      </c>
      <c r="J80" s="63" t="str">
        <f t="shared" si="4"/>
        <v>Não</v>
      </c>
      <c r="K80" s="143">
        <v>43564.0</v>
      </c>
      <c r="L80" s="81"/>
      <c r="M80" s="81" t="s">
        <v>361</v>
      </c>
      <c r="N80" s="144">
        <v>0.02</v>
      </c>
      <c r="O80" s="141" t="s">
        <v>66</v>
      </c>
      <c r="P80" s="162">
        <v>0.0</v>
      </c>
      <c r="Q80" s="146"/>
      <c r="R80" s="153" t="s">
        <v>1453</v>
      </c>
      <c r="S80" s="62" t="s">
        <v>194</v>
      </c>
      <c r="T80" s="30" t="s">
        <v>1454</v>
      </c>
      <c r="U80" s="147" t="s">
        <v>1455</v>
      </c>
      <c r="V80" s="147" t="s">
        <v>1456</v>
      </c>
      <c r="W80" s="154">
        <v>32438.0</v>
      </c>
      <c r="X80" s="81" t="s">
        <v>199</v>
      </c>
      <c r="Y80" s="49" t="str">
        <f t="shared" si="3"/>
        <v>Ativo</v>
      </c>
      <c r="Z80" s="150"/>
      <c r="AA80" s="150"/>
      <c r="AB80" s="30"/>
      <c r="AC80" s="81"/>
      <c r="AD80" s="151">
        <v>45659.0</v>
      </c>
      <c r="AE80" s="30">
        <v>4.9075100017425E13</v>
      </c>
      <c r="AF80" s="65">
        <v>141.46</v>
      </c>
      <c r="AG80" s="65">
        <v>141.46</v>
      </c>
      <c r="AH80" s="65">
        <v>141.46</v>
      </c>
      <c r="AI80" s="65">
        <v>141.46</v>
      </c>
      <c r="AJ80" s="65">
        <v>151.18</v>
      </c>
      <c r="AK80" s="65">
        <v>151.18</v>
      </c>
      <c r="AL80" s="65">
        <v>151.18</v>
      </c>
      <c r="AM80" s="65">
        <v>151.18</v>
      </c>
      <c r="AN80" s="65">
        <v>151.18</v>
      </c>
      <c r="AO80" s="65">
        <v>0.0</v>
      </c>
      <c r="AP80" s="65">
        <v>0.0</v>
      </c>
      <c r="AQ80" s="65">
        <v>0.0</v>
      </c>
      <c r="AR80" s="65">
        <v>0.0</v>
      </c>
      <c r="AS80" s="65">
        <v>0.0</v>
      </c>
      <c r="AT80" s="65">
        <v>0.0</v>
      </c>
      <c r="AU80" s="65">
        <v>0.0</v>
      </c>
      <c r="AV80" s="65">
        <v>0.0</v>
      </c>
      <c r="AW80" s="65">
        <v>0.0</v>
      </c>
      <c r="AX80" s="65">
        <v>0.0</v>
      </c>
    </row>
    <row r="81" ht="15.75" customHeight="1">
      <c r="A81" s="140" t="s">
        <v>458</v>
      </c>
      <c r="B81" s="50" t="s">
        <v>1460</v>
      </c>
      <c r="C81" s="141">
        <v>3252191.0</v>
      </c>
      <c r="D81" s="63" t="s">
        <v>669</v>
      </c>
      <c r="E81" s="63" t="s">
        <v>199</v>
      </c>
      <c r="F81" s="63" t="s">
        <v>1228</v>
      </c>
      <c r="G81" s="47" t="str">
        <f t="shared" si="1"/>
        <v>David</v>
      </c>
      <c r="H81" s="142" t="s">
        <v>295</v>
      </c>
      <c r="I81" s="49" t="s">
        <v>382</v>
      </c>
      <c r="J81" s="63" t="str">
        <f t="shared" si="4"/>
        <v>Não</v>
      </c>
      <c r="K81" s="143">
        <v>43894.0</v>
      </c>
      <c r="L81" s="81"/>
      <c r="M81" s="81" t="s">
        <v>34</v>
      </c>
      <c r="N81" s="144">
        <v>0.012</v>
      </c>
      <c r="O81" s="141" t="s">
        <v>66</v>
      </c>
      <c r="P81" s="145">
        <v>0.0</v>
      </c>
      <c r="Q81" s="146"/>
      <c r="R81" s="158"/>
      <c r="S81" s="62" t="s">
        <v>194</v>
      </c>
      <c r="T81" s="30" t="s">
        <v>1461</v>
      </c>
      <c r="U81" s="147" t="s">
        <v>1462</v>
      </c>
      <c r="V81" s="147" t="s">
        <v>1463</v>
      </c>
      <c r="W81" s="67">
        <v>31953.0</v>
      </c>
      <c r="X81" s="81" t="s">
        <v>199</v>
      </c>
      <c r="Y81" s="49" t="str">
        <f t="shared" si="3"/>
        <v>Ativo</v>
      </c>
      <c r="Z81" s="150"/>
      <c r="AA81" s="150"/>
      <c r="AB81" s="30"/>
      <c r="AC81" s="81"/>
      <c r="AD81" s="151">
        <v>45659.0</v>
      </c>
      <c r="AE81" s="30">
        <v>4.9075100016976E13</v>
      </c>
      <c r="AF81" s="65">
        <v>0.0</v>
      </c>
      <c r="AG81" s="65">
        <v>0.9</v>
      </c>
      <c r="AH81" s="65">
        <v>0.9</v>
      </c>
      <c r="AI81" s="65">
        <v>0.9</v>
      </c>
      <c r="AJ81" s="65">
        <v>0.9</v>
      </c>
      <c r="AK81" s="65">
        <v>0.9</v>
      </c>
      <c r="AL81" s="65">
        <v>0.9</v>
      </c>
      <c r="AM81" s="65">
        <v>0.9</v>
      </c>
      <c r="AN81" s="65">
        <v>0.9</v>
      </c>
      <c r="AO81" s="65">
        <v>0.0</v>
      </c>
      <c r="AP81" s="65">
        <v>0.0</v>
      </c>
      <c r="AQ81" s="65">
        <v>0.0</v>
      </c>
      <c r="AR81" s="65">
        <v>0.0</v>
      </c>
      <c r="AS81" s="65">
        <v>0.0</v>
      </c>
      <c r="AT81" s="65">
        <v>0.0</v>
      </c>
      <c r="AU81" s="65">
        <v>0.0</v>
      </c>
      <c r="AV81" s="65">
        <v>0.0</v>
      </c>
      <c r="AW81" s="65">
        <v>0.0</v>
      </c>
      <c r="AX81" s="65">
        <v>0.0</v>
      </c>
    </row>
    <row r="82" ht="15.75" customHeight="1">
      <c r="A82" s="140" t="s">
        <v>458</v>
      </c>
      <c r="B82" s="50" t="s">
        <v>1465</v>
      </c>
      <c r="C82" s="141">
        <v>3252507.0</v>
      </c>
      <c r="D82" s="63" t="s">
        <v>669</v>
      </c>
      <c r="E82" s="63" t="s">
        <v>199</v>
      </c>
      <c r="F82" s="63" t="s">
        <v>1228</v>
      </c>
      <c r="G82" s="47" t="str">
        <f t="shared" si="1"/>
        <v>David</v>
      </c>
      <c r="H82" s="142" t="s">
        <v>183</v>
      </c>
      <c r="I82" s="74" t="s">
        <v>66</v>
      </c>
      <c r="J82" s="63" t="str">
        <f t="shared" si="4"/>
        <v>Não</v>
      </c>
      <c r="K82" s="143">
        <v>43867.0</v>
      </c>
      <c r="L82" s="81"/>
      <c r="M82" s="81" t="s">
        <v>34</v>
      </c>
      <c r="N82" s="144">
        <v>0.012</v>
      </c>
      <c r="O82" s="141" t="s">
        <v>66</v>
      </c>
      <c r="P82" s="145">
        <v>0.0</v>
      </c>
      <c r="Q82" s="146"/>
      <c r="R82" s="158" t="s">
        <v>1466</v>
      </c>
      <c r="S82" s="62" t="s">
        <v>194</v>
      </c>
      <c r="T82" s="30" t="s">
        <v>1467</v>
      </c>
      <c r="U82" s="147" t="s">
        <v>1469</v>
      </c>
      <c r="V82" s="147" t="s">
        <v>1470</v>
      </c>
      <c r="W82" s="154">
        <v>31341.0</v>
      </c>
      <c r="X82" s="81" t="s">
        <v>199</v>
      </c>
      <c r="Y82" s="49" t="str">
        <f t="shared" si="3"/>
        <v>Ativo</v>
      </c>
      <c r="Z82" s="150"/>
      <c r="AA82" s="150"/>
      <c r="AB82" s="30"/>
      <c r="AC82" s="81"/>
      <c r="AD82" s="151">
        <v>45659.0</v>
      </c>
      <c r="AE82" s="30">
        <v>4.9075100016615E13</v>
      </c>
      <c r="AF82" s="65">
        <v>3973.34</v>
      </c>
      <c r="AG82" s="65">
        <v>4283.49</v>
      </c>
      <c r="AH82" s="65">
        <v>4051.75</v>
      </c>
      <c r="AI82" s="65">
        <v>4415.12</v>
      </c>
      <c r="AJ82" s="65">
        <v>4876.08</v>
      </c>
      <c r="AK82" s="65">
        <v>5107.67</v>
      </c>
      <c r="AL82" s="65">
        <v>5107.67</v>
      </c>
      <c r="AM82" s="65">
        <v>5102.59</v>
      </c>
      <c r="AN82" s="65">
        <v>5097.52</v>
      </c>
      <c r="AO82" s="65">
        <v>5092.45</v>
      </c>
      <c r="AP82" s="65">
        <v>5087.39</v>
      </c>
      <c r="AQ82" s="65">
        <v>5094.01</v>
      </c>
      <c r="AR82" s="65">
        <v>5160.29</v>
      </c>
      <c r="AS82" s="65">
        <v>5208.16</v>
      </c>
      <c r="AT82" s="65">
        <v>5251.39</v>
      </c>
      <c r="AU82" s="65">
        <v>5309.63</v>
      </c>
      <c r="AV82" s="65">
        <v>5357.17</v>
      </c>
      <c r="AW82" s="65">
        <v>5403.12</v>
      </c>
      <c r="AX82" s="65">
        <v>5405.44</v>
      </c>
    </row>
    <row r="83" ht="15.75" customHeight="1">
      <c r="A83" s="140" t="s">
        <v>458</v>
      </c>
      <c r="B83" s="50" t="s">
        <v>1475</v>
      </c>
      <c r="C83" s="141">
        <v>3252159.0</v>
      </c>
      <c r="D83" s="63" t="s">
        <v>1096</v>
      </c>
      <c r="E83" s="63" t="s">
        <v>199</v>
      </c>
      <c r="F83" s="63" t="s">
        <v>1096</v>
      </c>
      <c r="G83" s="47" t="str">
        <f t="shared" si="1"/>
        <v>David</v>
      </c>
      <c r="H83" s="142" t="s">
        <v>183</v>
      </c>
      <c r="I83" s="74" t="s">
        <v>66</v>
      </c>
      <c r="J83" s="63" t="str">
        <f t="shared" si="4"/>
        <v>Não</v>
      </c>
      <c r="K83" s="143">
        <v>43416.0</v>
      </c>
      <c r="L83" s="81"/>
      <c r="M83" s="81" t="s">
        <v>231</v>
      </c>
      <c r="N83" s="144">
        <v>0.008</v>
      </c>
      <c r="O83" s="141" t="s">
        <v>66</v>
      </c>
      <c r="P83" s="145">
        <v>0.0</v>
      </c>
      <c r="Q83" s="146"/>
      <c r="R83" s="158"/>
      <c r="S83" s="62" t="s">
        <v>194</v>
      </c>
      <c r="T83" s="141" t="s">
        <v>1480</v>
      </c>
      <c r="U83" s="147" t="s">
        <v>1481</v>
      </c>
      <c r="V83" s="147" t="s">
        <v>1482</v>
      </c>
      <c r="W83" s="67">
        <v>22469.0</v>
      </c>
      <c r="X83" s="81" t="s">
        <v>199</v>
      </c>
      <c r="Y83" s="49" t="str">
        <f t="shared" si="3"/>
        <v>Ativo</v>
      </c>
      <c r="Z83" s="150"/>
      <c r="AA83" s="150"/>
      <c r="AB83" s="30"/>
      <c r="AC83" s="81"/>
      <c r="AD83" s="151">
        <v>45659.0</v>
      </c>
      <c r="AE83" s="30">
        <v>4.907510001672E13</v>
      </c>
      <c r="AF83" s="65">
        <v>81182.32</v>
      </c>
      <c r="AG83" s="65">
        <v>83345.88</v>
      </c>
      <c r="AH83" s="65">
        <v>82476.41</v>
      </c>
      <c r="AI83" s="65">
        <v>87036.95</v>
      </c>
      <c r="AJ83" s="65">
        <v>89257.67</v>
      </c>
      <c r="AK83" s="65">
        <v>91793.89</v>
      </c>
      <c r="AL83" s="65">
        <v>96038.28</v>
      </c>
      <c r="AM83" s="65">
        <v>21600.47</v>
      </c>
      <c r="AN83" s="65">
        <v>21824.44</v>
      </c>
      <c r="AO83" s="65">
        <v>22055.49</v>
      </c>
      <c r="AP83" s="65">
        <v>22300.92</v>
      </c>
      <c r="AQ83" s="65">
        <v>22299.96</v>
      </c>
      <c r="AR83" s="65">
        <v>22543.24</v>
      </c>
      <c r="AS83" s="65">
        <v>22760.51</v>
      </c>
      <c r="AT83" s="65">
        <v>22957.82</v>
      </c>
      <c r="AU83" s="65">
        <v>23209.44</v>
      </c>
      <c r="AV83" s="65">
        <v>23423.25</v>
      </c>
      <c r="AW83" s="65">
        <v>23632.68</v>
      </c>
      <c r="AX83" s="65">
        <v>23654.78</v>
      </c>
    </row>
    <row r="84" ht="15.75" customHeight="1">
      <c r="A84" s="140" t="s">
        <v>458</v>
      </c>
      <c r="B84" s="50" t="s">
        <v>1489</v>
      </c>
      <c r="C84" s="141">
        <v>3251934.0</v>
      </c>
      <c r="D84" s="141" t="s">
        <v>89</v>
      </c>
      <c r="E84" s="63" t="s">
        <v>91</v>
      </c>
      <c r="F84" s="63" t="s">
        <v>193</v>
      </c>
      <c r="G84" s="47" t="str">
        <f t="shared" si="1"/>
        <v>David</v>
      </c>
      <c r="H84" s="142" t="s">
        <v>295</v>
      </c>
      <c r="I84" s="49" t="s">
        <v>296</v>
      </c>
      <c r="J84" s="63" t="str">
        <f t="shared" si="4"/>
        <v>Não</v>
      </c>
      <c r="K84" s="143">
        <v>44319.0</v>
      </c>
      <c r="L84" s="81"/>
      <c r="M84" s="81" t="s">
        <v>209</v>
      </c>
      <c r="N84" s="144">
        <v>0.015</v>
      </c>
      <c r="O84" s="141" t="s">
        <v>35</v>
      </c>
      <c r="P84" s="145">
        <v>0.1</v>
      </c>
      <c r="Q84" s="146"/>
      <c r="R84" s="70" t="s">
        <v>1494</v>
      </c>
      <c r="S84" s="62" t="s">
        <v>194</v>
      </c>
      <c r="T84" s="22" t="s">
        <v>1495</v>
      </c>
      <c r="U84" s="147" t="s">
        <v>1496</v>
      </c>
      <c r="V84" s="147" t="s">
        <v>1497</v>
      </c>
      <c r="W84" s="67">
        <v>19139.0</v>
      </c>
      <c r="X84" s="95" t="s">
        <v>221</v>
      </c>
      <c r="Y84" s="49" t="str">
        <f t="shared" si="3"/>
        <v>Ativo</v>
      </c>
      <c r="Z84" s="150"/>
      <c r="AA84" s="150"/>
      <c r="AB84" s="30"/>
      <c r="AC84" s="81"/>
      <c r="AD84" s="151">
        <v>45659.0</v>
      </c>
      <c r="AE84" s="30">
        <v>4.9075100017271E13</v>
      </c>
      <c r="AF84" s="65">
        <v>0.19</v>
      </c>
      <c r="AG84" s="65">
        <v>0.19</v>
      </c>
      <c r="AH84" s="65">
        <v>0.19</v>
      </c>
      <c r="AI84" s="65">
        <v>0.19</v>
      </c>
      <c r="AJ84" s="65">
        <v>0.19</v>
      </c>
      <c r="AK84" s="65">
        <v>0.19</v>
      </c>
      <c r="AL84" s="65">
        <v>0.0</v>
      </c>
      <c r="AM84" s="65">
        <v>0.0</v>
      </c>
      <c r="AN84" s="65">
        <v>0.0</v>
      </c>
      <c r="AO84" s="65">
        <v>0.0</v>
      </c>
      <c r="AP84" s="65">
        <v>0.0</v>
      </c>
      <c r="AQ84" s="65">
        <v>0.0</v>
      </c>
      <c r="AR84" s="65">
        <v>0.0</v>
      </c>
      <c r="AS84" s="65">
        <v>0.0</v>
      </c>
      <c r="AT84" s="65">
        <v>0.0</v>
      </c>
      <c r="AU84" s="65">
        <v>0.0</v>
      </c>
      <c r="AV84" s="65">
        <v>0.0</v>
      </c>
      <c r="AW84" s="65">
        <v>0.0</v>
      </c>
      <c r="AX84" s="65">
        <v>0.0</v>
      </c>
    </row>
    <row r="85" ht="15.75" customHeight="1">
      <c r="A85" s="140" t="s">
        <v>458</v>
      </c>
      <c r="B85" s="50" t="s">
        <v>1500</v>
      </c>
      <c r="C85" s="141">
        <v>3251853.0</v>
      </c>
      <c r="D85" s="141" t="s">
        <v>89</v>
      </c>
      <c r="E85" s="63" t="s">
        <v>91</v>
      </c>
      <c r="F85" s="63" t="s">
        <v>521</v>
      </c>
      <c r="G85" s="47" t="str">
        <f t="shared" si="1"/>
        <v>David</v>
      </c>
      <c r="H85" s="142" t="s">
        <v>295</v>
      </c>
      <c r="I85" s="49" t="s">
        <v>382</v>
      </c>
      <c r="J85" s="63" t="str">
        <f t="shared" si="4"/>
        <v>Não</v>
      </c>
      <c r="K85" s="143">
        <v>45040.0</v>
      </c>
      <c r="L85" s="81"/>
      <c r="M85" s="81" t="s">
        <v>231</v>
      </c>
      <c r="N85" s="144">
        <v>0.025</v>
      </c>
      <c r="O85" s="141" t="s">
        <v>233</v>
      </c>
      <c r="P85" s="145">
        <v>0.2</v>
      </c>
      <c r="Q85" s="146"/>
      <c r="R85" s="158"/>
      <c r="S85" s="62" t="s">
        <v>194</v>
      </c>
      <c r="T85" s="22" t="s">
        <v>1502</v>
      </c>
      <c r="U85" s="197"/>
      <c r="V85" s="197"/>
      <c r="W85" s="197"/>
      <c r="X85" s="22" t="s">
        <v>221</v>
      </c>
      <c r="Y85" s="49" t="str">
        <f t="shared" si="3"/>
        <v>Inativo</v>
      </c>
      <c r="Z85" s="150"/>
      <c r="AA85" s="150"/>
      <c r="AB85" s="30"/>
      <c r="AC85" s="81"/>
      <c r="AD85" s="151">
        <v>45659.0</v>
      </c>
      <c r="AE85" s="30">
        <v>4.9075100017204E13</v>
      </c>
      <c r="AF85" s="65">
        <v>0.0</v>
      </c>
      <c r="AG85" s="65">
        <v>0.0</v>
      </c>
      <c r="AH85" s="65">
        <v>0.0</v>
      </c>
      <c r="AI85" s="65">
        <v>0.0</v>
      </c>
      <c r="AJ85" s="65">
        <v>0.0</v>
      </c>
      <c r="AK85" s="65">
        <v>0.0</v>
      </c>
      <c r="AL85" s="65">
        <v>0.0</v>
      </c>
      <c r="AM85" s="65">
        <v>0.0</v>
      </c>
      <c r="AN85" s="65">
        <v>0.0</v>
      </c>
      <c r="AO85" s="65">
        <v>0.0</v>
      </c>
      <c r="AP85" s="65">
        <v>0.0</v>
      </c>
      <c r="AQ85" s="65">
        <v>0.0</v>
      </c>
      <c r="AR85" s="65">
        <v>0.0</v>
      </c>
      <c r="AS85" s="65">
        <v>0.0</v>
      </c>
      <c r="AT85" s="65">
        <v>0.0</v>
      </c>
      <c r="AU85" s="65">
        <v>0.0</v>
      </c>
      <c r="AV85" s="65">
        <v>0.0</v>
      </c>
      <c r="AW85" s="65">
        <v>0.0</v>
      </c>
      <c r="AX85" s="65">
        <v>0.0</v>
      </c>
    </row>
    <row r="86" ht="15.75" customHeight="1">
      <c r="A86" s="140" t="s">
        <v>458</v>
      </c>
      <c r="B86" s="50" t="s">
        <v>1500</v>
      </c>
      <c r="C86" s="141">
        <v>3251870.0</v>
      </c>
      <c r="D86" s="141" t="s">
        <v>89</v>
      </c>
      <c r="E86" s="63" t="s">
        <v>91</v>
      </c>
      <c r="F86" s="63" t="s">
        <v>521</v>
      </c>
      <c r="G86" s="47" t="str">
        <f t="shared" si="1"/>
        <v>David</v>
      </c>
      <c r="H86" s="142" t="s">
        <v>295</v>
      </c>
      <c r="I86" s="49" t="s">
        <v>382</v>
      </c>
      <c r="J86" s="63" t="str">
        <f t="shared" si="4"/>
        <v>Não</v>
      </c>
      <c r="K86" s="143">
        <v>44644.0</v>
      </c>
      <c r="L86" s="81"/>
      <c r="M86" s="81" t="s">
        <v>34</v>
      </c>
      <c r="N86" s="144">
        <v>0.012</v>
      </c>
      <c r="O86" s="141" t="s">
        <v>66</v>
      </c>
      <c r="P86" s="145">
        <v>0.0</v>
      </c>
      <c r="Q86" s="146"/>
      <c r="R86" s="158"/>
      <c r="S86" s="62" t="s">
        <v>194</v>
      </c>
      <c r="T86" s="22" t="s">
        <v>1502</v>
      </c>
      <c r="U86" s="164"/>
      <c r="V86" s="164"/>
      <c r="W86" s="164"/>
      <c r="X86" s="95" t="s">
        <v>221</v>
      </c>
      <c r="Y86" s="49" t="str">
        <f t="shared" si="3"/>
        <v>Inativo</v>
      </c>
      <c r="Z86" s="150"/>
      <c r="AA86" s="150"/>
      <c r="AB86" s="30"/>
      <c r="AC86" s="81"/>
      <c r="AD86" s="151">
        <v>45659.0</v>
      </c>
      <c r="AE86" s="30">
        <v>4.907510001719E13</v>
      </c>
      <c r="AF86" s="65">
        <v>0.0</v>
      </c>
      <c r="AG86" s="65">
        <v>0.0</v>
      </c>
      <c r="AH86" s="65">
        <v>0.0</v>
      </c>
      <c r="AI86" s="65">
        <v>0.0</v>
      </c>
      <c r="AJ86" s="65">
        <v>0.0</v>
      </c>
      <c r="AK86" s="65">
        <v>0.0</v>
      </c>
      <c r="AL86" s="65">
        <v>0.0</v>
      </c>
      <c r="AM86" s="65">
        <v>0.0</v>
      </c>
      <c r="AN86" s="65">
        <v>0.0</v>
      </c>
      <c r="AO86" s="65">
        <v>0.0</v>
      </c>
      <c r="AP86" s="65">
        <v>0.0</v>
      </c>
      <c r="AQ86" s="65">
        <v>0.0</v>
      </c>
      <c r="AR86" s="65">
        <v>0.0</v>
      </c>
      <c r="AS86" s="65">
        <v>0.0</v>
      </c>
      <c r="AT86" s="65">
        <v>0.0</v>
      </c>
      <c r="AU86" s="65">
        <v>0.0</v>
      </c>
      <c r="AV86" s="65">
        <v>0.0</v>
      </c>
      <c r="AW86" s="65">
        <v>0.0</v>
      </c>
      <c r="AX86" s="65">
        <v>0.0</v>
      </c>
    </row>
    <row r="87" ht="15.75" customHeight="1">
      <c r="A87" s="140" t="s">
        <v>458</v>
      </c>
      <c r="B87" s="50" t="s">
        <v>1500</v>
      </c>
      <c r="C87" s="141">
        <v>3251888.0</v>
      </c>
      <c r="D87" s="141" t="s">
        <v>89</v>
      </c>
      <c r="E87" s="63" t="s">
        <v>91</v>
      </c>
      <c r="F87" s="63" t="s">
        <v>521</v>
      </c>
      <c r="G87" s="47" t="str">
        <f t="shared" si="1"/>
        <v>David</v>
      </c>
      <c r="H87" s="142" t="s">
        <v>295</v>
      </c>
      <c r="I87" s="49" t="s">
        <v>382</v>
      </c>
      <c r="J87" s="63" t="str">
        <f t="shared" si="4"/>
        <v>Não</v>
      </c>
      <c r="K87" s="143">
        <v>45363.0</v>
      </c>
      <c r="L87" s="81"/>
      <c r="M87" s="81" t="s">
        <v>213</v>
      </c>
      <c r="N87" s="144">
        <v>0.005</v>
      </c>
      <c r="O87" s="141" t="s">
        <v>66</v>
      </c>
      <c r="P87" s="145">
        <v>0.0</v>
      </c>
      <c r="Q87" s="146"/>
      <c r="R87" s="153" t="s">
        <v>1518</v>
      </c>
      <c r="S87" s="32" t="s">
        <v>194</v>
      </c>
      <c r="T87" s="22" t="s">
        <v>1502</v>
      </c>
      <c r="U87" s="164"/>
      <c r="V87" s="164"/>
      <c r="W87" s="164"/>
      <c r="X87" s="95" t="s">
        <v>221</v>
      </c>
      <c r="Y87" s="49" t="str">
        <f t="shared" si="3"/>
        <v>Inativo</v>
      </c>
      <c r="Z87" s="150"/>
      <c r="AA87" s="150"/>
      <c r="AB87" s="30"/>
      <c r="AC87" s="81"/>
      <c r="AD87" s="151">
        <v>45659.0</v>
      </c>
      <c r="AE87" s="30">
        <v>4.9075100017166E13</v>
      </c>
      <c r="AF87" s="65">
        <v>0.0</v>
      </c>
      <c r="AG87" s="65">
        <v>0.0</v>
      </c>
      <c r="AH87" s="65">
        <v>0.0</v>
      </c>
      <c r="AI87" s="65">
        <v>0.0</v>
      </c>
      <c r="AJ87" s="65">
        <v>0.0</v>
      </c>
      <c r="AK87" s="65">
        <v>0.0</v>
      </c>
      <c r="AL87" s="65">
        <v>0.0</v>
      </c>
      <c r="AM87" s="65">
        <v>0.0</v>
      </c>
      <c r="AN87" s="65">
        <v>0.0</v>
      </c>
      <c r="AO87" s="65">
        <v>0.0</v>
      </c>
      <c r="AP87" s="65">
        <v>0.0</v>
      </c>
      <c r="AQ87" s="65">
        <v>0.0</v>
      </c>
      <c r="AR87" s="65">
        <v>0.0</v>
      </c>
      <c r="AS87" s="65">
        <v>0.0</v>
      </c>
      <c r="AT87" s="65">
        <v>0.0</v>
      </c>
      <c r="AU87" s="65">
        <v>0.0</v>
      </c>
      <c r="AV87" s="65">
        <v>0.0</v>
      </c>
      <c r="AW87" s="65">
        <v>0.0</v>
      </c>
      <c r="AX87" s="65">
        <v>0.0</v>
      </c>
    </row>
    <row r="88" ht="15.75" customHeight="1">
      <c r="A88" s="140" t="s">
        <v>458</v>
      </c>
      <c r="B88" s="50" t="s">
        <v>1520</v>
      </c>
      <c r="C88" s="141">
        <v>3251926.0</v>
      </c>
      <c r="D88" s="141" t="s">
        <v>89</v>
      </c>
      <c r="E88" s="63" t="s">
        <v>91</v>
      </c>
      <c r="F88" s="63" t="s">
        <v>193</v>
      </c>
      <c r="G88" s="47" t="str">
        <f t="shared" si="1"/>
        <v>David</v>
      </c>
      <c r="H88" s="142" t="s">
        <v>295</v>
      </c>
      <c r="I88" s="49" t="s">
        <v>382</v>
      </c>
      <c r="J88" s="63" t="str">
        <f t="shared" si="4"/>
        <v>Não</v>
      </c>
      <c r="K88" s="143">
        <v>44615.0</v>
      </c>
      <c r="L88" s="81"/>
      <c r="M88" s="81" t="s">
        <v>34</v>
      </c>
      <c r="N88" s="144">
        <v>0.012</v>
      </c>
      <c r="O88" s="141" t="s">
        <v>66</v>
      </c>
      <c r="P88" s="145">
        <v>0.0</v>
      </c>
      <c r="Q88" s="146"/>
      <c r="R88" s="70"/>
      <c r="S88" s="62" t="s">
        <v>194</v>
      </c>
      <c r="T88" s="22" t="s">
        <v>1524</v>
      </c>
      <c r="U88" s="147" t="s">
        <v>1525</v>
      </c>
      <c r="V88" s="147" t="s">
        <v>1526</v>
      </c>
      <c r="W88" s="67">
        <v>33399.0</v>
      </c>
      <c r="X88" s="62" t="s">
        <v>475</v>
      </c>
      <c r="Y88" s="49" t="str">
        <f t="shared" si="3"/>
        <v>Inativo</v>
      </c>
      <c r="Z88" s="150"/>
      <c r="AA88" s="150"/>
      <c r="AB88" s="30"/>
      <c r="AC88" s="81"/>
      <c r="AD88" s="151">
        <v>45659.0</v>
      </c>
      <c r="AE88" s="30">
        <v>4.9075100017174E13</v>
      </c>
      <c r="AF88" s="65">
        <v>0.0</v>
      </c>
      <c r="AG88" s="65">
        <v>0.0</v>
      </c>
      <c r="AH88" s="65">
        <v>0.0</v>
      </c>
      <c r="AI88" s="65">
        <v>0.0</v>
      </c>
      <c r="AJ88" s="65">
        <v>0.0</v>
      </c>
      <c r="AK88" s="65">
        <v>0.0</v>
      </c>
      <c r="AL88" s="65">
        <v>0.0</v>
      </c>
      <c r="AM88" s="65">
        <v>0.0</v>
      </c>
      <c r="AN88" s="65">
        <v>0.0</v>
      </c>
      <c r="AO88" s="65">
        <v>0.0</v>
      </c>
      <c r="AP88" s="65">
        <v>0.0</v>
      </c>
      <c r="AQ88" s="65">
        <v>0.0</v>
      </c>
      <c r="AR88" s="65">
        <v>0.0</v>
      </c>
      <c r="AS88" s="65">
        <v>0.0</v>
      </c>
      <c r="AT88" s="65">
        <v>0.0</v>
      </c>
      <c r="AU88" s="65">
        <v>0.0</v>
      </c>
      <c r="AV88" s="65">
        <v>0.0</v>
      </c>
      <c r="AW88" s="65">
        <v>0.0</v>
      </c>
      <c r="AX88" s="65">
        <v>0.0</v>
      </c>
    </row>
    <row r="89" ht="15.75" customHeight="1">
      <c r="A89" s="140" t="s">
        <v>458</v>
      </c>
      <c r="B89" s="50" t="s">
        <v>1527</v>
      </c>
      <c r="C89" s="141">
        <v>3251942.0</v>
      </c>
      <c r="D89" s="141" t="s">
        <v>89</v>
      </c>
      <c r="E89" s="63" t="s">
        <v>91</v>
      </c>
      <c r="F89" s="63" t="s">
        <v>193</v>
      </c>
      <c r="G89" s="47" t="str">
        <f t="shared" si="1"/>
        <v>David</v>
      </c>
      <c r="H89" s="142" t="s">
        <v>295</v>
      </c>
      <c r="I89" s="49" t="s">
        <v>382</v>
      </c>
      <c r="J89" s="63" t="str">
        <f t="shared" si="4"/>
        <v>Não</v>
      </c>
      <c r="K89" s="143">
        <v>44462.0</v>
      </c>
      <c r="L89" s="81"/>
      <c r="M89" s="81" t="s">
        <v>361</v>
      </c>
      <c r="N89" s="144">
        <v>0.02</v>
      </c>
      <c r="O89" s="141" t="s">
        <v>35</v>
      </c>
      <c r="P89" s="145">
        <v>0.2</v>
      </c>
      <c r="Q89" s="146"/>
      <c r="R89" s="70"/>
      <c r="S89" s="62" t="s">
        <v>194</v>
      </c>
      <c r="T89" s="22" t="s">
        <v>1524</v>
      </c>
      <c r="U89" s="147" t="s">
        <v>1525</v>
      </c>
      <c r="V89" s="147" t="s">
        <v>1526</v>
      </c>
      <c r="W89" s="67">
        <v>33399.0</v>
      </c>
      <c r="X89" s="62" t="s">
        <v>475</v>
      </c>
      <c r="Y89" s="49" t="str">
        <f t="shared" si="3"/>
        <v>Ativo</v>
      </c>
      <c r="Z89" s="150"/>
      <c r="AA89" s="150"/>
      <c r="AB89" s="30"/>
      <c r="AC89" s="81"/>
      <c r="AD89" s="151">
        <v>45659.0</v>
      </c>
      <c r="AE89" s="30">
        <v>4.9075100017379E13</v>
      </c>
      <c r="AF89" s="65">
        <v>19.66</v>
      </c>
      <c r="AG89" s="65">
        <v>19.66</v>
      </c>
      <c r="AH89" s="65">
        <v>19.66</v>
      </c>
      <c r="AI89" s="65">
        <v>19.66</v>
      </c>
      <c r="AJ89" s="65">
        <v>19.66</v>
      </c>
      <c r="AK89" s="65">
        <v>19.66</v>
      </c>
      <c r="AL89" s="65">
        <v>19.66</v>
      </c>
      <c r="AM89" s="65">
        <v>19.66</v>
      </c>
      <c r="AN89" s="65">
        <v>19.66</v>
      </c>
      <c r="AO89" s="65">
        <v>19.66</v>
      </c>
      <c r="AP89" s="65">
        <v>19.66</v>
      </c>
      <c r="AQ89" s="65">
        <v>19.66</v>
      </c>
      <c r="AR89" s="65">
        <v>19.66</v>
      </c>
      <c r="AS89" s="65">
        <v>0.0</v>
      </c>
      <c r="AT89" s="65">
        <v>0.0</v>
      </c>
      <c r="AU89" s="65">
        <v>0.0</v>
      </c>
      <c r="AV89" s="65">
        <v>0.0</v>
      </c>
      <c r="AW89" s="65">
        <v>0.0</v>
      </c>
      <c r="AX89" s="65">
        <v>0.0</v>
      </c>
    </row>
    <row r="90" ht="15.75" customHeight="1">
      <c r="A90" s="140" t="s">
        <v>458</v>
      </c>
      <c r="B90" s="50" t="s">
        <v>1537</v>
      </c>
      <c r="C90" s="141">
        <v>3252175.0</v>
      </c>
      <c r="D90" s="63" t="s">
        <v>1096</v>
      </c>
      <c r="E90" s="63" t="s">
        <v>199</v>
      </c>
      <c r="F90" s="63" t="s">
        <v>1096</v>
      </c>
      <c r="G90" s="47" t="str">
        <f t="shared" si="1"/>
        <v>David</v>
      </c>
      <c r="H90" s="142" t="s">
        <v>183</v>
      </c>
      <c r="I90" s="74" t="s">
        <v>66</v>
      </c>
      <c r="J90" s="63" t="str">
        <f t="shared" si="4"/>
        <v>Não</v>
      </c>
      <c r="K90" s="143">
        <v>43537.0</v>
      </c>
      <c r="L90" s="81"/>
      <c r="M90" s="81" t="s">
        <v>231</v>
      </c>
      <c r="N90" s="144">
        <v>0.01</v>
      </c>
      <c r="O90" s="141" t="s">
        <v>66</v>
      </c>
      <c r="P90" s="145">
        <v>0.0</v>
      </c>
      <c r="Q90" s="146"/>
      <c r="R90" s="158"/>
      <c r="S90" s="62" t="s">
        <v>194</v>
      </c>
      <c r="T90" s="141" t="s">
        <v>1540</v>
      </c>
      <c r="U90" s="147" t="s">
        <v>1541</v>
      </c>
      <c r="V90" s="147" t="s">
        <v>1542</v>
      </c>
      <c r="W90" s="67">
        <v>29136.0</v>
      </c>
      <c r="X90" s="81" t="s">
        <v>199</v>
      </c>
      <c r="Y90" s="49" t="str">
        <f t="shared" si="3"/>
        <v>Ativo</v>
      </c>
      <c r="Z90" s="150"/>
      <c r="AA90" s="150"/>
      <c r="AB90" s="30"/>
      <c r="AC90" s="81"/>
      <c r="AD90" s="151">
        <v>45659.0</v>
      </c>
      <c r="AE90" s="30">
        <v>4.9075100016712E13</v>
      </c>
      <c r="AF90" s="65">
        <v>73910.31</v>
      </c>
      <c r="AG90" s="65">
        <v>75890.45</v>
      </c>
      <c r="AH90" s="65">
        <v>75131.99</v>
      </c>
      <c r="AI90" s="65">
        <v>79171.53</v>
      </c>
      <c r="AJ90" s="65">
        <v>81664.02</v>
      </c>
      <c r="AK90" s="65">
        <v>84792.04</v>
      </c>
      <c r="AL90" s="65">
        <v>87075.27</v>
      </c>
      <c r="AM90" s="65">
        <v>85724.85</v>
      </c>
      <c r="AN90" s="65">
        <v>83636.17</v>
      </c>
      <c r="AO90" s="65">
        <v>91532.88</v>
      </c>
      <c r="AP90" s="65">
        <v>93243.91</v>
      </c>
      <c r="AQ90" s="65">
        <v>96482.32</v>
      </c>
      <c r="AR90" s="65">
        <v>99107.94</v>
      </c>
      <c r="AS90" s="65">
        <v>109041.8</v>
      </c>
      <c r="AT90" s="65">
        <v>112597.96</v>
      </c>
      <c r="AU90" s="65">
        <v>113210.2</v>
      </c>
      <c r="AV90" s="65">
        <v>112171.49</v>
      </c>
      <c r="AW90" s="65">
        <v>108286.82</v>
      </c>
      <c r="AX90" s="65">
        <v>109266.32</v>
      </c>
    </row>
    <row r="91" ht="15.75" customHeight="1">
      <c r="A91" s="140" t="s">
        <v>458</v>
      </c>
      <c r="B91" s="50" t="s">
        <v>1548</v>
      </c>
      <c r="C91" s="141">
        <v>3252451.0</v>
      </c>
      <c r="D91" s="63" t="s">
        <v>1096</v>
      </c>
      <c r="E91" s="63" t="s">
        <v>199</v>
      </c>
      <c r="F91" s="63" t="s">
        <v>1096</v>
      </c>
      <c r="G91" s="47" t="str">
        <f t="shared" si="1"/>
        <v>David</v>
      </c>
      <c r="H91" s="142" t="s">
        <v>183</v>
      </c>
      <c r="I91" s="74" t="s">
        <v>66</v>
      </c>
      <c r="J91" s="63" t="str">
        <f t="shared" si="4"/>
        <v>Não</v>
      </c>
      <c r="K91" s="143">
        <v>43384.0</v>
      </c>
      <c r="L91" s="81"/>
      <c r="M91" s="81" t="s">
        <v>231</v>
      </c>
      <c r="N91" s="144">
        <v>0.01</v>
      </c>
      <c r="O91" s="141" t="s">
        <v>66</v>
      </c>
      <c r="P91" s="145">
        <v>0.0</v>
      </c>
      <c r="Q91" s="146"/>
      <c r="R91" s="158"/>
      <c r="S91" s="62" t="s">
        <v>194</v>
      </c>
      <c r="T91" s="141" t="s">
        <v>1550</v>
      </c>
      <c r="U91" s="147" t="s">
        <v>1551</v>
      </c>
      <c r="V91" s="147" t="s">
        <v>1552</v>
      </c>
      <c r="W91" s="67">
        <v>31805.0</v>
      </c>
      <c r="X91" s="81" t="s">
        <v>199</v>
      </c>
      <c r="Y91" s="49" t="str">
        <f t="shared" si="3"/>
        <v>Ativo</v>
      </c>
      <c r="Z91" s="150"/>
      <c r="AA91" s="150"/>
      <c r="AB91" s="30"/>
      <c r="AC91" s="81"/>
      <c r="AD91" s="151">
        <v>45659.0</v>
      </c>
      <c r="AE91" s="30">
        <v>4.9075100016771E13</v>
      </c>
      <c r="AF91" s="65">
        <v>112128.44</v>
      </c>
      <c r="AG91" s="65">
        <v>115132.54</v>
      </c>
      <c r="AH91" s="65">
        <v>113840.63</v>
      </c>
      <c r="AI91" s="65">
        <v>45409.9</v>
      </c>
      <c r="AJ91" s="65">
        <v>45484.99</v>
      </c>
      <c r="AK91" s="65">
        <v>46003.1</v>
      </c>
      <c r="AL91" s="65">
        <v>46397.22</v>
      </c>
      <c r="AM91" s="65">
        <v>46938.07</v>
      </c>
      <c r="AN91" s="65">
        <v>47438.26</v>
      </c>
      <c r="AO91" s="65">
        <v>47959.21</v>
      </c>
      <c r="AP91" s="65">
        <v>48508.38</v>
      </c>
      <c r="AQ91" s="65">
        <v>48489.33</v>
      </c>
      <c r="AR91" s="65">
        <v>49033.66</v>
      </c>
      <c r="AS91" s="65">
        <v>49519.02</v>
      </c>
      <c r="AT91" s="65">
        <v>49959.1</v>
      </c>
      <c r="AU91" s="65">
        <v>50522.12</v>
      </c>
      <c r="AV91" s="65">
        <v>50999.39</v>
      </c>
      <c r="AW91" s="65">
        <v>51508.99</v>
      </c>
      <c r="AX91" s="65">
        <v>51594.6</v>
      </c>
    </row>
    <row r="92" ht="15.75" customHeight="1">
      <c r="A92" s="140" t="s">
        <v>458</v>
      </c>
      <c r="B92" s="50" t="s">
        <v>1557</v>
      </c>
      <c r="C92" s="141">
        <v>3251659.0</v>
      </c>
      <c r="D92" s="141" t="s">
        <v>89</v>
      </c>
      <c r="E92" s="63" t="s">
        <v>91</v>
      </c>
      <c r="F92" s="63" t="s">
        <v>193</v>
      </c>
      <c r="G92" s="47" t="str">
        <f t="shared" si="1"/>
        <v>David</v>
      </c>
      <c r="H92" s="142" t="s">
        <v>295</v>
      </c>
      <c r="I92" s="49" t="s">
        <v>382</v>
      </c>
      <c r="J92" s="63" t="str">
        <f t="shared" si="4"/>
        <v>Não</v>
      </c>
      <c r="K92" s="143">
        <v>44781.0</v>
      </c>
      <c r="L92" s="81"/>
      <c r="M92" s="81" t="s">
        <v>61</v>
      </c>
      <c r="N92" s="144">
        <v>0.007</v>
      </c>
      <c r="O92" s="141" t="s">
        <v>66</v>
      </c>
      <c r="P92" s="145">
        <v>0.0</v>
      </c>
      <c r="Q92" s="146"/>
      <c r="R92" s="153" t="s">
        <v>1562</v>
      </c>
      <c r="S92" s="62" t="s">
        <v>194</v>
      </c>
      <c r="T92" s="22" t="s">
        <v>1563</v>
      </c>
      <c r="U92" s="147" t="s">
        <v>1564</v>
      </c>
      <c r="V92" s="147" t="s">
        <v>1565</v>
      </c>
      <c r="W92" s="67">
        <v>22798.0</v>
      </c>
      <c r="X92" s="30" t="s">
        <v>221</v>
      </c>
      <c r="Y92" s="49" t="str">
        <f t="shared" si="3"/>
        <v>Inativo</v>
      </c>
      <c r="Z92" s="150"/>
      <c r="AA92" s="150"/>
      <c r="AB92" s="30"/>
      <c r="AC92" s="81"/>
      <c r="AD92" s="151">
        <v>45659.0</v>
      </c>
      <c r="AE92" s="30">
        <v>4.9075100017115E13</v>
      </c>
      <c r="AF92" s="65">
        <v>0.0</v>
      </c>
      <c r="AG92" s="65">
        <v>0.0</v>
      </c>
      <c r="AH92" s="65">
        <v>0.0</v>
      </c>
      <c r="AI92" s="65">
        <v>0.0</v>
      </c>
      <c r="AJ92" s="65">
        <v>0.0</v>
      </c>
      <c r="AK92" s="65">
        <v>0.0</v>
      </c>
      <c r="AL92" s="65">
        <v>0.0</v>
      </c>
      <c r="AM92" s="65">
        <v>0.0</v>
      </c>
      <c r="AN92" s="65">
        <v>0.0</v>
      </c>
      <c r="AO92" s="65">
        <v>0.0</v>
      </c>
      <c r="AP92" s="65">
        <v>0.0</v>
      </c>
      <c r="AQ92" s="65">
        <v>0.0</v>
      </c>
      <c r="AR92" s="65">
        <v>0.0</v>
      </c>
      <c r="AS92" s="65">
        <v>0.0</v>
      </c>
      <c r="AT92" s="65">
        <v>0.0</v>
      </c>
      <c r="AU92" s="65">
        <v>0.0</v>
      </c>
      <c r="AV92" s="65">
        <v>0.0</v>
      </c>
      <c r="AW92" s="65">
        <v>0.0</v>
      </c>
      <c r="AX92" s="65">
        <v>0.0</v>
      </c>
    </row>
    <row r="93" ht="15.75" customHeight="1">
      <c r="A93" s="140" t="s">
        <v>458</v>
      </c>
      <c r="B93" s="50" t="s">
        <v>1570</v>
      </c>
      <c r="C93" s="141">
        <v>3252124.0</v>
      </c>
      <c r="D93" s="63" t="s">
        <v>120</v>
      </c>
      <c r="E93" s="63" t="s">
        <v>199</v>
      </c>
      <c r="F93" s="63" t="s">
        <v>1340</v>
      </c>
      <c r="G93" s="47" t="str">
        <f t="shared" si="1"/>
        <v>David</v>
      </c>
      <c r="H93" s="152" t="s">
        <v>224</v>
      </c>
      <c r="I93" s="49" t="s">
        <v>66</v>
      </c>
      <c r="J93" s="63" t="str">
        <f t="shared" si="4"/>
        <v>Não</v>
      </c>
      <c r="K93" s="143">
        <v>45106.0</v>
      </c>
      <c r="L93" s="151">
        <v>45874.0</v>
      </c>
      <c r="M93" s="81" t="s">
        <v>209</v>
      </c>
      <c r="N93" s="144">
        <v>0.015</v>
      </c>
      <c r="O93" s="141" t="s">
        <v>35</v>
      </c>
      <c r="P93" s="145">
        <v>0.1</v>
      </c>
      <c r="Q93" s="146"/>
      <c r="R93" s="158"/>
      <c r="S93" s="62" t="s">
        <v>194</v>
      </c>
      <c r="T93" s="27" t="s">
        <v>1574</v>
      </c>
      <c r="U93" s="147" t="s">
        <v>1575</v>
      </c>
      <c r="V93" s="147" t="s">
        <v>1576</v>
      </c>
      <c r="W93" s="67">
        <v>35263.0</v>
      </c>
      <c r="X93" s="30" t="s">
        <v>618</v>
      </c>
      <c r="Y93" s="49" t="str">
        <f t="shared" si="3"/>
        <v>Encerrado</v>
      </c>
      <c r="Z93" s="150"/>
      <c r="AA93" s="150"/>
      <c r="AB93" s="30"/>
      <c r="AC93" s="81"/>
      <c r="AD93" s="151">
        <v>45659.0</v>
      </c>
      <c r="AE93" s="30">
        <v>4.9075100016682E13</v>
      </c>
      <c r="AF93" s="65">
        <v>88108.27</v>
      </c>
      <c r="AG93" s="65">
        <v>107695.59</v>
      </c>
      <c r="AH93" s="65">
        <v>15821.06</v>
      </c>
      <c r="AI93" s="65">
        <v>0.0</v>
      </c>
      <c r="AJ93" s="65">
        <v>0.0</v>
      </c>
      <c r="AK93" s="65">
        <v>0.16</v>
      </c>
      <c r="AL93" s="65">
        <v>0.16</v>
      </c>
      <c r="AM93" s="65">
        <v>0.16</v>
      </c>
      <c r="AN93" s="65">
        <v>0.16</v>
      </c>
      <c r="AO93" s="65">
        <v>0.16</v>
      </c>
      <c r="AP93" s="65">
        <v>0.16</v>
      </c>
      <c r="AQ93" s="65">
        <v>0.16</v>
      </c>
      <c r="AR93" s="65">
        <v>0.16</v>
      </c>
      <c r="AS93" s="65">
        <v>0.16</v>
      </c>
      <c r="AT93" s="65">
        <v>0.16</v>
      </c>
      <c r="AU93" s="65">
        <v>0.16</v>
      </c>
      <c r="AV93" s="65">
        <v>0.16</v>
      </c>
      <c r="AW93" s="65">
        <v>0.16</v>
      </c>
      <c r="AX93" s="65">
        <v>0.16</v>
      </c>
    </row>
    <row r="94" ht="15.75" customHeight="1">
      <c r="A94" s="140" t="s">
        <v>458</v>
      </c>
      <c r="B94" s="50" t="s">
        <v>1581</v>
      </c>
      <c r="C94" s="141">
        <v>3252221.0</v>
      </c>
      <c r="D94" s="63" t="s">
        <v>120</v>
      </c>
      <c r="E94" s="63" t="s">
        <v>199</v>
      </c>
      <c r="F94" s="63" t="s">
        <v>1340</v>
      </c>
      <c r="G94" s="47" t="str">
        <f t="shared" si="1"/>
        <v>David</v>
      </c>
      <c r="H94" s="152" t="s">
        <v>224</v>
      </c>
      <c r="I94" s="49" t="s">
        <v>66</v>
      </c>
      <c r="J94" s="63" t="str">
        <f t="shared" si="4"/>
        <v>Não</v>
      </c>
      <c r="K94" s="143">
        <v>45021.0</v>
      </c>
      <c r="L94" s="151">
        <v>45874.0</v>
      </c>
      <c r="M94" s="81" t="s">
        <v>209</v>
      </c>
      <c r="N94" s="144">
        <v>0.015</v>
      </c>
      <c r="O94" s="141" t="s">
        <v>35</v>
      </c>
      <c r="P94" s="145">
        <v>0.1</v>
      </c>
      <c r="Q94" s="146"/>
      <c r="R94" s="70"/>
      <c r="S94" s="62" t="s">
        <v>194</v>
      </c>
      <c r="T94" s="22" t="s">
        <v>1591</v>
      </c>
      <c r="U94" s="147" t="s">
        <v>1342</v>
      </c>
      <c r="V94" s="147" t="s">
        <v>1343</v>
      </c>
      <c r="W94" s="67">
        <v>24713.0</v>
      </c>
      <c r="X94" s="22" t="s">
        <v>618</v>
      </c>
      <c r="Y94" s="49" t="str">
        <f t="shared" si="3"/>
        <v>Encerrado</v>
      </c>
      <c r="Z94" s="150"/>
      <c r="AA94" s="150"/>
      <c r="AB94" s="30"/>
      <c r="AC94" s="81"/>
      <c r="AD94" s="151">
        <v>45659.0</v>
      </c>
      <c r="AE94" s="30">
        <v>4.9075100016909E13</v>
      </c>
      <c r="AF94" s="65">
        <v>287243.2</v>
      </c>
      <c r="AG94" s="65">
        <v>281154.98</v>
      </c>
      <c r="AH94" s="65">
        <v>279978.29</v>
      </c>
      <c r="AI94" s="65">
        <v>0.0</v>
      </c>
      <c r="AJ94" s="65">
        <v>0.0</v>
      </c>
      <c r="AK94" s="65">
        <v>0.0</v>
      </c>
      <c r="AL94" s="65">
        <v>0.0</v>
      </c>
      <c r="AM94" s="65">
        <v>1.04</v>
      </c>
      <c r="AN94" s="65">
        <v>1.04</v>
      </c>
      <c r="AO94" s="65">
        <v>1.04</v>
      </c>
      <c r="AP94" s="65">
        <v>1.04</v>
      </c>
      <c r="AQ94" s="65">
        <v>1.04</v>
      </c>
      <c r="AR94" s="65">
        <v>1.04</v>
      </c>
      <c r="AS94" s="65">
        <v>1.04</v>
      </c>
      <c r="AT94" s="65">
        <v>1.04</v>
      </c>
      <c r="AU94" s="65">
        <v>1.04</v>
      </c>
      <c r="AV94" s="65">
        <v>1.04</v>
      </c>
      <c r="AW94" s="65">
        <v>1.04</v>
      </c>
      <c r="AX94" s="65">
        <v>1.04</v>
      </c>
    </row>
    <row r="95" ht="15.75" customHeight="1">
      <c r="A95" s="140" t="s">
        <v>458</v>
      </c>
      <c r="B95" s="50" t="s">
        <v>1593</v>
      </c>
      <c r="C95" s="141">
        <v>3251772.0</v>
      </c>
      <c r="D95" s="141" t="s">
        <v>89</v>
      </c>
      <c r="E95" s="63" t="s">
        <v>91</v>
      </c>
      <c r="F95" s="63" t="s">
        <v>193</v>
      </c>
      <c r="G95" s="47" t="str">
        <f t="shared" si="1"/>
        <v>David</v>
      </c>
      <c r="H95" s="142" t="s">
        <v>295</v>
      </c>
      <c r="I95" s="49" t="s">
        <v>382</v>
      </c>
      <c r="J95" s="63" t="str">
        <f t="shared" si="4"/>
        <v>Não</v>
      </c>
      <c r="K95" s="143">
        <v>44319.0</v>
      </c>
      <c r="L95" s="81"/>
      <c r="M95" s="81" t="s">
        <v>231</v>
      </c>
      <c r="N95" s="144">
        <v>0.025</v>
      </c>
      <c r="O95" s="141" t="s">
        <v>233</v>
      </c>
      <c r="P95" s="145">
        <v>0.2</v>
      </c>
      <c r="Q95" s="146"/>
      <c r="R95" s="70" t="s">
        <v>1601</v>
      </c>
      <c r="S95" s="62" t="s">
        <v>194</v>
      </c>
      <c r="T95" s="22" t="s">
        <v>1604</v>
      </c>
      <c r="U95" s="147" t="s">
        <v>1605</v>
      </c>
      <c r="V95" s="147" t="s">
        <v>1606</v>
      </c>
      <c r="W95" s="67">
        <v>33856.0</v>
      </c>
      <c r="X95" s="95" t="s">
        <v>221</v>
      </c>
      <c r="Y95" s="49" t="str">
        <f t="shared" si="3"/>
        <v>Ativo</v>
      </c>
      <c r="Z95" s="150"/>
      <c r="AA95" s="150"/>
      <c r="AB95" s="30"/>
      <c r="AC95" s="81"/>
      <c r="AD95" s="151">
        <v>45659.0</v>
      </c>
      <c r="AE95" s="30">
        <v>4.9075100017026E13</v>
      </c>
      <c r="AF95" s="65">
        <v>1063.24</v>
      </c>
      <c r="AG95" s="65">
        <v>1063.24</v>
      </c>
      <c r="AH95" s="65">
        <v>1063.24</v>
      </c>
      <c r="AI95" s="65">
        <v>1063.24</v>
      </c>
      <c r="AJ95" s="65">
        <v>1063.24</v>
      </c>
      <c r="AK95" s="65">
        <v>1063.24</v>
      </c>
      <c r="AL95" s="65">
        <v>1063.24</v>
      </c>
      <c r="AM95" s="65">
        <v>1063.24</v>
      </c>
      <c r="AN95" s="65">
        <v>1063.24</v>
      </c>
      <c r="AO95" s="65">
        <v>1063.24</v>
      </c>
      <c r="AP95" s="65">
        <v>1063.24</v>
      </c>
      <c r="AQ95" s="65">
        <v>1063.24</v>
      </c>
      <c r="AR95" s="65">
        <v>1063.24</v>
      </c>
      <c r="AS95" s="65">
        <v>1063.24</v>
      </c>
      <c r="AT95" s="65">
        <v>1063.24</v>
      </c>
      <c r="AU95" s="65">
        <v>1063.24</v>
      </c>
      <c r="AV95" s="65">
        <v>1063.24</v>
      </c>
      <c r="AW95" s="65">
        <v>1063.24</v>
      </c>
      <c r="AX95" s="65">
        <v>1063.24</v>
      </c>
    </row>
    <row r="96" ht="15.75" customHeight="1">
      <c r="A96" s="140" t="s">
        <v>458</v>
      </c>
      <c r="B96" s="50" t="s">
        <v>1610</v>
      </c>
      <c r="C96" s="141">
        <v>3251896.0</v>
      </c>
      <c r="D96" s="141" t="s">
        <v>89</v>
      </c>
      <c r="E96" s="63" t="s">
        <v>91</v>
      </c>
      <c r="F96" s="63" t="s">
        <v>193</v>
      </c>
      <c r="G96" s="47" t="str">
        <f t="shared" si="1"/>
        <v>David</v>
      </c>
      <c r="H96" s="142" t="s">
        <v>295</v>
      </c>
      <c r="I96" s="49" t="s">
        <v>382</v>
      </c>
      <c r="J96" s="63" t="str">
        <f t="shared" si="4"/>
        <v>Não</v>
      </c>
      <c r="K96" s="143">
        <v>44651.0</v>
      </c>
      <c r="L96" s="81"/>
      <c r="M96" s="81" t="s">
        <v>209</v>
      </c>
      <c r="N96" s="144">
        <v>0.015</v>
      </c>
      <c r="O96" s="141" t="s">
        <v>35</v>
      </c>
      <c r="P96" s="145">
        <v>0.1</v>
      </c>
      <c r="Q96" s="146"/>
      <c r="R96" s="158"/>
      <c r="S96" s="62" t="s">
        <v>194</v>
      </c>
      <c r="T96" s="22" t="s">
        <v>1616</v>
      </c>
      <c r="U96" s="147" t="s">
        <v>1618</v>
      </c>
      <c r="V96" s="147" t="s">
        <v>1619</v>
      </c>
      <c r="W96" s="147" t="s">
        <v>1621</v>
      </c>
      <c r="X96" s="95" t="s">
        <v>221</v>
      </c>
      <c r="Y96" s="49" t="str">
        <f t="shared" si="3"/>
        <v>Ativo</v>
      </c>
      <c r="Z96" s="150"/>
      <c r="AA96" s="150"/>
      <c r="AB96" s="30"/>
      <c r="AC96" s="81"/>
      <c r="AD96" s="151"/>
      <c r="AE96" s="30"/>
      <c r="AF96" s="65">
        <v>0.02</v>
      </c>
      <c r="AG96" s="65">
        <v>0.02</v>
      </c>
      <c r="AH96" s="65">
        <v>0.02</v>
      </c>
      <c r="AI96" s="65">
        <v>0.02</v>
      </c>
      <c r="AJ96" s="65">
        <v>0.02</v>
      </c>
      <c r="AK96" s="65">
        <v>0.02</v>
      </c>
      <c r="AL96" s="65">
        <v>0.02</v>
      </c>
      <c r="AM96" s="65">
        <v>0.02</v>
      </c>
      <c r="AN96" s="65">
        <v>0.02</v>
      </c>
      <c r="AO96" s="65">
        <v>0.02</v>
      </c>
      <c r="AP96" s="65">
        <v>0.02</v>
      </c>
      <c r="AQ96" s="65">
        <v>0.02</v>
      </c>
      <c r="AR96" s="65">
        <v>0.02</v>
      </c>
      <c r="AS96" s="65">
        <v>0.0</v>
      </c>
      <c r="AT96" s="65">
        <v>0.0</v>
      </c>
      <c r="AU96" s="65">
        <v>0.0</v>
      </c>
      <c r="AV96" s="65">
        <v>0.0</v>
      </c>
      <c r="AW96" s="65">
        <v>0.0</v>
      </c>
      <c r="AX96" s="65">
        <v>0.0</v>
      </c>
    </row>
    <row r="97" ht="15.75" customHeight="1">
      <c r="A97" s="251"/>
      <c r="B97" s="251"/>
      <c r="C97" s="252"/>
      <c r="D97" s="253"/>
      <c r="E97" s="253"/>
      <c r="F97" s="253"/>
      <c r="G97" s="254"/>
      <c r="H97" s="255"/>
      <c r="I97" s="254"/>
      <c r="J97" s="253"/>
      <c r="K97" s="253"/>
      <c r="L97" s="256"/>
      <c r="M97" s="256"/>
      <c r="N97" s="257"/>
      <c r="O97" s="257"/>
      <c r="P97" s="257"/>
      <c r="Q97" s="258"/>
      <c r="R97" s="258"/>
      <c r="S97" s="256"/>
      <c r="T97" s="253"/>
      <c r="U97" s="256"/>
      <c r="V97" s="256"/>
      <c r="W97" s="256"/>
      <c r="X97" s="256"/>
      <c r="Y97" s="256"/>
      <c r="Z97" s="259"/>
      <c r="AA97" s="259"/>
      <c r="AB97" s="256"/>
      <c r="AC97" s="256"/>
      <c r="AD97" s="256"/>
      <c r="AE97" s="256"/>
      <c r="AF97" s="260"/>
      <c r="AG97" s="260"/>
      <c r="AH97" s="260"/>
      <c r="AI97" s="260"/>
      <c r="AJ97" s="260"/>
      <c r="AK97" s="260"/>
      <c r="AL97" s="260"/>
      <c r="AM97" s="260"/>
      <c r="AN97" s="260"/>
      <c r="AO97" s="260"/>
      <c r="AP97" s="260"/>
      <c r="AQ97" s="260"/>
      <c r="AR97" s="260"/>
      <c r="AS97" s="260"/>
      <c r="AT97" s="260"/>
      <c r="AU97" s="260"/>
      <c r="AV97" s="260"/>
      <c r="AW97" s="260"/>
      <c r="AX97" s="260"/>
    </row>
    <row r="98" ht="15.75" customHeight="1">
      <c r="A98" s="261"/>
      <c r="B98" s="262" t="s">
        <v>1353</v>
      </c>
      <c r="C98" s="263">
        <f>COUNTIF(H:H,"Ativo")</f>
        <v>26</v>
      </c>
      <c r="D98" s="264"/>
      <c r="E98" s="264"/>
      <c r="F98" s="265"/>
      <c r="G98" s="254"/>
      <c r="H98" s="255"/>
      <c r="I98" s="254"/>
      <c r="J98" s="264"/>
      <c r="K98" s="264"/>
      <c r="L98" s="264"/>
      <c r="M98" s="264"/>
      <c r="N98" s="264"/>
      <c r="O98" s="264"/>
      <c r="P98" s="264"/>
      <c r="Q98" s="266"/>
      <c r="R98" s="266"/>
      <c r="S98" s="264"/>
      <c r="T98" s="267"/>
      <c r="U98" s="264"/>
      <c r="V98" s="264"/>
      <c r="W98" s="264"/>
      <c r="X98" s="264"/>
      <c r="Y98" s="264"/>
      <c r="Z98" s="268"/>
      <c r="AA98" s="268"/>
      <c r="AB98" s="264"/>
      <c r="AC98" s="264"/>
      <c r="AD98" s="264"/>
      <c r="AE98" s="264"/>
      <c r="AF98" s="269">
        <f t="shared" ref="AF98:AX98" si="5">SUM(AF3:AF96)</f>
        <v>7396341</v>
      </c>
      <c r="AG98" s="269">
        <f t="shared" si="5"/>
        <v>8445736.31</v>
      </c>
      <c r="AH98" s="269">
        <f t="shared" si="5"/>
        <v>7634871.57</v>
      </c>
      <c r="AI98" s="269">
        <f t="shared" si="5"/>
        <v>6850800.28</v>
      </c>
      <c r="AJ98" s="269">
        <f t="shared" si="5"/>
        <v>6155678.34</v>
      </c>
      <c r="AK98" s="269">
        <f t="shared" si="5"/>
        <v>5627115.97</v>
      </c>
      <c r="AL98" s="269">
        <f t="shared" si="5"/>
        <v>5675183.36</v>
      </c>
      <c r="AM98" s="269">
        <f t="shared" si="5"/>
        <v>6046697.32</v>
      </c>
      <c r="AN98" s="269">
        <f t="shared" si="5"/>
        <v>6058605.82</v>
      </c>
      <c r="AO98" s="269">
        <f t="shared" si="5"/>
        <v>6104188.58</v>
      </c>
      <c r="AP98" s="269">
        <f t="shared" si="5"/>
        <v>5529267.39</v>
      </c>
      <c r="AQ98" s="269">
        <f t="shared" si="5"/>
        <v>5600885.17</v>
      </c>
      <c r="AR98" s="269">
        <f t="shared" si="5"/>
        <v>5612461.85</v>
      </c>
      <c r="AS98" s="269">
        <f t="shared" si="5"/>
        <v>5826451.86</v>
      </c>
      <c r="AT98" s="269">
        <f t="shared" si="5"/>
        <v>5584705.05</v>
      </c>
      <c r="AU98" s="269">
        <f t="shared" si="5"/>
        <v>5590625.46</v>
      </c>
      <c r="AV98" s="269">
        <f t="shared" si="5"/>
        <v>5668798.38</v>
      </c>
      <c r="AW98" s="269">
        <f t="shared" si="5"/>
        <v>5648347.74</v>
      </c>
      <c r="AX98" s="269">
        <f t="shared" si="5"/>
        <v>5142691.54</v>
      </c>
    </row>
    <row r="99" ht="15.75" customHeight="1">
      <c r="A99" s="270"/>
      <c r="B99" s="271" t="s">
        <v>1407</v>
      </c>
      <c r="C99" s="272">
        <f>COUNTIF(H:H,"Encerrado")</f>
        <v>6</v>
      </c>
      <c r="D99" s="254"/>
      <c r="E99" s="254"/>
      <c r="G99" s="254"/>
      <c r="H99" s="255"/>
      <c r="I99" s="254"/>
      <c r="J99" s="254"/>
      <c r="K99" s="254"/>
      <c r="L99" s="254"/>
      <c r="M99" s="254"/>
      <c r="N99" s="273"/>
      <c r="O99" s="273"/>
      <c r="P99" s="273"/>
      <c r="Q99" s="274"/>
      <c r="R99" s="274"/>
      <c r="S99" s="267"/>
      <c r="T99" s="267"/>
      <c r="U99" s="267"/>
      <c r="V99" s="267"/>
      <c r="W99" s="267"/>
      <c r="X99" s="267"/>
      <c r="Y99" s="267"/>
      <c r="Z99" s="275"/>
      <c r="AA99" s="275"/>
      <c r="AB99" s="267"/>
      <c r="AC99" s="267"/>
      <c r="AD99" s="267"/>
      <c r="AE99" s="267"/>
      <c r="AF99" s="276"/>
      <c r="AG99" s="276"/>
      <c r="AH99" s="276"/>
      <c r="AI99" s="276"/>
      <c r="AJ99" s="276"/>
      <c r="AK99" s="276"/>
      <c r="AL99" s="276"/>
      <c r="AM99" s="276"/>
      <c r="AN99" s="276"/>
      <c r="AO99" s="276"/>
      <c r="AP99" s="276"/>
      <c r="AQ99" s="276"/>
      <c r="AR99" s="276"/>
      <c r="AS99" s="276"/>
      <c r="AT99" s="276"/>
      <c r="AU99" s="276"/>
      <c r="AV99" s="276"/>
      <c r="AW99" s="276"/>
      <c r="AX99" s="276"/>
    </row>
    <row r="100" ht="15.75" customHeight="1">
      <c r="A100" s="270"/>
      <c r="B100" s="271" t="s">
        <v>1643</v>
      </c>
      <c r="C100" s="272">
        <f>COUNTIF(H:H,"Inativo")</f>
        <v>62</v>
      </c>
      <c r="D100" s="254"/>
      <c r="E100" s="254"/>
      <c r="F100" s="254"/>
      <c r="G100" s="254"/>
      <c r="H100" s="255"/>
      <c r="I100" s="254"/>
      <c r="J100" s="254"/>
      <c r="K100" s="254"/>
      <c r="L100" s="254"/>
      <c r="M100" s="254"/>
      <c r="N100" s="254"/>
      <c r="O100" s="254"/>
      <c r="P100" s="254"/>
      <c r="Q100" s="274"/>
      <c r="R100" s="274"/>
      <c r="S100" s="267"/>
      <c r="T100" s="267"/>
      <c r="U100" s="267"/>
      <c r="V100" s="267"/>
      <c r="W100" s="267"/>
      <c r="X100" s="267"/>
      <c r="Y100" s="267"/>
      <c r="Z100" s="275"/>
      <c r="AA100" s="275"/>
      <c r="AB100" s="267"/>
      <c r="AC100" s="267"/>
      <c r="AD100" s="267"/>
      <c r="AE100" s="267"/>
      <c r="AF100" s="276"/>
      <c r="AG100" s="276"/>
      <c r="AH100" s="276"/>
      <c r="AI100" s="276"/>
      <c r="AJ100" s="276"/>
      <c r="AK100" s="276"/>
      <c r="AL100" s="276"/>
      <c r="AM100" s="276"/>
      <c r="AN100" s="276"/>
      <c r="AO100" s="276"/>
      <c r="AP100" s="276"/>
      <c r="AQ100" s="276"/>
      <c r="AR100" s="276"/>
      <c r="AS100" s="276"/>
      <c r="AT100" s="276"/>
      <c r="AU100" s="276"/>
      <c r="AV100" s="276"/>
      <c r="AW100" s="276"/>
      <c r="AX100" s="276"/>
    </row>
    <row r="101" ht="15.75" customHeight="1">
      <c r="A101" s="277"/>
      <c r="B101" s="278" t="s">
        <v>1426</v>
      </c>
      <c r="C101" s="279">
        <f>COUNTIF(H:H,"Pode operar")</f>
        <v>0</v>
      </c>
      <c r="D101" s="254"/>
      <c r="E101" s="254"/>
      <c r="F101" s="254"/>
      <c r="G101" s="254"/>
      <c r="H101" s="255"/>
      <c r="I101" s="254"/>
      <c r="J101" s="254"/>
      <c r="K101" s="254"/>
      <c r="L101" s="254"/>
      <c r="M101" s="254"/>
      <c r="N101" s="273"/>
      <c r="O101" s="273"/>
      <c r="P101" s="273"/>
      <c r="Q101" s="274"/>
      <c r="R101" s="274"/>
      <c r="S101" s="267"/>
      <c r="T101" s="267"/>
      <c r="U101" s="267"/>
      <c r="V101" s="267"/>
      <c r="W101" s="267"/>
      <c r="X101" s="267"/>
      <c r="Y101" s="267"/>
      <c r="Z101" s="275"/>
      <c r="AA101" s="275"/>
      <c r="AB101" s="267"/>
      <c r="AC101" s="267"/>
      <c r="AD101" s="267"/>
      <c r="AE101" s="267"/>
      <c r="AF101" s="276"/>
      <c r="AG101" s="276"/>
      <c r="AH101" s="276"/>
      <c r="AI101" s="276"/>
      <c r="AJ101" s="276"/>
      <c r="AK101" s="276"/>
      <c r="AL101" s="276"/>
      <c r="AM101" s="276"/>
      <c r="AN101" s="276"/>
      <c r="AO101" s="276"/>
      <c r="AP101" s="276"/>
      <c r="AQ101" s="276"/>
      <c r="AR101" s="276"/>
      <c r="AS101" s="276"/>
      <c r="AT101" s="276"/>
      <c r="AU101" s="276"/>
      <c r="AV101" s="276"/>
      <c r="AW101" s="276"/>
      <c r="AX101" s="276"/>
    </row>
    <row r="102" ht="15.75" customHeight="1">
      <c r="A102" s="280"/>
      <c r="B102" s="280"/>
      <c r="C102" s="281"/>
      <c r="D102" s="254"/>
      <c r="E102" s="254"/>
      <c r="F102" s="254"/>
      <c r="G102" s="254"/>
      <c r="H102" s="255"/>
      <c r="I102" s="254"/>
      <c r="J102" s="254"/>
      <c r="K102" s="254"/>
      <c r="L102" s="254"/>
      <c r="M102" s="254"/>
      <c r="N102" s="273"/>
      <c r="O102" s="273"/>
      <c r="P102" s="273"/>
      <c r="Q102" s="274"/>
      <c r="R102" s="274"/>
      <c r="S102" s="267"/>
      <c r="T102" s="267"/>
      <c r="U102" s="267"/>
      <c r="V102" s="267"/>
      <c r="W102" s="267"/>
      <c r="X102" s="267"/>
      <c r="Y102" s="267"/>
      <c r="Z102" s="275"/>
      <c r="AA102" s="275"/>
      <c r="AB102" s="267"/>
      <c r="AC102" s="267"/>
      <c r="AD102" s="267"/>
      <c r="AE102" s="267"/>
      <c r="AF102" s="276"/>
      <c r="AG102" s="276"/>
      <c r="AH102" s="276"/>
      <c r="AI102" s="276"/>
      <c r="AJ102" s="276"/>
      <c r="AK102" s="276"/>
      <c r="AL102" s="276"/>
      <c r="AM102" s="276"/>
      <c r="AN102" s="276"/>
      <c r="AO102" s="276"/>
      <c r="AP102" s="276"/>
      <c r="AQ102" s="276"/>
      <c r="AR102" s="276"/>
      <c r="AS102" s="276"/>
      <c r="AT102" s="276"/>
      <c r="AU102" s="276"/>
      <c r="AV102" s="276"/>
      <c r="AW102" s="276"/>
      <c r="AX102" s="276"/>
    </row>
    <row r="103" ht="15.75" customHeight="1">
      <c r="A103" s="280"/>
      <c r="B103" s="280"/>
      <c r="C103" s="281"/>
      <c r="D103" s="254"/>
      <c r="E103" s="254"/>
      <c r="F103" s="254"/>
      <c r="G103" s="254"/>
      <c r="H103" s="255"/>
      <c r="I103" s="254"/>
      <c r="J103" s="254"/>
      <c r="K103" s="254"/>
      <c r="L103" s="254"/>
      <c r="M103" s="254"/>
      <c r="N103" s="273"/>
      <c r="O103" s="273"/>
      <c r="P103" s="273"/>
      <c r="Q103" s="274"/>
      <c r="R103" s="274"/>
      <c r="S103" s="267"/>
      <c r="T103" s="254"/>
      <c r="U103" s="267"/>
      <c r="V103" s="267"/>
      <c r="W103" s="267"/>
      <c r="X103" s="267"/>
      <c r="Y103" s="267"/>
      <c r="Z103" s="275"/>
      <c r="AA103" s="275"/>
      <c r="AB103" s="267"/>
      <c r="AC103" s="267"/>
      <c r="AD103" s="267"/>
      <c r="AE103" s="267"/>
      <c r="AF103" s="276"/>
      <c r="AG103" s="276"/>
      <c r="AH103" s="276"/>
      <c r="AI103" s="276"/>
      <c r="AJ103" s="276"/>
      <c r="AK103" s="276"/>
      <c r="AL103" s="276"/>
      <c r="AM103" s="276"/>
      <c r="AN103" s="276"/>
      <c r="AO103" s="276"/>
      <c r="AP103" s="276"/>
      <c r="AQ103" s="276"/>
      <c r="AR103" s="276"/>
      <c r="AS103" s="276"/>
      <c r="AT103" s="276"/>
      <c r="AU103" s="276"/>
      <c r="AV103" s="276"/>
      <c r="AW103" s="276"/>
      <c r="AX103" s="276"/>
    </row>
    <row r="104" ht="15.75" customHeight="1">
      <c r="A104" s="280"/>
      <c r="B104" s="280"/>
      <c r="C104" s="281"/>
      <c r="D104" s="254"/>
      <c r="E104" s="254"/>
      <c r="F104" s="254"/>
      <c r="G104" s="254"/>
      <c r="H104" s="255"/>
      <c r="I104" s="254"/>
      <c r="J104" s="254"/>
      <c r="K104" s="254"/>
      <c r="L104" s="254"/>
      <c r="M104" s="254"/>
      <c r="N104" s="273"/>
      <c r="O104" s="273"/>
      <c r="P104" s="273"/>
      <c r="Q104" s="274"/>
      <c r="R104" s="274"/>
      <c r="S104" s="267"/>
      <c r="T104" s="254"/>
      <c r="U104" s="267"/>
      <c r="V104" s="267"/>
      <c r="W104" s="267"/>
      <c r="X104" s="267"/>
      <c r="Y104" s="267"/>
      <c r="Z104" s="275"/>
      <c r="AA104" s="275"/>
      <c r="AB104" s="267"/>
      <c r="AC104" s="267"/>
      <c r="AD104" s="267"/>
      <c r="AE104" s="267"/>
      <c r="AF104" s="276"/>
      <c r="AG104" s="276"/>
      <c r="AH104" s="276"/>
      <c r="AI104" s="276"/>
      <c r="AJ104" s="276"/>
      <c r="AK104" s="276"/>
      <c r="AL104" s="276"/>
      <c r="AM104" s="276"/>
      <c r="AN104" s="276"/>
      <c r="AO104" s="276"/>
      <c r="AP104" s="276"/>
      <c r="AQ104" s="276"/>
      <c r="AR104" s="276"/>
      <c r="AS104" s="276"/>
      <c r="AT104" s="276"/>
      <c r="AU104" s="276"/>
      <c r="AV104" s="276"/>
      <c r="AW104" s="276"/>
      <c r="AX104" s="276"/>
    </row>
  </sheetData>
  <customSheetViews>
    <customSheetView guid="{D231C3E6-8F34-4669-BD4B-6375A5FD1A7D}" filter="1" showAutoFilter="1">
      <autoFilter ref="$A$1:$AE$96"/>
    </customSheetView>
    <customSheetView guid="{60066A11-447C-4650-AEF7-9FE005963B06}" filter="1" showAutoFilter="1">
      <autoFilter ref="$B$2:$AE$96"/>
    </customSheetView>
    <customSheetView guid="{D1D59EAF-0D63-4FBE-B89F-57DAF6BA1C2D}" filter="1" showAutoFilter="1">
      <autoFilter ref="$B$2:$AE$96"/>
    </customSheetView>
    <customSheetView guid="{9651023E-7900-4EB4-B4B6-58306FA6EAD7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722B78C8-FCD4-4998-92AC-C08554C3B012}" filter="1" showAutoFilter="1">
      <autoFilter ref="$A$1:$AE$96">
        <filterColumn colId="3">
          <filters>
            <filter val="Miura"/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SUL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luemetrix Asset"/>
            <filter val="Bruno Henrique"/>
            <filter val="Felipe Estevam"/>
            <filter val="Rodger"/>
            <filter val="Assessor"/>
          </filters>
        </filterColumn>
      </autoFilter>
    </customSheetView>
    <customSheetView guid="{CAA79F67-A6A3-4ED0-A1B0-0DAAC59C98FC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7B595886-3679-4CE5-8338-C329E3005A7E}" filter="1" showAutoFilter="1">
      <autoFilter ref="$A$2:$AE$96">
        <filterColumn colId="7">
          <filters>
            <filter val="Encerrado"/>
          </filters>
        </filterColumn>
        <filterColumn colId="11">
          <filters blank="1">
            <filter val="05/08/2025"/>
            <filter val="09/03/2020"/>
          </filters>
        </filterColumn>
      </autoFilter>
    </customSheetView>
    <customSheetView guid="{B40945C9-974D-43EF-AB93-58449A090935}" filter="1" showAutoFilter="1">
      <autoFilter ref="$A$2:$AE$96"/>
    </customSheetView>
    <customSheetView guid="{B2B469ED-065E-487B-B6B9-536EFFBE72EB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C22C274A-8351-4552-955C-17C75AF11B50}" filter="1" showAutoFilter="1">
      <autoFilter ref="$A$2:$AE$96">
        <filterColumn colId="3">
          <filters>
            <filter val="Miura"/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Norton Jr"/>
            <filter val="Thiago Canabrava"/>
            <filter val="Bluemetrix Asset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Rodger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97ED08F8-0902-4DF2-B169-6E35A244D709}" filter="1" showAutoFilter="1">
      <autoFilter ref="$K$2:$P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E32AB26C-4D14-444C-AB57-6F022BBBD03C}" filter="1" showAutoFilter="1">
      <autoFilter ref="$A$1:$AE$96">
        <filterColumn colId="3">
          <filters>
            <filter val="Miura"/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Telefone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B720098B-70F4-44B5-833C-52F5E38957BF}" filter="1" showAutoFilter="1">
      <autoFilter ref="$B$2:$P$104">
        <filterColumn colId="9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67C01C50-489A-43C6-898D-F58DB0C2FE7C}" filter="1" showAutoFilter="1">
      <autoFilter ref="$B$2:$AE$96"/>
    </customSheetView>
    <customSheetView guid="{65EDCAC3-8E22-4FB8-922B-0B495E11E5DB}" filter="1" showAutoFilter="1">
      <autoFilter ref="$A$2:$AE$96">
        <filterColumn colId="7">
          <filters>
            <filter val="Inativo"/>
          </filters>
        </filterColumn>
      </autoFilter>
    </customSheetView>
    <customSheetView guid="{76811BFC-6AF1-42FD-933F-8DEF2DDC606B}" filter="1" showAutoFilter="1">
      <autoFilter ref="$A$1:$AE$96"/>
    </customSheetView>
    <customSheetView guid="{3AF03EB6-56CC-4410-8FFA-3735BC7F66A2}" filter="1" showAutoFilter="1">
      <autoFilter ref="$B$2:$AE$96">
        <filterColumn colId="4">
          <filters>
            <filter val="Norton Jr"/>
            <filter val="Bluemetrix Asset"/>
            <filter val="Bruno Henrique"/>
            <filter val="Rodrigo Milanez"/>
            <filter val="Guilherme dos Santos"/>
          </filters>
        </filterColumn>
      </autoFilter>
    </customSheetView>
    <customSheetView guid="{2689B0F3-C848-484D-8837-E91813906F10}" filter="1" showAutoFilter="1">
      <autoFilter ref="$A$1:$AE$96">
        <filterColumn colId="4">
          <filters>
            <filter val="UF"/>
            <filter val="DF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luemetrix Asset"/>
            <filter val="Bruno Henrique"/>
            <filter val="Rodrigo Milanez"/>
            <filter val="Felipe Estevam"/>
            <filter val="Flavio Miguel"/>
            <filter val="Rodger"/>
            <filter val="Assessor"/>
          </filters>
        </filterColumn>
        <filterColumn colId="3">
          <filters>
            <filter val="Miura"/>
            <filter val="Bluemetrix"/>
          </filters>
        </filterColumn>
      </autoFilter>
    </customSheetView>
    <customSheetView guid="{A214FC91-2926-4021-8CFF-EA2F61021101}" filter="1" showAutoFilter="1">
      <autoFilter ref="$L$2:$L$104">
        <filterColumn colId="0">
          <filters>
            <filter val="05/08/2025"/>
            <filter val="09/03/2020"/>
          </filters>
        </filterColumn>
      </autoFilter>
    </customSheetView>
    <customSheetView guid="{2B799362-B7B1-4E34-BAF1-CA385A7DA9EA}" filter="1" showAutoFilter="1">
      <autoFilter ref="$B$2:$AE$96"/>
    </customSheetView>
    <customSheetView guid="{7228C4C0-6366-410B-999F-F4ED1D860199}" filter="1" showAutoFilter="1">
      <autoFilter ref="$A$2:$AE$96"/>
    </customSheetView>
    <customSheetView guid="{C62C338D-6DD7-4E1D-BD83-DBDE22838042}" filter="1" showAutoFilter="1">
      <autoFilter ref="$B$2:$P$104">
        <filterColumn colId="9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0C67F5DA-14A5-47C5-91B5-988FF202FC69}" filter="1" showAutoFilter="1">
      <autoFilter ref="$A$1:$AE$104">
        <filterColumn colId="7">
          <filters>
            <filter val="Encerrado"/>
            <filter val="Ativo"/>
          </filters>
        </filterColumn>
      </autoFilter>
    </customSheetView>
    <customSheetView guid="{A0B95A44-8FE9-47B9-8B52-DE67E8D5CD4F}" filter="1" showAutoFilter="1">
      <autoFilter ref="$A$1:$AE$96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Miura"/>
            <filter val="Bluemetrix"/>
            <filter val="Escritório"/>
          </filters>
        </filterColumn>
        <filterColumn colId="5">
          <filters>
            <filter val="Lucas Zambrin"/>
            <filter val="Matrice"/>
            <filter val="Norton Jr"/>
            <filter val="Juliana Farias"/>
            <filter val="Bluemetrix Asset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Assessor"/>
          </filters>
        </filterColumn>
      </autoFilter>
    </customSheetView>
    <customSheetView guid="{03F8594D-D81D-41D8-8166-E0E039D1D75A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8D8D3085-AB50-4CBA-97BF-5552334D2C30}" filter="1" showAutoFilter="1">
      <autoFilter ref="$B$2:$AE$104"/>
    </customSheetView>
    <customSheetView guid="{2F696A84-E0A2-4357-AFCA-01998AF33B79}" filter="1" showAutoFilter="1">
      <autoFilter ref="$B$2:$AE$96"/>
    </customSheetView>
    <customSheetView guid="{CE2411D1-E1EA-4B10-9A09-B64AA7454FEF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D32BF63B-B2CA-4C3E-931C-80018C77A928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F2EF48BC-2DE2-4EAE-9B39-DF0524B366C9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5D99C391-A582-4147-B89C-A2E2E90FF18D}" filter="1" showAutoFilter="1">
      <autoFilter ref="$K$2:$P$104">
        <filterColumn colId="0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FBD4E7F3-FBBA-4389-B8DB-C6E19298F85D}" filter="1" showAutoFilter="1">
      <autoFilter ref="$K$2:$P$56">
        <filterColumn colId="0">
          <filters>
            <filter val="28/03/2023"/>
            <filter val="04/04/2023"/>
            <filter val="13/02/2023"/>
            <filter val="04/11/2025"/>
            <filter val="21/06/2023"/>
            <filter val="26/10/2023"/>
            <filter val="08/08/2023"/>
            <filter val="14/02/2023"/>
            <filter val="02/05/2024"/>
          </filters>
        </filterColumn>
      </autoFilter>
    </customSheetView>
    <customSheetView guid="{3D9A4475-5E5C-4472-A129-35E6A30C6B54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C47A8014-6FA4-42E4-9F12-F1011B9C099B}" filter="1" showAutoFilter="1">
      <autoFilter ref="$B$2:$P$104"/>
    </customSheetView>
    <customSheetView guid="{06003629-F286-4216-A213-4AFE1E36A40B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</customSheetViews>
  <mergeCells count="4">
    <mergeCell ref="A1:F1"/>
    <mergeCell ref="H1:I1"/>
    <mergeCell ref="J1:P1"/>
    <mergeCell ref="S1:AE1"/>
  </mergeCells>
  <dataValidations>
    <dataValidation type="list" allowBlank="1" showErrorMessage="1" sqref="E3:E96">
      <formula1>"DF,SUL,GO,BH"</formula1>
    </dataValidation>
    <dataValidation type="list" allowBlank="1" showErrorMessage="1" sqref="I3:I96">
      <formula1>"------,Sem Saldo,STVM Entrada,STVM Saída,Alteração de C.A,Monitoramento,Bloqueado,Resgate,Resgate Total,Troca de Assessoria,Distrato"</formula1>
    </dataValidation>
    <dataValidation type="list" allowBlank="1" showErrorMessage="1" sqref="Z3:AA96">
      <formula1>"Conservador,Moderado,Arrojado"</formula1>
    </dataValidation>
    <dataValidation type="list" allowBlank="1" showErrorMessage="1" sqref="Y3:Y96">
      <formula1>"Ativo,Inativo,Encerrado"</formula1>
    </dataValidation>
    <dataValidation type="list" allowBlank="1" showErrorMessage="1" sqref="P3:P96">
      <formula1>"0%,10%,15%,20%"</formula1>
    </dataValidation>
    <dataValidation type="list" allowBlank="1" showErrorMessage="1" sqref="O3:O53 O55:O96">
      <formula1>"CDI,IBOVESPA,IFIX,SMLL,S&amp;P500,------"</formula1>
    </dataValidation>
    <dataValidation type="list" allowBlank="1" showErrorMessage="1" sqref="D3:D96">
      <formula1>"Bluemetrix,Blanchor,Conquest,Voga,Matrice,Miura"</formula1>
    </dataValidation>
    <dataValidation type="list" allowBlank="1" showErrorMessage="1" sqref="H3:H96">
      <formula1>"Pode Operar,Ativo,Inativo,Encerrado"</formula1>
    </dataValidation>
    <dataValidation type="list" allowBlank="1" showErrorMessage="1" sqref="O54">
      <formula1>"IBOV,CDI,------,IFIX,SMALL,S&amp;P 500"</formula1>
    </dataValidation>
    <dataValidation type="list" allowBlank="1" showErrorMessage="1" sqref="S3:S9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5"/>
    <col customWidth="1" min="2" max="2" width="47.63"/>
    <col customWidth="1" min="3" max="3" width="7.63"/>
    <col customWidth="1" min="4" max="4" width="11.0"/>
    <col customWidth="1" min="5" max="5" width="5.63"/>
    <col customWidth="1" min="6" max="6" width="17.38"/>
    <col customWidth="1" min="7" max="7" width="14.25"/>
    <col customWidth="1" min="8" max="8" width="13.13"/>
    <col customWidth="1" min="9" max="9" width="12.75"/>
    <col customWidth="1" min="10" max="10" width="8.5"/>
    <col customWidth="1" min="11" max="11" width="12.63"/>
    <col customWidth="1" min="12" max="12" width="10.38"/>
    <col customWidth="1" min="13" max="13" width="11.0"/>
    <col customWidth="1" min="14" max="14" width="11.88"/>
    <col customWidth="1" min="15" max="15" width="16.38"/>
    <col customWidth="1" min="16" max="16" width="7.63"/>
    <col customWidth="1" min="17" max="17" width="53.25"/>
    <col customWidth="1" min="18" max="18" width="31.88"/>
    <col customWidth="1" min="19" max="19" width="6.75"/>
    <col customWidth="1" min="20" max="20" width="14.5"/>
    <col customWidth="1" min="21" max="21" width="12.63"/>
    <col customWidth="1" min="22" max="22" width="22.5"/>
    <col customWidth="1" min="23" max="23" width="14.5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hidden="1" min="32" max="32" width="12.25"/>
    <col customWidth="1" hidden="1" min="33" max="37" width="13.0"/>
    <col customWidth="1" hidden="1" min="38" max="44" width="12.88"/>
    <col customWidth="1" min="45" max="72" width="12.88"/>
  </cols>
  <sheetData>
    <row r="1" ht="15.75" customHeight="1">
      <c r="A1" s="242" t="s">
        <v>0</v>
      </c>
      <c r="G1" s="5" t="s">
        <v>3</v>
      </c>
      <c r="H1" s="5" t="s">
        <v>6</v>
      </c>
      <c r="J1" s="2" t="s">
        <v>0</v>
      </c>
      <c r="Q1" s="6" t="s">
        <v>10</v>
      </c>
      <c r="R1" s="8" t="s">
        <v>11</v>
      </c>
      <c r="S1" s="9" t="s">
        <v>13</v>
      </c>
      <c r="AC1" s="9"/>
      <c r="AD1" s="9"/>
      <c r="AE1" s="9"/>
      <c r="AF1" s="11" t="s">
        <v>18</v>
      </c>
      <c r="AG1" s="11" t="s">
        <v>18</v>
      </c>
      <c r="AH1" s="11" t="s">
        <v>18</v>
      </c>
      <c r="AI1" s="11" t="s">
        <v>18</v>
      </c>
      <c r="AJ1" s="11" t="s">
        <v>18</v>
      </c>
      <c r="AK1" s="11" t="s">
        <v>18</v>
      </c>
      <c r="AL1" s="11" t="s">
        <v>18</v>
      </c>
      <c r="AM1" s="11" t="s">
        <v>18</v>
      </c>
      <c r="AN1" s="11" t="s">
        <v>18</v>
      </c>
      <c r="AO1" s="11" t="s">
        <v>18</v>
      </c>
      <c r="AP1" s="11" t="s">
        <v>18</v>
      </c>
      <c r="AQ1" s="11" t="s">
        <v>18</v>
      </c>
      <c r="AR1" s="11" t="s">
        <v>18</v>
      </c>
      <c r="AS1" s="11" t="s">
        <v>18</v>
      </c>
      <c r="AT1" s="11" t="s">
        <v>18</v>
      </c>
      <c r="AU1" s="11" t="s">
        <v>18</v>
      </c>
      <c r="AV1" s="11" t="s">
        <v>18</v>
      </c>
      <c r="AW1" s="11" t="s">
        <v>18</v>
      </c>
      <c r="AX1" s="11" t="s">
        <v>18</v>
      </c>
      <c r="AY1" s="11" t="s">
        <v>18</v>
      </c>
      <c r="AZ1" s="11" t="s">
        <v>18</v>
      </c>
      <c r="BA1" s="11" t="s">
        <v>18</v>
      </c>
      <c r="BB1" s="11" t="s">
        <v>18</v>
      </c>
      <c r="BC1" s="11" t="s">
        <v>18</v>
      </c>
      <c r="BD1" s="11" t="s">
        <v>18</v>
      </c>
      <c r="BE1" s="11" t="s">
        <v>18</v>
      </c>
      <c r="BF1" s="11" t="s">
        <v>18</v>
      </c>
      <c r="BG1" s="11" t="s">
        <v>18</v>
      </c>
      <c r="BH1" s="11" t="s">
        <v>18</v>
      </c>
      <c r="BI1" s="11" t="s">
        <v>18</v>
      </c>
      <c r="BJ1" s="11" t="s">
        <v>18</v>
      </c>
      <c r="BK1" s="11" t="s">
        <v>18</v>
      </c>
      <c r="BL1" s="11" t="s">
        <v>18</v>
      </c>
      <c r="BM1" s="11" t="s">
        <v>18</v>
      </c>
      <c r="BN1" s="11" t="s">
        <v>18</v>
      </c>
      <c r="BO1" s="11" t="s">
        <v>18</v>
      </c>
      <c r="BP1" s="11" t="s">
        <v>18</v>
      </c>
      <c r="BQ1" s="11" t="s">
        <v>18</v>
      </c>
      <c r="BR1" s="11" t="s">
        <v>18</v>
      </c>
      <c r="BS1" s="11" t="s">
        <v>18</v>
      </c>
      <c r="BT1" s="11" t="s">
        <v>18</v>
      </c>
    </row>
    <row r="2" ht="15.75" customHeight="1">
      <c r="A2" s="25" t="s">
        <v>31</v>
      </c>
      <c r="B2" s="12" t="s">
        <v>33</v>
      </c>
      <c r="C2" s="25" t="s">
        <v>2</v>
      </c>
      <c r="D2" s="28" t="s">
        <v>4</v>
      </c>
      <c r="E2" s="28" t="s">
        <v>5</v>
      </c>
      <c r="F2" s="28" t="s">
        <v>7</v>
      </c>
      <c r="G2" s="28" t="s">
        <v>36</v>
      </c>
      <c r="H2" s="28" t="s">
        <v>37</v>
      </c>
      <c r="I2" s="28" t="s">
        <v>38</v>
      </c>
      <c r="J2" s="28" t="s">
        <v>39</v>
      </c>
      <c r="K2" s="25" t="s">
        <v>41</v>
      </c>
      <c r="L2" s="25" t="s">
        <v>42</v>
      </c>
      <c r="M2" s="25" t="s">
        <v>12</v>
      </c>
      <c r="N2" s="25" t="s">
        <v>45</v>
      </c>
      <c r="O2" s="12" t="s">
        <v>46</v>
      </c>
      <c r="P2" s="25" t="s">
        <v>16</v>
      </c>
      <c r="Q2" s="35" t="s">
        <v>9</v>
      </c>
      <c r="R2" s="36" t="s">
        <v>48</v>
      </c>
      <c r="S2" s="28" t="s">
        <v>50</v>
      </c>
      <c r="T2" s="12" t="s">
        <v>17</v>
      </c>
      <c r="U2" s="12" t="s">
        <v>19</v>
      </c>
      <c r="V2" s="12" t="s">
        <v>20</v>
      </c>
      <c r="W2" s="12" t="s">
        <v>21</v>
      </c>
      <c r="X2" s="25" t="s">
        <v>22</v>
      </c>
      <c r="Y2" s="41" t="s">
        <v>56</v>
      </c>
      <c r="Z2" s="12" t="s">
        <v>57</v>
      </c>
      <c r="AA2" s="12" t="s">
        <v>58</v>
      </c>
      <c r="AB2" s="25" t="s">
        <v>60</v>
      </c>
      <c r="AC2" s="38" t="s">
        <v>62</v>
      </c>
      <c r="AD2" s="38" t="s">
        <v>63</v>
      </c>
      <c r="AE2" s="38" t="s">
        <v>64</v>
      </c>
      <c r="AF2" s="28" t="s">
        <v>121</v>
      </c>
      <c r="AG2" s="28" t="s">
        <v>123</v>
      </c>
      <c r="AH2" s="28" t="s">
        <v>126</v>
      </c>
      <c r="AI2" s="28" t="s">
        <v>127</v>
      </c>
      <c r="AJ2" s="28" t="s">
        <v>128</v>
      </c>
      <c r="AK2" s="44" t="s">
        <v>130</v>
      </c>
      <c r="AL2" s="44" t="s">
        <v>132</v>
      </c>
      <c r="AM2" s="44" t="s">
        <v>135</v>
      </c>
      <c r="AN2" s="44" t="s">
        <v>138</v>
      </c>
      <c r="AO2" s="46" t="s">
        <v>140</v>
      </c>
      <c r="AP2" s="46" t="s">
        <v>143</v>
      </c>
      <c r="AQ2" s="46" t="s">
        <v>146</v>
      </c>
      <c r="AR2" s="46" t="s">
        <v>149</v>
      </c>
      <c r="AS2" s="46" t="s">
        <v>153</v>
      </c>
      <c r="AT2" s="46" t="s">
        <v>157</v>
      </c>
      <c r="AU2" s="46" t="s">
        <v>161</v>
      </c>
      <c r="AV2" s="46" t="s">
        <v>163</v>
      </c>
      <c r="AW2" s="46" t="s">
        <v>166</v>
      </c>
      <c r="AX2" s="46" t="s">
        <v>168</v>
      </c>
      <c r="AY2" s="46" t="s">
        <v>171</v>
      </c>
      <c r="AZ2" s="46" t="s">
        <v>65</v>
      </c>
      <c r="BA2" s="46" t="s">
        <v>67</v>
      </c>
      <c r="BB2" s="46" t="s">
        <v>68</v>
      </c>
      <c r="BC2" s="46" t="s">
        <v>70</v>
      </c>
      <c r="BD2" s="46" t="s">
        <v>72</v>
      </c>
      <c r="BE2" s="46" t="s">
        <v>74</v>
      </c>
      <c r="BF2" s="46" t="s">
        <v>75</v>
      </c>
      <c r="BG2" s="46" t="s">
        <v>76</v>
      </c>
      <c r="BH2" s="46" t="s">
        <v>78</v>
      </c>
      <c r="BI2" s="46" t="s">
        <v>79</v>
      </c>
      <c r="BJ2" s="46" t="s">
        <v>81</v>
      </c>
      <c r="BK2" s="46" t="s">
        <v>82</v>
      </c>
      <c r="BL2" s="46" t="s">
        <v>84</v>
      </c>
      <c r="BM2" s="46" t="s">
        <v>85</v>
      </c>
      <c r="BN2" s="46" t="s">
        <v>87</v>
      </c>
      <c r="BO2" s="46" t="s">
        <v>88</v>
      </c>
      <c r="BP2" s="46" t="s">
        <v>90</v>
      </c>
      <c r="BQ2" s="46" t="s">
        <v>92</v>
      </c>
      <c r="BR2" s="46" t="s">
        <v>94</v>
      </c>
      <c r="BS2" s="46" t="s">
        <v>95</v>
      </c>
      <c r="BT2" s="46" t="s">
        <v>1528</v>
      </c>
    </row>
    <row r="3" ht="15.75" customHeight="1">
      <c r="A3" s="176" t="s">
        <v>207</v>
      </c>
      <c r="B3" s="176" t="s">
        <v>291</v>
      </c>
      <c r="C3" s="95">
        <v>1.100556E7</v>
      </c>
      <c r="D3" s="63" t="s">
        <v>120</v>
      </c>
      <c r="E3" s="66" t="s">
        <v>199</v>
      </c>
      <c r="F3" s="63" t="s">
        <v>290</v>
      </c>
      <c r="G3" s="141" t="str">
        <f t="shared" ref="G3:G18" si="1">IFS($BT$3:$BT$966&lt;=200000,"David",$BT$3:$BT$966&lt;=800000,"Gabriel", $BT$3:$BT$966&gt;800000,"Marcus")</f>
        <v>Marcus</v>
      </c>
      <c r="H3" s="74" t="s">
        <v>183</v>
      </c>
      <c r="I3" s="74" t="s">
        <v>66</v>
      </c>
      <c r="J3" s="63" t="str">
        <f t="shared" ref="J3:J18" si="2">IF(Q3=0,"Não","Sim")</f>
        <v>Não</v>
      </c>
      <c r="K3" s="75">
        <v>45007.0</v>
      </c>
      <c r="L3" s="62"/>
      <c r="M3" s="78" t="s">
        <v>61</v>
      </c>
      <c r="N3" s="80">
        <v>0.012</v>
      </c>
      <c r="O3" s="81" t="s">
        <v>66</v>
      </c>
      <c r="P3" s="82">
        <v>0.0</v>
      </c>
      <c r="Q3" s="70"/>
      <c r="R3" s="70"/>
      <c r="S3" s="62" t="s">
        <v>194</v>
      </c>
      <c r="T3" s="22" t="s">
        <v>298</v>
      </c>
      <c r="U3" s="22" t="s">
        <v>300</v>
      </c>
      <c r="V3" s="22" t="s">
        <v>302</v>
      </c>
      <c r="W3" s="244">
        <v>22296.0</v>
      </c>
      <c r="X3" s="30" t="s">
        <v>199</v>
      </c>
      <c r="Y3" s="245" t="str">
        <f t="shared" ref="Y3:Y18" si="3">IFS(H:H="Encerrado","Encerrado",COUNTBLANK(AU3:BF3)&gt;0,"Ativo",SUM(AU3:BF3)=0,"Inativo",SUM(AU3:BF3)&gt;0,"Ativo")</f>
        <v>Ativo</v>
      </c>
      <c r="Z3" s="62"/>
      <c r="AA3" s="62"/>
      <c r="AB3" s="32" t="s">
        <v>244</v>
      </c>
      <c r="AC3" s="62"/>
      <c r="AD3" s="194">
        <v>45007.0</v>
      </c>
      <c r="AE3" s="32">
        <v>4.9075100014728E13</v>
      </c>
      <c r="AF3" s="96">
        <v>868190.39</v>
      </c>
      <c r="AG3" s="96">
        <v>3483945.75</v>
      </c>
      <c r="AH3" s="96">
        <v>1906831.93</v>
      </c>
      <c r="AI3" s="222">
        <v>1908117.71</v>
      </c>
      <c r="AJ3" s="222">
        <v>1935545.71</v>
      </c>
      <c r="AK3" s="96">
        <v>1960342.01</v>
      </c>
      <c r="AL3" s="96">
        <v>1960342.01</v>
      </c>
      <c r="AM3" s="96">
        <v>2176208.41</v>
      </c>
      <c r="AN3" s="96">
        <v>2192264.86</v>
      </c>
      <c r="AO3" s="96">
        <v>2199647.56</v>
      </c>
      <c r="AP3" s="90">
        <v>2414145.46</v>
      </c>
      <c r="AQ3" s="90">
        <v>2430373.97</v>
      </c>
      <c r="AR3" s="90">
        <v>2451622.0</v>
      </c>
      <c r="AS3" s="90">
        <v>2433506.32</v>
      </c>
      <c r="AT3" s="90">
        <v>2455318.98</v>
      </c>
      <c r="AU3" s="90">
        <v>2996978.63</v>
      </c>
      <c r="AV3" s="90">
        <v>3022738.93</v>
      </c>
      <c r="AW3" s="90">
        <v>3040066.07</v>
      </c>
      <c r="AX3" s="90">
        <v>3233433.45</v>
      </c>
      <c r="AY3" s="90">
        <v>3343931.54</v>
      </c>
      <c r="AZ3" s="90">
        <v>3366680.98</v>
      </c>
      <c r="BA3" s="90">
        <v>3307605.27</v>
      </c>
      <c r="BB3" s="90">
        <v>3336533.14</v>
      </c>
      <c r="BC3" s="90">
        <v>3400012.61</v>
      </c>
      <c r="BD3" s="90">
        <v>3435812.49</v>
      </c>
      <c r="BE3" s="90">
        <v>3468603.53</v>
      </c>
      <c r="BF3" s="90">
        <v>3588119.46</v>
      </c>
      <c r="BG3" s="90">
        <v>3547349.92</v>
      </c>
      <c r="BH3" s="100">
        <v>5584985.72</v>
      </c>
      <c r="BI3" s="90">
        <v>5629373.79</v>
      </c>
      <c r="BJ3" s="100">
        <v>5672338.37</v>
      </c>
      <c r="BK3" s="100">
        <v>5736847.68</v>
      </c>
      <c r="BL3" s="100">
        <v>5773890.36</v>
      </c>
      <c r="BM3" s="100">
        <v>5838597.18</v>
      </c>
      <c r="BN3" s="100">
        <v>5825958.22</v>
      </c>
      <c r="BO3" s="100">
        <v>5983200.0</v>
      </c>
      <c r="BP3" s="100">
        <v>6003660.32</v>
      </c>
      <c r="BQ3" s="100">
        <v>6034197.54</v>
      </c>
      <c r="BR3" s="100">
        <v>6103213.99</v>
      </c>
      <c r="BS3" s="100">
        <v>6166418.81</v>
      </c>
      <c r="BT3" s="100">
        <f t="array" ref="BT3">XLOOKUP(C3,'PL TOTAL D0'!H:H,'PL TOTAL D0'!I:I,"")</f>
        <v>6217903.6</v>
      </c>
    </row>
    <row r="4" ht="15.75" customHeight="1">
      <c r="A4" s="176" t="s">
        <v>207</v>
      </c>
      <c r="B4" s="39" t="s">
        <v>1555</v>
      </c>
      <c r="C4" s="95">
        <v>1.5667976E7</v>
      </c>
      <c r="D4" s="141" t="s">
        <v>210</v>
      </c>
      <c r="E4" s="27" t="s">
        <v>199</v>
      </c>
      <c r="F4" s="141" t="s">
        <v>275</v>
      </c>
      <c r="G4" s="141" t="str">
        <f t="shared" si="1"/>
        <v>Gabriel</v>
      </c>
      <c r="H4" s="49" t="s">
        <v>183</v>
      </c>
      <c r="I4" s="49" t="s">
        <v>66</v>
      </c>
      <c r="J4" s="63" t="str">
        <f t="shared" si="2"/>
        <v>Não</v>
      </c>
      <c r="K4" s="170">
        <v>45874.0</v>
      </c>
      <c r="L4" s="62"/>
      <c r="M4" s="108" t="s">
        <v>213</v>
      </c>
      <c r="N4" s="178">
        <v>0.007</v>
      </c>
      <c r="O4" s="30" t="s">
        <v>66</v>
      </c>
      <c r="P4" s="173">
        <v>0.0</v>
      </c>
      <c r="Q4" s="70"/>
      <c r="R4" s="70"/>
      <c r="S4" s="32" t="s">
        <v>234</v>
      </c>
      <c r="T4" s="22" t="s">
        <v>1558</v>
      </c>
      <c r="U4" s="22" t="s">
        <v>1560</v>
      </c>
      <c r="V4" s="22" t="s">
        <v>1561</v>
      </c>
      <c r="W4" s="244">
        <v>40707.0</v>
      </c>
      <c r="X4" s="30" t="s">
        <v>199</v>
      </c>
      <c r="Y4" s="245" t="str">
        <f t="shared" si="3"/>
        <v>Ativo</v>
      </c>
      <c r="Z4" s="62"/>
      <c r="AA4" s="32" t="s">
        <v>107</v>
      </c>
      <c r="AB4" s="32"/>
      <c r="AC4" s="62"/>
      <c r="AD4" s="194"/>
      <c r="AE4" s="32"/>
      <c r="AF4" s="96"/>
      <c r="AG4" s="96"/>
      <c r="AH4" s="96"/>
      <c r="AI4" s="246"/>
      <c r="AJ4" s="246"/>
      <c r="AK4" s="96"/>
      <c r="AL4" s="96"/>
      <c r="AM4" s="96"/>
      <c r="AN4" s="96"/>
      <c r="AO4" s="96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100">
        <v>0.0</v>
      </c>
      <c r="BI4" s="90">
        <v>601667.09</v>
      </c>
      <c r="BJ4" s="100">
        <v>608802.88</v>
      </c>
      <c r="BK4" s="100">
        <v>814501.0</v>
      </c>
      <c r="BL4" s="100">
        <v>821047.79</v>
      </c>
      <c r="BM4" s="100">
        <v>828488.38</v>
      </c>
      <c r="BN4" s="100">
        <v>835586.6</v>
      </c>
      <c r="BO4" s="100">
        <v>1002986.0</v>
      </c>
      <c r="BP4" s="100">
        <v>851304.06</v>
      </c>
      <c r="BQ4" s="247">
        <v>782999.68</v>
      </c>
      <c r="BR4" s="100">
        <v>639174.51</v>
      </c>
      <c r="BS4" s="100">
        <v>584450.23</v>
      </c>
      <c r="BT4" s="100">
        <f t="array" ref="BT4">XLOOKUP(C4,'PL TOTAL D0'!H:H,'PL TOTAL D0'!I:I,"")</f>
        <v>499463.58</v>
      </c>
    </row>
    <row r="5" ht="15.75" customHeight="1">
      <c r="A5" s="176" t="s">
        <v>207</v>
      </c>
      <c r="B5" s="39" t="s">
        <v>1568</v>
      </c>
      <c r="C5" s="22">
        <v>1.7868117E7</v>
      </c>
      <c r="D5" s="141" t="s">
        <v>120</v>
      </c>
      <c r="E5" s="27" t="s">
        <v>199</v>
      </c>
      <c r="F5" s="63" t="s">
        <v>388</v>
      </c>
      <c r="G5" s="141" t="str">
        <f t="shared" si="1"/>
        <v>David</v>
      </c>
      <c r="H5" s="49" t="s">
        <v>183</v>
      </c>
      <c r="I5" s="49" t="s">
        <v>382</v>
      </c>
      <c r="J5" s="63" t="str">
        <f t="shared" si="2"/>
        <v>Não</v>
      </c>
      <c r="K5" s="170">
        <v>46164.0</v>
      </c>
      <c r="L5" s="62"/>
      <c r="M5" s="108" t="s">
        <v>716</v>
      </c>
      <c r="N5" s="178">
        <v>0.015</v>
      </c>
      <c r="O5" s="30" t="s">
        <v>66</v>
      </c>
      <c r="P5" s="173">
        <v>0.0</v>
      </c>
      <c r="Q5" s="70"/>
      <c r="R5" s="70"/>
      <c r="S5" s="32" t="s">
        <v>234</v>
      </c>
      <c r="T5" s="22" t="s">
        <v>1571</v>
      </c>
      <c r="U5" s="22" t="s">
        <v>1572</v>
      </c>
      <c r="V5" s="22" t="s">
        <v>1573</v>
      </c>
      <c r="W5" s="244">
        <v>45945.0</v>
      </c>
      <c r="X5" s="30" t="s">
        <v>397</v>
      </c>
      <c r="Y5" s="245" t="str">
        <f t="shared" si="3"/>
        <v>Ativo</v>
      </c>
      <c r="Z5" s="62"/>
      <c r="AA5" s="32" t="s">
        <v>107</v>
      </c>
      <c r="AB5" s="32"/>
      <c r="AC5" s="62"/>
      <c r="AD5" s="194"/>
      <c r="AE5" s="32"/>
      <c r="AF5" s="96"/>
      <c r="AG5" s="96"/>
      <c r="AH5" s="96"/>
      <c r="AI5" s="246"/>
      <c r="AJ5" s="246"/>
      <c r="AK5" s="96"/>
      <c r="AL5" s="96"/>
      <c r="AM5" s="96"/>
      <c r="AN5" s="96"/>
      <c r="AO5" s="96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100"/>
      <c r="BI5" s="90"/>
      <c r="BJ5" s="100"/>
      <c r="BK5" s="100"/>
      <c r="BL5" s="100"/>
      <c r="BM5" s="100"/>
      <c r="BN5" s="100"/>
      <c r="BO5" s="100"/>
      <c r="BP5" s="100"/>
      <c r="BQ5" s="247"/>
      <c r="BR5" s="100">
        <v>0.0</v>
      </c>
      <c r="BS5" s="100">
        <v>0.0</v>
      </c>
      <c r="BT5" s="100">
        <f t="array" ref="BT5">XLOOKUP(C5,'PL TOTAL D0'!H:H,'PL TOTAL D0'!I:I,"")</f>
        <v>0</v>
      </c>
    </row>
    <row r="6">
      <c r="A6" s="176" t="s">
        <v>207</v>
      </c>
      <c r="B6" s="176" t="s">
        <v>1580</v>
      </c>
      <c r="C6" s="95">
        <v>1.094059E7</v>
      </c>
      <c r="D6" s="63" t="s">
        <v>120</v>
      </c>
      <c r="E6" s="66" t="s">
        <v>199</v>
      </c>
      <c r="F6" s="63" t="s">
        <v>388</v>
      </c>
      <c r="G6" s="141" t="str">
        <f t="shared" si="1"/>
        <v>David</v>
      </c>
      <c r="H6" s="49" t="s">
        <v>295</v>
      </c>
      <c r="I6" s="49" t="s">
        <v>296</v>
      </c>
      <c r="J6" s="63" t="str">
        <f t="shared" si="2"/>
        <v>Sim</v>
      </c>
      <c r="K6" s="104">
        <v>45034.0</v>
      </c>
      <c r="L6" s="62"/>
      <c r="M6" s="106" t="s">
        <v>361</v>
      </c>
      <c r="N6" s="107">
        <v>0.02</v>
      </c>
      <c r="O6" s="81" t="s">
        <v>35</v>
      </c>
      <c r="P6" s="82">
        <v>0.2</v>
      </c>
      <c r="Q6" s="70" t="s">
        <v>1588</v>
      </c>
      <c r="R6" s="70"/>
      <c r="S6" s="62" t="s">
        <v>194</v>
      </c>
      <c r="T6" s="22" t="s">
        <v>445</v>
      </c>
      <c r="U6" s="22" t="s">
        <v>1590</v>
      </c>
      <c r="V6" s="22" t="s">
        <v>448</v>
      </c>
      <c r="W6" s="248">
        <v>29186.0</v>
      </c>
      <c r="X6" s="30" t="s">
        <v>199</v>
      </c>
      <c r="Y6" s="245" t="str">
        <f t="shared" si="3"/>
        <v>Ativo</v>
      </c>
      <c r="Z6" s="62"/>
      <c r="AA6" s="62"/>
      <c r="AB6" s="32" t="s">
        <v>244</v>
      </c>
      <c r="AC6" s="62"/>
      <c r="AD6" s="194">
        <v>45034.0</v>
      </c>
      <c r="AE6" s="32">
        <v>4.9075100014752E13</v>
      </c>
      <c r="AF6" s="96">
        <v>0.0</v>
      </c>
      <c r="AG6" s="96">
        <v>546727.25</v>
      </c>
      <c r="AH6" s="96">
        <v>599473.92</v>
      </c>
      <c r="AI6" s="222">
        <v>607825.55</v>
      </c>
      <c r="AJ6" s="222">
        <v>789504.54</v>
      </c>
      <c r="AK6" s="96">
        <v>738358.46</v>
      </c>
      <c r="AL6" s="96">
        <v>738358.46</v>
      </c>
      <c r="AM6" s="96">
        <v>799452.14</v>
      </c>
      <c r="AN6" s="96">
        <v>863626.59</v>
      </c>
      <c r="AO6" s="96">
        <v>947228.39</v>
      </c>
      <c r="AP6" s="90">
        <v>898539.27</v>
      </c>
      <c r="AQ6" s="90">
        <v>761428.71</v>
      </c>
      <c r="AR6" s="90">
        <v>648324.12</v>
      </c>
      <c r="AS6" s="90">
        <v>874068.82</v>
      </c>
      <c r="AT6" s="90">
        <v>779748.26</v>
      </c>
      <c r="AU6" s="90">
        <v>779342.44</v>
      </c>
      <c r="AV6" s="90">
        <v>850329.2</v>
      </c>
      <c r="AW6" s="90">
        <v>825551.31</v>
      </c>
      <c r="AX6" s="90">
        <v>788325.22</v>
      </c>
      <c r="AY6" s="90">
        <v>776723.97</v>
      </c>
      <c r="AZ6" s="90">
        <v>758560.62</v>
      </c>
      <c r="BA6" s="90">
        <v>550694.13</v>
      </c>
      <c r="BB6" s="90">
        <v>561749.77</v>
      </c>
      <c r="BC6" s="90">
        <v>456482.2</v>
      </c>
      <c r="BD6" s="90">
        <v>664276.86</v>
      </c>
      <c r="BE6" s="90">
        <v>672676.56</v>
      </c>
      <c r="BF6" s="90">
        <v>685835.66</v>
      </c>
      <c r="BG6" s="90">
        <v>693260.12</v>
      </c>
      <c r="BH6" s="100">
        <v>693384.27</v>
      </c>
      <c r="BI6" s="90">
        <v>703513.4</v>
      </c>
      <c r="BJ6" s="100">
        <v>712240.78</v>
      </c>
      <c r="BK6" s="100">
        <v>0.0</v>
      </c>
      <c r="BL6" s="100">
        <v>73.38</v>
      </c>
      <c r="BM6" s="100">
        <v>987.54</v>
      </c>
      <c r="BN6" s="100">
        <v>0.0</v>
      </c>
      <c r="BO6" s="100">
        <v>0.0</v>
      </c>
      <c r="BP6" s="100">
        <v>0.0</v>
      </c>
      <c r="BQ6" s="100">
        <v>0.0</v>
      </c>
      <c r="BR6" s="100">
        <v>0.0</v>
      </c>
      <c r="BS6" s="100">
        <v>0.0</v>
      </c>
      <c r="BT6" s="100">
        <f t="array" ref="BT6">XLOOKUP(C6,'PL TOTAL D0'!H:H,'PL TOTAL D0'!I:I,"")</f>
        <v>0</v>
      </c>
    </row>
    <row r="7">
      <c r="A7" s="176" t="s">
        <v>207</v>
      </c>
      <c r="B7" s="176" t="s">
        <v>1594</v>
      </c>
      <c r="C7" s="22">
        <v>1.1830618E7</v>
      </c>
      <c r="D7" s="63" t="s">
        <v>120</v>
      </c>
      <c r="E7" s="66" t="s">
        <v>54</v>
      </c>
      <c r="F7" s="63" t="s">
        <v>125</v>
      </c>
      <c r="G7" s="141" t="str">
        <f t="shared" si="1"/>
        <v>David</v>
      </c>
      <c r="H7" s="49" t="s">
        <v>183</v>
      </c>
      <c r="I7" s="49" t="s">
        <v>66</v>
      </c>
      <c r="J7" s="63" t="str">
        <f t="shared" si="2"/>
        <v>Não</v>
      </c>
      <c r="K7" s="104">
        <v>45947.0</v>
      </c>
      <c r="L7" s="62"/>
      <c r="M7" s="106" t="s">
        <v>61</v>
      </c>
      <c r="N7" s="107">
        <v>0.01</v>
      </c>
      <c r="O7" s="81" t="s">
        <v>66</v>
      </c>
      <c r="P7" s="82">
        <v>0.0</v>
      </c>
      <c r="Q7" s="70"/>
      <c r="R7" s="70"/>
      <c r="S7" s="62" t="s">
        <v>194</v>
      </c>
      <c r="T7" s="22" t="s">
        <v>1597</v>
      </c>
      <c r="U7" s="22" t="s">
        <v>1598</v>
      </c>
      <c r="V7" s="22" t="s">
        <v>1599</v>
      </c>
      <c r="W7" s="248">
        <v>25818.0</v>
      </c>
      <c r="X7" s="30" t="s">
        <v>54</v>
      </c>
      <c r="Y7" s="245" t="str">
        <f t="shared" si="3"/>
        <v>Ativo</v>
      </c>
      <c r="Z7" s="62"/>
      <c r="AA7" s="62" t="s">
        <v>47</v>
      </c>
      <c r="AB7" s="32"/>
      <c r="AC7" s="62"/>
      <c r="AD7" s="194"/>
      <c r="AE7" s="32"/>
      <c r="AF7" s="96"/>
      <c r="AG7" s="96"/>
      <c r="AH7" s="96"/>
      <c r="AI7" s="246"/>
      <c r="AJ7" s="246"/>
      <c r="AK7" s="96"/>
      <c r="AL7" s="96"/>
      <c r="AM7" s="96"/>
      <c r="AN7" s="96"/>
      <c r="AO7" s="96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100"/>
      <c r="BI7" s="90"/>
      <c r="BJ7" s="100"/>
      <c r="BK7" s="100">
        <v>181600.49</v>
      </c>
      <c r="BL7" s="100">
        <v>183991.97</v>
      </c>
      <c r="BM7" s="100">
        <v>183406.78</v>
      </c>
      <c r="BN7" s="100">
        <v>152008.19</v>
      </c>
      <c r="BO7" s="100">
        <v>151793.4</v>
      </c>
      <c r="BP7" s="100">
        <v>149765.35</v>
      </c>
      <c r="BQ7" s="100">
        <v>148465.58</v>
      </c>
      <c r="BR7" s="100">
        <v>145632.5</v>
      </c>
      <c r="BS7" s="100">
        <v>146066.87</v>
      </c>
      <c r="BT7" s="100">
        <f t="array" ref="BT7">XLOOKUP(C7,'PL TOTAL D0'!H:H,'PL TOTAL D0'!I:I,"")</f>
        <v>145944.23</v>
      </c>
    </row>
    <row r="8" ht="15.75" customHeight="1">
      <c r="A8" s="176" t="s">
        <v>207</v>
      </c>
      <c r="B8" s="249" t="s">
        <v>1612</v>
      </c>
      <c r="C8" s="95" t="s">
        <v>1613</v>
      </c>
      <c r="D8" s="63" t="s">
        <v>120</v>
      </c>
      <c r="E8" s="66" t="s">
        <v>199</v>
      </c>
      <c r="F8" s="95" t="s">
        <v>120</v>
      </c>
      <c r="G8" s="141" t="str">
        <f t="shared" si="1"/>
        <v>Marcus</v>
      </c>
      <c r="H8" s="49" t="s">
        <v>295</v>
      </c>
      <c r="I8" s="49" t="s">
        <v>382</v>
      </c>
      <c r="J8" s="63" t="str">
        <f t="shared" si="2"/>
        <v>Não</v>
      </c>
      <c r="K8" s="170">
        <v>44992.0</v>
      </c>
      <c r="L8" s="62"/>
      <c r="M8" s="106" t="s">
        <v>209</v>
      </c>
      <c r="N8" s="107">
        <v>0.015</v>
      </c>
      <c r="O8" s="81" t="s">
        <v>35</v>
      </c>
      <c r="P8" s="82">
        <v>0.1</v>
      </c>
      <c r="Q8" s="70"/>
      <c r="R8" s="70"/>
      <c r="S8" s="62" t="s">
        <v>234</v>
      </c>
      <c r="T8" s="27" t="s">
        <v>1622</v>
      </c>
      <c r="U8" s="27" t="s">
        <v>1590</v>
      </c>
      <c r="V8" s="27" t="s">
        <v>1623</v>
      </c>
      <c r="W8" s="250">
        <v>34464.0</v>
      </c>
      <c r="X8" s="30" t="s">
        <v>199</v>
      </c>
      <c r="Y8" s="245" t="str">
        <f t="shared" si="3"/>
        <v>Ativo</v>
      </c>
      <c r="Z8" s="62"/>
      <c r="AA8" s="62"/>
      <c r="AB8" s="32" t="s">
        <v>244</v>
      </c>
      <c r="AC8" s="62"/>
      <c r="AD8" s="55">
        <v>44992.0</v>
      </c>
      <c r="AE8" s="32">
        <v>4.9075100014698E13</v>
      </c>
      <c r="AF8" s="96">
        <v>0.0</v>
      </c>
      <c r="AG8" s="96">
        <v>0.0</v>
      </c>
      <c r="AH8" s="96">
        <v>0.0</v>
      </c>
      <c r="AI8" s="222">
        <v>0.0</v>
      </c>
      <c r="AJ8" s="222">
        <v>0.0</v>
      </c>
      <c r="AK8" s="96">
        <v>0.0</v>
      </c>
      <c r="AL8" s="96">
        <v>0.0</v>
      </c>
      <c r="AM8" s="96">
        <v>0.0</v>
      </c>
      <c r="AN8" s="96">
        <v>0.0</v>
      </c>
      <c r="AO8" s="90">
        <v>0.0</v>
      </c>
      <c r="AP8" s="90">
        <v>0.0</v>
      </c>
      <c r="AQ8" s="90">
        <v>0.0</v>
      </c>
      <c r="AR8" s="90">
        <v>0.0</v>
      </c>
      <c r="AS8" s="90">
        <v>0.0</v>
      </c>
      <c r="AT8" s="90">
        <v>0.0</v>
      </c>
      <c r="AU8" s="90">
        <v>108786.93</v>
      </c>
      <c r="AV8" s="90">
        <v>75497.14</v>
      </c>
      <c r="AW8" s="90">
        <v>61256.14</v>
      </c>
      <c r="AX8" s="90">
        <v>50479.35</v>
      </c>
      <c r="AY8" s="90">
        <v>40950.05</v>
      </c>
      <c r="AZ8" s="90">
        <v>15370.75</v>
      </c>
      <c r="BA8" s="90">
        <v>0.0</v>
      </c>
      <c r="BB8" s="90">
        <v>0.0</v>
      </c>
      <c r="BC8" s="90">
        <v>0.0</v>
      </c>
      <c r="BD8" s="90">
        <v>0.0</v>
      </c>
      <c r="BE8" s="90">
        <v>0.0</v>
      </c>
      <c r="BF8" s="90">
        <v>0.0</v>
      </c>
      <c r="BG8" s="90">
        <v>0.0</v>
      </c>
      <c r="BH8" s="100">
        <v>0.0</v>
      </c>
      <c r="BI8" s="90">
        <v>0.0</v>
      </c>
      <c r="BJ8" s="100">
        <v>0.0</v>
      </c>
      <c r="BK8" s="100">
        <v>0.0</v>
      </c>
      <c r="BL8" s="100">
        <v>0.0</v>
      </c>
      <c r="BM8" s="100">
        <v>0.0</v>
      </c>
      <c r="BN8" s="100">
        <v>0.0</v>
      </c>
      <c r="BO8" s="100">
        <v>0.0</v>
      </c>
      <c r="BP8" s="100">
        <v>0.0</v>
      </c>
      <c r="BQ8" s="100">
        <v>0.0</v>
      </c>
      <c r="BR8" s="100">
        <v>0.0</v>
      </c>
      <c r="BS8" s="100">
        <v>0.0</v>
      </c>
      <c r="BT8" s="100" t="str">
        <f t="array" ref="BT8">XLOOKUP(C8,'PL TOTAL D0'!H:H,'PL TOTAL D0'!I:I,"")</f>
        <v/>
      </c>
    </row>
    <row r="9" ht="15.75" customHeight="1">
      <c r="A9" s="176" t="s">
        <v>207</v>
      </c>
      <c r="B9" s="176" t="s">
        <v>1630</v>
      </c>
      <c r="C9" s="95">
        <v>1.0982276E7</v>
      </c>
      <c r="D9" s="63" t="s">
        <v>120</v>
      </c>
      <c r="E9" s="66" t="s">
        <v>199</v>
      </c>
      <c r="F9" s="63" t="s">
        <v>1631</v>
      </c>
      <c r="G9" s="141" t="str">
        <f t="shared" si="1"/>
        <v>Marcus</v>
      </c>
      <c r="H9" s="49" t="s">
        <v>183</v>
      </c>
      <c r="I9" s="49" t="s">
        <v>66</v>
      </c>
      <c r="J9" s="63" t="str">
        <f t="shared" si="2"/>
        <v>Não</v>
      </c>
      <c r="K9" s="104">
        <v>45019.0</v>
      </c>
      <c r="L9" s="62"/>
      <c r="M9" s="78" t="s">
        <v>61</v>
      </c>
      <c r="N9" s="107">
        <v>0.012</v>
      </c>
      <c r="O9" s="81" t="s">
        <v>66</v>
      </c>
      <c r="P9" s="82">
        <v>0.0</v>
      </c>
      <c r="Q9" s="70"/>
      <c r="R9" s="58"/>
      <c r="S9" s="62" t="s">
        <v>234</v>
      </c>
      <c r="T9" s="27" t="s">
        <v>1633</v>
      </c>
      <c r="U9" s="27" t="s">
        <v>1634</v>
      </c>
      <c r="V9" s="27" t="s">
        <v>1635</v>
      </c>
      <c r="W9" s="250">
        <v>44802.0</v>
      </c>
      <c r="X9" s="30" t="s">
        <v>618</v>
      </c>
      <c r="Y9" s="245" t="str">
        <f t="shared" si="3"/>
        <v>Ativo</v>
      </c>
      <c r="Z9" s="62"/>
      <c r="AA9" s="62"/>
      <c r="AB9" s="32" t="s">
        <v>244</v>
      </c>
      <c r="AC9" s="62"/>
      <c r="AD9" s="194">
        <v>45019.0</v>
      </c>
      <c r="AE9" s="32">
        <v>4.9075100014736E13</v>
      </c>
      <c r="AF9" s="96">
        <v>0.0</v>
      </c>
      <c r="AG9" s="96">
        <v>1.127523116E7</v>
      </c>
      <c r="AH9" s="96">
        <v>1.13163512E7</v>
      </c>
      <c r="AI9" s="222">
        <v>1.118464174E7</v>
      </c>
      <c r="AJ9" s="222">
        <v>1.118731418E7</v>
      </c>
      <c r="AK9" s="96">
        <v>1.129222602E7</v>
      </c>
      <c r="AL9" s="96">
        <v>1.129222602E7</v>
      </c>
      <c r="AM9" s="96">
        <v>1.063954287E7</v>
      </c>
      <c r="AN9" s="96">
        <v>9894525.59</v>
      </c>
      <c r="AO9" s="96">
        <v>9838685.46</v>
      </c>
      <c r="AP9" s="90">
        <v>9590204.74</v>
      </c>
      <c r="AQ9" s="90">
        <v>0.0</v>
      </c>
      <c r="AR9" s="90">
        <v>0.0</v>
      </c>
      <c r="AS9" s="90">
        <v>0.0</v>
      </c>
      <c r="AT9" s="90">
        <v>0.0</v>
      </c>
      <c r="AU9" s="90">
        <v>0.0</v>
      </c>
      <c r="AV9" s="90">
        <v>0.0</v>
      </c>
      <c r="AW9" s="90">
        <v>0.0</v>
      </c>
      <c r="AX9" s="90">
        <v>0.0</v>
      </c>
      <c r="AY9" s="90">
        <v>0.0</v>
      </c>
      <c r="AZ9" s="90">
        <v>0.0</v>
      </c>
      <c r="BA9" s="90">
        <v>9302224.66</v>
      </c>
      <c r="BB9" s="90">
        <v>9235607.31</v>
      </c>
      <c r="BC9" s="90">
        <v>9267928.09</v>
      </c>
      <c r="BD9" s="90">
        <v>9267068.85</v>
      </c>
      <c r="BE9" s="90">
        <v>9179828.34</v>
      </c>
      <c r="BF9" s="90">
        <v>9256047.81</v>
      </c>
      <c r="BG9" s="90">
        <v>9267874.18</v>
      </c>
      <c r="BH9" s="100">
        <v>8895735.3</v>
      </c>
      <c r="BI9" s="90">
        <v>9108114.62</v>
      </c>
      <c r="BJ9" s="100">
        <v>9228957.09</v>
      </c>
      <c r="BK9" s="100">
        <v>9118300.28</v>
      </c>
      <c r="BL9" s="100">
        <v>9078411.79</v>
      </c>
      <c r="BM9" s="100">
        <v>9085568.74</v>
      </c>
      <c r="BN9" s="100">
        <v>9084930.68</v>
      </c>
      <c r="BO9" s="100">
        <v>9211422.0</v>
      </c>
      <c r="BP9" s="100">
        <v>9079887.56</v>
      </c>
      <c r="BQ9" s="100">
        <v>9403796.58</v>
      </c>
      <c r="BR9" s="100">
        <v>9417599.97</v>
      </c>
      <c r="BS9" s="100">
        <v>9389167.92</v>
      </c>
      <c r="BT9" s="100">
        <f t="array" ref="BT9">XLOOKUP(C9,'PL TOTAL D0'!H:H,'PL TOTAL D0'!I:I,"")</f>
        <v>8788649.38</v>
      </c>
    </row>
    <row r="10" ht="15.75" customHeight="1">
      <c r="A10" s="176" t="s">
        <v>207</v>
      </c>
      <c r="B10" s="249" t="s">
        <v>1644</v>
      </c>
      <c r="C10" s="22">
        <v>1.2307245E7</v>
      </c>
      <c r="D10" s="141" t="s">
        <v>120</v>
      </c>
      <c r="E10" s="27" t="s">
        <v>199</v>
      </c>
      <c r="F10" s="63" t="s">
        <v>388</v>
      </c>
      <c r="G10" s="141" t="str">
        <f t="shared" si="1"/>
        <v>David</v>
      </c>
      <c r="H10" s="49" t="s">
        <v>295</v>
      </c>
      <c r="I10" s="49" t="s">
        <v>382</v>
      </c>
      <c r="J10" s="63" t="str">
        <f t="shared" si="2"/>
        <v>Não</v>
      </c>
      <c r="K10" s="170">
        <v>45337.0</v>
      </c>
      <c r="L10" s="62"/>
      <c r="M10" s="108" t="s">
        <v>61</v>
      </c>
      <c r="N10" s="178">
        <v>0.012</v>
      </c>
      <c r="O10" s="30" t="s">
        <v>66</v>
      </c>
      <c r="P10" s="173">
        <v>0.0</v>
      </c>
      <c r="Q10" s="70"/>
      <c r="R10" s="58"/>
      <c r="S10" s="32" t="s">
        <v>194</v>
      </c>
      <c r="T10" s="22" t="s">
        <v>1651</v>
      </c>
      <c r="U10" s="22" t="s">
        <v>1652</v>
      </c>
      <c r="V10" s="22" t="s">
        <v>1653</v>
      </c>
      <c r="W10" s="244">
        <v>13396.0</v>
      </c>
      <c r="X10" s="30" t="s">
        <v>618</v>
      </c>
      <c r="Y10" s="245" t="str">
        <f t="shared" si="3"/>
        <v>Ativo</v>
      </c>
      <c r="Z10" s="62"/>
      <c r="AA10" s="62"/>
      <c r="AB10" s="32" t="s">
        <v>269</v>
      </c>
      <c r="AC10" s="62"/>
      <c r="AD10" s="55">
        <v>45337.0</v>
      </c>
      <c r="AE10" s="32">
        <v>4.9075100014817E13</v>
      </c>
      <c r="AF10" s="96"/>
      <c r="AG10" s="96"/>
      <c r="AH10" s="96"/>
      <c r="AI10" s="222"/>
      <c r="AJ10" s="222"/>
      <c r="AK10" s="96"/>
      <c r="AL10" s="96"/>
      <c r="AM10" s="96"/>
      <c r="AN10" s="96"/>
      <c r="AO10" s="96"/>
      <c r="AP10" s="90"/>
      <c r="AQ10" s="90">
        <v>9485015.54</v>
      </c>
      <c r="AR10" s="90">
        <v>9409147.74</v>
      </c>
      <c r="AS10" s="90">
        <v>9357271.27</v>
      </c>
      <c r="AT10" s="90">
        <v>9353741.94</v>
      </c>
      <c r="AU10" s="90">
        <v>9436856.23</v>
      </c>
      <c r="AV10" s="90">
        <v>9518113.08</v>
      </c>
      <c r="AW10" s="90">
        <v>1.013299409E7</v>
      </c>
      <c r="AX10" s="90">
        <v>9870325.11</v>
      </c>
      <c r="AY10" s="90">
        <v>9822338.05</v>
      </c>
      <c r="AZ10" s="90">
        <v>9692784.33</v>
      </c>
      <c r="BA10" s="90">
        <v>0.0</v>
      </c>
      <c r="BB10" s="90">
        <v>0.0</v>
      </c>
      <c r="BC10" s="90">
        <v>0.0</v>
      </c>
      <c r="BD10" s="90">
        <v>0.0</v>
      </c>
      <c r="BE10" s="90">
        <v>0.0</v>
      </c>
      <c r="BF10" s="90">
        <v>0.0</v>
      </c>
      <c r="BG10" s="90">
        <v>0.0</v>
      </c>
      <c r="BH10" s="100">
        <v>0.0</v>
      </c>
      <c r="BI10" s="90">
        <v>0.0</v>
      </c>
      <c r="BJ10" s="100">
        <v>0.0</v>
      </c>
      <c r="BK10" s="100">
        <v>0.0</v>
      </c>
      <c r="BL10" s="100">
        <v>0.0</v>
      </c>
      <c r="BM10" s="100">
        <v>0.0</v>
      </c>
      <c r="BN10" s="100">
        <v>0.0</v>
      </c>
      <c r="BO10" s="100">
        <v>0.0</v>
      </c>
      <c r="BP10" s="100">
        <v>0.0</v>
      </c>
      <c r="BQ10" s="100">
        <v>0.0</v>
      </c>
      <c r="BR10" s="100">
        <v>0.0</v>
      </c>
      <c r="BS10" s="100">
        <v>0.0</v>
      </c>
      <c r="BT10" s="100">
        <f t="array" ref="BT10">XLOOKUP(C10,'PL TOTAL D0'!H:H,'PL TOTAL D0'!I:I,"")</f>
        <v>0</v>
      </c>
    </row>
    <row r="11" ht="15.75" customHeight="1">
      <c r="A11" s="176" t="s">
        <v>207</v>
      </c>
      <c r="B11" s="249" t="s">
        <v>1655</v>
      </c>
      <c r="C11" s="95">
        <v>3844136.0</v>
      </c>
      <c r="D11" s="63" t="s">
        <v>120</v>
      </c>
      <c r="E11" s="66" t="s">
        <v>475</v>
      </c>
      <c r="F11" s="81" t="s">
        <v>1658</v>
      </c>
      <c r="G11" s="141" t="str">
        <f t="shared" si="1"/>
        <v>David</v>
      </c>
      <c r="H11" s="74" t="s">
        <v>183</v>
      </c>
      <c r="I11" s="74" t="s">
        <v>66</v>
      </c>
      <c r="J11" s="63" t="str">
        <f t="shared" si="2"/>
        <v>Sim</v>
      </c>
      <c r="K11" s="104">
        <v>45022.0</v>
      </c>
      <c r="L11" s="62"/>
      <c r="M11" s="106" t="s">
        <v>209</v>
      </c>
      <c r="N11" s="107">
        <v>0.015</v>
      </c>
      <c r="O11" s="81" t="s">
        <v>35</v>
      </c>
      <c r="P11" s="82">
        <v>0.1</v>
      </c>
      <c r="Q11" s="58" t="s">
        <v>1661</v>
      </c>
      <c r="R11" s="58"/>
      <c r="S11" s="62" t="s">
        <v>194</v>
      </c>
      <c r="T11" s="27" t="s">
        <v>1663</v>
      </c>
      <c r="U11" s="27" t="s">
        <v>1665</v>
      </c>
      <c r="V11" s="27" t="s">
        <v>1666</v>
      </c>
      <c r="W11" s="250">
        <v>23833.0</v>
      </c>
      <c r="X11" s="30" t="s">
        <v>475</v>
      </c>
      <c r="Y11" s="245" t="str">
        <f t="shared" si="3"/>
        <v>Ativo</v>
      </c>
      <c r="Z11" s="62"/>
      <c r="AA11" s="62"/>
      <c r="AB11" s="32" t="s">
        <v>244</v>
      </c>
      <c r="AC11" s="62"/>
      <c r="AD11" s="194">
        <v>45022.0</v>
      </c>
      <c r="AE11" s="32">
        <v>4.9075100014744E13</v>
      </c>
      <c r="AF11" s="96">
        <v>0.0</v>
      </c>
      <c r="AG11" s="96">
        <v>49186.72</v>
      </c>
      <c r="AH11" s="96">
        <v>49605.11</v>
      </c>
      <c r="AI11" s="222">
        <v>48654.91</v>
      </c>
      <c r="AJ11" s="222">
        <v>49282.48</v>
      </c>
      <c r="AK11" s="96">
        <v>49637.43</v>
      </c>
      <c r="AL11" s="96">
        <v>49637.43</v>
      </c>
      <c r="AM11" s="96">
        <v>52206.93</v>
      </c>
      <c r="AN11" s="96">
        <v>53285.75</v>
      </c>
      <c r="AO11" s="96">
        <v>54409.29</v>
      </c>
      <c r="AP11" s="90">
        <v>53031.71</v>
      </c>
      <c r="AQ11" s="90">
        <v>53591.9</v>
      </c>
      <c r="AR11" s="90">
        <v>51530.6</v>
      </c>
      <c r="AS11" s="90">
        <v>53104.57</v>
      </c>
      <c r="AT11" s="90">
        <v>53023.21</v>
      </c>
      <c r="AU11" s="90">
        <v>54108.37</v>
      </c>
      <c r="AV11" s="90">
        <v>53837.04</v>
      </c>
      <c r="AW11" s="90">
        <v>54919.18</v>
      </c>
      <c r="AX11" s="90">
        <v>54533.94</v>
      </c>
      <c r="AY11" s="90">
        <v>54556.2</v>
      </c>
      <c r="AZ11" s="90">
        <v>53955.05</v>
      </c>
      <c r="BA11" s="90">
        <v>53776.84</v>
      </c>
      <c r="BB11" s="90">
        <v>54715.13</v>
      </c>
      <c r="BC11" s="90">
        <v>54633.94</v>
      </c>
      <c r="BD11" s="90">
        <v>55929.68</v>
      </c>
      <c r="BE11" s="90">
        <v>55201.02</v>
      </c>
      <c r="BF11" s="90">
        <v>57467.31</v>
      </c>
      <c r="BG11" s="90">
        <v>57774.21</v>
      </c>
      <c r="BH11" s="100">
        <v>57301.25</v>
      </c>
      <c r="BI11" s="90">
        <v>58201.73</v>
      </c>
      <c r="BJ11" s="100">
        <v>58766.74</v>
      </c>
      <c r="BK11" s="100">
        <v>59670.1</v>
      </c>
      <c r="BL11" s="100">
        <v>60616.03</v>
      </c>
      <c r="BM11" s="100">
        <v>61429.63</v>
      </c>
      <c r="BN11" s="100">
        <v>64078.99</v>
      </c>
      <c r="BO11" s="100">
        <v>66867.36</v>
      </c>
      <c r="BP11" s="100">
        <v>64895.15</v>
      </c>
      <c r="BQ11" s="100">
        <v>89859.13</v>
      </c>
      <c r="BR11" s="100">
        <v>85385.89</v>
      </c>
      <c r="BS11" s="100">
        <v>89843.03</v>
      </c>
      <c r="BT11" s="100">
        <f t="array" ref="BT11">XLOOKUP(C11,'PL TOTAL D0'!H:H,'PL TOTAL D0'!I:I,"")</f>
        <v>89253.41</v>
      </c>
    </row>
    <row r="12" ht="15.75" customHeight="1">
      <c r="A12" s="176" t="s">
        <v>207</v>
      </c>
      <c r="B12" s="176" t="s">
        <v>1673</v>
      </c>
      <c r="C12" s="95">
        <v>1.093663E7</v>
      </c>
      <c r="D12" s="63" t="s">
        <v>120</v>
      </c>
      <c r="E12" s="66" t="s">
        <v>199</v>
      </c>
      <c r="F12" s="63" t="s">
        <v>803</v>
      </c>
      <c r="G12" s="141" t="str">
        <f t="shared" si="1"/>
        <v>David</v>
      </c>
      <c r="H12" s="49" t="s">
        <v>295</v>
      </c>
      <c r="I12" s="49" t="s">
        <v>382</v>
      </c>
      <c r="J12" s="63" t="str">
        <f t="shared" si="2"/>
        <v>Não</v>
      </c>
      <c r="K12" s="104">
        <v>45034.0</v>
      </c>
      <c r="L12" s="62"/>
      <c r="M12" s="78" t="s">
        <v>61</v>
      </c>
      <c r="N12" s="107">
        <v>0.007</v>
      </c>
      <c r="O12" s="81" t="s">
        <v>66</v>
      </c>
      <c r="P12" s="82">
        <v>0.0</v>
      </c>
      <c r="Q12" s="70"/>
      <c r="R12" s="70"/>
      <c r="S12" s="62" t="s">
        <v>194</v>
      </c>
      <c r="T12" s="22" t="s">
        <v>1675</v>
      </c>
      <c r="U12" s="22" t="s">
        <v>1676</v>
      </c>
      <c r="V12" s="22" t="s">
        <v>1677</v>
      </c>
      <c r="W12" s="248">
        <v>27380.0</v>
      </c>
      <c r="X12" s="30" t="s">
        <v>199</v>
      </c>
      <c r="Y12" s="245" t="str">
        <f t="shared" si="3"/>
        <v>Ativo</v>
      </c>
      <c r="Z12" s="62"/>
      <c r="AA12" s="62"/>
      <c r="AB12" s="32" t="s">
        <v>244</v>
      </c>
      <c r="AC12" s="62"/>
      <c r="AD12" s="194">
        <v>45034.0</v>
      </c>
      <c r="AE12" s="32">
        <v>4.9075100014787E13</v>
      </c>
      <c r="AF12" s="96">
        <v>0.0</v>
      </c>
      <c r="AG12" s="96">
        <v>0.0</v>
      </c>
      <c r="AH12" s="96">
        <v>644965.12</v>
      </c>
      <c r="AI12" s="222">
        <v>652129.16</v>
      </c>
      <c r="AJ12" s="222">
        <v>658117.34</v>
      </c>
      <c r="AK12" s="96">
        <v>664387.5</v>
      </c>
      <c r="AL12" s="96">
        <v>664387.5</v>
      </c>
      <c r="AM12" s="96">
        <v>0.0</v>
      </c>
      <c r="AN12" s="96">
        <v>0.0</v>
      </c>
      <c r="AO12" s="90">
        <v>0.0</v>
      </c>
      <c r="AP12" s="90">
        <v>0.0</v>
      </c>
      <c r="AQ12" s="90">
        <v>0.0</v>
      </c>
      <c r="AR12" s="90">
        <v>0.0</v>
      </c>
      <c r="AS12" s="90">
        <v>0.0</v>
      </c>
      <c r="AT12" s="90">
        <v>0.0</v>
      </c>
      <c r="AU12" s="90">
        <v>0.0</v>
      </c>
      <c r="AV12" s="90">
        <v>0.0</v>
      </c>
      <c r="AW12" s="90">
        <v>0.0</v>
      </c>
      <c r="AX12" s="90">
        <v>984.32</v>
      </c>
      <c r="AY12" s="90">
        <v>0.0</v>
      </c>
      <c r="AZ12" s="90">
        <v>1759.85</v>
      </c>
      <c r="BA12" s="90">
        <v>9879.24</v>
      </c>
      <c r="BB12" s="90">
        <v>0.0</v>
      </c>
      <c r="BC12" s="90">
        <v>0.0</v>
      </c>
      <c r="BD12" s="90">
        <v>0.0</v>
      </c>
      <c r="BE12" s="90">
        <v>0.0</v>
      </c>
      <c r="BF12" s="90">
        <v>0.0</v>
      </c>
      <c r="BG12" s="90">
        <v>0.0</v>
      </c>
      <c r="BH12" s="100">
        <v>0.0</v>
      </c>
      <c r="BI12" s="90">
        <v>0.0</v>
      </c>
      <c r="BJ12" s="100">
        <v>0.0</v>
      </c>
      <c r="BK12" s="100">
        <v>0.0</v>
      </c>
      <c r="BL12" s="100">
        <v>0.0</v>
      </c>
      <c r="BM12" s="100">
        <v>0.0</v>
      </c>
      <c r="BN12" s="100">
        <v>0.0</v>
      </c>
      <c r="BO12" s="100">
        <v>0.0</v>
      </c>
      <c r="BP12" s="100">
        <v>0.0</v>
      </c>
      <c r="BQ12" s="100">
        <v>0.0</v>
      </c>
      <c r="BR12" s="100">
        <v>0.0</v>
      </c>
      <c r="BS12" s="100">
        <v>0.0</v>
      </c>
      <c r="BT12" s="100">
        <f t="array" ref="BT12">XLOOKUP(C12,'PL TOTAL D0'!H:H,'PL TOTAL D0'!I:I,"")</f>
        <v>0</v>
      </c>
    </row>
    <row r="13" ht="15.75" customHeight="1">
      <c r="A13" s="176" t="s">
        <v>207</v>
      </c>
      <c r="B13" s="176" t="s">
        <v>1673</v>
      </c>
      <c r="C13" s="95">
        <v>1.0944986E7</v>
      </c>
      <c r="D13" s="63" t="s">
        <v>120</v>
      </c>
      <c r="E13" s="66" t="s">
        <v>199</v>
      </c>
      <c r="F13" s="63" t="s">
        <v>803</v>
      </c>
      <c r="G13" s="141" t="str">
        <f t="shared" si="1"/>
        <v>David</v>
      </c>
      <c r="H13" s="49" t="s">
        <v>295</v>
      </c>
      <c r="I13" s="49" t="s">
        <v>382</v>
      </c>
      <c r="J13" s="63" t="str">
        <f t="shared" si="2"/>
        <v>Não</v>
      </c>
      <c r="K13" s="104">
        <v>45000.0</v>
      </c>
      <c r="L13" s="62"/>
      <c r="M13" s="106" t="s">
        <v>231</v>
      </c>
      <c r="N13" s="107">
        <v>0.015</v>
      </c>
      <c r="O13" s="81" t="s">
        <v>66</v>
      </c>
      <c r="P13" s="82">
        <v>0.0</v>
      </c>
      <c r="Q13" s="70"/>
      <c r="R13" s="282" t="s">
        <v>1691</v>
      </c>
      <c r="S13" s="62" t="s">
        <v>194</v>
      </c>
      <c r="T13" s="22" t="s">
        <v>1675</v>
      </c>
      <c r="U13" s="22" t="s">
        <v>1676</v>
      </c>
      <c r="V13" s="22" t="s">
        <v>1677</v>
      </c>
      <c r="W13" s="248">
        <v>27380.0</v>
      </c>
      <c r="X13" s="30" t="s">
        <v>199</v>
      </c>
      <c r="Y13" s="245" t="str">
        <f t="shared" si="3"/>
        <v>Inativo</v>
      </c>
      <c r="Z13" s="62"/>
      <c r="AA13" s="62"/>
      <c r="AB13" s="32" t="s">
        <v>244</v>
      </c>
      <c r="AC13" s="62"/>
      <c r="AD13" s="194">
        <v>45000.0</v>
      </c>
      <c r="AE13" s="32">
        <v>4.9075100014711E13</v>
      </c>
      <c r="AF13" s="96">
        <v>1461495.56</v>
      </c>
      <c r="AG13" s="96">
        <v>4576147.96</v>
      </c>
      <c r="AH13" s="96">
        <v>5238742.95</v>
      </c>
      <c r="AI13" s="222">
        <v>6535939.62</v>
      </c>
      <c r="AJ13" s="222">
        <v>6374183.58</v>
      </c>
      <c r="AK13" s="96">
        <v>6619418.11</v>
      </c>
      <c r="AL13" s="96">
        <v>6619418.11</v>
      </c>
      <c r="AM13" s="96">
        <v>5546929.13</v>
      </c>
      <c r="AN13" s="96">
        <v>6012373.24</v>
      </c>
      <c r="AO13" s="96">
        <v>6324709.05</v>
      </c>
      <c r="AP13" s="90">
        <v>5894011.05</v>
      </c>
      <c r="AQ13" s="90">
        <v>0.0</v>
      </c>
      <c r="AR13" s="90">
        <v>0.0</v>
      </c>
      <c r="AS13" s="90">
        <v>0.0</v>
      </c>
      <c r="AT13" s="90">
        <v>0.0</v>
      </c>
      <c r="AU13" s="90">
        <v>0.0</v>
      </c>
      <c r="AV13" s="90">
        <v>0.0</v>
      </c>
      <c r="AW13" s="90">
        <v>0.0</v>
      </c>
      <c r="AX13" s="90">
        <v>0.0</v>
      </c>
      <c r="AY13" s="90">
        <v>0.0</v>
      </c>
      <c r="AZ13" s="90">
        <v>0.0</v>
      </c>
      <c r="BA13" s="90">
        <v>0.0</v>
      </c>
      <c r="BB13" s="90">
        <v>0.0</v>
      </c>
      <c r="BC13" s="90">
        <v>0.0</v>
      </c>
      <c r="BD13" s="90">
        <v>0.0</v>
      </c>
      <c r="BE13" s="90">
        <v>0.0</v>
      </c>
      <c r="BF13" s="90">
        <v>0.0</v>
      </c>
      <c r="BG13" s="90">
        <v>0.0</v>
      </c>
      <c r="BH13" s="100">
        <v>0.0</v>
      </c>
      <c r="BI13" s="90">
        <v>0.0</v>
      </c>
      <c r="BJ13" s="100">
        <v>0.0</v>
      </c>
      <c r="BK13" s="100">
        <v>0.0</v>
      </c>
      <c r="BL13" s="100">
        <v>0.0</v>
      </c>
      <c r="BM13" s="100">
        <v>759.67</v>
      </c>
      <c r="BN13" s="100">
        <v>759.67</v>
      </c>
      <c r="BO13" s="100">
        <v>759.67</v>
      </c>
      <c r="BP13" s="100">
        <v>759.67</v>
      </c>
      <c r="BQ13" s="100">
        <v>759.67</v>
      </c>
      <c r="BR13" s="100">
        <v>759.67</v>
      </c>
      <c r="BS13" s="100">
        <v>759.67</v>
      </c>
      <c r="BT13" s="100">
        <f t="array" ref="BT13">XLOOKUP(C13,'PL TOTAL D0'!H:H,'PL TOTAL D0'!I:I,"")</f>
        <v>759.67</v>
      </c>
    </row>
    <row r="14" ht="15.75" customHeight="1">
      <c r="A14" s="176" t="s">
        <v>207</v>
      </c>
      <c r="B14" s="176" t="s">
        <v>1703</v>
      </c>
      <c r="C14" s="95">
        <v>1.1071318E7</v>
      </c>
      <c r="D14" s="63" t="s">
        <v>120</v>
      </c>
      <c r="E14" s="66" t="s">
        <v>199</v>
      </c>
      <c r="F14" s="63" t="s">
        <v>290</v>
      </c>
      <c r="G14" s="141" t="str">
        <f t="shared" si="1"/>
        <v>Gabriel</v>
      </c>
      <c r="H14" s="74" t="s">
        <v>183</v>
      </c>
      <c r="I14" s="74" t="s">
        <v>66</v>
      </c>
      <c r="J14" s="63" t="str">
        <f t="shared" si="2"/>
        <v>Sim</v>
      </c>
      <c r="K14" s="104">
        <v>45218.0</v>
      </c>
      <c r="L14" s="62"/>
      <c r="M14" s="106" t="s">
        <v>34</v>
      </c>
      <c r="N14" s="107">
        <v>0.012</v>
      </c>
      <c r="O14" s="81" t="s">
        <v>66</v>
      </c>
      <c r="P14" s="82">
        <v>0.0</v>
      </c>
      <c r="Q14" s="283" t="s">
        <v>1705</v>
      </c>
      <c r="R14" s="135"/>
      <c r="S14" s="62" t="s">
        <v>194</v>
      </c>
      <c r="T14" s="22" t="s">
        <v>1706</v>
      </c>
      <c r="U14" s="22" t="s">
        <v>1707</v>
      </c>
      <c r="V14" s="22" t="s">
        <v>1708</v>
      </c>
      <c r="W14" s="244">
        <v>24999.0</v>
      </c>
      <c r="X14" s="30" t="s">
        <v>199</v>
      </c>
      <c r="Y14" s="245" t="str">
        <f t="shared" si="3"/>
        <v>Ativo</v>
      </c>
      <c r="Z14" s="62"/>
      <c r="AA14" s="62"/>
      <c r="AB14" s="32" t="s">
        <v>244</v>
      </c>
      <c r="AC14" s="62"/>
      <c r="AD14" s="194">
        <v>45218.0</v>
      </c>
      <c r="AE14" s="32">
        <v>4.9075100014809E13</v>
      </c>
      <c r="AF14" s="96">
        <v>0.0</v>
      </c>
      <c r="AG14" s="96">
        <v>0.0</v>
      </c>
      <c r="AH14" s="96">
        <v>0.0</v>
      </c>
      <c r="AI14" s="222">
        <v>0.0</v>
      </c>
      <c r="AJ14" s="222">
        <v>0.0</v>
      </c>
      <c r="AK14" s="96">
        <v>0.0</v>
      </c>
      <c r="AL14" s="96">
        <v>0.0</v>
      </c>
      <c r="AM14" s="96">
        <v>199581.68</v>
      </c>
      <c r="AN14" s="96">
        <v>286308.63</v>
      </c>
      <c r="AO14" s="96">
        <v>341173.07</v>
      </c>
      <c r="AP14" s="90">
        <v>339524.4</v>
      </c>
      <c r="AQ14" s="90">
        <v>351764.39</v>
      </c>
      <c r="AR14" s="90">
        <v>354294.16</v>
      </c>
      <c r="AS14" s="90">
        <v>352174.69</v>
      </c>
      <c r="AT14" s="90">
        <v>346714.04</v>
      </c>
      <c r="AU14" s="90">
        <v>353876.67</v>
      </c>
      <c r="AV14" s="90">
        <v>314604.34</v>
      </c>
      <c r="AW14" s="90">
        <v>359419.35</v>
      </c>
      <c r="AX14" s="90">
        <v>357975.07</v>
      </c>
      <c r="AY14" s="90">
        <v>360906.66</v>
      </c>
      <c r="AZ14" s="90">
        <v>360056.82</v>
      </c>
      <c r="BA14" s="90">
        <v>358386.79</v>
      </c>
      <c r="BB14" s="90">
        <v>362682.0</v>
      </c>
      <c r="BC14" s="90">
        <v>342986.92</v>
      </c>
      <c r="BD14" s="90">
        <v>373677.06</v>
      </c>
      <c r="BE14" s="90">
        <v>377546.42</v>
      </c>
      <c r="BF14" s="90">
        <v>384506.57</v>
      </c>
      <c r="BG14" s="90">
        <v>388119.7</v>
      </c>
      <c r="BH14" s="100">
        <v>453391.34</v>
      </c>
      <c r="BI14" s="90">
        <v>458010.44</v>
      </c>
      <c r="BJ14" s="100">
        <v>463159.45</v>
      </c>
      <c r="BK14" s="100">
        <v>467745.11</v>
      </c>
      <c r="BL14" s="100">
        <v>525102.7</v>
      </c>
      <c r="BM14" s="100">
        <v>531224.66</v>
      </c>
      <c r="BN14" s="100">
        <v>535797.36</v>
      </c>
      <c r="BO14" s="100">
        <v>545613.7</v>
      </c>
      <c r="BP14" s="100">
        <v>546837.77</v>
      </c>
      <c r="BQ14" s="100">
        <v>607968.39</v>
      </c>
      <c r="BR14" s="100">
        <v>613341.13</v>
      </c>
      <c r="BS14" s="100">
        <v>618925.62</v>
      </c>
      <c r="BT14" s="100">
        <f t="array" ref="BT14">XLOOKUP(C14,'PL TOTAL D0'!H:H,'PL TOTAL D0'!I:I,"")</f>
        <v>575320.61</v>
      </c>
    </row>
    <row r="15" ht="15.75" customHeight="1">
      <c r="A15" s="176" t="s">
        <v>207</v>
      </c>
      <c r="B15" s="176" t="s">
        <v>1720</v>
      </c>
      <c r="C15" s="95" t="s">
        <v>1721</v>
      </c>
      <c r="D15" s="63" t="s">
        <v>120</v>
      </c>
      <c r="E15" s="66" t="s">
        <v>199</v>
      </c>
      <c r="F15" s="63" t="s">
        <v>212</v>
      </c>
      <c r="G15" s="141" t="str">
        <f t="shared" si="1"/>
        <v>Marcus</v>
      </c>
      <c r="H15" s="74" t="s">
        <v>295</v>
      </c>
      <c r="I15" s="49" t="s">
        <v>382</v>
      </c>
      <c r="J15" s="63" t="str">
        <f t="shared" si="2"/>
        <v>Sim</v>
      </c>
      <c r="K15" s="170">
        <v>44994.0</v>
      </c>
      <c r="L15" s="62"/>
      <c r="M15" s="78" t="s">
        <v>61</v>
      </c>
      <c r="N15" s="107">
        <v>0.012</v>
      </c>
      <c r="O15" s="81" t="s">
        <v>66</v>
      </c>
      <c r="P15" s="82">
        <v>0.0</v>
      </c>
      <c r="Q15" s="70" t="s">
        <v>1722</v>
      </c>
      <c r="R15" s="70"/>
      <c r="S15" s="62" t="s">
        <v>194</v>
      </c>
      <c r="T15" s="22" t="s">
        <v>1723</v>
      </c>
      <c r="U15" s="22" t="s">
        <v>1724</v>
      </c>
      <c r="V15" s="22" t="s">
        <v>1725</v>
      </c>
      <c r="W15" s="244">
        <v>24349.0</v>
      </c>
      <c r="X15" s="30" t="s">
        <v>199</v>
      </c>
      <c r="Y15" s="245" t="str">
        <f t="shared" si="3"/>
        <v>Inativo</v>
      </c>
      <c r="Z15" s="62"/>
      <c r="AA15" s="62"/>
      <c r="AB15" s="32" t="s">
        <v>244</v>
      </c>
      <c r="AC15" s="62"/>
      <c r="AD15" s="55">
        <v>44994.0</v>
      </c>
      <c r="AE15" s="32">
        <v>4.9075100014701E13</v>
      </c>
      <c r="AF15" s="96">
        <v>0.0</v>
      </c>
      <c r="AG15" s="96">
        <v>89034.5</v>
      </c>
      <c r="AH15" s="96">
        <v>63466.98</v>
      </c>
      <c r="AI15" s="222">
        <v>64106.84</v>
      </c>
      <c r="AJ15" s="222">
        <v>117004.67</v>
      </c>
      <c r="AK15" s="96">
        <v>0.0</v>
      </c>
      <c r="AL15" s="96">
        <v>0.0</v>
      </c>
      <c r="AM15" s="96">
        <v>0.0</v>
      </c>
      <c r="AN15" s="96">
        <v>0.0</v>
      </c>
      <c r="AO15" s="90">
        <v>0.0</v>
      </c>
      <c r="AP15" s="90">
        <v>0.0</v>
      </c>
      <c r="AQ15" s="90">
        <v>0.0</v>
      </c>
      <c r="AR15" s="90">
        <v>0.0</v>
      </c>
      <c r="AS15" s="90">
        <v>0.0</v>
      </c>
      <c r="AT15" s="90">
        <v>0.0</v>
      </c>
      <c r="AU15" s="90">
        <v>0.0</v>
      </c>
      <c r="AV15" s="90">
        <v>0.0</v>
      </c>
      <c r="AW15" s="90">
        <v>0.0</v>
      </c>
      <c r="AX15" s="90">
        <v>0.0</v>
      </c>
      <c r="AY15" s="90">
        <v>0.0</v>
      </c>
      <c r="AZ15" s="90">
        <v>0.0</v>
      </c>
      <c r="BA15" s="90">
        <v>0.0</v>
      </c>
      <c r="BB15" s="90">
        <v>0.0</v>
      </c>
      <c r="BC15" s="90">
        <v>0.0</v>
      </c>
      <c r="BD15" s="90">
        <v>0.0</v>
      </c>
      <c r="BE15" s="90">
        <v>0.0</v>
      </c>
      <c r="BF15" s="90">
        <v>0.0</v>
      </c>
      <c r="BG15" s="90">
        <v>0.0</v>
      </c>
      <c r="BH15" s="100">
        <v>0.0</v>
      </c>
      <c r="BI15" s="90">
        <v>0.0</v>
      </c>
      <c r="BJ15" s="100">
        <v>0.0</v>
      </c>
      <c r="BK15" s="100">
        <v>0.0</v>
      </c>
      <c r="BL15" s="100">
        <v>0.0</v>
      </c>
      <c r="BM15" s="100">
        <v>0.0</v>
      </c>
      <c r="BN15" s="100">
        <v>0.0</v>
      </c>
      <c r="BO15" s="100">
        <v>0.0</v>
      </c>
      <c r="BP15" s="100">
        <v>0.0</v>
      </c>
      <c r="BQ15" s="100">
        <v>0.0</v>
      </c>
      <c r="BR15" s="100">
        <v>0.0</v>
      </c>
      <c r="BS15" s="100">
        <v>0.0</v>
      </c>
      <c r="BT15" s="100" t="str">
        <f t="array" ref="BT15">XLOOKUP(C15,'PL TOTAL D0'!H:H,'PL TOTAL D0'!I:I,"")</f>
        <v/>
      </c>
    </row>
    <row r="16" ht="15.75" customHeight="1">
      <c r="A16" s="176" t="s">
        <v>207</v>
      </c>
      <c r="B16" s="176" t="s">
        <v>1734</v>
      </c>
      <c r="C16" s="95">
        <v>1.1026371E7</v>
      </c>
      <c r="D16" s="63" t="s">
        <v>120</v>
      </c>
      <c r="E16" s="66" t="s">
        <v>199</v>
      </c>
      <c r="F16" s="63" t="s">
        <v>803</v>
      </c>
      <c r="G16" s="141" t="str">
        <f t="shared" si="1"/>
        <v>David</v>
      </c>
      <c r="H16" s="49" t="s">
        <v>295</v>
      </c>
      <c r="I16" s="49" t="s">
        <v>296</v>
      </c>
      <c r="J16" s="63" t="str">
        <f t="shared" si="2"/>
        <v>Sim</v>
      </c>
      <c r="K16" s="104">
        <v>45034.0</v>
      </c>
      <c r="L16" s="189"/>
      <c r="M16" s="106" t="s">
        <v>209</v>
      </c>
      <c r="N16" s="107">
        <v>0.015</v>
      </c>
      <c r="O16" s="81" t="s">
        <v>35</v>
      </c>
      <c r="P16" s="82">
        <v>0.1</v>
      </c>
      <c r="Q16" s="58" t="s">
        <v>1735</v>
      </c>
      <c r="R16" s="157"/>
      <c r="S16" s="62" t="s">
        <v>194</v>
      </c>
      <c r="T16" s="22" t="s">
        <v>1736</v>
      </c>
      <c r="U16" s="22" t="s">
        <v>1737</v>
      </c>
      <c r="V16" s="22" t="s">
        <v>1738</v>
      </c>
      <c r="W16" s="248">
        <v>29139.0</v>
      </c>
      <c r="X16" s="30" t="s">
        <v>54</v>
      </c>
      <c r="Y16" s="245" t="str">
        <f t="shared" si="3"/>
        <v>Ativo</v>
      </c>
      <c r="Z16" s="62"/>
      <c r="AA16" s="62"/>
      <c r="AB16" s="32" t="s">
        <v>244</v>
      </c>
      <c r="AC16" s="62"/>
      <c r="AD16" s="194">
        <v>45034.0</v>
      </c>
      <c r="AE16" s="32">
        <v>4.9075100014779E13</v>
      </c>
      <c r="AF16" s="96">
        <v>0.0</v>
      </c>
      <c r="AG16" s="96">
        <v>615914.71</v>
      </c>
      <c r="AH16" s="96">
        <v>889929.82</v>
      </c>
      <c r="AI16" s="222">
        <v>1101862.14</v>
      </c>
      <c r="AJ16" s="222">
        <v>1321354.89</v>
      </c>
      <c r="AK16" s="96">
        <v>1513218.96</v>
      </c>
      <c r="AL16" s="96">
        <v>1513218.96</v>
      </c>
      <c r="AM16" s="96">
        <v>1663065.8</v>
      </c>
      <c r="AN16" s="96">
        <v>1729871.97</v>
      </c>
      <c r="AO16" s="96">
        <v>1801117.42</v>
      </c>
      <c r="AP16" s="90">
        <v>1820821.24</v>
      </c>
      <c r="AQ16" s="90">
        <v>1920257.67</v>
      </c>
      <c r="AR16" s="90">
        <v>1953987.43</v>
      </c>
      <c r="AS16" s="90">
        <v>1966087.2</v>
      </c>
      <c r="AT16" s="90">
        <v>1998596.07</v>
      </c>
      <c r="AU16" s="90">
        <v>2054426.64</v>
      </c>
      <c r="AV16" s="90">
        <v>2377177.14</v>
      </c>
      <c r="AW16" s="90">
        <v>2452966.35</v>
      </c>
      <c r="AX16" s="90">
        <v>2491615.82</v>
      </c>
      <c r="AY16" s="90">
        <v>2863045.88</v>
      </c>
      <c r="AZ16" s="90">
        <v>2907265.36</v>
      </c>
      <c r="BA16" s="90">
        <v>2941562.68</v>
      </c>
      <c r="BB16" s="90">
        <v>3105530.53</v>
      </c>
      <c r="BC16" s="90">
        <v>3007505.04</v>
      </c>
      <c r="BD16" s="90">
        <v>3437780.26</v>
      </c>
      <c r="BE16" s="90">
        <v>3620656.53</v>
      </c>
      <c r="BF16" s="90">
        <v>3832970.82</v>
      </c>
      <c r="BG16" s="90">
        <v>4007767.83</v>
      </c>
      <c r="BH16" s="100">
        <v>4183923.59</v>
      </c>
      <c r="BI16" s="90">
        <v>4337170.46</v>
      </c>
      <c r="BJ16" s="100">
        <v>4490316.03</v>
      </c>
      <c r="BK16" s="100">
        <v>0.0</v>
      </c>
      <c r="BL16" s="100">
        <v>367.7</v>
      </c>
      <c r="BM16" s="100">
        <v>890.86</v>
      </c>
      <c r="BN16" s="100">
        <v>890.86</v>
      </c>
      <c r="BO16" s="100">
        <v>890.86</v>
      </c>
      <c r="BP16" s="100">
        <v>0.0</v>
      </c>
      <c r="BQ16" s="100">
        <v>0.0</v>
      </c>
      <c r="BR16" s="100">
        <v>0.0</v>
      </c>
      <c r="BS16" s="100">
        <v>0.0</v>
      </c>
      <c r="BT16" s="100">
        <f t="array" ref="BT16">XLOOKUP(C16,'PL TOTAL D0'!H:H,'PL TOTAL D0'!I:I,"")</f>
        <v>0</v>
      </c>
    </row>
    <row r="17" ht="15.75" customHeight="1">
      <c r="A17" s="176" t="s">
        <v>207</v>
      </c>
      <c r="B17" s="249" t="s">
        <v>1745</v>
      </c>
      <c r="C17" s="22">
        <v>1.1339353E7</v>
      </c>
      <c r="D17" s="63" t="s">
        <v>120</v>
      </c>
      <c r="E17" s="66" t="s">
        <v>199</v>
      </c>
      <c r="F17" s="63" t="s">
        <v>388</v>
      </c>
      <c r="G17" s="141" t="str">
        <f t="shared" si="1"/>
        <v>David</v>
      </c>
      <c r="H17" s="49" t="s">
        <v>295</v>
      </c>
      <c r="I17" s="49" t="s">
        <v>296</v>
      </c>
      <c r="J17" s="63" t="str">
        <f t="shared" si="2"/>
        <v>Não</v>
      </c>
      <c r="K17" s="104">
        <v>45140.0</v>
      </c>
      <c r="L17" s="194"/>
      <c r="M17" s="106" t="s">
        <v>209</v>
      </c>
      <c r="N17" s="107">
        <v>0.0075</v>
      </c>
      <c r="O17" s="81" t="s">
        <v>35</v>
      </c>
      <c r="P17" s="82">
        <v>0.1</v>
      </c>
      <c r="Q17" s="70"/>
      <c r="R17" s="70"/>
      <c r="S17" s="62" t="s">
        <v>194</v>
      </c>
      <c r="T17" s="27" t="s">
        <v>1748</v>
      </c>
      <c r="U17" s="27" t="s">
        <v>1749</v>
      </c>
      <c r="V17" s="27" t="s">
        <v>1750</v>
      </c>
      <c r="W17" s="250">
        <v>21704.0</v>
      </c>
      <c r="X17" s="30" t="s">
        <v>199</v>
      </c>
      <c r="Y17" s="245" t="str">
        <f t="shared" si="3"/>
        <v>Ativo</v>
      </c>
      <c r="Z17" s="62"/>
      <c r="AA17" s="62"/>
      <c r="AB17" s="32" t="s">
        <v>244</v>
      </c>
      <c r="AC17" s="62"/>
      <c r="AD17" s="194">
        <v>45140.0</v>
      </c>
      <c r="AE17" s="32">
        <v>4.9075100014795E13</v>
      </c>
      <c r="AF17" s="96">
        <v>0.0</v>
      </c>
      <c r="AG17" s="96">
        <v>0.0</v>
      </c>
      <c r="AH17" s="96">
        <v>0.0</v>
      </c>
      <c r="AI17" s="222">
        <v>0.0</v>
      </c>
      <c r="AJ17" s="222">
        <v>0.0</v>
      </c>
      <c r="AK17" s="96">
        <v>263655.83</v>
      </c>
      <c r="AL17" s="96">
        <v>263655.83</v>
      </c>
      <c r="AM17" s="96">
        <v>267440.57</v>
      </c>
      <c r="AN17" s="96">
        <v>268433.12</v>
      </c>
      <c r="AO17" s="96">
        <v>244659.18</v>
      </c>
      <c r="AP17" s="90">
        <v>694886.38</v>
      </c>
      <c r="AQ17" s="90">
        <v>587497.11</v>
      </c>
      <c r="AR17" s="90">
        <v>590314.88</v>
      </c>
      <c r="AS17" s="90">
        <v>585690.14</v>
      </c>
      <c r="AT17" s="90">
        <v>582657.73</v>
      </c>
      <c r="AU17" s="90">
        <v>483957.19</v>
      </c>
      <c r="AV17" s="90">
        <v>489890.83</v>
      </c>
      <c r="AW17" s="90">
        <v>495746.94</v>
      </c>
      <c r="AX17" s="90">
        <v>492042.04</v>
      </c>
      <c r="AY17" s="90">
        <v>490532.57</v>
      </c>
      <c r="AZ17" s="90">
        <v>485107.91</v>
      </c>
      <c r="BA17" s="90">
        <v>443543.25</v>
      </c>
      <c r="BB17" s="90">
        <v>85935.07</v>
      </c>
      <c r="BC17" s="90">
        <v>0.0</v>
      </c>
      <c r="BD17" s="90">
        <v>86497.62</v>
      </c>
      <c r="BE17" s="90">
        <v>88019.7</v>
      </c>
      <c r="BF17" s="90">
        <v>90573.84</v>
      </c>
      <c r="BG17" s="90">
        <v>91444.94</v>
      </c>
      <c r="BH17" s="100">
        <v>92329.17</v>
      </c>
      <c r="BI17" s="90">
        <v>94752.2</v>
      </c>
      <c r="BJ17" s="100">
        <v>96388.33</v>
      </c>
      <c r="BK17" s="100">
        <v>98887.16</v>
      </c>
      <c r="BL17" s="100">
        <v>101189.94</v>
      </c>
      <c r="BM17" s="100">
        <v>103767.02</v>
      </c>
      <c r="BN17" s="100">
        <v>106176.36</v>
      </c>
      <c r="BO17" s="100">
        <v>104999.4</v>
      </c>
      <c r="BP17" s="100">
        <v>111690.56</v>
      </c>
      <c r="BQ17" s="100" t="s">
        <v>1755</v>
      </c>
      <c r="BR17" s="100">
        <v>111221.34</v>
      </c>
      <c r="BS17" s="100">
        <v>114233.97</v>
      </c>
      <c r="BT17" s="100">
        <f t="array" ref="BT17">XLOOKUP(C17,'PL TOTAL D0'!H:H,'PL TOTAL D0'!I:I,"")</f>
        <v>116185.43</v>
      </c>
    </row>
    <row r="18" ht="15.75" customHeight="1">
      <c r="A18" s="176" t="s">
        <v>207</v>
      </c>
      <c r="B18" s="176" t="s">
        <v>1757</v>
      </c>
      <c r="C18" s="22">
        <v>6116342.0</v>
      </c>
      <c r="D18" s="63" t="s">
        <v>120</v>
      </c>
      <c r="E18" s="66" t="s">
        <v>199</v>
      </c>
      <c r="F18" s="63" t="s">
        <v>1108</v>
      </c>
      <c r="G18" s="141" t="str">
        <f t="shared" si="1"/>
        <v>David</v>
      </c>
      <c r="H18" s="49" t="s">
        <v>295</v>
      </c>
      <c r="I18" s="49" t="s">
        <v>382</v>
      </c>
      <c r="J18" s="63" t="str">
        <f t="shared" si="2"/>
        <v>Sim</v>
      </c>
      <c r="K18" s="104">
        <v>45034.0</v>
      </c>
      <c r="L18" s="62"/>
      <c r="M18" s="106" t="s">
        <v>231</v>
      </c>
      <c r="N18" s="107">
        <v>0.025</v>
      </c>
      <c r="O18" s="30" t="s">
        <v>233</v>
      </c>
      <c r="P18" s="82">
        <v>0.2</v>
      </c>
      <c r="Q18" s="58" t="s">
        <v>1760</v>
      </c>
      <c r="R18" s="70"/>
      <c r="S18" s="62" t="s">
        <v>194</v>
      </c>
      <c r="T18" s="22" t="s">
        <v>1761</v>
      </c>
      <c r="U18" s="22" t="s">
        <v>1762</v>
      </c>
      <c r="V18" s="22" t="s">
        <v>1763</v>
      </c>
      <c r="W18" s="244">
        <v>13338.0</v>
      </c>
      <c r="X18" s="30" t="s">
        <v>397</v>
      </c>
      <c r="Y18" s="245" t="str">
        <f t="shared" si="3"/>
        <v>Ativo</v>
      </c>
      <c r="Z18" s="62"/>
      <c r="AA18" s="62"/>
      <c r="AB18" s="32" t="s">
        <v>244</v>
      </c>
      <c r="AC18" s="62"/>
      <c r="AD18" s="194">
        <v>45034.0</v>
      </c>
      <c r="AE18" s="32">
        <v>4.907510001476E13</v>
      </c>
      <c r="AF18" s="96">
        <v>0.0</v>
      </c>
      <c r="AG18" s="96">
        <v>99252.84</v>
      </c>
      <c r="AH18" s="96">
        <v>100131.37</v>
      </c>
      <c r="AI18" s="222">
        <v>62123.55</v>
      </c>
      <c r="AJ18" s="222">
        <v>101584.21</v>
      </c>
      <c r="AK18" s="96">
        <v>119103.4</v>
      </c>
      <c r="AL18" s="96">
        <v>119103.4</v>
      </c>
      <c r="AM18" s="96">
        <v>116763.74</v>
      </c>
      <c r="AN18" s="96">
        <v>114838.65</v>
      </c>
      <c r="AO18" s="96">
        <v>121019.09</v>
      </c>
      <c r="AP18" s="90">
        <v>112512.3</v>
      </c>
      <c r="AQ18" s="90">
        <v>114201.06</v>
      </c>
      <c r="AR18" s="90">
        <v>113840.62</v>
      </c>
      <c r="AS18" s="90">
        <v>82997.16</v>
      </c>
      <c r="AT18" s="90">
        <v>60426.14</v>
      </c>
      <c r="AU18" s="90">
        <v>40836.21</v>
      </c>
      <c r="AV18" s="90">
        <v>41374.68</v>
      </c>
      <c r="AW18" s="90">
        <v>319.63</v>
      </c>
      <c r="AX18" s="90">
        <v>28.2</v>
      </c>
      <c r="AY18" s="90">
        <v>0.0</v>
      </c>
      <c r="AZ18" s="90">
        <v>62.18</v>
      </c>
      <c r="BA18" s="90">
        <v>170.45</v>
      </c>
      <c r="BB18" s="90">
        <v>0.0</v>
      </c>
      <c r="BC18" s="90">
        <v>0.0</v>
      </c>
      <c r="BD18" s="90">
        <v>24.48</v>
      </c>
      <c r="BE18" s="90">
        <v>76.9</v>
      </c>
      <c r="BF18" s="90">
        <v>76.9</v>
      </c>
      <c r="BG18" s="90">
        <v>76.9</v>
      </c>
      <c r="BH18" s="90">
        <v>0.0</v>
      </c>
      <c r="BI18" s="90">
        <v>0.0</v>
      </c>
      <c r="BJ18" s="100">
        <v>0.0</v>
      </c>
      <c r="BK18" s="100">
        <v>0.0</v>
      </c>
      <c r="BL18" s="100">
        <v>0.0</v>
      </c>
      <c r="BM18" s="100">
        <v>127.15</v>
      </c>
      <c r="BN18" s="100">
        <v>127.15</v>
      </c>
      <c r="BO18" s="100">
        <v>127.15</v>
      </c>
      <c r="BP18" s="100">
        <v>127.15</v>
      </c>
      <c r="BQ18" s="100">
        <v>127.15</v>
      </c>
      <c r="BR18" s="100">
        <v>127.15</v>
      </c>
      <c r="BS18" s="100">
        <v>127.15</v>
      </c>
      <c r="BT18" s="100">
        <f t="array" ref="BT18">XLOOKUP(C18,'PL TOTAL D0'!H:H,'PL TOTAL D0'!I:I,"")</f>
        <v>127.15</v>
      </c>
    </row>
    <row r="19" ht="15.75" customHeight="1">
      <c r="A19" s="237"/>
      <c r="B19" s="237"/>
      <c r="C19" s="284"/>
      <c r="D19" s="216"/>
      <c r="E19" s="216"/>
      <c r="F19" s="203"/>
      <c r="G19" s="203"/>
      <c r="H19" s="253"/>
      <c r="I19" s="253"/>
      <c r="J19" s="253"/>
      <c r="K19" s="204"/>
      <c r="L19" s="204"/>
      <c r="M19" s="203"/>
      <c r="N19" s="205"/>
      <c r="O19" s="205"/>
      <c r="P19" s="206"/>
      <c r="Q19" s="207"/>
      <c r="R19" s="207"/>
      <c r="S19" s="203"/>
      <c r="T19" s="237"/>
      <c r="U19" s="237"/>
      <c r="V19" s="237"/>
      <c r="W19" s="237"/>
      <c r="X19" s="203"/>
      <c r="Y19" s="203"/>
      <c r="Z19" s="204"/>
      <c r="AA19" s="204"/>
      <c r="AB19" s="204"/>
      <c r="AC19" s="204"/>
      <c r="AD19" s="204"/>
      <c r="AE19" s="204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0"/>
      <c r="BD19" s="210"/>
      <c r="BE19" s="210"/>
      <c r="BF19" s="210"/>
      <c r="BG19" s="210"/>
      <c r="BH19" s="210"/>
      <c r="BI19" s="210"/>
      <c r="BJ19" s="210"/>
      <c r="BK19" s="210"/>
      <c r="BL19" s="210"/>
      <c r="BM19" s="210"/>
      <c r="BN19" s="210"/>
      <c r="BO19" s="210"/>
      <c r="BP19" s="210"/>
      <c r="BQ19" s="210"/>
      <c r="BR19" s="210"/>
      <c r="BS19" s="210"/>
      <c r="BT19" s="210"/>
    </row>
    <row r="20" ht="15.75" customHeight="1">
      <c r="A20" s="285"/>
      <c r="B20" s="286" t="s">
        <v>1353</v>
      </c>
      <c r="C20" s="287">
        <f>COUNTIF(H:H,"Ativo")</f>
        <v>7</v>
      </c>
      <c r="D20" s="203"/>
      <c r="E20" s="203"/>
      <c r="F20" s="203"/>
      <c r="G20" s="203"/>
      <c r="H20" s="203"/>
      <c r="I20" s="203"/>
      <c r="J20" s="203"/>
      <c r="K20" s="204"/>
      <c r="L20" s="204"/>
      <c r="M20" s="203"/>
      <c r="N20" s="205"/>
      <c r="O20" s="205"/>
      <c r="P20" s="206"/>
      <c r="Q20" s="207"/>
      <c r="R20" s="207"/>
      <c r="S20" s="203"/>
      <c r="T20" s="288"/>
      <c r="U20" s="288"/>
      <c r="V20" s="288"/>
      <c r="W20" s="288"/>
      <c r="X20" s="203"/>
      <c r="Y20" s="203"/>
      <c r="Z20" s="204"/>
      <c r="AA20" s="204"/>
      <c r="AB20" s="204"/>
      <c r="AC20" s="204"/>
      <c r="AD20" s="204"/>
      <c r="AE20" s="204"/>
      <c r="AF20" s="289">
        <f t="shared" ref="AF20:AH20" si="4">SUM(AF6:AF19)</f>
        <v>1461495.56</v>
      </c>
      <c r="AG20" s="289">
        <f t="shared" si="4"/>
        <v>17251495.14</v>
      </c>
      <c r="AH20" s="289">
        <f t="shared" si="4"/>
        <v>18902666.47</v>
      </c>
      <c r="AI20" s="289">
        <f t="shared" ref="AI20:BT20" si="5">SUM(AI3:AI19)</f>
        <v>22165401.22</v>
      </c>
      <c r="AJ20" s="289">
        <f t="shared" si="5"/>
        <v>22533891.6</v>
      </c>
      <c r="AK20" s="289">
        <f t="shared" si="5"/>
        <v>23220347.72</v>
      </c>
      <c r="AL20" s="289">
        <f t="shared" si="5"/>
        <v>23220347.72</v>
      </c>
      <c r="AM20" s="289">
        <f t="shared" si="5"/>
        <v>21461191.27</v>
      </c>
      <c r="AN20" s="289">
        <f t="shared" si="5"/>
        <v>21415528.4</v>
      </c>
      <c r="AO20" s="289">
        <f t="shared" si="5"/>
        <v>21872648.51</v>
      </c>
      <c r="AP20" s="289">
        <f t="shared" si="5"/>
        <v>21817676.55</v>
      </c>
      <c r="AQ20" s="289">
        <f t="shared" si="5"/>
        <v>15704130.35</v>
      </c>
      <c r="AR20" s="289">
        <f t="shared" si="5"/>
        <v>15573061.55</v>
      </c>
      <c r="AS20" s="289">
        <f t="shared" si="5"/>
        <v>15704900.17</v>
      </c>
      <c r="AT20" s="289">
        <f t="shared" si="5"/>
        <v>15630226.37</v>
      </c>
      <c r="AU20" s="289">
        <f t="shared" si="5"/>
        <v>16309169.31</v>
      </c>
      <c r="AV20" s="289">
        <f t="shared" si="5"/>
        <v>16743562.38</v>
      </c>
      <c r="AW20" s="289">
        <f t="shared" si="5"/>
        <v>17423239.06</v>
      </c>
      <c r="AX20" s="289">
        <f t="shared" si="5"/>
        <v>17339742.52</v>
      </c>
      <c r="AY20" s="289">
        <f t="shared" si="5"/>
        <v>17752984.92</v>
      </c>
      <c r="AZ20" s="289">
        <f t="shared" si="5"/>
        <v>17641603.85</v>
      </c>
      <c r="BA20" s="289">
        <f t="shared" si="5"/>
        <v>16967843.31</v>
      </c>
      <c r="BB20" s="289">
        <f t="shared" si="5"/>
        <v>16742752.95</v>
      </c>
      <c r="BC20" s="289">
        <f t="shared" si="5"/>
        <v>16529548.8</v>
      </c>
      <c r="BD20" s="289">
        <f t="shared" si="5"/>
        <v>17321067.3</v>
      </c>
      <c r="BE20" s="289">
        <f t="shared" si="5"/>
        <v>17462609</v>
      </c>
      <c r="BF20" s="289">
        <f t="shared" si="5"/>
        <v>17895598.37</v>
      </c>
      <c r="BG20" s="289">
        <f t="shared" si="5"/>
        <v>18053667.8</v>
      </c>
      <c r="BH20" s="289">
        <f t="shared" si="5"/>
        <v>19961050.64</v>
      </c>
      <c r="BI20" s="289">
        <f t="shared" si="5"/>
        <v>20990803.73</v>
      </c>
      <c r="BJ20" s="289">
        <f t="shared" si="5"/>
        <v>21330969.67</v>
      </c>
      <c r="BK20" s="289">
        <f t="shared" si="5"/>
        <v>16477551.82</v>
      </c>
      <c r="BL20" s="289">
        <f t="shared" si="5"/>
        <v>16544691.66</v>
      </c>
      <c r="BM20" s="289">
        <f t="shared" si="5"/>
        <v>16635247.61</v>
      </c>
      <c r="BN20" s="289">
        <f t="shared" si="5"/>
        <v>16606314.08</v>
      </c>
      <c r="BO20" s="289">
        <f t="shared" si="5"/>
        <v>17068659.54</v>
      </c>
      <c r="BP20" s="289">
        <f t="shared" si="5"/>
        <v>16808927.59</v>
      </c>
      <c r="BQ20" s="289">
        <f t="shared" si="5"/>
        <v>17068173.72</v>
      </c>
      <c r="BR20" s="289">
        <f t="shared" si="5"/>
        <v>17116456.15</v>
      </c>
      <c r="BS20" s="289">
        <f t="shared" si="5"/>
        <v>17109993.27</v>
      </c>
      <c r="BT20" s="289">
        <f t="shared" si="5"/>
        <v>16433607.06</v>
      </c>
    </row>
    <row r="21" ht="15.75" customHeight="1">
      <c r="A21" s="293"/>
      <c r="B21" s="294" t="s">
        <v>1370</v>
      </c>
      <c r="C21" s="295">
        <f>COUNTIF(H:H,"Inativo")</f>
        <v>9</v>
      </c>
      <c r="D21" s="214"/>
      <c r="E21" s="214"/>
      <c r="F21" s="215"/>
      <c r="G21" s="215"/>
      <c r="H21" s="216"/>
      <c r="I21" s="216"/>
      <c r="J21" s="216"/>
      <c r="K21" s="217"/>
      <c r="L21" s="218"/>
      <c r="M21" s="216"/>
      <c r="N21" s="205"/>
      <c r="O21" s="205"/>
      <c r="P21" s="206"/>
      <c r="Q21" s="207"/>
      <c r="R21" s="207"/>
      <c r="S21" s="203"/>
      <c r="T21" s="288"/>
      <c r="U21" s="288"/>
      <c r="V21" s="288"/>
      <c r="W21" s="288"/>
      <c r="X21" s="203"/>
      <c r="Y21" s="203"/>
      <c r="Z21" s="218"/>
      <c r="AA21" s="218"/>
      <c r="AB21" s="218"/>
      <c r="AC21" s="218"/>
      <c r="AD21" s="218"/>
      <c r="AE21" s="218"/>
      <c r="AF21" s="210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10"/>
      <c r="BP21" s="210"/>
      <c r="BQ21" s="210"/>
      <c r="BR21" s="210"/>
      <c r="BS21" s="210"/>
      <c r="BT21" s="210"/>
    </row>
    <row r="22" ht="15.75" customHeight="1">
      <c r="A22" s="293"/>
      <c r="B22" s="294" t="s">
        <v>1407</v>
      </c>
      <c r="C22" s="295">
        <f>COUNTIF(H:H,"Encerrado")</f>
        <v>0</v>
      </c>
      <c r="D22" s="214"/>
      <c r="E22" s="214"/>
      <c r="F22" s="215"/>
      <c r="G22" s="215"/>
      <c r="H22" s="216"/>
      <c r="I22" s="216"/>
      <c r="J22" s="216"/>
      <c r="K22" s="298"/>
      <c r="L22" s="218"/>
      <c r="M22" s="216"/>
      <c r="N22" s="205"/>
      <c r="O22" s="205"/>
      <c r="P22" s="206"/>
      <c r="Q22" s="207"/>
      <c r="R22" s="207"/>
      <c r="S22" s="203"/>
      <c r="T22" s="288"/>
      <c r="U22" s="288"/>
      <c r="V22" s="288"/>
      <c r="W22" s="288"/>
      <c r="X22" s="203"/>
      <c r="Y22" s="203"/>
      <c r="Z22" s="218"/>
      <c r="AA22" s="218"/>
      <c r="AB22" s="218"/>
      <c r="AC22" s="218"/>
      <c r="AD22" s="218"/>
      <c r="AE22" s="218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301"/>
      <c r="AU22" s="302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10"/>
      <c r="BP22" s="210"/>
      <c r="BQ22" s="210"/>
      <c r="BR22" s="210"/>
      <c r="BS22" s="210"/>
      <c r="BT22" s="210"/>
    </row>
    <row r="23" ht="15.75" customHeight="1">
      <c r="A23" s="303"/>
      <c r="B23" s="304" t="s">
        <v>1426</v>
      </c>
      <c r="C23" s="305">
        <f>COUNTIF(H:H,"Pode Operar")</f>
        <v>0</v>
      </c>
      <c r="D23" s="214"/>
      <c r="E23" s="214"/>
      <c r="F23" s="215"/>
      <c r="G23" s="215"/>
      <c r="H23" s="216"/>
      <c r="I23" s="216"/>
      <c r="J23" s="216"/>
      <c r="K23" s="217"/>
      <c r="L23" s="218"/>
      <c r="M23" s="216"/>
      <c r="N23" s="205"/>
      <c r="O23" s="205"/>
      <c r="P23" s="206"/>
      <c r="Q23" s="207"/>
      <c r="R23" s="207"/>
      <c r="S23" s="203"/>
      <c r="T23" s="288"/>
      <c r="U23" s="288"/>
      <c r="V23" s="288"/>
      <c r="W23" s="288"/>
      <c r="X23" s="203"/>
      <c r="Y23" s="203"/>
      <c r="Z23" s="218"/>
      <c r="AA23" s="218"/>
      <c r="AB23" s="218"/>
      <c r="AC23" s="218"/>
      <c r="AD23" s="218"/>
      <c r="AE23" s="218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301"/>
      <c r="AV23" s="210"/>
      <c r="AW23" s="210"/>
      <c r="AX23" s="210"/>
      <c r="AY23" s="210"/>
      <c r="AZ23" s="210"/>
      <c r="BA23" s="210"/>
      <c r="BB23" s="210"/>
      <c r="BC23" s="210"/>
      <c r="BD23" s="210"/>
      <c r="BE23" s="205"/>
      <c r="BF23" s="205"/>
      <c r="BG23" s="205"/>
      <c r="BH23" s="205"/>
      <c r="BI23" s="205"/>
      <c r="BJ23" s="205"/>
      <c r="BK23" s="205"/>
      <c r="BL23" s="205"/>
      <c r="BM23" s="205"/>
      <c r="BN23" s="205"/>
      <c r="BO23" s="205"/>
      <c r="BP23" s="205"/>
      <c r="BQ23" s="205"/>
      <c r="BR23" s="205"/>
      <c r="BS23" s="205"/>
      <c r="BT23" s="205"/>
    </row>
    <row r="24" ht="15.75" customHeight="1">
      <c r="A24" s="240"/>
      <c r="B24" s="240"/>
      <c r="C24" s="238"/>
      <c r="D24" s="214"/>
      <c r="E24" s="214"/>
      <c r="F24" s="236"/>
      <c r="G24" s="236"/>
      <c r="H24" s="216"/>
      <c r="I24" s="216"/>
      <c r="J24" s="216"/>
      <c r="K24" s="217"/>
      <c r="L24" s="204"/>
      <c r="M24" s="203"/>
      <c r="N24" s="205"/>
      <c r="O24" s="205"/>
      <c r="P24" s="206"/>
      <c r="Q24" s="207"/>
      <c r="R24" s="207"/>
      <c r="S24" s="203"/>
      <c r="T24" s="240"/>
      <c r="U24" s="240"/>
      <c r="V24" s="240"/>
      <c r="W24" s="240"/>
      <c r="X24" s="203"/>
      <c r="Y24" s="203"/>
      <c r="Z24" s="204"/>
      <c r="AA24" s="204"/>
      <c r="AB24" s="204"/>
      <c r="AC24" s="204"/>
      <c r="AD24" s="204"/>
      <c r="AE24" s="204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</row>
    <row r="25" ht="15.75" customHeight="1">
      <c r="A25" s="237"/>
      <c r="B25" s="237"/>
      <c r="C25" s="238"/>
      <c r="D25" s="214"/>
      <c r="E25" s="214"/>
      <c r="F25" s="215"/>
      <c r="G25" s="215"/>
      <c r="H25" s="216"/>
      <c r="I25" s="216"/>
      <c r="J25" s="216"/>
      <c r="K25" s="217"/>
      <c r="L25" s="204"/>
      <c r="M25" s="203"/>
      <c r="N25" s="205"/>
      <c r="O25" s="205"/>
      <c r="P25" s="206"/>
      <c r="Q25" s="207"/>
      <c r="R25" s="207"/>
      <c r="S25" s="203"/>
      <c r="T25" s="237"/>
      <c r="U25" s="237"/>
      <c r="V25" s="237"/>
      <c r="W25" s="237"/>
      <c r="X25" s="203"/>
      <c r="Y25" s="203"/>
      <c r="Z25" s="204"/>
      <c r="AA25" s="204"/>
      <c r="AB25" s="204"/>
      <c r="AC25" s="204"/>
      <c r="AD25" s="204"/>
      <c r="AE25" s="204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  <c r="BN25" s="210"/>
      <c r="BO25" s="210"/>
      <c r="BP25" s="210"/>
      <c r="BQ25" s="210"/>
      <c r="BR25" s="210"/>
      <c r="BS25" s="210"/>
      <c r="BT25" s="210"/>
    </row>
    <row r="26" ht="15.75" customHeight="1">
      <c r="A26" s="240"/>
      <c r="B26" s="240"/>
      <c r="C26" s="238"/>
      <c r="D26" s="214"/>
      <c r="E26" s="214"/>
      <c r="F26" s="215"/>
      <c r="G26" s="215"/>
      <c r="H26" s="216"/>
      <c r="I26" s="216"/>
      <c r="J26" s="216"/>
      <c r="K26" s="217"/>
      <c r="L26" s="218"/>
      <c r="M26" s="216"/>
      <c r="N26" s="205"/>
      <c r="O26" s="205"/>
      <c r="P26" s="206"/>
      <c r="Q26" s="207"/>
      <c r="R26" s="207"/>
      <c r="S26" s="203"/>
      <c r="T26" s="240"/>
      <c r="U26" s="240"/>
      <c r="V26" s="240"/>
      <c r="W26" s="240"/>
      <c r="X26" s="203"/>
      <c r="Y26" s="203"/>
      <c r="Z26" s="218"/>
      <c r="AA26" s="218"/>
      <c r="AB26" s="218"/>
      <c r="AC26" s="218"/>
      <c r="AD26" s="218"/>
      <c r="AE26" s="218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10"/>
      <c r="BP26" s="210"/>
      <c r="BQ26" s="210"/>
      <c r="BR26" s="210"/>
      <c r="BS26" s="210"/>
      <c r="BT26" s="210"/>
    </row>
  </sheetData>
  <customSheetViews>
    <customSheetView guid="{C1CA0EF5-D163-4398-B2A2-BDDFC98F2FB3}" filter="1" showAutoFilter="1">
      <autoFilter ref="$D$2:$F$26"/>
    </customSheetView>
    <customSheetView guid="{BC0B1DB1-8786-41B4-8FFF-B82431D10F35}" filter="1" showAutoFilter="1">
      <autoFilter ref="$B$2:$AJ$26"/>
    </customSheetView>
    <customSheetView guid="{C22C274A-8351-4552-955C-17C75AF11B50}" filter="1" showAutoFilter="1">
      <autoFilter ref="$D$2:$AI$26"/>
    </customSheetView>
    <customSheetView guid="{8E23099A-352A-46B6-8EAF-566C415C9723}" filter="1" showAutoFilter="1">
      <autoFilter ref="$D$2:$F$26"/>
    </customSheetView>
    <customSheetView guid="{722B78C8-FCD4-4998-92AC-C08554C3B012}" filter="1" showAutoFilter="1">
      <autoFilter ref="$D$2:$AI$26"/>
    </customSheetView>
    <customSheetView guid="{7206ACFF-4CDC-43A8-9D17-70E44C8BA13D}" filter="1" showAutoFilter="1">
      <autoFilter ref="$D$2:$F$26">
        <filterColumn colId="2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654A5899-80B2-4C15-A2FD-0DB5CDC13F98}" filter="1" showAutoFilter="1">
      <autoFilter ref="$B$2:$AJ$26">
        <filterColumn colId="34">
          <filters>
            <filter val="R$ 101,584.21"/>
            <filter val="R$ 11,187,314.18"/>
            <filter val="R$ 1,935,545.71"/>
            <filter val="R$ 49,282.48"/>
            <filter val="R$ 117,004.67"/>
            <filter val="R$ 658,117.34"/>
            <filter val="R$ 789,504.54"/>
            <filter val="R$ 0.00"/>
            <filter val="R$ 6,374,183.58"/>
            <filter val="R$ 1,321,354.89"/>
            <filter val="R$ 22,533,891.60"/>
          </filters>
        </filterColumn>
      </autoFilter>
    </customSheetView>
    <customSheetView guid="{E9EF4B04-EC2E-4866-A0D6-B498EEFB67F1}" filter="1" showAutoFilter="1">
      <autoFilter ref="$E$2:$F$26"/>
    </customSheetView>
    <customSheetView guid="{72FF36C8-C906-4432-A46B-8345044630C1}" filter="1" showAutoFilter="1">
      <autoFilter ref="$AJ$2:$AJ$26"/>
    </customSheetView>
    <customSheetView guid="{7B595886-3679-4CE5-8338-C329E3005A7E}" filter="1" showAutoFilter="1">
      <autoFilter ref="$F$2:$AI$26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  <filterColumn colId="28">
          <filters>
            <filter val="R$ 49,605.11"/>
            <filter val="R$ 5,238,742.95"/>
            <filter val="R$ 63,466.98"/>
            <filter val="R$ 18,902,666.47"/>
            <filter val="R$ 1,906,831.93"/>
            <filter val="R$ 599,473.92"/>
            <filter val="R$ 100,131.37"/>
            <filter val="R$ 644,965.12"/>
            <filter val="R$ 11,316,351.20"/>
            <filter val="R$ 0.00"/>
            <filter val="R$ 889,929.82"/>
          </filters>
        </filterColumn>
      </autoFilter>
    </customSheetView>
    <customSheetView guid="{76811BFC-6AF1-42FD-933F-8DEF2DDC606B}" filter="1" showAutoFilter="1">
      <autoFilter ref="$F$2:$F$26"/>
    </customSheetView>
    <customSheetView guid="{B720098B-70F4-44B5-833C-52F5E38957BF}" filter="1" showAutoFilter="1">
      <autoFilter ref="$B$2:$AG$19"/>
    </customSheetView>
    <customSheetView guid="{0D6E73C6-3261-43FB-A2C9-4B9A53AC06CB}" filter="1" showAutoFilter="1">
      <autoFilter ref="$B$2:$AJ$18"/>
    </customSheetView>
    <customSheetView guid="{8D8D3085-AB50-4CBA-97BF-5552334D2C30}" filter="1" showAutoFilter="1">
      <autoFilter ref="$F$2:$F$26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1E462D75-8D74-420B-A407-97545AE355DA}" filter="1" showAutoFilter="1">
      <autoFilter ref="$B$2:$AJ$18"/>
    </customSheetView>
    <customSheetView guid="{3AF03EB6-56CC-4410-8FFA-3735BC7F66A2}" filter="1" showAutoFilter="1">
      <autoFilter ref="$B$2:$AG$19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E80CA402-71E3-41A6-BCC8-EF9B79EFF256}" filter="1" showAutoFilter="1">
      <autoFilter ref="$B$2:$AJ$18"/>
    </customSheetView>
    <customSheetView guid="{CB45C91D-37D9-452E-AFFE-508EB217137F}" filter="1" showAutoFilter="1">
      <autoFilter ref="$F$2:$F$26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31E47E3C-FDA0-4B26-8783-ED349E6494F7}" filter="1" showAutoFilter="1">
      <autoFilter ref="$B$2:$AJ$18"/>
    </customSheetView>
    <customSheetView guid="{E9BF6AF0-BC32-4F88-8BD2-3FA7A1B4D5AB}" filter="1" showAutoFilter="1">
      <autoFilter ref="$K$2:$K$26">
        <filterColumn colId="0">
          <filters>
            <filter val="06/04/2023"/>
            <filter val="19/10/2023"/>
            <filter val="17/10/2025"/>
            <filter val="22/05/2026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4E961BEB-49AD-4B3A-B742-A30ADAC0D0C3}" filter="1" showAutoFilter="1">
      <autoFilter ref="$B$2:$AJ$18">
        <filterColumn colId="11">
          <filters>
            <filter val="INC/ COADM"/>
            <filter val="ARR"/>
            <filter val="MOD"/>
            <filter val="CON"/>
            <filter val="CORP"/>
          </filters>
        </filterColumn>
        <filterColumn colId="13">
          <filters>
            <filter val="IBOVESPA"/>
          </filters>
        </filterColumn>
      </autoFilter>
    </customSheetView>
    <customSheetView guid="{A0B95A44-8FE9-47B9-8B52-DE67E8D5CD4F}" filter="1" showAutoFilter="1">
      <autoFilter ref="$B$2:$AI$19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FBD4E7F3-FBBA-4389-B8DB-C6E19298F85D}" filter="1" showAutoFilter="1">
      <autoFilter ref="$K$2:$L$26">
        <filterColumn colId="0">
          <filters>
            <filter val="06/04/2023"/>
            <filter val="19/10/2023"/>
            <filter val="17/10/2025"/>
            <filter val="22/05/2026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21B7878B-52E2-4788-B095-9054A5981802}" filter="1" showAutoFilter="1">
      <autoFilter ref="$K$2:$K$26">
        <filterColumn colId="0">
          <filters>
            <filter val="06/04/2023"/>
            <filter val="19/10/2023"/>
            <filter val="17/10/2025"/>
            <filter val="22/05/2026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0341D29D-7608-4A0E-B511-8874684203B9}" filter="1" showAutoFilter="1">
      <autoFilter ref="$B$2:$AI$26"/>
    </customSheetView>
    <customSheetView guid="{D2CEFE79-E609-463C-AA33-4D88E759492B}" filter="1" showAutoFilter="1">
      <autoFilter ref="$F$2:$F$26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5D99C391-A582-4147-B89C-A2E2E90FF18D}" filter="1" showAutoFilter="1">
      <autoFilter ref="$B$2:$AG$19"/>
    </customSheetView>
    <customSheetView guid="{E32AB26C-4D14-444C-AB57-6F022BBBD03C}" filter="1" showAutoFilter="1">
      <autoFilter ref="$AI$2:$AI$26">
        <filterColumn colId="0">
          <filters>
            <filter val="R$ 1,908,117.71"/>
            <filter val="R$ 6,535,939.62"/>
            <filter val="R$ 11,184,641.74"/>
            <filter val="R$ 607,825.55"/>
            <filter val="R$ 1,101,862.14"/>
            <filter val="R$ 22,165,401.22"/>
            <filter val="R$ 48,654.91"/>
            <filter val="R$ 652,129.16"/>
            <filter val="R$ 64,106.84"/>
            <filter val="R$ 62,123.55"/>
          </filters>
        </filterColumn>
      </autoFilter>
    </customSheetView>
    <customSheetView guid="{B7EA2B43-FFDE-4C9E-B072-96B56F96CE37}" filter="1" showAutoFilter="1">
      <autoFilter ref="$B$2:$AI$19"/>
    </customSheetView>
    <customSheetView guid="{98849F6F-DF55-434F-8EC1-0BF9B8DC5EE7}" filter="1" showAutoFilter="1">
      <autoFilter ref="$D$2:$F$26"/>
    </customSheetView>
    <customSheetView guid="{2B799362-B7B1-4E34-BAF1-CA385A7DA9EA}" filter="1" showAutoFilter="1">
      <autoFilter ref="$B$2:$AI$19">
        <sortState ref="B2:AI19">
          <sortCondition ref="B2:B19"/>
        </sortState>
      </autoFilter>
    </customSheetView>
    <customSheetView guid="{7228C4C0-6366-410B-999F-F4ED1D860199}" filter="1" showAutoFilter="1">
      <autoFilter ref="$F$2:$F$26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97ED08F8-0902-4DF2-B169-6E35A244D709}" filter="1" showAutoFilter="1">
      <autoFilter ref="$B$2:$AG$19"/>
    </customSheetView>
    <customSheetView guid="{67C01C50-489A-43C6-898D-F58DB0C2FE7C}" filter="1" showAutoFilter="1">
      <autoFilter ref="$K$2:$K$26"/>
    </customSheetView>
    <customSheetView guid="{49814561-BE66-479A-BDCA-0D34ADCEB727}" filter="1" showAutoFilter="1">
      <autoFilter ref="$AJ$2:$AJ$26"/>
    </customSheetView>
    <customSheetView guid="{876BADF1-FCFF-4C45-A0CD-C6DF3171442D}" filter="1" showAutoFilter="1">
      <autoFilter ref="$B$2:$AJ$19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F54AB606-0A02-4CDB-B6E2-C5D4DD633C39}" filter="1" showAutoFilter="1">
      <autoFilter ref="$M$2:$M$26">
        <filterColumn colId="0">
          <filters>
            <filter val="INC/ COADM"/>
            <filter val="CON"/>
            <filter val="CORP"/>
          </filters>
        </filterColumn>
      </autoFilter>
    </customSheetView>
    <customSheetView guid="{08F7F748-3961-4A6D-B19F-B00BB1F86BAE}" filter="1" showAutoFilter="1">
      <autoFilter ref="$D$2:$F$26"/>
    </customSheetView>
    <customSheetView guid="{7F6EBB9D-4C6B-4F0A-9736-FC94E3B466E1}" filter="1" showAutoFilter="1">
      <autoFilter ref="$M$2:$O$26"/>
    </customSheetView>
    <customSheetView guid="{B9CAED52-F68F-46DC-BC9D-365E252014AF}" filter="1" showAutoFilter="1">
      <autoFilter ref="$F$2:$M$26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3D9A4475-5E5C-4472-A129-35E6A30C6B54}" filter="1" showAutoFilter="1">
      <autoFilter ref="$K$2:$K$26">
        <filterColumn colId="0">
          <filters>
            <filter val="06/04/2023"/>
            <filter val="19/10/2023"/>
            <filter val="17/10/2025"/>
            <filter val="22/05/2026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CE2411D1-E1EA-4B10-9A09-B64AA7454FEF}" filter="1" showAutoFilter="1">
      <autoFilter ref="$B$2:$AI$19"/>
    </customSheetView>
    <customSheetView guid="{CFC6ADAB-EA49-4F10-AB39-1F497DAF85D3}" filter="1" showAutoFilter="1">
      <autoFilter ref="$F$2:$F$26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65EDCAC3-8E22-4FB8-922B-0B495E11E5DB}" filter="1" showAutoFilter="1">
      <autoFilter ref="$AH$2:$AH$26"/>
    </customSheetView>
    <customSheetView guid="{4E06399B-CA7D-4E4D-A17E-E4B9B1AF63C4}" filter="1" showAutoFilter="1">
      <autoFilter ref="$B$2:$AJ$18"/>
    </customSheetView>
    <customSheetView guid="{22EAFBDC-F786-4265-98F2-E728CC4DB199}" filter="1" showAutoFilter="1">
      <autoFilter ref="$B$2:$AJ$18">
        <filterColumn colId="4">
          <filters>
            <filter val="José Henrique"/>
            <filter val="Bruno Jaim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B40945C9-974D-43EF-AB93-58449A090935}" filter="1" showAutoFilter="1">
      <autoFilter ref="$B$2:$AI$19"/>
    </customSheetView>
    <customSheetView guid="{B604FAC0-0919-4A33-B240-F21979965E15}" filter="1" showAutoFilter="1">
      <autoFilter ref="$B$2:$AJ$18"/>
    </customSheetView>
    <customSheetView guid="{D231C3E6-8F34-4669-BD4B-6375A5FD1A7D}" filter="1" showAutoFilter="1">
      <autoFilter ref="$B$2:$AI$26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3222D8C9-292D-42A9-9FB9-C02C74427E3B}" filter="1" showAutoFilter="1">
      <autoFilter ref="$B$2:$AJ$18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Sem CrPr (30/04/2026)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C47A8014-6FA4-42E4-9F12-F1011B9C099B}" filter="1" showAutoFilter="1">
      <autoFilter ref="$B$2:$AG$19"/>
    </customSheetView>
    <customSheetView guid="{CAA79F67-A6A3-4ED0-A1B0-0DAAC59C98FC}" filter="1" showAutoFilter="1">
      <autoFilter ref="$B$2:$AG$19"/>
    </customSheetView>
    <customSheetView guid="{BDEA0D28-6EB0-4544-8313-7877B5E9979F}" filter="1" showAutoFilter="1">
      <autoFilter ref="$B$2:$AJ$18"/>
    </customSheetView>
    <customSheetView guid="{181C22BD-9FB8-4211-B38F-92D0B2C9BC50}" filter="1" showAutoFilter="1">
      <autoFilter ref="$B$2:$AJ$18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Sem CrPr (30/04/2026)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2F696A84-E0A2-4357-AFCA-01998AF33B79}" filter="1" showAutoFilter="1">
      <autoFilter ref="$B$2:$AG$19"/>
    </customSheetView>
    <customSheetView guid="{0C67F5DA-14A5-47C5-91B5-988FF202FC69}" filter="1" showAutoFilter="1">
      <autoFilter ref="$D$2:$K$26">
        <filterColumn colId="7">
          <filters>
            <filter val="06/04/2023"/>
            <filter val="19/10/2023"/>
            <filter val="17/10/2025"/>
            <filter val="22/05/2026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A03660A7-9D48-49DA-BC0E-ED8F769D2A1C}" filter="1" showAutoFilter="1">
      <autoFilter ref="$B$2:$AI$19"/>
    </customSheetView>
    <customSheetView guid="{00E60367-C557-4A9D-ABF1-08D0B4DFDFC8}" filter="1" showAutoFilter="1">
      <autoFilter ref="$B$2:$Q$18">
        <filterColumn colId="13">
          <filters>
            <filter val="IBOVESPA"/>
          </filters>
        </filterColumn>
      </autoFilter>
    </customSheetView>
    <customSheetView guid="{D32BF63B-B2CA-4C3E-931C-80018C77A928}" filter="1" showAutoFilter="1">
      <autoFilter ref="$B$2:$AI$19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C62C338D-6DD7-4E1D-BD83-DBDE22838042}" filter="1" showAutoFilter="1">
      <autoFilter ref="$K$2:$K$26">
        <filterColumn colId="0">
          <filters>
            <filter val="06/04/2023"/>
            <filter val="19/10/2023"/>
            <filter val="17/10/2025"/>
            <filter val="22/05/2026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A214FC91-2926-4021-8CFF-EA2F61021101}" filter="1" showAutoFilter="1">
      <autoFilter ref="$B$2:$AK$18">
        <filterColumn colId="2">
          <filters>
            <filter val="MI Smart"/>
          </filters>
        </filterColumn>
      </autoFilter>
    </customSheetView>
    <customSheetView guid="{ABBBA665-4775-4A10-A798-C01BBFABA2EF}" filter="1" showAutoFilter="1">
      <autoFilter ref="$K$2:$K$26"/>
    </customSheetView>
    <customSheetView guid="{F74C4763-B110-4317-BA48-93E15369D235}" filter="1" showAutoFilter="1">
      <autoFilter ref="$Q$2:$Q$26">
        <filterColumn colId="0">
          <filters>
            <filter val="Não vender ativos fora da estratégia. Montagem de posição Smallcaps para Subconta"/>
            <filter val="Manter somente BBSE3, ITUB4, VALE3 E VIVT3 na parte de RV"/>
            <filter val="Sem CrPr (30/04/2026)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</customSheetViews>
  <mergeCells count="4">
    <mergeCell ref="A1:F1"/>
    <mergeCell ref="H1:I1"/>
    <mergeCell ref="J1:P1"/>
    <mergeCell ref="S1:AB1"/>
  </mergeCells>
  <conditionalFormatting sqref="E3:E18">
    <cfRule type="cellIs" dxfId="1" priority="1" operator="equal">
      <formula>"Conquest"</formula>
    </cfRule>
  </conditionalFormatting>
  <conditionalFormatting sqref="E3:E18">
    <cfRule type="cellIs" dxfId="2" priority="2" operator="equal">
      <formula>"Voga"</formula>
    </cfRule>
  </conditionalFormatting>
  <conditionalFormatting sqref="Z3:AA18">
    <cfRule type="notContainsBlanks" dxfId="0" priority="3">
      <formula>LEN(TRIM(Z3))&gt;0</formula>
    </cfRule>
  </conditionalFormatting>
  <dataValidations>
    <dataValidation type="list" allowBlank="1" showErrorMessage="1" sqref="I3:I18">
      <formula1>"------,Sem Saldo,STVM Entrada,STVM Saída,Alteração de C.A,Monitoramento,Bloqueado,Resgate,Resgate Total,Troca de Assessoria,Distrato"</formula1>
    </dataValidation>
    <dataValidation type="list" allowBlank="1" showErrorMessage="1" sqref="D3:D18">
      <formula1>"Bluemetrix,Voga,Conquest,MI Smart"</formula1>
    </dataValidation>
    <dataValidation type="list" allowBlank="1" showErrorMessage="1" sqref="H3:H18">
      <formula1>"Ativo,Pode Operar,Inativo,Encerrado"</formula1>
    </dataValidation>
    <dataValidation type="list" allowBlank="1" showErrorMessage="1" sqref="Z3:AA18">
      <formula1>"Conservador,Moderado,Arrojado"</formula1>
    </dataValidation>
    <dataValidation type="list" allowBlank="1" showErrorMessage="1" sqref="Y3:Y18">
      <formula1>"Ativo,Inativo,Encerrado"</formula1>
    </dataValidation>
    <dataValidation type="list" allowBlank="1" showErrorMessage="1" sqref="O3:O18">
      <formula1>"IBOVESPA,CDI,------,IFIX,SMLL,S&amp;P 500"</formula1>
    </dataValidation>
    <dataValidation type="list" allowBlank="1" showErrorMessage="1" sqref="AB3:AB18">
      <formula1>"Não Qualificado,Qualificado,Profissional"</formula1>
    </dataValidation>
    <dataValidation type="list" allowBlank="1" showErrorMessage="1" sqref="E3:E18">
      <formula1>"DF,GO,SUL,SP"</formula1>
    </dataValidation>
    <dataValidation type="list" allowBlank="1" showErrorMessage="1" sqref="S3:S18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35.88"/>
    <col customWidth="1" min="3" max="3" width="8.25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0"/>
    <col customWidth="1" min="16" max="16" width="7.63"/>
    <col customWidth="1" min="17" max="17" width="47.0"/>
    <col customWidth="1" min="18" max="18" width="36.63"/>
    <col customWidth="1" min="19" max="19" width="7.75"/>
    <col customWidth="1" min="20" max="20" width="11.5"/>
    <col customWidth="1" min="21" max="21" width="8.25"/>
    <col customWidth="1" min="22" max="22" width="11.63"/>
    <col customWidth="1" min="23" max="23" width="8.38"/>
    <col customWidth="1" min="24" max="25" width="20.13"/>
    <col customWidth="1" min="26" max="26" width="12.25"/>
    <col customWidth="1" min="27" max="30" width="13.0"/>
    <col customWidth="1" min="31" max="42" width="11.0"/>
  </cols>
  <sheetData>
    <row r="1" ht="15.75" customHeight="1">
      <c r="A1" s="2"/>
      <c r="B1" s="2" t="s">
        <v>0</v>
      </c>
      <c r="C1" s="2"/>
      <c r="D1" s="2"/>
      <c r="E1" s="2"/>
      <c r="F1" s="2"/>
      <c r="G1" s="5" t="s">
        <v>3</v>
      </c>
      <c r="H1" s="5" t="s">
        <v>6</v>
      </c>
      <c r="J1" s="2" t="s">
        <v>0</v>
      </c>
      <c r="Q1" s="6" t="s">
        <v>10</v>
      </c>
      <c r="R1" s="8" t="s">
        <v>11</v>
      </c>
      <c r="S1" s="9" t="s">
        <v>13</v>
      </c>
      <c r="Y1" s="9"/>
      <c r="Z1" s="306" t="s">
        <v>18</v>
      </c>
      <c r="AI1" s="306"/>
      <c r="AJ1" s="306"/>
      <c r="AK1" s="306"/>
      <c r="AL1" s="306"/>
      <c r="AM1" s="306"/>
      <c r="AN1" s="306"/>
      <c r="AO1" s="306"/>
      <c r="AP1" s="306"/>
    </row>
    <row r="2" ht="15.75" customHeight="1">
      <c r="A2" s="307" t="s">
        <v>31</v>
      </c>
      <c r="B2" s="308" t="s">
        <v>33</v>
      </c>
      <c r="C2" s="309" t="s">
        <v>2</v>
      </c>
      <c r="D2" s="310" t="s">
        <v>4</v>
      </c>
      <c r="E2" s="310" t="s">
        <v>5</v>
      </c>
      <c r="F2" s="310" t="s">
        <v>7</v>
      </c>
      <c r="G2" s="310" t="s">
        <v>36</v>
      </c>
      <c r="H2" s="310" t="s">
        <v>37</v>
      </c>
      <c r="I2" s="311" t="s">
        <v>38</v>
      </c>
      <c r="J2" s="310" t="s">
        <v>39</v>
      </c>
      <c r="K2" s="309" t="s">
        <v>41</v>
      </c>
      <c r="L2" s="309" t="s">
        <v>42</v>
      </c>
      <c r="M2" s="309" t="s">
        <v>12</v>
      </c>
      <c r="N2" s="309" t="s">
        <v>45</v>
      </c>
      <c r="O2" s="309" t="s">
        <v>1831</v>
      </c>
      <c r="P2" s="309" t="s">
        <v>16</v>
      </c>
      <c r="Q2" s="312" t="s">
        <v>1832</v>
      </c>
      <c r="R2" s="312" t="s">
        <v>48</v>
      </c>
      <c r="S2" s="310" t="s">
        <v>50</v>
      </c>
      <c r="T2" s="313" t="s">
        <v>17</v>
      </c>
      <c r="U2" s="309" t="s">
        <v>22</v>
      </c>
      <c r="V2" s="311" t="s">
        <v>56</v>
      </c>
      <c r="W2" s="309" t="s">
        <v>23</v>
      </c>
      <c r="X2" s="309" t="s">
        <v>60</v>
      </c>
      <c r="Y2" s="311" t="s">
        <v>1833</v>
      </c>
      <c r="Z2" s="310" t="s">
        <v>121</v>
      </c>
      <c r="AA2" s="310" t="s">
        <v>123</v>
      </c>
      <c r="AB2" s="310" t="s">
        <v>126</v>
      </c>
      <c r="AC2" s="310" t="s">
        <v>127</v>
      </c>
      <c r="AD2" s="310" t="s">
        <v>128</v>
      </c>
      <c r="AE2" s="310" t="s">
        <v>130</v>
      </c>
      <c r="AF2" s="314" t="s">
        <v>132</v>
      </c>
      <c r="AG2" s="314" t="s">
        <v>135</v>
      </c>
      <c r="AH2" s="314" t="s">
        <v>138</v>
      </c>
      <c r="AI2" s="315" t="s">
        <v>140</v>
      </c>
      <c r="AJ2" s="315" t="s">
        <v>143</v>
      </c>
      <c r="AK2" s="315" t="s">
        <v>146</v>
      </c>
      <c r="AL2" s="315" t="s">
        <v>149</v>
      </c>
      <c r="AM2" s="315" t="s">
        <v>153</v>
      </c>
      <c r="AN2" s="315" t="s">
        <v>157</v>
      </c>
      <c r="AO2" s="315" t="s">
        <v>161</v>
      </c>
      <c r="AP2" s="315" t="s">
        <v>163</v>
      </c>
    </row>
    <row r="3" ht="15.75" customHeight="1">
      <c r="A3" s="316" t="s">
        <v>1837</v>
      </c>
      <c r="B3" s="316" t="s">
        <v>1838</v>
      </c>
      <c r="C3" s="317" t="s">
        <v>1839</v>
      </c>
      <c r="D3" s="63" t="s">
        <v>255</v>
      </c>
      <c r="E3" s="66" t="s">
        <v>199</v>
      </c>
      <c r="F3" s="318" t="s">
        <v>257</v>
      </c>
      <c r="G3" s="319" t="str">
        <f t="array" ref="G3">IF(AND(XLOOKUP(F3,'PL TOTAL D0'!$A$3:$A$54,'PL TOTAL D0'!$B$3:$B$54,)="Edu",AF3&gt;100000),"Edu",IF(AND(XLOOKUP(F3,'PL TOTAL D0'!$A$3:$A$54,'PL TOTAL D0'!$B$3:$B$54,)="Edu",AF3&lt;100000),"Breno",IF(AND(XLOOKUP(F3,'PL TOTAL D0'!$A$3:$A$54,'PL TOTAL D0'!$B$3:$B$54,)="Léo",AF3&gt;100000),"Léo",IF(AND(XLOOKUP(F3,'PL TOTAL D0'!$A$3:$A$54,'PL TOTAL D0'!$B$3:$B$54,)="Léo",AF3&lt;100000),"Bruno",""))))</f>
        <v/>
      </c>
      <c r="H3" s="115" t="s">
        <v>183</v>
      </c>
      <c r="I3" s="74" t="s">
        <v>66</v>
      </c>
      <c r="J3" s="63" t="str">
        <f t="shared" ref="J3:J4" si="1">IF(Q3=0,"Não","Sim")</f>
        <v>Não</v>
      </c>
      <c r="K3" s="326">
        <v>45147.0</v>
      </c>
      <c r="L3" s="62"/>
      <c r="M3" s="328" t="s">
        <v>361</v>
      </c>
      <c r="N3" s="329">
        <v>0.01</v>
      </c>
      <c r="O3" s="81" t="s">
        <v>66</v>
      </c>
      <c r="P3" s="82">
        <v>0.0</v>
      </c>
      <c r="Q3" s="330"/>
      <c r="R3" s="58"/>
      <c r="S3" s="62" t="s">
        <v>194</v>
      </c>
      <c r="T3" s="331" t="s">
        <v>1852</v>
      </c>
      <c r="U3" s="81" t="s">
        <v>199</v>
      </c>
      <c r="V3" s="332" t="str">
        <f t="shared" ref="V3:V4" si="2">IFS(H:H="Encerrado","Encerrado",SUM(Z3:AJ3)&lt;=0,"Inativo",SUM(Z3:AJ3)&gt;0,"Ativo")</f>
        <v>Ativo</v>
      </c>
      <c r="W3" s="62"/>
      <c r="X3" s="62"/>
      <c r="Y3" s="62"/>
      <c r="Z3" s="96">
        <v>0.0</v>
      </c>
      <c r="AA3" s="96">
        <v>0.0</v>
      </c>
      <c r="AB3" s="96">
        <v>0.0</v>
      </c>
      <c r="AC3" s="222">
        <v>0.0</v>
      </c>
      <c r="AD3" s="222">
        <v>0.0</v>
      </c>
      <c r="AE3" s="96">
        <v>228609.33</v>
      </c>
      <c r="AF3" s="96">
        <v>476415.19</v>
      </c>
      <c r="AG3" s="96">
        <v>481666.56</v>
      </c>
      <c r="AH3" s="96">
        <v>484162.48</v>
      </c>
      <c r="AI3" s="96">
        <v>490258.74</v>
      </c>
      <c r="AJ3" s="90">
        <v>491139.54</v>
      </c>
      <c r="AK3" s="90">
        <v>494882.51</v>
      </c>
      <c r="AL3" s="90">
        <v>495576.06</v>
      </c>
      <c r="AM3" s="90">
        <v>494772.11</v>
      </c>
      <c r="AN3" s="90">
        <v>496894.54</v>
      </c>
      <c r="AO3" s="90">
        <v>496874.88</v>
      </c>
      <c r="AP3" s="90">
        <v>0.0</v>
      </c>
    </row>
    <row r="4" ht="15.75" customHeight="1">
      <c r="A4" s="316" t="s">
        <v>1837</v>
      </c>
      <c r="B4" s="316" t="s">
        <v>1856</v>
      </c>
      <c r="C4" s="337">
        <v>6574040.0</v>
      </c>
      <c r="D4" s="63" t="s">
        <v>120</v>
      </c>
      <c r="E4" s="66" t="s">
        <v>54</v>
      </c>
      <c r="F4" s="319" t="s">
        <v>348</v>
      </c>
      <c r="G4" s="319" t="str">
        <f t="array" ref="G4">IF(AND(XLOOKUP(F4,'PL TOTAL D0'!$A$3:$A$54,'PL TOTAL D0'!$B$3:$B$54,)="Edu",AF4&gt;100000),"Edu",IF(AND(XLOOKUP(F4,'PL TOTAL D0'!$A$3:$A$54,'PL TOTAL D0'!$B$3:$B$54,)="Edu",AF4&lt;100000),"Breno",IF(AND(XLOOKUP(F4,'PL TOTAL D0'!$A$3:$A$54,'PL TOTAL D0'!$B$3:$B$54,)="Léo",AF4&gt;100000),"Léo",IF(AND(XLOOKUP(F4,'PL TOTAL D0'!$A$3:$A$54,'PL TOTAL D0'!$B$3:$B$54,)="Léo",AF4&lt;100000),"Bruno",""))))</f>
        <v/>
      </c>
      <c r="H4" s="115" t="s">
        <v>183</v>
      </c>
      <c r="I4" s="74" t="s">
        <v>66</v>
      </c>
      <c r="J4" s="63" t="str">
        <f t="shared" si="1"/>
        <v>Não</v>
      </c>
      <c r="K4" s="345">
        <v>45035.0</v>
      </c>
      <c r="L4" s="62"/>
      <c r="M4" s="346" t="s">
        <v>209</v>
      </c>
      <c r="N4" s="347">
        <v>0.015</v>
      </c>
      <c r="O4" s="81" t="s">
        <v>35</v>
      </c>
      <c r="P4" s="82">
        <v>0.1</v>
      </c>
      <c r="Q4" s="330"/>
      <c r="R4" s="330" t="s">
        <v>1860</v>
      </c>
      <c r="S4" s="62" t="s">
        <v>194</v>
      </c>
      <c r="T4" s="331" t="s">
        <v>1863</v>
      </c>
      <c r="U4" s="30" t="s">
        <v>54</v>
      </c>
      <c r="V4" s="332" t="str">
        <f t="shared" si="2"/>
        <v>Ativo</v>
      </c>
      <c r="W4" s="62"/>
      <c r="X4" s="62"/>
      <c r="Y4" s="62"/>
      <c r="Z4" s="96">
        <v>0.0</v>
      </c>
      <c r="AA4" s="96">
        <v>0.0</v>
      </c>
      <c r="AB4" s="96">
        <v>132492.79</v>
      </c>
      <c r="AC4" s="222">
        <v>134743.56</v>
      </c>
      <c r="AD4" s="222">
        <v>136144.6</v>
      </c>
      <c r="AE4" s="96">
        <v>192907.97</v>
      </c>
      <c r="AF4" s="96">
        <v>309196.34</v>
      </c>
      <c r="AG4" s="96">
        <v>312854.22</v>
      </c>
      <c r="AH4" s="96">
        <v>317287.32</v>
      </c>
      <c r="AI4" s="96">
        <v>130675.4</v>
      </c>
      <c r="AJ4" s="90">
        <v>90712.68</v>
      </c>
      <c r="AK4" s="90">
        <v>89283.42</v>
      </c>
      <c r="AL4" s="90">
        <v>0.0</v>
      </c>
      <c r="AM4" s="90">
        <v>0.0</v>
      </c>
      <c r="AN4" s="90">
        <v>0.0</v>
      </c>
      <c r="AO4" s="90">
        <v>0.0</v>
      </c>
      <c r="AP4" s="90">
        <v>0.0</v>
      </c>
    </row>
    <row r="5" ht="15.75" customHeight="1">
      <c r="A5" s="237"/>
      <c r="B5" s="237"/>
      <c r="C5" s="284"/>
      <c r="D5" s="216"/>
      <c r="E5" s="216"/>
      <c r="F5" s="203"/>
      <c r="G5" s="203"/>
      <c r="H5" s="253"/>
      <c r="I5" s="253"/>
      <c r="J5" s="253"/>
      <c r="K5" s="204"/>
      <c r="L5" s="204"/>
      <c r="M5" s="203"/>
      <c r="N5" s="205"/>
      <c r="O5" s="205"/>
      <c r="P5" s="206"/>
      <c r="Q5" s="207"/>
      <c r="R5" s="207"/>
      <c r="S5" s="203"/>
      <c r="T5" s="237"/>
      <c r="U5" s="203"/>
      <c r="V5" s="203"/>
      <c r="W5" s="204"/>
      <c r="X5" s="204"/>
      <c r="Y5" s="204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</row>
    <row r="6" ht="15.75" customHeight="1">
      <c r="A6" s="285"/>
      <c r="B6" s="286" t="s">
        <v>1353</v>
      </c>
      <c r="C6" s="287">
        <f>COUNTIF(H:H,"Ativo")</f>
        <v>2</v>
      </c>
      <c r="D6" s="203"/>
      <c r="E6" s="203"/>
      <c r="F6" s="203"/>
      <c r="G6" s="203"/>
      <c r="H6" s="203"/>
      <c r="I6" s="203"/>
      <c r="J6" s="203"/>
      <c r="K6" s="204"/>
      <c r="L6" s="204"/>
      <c r="M6" s="203"/>
      <c r="N6" s="205"/>
      <c r="O6" s="205"/>
      <c r="P6" s="206"/>
      <c r="Q6" s="207"/>
      <c r="R6" s="207"/>
      <c r="S6" s="203"/>
      <c r="T6" s="286"/>
      <c r="U6" s="203"/>
      <c r="V6" s="203"/>
      <c r="W6" s="204"/>
      <c r="X6" s="204"/>
      <c r="Y6" s="204"/>
      <c r="Z6" s="354">
        <f t="shared" ref="Z6:AP6" si="3">SUM(Z3:Z5)</f>
        <v>0</v>
      </c>
      <c r="AA6" s="354">
        <f t="shared" si="3"/>
        <v>0</v>
      </c>
      <c r="AB6" s="354">
        <f t="shared" si="3"/>
        <v>132492.79</v>
      </c>
      <c r="AC6" s="354">
        <f t="shared" si="3"/>
        <v>134743.56</v>
      </c>
      <c r="AD6" s="354">
        <f t="shared" si="3"/>
        <v>136144.6</v>
      </c>
      <c r="AE6" s="354">
        <f t="shared" si="3"/>
        <v>421517.3</v>
      </c>
      <c r="AF6" s="354">
        <f t="shared" si="3"/>
        <v>785611.53</v>
      </c>
      <c r="AG6" s="354">
        <f t="shared" si="3"/>
        <v>794520.78</v>
      </c>
      <c r="AH6" s="354">
        <f t="shared" si="3"/>
        <v>801449.8</v>
      </c>
      <c r="AI6" s="354">
        <f t="shared" si="3"/>
        <v>620934.14</v>
      </c>
      <c r="AJ6" s="354">
        <f t="shared" si="3"/>
        <v>581852.22</v>
      </c>
      <c r="AK6" s="354">
        <f t="shared" si="3"/>
        <v>584165.93</v>
      </c>
      <c r="AL6" s="354">
        <f t="shared" si="3"/>
        <v>495576.06</v>
      </c>
      <c r="AM6" s="354">
        <f t="shared" si="3"/>
        <v>494772.11</v>
      </c>
      <c r="AN6" s="354">
        <f t="shared" si="3"/>
        <v>496894.54</v>
      </c>
      <c r="AO6" s="354">
        <f t="shared" si="3"/>
        <v>496874.88</v>
      </c>
      <c r="AP6" s="354">
        <f t="shared" si="3"/>
        <v>0</v>
      </c>
    </row>
    <row r="7" ht="15.75" customHeight="1">
      <c r="A7" s="293"/>
      <c r="B7" s="294" t="s">
        <v>1370</v>
      </c>
      <c r="C7" s="295">
        <f>COUNTIF(H:H,"Inativo")</f>
        <v>0</v>
      </c>
      <c r="D7" s="214"/>
      <c r="E7" s="214"/>
      <c r="F7" s="215"/>
      <c r="G7" s="215"/>
      <c r="H7" s="216"/>
      <c r="I7" s="216"/>
      <c r="J7" s="216"/>
      <c r="K7" s="217"/>
      <c r="L7" s="218"/>
      <c r="M7" s="216"/>
      <c r="N7" s="205"/>
      <c r="O7" s="205"/>
      <c r="P7" s="206"/>
      <c r="Q7" s="207"/>
      <c r="R7" s="207"/>
      <c r="S7" s="203"/>
      <c r="T7" s="294"/>
      <c r="U7" s="203"/>
      <c r="V7" s="203"/>
      <c r="W7" s="218"/>
      <c r="X7" s="218"/>
      <c r="Y7" s="218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</row>
    <row r="8" ht="15.75" customHeight="1">
      <c r="A8" s="293"/>
      <c r="B8" s="294" t="s">
        <v>1407</v>
      </c>
      <c r="C8" s="295">
        <f>COUNTIF(H:H,"Encerrado")</f>
        <v>0</v>
      </c>
      <c r="D8" s="214"/>
      <c r="E8" s="214"/>
      <c r="F8" s="215"/>
      <c r="G8" s="215"/>
      <c r="H8" s="216"/>
      <c r="I8" s="216"/>
      <c r="J8" s="216"/>
      <c r="K8" s="217"/>
      <c r="L8" s="218"/>
      <c r="M8" s="216"/>
      <c r="N8" s="205"/>
      <c r="O8" s="205"/>
      <c r="P8" s="206"/>
      <c r="Q8" s="207"/>
      <c r="R8" s="207"/>
      <c r="S8" s="203"/>
      <c r="T8" s="294"/>
      <c r="U8" s="203"/>
      <c r="V8" s="203"/>
      <c r="W8" s="218"/>
      <c r="X8" s="218"/>
      <c r="Y8" s="218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</row>
    <row r="9" ht="15.75" customHeight="1">
      <c r="A9" s="303"/>
      <c r="B9" s="304" t="s">
        <v>1426</v>
      </c>
      <c r="C9" s="305">
        <f>COUNTIF(H:H,"Pode Operar")</f>
        <v>0</v>
      </c>
      <c r="D9" s="214"/>
      <c r="E9" s="214"/>
      <c r="F9" s="215"/>
      <c r="G9" s="215"/>
      <c r="H9" s="216"/>
      <c r="I9" s="216"/>
      <c r="J9" s="216"/>
      <c r="K9" s="217"/>
      <c r="L9" s="218"/>
      <c r="M9" s="216"/>
      <c r="N9" s="205"/>
      <c r="O9" s="205"/>
      <c r="P9" s="206"/>
      <c r="Q9" s="207"/>
      <c r="R9" s="207"/>
      <c r="S9" s="203"/>
      <c r="T9" s="304"/>
      <c r="U9" s="203"/>
      <c r="V9" s="203"/>
      <c r="W9" s="218"/>
      <c r="X9" s="218"/>
      <c r="Y9" s="218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</row>
    <row r="10" ht="15.75" customHeight="1">
      <c r="A10" s="240"/>
      <c r="B10" s="240"/>
      <c r="C10" s="238"/>
      <c r="D10" s="214"/>
      <c r="E10" s="214"/>
      <c r="F10" s="236"/>
      <c r="G10" s="236"/>
      <c r="H10" s="216"/>
      <c r="I10" s="216"/>
      <c r="J10" s="216"/>
      <c r="K10" s="217"/>
      <c r="L10" s="204"/>
      <c r="M10" s="203"/>
      <c r="N10" s="205"/>
      <c r="O10" s="205"/>
      <c r="P10" s="206"/>
      <c r="Q10" s="207"/>
      <c r="R10" s="207"/>
      <c r="S10" s="203"/>
      <c r="T10" s="240"/>
      <c r="U10" s="203"/>
      <c r="V10" s="203"/>
      <c r="W10" s="204"/>
      <c r="X10" s="204"/>
      <c r="Y10" s="204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</row>
    <row r="11" ht="15.75" customHeight="1">
      <c r="A11" s="237"/>
      <c r="B11" s="237"/>
      <c r="C11" s="238"/>
      <c r="D11" s="214"/>
      <c r="E11" s="214"/>
      <c r="F11" s="215"/>
      <c r="G11" s="215"/>
      <c r="H11" s="216"/>
      <c r="I11" s="216"/>
      <c r="J11" s="216"/>
      <c r="K11" s="217"/>
      <c r="L11" s="204"/>
      <c r="M11" s="203"/>
      <c r="N11" s="205"/>
      <c r="O11" s="205"/>
      <c r="P11" s="206"/>
      <c r="Q11" s="207"/>
      <c r="R11" s="207"/>
      <c r="S11" s="203"/>
      <c r="T11" s="237"/>
      <c r="U11" s="203"/>
      <c r="V11" s="203"/>
      <c r="W11" s="204"/>
      <c r="X11" s="204"/>
      <c r="Y11" s="204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</row>
    <row r="12" ht="15.75" customHeight="1">
      <c r="A12" s="240"/>
      <c r="B12" s="240"/>
      <c r="C12" s="238"/>
      <c r="D12" s="214"/>
      <c r="E12" s="214"/>
      <c r="F12" s="215"/>
      <c r="G12" s="215"/>
      <c r="H12" s="216"/>
      <c r="I12" s="216"/>
      <c r="J12" s="216"/>
      <c r="K12" s="217"/>
      <c r="L12" s="218"/>
      <c r="M12" s="216"/>
      <c r="N12" s="205"/>
      <c r="O12" s="205"/>
      <c r="P12" s="206"/>
      <c r="Q12" s="207"/>
      <c r="R12" s="207"/>
      <c r="S12" s="203"/>
      <c r="T12" s="240"/>
      <c r="U12" s="203"/>
      <c r="V12" s="203"/>
      <c r="W12" s="218"/>
      <c r="X12" s="218"/>
      <c r="Y12" s="218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</row>
    <row r="13" ht="15.75" customHeight="1">
      <c r="A13" s="240"/>
      <c r="B13" s="240"/>
      <c r="C13" s="238"/>
      <c r="D13" s="214"/>
      <c r="E13" s="214"/>
      <c r="F13" s="215"/>
      <c r="G13" s="215"/>
      <c r="H13" s="216"/>
      <c r="I13" s="216"/>
      <c r="J13" s="216"/>
      <c r="K13" s="217"/>
      <c r="L13" s="204"/>
      <c r="M13" s="203"/>
      <c r="N13" s="205"/>
      <c r="O13" s="205"/>
      <c r="P13" s="206"/>
      <c r="Q13" s="207"/>
      <c r="R13" s="207"/>
      <c r="S13" s="203"/>
      <c r="T13" s="240"/>
      <c r="U13" s="203"/>
      <c r="V13" s="203"/>
      <c r="W13" s="204"/>
      <c r="X13" s="204"/>
      <c r="Y13" s="204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</row>
    <row r="14" ht="15.75" customHeight="1">
      <c r="A14" s="240"/>
      <c r="B14" s="240"/>
      <c r="C14" s="238"/>
      <c r="D14" s="214"/>
      <c r="E14" s="214"/>
      <c r="F14" s="215"/>
      <c r="G14" s="215"/>
      <c r="H14" s="216"/>
      <c r="I14" s="216"/>
      <c r="J14" s="216"/>
      <c r="K14" s="217"/>
      <c r="L14" s="218"/>
      <c r="M14" s="216"/>
      <c r="N14" s="205"/>
      <c r="O14" s="205"/>
      <c r="P14" s="206"/>
      <c r="Q14" s="207"/>
      <c r="R14" s="207"/>
      <c r="S14" s="203"/>
      <c r="T14" s="240"/>
      <c r="U14" s="203"/>
      <c r="V14" s="203"/>
      <c r="W14" s="218"/>
      <c r="X14" s="218"/>
      <c r="Y14" s="218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</row>
    <row r="15" ht="15.75" customHeight="1">
      <c r="A15" s="240"/>
      <c r="B15" s="240"/>
      <c r="C15" s="238"/>
      <c r="D15" s="214"/>
      <c r="E15" s="214"/>
      <c r="F15" s="215"/>
      <c r="G15" s="215"/>
      <c r="H15" s="216"/>
      <c r="I15" s="216"/>
      <c r="J15" s="216"/>
      <c r="K15" s="217"/>
      <c r="L15" s="204"/>
      <c r="M15" s="203"/>
      <c r="N15" s="205"/>
      <c r="O15" s="205"/>
      <c r="P15" s="206"/>
      <c r="Q15" s="207"/>
      <c r="R15" s="207"/>
      <c r="S15" s="203"/>
      <c r="T15" s="240"/>
      <c r="U15" s="203"/>
      <c r="V15" s="203"/>
      <c r="W15" s="204"/>
      <c r="X15" s="204"/>
      <c r="Y15" s="204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</row>
    <row r="16" ht="15.75" customHeight="1">
      <c r="A16" s="240"/>
      <c r="B16" s="240"/>
      <c r="C16" s="238"/>
      <c r="D16" s="214"/>
      <c r="E16" s="214"/>
      <c r="F16" s="215"/>
      <c r="G16" s="215"/>
      <c r="H16" s="216"/>
      <c r="I16" s="216"/>
      <c r="J16" s="216"/>
      <c r="K16" s="218"/>
      <c r="L16" s="218"/>
      <c r="M16" s="216"/>
      <c r="N16" s="205"/>
      <c r="O16" s="205"/>
      <c r="P16" s="206"/>
      <c r="Q16" s="207"/>
      <c r="R16" s="207"/>
      <c r="S16" s="203"/>
      <c r="T16" s="240"/>
      <c r="U16" s="203"/>
      <c r="V16" s="203"/>
      <c r="W16" s="218"/>
      <c r="X16" s="218"/>
      <c r="Y16" s="218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</row>
    <row r="17" ht="15.75" customHeight="1">
      <c r="A17" s="240"/>
      <c r="B17" s="240"/>
      <c r="C17" s="238"/>
      <c r="D17" s="214"/>
      <c r="E17" s="214"/>
      <c r="F17" s="215"/>
      <c r="G17" s="215"/>
      <c r="H17" s="216"/>
      <c r="I17" s="216"/>
      <c r="J17" s="216"/>
      <c r="K17" s="217"/>
      <c r="L17" s="218"/>
      <c r="M17" s="216"/>
      <c r="N17" s="205"/>
      <c r="O17" s="205"/>
      <c r="P17" s="206"/>
      <c r="Q17" s="207"/>
      <c r="R17" s="207"/>
      <c r="S17" s="203"/>
      <c r="T17" s="240"/>
      <c r="U17" s="203"/>
      <c r="V17" s="203"/>
      <c r="W17" s="218"/>
      <c r="X17" s="218"/>
      <c r="Y17" s="218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</row>
    <row r="18" ht="15.75" customHeight="1">
      <c r="A18" s="237"/>
      <c r="B18" s="237"/>
      <c r="C18" s="359"/>
      <c r="D18" s="360"/>
      <c r="E18" s="360"/>
      <c r="F18" s="216"/>
      <c r="G18" s="216"/>
      <c r="H18" s="216"/>
      <c r="I18" s="216"/>
      <c r="J18" s="216"/>
      <c r="K18" s="218"/>
      <c r="L18" s="361"/>
      <c r="M18" s="360"/>
      <c r="N18" s="205"/>
      <c r="O18" s="205"/>
      <c r="P18" s="206"/>
      <c r="Q18" s="207"/>
      <c r="R18" s="207"/>
      <c r="S18" s="203"/>
      <c r="T18" s="237"/>
      <c r="U18" s="203"/>
      <c r="V18" s="203"/>
      <c r="W18" s="361"/>
      <c r="X18" s="361"/>
      <c r="Y18" s="361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</row>
    <row r="19" ht="15.75" customHeight="1">
      <c r="A19" s="237"/>
      <c r="B19" s="237"/>
      <c r="C19" s="238"/>
      <c r="D19" s="215"/>
      <c r="E19" s="215"/>
      <c r="F19" s="215"/>
      <c r="G19" s="215"/>
      <c r="H19" s="203"/>
      <c r="I19" s="203"/>
      <c r="J19" s="203"/>
      <c r="K19" s="217"/>
      <c r="L19" s="363"/>
      <c r="M19" s="364"/>
      <c r="N19" s="205"/>
      <c r="O19" s="205"/>
      <c r="P19" s="206"/>
      <c r="Q19" s="207"/>
      <c r="R19" s="207"/>
      <c r="S19" s="203"/>
      <c r="T19" s="237"/>
      <c r="U19" s="203"/>
      <c r="V19" s="203"/>
      <c r="W19" s="363"/>
      <c r="X19" s="363"/>
      <c r="Y19" s="363"/>
      <c r="Z19" s="210"/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</row>
    <row r="20" ht="15.75" customHeight="1">
      <c r="A20" s="237"/>
      <c r="B20" s="237"/>
      <c r="C20" s="203"/>
      <c r="D20" s="203"/>
      <c r="E20" s="203"/>
      <c r="F20" s="203"/>
      <c r="G20" s="203"/>
      <c r="H20" s="203"/>
      <c r="I20" s="203"/>
      <c r="J20" s="203"/>
      <c r="K20" s="204"/>
      <c r="L20" s="204"/>
      <c r="M20" s="203"/>
      <c r="N20" s="205"/>
      <c r="O20" s="205"/>
      <c r="P20" s="206"/>
      <c r="Q20" s="207"/>
      <c r="R20" s="207"/>
      <c r="S20" s="203"/>
      <c r="T20" s="237"/>
      <c r="U20" s="203"/>
      <c r="V20" s="203"/>
      <c r="W20" s="204"/>
      <c r="X20" s="204"/>
      <c r="Y20" s="204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</row>
    <row r="21" ht="15.75" customHeight="1">
      <c r="V21" s="365"/>
    </row>
    <row r="22" ht="15.75" customHeight="1">
      <c r="V22" s="365"/>
    </row>
    <row r="23" ht="15.75" customHeight="1">
      <c r="V23" s="365"/>
    </row>
    <row r="24" ht="15.75" customHeight="1">
      <c r="V24" s="365"/>
    </row>
    <row r="25" ht="15.75" customHeight="1">
      <c r="V25" s="365"/>
    </row>
    <row r="26" ht="15.75" customHeight="1">
      <c r="V26" s="365"/>
    </row>
    <row r="27" ht="15.75" customHeight="1">
      <c r="V27" s="365"/>
    </row>
    <row r="28" ht="15.75" customHeight="1">
      <c r="V28" s="365"/>
    </row>
    <row r="29" ht="15.75" customHeight="1">
      <c r="V29" s="365"/>
    </row>
    <row r="30" ht="15.75" customHeight="1">
      <c r="V30" s="365"/>
    </row>
    <row r="31" ht="15.75" customHeight="1">
      <c r="V31" s="365"/>
    </row>
    <row r="32" ht="15.75" customHeight="1">
      <c r="V32" s="365"/>
    </row>
    <row r="33" ht="15.75" customHeight="1">
      <c r="V33" s="365"/>
    </row>
    <row r="34" ht="15.75" customHeight="1">
      <c r="V34" s="365"/>
    </row>
    <row r="35" ht="15.75" customHeight="1">
      <c r="V35" s="365"/>
    </row>
    <row r="36" ht="15.75" customHeight="1">
      <c r="V36" s="365"/>
    </row>
    <row r="37" ht="15.75" customHeight="1">
      <c r="V37" s="365"/>
    </row>
    <row r="38" ht="15.75" customHeight="1">
      <c r="V38" s="365"/>
    </row>
    <row r="39" ht="15.75" customHeight="1">
      <c r="V39" s="365"/>
    </row>
    <row r="40" ht="15.75" customHeight="1">
      <c r="V40" s="365"/>
    </row>
    <row r="41" ht="15.75" customHeight="1">
      <c r="V41" s="365"/>
    </row>
    <row r="42" ht="15.75" customHeight="1">
      <c r="V42" s="365"/>
    </row>
    <row r="43" ht="15.75" customHeight="1">
      <c r="V43" s="365"/>
    </row>
    <row r="44" ht="15.75" customHeight="1">
      <c r="V44" s="365"/>
    </row>
    <row r="45" ht="15.75" customHeight="1">
      <c r="V45" s="365"/>
    </row>
    <row r="46" ht="15.75" customHeight="1">
      <c r="V46" s="365"/>
    </row>
    <row r="47" ht="15.75" customHeight="1">
      <c r="V47" s="365"/>
    </row>
    <row r="48" ht="15.75" customHeight="1">
      <c r="V48" s="365"/>
    </row>
    <row r="49" ht="15.75" customHeight="1">
      <c r="V49" s="365"/>
    </row>
    <row r="50" ht="15.75" customHeight="1">
      <c r="V50" s="365"/>
    </row>
    <row r="51" ht="15.75" customHeight="1">
      <c r="V51" s="365"/>
    </row>
    <row r="52" ht="15.75" customHeight="1">
      <c r="V52" s="365"/>
    </row>
    <row r="53" ht="15.75" customHeight="1">
      <c r="V53" s="365"/>
    </row>
    <row r="54" ht="15.75" customHeight="1">
      <c r="V54" s="365"/>
    </row>
    <row r="55" ht="15.75" customHeight="1">
      <c r="V55" s="365"/>
    </row>
    <row r="56" ht="15.75" customHeight="1">
      <c r="V56" s="365"/>
    </row>
    <row r="57" ht="15.75" customHeight="1">
      <c r="V57" s="365"/>
    </row>
    <row r="58" ht="15.75" customHeight="1">
      <c r="V58" s="365"/>
    </row>
    <row r="59" ht="15.75" customHeight="1">
      <c r="V59" s="365"/>
    </row>
    <row r="60" ht="15.75" customHeight="1">
      <c r="V60" s="365"/>
    </row>
    <row r="61" ht="15.75" customHeight="1">
      <c r="V61" s="365"/>
    </row>
    <row r="62" ht="15.75" customHeight="1">
      <c r="V62" s="365"/>
    </row>
    <row r="63" ht="15.75" customHeight="1">
      <c r="V63" s="365"/>
    </row>
    <row r="64" ht="15.75" customHeight="1">
      <c r="V64" s="365"/>
    </row>
    <row r="65" ht="15.75" customHeight="1">
      <c r="V65" s="365"/>
    </row>
    <row r="66" ht="15.75" customHeight="1">
      <c r="V66" s="365"/>
    </row>
    <row r="67" ht="15.75" customHeight="1">
      <c r="V67" s="365"/>
    </row>
    <row r="68" ht="15.75" customHeight="1">
      <c r="V68" s="365"/>
    </row>
    <row r="69" ht="15.75" customHeight="1">
      <c r="V69" s="365"/>
    </row>
    <row r="70" ht="15.75" customHeight="1">
      <c r="V70" s="365"/>
    </row>
    <row r="71" ht="15.75" customHeight="1">
      <c r="V71" s="365"/>
    </row>
    <row r="72" ht="15.75" customHeight="1">
      <c r="V72" s="365"/>
    </row>
    <row r="73" ht="15.75" customHeight="1">
      <c r="V73" s="365"/>
    </row>
    <row r="74" ht="15.75" customHeight="1">
      <c r="V74" s="365"/>
    </row>
    <row r="75" ht="15.75" customHeight="1">
      <c r="V75" s="365"/>
    </row>
    <row r="76" ht="15.75" customHeight="1">
      <c r="V76" s="365"/>
    </row>
    <row r="77" ht="15.75" customHeight="1">
      <c r="V77" s="365"/>
    </row>
    <row r="78" ht="15.75" customHeight="1">
      <c r="V78" s="365"/>
    </row>
    <row r="79" ht="15.75" customHeight="1">
      <c r="V79" s="365"/>
    </row>
    <row r="80" ht="15.75" customHeight="1">
      <c r="V80" s="365"/>
    </row>
    <row r="81" ht="15.75" customHeight="1">
      <c r="V81" s="365"/>
    </row>
    <row r="82" ht="15.75" customHeight="1">
      <c r="V82" s="365"/>
    </row>
    <row r="83" ht="15.75" customHeight="1">
      <c r="V83" s="365"/>
    </row>
    <row r="84" ht="15.75" customHeight="1">
      <c r="V84" s="365"/>
    </row>
    <row r="85" ht="15.75" customHeight="1">
      <c r="V85" s="365"/>
    </row>
    <row r="86" ht="15.75" customHeight="1">
      <c r="V86" s="365"/>
    </row>
    <row r="87" ht="15.75" customHeight="1">
      <c r="V87" s="365"/>
    </row>
    <row r="88" ht="15.75" customHeight="1">
      <c r="V88" s="365"/>
    </row>
    <row r="89" ht="15.75" customHeight="1">
      <c r="V89" s="365"/>
    </row>
    <row r="90" ht="15.75" customHeight="1">
      <c r="V90" s="365"/>
    </row>
    <row r="91" ht="15.75" customHeight="1">
      <c r="V91" s="365"/>
    </row>
    <row r="92" ht="15.75" customHeight="1">
      <c r="V92" s="365"/>
    </row>
    <row r="93" ht="15.75" customHeight="1">
      <c r="V93" s="365"/>
    </row>
    <row r="94" ht="15.75" customHeight="1">
      <c r="V94" s="365"/>
    </row>
    <row r="95" ht="15.75" customHeight="1">
      <c r="V95" s="365"/>
    </row>
    <row r="96" ht="15.75" customHeight="1">
      <c r="V96" s="365"/>
    </row>
    <row r="97" ht="15.75" customHeight="1">
      <c r="V97" s="365"/>
    </row>
    <row r="98" ht="15.75" customHeight="1">
      <c r="V98" s="365"/>
    </row>
    <row r="99" ht="15.75" customHeight="1">
      <c r="V99" s="365"/>
    </row>
    <row r="100" ht="15.75" customHeight="1">
      <c r="V100" s="365"/>
    </row>
    <row r="101" ht="15.75" customHeight="1">
      <c r="V101" s="365"/>
    </row>
    <row r="102" ht="15.75" customHeight="1">
      <c r="V102" s="365"/>
    </row>
    <row r="103" ht="15.75" customHeight="1">
      <c r="V103" s="365"/>
    </row>
    <row r="104" ht="15.75" customHeight="1">
      <c r="V104" s="365"/>
    </row>
    <row r="105" ht="15.75" customHeight="1">
      <c r="V105" s="365"/>
    </row>
    <row r="106" ht="15.75" customHeight="1">
      <c r="V106" s="365"/>
    </row>
    <row r="107" ht="15.75" customHeight="1">
      <c r="V107" s="365"/>
    </row>
    <row r="108" ht="15.75" customHeight="1">
      <c r="V108" s="365"/>
    </row>
    <row r="109" ht="15.75" customHeight="1">
      <c r="V109" s="365"/>
    </row>
    <row r="110" ht="15.75" customHeight="1">
      <c r="V110" s="365"/>
    </row>
    <row r="111" ht="15.75" customHeight="1">
      <c r="V111" s="365"/>
    </row>
    <row r="112" ht="15.75" customHeight="1">
      <c r="V112" s="365"/>
    </row>
    <row r="113" ht="15.75" customHeight="1">
      <c r="V113" s="365"/>
    </row>
    <row r="114" ht="15.75" customHeight="1">
      <c r="V114" s="365"/>
    </row>
    <row r="115" ht="15.75" customHeight="1">
      <c r="V115" s="365"/>
    </row>
    <row r="116" ht="15.75" customHeight="1">
      <c r="V116" s="365"/>
    </row>
    <row r="117" ht="15.75" customHeight="1">
      <c r="V117" s="365"/>
    </row>
    <row r="118" ht="15.75" customHeight="1">
      <c r="V118" s="365"/>
    </row>
    <row r="119" ht="15.75" customHeight="1">
      <c r="V119" s="365"/>
    </row>
    <row r="120" ht="15.75" customHeight="1">
      <c r="V120" s="365"/>
    </row>
    <row r="121" ht="15.75" customHeight="1">
      <c r="V121" s="365"/>
    </row>
    <row r="122" ht="15.75" customHeight="1">
      <c r="V122" s="365"/>
    </row>
    <row r="123" ht="15.75" customHeight="1">
      <c r="V123" s="365"/>
    </row>
    <row r="124" ht="15.75" customHeight="1">
      <c r="V124" s="365"/>
    </row>
    <row r="125" ht="15.75" customHeight="1">
      <c r="V125" s="365"/>
    </row>
    <row r="126" ht="15.75" customHeight="1">
      <c r="V126" s="365"/>
    </row>
    <row r="127" ht="15.75" customHeight="1">
      <c r="V127" s="365"/>
    </row>
    <row r="128" ht="15.75" customHeight="1">
      <c r="V128" s="365"/>
    </row>
    <row r="129" ht="15.75" customHeight="1">
      <c r="V129" s="365"/>
    </row>
    <row r="130" ht="15.75" customHeight="1">
      <c r="V130" s="365"/>
    </row>
    <row r="131" ht="15.75" customHeight="1">
      <c r="V131" s="365"/>
    </row>
    <row r="132" ht="15.75" customHeight="1">
      <c r="V132" s="365"/>
    </row>
    <row r="133" ht="15.75" customHeight="1">
      <c r="V133" s="365"/>
    </row>
    <row r="134" ht="15.75" customHeight="1">
      <c r="V134" s="365"/>
    </row>
    <row r="135" ht="15.75" customHeight="1">
      <c r="V135" s="365"/>
    </row>
    <row r="136" ht="15.75" customHeight="1">
      <c r="V136" s="365"/>
    </row>
    <row r="137" ht="15.75" customHeight="1">
      <c r="V137" s="365"/>
    </row>
    <row r="138" ht="15.75" customHeight="1">
      <c r="V138" s="365"/>
    </row>
    <row r="139" ht="15.75" customHeight="1">
      <c r="V139" s="365"/>
    </row>
    <row r="140" ht="15.75" customHeight="1">
      <c r="V140" s="365"/>
    </row>
    <row r="141" ht="15.75" customHeight="1">
      <c r="V141" s="365"/>
    </row>
    <row r="142" ht="15.75" customHeight="1">
      <c r="V142" s="365"/>
    </row>
    <row r="143" ht="15.75" customHeight="1">
      <c r="V143" s="365"/>
    </row>
    <row r="144" ht="15.75" customHeight="1">
      <c r="V144" s="365"/>
    </row>
    <row r="145" ht="15.75" customHeight="1">
      <c r="V145" s="365"/>
    </row>
    <row r="146" ht="15.75" customHeight="1">
      <c r="V146" s="365"/>
    </row>
    <row r="147" ht="15.75" customHeight="1">
      <c r="V147" s="365"/>
    </row>
    <row r="148" ht="15.75" customHeight="1">
      <c r="V148" s="365"/>
    </row>
    <row r="149" ht="15.75" customHeight="1">
      <c r="V149" s="365"/>
    </row>
    <row r="150" ht="15.75" customHeight="1">
      <c r="V150" s="365"/>
    </row>
    <row r="151" ht="15.75" customHeight="1">
      <c r="V151" s="365"/>
    </row>
    <row r="152" ht="15.75" customHeight="1">
      <c r="V152" s="365"/>
    </row>
    <row r="153" ht="15.75" customHeight="1">
      <c r="V153" s="365"/>
    </row>
    <row r="154" ht="15.75" customHeight="1">
      <c r="V154" s="365"/>
    </row>
    <row r="155" ht="15.75" customHeight="1">
      <c r="V155" s="365"/>
    </row>
    <row r="156" ht="15.75" customHeight="1">
      <c r="V156" s="365"/>
    </row>
    <row r="157" ht="15.75" customHeight="1">
      <c r="V157" s="365"/>
    </row>
    <row r="158" ht="15.75" customHeight="1">
      <c r="V158" s="365"/>
    </row>
    <row r="159" ht="15.75" customHeight="1">
      <c r="V159" s="365"/>
    </row>
    <row r="160" ht="15.75" customHeight="1">
      <c r="V160" s="365"/>
    </row>
    <row r="161" ht="15.75" customHeight="1">
      <c r="V161" s="365"/>
    </row>
    <row r="162" ht="15.75" customHeight="1">
      <c r="V162" s="365"/>
    </row>
    <row r="163" ht="15.75" customHeight="1">
      <c r="V163" s="365"/>
    </row>
    <row r="164" ht="15.75" customHeight="1">
      <c r="V164" s="365"/>
    </row>
    <row r="165" ht="15.75" customHeight="1">
      <c r="V165" s="365"/>
    </row>
    <row r="166" ht="15.75" customHeight="1">
      <c r="V166" s="365"/>
    </row>
    <row r="167" ht="15.75" customHeight="1">
      <c r="V167" s="365"/>
    </row>
    <row r="168" ht="15.75" customHeight="1">
      <c r="V168" s="365"/>
    </row>
    <row r="169" ht="15.75" customHeight="1">
      <c r="V169" s="365"/>
    </row>
    <row r="170" ht="15.75" customHeight="1">
      <c r="V170" s="365"/>
    </row>
    <row r="171" ht="15.75" customHeight="1">
      <c r="V171" s="365"/>
    </row>
    <row r="172" ht="15.75" customHeight="1">
      <c r="V172" s="365"/>
    </row>
    <row r="173" ht="15.75" customHeight="1">
      <c r="V173" s="365"/>
    </row>
    <row r="174" ht="15.75" customHeight="1">
      <c r="V174" s="365"/>
    </row>
    <row r="175" ht="15.75" customHeight="1">
      <c r="V175" s="365"/>
    </row>
    <row r="176" ht="15.75" customHeight="1">
      <c r="V176" s="365"/>
    </row>
    <row r="177" ht="15.75" customHeight="1">
      <c r="V177" s="365"/>
    </row>
    <row r="178" ht="15.75" customHeight="1">
      <c r="V178" s="365"/>
    </row>
    <row r="179" ht="15.75" customHeight="1">
      <c r="V179" s="365"/>
    </row>
    <row r="180" ht="15.75" customHeight="1">
      <c r="V180" s="365"/>
    </row>
    <row r="181" ht="15.75" customHeight="1">
      <c r="V181" s="365"/>
    </row>
    <row r="182" ht="15.75" customHeight="1">
      <c r="V182" s="365"/>
    </row>
    <row r="183" ht="15.75" customHeight="1">
      <c r="V183" s="365"/>
    </row>
    <row r="184" ht="15.75" customHeight="1">
      <c r="V184" s="365"/>
    </row>
    <row r="185" ht="15.75" customHeight="1">
      <c r="V185" s="365"/>
    </row>
    <row r="186" ht="15.75" customHeight="1">
      <c r="V186" s="365"/>
    </row>
    <row r="187" ht="15.75" customHeight="1">
      <c r="V187" s="365"/>
    </row>
    <row r="188" ht="15.75" customHeight="1">
      <c r="V188" s="365"/>
    </row>
    <row r="189" ht="15.75" customHeight="1">
      <c r="V189" s="365"/>
    </row>
    <row r="190" ht="15.75" customHeight="1">
      <c r="V190" s="365"/>
    </row>
    <row r="191" ht="15.75" customHeight="1">
      <c r="V191" s="365"/>
    </row>
    <row r="192" ht="15.75" customHeight="1">
      <c r="V192" s="365"/>
    </row>
    <row r="193" ht="15.75" customHeight="1">
      <c r="V193" s="365"/>
    </row>
    <row r="194" ht="15.75" customHeight="1">
      <c r="V194" s="365"/>
    </row>
    <row r="195" ht="15.75" customHeight="1">
      <c r="V195" s="365"/>
    </row>
    <row r="196" ht="15.75" customHeight="1">
      <c r="V196" s="365"/>
    </row>
    <row r="197" ht="15.75" customHeight="1">
      <c r="V197" s="365"/>
    </row>
    <row r="198" ht="15.75" customHeight="1">
      <c r="V198" s="365"/>
    </row>
    <row r="199" ht="15.75" customHeight="1">
      <c r="V199" s="365"/>
    </row>
    <row r="200" ht="15.75" customHeight="1">
      <c r="V200" s="365"/>
    </row>
    <row r="201" ht="15.75" customHeight="1">
      <c r="V201" s="365"/>
    </row>
    <row r="202" ht="15.75" customHeight="1">
      <c r="V202" s="365"/>
    </row>
    <row r="203" ht="15.75" customHeight="1">
      <c r="V203" s="365"/>
    </row>
    <row r="204" ht="15.75" customHeight="1">
      <c r="V204" s="365"/>
    </row>
    <row r="205" ht="15.75" customHeight="1">
      <c r="V205" s="365"/>
    </row>
    <row r="206" ht="15.75" customHeight="1">
      <c r="V206" s="365"/>
    </row>
    <row r="207" ht="15.75" customHeight="1">
      <c r="V207" s="365"/>
    </row>
    <row r="208" ht="15.75" customHeight="1">
      <c r="V208" s="365"/>
    </row>
    <row r="209" ht="15.75" customHeight="1">
      <c r="V209" s="365"/>
    </row>
    <row r="210" ht="15.75" customHeight="1">
      <c r="V210" s="365"/>
    </row>
    <row r="211" ht="15.75" customHeight="1">
      <c r="V211" s="365"/>
    </row>
    <row r="212" ht="15.75" customHeight="1">
      <c r="V212" s="365"/>
    </row>
    <row r="213" ht="15.75" customHeight="1">
      <c r="V213" s="365"/>
    </row>
    <row r="214" ht="15.75" customHeight="1">
      <c r="V214" s="365"/>
    </row>
    <row r="215" ht="15.75" customHeight="1">
      <c r="V215" s="365"/>
    </row>
    <row r="216" ht="15.75" customHeight="1">
      <c r="V216" s="365"/>
    </row>
    <row r="217" ht="15.75" customHeight="1">
      <c r="V217" s="365"/>
    </row>
    <row r="218" ht="15.75" customHeight="1">
      <c r="V218" s="365"/>
    </row>
    <row r="219" ht="15.75" customHeight="1">
      <c r="V219" s="365"/>
    </row>
    <row r="220" ht="15.75" customHeight="1">
      <c r="V220" s="365"/>
    </row>
    <row r="221" ht="15.75" customHeight="1">
      <c r="V221" s="365"/>
    </row>
    <row r="222" ht="15.75" customHeight="1">
      <c r="V222" s="365"/>
    </row>
    <row r="223" ht="15.75" customHeight="1">
      <c r="V223" s="365"/>
    </row>
    <row r="224" ht="15.75" customHeight="1">
      <c r="V224" s="365"/>
    </row>
    <row r="225" ht="15.75" customHeight="1">
      <c r="V225" s="365"/>
    </row>
    <row r="226" ht="15.75" customHeight="1">
      <c r="V226" s="365"/>
    </row>
    <row r="227" ht="15.75" customHeight="1">
      <c r="V227" s="365"/>
    </row>
    <row r="228" ht="15.75" customHeight="1">
      <c r="V228" s="365"/>
    </row>
    <row r="229" ht="15.75" customHeight="1">
      <c r="V229" s="365"/>
    </row>
    <row r="230" ht="15.75" customHeight="1">
      <c r="V230" s="365"/>
    </row>
    <row r="231" ht="15.75" customHeight="1">
      <c r="V231" s="365"/>
    </row>
    <row r="232" ht="15.75" customHeight="1">
      <c r="V232" s="365"/>
    </row>
    <row r="233" ht="15.75" customHeight="1">
      <c r="V233" s="365"/>
    </row>
    <row r="234" ht="15.75" customHeight="1">
      <c r="V234" s="365"/>
    </row>
    <row r="235" ht="15.75" customHeight="1">
      <c r="V235" s="365"/>
    </row>
    <row r="236" ht="15.75" customHeight="1">
      <c r="V236" s="365"/>
    </row>
    <row r="237" ht="15.75" customHeight="1">
      <c r="V237" s="365"/>
    </row>
    <row r="238" ht="15.75" customHeight="1">
      <c r="V238" s="365"/>
    </row>
    <row r="239" ht="15.75" customHeight="1">
      <c r="V239" s="365"/>
    </row>
    <row r="240" ht="15.75" customHeight="1">
      <c r="V240" s="365"/>
    </row>
    <row r="241" ht="15.75" customHeight="1">
      <c r="V241" s="365"/>
    </row>
    <row r="242" ht="15.75" customHeight="1">
      <c r="V242" s="365"/>
    </row>
    <row r="243" ht="15.75" customHeight="1">
      <c r="V243" s="365"/>
    </row>
    <row r="244" ht="15.75" customHeight="1">
      <c r="V244" s="365"/>
    </row>
    <row r="245" ht="15.75" customHeight="1">
      <c r="V245" s="365"/>
    </row>
    <row r="246" ht="15.75" customHeight="1">
      <c r="V246" s="365"/>
    </row>
    <row r="247" ht="15.75" customHeight="1">
      <c r="V247" s="365"/>
    </row>
    <row r="248" ht="15.75" customHeight="1">
      <c r="V248" s="365"/>
    </row>
    <row r="249" ht="15.75" customHeight="1">
      <c r="V249" s="365"/>
    </row>
    <row r="250" ht="15.75" customHeight="1">
      <c r="V250" s="365"/>
    </row>
    <row r="251" ht="15.75" customHeight="1">
      <c r="V251" s="365"/>
    </row>
    <row r="252" ht="15.75" customHeight="1">
      <c r="V252" s="365"/>
    </row>
    <row r="253" ht="15.75" customHeight="1">
      <c r="V253" s="365"/>
    </row>
    <row r="254" ht="15.75" customHeight="1">
      <c r="V254" s="365"/>
    </row>
    <row r="255" ht="15.75" customHeight="1">
      <c r="V255" s="365"/>
    </row>
    <row r="256" ht="15.75" customHeight="1">
      <c r="V256" s="365"/>
    </row>
    <row r="257" ht="15.75" customHeight="1">
      <c r="V257" s="365"/>
    </row>
    <row r="258" ht="15.75" customHeight="1">
      <c r="V258" s="365"/>
    </row>
    <row r="259" ht="15.75" customHeight="1">
      <c r="V259" s="365"/>
    </row>
    <row r="260" ht="15.75" customHeight="1">
      <c r="V260" s="365"/>
    </row>
    <row r="261" ht="15.75" customHeight="1">
      <c r="V261" s="365"/>
    </row>
    <row r="262" ht="15.75" customHeight="1">
      <c r="V262" s="365"/>
    </row>
    <row r="263" ht="15.75" customHeight="1">
      <c r="V263" s="365"/>
    </row>
    <row r="264" ht="15.75" customHeight="1">
      <c r="V264" s="365"/>
    </row>
    <row r="265" ht="15.75" customHeight="1">
      <c r="V265" s="365"/>
    </row>
    <row r="266" ht="15.75" customHeight="1">
      <c r="V266" s="365"/>
    </row>
    <row r="267" ht="15.75" customHeight="1">
      <c r="V267" s="365"/>
    </row>
    <row r="268" ht="15.75" customHeight="1">
      <c r="V268" s="365"/>
    </row>
    <row r="269" ht="15.75" customHeight="1">
      <c r="V269" s="365"/>
    </row>
    <row r="270" ht="15.75" customHeight="1">
      <c r="V270" s="365"/>
    </row>
    <row r="271" ht="15.75" customHeight="1">
      <c r="V271" s="365"/>
    </row>
    <row r="272" ht="15.75" customHeight="1">
      <c r="V272" s="365"/>
    </row>
    <row r="273" ht="15.75" customHeight="1">
      <c r="V273" s="365"/>
    </row>
    <row r="274" ht="15.75" customHeight="1">
      <c r="V274" s="365"/>
    </row>
    <row r="275" ht="15.75" customHeight="1">
      <c r="V275" s="365"/>
    </row>
    <row r="276" ht="15.75" customHeight="1">
      <c r="V276" s="365"/>
    </row>
    <row r="277" ht="15.75" customHeight="1">
      <c r="V277" s="365"/>
    </row>
    <row r="278" ht="15.75" customHeight="1">
      <c r="V278" s="365"/>
    </row>
    <row r="279" ht="15.75" customHeight="1">
      <c r="V279" s="365"/>
    </row>
    <row r="280" ht="15.75" customHeight="1">
      <c r="V280" s="365"/>
    </row>
    <row r="281" ht="15.75" customHeight="1">
      <c r="V281" s="365"/>
    </row>
    <row r="282" ht="15.75" customHeight="1">
      <c r="V282" s="365"/>
    </row>
    <row r="283" ht="15.75" customHeight="1">
      <c r="V283" s="365"/>
    </row>
    <row r="284" ht="15.75" customHeight="1">
      <c r="V284" s="365"/>
    </row>
    <row r="285" ht="15.75" customHeight="1">
      <c r="V285" s="365"/>
    </row>
    <row r="286" ht="15.75" customHeight="1">
      <c r="V286" s="365"/>
    </row>
    <row r="287" ht="15.75" customHeight="1">
      <c r="V287" s="365"/>
    </row>
    <row r="288" ht="15.75" customHeight="1">
      <c r="V288" s="365"/>
    </row>
    <row r="289" ht="15.75" customHeight="1">
      <c r="V289" s="365"/>
    </row>
    <row r="290" ht="15.75" customHeight="1">
      <c r="V290" s="365"/>
    </row>
    <row r="291" ht="15.75" customHeight="1">
      <c r="V291" s="365"/>
    </row>
    <row r="292" ht="15.75" customHeight="1">
      <c r="V292" s="365"/>
    </row>
    <row r="293" ht="15.75" customHeight="1">
      <c r="V293" s="365"/>
    </row>
    <row r="294" ht="15.75" customHeight="1">
      <c r="V294" s="365"/>
    </row>
    <row r="295" ht="15.75" customHeight="1">
      <c r="V295" s="365"/>
    </row>
    <row r="296" ht="15.75" customHeight="1">
      <c r="V296" s="365"/>
    </row>
    <row r="297" ht="15.75" customHeight="1">
      <c r="V297" s="365"/>
    </row>
    <row r="298" ht="15.75" customHeight="1">
      <c r="V298" s="365"/>
    </row>
    <row r="299" ht="15.75" customHeight="1">
      <c r="V299" s="365"/>
    </row>
    <row r="300" ht="15.75" customHeight="1">
      <c r="V300" s="365"/>
    </row>
    <row r="301" ht="15.75" customHeight="1">
      <c r="V301" s="365"/>
    </row>
    <row r="302" ht="15.75" customHeight="1">
      <c r="V302" s="365"/>
    </row>
    <row r="303" ht="15.75" customHeight="1">
      <c r="V303" s="365"/>
    </row>
    <row r="304" ht="15.75" customHeight="1">
      <c r="V304" s="365"/>
    </row>
    <row r="305" ht="15.75" customHeight="1">
      <c r="V305" s="365"/>
    </row>
    <row r="306" ht="15.75" customHeight="1">
      <c r="V306" s="365"/>
    </row>
    <row r="307" ht="15.75" customHeight="1">
      <c r="V307" s="365"/>
    </row>
    <row r="308" ht="15.75" customHeight="1">
      <c r="V308" s="365"/>
    </row>
    <row r="309" ht="15.75" customHeight="1">
      <c r="V309" s="365"/>
    </row>
    <row r="310" ht="15.75" customHeight="1">
      <c r="V310" s="365"/>
    </row>
    <row r="311" ht="15.75" customHeight="1">
      <c r="V311" s="365"/>
    </row>
    <row r="312" ht="15.75" customHeight="1">
      <c r="V312" s="365"/>
    </row>
    <row r="313" ht="15.75" customHeight="1">
      <c r="V313" s="365"/>
    </row>
    <row r="314" ht="15.75" customHeight="1">
      <c r="V314" s="365"/>
    </row>
    <row r="315" ht="15.75" customHeight="1">
      <c r="V315" s="365"/>
    </row>
    <row r="316" ht="15.75" customHeight="1">
      <c r="V316" s="365"/>
    </row>
    <row r="317" ht="15.75" customHeight="1">
      <c r="V317" s="365"/>
    </row>
    <row r="318" ht="15.75" customHeight="1">
      <c r="V318" s="365"/>
    </row>
    <row r="319" ht="15.75" customHeight="1">
      <c r="V319" s="365"/>
    </row>
    <row r="320" ht="15.75" customHeight="1">
      <c r="V320" s="365"/>
    </row>
    <row r="321" ht="15.75" customHeight="1">
      <c r="V321" s="365"/>
    </row>
    <row r="322" ht="15.75" customHeight="1">
      <c r="V322" s="365"/>
    </row>
    <row r="323" ht="15.75" customHeight="1">
      <c r="V323" s="365"/>
    </row>
    <row r="324" ht="15.75" customHeight="1">
      <c r="V324" s="365"/>
    </row>
    <row r="325" ht="15.75" customHeight="1">
      <c r="V325" s="365"/>
    </row>
    <row r="326" ht="15.75" customHeight="1">
      <c r="V326" s="365"/>
    </row>
    <row r="327" ht="15.75" customHeight="1">
      <c r="V327" s="365"/>
    </row>
    <row r="328" ht="15.75" customHeight="1">
      <c r="V328" s="365"/>
    </row>
    <row r="329" ht="15.75" customHeight="1">
      <c r="V329" s="365"/>
    </row>
    <row r="330" ht="15.75" customHeight="1">
      <c r="V330" s="365"/>
    </row>
    <row r="331" ht="15.75" customHeight="1">
      <c r="V331" s="365"/>
    </row>
    <row r="332" ht="15.75" customHeight="1">
      <c r="V332" s="365"/>
    </row>
    <row r="333" ht="15.75" customHeight="1">
      <c r="V333" s="365"/>
    </row>
    <row r="334" ht="15.75" customHeight="1">
      <c r="V334" s="365"/>
    </row>
    <row r="335" ht="15.75" customHeight="1">
      <c r="V335" s="365"/>
    </row>
    <row r="336" ht="15.75" customHeight="1">
      <c r="V336" s="365"/>
    </row>
    <row r="337" ht="15.75" customHeight="1">
      <c r="V337" s="365"/>
    </row>
    <row r="338" ht="15.75" customHeight="1">
      <c r="V338" s="365"/>
    </row>
    <row r="339" ht="15.75" customHeight="1">
      <c r="V339" s="365"/>
    </row>
    <row r="340" ht="15.75" customHeight="1">
      <c r="V340" s="365"/>
    </row>
    <row r="341" ht="15.75" customHeight="1">
      <c r="V341" s="365"/>
    </row>
    <row r="342" ht="15.75" customHeight="1">
      <c r="V342" s="365"/>
    </row>
    <row r="343" ht="15.75" customHeight="1">
      <c r="V343" s="365"/>
    </row>
    <row r="344" ht="15.75" customHeight="1">
      <c r="V344" s="365"/>
    </row>
    <row r="345" ht="15.75" customHeight="1">
      <c r="V345" s="365"/>
    </row>
    <row r="346" ht="15.75" customHeight="1">
      <c r="V346" s="365"/>
    </row>
    <row r="347" ht="15.75" customHeight="1">
      <c r="V347" s="365"/>
    </row>
    <row r="348" ht="15.75" customHeight="1">
      <c r="V348" s="365"/>
    </row>
    <row r="349" ht="15.75" customHeight="1">
      <c r="V349" s="365"/>
    </row>
    <row r="350" ht="15.75" customHeight="1">
      <c r="V350" s="365"/>
    </row>
    <row r="351" ht="15.75" customHeight="1">
      <c r="V351" s="365"/>
    </row>
    <row r="352" ht="15.75" customHeight="1">
      <c r="V352" s="365"/>
    </row>
    <row r="353" ht="15.75" customHeight="1">
      <c r="V353" s="365"/>
    </row>
    <row r="354" ht="15.75" customHeight="1">
      <c r="V354" s="365"/>
    </row>
    <row r="355" ht="15.75" customHeight="1">
      <c r="V355" s="365"/>
    </row>
    <row r="356" ht="15.75" customHeight="1">
      <c r="V356" s="365"/>
    </row>
    <row r="357" ht="15.75" customHeight="1">
      <c r="V357" s="365"/>
    </row>
    <row r="358" ht="15.75" customHeight="1">
      <c r="V358" s="365"/>
    </row>
    <row r="359" ht="15.75" customHeight="1">
      <c r="V359" s="365"/>
    </row>
    <row r="360" ht="15.75" customHeight="1">
      <c r="V360" s="365"/>
    </row>
    <row r="361" ht="15.75" customHeight="1">
      <c r="V361" s="365"/>
    </row>
    <row r="362" ht="15.75" customHeight="1">
      <c r="V362" s="365"/>
    </row>
    <row r="363" ht="15.75" customHeight="1">
      <c r="V363" s="365"/>
    </row>
    <row r="364" ht="15.75" customHeight="1">
      <c r="V364" s="365"/>
    </row>
    <row r="365" ht="15.75" customHeight="1">
      <c r="V365" s="365"/>
    </row>
    <row r="366" ht="15.75" customHeight="1">
      <c r="V366" s="365"/>
    </row>
    <row r="367" ht="15.75" customHeight="1">
      <c r="V367" s="365"/>
    </row>
    <row r="368" ht="15.75" customHeight="1">
      <c r="V368" s="365"/>
    </row>
    <row r="369" ht="15.75" customHeight="1">
      <c r="V369" s="365"/>
    </row>
    <row r="370" ht="15.75" customHeight="1">
      <c r="V370" s="365"/>
    </row>
    <row r="371" ht="15.75" customHeight="1">
      <c r="V371" s="365"/>
    </row>
    <row r="372" ht="15.75" customHeight="1">
      <c r="V372" s="365"/>
    </row>
    <row r="373" ht="15.75" customHeight="1">
      <c r="V373" s="365"/>
    </row>
    <row r="374" ht="15.75" customHeight="1">
      <c r="V374" s="365"/>
    </row>
    <row r="375" ht="15.75" customHeight="1">
      <c r="V375" s="365"/>
    </row>
    <row r="376" ht="15.75" customHeight="1">
      <c r="V376" s="365"/>
    </row>
    <row r="377" ht="15.75" customHeight="1">
      <c r="V377" s="365"/>
    </row>
    <row r="378" ht="15.75" customHeight="1">
      <c r="V378" s="365"/>
    </row>
    <row r="379" ht="15.75" customHeight="1">
      <c r="V379" s="365"/>
    </row>
    <row r="380" ht="15.75" customHeight="1">
      <c r="V380" s="365"/>
    </row>
    <row r="381" ht="15.75" customHeight="1">
      <c r="V381" s="365"/>
    </row>
    <row r="382" ht="15.75" customHeight="1">
      <c r="V382" s="365"/>
    </row>
    <row r="383" ht="15.75" customHeight="1">
      <c r="V383" s="365"/>
    </row>
    <row r="384" ht="15.75" customHeight="1">
      <c r="V384" s="365"/>
    </row>
    <row r="385" ht="15.75" customHeight="1">
      <c r="V385" s="365"/>
    </row>
    <row r="386" ht="15.75" customHeight="1">
      <c r="V386" s="365"/>
    </row>
    <row r="387" ht="15.75" customHeight="1">
      <c r="V387" s="365"/>
    </row>
    <row r="388" ht="15.75" customHeight="1">
      <c r="V388" s="365"/>
    </row>
    <row r="389" ht="15.75" customHeight="1">
      <c r="V389" s="365"/>
    </row>
    <row r="390" ht="15.75" customHeight="1">
      <c r="V390" s="365"/>
    </row>
    <row r="391" ht="15.75" customHeight="1">
      <c r="V391" s="365"/>
    </row>
    <row r="392" ht="15.75" customHeight="1">
      <c r="V392" s="365"/>
    </row>
    <row r="393" ht="15.75" customHeight="1">
      <c r="V393" s="365"/>
    </row>
    <row r="394" ht="15.75" customHeight="1">
      <c r="V394" s="365"/>
    </row>
    <row r="395" ht="15.75" customHeight="1">
      <c r="V395" s="365"/>
    </row>
    <row r="396" ht="15.75" customHeight="1">
      <c r="V396" s="365"/>
    </row>
    <row r="397" ht="15.75" customHeight="1">
      <c r="V397" s="365"/>
    </row>
    <row r="398" ht="15.75" customHeight="1">
      <c r="V398" s="365"/>
    </row>
    <row r="399" ht="15.75" customHeight="1">
      <c r="V399" s="365"/>
    </row>
    <row r="400" ht="15.75" customHeight="1">
      <c r="V400" s="365"/>
    </row>
    <row r="401" ht="15.75" customHeight="1">
      <c r="V401" s="365"/>
    </row>
    <row r="402" ht="15.75" customHeight="1">
      <c r="V402" s="365"/>
    </row>
    <row r="403" ht="15.75" customHeight="1">
      <c r="V403" s="365"/>
    </row>
    <row r="404" ht="15.75" customHeight="1">
      <c r="V404" s="365"/>
    </row>
    <row r="405" ht="15.75" customHeight="1">
      <c r="V405" s="365"/>
    </row>
    <row r="406" ht="15.75" customHeight="1">
      <c r="V406" s="365"/>
    </row>
    <row r="407" ht="15.75" customHeight="1">
      <c r="V407" s="365"/>
    </row>
    <row r="408" ht="15.75" customHeight="1">
      <c r="V408" s="365"/>
    </row>
    <row r="409" ht="15.75" customHeight="1">
      <c r="V409" s="365"/>
    </row>
    <row r="410" ht="15.75" customHeight="1">
      <c r="V410" s="365"/>
    </row>
    <row r="411" ht="15.75" customHeight="1">
      <c r="V411" s="365"/>
    </row>
    <row r="412" ht="15.75" customHeight="1">
      <c r="V412" s="365"/>
    </row>
    <row r="413" ht="15.75" customHeight="1">
      <c r="V413" s="365"/>
    </row>
    <row r="414" ht="15.75" customHeight="1">
      <c r="V414" s="365"/>
    </row>
    <row r="415" ht="15.75" customHeight="1">
      <c r="V415" s="365"/>
    </row>
    <row r="416" ht="15.75" customHeight="1">
      <c r="V416" s="365"/>
    </row>
    <row r="417" ht="15.75" customHeight="1">
      <c r="V417" s="365"/>
    </row>
    <row r="418" ht="15.75" customHeight="1">
      <c r="V418" s="365"/>
    </row>
    <row r="419" ht="15.75" customHeight="1">
      <c r="V419" s="365"/>
    </row>
    <row r="420" ht="15.75" customHeight="1">
      <c r="V420" s="365"/>
    </row>
    <row r="421" ht="15.75" customHeight="1">
      <c r="V421" s="365"/>
    </row>
    <row r="422" ht="15.75" customHeight="1">
      <c r="V422" s="365"/>
    </row>
    <row r="423" ht="15.75" customHeight="1">
      <c r="V423" s="365"/>
    </row>
    <row r="424" ht="15.75" customHeight="1">
      <c r="V424" s="365"/>
    </row>
    <row r="425" ht="15.75" customHeight="1">
      <c r="V425" s="365"/>
    </row>
    <row r="426" ht="15.75" customHeight="1">
      <c r="V426" s="365"/>
    </row>
    <row r="427" ht="15.75" customHeight="1">
      <c r="V427" s="365"/>
    </row>
    <row r="428" ht="15.75" customHeight="1">
      <c r="V428" s="365"/>
    </row>
    <row r="429" ht="15.75" customHeight="1">
      <c r="V429" s="365"/>
    </row>
    <row r="430" ht="15.75" customHeight="1">
      <c r="V430" s="365"/>
    </row>
    <row r="431" ht="15.75" customHeight="1">
      <c r="V431" s="365"/>
    </row>
    <row r="432" ht="15.75" customHeight="1">
      <c r="V432" s="365"/>
    </row>
    <row r="433" ht="15.75" customHeight="1">
      <c r="V433" s="365"/>
    </row>
    <row r="434" ht="15.75" customHeight="1">
      <c r="V434" s="365"/>
    </row>
    <row r="435" ht="15.75" customHeight="1">
      <c r="V435" s="365"/>
    </row>
    <row r="436" ht="15.75" customHeight="1">
      <c r="V436" s="365"/>
    </row>
    <row r="437" ht="15.75" customHeight="1">
      <c r="V437" s="365"/>
    </row>
    <row r="438" ht="15.75" customHeight="1">
      <c r="V438" s="365"/>
    </row>
    <row r="439" ht="15.75" customHeight="1">
      <c r="V439" s="365"/>
    </row>
    <row r="440" ht="15.75" customHeight="1">
      <c r="V440" s="365"/>
    </row>
    <row r="441" ht="15.75" customHeight="1">
      <c r="V441" s="365"/>
    </row>
    <row r="442" ht="15.75" customHeight="1">
      <c r="V442" s="365"/>
    </row>
    <row r="443" ht="15.75" customHeight="1">
      <c r="V443" s="365"/>
    </row>
    <row r="444" ht="15.75" customHeight="1">
      <c r="V444" s="365"/>
    </row>
    <row r="445" ht="15.75" customHeight="1">
      <c r="V445" s="365"/>
    </row>
    <row r="446" ht="15.75" customHeight="1">
      <c r="V446" s="365"/>
    </row>
    <row r="447" ht="15.75" customHeight="1">
      <c r="V447" s="365"/>
    </row>
    <row r="448" ht="15.75" customHeight="1">
      <c r="V448" s="365"/>
    </row>
    <row r="449" ht="15.75" customHeight="1">
      <c r="V449" s="365"/>
    </row>
    <row r="450" ht="15.75" customHeight="1">
      <c r="V450" s="365"/>
    </row>
    <row r="451" ht="15.75" customHeight="1">
      <c r="V451" s="365"/>
    </row>
    <row r="452" ht="15.75" customHeight="1">
      <c r="V452" s="365"/>
    </row>
    <row r="453" ht="15.75" customHeight="1">
      <c r="V453" s="365"/>
    </row>
    <row r="454" ht="15.75" customHeight="1">
      <c r="V454" s="365"/>
    </row>
    <row r="455" ht="15.75" customHeight="1">
      <c r="V455" s="365"/>
    </row>
    <row r="456" ht="15.75" customHeight="1">
      <c r="V456" s="365"/>
    </row>
    <row r="457" ht="15.75" customHeight="1">
      <c r="V457" s="365"/>
    </row>
    <row r="458" ht="15.75" customHeight="1">
      <c r="V458" s="365"/>
    </row>
    <row r="459" ht="15.75" customHeight="1">
      <c r="V459" s="365"/>
    </row>
    <row r="460" ht="15.75" customHeight="1">
      <c r="V460" s="365"/>
    </row>
    <row r="461" ht="15.75" customHeight="1">
      <c r="V461" s="365"/>
    </row>
    <row r="462" ht="15.75" customHeight="1">
      <c r="V462" s="365"/>
    </row>
    <row r="463" ht="15.75" customHeight="1">
      <c r="V463" s="365"/>
    </row>
    <row r="464" ht="15.75" customHeight="1">
      <c r="V464" s="365"/>
    </row>
    <row r="465" ht="15.75" customHeight="1">
      <c r="V465" s="365"/>
    </row>
    <row r="466" ht="15.75" customHeight="1">
      <c r="V466" s="365"/>
    </row>
    <row r="467" ht="15.75" customHeight="1">
      <c r="V467" s="365"/>
    </row>
    <row r="468" ht="15.75" customHeight="1">
      <c r="V468" s="365"/>
    </row>
    <row r="469" ht="15.75" customHeight="1">
      <c r="V469" s="365"/>
    </row>
    <row r="470" ht="15.75" customHeight="1">
      <c r="V470" s="365"/>
    </row>
    <row r="471" ht="15.75" customHeight="1">
      <c r="V471" s="365"/>
    </row>
    <row r="472" ht="15.75" customHeight="1">
      <c r="V472" s="365"/>
    </row>
    <row r="473" ht="15.75" customHeight="1">
      <c r="V473" s="365"/>
    </row>
    <row r="474" ht="15.75" customHeight="1">
      <c r="V474" s="365"/>
    </row>
    <row r="475" ht="15.75" customHeight="1">
      <c r="V475" s="365"/>
    </row>
    <row r="476" ht="15.75" customHeight="1">
      <c r="V476" s="365"/>
    </row>
    <row r="477" ht="15.75" customHeight="1">
      <c r="V477" s="365"/>
    </row>
    <row r="478" ht="15.75" customHeight="1">
      <c r="V478" s="365"/>
    </row>
    <row r="479" ht="15.75" customHeight="1">
      <c r="V479" s="365"/>
    </row>
    <row r="480" ht="15.75" customHeight="1">
      <c r="V480" s="365"/>
    </row>
    <row r="481" ht="15.75" customHeight="1">
      <c r="V481" s="365"/>
    </row>
    <row r="482" ht="15.75" customHeight="1">
      <c r="V482" s="365"/>
    </row>
    <row r="483" ht="15.75" customHeight="1">
      <c r="V483" s="365"/>
    </row>
    <row r="484" ht="15.75" customHeight="1">
      <c r="V484" s="365"/>
    </row>
    <row r="485" ht="15.75" customHeight="1">
      <c r="V485" s="365"/>
    </row>
    <row r="486" ht="15.75" customHeight="1">
      <c r="V486" s="365"/>
    </row>
    <row r="487" ht="15.75" customHeight="1">
      <c r="V487" s="365"/>
    </row>
    <row r="488" ht="15.75" customHeight="1">
      <c r="V488" s="365"/>
    </row>
    <row r="489" ht="15.75" customHeight="1">
      <c r="V489" s="365"/>
    </row>
    <row r="490" ht="15.75" customHeight="1">
      <c r="V490" s="365"/>
    </row>
    <row r="491" ht="15.75" customHeight="1">
      <c r="V491" s="365"/>
    </row>
    <row r="492" ht="15.75" customHeight="1">
      <c r="V492" s="365"/>
    </row>
    <row r="493" ht="15.75" customHeight="1">
      <c r="V493" s="365"/>
    </row>
    <row r="494" ht="15.75" customHeight="1">
      <c r="V494" s="365"/>
    </row>
    <row r="495" ht="15.75" customHeight="1">
      <c r="V495" s="365"/>
    </row>
    <row r="496" ht="15.75" customHeight="1">
      <c r="V496" s="365"/>
    </row>
    <row r="497" ht="15.75" customHeight="1">
      <c r="V497" s="365"/>
    </row>
    <row r="498" ht="15.75" customHeight="1">
      <c r="V498" s="365"/>
    </row>
    <row r="499" ht="15.75" customHeight="1">
      <c r="V499" s="365"/>
    </row>
    <row r="500" ht="15.75" customHeight="1">
      <c r="V500" s="365"/>
    </row>
    <row r="501" ht="15.75" customHeight="1">
      <c r="V501" s="365"/>
    </row>
    <row r="502" ht="15.75" customHeight="1">
      <c r="V502" s="365"/>
    </row>
    <row r="503" ht="15.75" customHeight="1">
      <c r="V503" s="365"/>
    </row>
    <row r="504" ht="15.75" customHeight="1">
      <c r="V504" s="365"/>
    </row>
    <row r="505" ht="15.75" customHeight="1">
      <c r="V505" s="365"/>
    </row>
    <row r="506" ht="15.75" customHeight="1">
      <c r="V506" s="365"/>
    </row>
    <row r="507" ht="15.75" customHeight="1">
      <c r="V507" s="365"/>
    </row>
    <row r="508" ht="15.75" customHeight="1">
      <c r="V508" s="365"/>
    </row>
    <row r="509" ht="15.75" customHeight="1">
      <c r="V509" s="365"/>
    </row>
    <row r="510" ht="15.75" customHeight="1">
      <c r="V510" s="365"/>
    </row>
    <row r="511" ht="15.75" customHeight="1">
      <c r="V511" s="365"/>
    </row>
    <row r="512" ht="15.75" customHeight="1">
      <c r="V512" s="365"/>
    </row>
    <row r="513" ht="15.75" customHeight="1">
      <c r="V513" s="365"/>
    </row>
    <row r="514" ht="15.75" customHeight="1">
      <c r="V514" s="365"/>
    </row>
    <row r="515" ht="15.75" customHeight="1">
      <c r="V515" s="365"/>
    </row>
    <row r="516" ht="15.75" customHeight="1">
      <c r="V516" s="365"/>
    </row>
    <row r="517" ht="15.75" customHeight="1">
      <c r="V517" s="365"/>
    </row>
    <row r="518" ht="15.75" customHeight="1">
      <c r="V518" s="365"/>
    </row>
    <row r="519" ht="15.75" customHeight="1">
      <c r="V519" s="365"/>
    </row>
    <row r="520" ht="15.75" customHeight="1">
      <c r="V520" s="365"/>
    </row>
    <row r="521" ht="15.75" customHeight="1">
      <c r="V521" s="365"/>
    </row>
    <row r="522" ht="15.75" customHeight="1">
      <c r="V522" s="365"/>
    </row>
    <row r="523" ht="15.75" customHeight="1">
      <c r="V523" s="365"/>
    </row>
    <row r="524" ht="15.75" customHeight="1">
      <c r="V524" s="365"/>
    </row>
    <row r="525" ht="15.75" customHeight="1">
      <c r="V525" s="365"/>
    </row>
    <row r="526" ht="15.75" customHeight="1">
      <c r="V526" s="365"/>
    </row>
    <row r="527" ht="15.75" customHeight="1">
      <c r="V527" s="365"/>
    </row>
    <row r="528" ht="15.75" customHeight="1">
      <c r="V528" s="365"/>
    </row>
    <row r="529" ht="15.75" customHeight="1">
      <c r="V529" s="365"/>
    </row>
    <row r="530" ht="15.75" customHeight="1">
      <c r="V530" s="365"/>
    </row>
    <row r="531" ht="15.75" customHeight="1">
      <c r="V531" s="365"/>
    </row>
    <row r="532" ht="15.75" customHeight="1">
      <c r="V532" s="365"/>
    </row>
    <row r="533" ht="15.75" customHeight="1">
      <c r="V533" s="365"/>
    </row>
    <row r="534" ht="15.75" customHeight="1">
      <c r="V534" s="365"/>
    </row>
    <row r="535" ht="15.75" customHeight="1">
      <c r="V535" s="365"/>
    </row>
    <row r="536" ht="15.75" customHeight="1">
      <c r="V536" s="365"/>
    </row>
    <row r="537" ht="15.75" customHeight="1">
      <c r="V537" s="365"/>
    </row>
    <row r="538" ht="15.75" customHeight="1">
      <c r="V538" s="365"/>
    </row>
    <row r="539" ht="15.75" customHeight="1">
      <c r="V539" s="365"/>
    </row>
    <row r="540" ht="15.75" customHeight="1">
      <c r="V540" s="365"/>
    </row>
    <row r="541" ht="15.75" customHeight="1">
      <c r="V541" s="365"/>
    </row>
    <row r="542" ht="15.75" customHeight="1">
      <c r="V542" s="365"/>
    </row>
    <row r="543" ht="15.75" customHeight="1">
      <c r="V543" s="365"/>
    </row>
    <row r="544" ht="15.75" customHeight="1">
      <c r="V544" s="365"/>
    </row>
    <row r="545" ht="15.75" customHeight="1">
      <c r="V545" s="365"/>
    </row>
    <row r="546" ht="15.75" customHeight="1">
      <c r="V546" s="365"/>
    </row>
    <row r="547" ht="15.75" customHeight="1">
      <c r="V547" s="365"/>
    </row>
    <row r="548" ht="15.75" customHeight="1">
      <c r="V548" s="365"/>
    </row>
    <row r="549" ht="15.75" customHeight="1">
      <c r="V549" s="365"/>
    </row>
    <row r="550" ht="15.75" customHeight="1">
      <c r="V550" s="365"/>
    </row>
    <row r="551" ht="15.75" customHeight="1">
      <c r="V551" s="365"/>
    </row>
    <row r="552" ht="15.75" customHeight="1">
      <c r="V552" s="365"/>
    </row>
    <row r="553" ht="15.75" customHeight="1">
      <c r="V553" s="365"/>
    </row>
    <row r="554" ht="15.75" customHeight="1">
      <c r="V554" s="365"/>
    </row>
    <row r="555" ht="15.75" customHeight="1">
      <c r="V555" s="365"/>
    </row>
    <row r="556" ht="15.75" customHeight="1">
      <c r="V556" s="365"/>
    </row>
    <row r="557" ht="15.75" customHeight="1">
      <c r="V557" s="365"/>
    </row>
    <row r="558" ht="15.75" customHeight="1">
      <c r="V558" s="365"/>
    </row>
    <row r="559" ht="15.75" customHeight="1">
      <c r="V559" s="365"/>
    </row>
    <row r="560" ht="15.75" customHeight="1">
      <c r="V560" s="365"/>
    </row>
    <row r="561" ht="15.75" customHeight="1">
      <c r="V561" s="365"/>
    </row>
    <row r="562" ht="15.75" customHeight="1">
      <c r="V562" s="365"/>
    </row>
    <row r="563" ht="15.75" customHeight="1">
      <c r="V563" s="365"/>
    </row>
    <row r="564" ht="15.75" customHeight="1">
      <c r="V564" s="365"/>
    </row>
    <row r="565" ht="15.75" customHeight="1">
      <c r="V565" s="365"/>
    </row>
    <row r="566" ht="15.75" customHeight="1">
      <c r="V566" s="365"/>
    </row>
    <row r="567" ht="15.75" customHeight="1">
      <c r="V567" s="365"/>
    </row>
    <row r="568" ht="15.75" customHeight="1">
      <c r="V568" s="365"/>
    </row>
    <row r="569" ht="15.75" customHeight="1">
      <c r="V569" s="365"/>
    </row>
    <row r="570" ht="15.75" customHeight="1">
      <c r="V570" s="365"/>
    </row>
    <row r="571" ht="15.75" customHeight="1">
      <c r="V571" s="365"/>
    </row>
    <row r="572" ht="15.75" customHeight="1">
      <c r="V572" s="365"/>
    </row>
    <row r="573" ht="15.75" customHeight="1">
      <c r="V573" s="365"/>
    </row>
    <row r="574" ht="15.75" customHeight="1">
      <c r="V574" s="365"/>
    </row>
    <row r="575" ht="15.75" customHeight="1">
      <c r="V575" s="365"/>
    </row>
    <row r="576" ht="15.75" customHeight="1">
      <c r="V576" s="365"/>
    </row>
    <row r="577" ht="15.75" customHeight="1">
      <c r="V577" s="365"/>
    </row>
    <row r="578" ht="15.75" customHeight="1">
      <c r="V578" s="365"/>
    </row>
    <row r="579" ht="15.75" customHeight="1">
      <c r="V579" s="365"/>
    </row>
    <row r="580" ht="15.75" customHeight="1">
      <c r="V580" s="365"/>
    </row>
    <row r="581" ht="15.75" customHeight="1">
      <c r="V581" s="365"/>
    </row>
    <row r="582" ht="15.75" customHeight="1">
      <c r="V582" s="365"/>
    </row>
    <row r="583" ht="15.75" customHeight="1">
      <c r="V583" s="365"/>
    </row>
    <row r="584" ht="15.75" customHeight="1">
      <c r="V584" s="365"/>
    </row>
    <row r="585" ht="15.75" customHeight="1">
      <c r="V585" s="365"/>
    </row>
    <row r="586" ht="15.75" customHeight="1">
      <c r="V586" s="365"/>
    </row>
    <row r="587" ht="15.75" customHeight="1">
      <c r="V587" s="365"/>
    </row>
    <row r="588" ht="15.75" customHeight="1">
      <c r="V588" s="365"/>
    </row>
    <row r="589" ht="15.75" customHeight="1">
      <c r="V589" s="365"/>
    </row>
    <row r="590" ht="15.75" customHeight="1">
      <c r="V590" s="365"/>
    </row>
    <row r="591" ht="15.75" customHeight="1">
      <c r="V591" s="365"/>
    </row>
    <row r="592" ht="15.75" customHeight="1">
      <c r="V592" s="365"/>
    </row>
    <row r="593" ht="15.75" customHeight="1">
      <c r="V593" s="365"/>
    </row>
    <row r="594" ht="15.75" customHeight="1">
      <c r="V594" s="365"/>
    </row>
    <row r="595" ht="15.75" customHeight="1">
      <c r="V595" s="365"/>
    </row>
    <row r="596" ht="15.75" customHeight="1">
      <c r="V596" s="365"/>
    </row>
    <row r="597" ht="15.75" customHeight="1">
      <c r="V597" s="365"/>
    </row>
    <row r="598" ht="15.75" customHeight="1">
      <c r="V598" s="365"/>
    </row>
    <row r="599" ht="15.75" customHeight="1">
      <c r="V599" s="365"/>
    </row>
    <row r="600" ht="15.75" customHeight="1">
      <c r="V600" s="365"/>
    </row>
    <row r="601" ht="15.75" customHeight="1">
      <c r="V601" s="365"/>
    </row>
    <row r="602" ht="15.75" customHeight="1">
      <c r="V602" s="365"/>
    </row>
    <row r="603" ht="15.75" customHeight="1">
      <c r="V603" s="365"/>
    </row>
    <row r="604" ht="15.75" customHeight="1">
      <c r="V604" s="365"/>
    </row>
    <row r="605" ht="15.75" customHeight="1">
      <c r="V605" s="365"/>
    </row>
    <row r="606" ht="15.75" customHeight="1">
      <c r="V606" s="365"/>
    </row>
    <row r="607" ht="15.75" customHeight="1">
      <c r="V607" s="365"/>
    </row>
    <row r="608" ht="15.75" customHeight="1">
      <c r="V608" s="365"/>
    </row>
    <row r="609" ht="15.75" customHeight="1">
      <c r="V609" s="365"/>
    </row>
    <row r="610" ht="15.75" customHeight="1">
      <c r="V610" s="365"/>
    </row>
    <row r="611" ht="15.75" customHeight="1">
      <c r="V611" s="365"/>
    </row>
    <row r="612" ht="15.75" customHeight="1">
      <c r="V612" s="365"/>
    </row>
    <row r="613" ht="15.75" customHeight="1">
      <c r="V613" s="365"/>
    </row>
    <row r="614" ht="15.75" customHeight="1">
      <c r="V614" s="365"/>
    </row>
    <row r="615" ht="15.75" customHeight="1">
      <c r="V615" s="365"/>
    </row>
    <row r="616" ht="15.75" customHeight="1">
      <c r="V616" s="365"/>
    </row>
    <row r="617" ht="15.75" customHeight="1">
      <c r="V617" s="365"/>
    </row>
    <row r="618" ht="15.75" customHeight="1">
      <c r="V618" s="365"/>
    </row>
    <row r="619" ht="15.75" customHeight="1">
      <c r="V619" s="365"/>
    </row>
    <row r="620" ht="15.75" customHeight="1">
      <c r="V620" s="365"/>
    </row>
    <row r="621" ht="15.75" customHeight="1">
      <c r="V621" s="365"/>
    </row>
    <row r="622" ht="15.75" customHeight="1">
      <c r="V622" s="365"/>
    </row>
    <row r="623" ht="15.75" customHeight="1">
      <c r="V623" s="365"/>
    </row>
    <row r="624" ht="15.75" customHeight="1">
      <c r="V624" s="365"/>
    </row>
    <row r="625" ht="15.75" customHeight="1">
      <c r="V625" s="365"/>
    </row>
    <row r="626" ht="15.75" customHeight="1">
      <c r="V626" s="365"/>
    </row>
    <row r="627" ht="15.75" customHeight="1">
      <c r="V627" s="365"/>
    </row>
    <row r="628" ht="15.75" customHeight="1">
      <c r="V628" s="365"/>
    </row>
    <row r="629" ht="15.75" customHeight="1">
      <c r="V629" s="365"/>
    </row>
    <row r="630" ht="15.75" customHeight="1">
      <c r="V630" s="365"/>
    </row>
    <row r="631" ht="15.75" customHeight="1">
      <c r="V631" s="365"/>
    </row>
    <row r="632" ht="15.75" customHeight="1">
      <c r="V632" s="365"/>
    </row>
    <row r="633" ht="15.75" customHeight="1">
      <c r="V633" s="365"/>
    </row>
    <row r="634" ht="15.75" customHeight="1">
      <c r="V634" s="365"/>
    </row>
    <row r="635" ht="15.75" customHeight="1">
      <c r="V635" s="365"/>
    </row>
    <row r="636" ht="15.75" customHeight="1">
      <c r="V636" s="365"/>
    </row>
    <row r="637" ht="15.75" customHeight="1">
      <c r="V637" s="365"/>
    </row>
    <row r="638" ht="15.75" customHeight="1">
      <c r="V638" s="365"/>
    </row>
    <row r="639" ht="15.75" customHeight="1">
      <c r="V639" s="365"/>
    </row>
    <row r="640" ht="15.75" customHeight="1">
      <c r="V640" s="365"/>
    </row>
    <row r="641" ht="15.75" customHeight="1">
      <c r="V641" s="365"/>
    </row>
    <row r="642" ht="15.75" customHeight="1">
      <c r="V642" s="365"/>
    </row>
    <row r="643" ht="15.75" customHeight="1">
      <c r="V643" s="365"/>
    </row>
    <row r="644" ht="15.75" customHeight="1">
      <c r="V644" s="365"/>
    </row>
    <row r="645" ht="15.75" customHeight="1">
      <c r="V645" s="365"/>
    </row>
    <row r="646" ht="15.75" customHeight="1">
      <c r="V646" s="365"/>
    </row>
    <row r="647" ht="15.75" customHeight="1">
      <c r="V647" s="365"/>
    </row>
    <row r="648" ht="15.75" customHeight="1">
      <c r="V648" s="365"/>
    </row>
    <row r="649" ht="15.75" customHeight="1">
      <c r="V649" s="365"/>
    </row>
    <row r="650" ht="15.75" customHeight="1">
      <c r="V650" s="365"/>
    </row>
    <row r="651" ht="15.75" customHeight="1">
      <c r="V651" s="365"/>
    </row>
    <row r="652" ht="15.75" customHeight="1">
      <c r="V652" s="365"/>
    </row>
    <row r="653" ht="15.75" customHeight="1">
      <c r="V653" s="365"/>
    </row>
    <row r="654" ht="15.75" customHeight="1">
      <c r="V654" s="365"/>
    </row>
    <row r="655" ht="15.75" customHeight="1">
      <c r="V655" s="365"/>
    </row>
    <row r="656" ht="15.75" customHeight="1">
      <c r="V656" s="365"/>
    </row>
    <row r="657" ht="15.75" customHeight="1">
      <c r="V657" s="365"/>
    </row>
    <row r="658" ht="15.75" customHeight="1">
      <c r="V658" s="365"/>
    </row>
    <row r="659" ht="15.75" customHeight="1">
      <c r="V659" s="365"/>
    </row>
    <row r="660" ht="15.75" customHeight="1">
      <c r="V660" s="365"/>
    </row>
    <row r="661" ht="15.75" customHeight="1">
      <c r="V661" s="365"/>
    </row>
    <row r="662" ht="15.75" customHeight="1">
      <c r="V662" s="365"/>
    </row>
    <row r="663" ht="15.75" customHeight="1">
      <c r="V663" s="365"/>
    </row>
    <row r="664" ht="15.75" customHeight="1">
      <c r="V664" s="365"/>
    </row>
    <row r="665" ht="15.75" customHeight="1">
      <c r="V665" s="365"/>
    </row>
    <row r="666" ht="15.75" customHeight="1">
      <c r="V666" s="365"/>
    </row>
    <row r="667" ht="15.75" customHeight="1">
      <c r="V667" s="365"/>
    </row>
    <row r="668" ht="15.75" customHeight="1">
      <c r="V668" s="365"/>
    </row>
    <row r="669" ht="15.75" customHeight="1">
      <c r="V669" s="365"/>
    </row>
    <row r="670" ht="15.75" customHeight="1">
      <c r="V670" s="365"/>
    </row>
    <row r="671" ht="15.75" customHeight="1">
      <c r="V671" s="365"/>
    </row>
    <row r="672" ht="15.75" customHeight="1">
      <c r="V672" s="365"/>
    </row>
    <row r="673" ht="15.75" customHeight="1">
      <c r="V673" s="365"/>
    </row>
    <row r="674" ht="15.75" customHeight="1">
      <c r="V674" s="365"/>
    </row>
    <row r="675" ht="15.75" customHeight="1">
      <c r="V675" s="365"/>
    </row>
    <row r="676" ht="15.75" customHeight="1">
      <c r="V676" s="365"/>
    </row>
    <row r="677" ht="15.75" customHeight="1">
      <c r="V677" s="365"/>
    </row>
    <row r="678" ht="15.75" customHeight="1">
      <c r="V678" s="365"/>
    </row>
    <row r="679" ht="15.75" customHeight="1">
      <c r="V679" s="365"/>
    </row>
    <row r="680" ht="15.75" customHeight="1">
      <c r="V680" s="365"/>
    </row>
    <row r="681" ht="15.75" customHeight="1">
      <c r="V681" s="365"/>
    </row>
    <row r="682" ht="15.75" customHeight="1">
      <c r="V682" s="365"/>
    </row>
    <row r="683" ht="15.75" customHeight="1">
      <c r="V683" s="365"/>
    </row>
    <row r="684" ht="15.75" customHeight="1">
      <c r="V684" s="365"/>
    </row>
    <row r="685" ht="15.75" customHeight="1">
      <c r="V685" s="365"/>
    </row>
    <row r="686" ht="15.75" customHeight="1">
      <c r="V686" s="365"/>
    </row>
    <row r="687" ht="15.75" customHeight="1">
      <c r="V687" s="365"/>
    </row>
    <row r="688" ht="15.75" customHeight="1">
      <c r="V688" s="365"/>
    </row>
    <row r="689" ht="15.75" customHeight="1">
      <c r="V689" s="365"/>
    </row>
    <row r="690" ht="15.75" customHeight="1">
      <c r="V690" s="365"/>
    </row>
    <row r="691" ht="15.75" customHeight="1">
      <c r="V691" s="365"/>
    </row>
    <row r="692" ht="15.75" customHeight="1">
      <c r="V692" s="365"/>
    </row>
    <row r="693" ht="15.75" customHeight="1">
      <c r="V693" s="365"/>
    </row>
    <row r="694" ht="15.75" customHeight="1">
      <c r="V694" s="365"/>
    </row>
    <row r="695" ht="15.75" customHeight="1">
      <c r="V695" s="365"/>
    </row>
    <row r="696" ht="15.75" customHeight="1">
      <c r="V696" s="365"/>
    </row>
    <row r="697" ht="15.75" customHeight="1">
      <c r="V697" s="365"/>
    </row>
    <row r="698" ht="15.75" customHeight="1">
      <c r="V698" s="365"/>
    </row>
    <row r="699" ht="15.75" customHeight="1">
      <c r="V699" s="365"/>
    </row>
    <row r="700" ht="15.75" customHeight="1">
      <c r="V700" s="365"/>
    </row>
    <row r="701" ht="15.75" customHeight="1">
      <c r="V701" s="365"/>
    </row>
    <row r="702" ht="15.75" customHeight="1">
      <c r="V702" s="365"/>
    </row>
    <row r="703" ht="15.75" customHeight="1">
      <c r="V703" s="365"/>
    </row>
    <row r="704" ht="15.75" customHeight="1">
      <c r="V704" s="365"/>
    </row>
    <row r="705" ht="15.75" customHeight="1">
      <c r="V705" s="365"/>
    </row>
    <row r="706" ht="15.75" customHeight="1">
      <c r="V706" s="365"/>
    </row>
    <row r="707" ht="15.75" customHeight="1">
      <c r="V707" s="365"/>
    </row>
    <row r="708" ht="15.75" customHeight="1">
      <c r="V708" s="365"/>
    </row>
    <row r="709" ht="15.75" customHeight="1">
      <c r="V709" s="365"/>
    </row>
    <row r="710" ht="15.75" customHeight="1">
      <c r="V710" s="365"/>
    </row>
    <row r="711" ht="15.75" customHeight="1">
      <c r="V711" s="365"/>
    </row>
    <row r="712" ht="15.75" customHeight="1">
      <c r="V712" s="365"/>
    </row>
    <row r="713" ht="15.75" customHeight="1">
      <c r="V713" s="365"/>
    </row>
    <row r="714" ht="15.75" customHeight="1">
      <c r="V714" s="365"/>
    </row>
    <row r="715" ht="15.75" customHeight="1">
      <c r="V715" s="365"/>
    </row>
    <row r="716" ht="15.75" customHeight="1">
      <c r="V716" s="365"/>
    </row>
    <row r="717" ht="15.75" customHeight="1">
      <c r="V717" s="365"/>
    </row>
    <row r="718" ht="15.75" customHeight="1">
      <c r="V718" s="365"/>
    </row>
    <row r="719" ht="15.75" customHeight="1">
      <c r="V719" s="365"/>
    </row>
    <row r="720" ht="15.75" customHeight="1">
      <c r="V720" s="365"/>
    </row>
    <row r="721" ht="15.75" customHeight="1">
      <c r="V721" s="365"/>
    </row>
    <row r="722" ht="15.75" customHeight="1">
      <c r="V722" s="365"/>
    </row>
    <row r="723" ht="15.75" customHeight="1">
      <c r="V723" s="365"/>
    </row>
    <row r="724" ht="15.75" customHeight="1">
      <c r="V724" s="365"/>
    </row>
    <row r="725" ht="15.75" customHeight="1">
      <c r="V725" s="365"/>
    </row>
    <row r="726" ht="15.75" customHeight="1">
      <c r="V726" s="365"/>
    </row>
    <row r="727" ht="15.75" customHeight="1">
      <c r="V727" s="365"/>
    </row>
    <row r="728" ht="15.75" customHeight="1">
      <c r="V728" s="365"/>
    </row>
    <row r="729" ht="15.75" customHeight="1">
      <c r="V729" s="365"/>
    </row>
    <row r="730" ht="15.75" customHeight="1">
      <c r="V730" s="365"/>
    </row>
    <row r="731" ht="15.75" customHeight="1">
      <c r="V731" s="365"/>
    </row>
    <row r="732" ht="15.75" customHeight="1">
      <c r="V732" s="365"/>
    </row>
    <row r="733" ht="15.75" customHeight="1">
      <c r="V733" s="365"/>
    </row>
    <row r="734" ht="15.75" customHeight="1">
      <c r="V734" s="365"/>
    </row>
    <row r="735" ht="15.75" customHeight="1">
      <c r="V735" s="365"/>
    </row>
    <row r="736" ht="15.75" customHeight="1">
      <c r="V736" s="365"/>
    </row>
    <row r="737" ht="15.75" customHeight="1">
      <c r="V737" s="365"/>
    </row>
    <row r="738" ht="15.75" customHeight="1">
      <c r="V738" s="365"/>
    </row>
    <row r="739" ht="15.75" customHeight="1">
      <c r="V739" s="365"/>
    </row>
    <row r="740" ht="15.75" customHeight="1">
      <c r="V740" s="365"/>
    </row>
    <row r="741" ht="15.75" customHeight="1">
      <c r="V741" s="365"/>
    </row>
    <row r="742" ht="15.75" customHeight="1">
      <c r="V742" s="365"/>
    </row>
    <row r="743" ht="15.75" customHeight="1">
      <c r="V743" s="365"/>
    </row>
    <row r="744" ht="15.75" customHeight="1">
      <c r="V744" s="365"/>
    </row>
    <row r="745" ht="15.75" customHeight="1">
      <c r="V745" s="365"/>
    </row>
    <row r="746" ht="15.75" customHeight="1">
      <c r="V746" s="365"/>
    </row>
    <row r="747" ht="15.75" customHeight="1">
      <c r="V747" s="365"/>
    </row>
    <row r="748" ht="15.75" customHeight="1">
      <c r="V748" s="365"/>
    </row>
    <row r="749" ht="15.75" customHeight="1">
      <c r="V749" s="365"/>
    </row>
    <row r="750" ht="15.75" customHeight="1">
      <c r="V750" s="365"/>
    </row>
    <row r="751" ht="15.75" customHeight="1">
      <c r="V751" s="365"/>
    </row>
    <row r="752" ht="15.75" customHeight="1">
      <c r="V752" s="365"/>
    </row>
    <row r="753" ht="15.75" customHeight="1">
      <c r="V753" s="365"/>
    </row>
    <row r="754" ht="15.75" customHeight="1">
      <c r="V754" s="365"/>
    </row>
    <row r="755" ht="15.75" customHeight="1">
      <c r="V755" s="365"/>
    </row>
    <row r="756" ht="15.75" customHeight="1">
      <c r="V756" s="365"/>
    </row>
    <row r="757" ht="15.75" customHeight="1">
      <c r="V757" s="365"/>
    </row>
    <row r="758" ht="15.75" customHeight="1">
      <c r="V758" s="365"/>
    </row>
    <row r="759" ht="15.75" customHeight="1">
      <c r="V759" s="365"/>
    </row>
    <row r="760" ht="15.75" customHeight="1">
      <c r="V760" s="365"/>
    </row>
    <row r="761" ht="15.75" customHeight="1">
      <c r="V761" s="365"/>
    </row>
    <row r="762" ht="15.75" customHeight="1">
      <c r="V762" s="365"/>
    </row>
    <row r="763" ht="15.75" customHeight="1">
      <c r="V763" s="365"/>
    </row>
    <row r="764" ht="15.75" customHeight="1">
      <c r="V764" s="365"/>
    </row>
    <row r="765" ht="15.75" customHeight="1">
      <c r="V765" s="365"/>
    </row>
    <row r="766" ht="15.75" customHeight="1">
      <c r="V766" s="365"/>
    </row>
    <row r="767" ht="15.75" customHeight="1">
      <c r="V767" s="365"/>
    </row>
    <row r="768" ht="15.75" customHeight="1">
      <c r="V768" s="365"/>
    </row>
    <row r="769" ht="15.75" customHeight="1">
      <c r="V769" s="365"/>
    </row>
    <row r="770" ht="15.75" customHeight="1">
      <c r="V770" s="365"/>
    </row>
    <row r="771" ht="15.75" customHeight="1">
      <c r="V771" s="365"/>
    </row>
    <row r="772" ht="15.75" customHeight="1">
      <c r="V772" s="365"/>
    </row>
    <row r="773" ht="15.75" customHeight="1">
      <c r="V773" s="365"/>
    </row>
    <row r="774" ht="15.75" customHeight="1">
      <c r="V774" s="365"/>
    </row>
    <row r="775" ht="15.75" customHeight="1">
      <c r="V775" s="365"/>
    </row>
    <row r="776" ht="15.75" customHeight="1">
      <c r="V776" s="365"/>
    </row>
    <row r="777" ht="15.75" customHeight="1">
      <c r="V777" s="365"/>
    </row>
    <row r="778" ht="15.75" customHeight="1">
      <c r="V778" s="365"/>
    </row>
    <row r="779" ht="15.75" customHeight="1">
      <c r="V779" s="365"/>
    </row>
    <row r="780" ht="15.75" customHeight="1">
      <c r="V780" s="365"/>
    </row>
    <row r="781" ht="15.75" customHeight="1">
      <c r="V781" s="365"/>
    </row>
    <row r="782" ht="15.75" customHeight="1">
      <c r="V782" s="365"/>
    </row>
    <row r="783" ht="15.75" customHeight="1">
      <c r="V783" s="365"/>
    </row>
    <row r="784" ht="15.75" customHeight="1">
      <c r="V784" s="365"/>
    </row>
    <row r="785" ht="15.75" customHeight="1">
      <c r="V785" s="365"/>
    </row>
    <row r="786" ht="15.75" customHeight="1">
      <c r="V786" s="365"/>
    </row>
    <row r="787" ht="15.75" customHeight="1">
      <c r="V787" s="365"/>
    </row>
    <row r="788" ht="15.75" customHeight="1">
      <c r="V788" s="365"/>
    </row>
    <row r="789" ht="15.75" customHeight="1">
      <c r="V789" s="365"/>
    </row>
    <row r="790" ht="15.75" customHeight="1">
      <c r="V790" s="365"/>
    </row>
    <row r="791" ht="15.75" customHeight="1">
      <c r="V791" s="365"/>
    </row>
    <row r="792" ht="15.75" customHeight="1">
      <c r="V792" s="365"/>
    </row>
    <row r="793" ht="15.75" customHeight="1">
      <c r="V793" s="365"/>
    </row>
    <row r="794" ht="15.75" customHeight="1">
      <c r="V794" s="365"/>
    </row>
    <row r="795" ht="15.75" customHeight="1">
      <c r="V795" s="365"/>
    </row>
    <row r="796" ht="15.75" customHeight="1">
      <c r="V796" s="365"/>
    </row>
    <row r="797" ht="15.75" customHeight="1">
      <c r="V797" s="365"/>
    </row>
    <row r="798" ht="15.75" customHeight="1">
      <c r="V798" s="365"/>
    </row>
    <row r="799" ht="15.75" customHeight="1">
      <c r="V799" s="365"/>
    </row>
    <row r="800" ht="15.75" customHeight="1">
      <c r="V800" s="365"/>
    </row>
    <row r="801" ht="15.75" customHeight="1">
      <c r="V801" s="365"/>
    </row>
    <row r="802" ht="15.75" customHeight="1">
      <c r="V802" s="365"/>
    </row>
    <row r="803" ht="15.75" customHeight="1">
      <c r="V803" s="365"/>
    </row>
    <row r="804" ht="15.75" customHeight="1">
      <c r="V804" s="365"/>
    </row>
    <row r="805" ht="15.75" customHeight="1">
      <c r="V805" s="365"/>
    </row>
    <row r="806" ht="15.75" customHeight="1">
      <c r="V806" s="365"/>
    </row>
    <row r="807" ht="15.75" customHeight="1">
      <c r="V807" s="365"/>
    </row>
    <row r="808" ht="15.75" customHeight="1">
      <c r="V808" s="365"/>
    </row>
    <row r="809" ht="15.75" customHeight="1">
      <c r="V809" s="365"/>
    </row>
    <row r="810" ht="15.75" customHeight="1">
      <c r="V810" s="365"/>
    </row>
    <row r="811" ht="15.75" customHeight="1">
      <c r="V811" s="365"/>
    </row>
    <row r="812" ht="15.75" customHeight="1">
      <c r="V812" s="365"/>
    </row>
    <row r="813" ht="15.75" customHeight="1">
      <c r="V813" s="365"/>
    </row>
    <row r="814" ht="15.75" customHeight="1">
      <c r="V814" s="365"/>
    </row>
    <row r="815" ht="15.75" customHeight="1">
      <c r="V815" s="365"/>
    </row>
    <row r="816" ht="15.75" customHeight="1">
      <c r="V816" s="365"/>
    </row>
    <row r="817" ht="15.75" customHeight="1">
      <c r="V817" s="365"/>
    </row>
    <row r="818" ht="15.75" customHeight="1">
      <c r="V818" s="365"/>
    </row>
    <row r="819" ht="15.75" customHeight="1">
      <c r="V819" s="365"/>
    </row>
    <row r="820" ht="15.75" customHeight="1">
      <c r="V820" s="365"/>
    </row>
    <row r="821" ht="15.75" customHeight="1">
      <c r="V821" s="365"/>
    </row>
    <row r="822" ht="15.75" customHeight="1">
      <c r="V822" s="365"/>
    </row>
    <row r="823" ht="15.75" customHeight="1">
      <c r="V823" s="365"/>
    </row>
    <row r="824" ht="15.75" customHeight="1">
      <c r="V824" s="365"/>
    </row>
    <row r="825" ht="15.75" customHeight="1">
      <c r="V825" s="365"/>
    </row>
    <row r="826" ht="15.75" customHeight="1">
      <c r="V826" s="365"/>
    </row>
    <row r="827" ht="15.75" customHeight="1">
      <c r="V827" s="365"/>
    </row>
    <row r="828" ht="15.75" customHeight="1">
      <c r="V828" s="365"/>
    </row>
    <row r="829" ht="15.75" customHeight="1">
      <c r="V829" s="365"/>
    </row>
    <row r="830" ht="15.75" customHeight="1">
      <c r="V830" s="365"/>
    </row>
    <row r="831" ht="15.75" customHeight="1">
      <c r="V831" s="365"/>
    </row>
    <row r="832" ht="15.75" customHeight="1">
      <c r="V832" s="365"/>
    </row>
    <row r="833" ht="15.75" customHeight="1">
      <c r="V833" s="365"/>
    </row>
    <row r="834" ht="15.75" customHeight="1">
      <c r="V834" s="365"/>
    </row>
    <row r="835" ht="15.75" customHeight="1">
      <c r="V835" s="365"/>
    </row>
    <row r="836" ht="15.75" customHeight="1">
      <c r="V836" s="365"/>
    </row>
    <row r="837" ht="15.75" customHeight="1">
      <c r="V837" s="365"/>
    </row>
    <row r="838" ht="15.75" customHeight="1">
      <c r="V838" s="365"/>
    </row>
    <row r="839" ht="15.75" customHeight="1">
      <c r="V839" s="365"/>
    </row>
    <row r="840" ht="15.75" customHeight="1">
      <c r="V840" s="365"/>
    </row>
    <row r="841" ht="15.75" customHeight="1">
      <c r="V841" s="365"/>
    </row>
    <row r="842" ht="15.75" customHeight="1">
      <c r="V842" s="365"/>
    </row>
    <row r="843" ht="15.75" customHeight="1">
      <c r="V843" s="365"/>
    </row>
    <row r="844" ht="15.75" customHeight="1">
      <c r="V844" s="365"/>
    </row>
    <row r="845" ht="15.75" customHeight="1">
      <c r="V845" s="365"/>
    </row>
    <row r="846" ht="15.75" customHeight="1">
      <c r="V846" s="365"/>
    </row>
    <row r="847" ht="15.75" customHeight="1">
      <c r="V847" s="365"/>
    </row>
    <row r="848" ht="15.75" customHeight="1">
      <c r="V848" s="365"/>
    </row>
    <row r="849" ht="15.75" customHeight="1">
      <c r="V849" s="365"/>
    </row>
    <row r="850" ht="15.75" customHeight="1">
      <c r="V850" s="365"/>
    </row>
    <row r="851" ht="15.75" customHeight="1">
      <c r="V851" s="365"/>
    </row>
    <row r="852" ht="15.75" customHeight="1">
      <c r="V852" s="365"/>
    </row>
    <row r="853" ht="15.75" customHeight="1">
      <c r="V853" s="365"/>
    </row>
    <row r="854" ht="15.75" customHeight="1">
      <c r="V854" s="365"/>
    </row>
    <row r="855" ht="15.75" customHeight="1">
      <c r="V855" s="365"/>
    </row>
    <row r="856" ht="15.75" customHeight="1">
      <c r="V856" s="365"/>
    </row>
    <row r="857" ht="15.75" customHeight="1">
      <c r="V857" s="365"/>
    </row>
    <row r="858" ht="15.75" customHeight="1">
      <c r="V858" s="365"/>
    </row>
    <row r="859" ht="15.75" customHeight="1">
      <c r="V859" s="365"/>
    </row>
    <row r="860" ht="15.75" customHeight="1">
      <c r="V860" s="365"/>
    </row>
    <row r="861" ht="15.75" customHeight="1">
      <c r="V861" s="365"/>
    </row>
    <row r="862" ht="15.75" customHeight="1">
      <c r="V862" s="365"/>
    </row>
    <row r="863" ht="15.75" customHeight="1">
      <c r="V863" s="365"/>
    </row>
    <row r="864" ht="15.75" customHeight="1">
      <c r="V864" s="365"/>
    </row>
    <row r="865" ht="15.75" customHeight="1">
      <c r="V865" s="365"/>
    </row>
    <row r="866" ht="15.75" customHeight="1">
      <c r="V866" s="365"/>
    </row>
    <row r="867" ht="15.75" customHeight="1">
      <c r="V867" s="365"/>
    </row>
    <row r="868" ht="15.75" customHeight="1">
      <c r="V868" s="365"/>
    </row>
    <row r="869" ht="15.75" customHeight="1">
      <c r="V869" s="365"/>
    </row>
    <row r="870" ht="15.75" customHeight="1">
      <c r="V870" s="365"/>
    </row>
    <row r="871" ht="15.75" customHeight="1">
      <c r="V871" s="365"/>
    </row>
    <row r="872" ht="15.75" customHeight="1">
      <c r="V872" s="365"/>
    </row>
    <row r="873" ht="15.75" customHeight="1">
      <c r="V873" s="365"/>
    </row>
    <row r="874" ht="15.75" customHeight="1">
      <c r="V874" s="365"/>
    </row>
    <row r="875" ht="15.75" customHeight="1">
      <c r="V875" s="365"/>
    </row>
    <row r="876" ht="15.75" customHeight="1">
      <c r="V876" s="365"/>
    </row>
    <row r="877" ht="15.75" customHeight="1">
      <c r="V877" s="365"/>
    </row>
    <row r="878" ht="15.75" customHeight="1">
      <c r="V878" s="365"/>
    </row>
    <row r="879" ht="15.75" customHeight="1">
      <c r="V879" s="365"/>
    </row>
    <row r="880" ht="15.75" customHeight="1">
      <c r="V880" s="365"/>
    </row>
    <row r="881" ht="15.75" customHeight="1">
      <c r="V881" s="365"/>
    </row>
    <row r="882" ht="15.75" customHeight="1">
      <c r="V882" s="365"/>
    </row>
    <row r="883" ht="15.75" customHeight="1">
      <c r="V883" s="365"/>
    </row>
    <row r="884" ht="15.75" customHeight="1">
      <c r="V884" s="365"/>
    </row>
    <row r="885" ht="15.75" customHeight="1">
      <c r="V885" s="365"/>
    </row>
    <row r="886" ht="15.75" customHeight="1">
      <c r="V886" s="365"/>
    </row>
    <row r="887" ht="15.75" customHeight="1">
      <c r="V887" s="365"/>
    </row>
    <row r="888" ht="15.75" customHeight="1">
      <c r="V888" s="365"/>
    </row>
    <row r="889" ht="15.75" customHeight="1">
      <c r="V889" s="365"/>
    </row>
    <row r="890" ht="15.75" customHeight="1">
      <c r="V890" s="365"/>
    </row>
    <row r="891" ht="15.75" customHeight="1">
      <c r="V891" s="365"/>
    </row>
    <row r="892" ht="15.75" customHeight="1">
      <c r="V892" s="365"/>
    </row>
    <row r="893" ht="15.75" customHeight="1">
      <c r="V893" s="365"/>
    </row>
    <row r="894" ht="15.75" customHeight="1">
      <c r="V894" s="365"/>
    </row>
    <row r="895" ht="15.75" customHeight="1">
      <c r="V895" s="365"/>
    </row>
    <row r="896" ht="15.75" customHeight="1">
      <c r="V896" s="365"/>
    </row>
    <row r="897" ht="15.75" customHeight="1">
      <c r="V897" s="365"/>
    </row>
    <row r="898" ht="15.75" customHeight="1">
      <c r="V898" s="365"/>
    </row>
    <row r="899" ht="15.75" customHeight="1">
      <c r="V899" s="365"/>
    </row>
    <row r="900" ht="15.75" customHeight="1">
      <c r="V900" s="365"/>
    </row>
    <row r="901" ht="15.75" customHeight="1">
      <c r="V901" s="365"/>
    </row>
    <row r="902" ht="15.75" customHeight="1">
      <c r="V902" s="365"/>
    </row>
    <row r="903" ht="15.75" customHeight="1">
      <c r="V903" s="365"/>
    </row>
    <row r="904" ht="15.75" customHeight="1">
      <c r="V904" s="365"/>
    </row>
    <row r="905" ht="15.75" customHeight="1">
      <c r="V905" s="365"/>
    </row>
    <row r="906" ht="15.75" customHeight="1">
      <c r="V906" s="365"/>
    </row>
    <row r="907" ht="15.75" customHeight="1">
      <c r="V907" s="365"/>
    </row>
    <row r="908" ht="15.75" customHeight="1">
      <c r="V908" s="365"/>
    </row>
    <row r="909" ht="15.75" customHeight="1">
      <c r="V909" s="365"/>
    </row>
    <row r="910" ht="15.75" customHeight="1">
      <c r="V910" s="365"/>
    </row>
    <row r="911" ht="15.75" customHeight="1">
      <c r="V911" s="365"/>
    </row>
    <row r="912" ht="15.75" customHeight="1">
      <c r="V912" s="365"/>
    </row>
    <row r="913" ht="15.75" customHeight="1">
      <c r="V913" s="365"/>
    </row>
    <row r="914" ht="15.75" customHeight="1">
      <c r="V914" s="365"/>
    </row>
    <row r="915" ht="15.75" customHeight="1">
      <c r="V915" s="365"/>
    </row>
    <row r="916" ht="15.75" customHeight="1">
      <c r="V916" s="365"/>
    </row>
    <row r="917" ht="15.75" customHeight="1">
      <c r="V917" s="365"/>
    </row>
    <row r="918" ht="15.75" customHeight="1">
      <c r="V918" s="365"/>
    </row>
    <row r="919" ht="15.75" customHeight="1">
      <c r="V919" s="365"/>
    </row>
    <row r="920" ht="15.75" customHeight="1">
      <c r="V920" s="365"/>
    </row>
    <row r="921" ht="15.75" customHeight="1">
      <c r="V921" s="365"/>
    </row>
    <row r="922" ht="15.75" customHeight="1">
      <c r="V922" s="365"/>
    </row>
    <row r="923" ht="15.75" customHeight="1">
      <c r="V923" s="365"/>
    </row>
    <row r="924" ht="15.75" customHeight="1">
      <c r="V924" s="365"/>
    </row>
    <row r="925" ht="15.75" customHeight="1">
      <c r="V925" s="365"/>
    </row>
    <row r="926" ht="15.75" customHeight="1">
      <c r="V926" s="365"/>
    </row>
    <row r="927" ht="15.75" customHeight="1">
      <c r="V927" s="365"/>
    </row>
    <row r="928" ht="15.75" customHeight="1">
      <c r="V928" s="365"/>
    </row>
    <row r="929" ht="15.75" customHeight="1">
      <c r="V929" s="365"/>
    </row>
    <row r="930" ht="15.75" customHeight="1">
      <c r="V930" s="365"/>
    </row>
    <row r="931" ht="15.75" customHeight="1">
      <c r="V931" s="365"/>
    </row>
    <row r="932" ht="15.75" customHeight="1">
      <c r="V932" s="365"/>
    </row>
    <row r="933" ht="15.75" customHeight="1">
      <c r="V933" s="365"/>
    </row>
    <row r="934" ht="15.75" customHeight="1">
      <c r="V934" s="365"/>
    </row>
    <row r="935" ht="15.75" customHeight="1">
      <c r="V935" s="365"/>
    </row>
    <row r="936" ht="15.75" customHeight="1">
      <c r="V936" s="365"/>
    </row>
    <row r="937" ht="15.75" customHeight="1">
      <c r="V937" s="365"/>
    </row>
    <row r="938" ht="15.75" customHeight="1">
      <c r="V938" s="365"/>
    </row>
    <row r="939" ht="15.75" customHeight="1">
      <c r="V939" s="365"/>
    </row>
    <row r="940" ht="15.75" customHeight="1">
      <c r="V940" s="365"/>
    </row>
    <row r="941" ht="15.75" customHeight="1">
      <c r="V941" s="365"/>
    </row>
    <row r="942" ht="15.75" customHeight="1">
      <c r="V942" s="365"/>
    </row>
    <row r="943" ht="15.75" customHeight="1">
      <c r="V943" s="365"/>
    </row>
    <row r="944" ht="15.75" customHeight="1">
      <c r="V944" s="365"/>
    </row>
    <row r="945" ht="15.75" customHeight="1">
      <c r="V945" s="365"/>
    </row>
    <row r="946" ht="15.75" customHeight="1">
      <c r="V946" s="365"/>
    </row>
    <row r="947" ht="15.75" customHeight="1">
      <c r="V947" s="365"/>
    </row>
    <row r="948" ht="15.75" customHeight="1">
      <c r="V948" s="365"/>
    </row>
    <row r="949" ht="15.75" customHeight="1">
      <c r="V949" s="365"/>
    </row>
    <row r="950" ht="15.75" customHeight="1">
      <c r="V950" s="365"/>
    </row>
    <row r="951" ht="15.75" customHeight="1">
      <c r="V951" s="365"/>
    </row>
    <row r="952" ht="15.75" customHeight="1">
      <c r="V952" s="365"/>
    </row>
    <row r="953" ht="15.75" customHeight="1">
      <c r="V953" s="365"/>
    </row>
    <row r="954" ht="15.75" customHeight="1">
      <c r="V954" s="365"/>
    </row>
    <row r="955" ht="15.75" customHeight="1">
      <c r="V955" s="365"/>
    </row>
    <row r="956" ht="15.75" customHeight="1">
      <c r="V956" s="365"/>
    </row>
    <row r="957" ht="15.75" customHeight="1">
      <c r="V957" s="365"/>
    </row>
    <row r="958" ht="15.75" customHeight="1">
      <c r="V958" s="365"/>
    </row>
    <row r="959" ht="15.75" customHeight="1">
      <c r="V959" s="365"/>
    </row>
    <row r="960" ht="15.75" customHeight="1">
      <c r="V960" s="365"/>
    </row>
    <row r="961" ht="15.75" customHeight="1">
      <c r="V961" s="365"/>
    </row>
    <row r="962" ht="15.75" customHeight="1">
      <c r="V962" s="365"/>
    </row>
    <row r="963" ht="15.75" customHeight="1">
      <c r="V963" s="365"/>
    </row>
    <row r="964" ht="15.75" customHeight="1">
      <c r="V964" s="365"/>
    </row>
    <row r="965" ht="15.75" customHeight="1">
      <c r="V965" s="365"/>
    </row>
    <row r="966" ht="15.75" customHeight="1">
      <c r="V966" s="365"/>
    </row>
    <row r="967" ht="15.75" customHeight="1">
      <c r="V967" s="365"/>
    </row>
    <row r="968" ht="15.75" customHeight="1">
      <c r="V968" s="365"/>
    </row>
    <row r="969" ht="15.75" customHeight="1">
      <c r="V969" s="365"/>
    </row>
    <row r="970" ht="15.75" customHeight="1">
      <c r="V970" s="365"/>
    </row>
    <row r="971" ht="15.75" customHeight="1">
      <c r="V971" s="365"/>
    </row>
    <row r="972" ht="15.75" customHeight="1">
      <c r="V972" s="365"/>
    </row>
    <row r="973" ht="15.75" customHeight="1">
      <c r="V973" s="365"/>
    </row>
    <row r="974" ht="15.75" customHeight="1">
      <c r="V974" s="365"/>
    </row>
    <row r="975" ht="15.75" customHeight="1">
      <c r="V975" s="365"/>
    </row>
    <row r="976" ht="15.75" customHeight="1">
      <c r="V976" s="365"/>
    </row>
    <row r="977" ht="15.75" customHeight="1">
      <c r="V977" s="365"/>
    </row>
    <row r="978" ht="15.75" customHeight="1">
      <c r="V978" s="365"/>
    </row>
    <row r="979" ht="15.75" customHeight="1">
      <c r="V979" s="365"/>
    </row>
    <row r="980" ht="15.75" customHeight="1">
      <c r="V980" s="365"/>
    </row>
    <row r="981" ht="15.75" customHeight="1">
      <c r="V981" s="365"/>
    </row>
    <row r="982" ht="15.75" customHeight="1">
      <c r="V982" s="365"/>
    </row>
    <row r="983" ht="15.75" customHeight="1">
      <c r="V983" s="365"/>
    </row>
    <row r="984" ht="15.75" customHeight="1">
      <c r="V984" s="365"/>
    </row>
    <row r="985" ht="15.75" customHeight="1">
      <c r="V985" s="365"/>
    </row>
    <row r="986" ht="15.75" customHeight="1">
      <c r="V986" s="365"/>
    </row>
    <row r="987" ht="15.75" customHeight="1">
      <c r="V987" s="365"/>
    </row>
    <row r="988" ht="15.75" customHeight="1">
      <c r="V988" s="365"/>
    </row>
    <row r="989" ht="15.75" customHeight="1">
      <c r="V989" s="365"/>
    </row>
    <row r="990" ht="15.75" customHeight="1">
      <c r="V990" s="365"/>
    </row>
    <row r="991" ht="15.75" customHeight="1">
      <c r="V991" s="365"/>
    </row>
    <row r="992" ht="15.75" customHeight="1">
      <c r="V992" s="365"/>
    </row>
    <row r="993" ht="15.75" customHeight="1">
      <c r="V993" s="365"/>
    </row>
    <row r="994" ht="15.75" customHeight="1">
      <c r="V994" s="365"/>
    </row>
    <row r="995" ht="15.75" customHeight="1">
      <c r="V995" s="365"/>
    </row>
    <row r="996" ht="15.75" customHeight="1">
      <c r="V996" s="365"/>
    </row>
    <row r="997" ht="15.75" customHeight="1">
      <c r="V997" s="365"/>
    </row>
    <row r="998" ht="15.75" customHeight="1">
      <c r="V998" s="365"/>
    </row>
    <row r="999" ht="15.75" customHeight="1">
      <c r="V999" s="365"/>
    </row>
    <row r="1000" ht="15.75" customHeight="1">
      <c r="V1000" s="365"/>
    </row>
  </sheetData>
  <mergeCells count="4">
    <mergeCell ref="H1:I1"/>
    <mergeCell ref="J1:P1"/>
    <mergeCell ref="S1:X1"/>
    <mergeCell ref="Z1:AH1"/>
  </mergeCells>
  <conditionalFormatting sqref="E17:G18">
    <cfRule type="cellIs" dxfId="1" priority="1" operator="equal">
      <formula>"Conquest"</formula>
    </cfRule>
  </conditionalFormatting>
  <conditionalFormatting sqref="E17:G18">
    <cfRule type="cellIs" dxfId="2" priority="2" operator="equal">
      <formula>"Voga"</formula>
    </cfRule>
  </conditionalFormatting>
  <conditionalFormatting sqref="E3:E4">
    <cfRule type="cellIs" dxfId="1" priority="3" operator="equal">
      <formula>"Conquest"</formula>
    </cfRule>
  </conditionalFormatting>
  <conditionalFormatting sqref="E3:E4">
    <cfRule type="cellIs" dxfId="2" priority="4" operator="equal">
      <formula>"Voga"</formula>
    </cfRule>
  </conditionalFormatting>
  <conditionalFormatting sqref="E19">
    <cfRule type="cellIs" dxfId="2" priority="5" operator="equal">
      <formula>"Voga"</formula>
    </cfRule>
  </conditionalFormatting>
  <conditionalFormatting sqref="E19">
    <cfRule type="cellIs" dxfId="1" priority="6" operator="equal">
      <formula>"Conquest"</formula>
    </cfRule>
  </conditionalFormatting>
  <conditionalFormatting sqref="F19:G19">
    <cfRule type="cellIs" dxfId="3" priority="7" operator="equal">
      <formula>"Bluemetrix"</formula>
    </cfRule>
  </conditionalFormatting>
  <conditionalFormatting sqref="F13:G13">
    <cfRule type="cellIs" dxfId="3" priority="8" operator="equal">
      <formula>"Bluemetrix"</formula>
    </cfRule>
  </conditionalFormatting>
  <conditionalFormatting sqref="W3:W4">
    <cfRule type="notContainsBlanks" dxfId="0" priority="9">
      <formula>LEN(TRIM(W3))&gt;0</formula>
    </cfRule>
  </conditionalFormatting>
  <dataValidations>
    <dataValidation type="list" allowBlank="1" showErrorMessage="1" sqref="X3:X4">
      <formula1>"Varejo,Qualificado,Profissional"</formula1>
    </dataValidation>
    <dataValidation type="list" allowBlank="1" showErrorMessage="1" sqref="H3:H4">
      <formula1>"Ativo,Pode Operar,Inativo,Encerrado"</formula1>
    </dataValidation>
    <dataValidation type="list" allowBlank="1" showErrorMessage="1" sqref="W3:W4">
      <formula1>"Conservador,Moderado,Arrojado"</formula1>
    </dataValidation>
    <dataValidation type="list" allowBlank="1" showErrorMessage="1" sqref="V3:V4">
      <formula1>"Ativo,Inativo,Encerrado"</formula1>
    </dataValidation>
    <dataValidation type="list" allowBlank="1" showErrorMessage="1" sqref="D3:D4">
      <formula1>"Bluemetrix,Voga,Conquest"</formula1>
    </dataValidation>
    <dataValidation type="list" allowBlank="1" showErrorMessage="1" sqref="I3:I4">
      <formula1>"------,Sem Saldo,STVM Entrada,STVM Saída,Alteração de C.A,Monitoramento,Bloqueado"</formula1>
    </dataValidation>
    <dataValidation type="list" allowBlank="1" showErrorMessage="1" sqref="O3:O4">
      <formula1>"IBOV,CDI,------,IFIX,SMALL,S&amp;P 500"</formula1>
    </dataValidation>
    <dataValidation type="list" allowBlank="1" showErrorMessage="1" sqref="E3:E4">
      <formula1>"DF,GO,SUL,SP"</formula1>
    </dataValidation>
    <dataValidation type="list" allowBlank="1" showErrorMessage="1" sqref="S3:S4">
      <formula1>"PF,PJ"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1" width="14.5"/>
    <col customWidth="1" min="22" max="22" width="21.38"/>
    <col customWidth="1" min="23" max="23" width="14.5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25"/>
    <col customWidth="1" min="32" max="45" width="18.75"/>
  </cols>
  <sheetData>
    <row r="1" ht="15.75" customHeight="1">
      <c r="A1" s="2" t="s">
        <v>0</v>
      </c>
      <c r="G1" s="14" t="s">
        <v>3</v>
      </c>
      <c r="H1" s="5" t="s">
        <v>6</v>
      </c>
      <c r="J1" s="2" t="s">
        <v>0</v>
      </c>
      <c r="Q1" s="14" t="s">
        <v>3</v>
      </c>
      <c r="R1" s="17" t="s">
        <v>0</v>
      </c>
      <c r="S1" s="9" t="s">
        <v>13</v>
      </c>
      <c r="AF1" s="11" t="s">
        <v>18</v>
      </c>
      <c r="AG1" s="11" t="s">
        <v>18</v>
      </c>
      <c r="AH1" s="11" t="s">
        <v>18</v>
      </c>
      <c r="AI1" s="11" t="s">
        <v>18</v>
      </c>
      <c r="AJ1" s="11" t="s">
        <v>18</v>
      </c>
      <c r="AK1" s="11" t="s">
        <v>18</v>
      </c>
      <c r="AL1" s="11" t="s">
        <v>18</v>
      </c>
      <c r="AM1" s="11" t="s">
        <v>18</v>
      </c>
      <c r="AN1" s="11" t="s">
        <v>18</v>
      </c>
      <c r="AO1" s="11" t="s">
        <v>18</v>
      </c>
      <c r="AP1" s="11" t="s">
        <v>18</v>
      </c>
      <c r="AQ1" s="11" t="s">
        <v>18</v>
      </c>
      <c r="AR1" s="11" t="s">
        <v>18</v>
      </c>
      <c r="AS1" s="11" t="s">
        <v>18</v>
      </c>
    </row>
    <row r="2" ht="15.75" customHeight="1">
      <c r="A2" s="25" t="s">
        <v>31</v>
      </c>
      <c r="B2" s="12" t="s">
        <v>33</v>
      </c>
      <c r="C2" s="25" t="s">
        <v>2</v>
      </c>
      <c r="D2" s="28" t="s">
        <v>4</v>
      </c>
      <c r="E2" s="28" t="s">
        <v>5</v>
      </c>
      <c r="F2" s="28" t="s">
        <v>7</v>
      </c>
      <c r="G2" s="28" t="s">
        <v>36</v>
      </c>
      <c r="H2" s="28" t="s">
        <v>37</v>
      </c>
      <c r="I2" s="28" t="s">
        <v>38</v>
      </c>
      <c r="J2" s="28" t="s">
        <v>39</v>
      </c>
      <c r="K2" s="25" t="s">
        <v>41</v>
      </c>
      <c r="L2" s="25" t="s">
        <v>42</v>
      </c>
      <c r="M2" s="25" t="s">
        <v>12</v>
      </c>
      <c r="N2" s="25" t="s">
        <v>45</v>
      </c>
      <c r="O2" s="12" t="s">
        <v>46</v>
      </c>
      <c r="P2" s="25" t="s">
        <v>16</v>
      </c>
      <c r="Q2" s="35" t="s">
        <v>9</v>
      </c>
      <c r="R2" s="36" t="s">
        <v>48</v>
      </c>
      <c r="S2" s="28" t="s">
        <v>50</v>
      </c>
      <c r="T2" s="12" t="s">
        <v>17</v>
      </c>
      <c r="U2" s="12" t="s">
        <v>19</v>
      </c>
      <c r="V2" s="12" t="s">
        <v>20</v>
      </c>
      <c r="W2" s="12" t="s">
        <v>21</v>
      </c>
      <c r="X2" s="25" t="s">
        <v>22</v>
      </c>
      <c r="Y2" s="41" t="s">
        <v>56</v>
      </c>
      <c r="Z2" s="12" t="s">
        <v>57</v>
      </c>
      <c r="AA2" s="12" t="s">
        <v>58</v>
      </c>
      <c r="AB2" s="25" t="s">
        <v>60</v>
      </c>
      <c r="AC2" s="38" t="s">
        <v>62</v>
      </c>
      <c r="AD2" s="38" t="s">
        <v>63</v>
      </c>
      <c r="AE2" s="38" t="s">
        <v>64</v>
      </c>
      <c r="AF2" s="38" t="s">
        <v>75</v>
      </c>
      <c r="AG2" s="38" t="s">
        <v>76</v>
      </c>
      <c r="AH2" s="38" t="s">
        <v>78</v>
      </c>
      <c r="AI2" s="38" t="s">
        <v>79</v>
      </c>
      <c r="AJ2" s="38" t="s">
        <v>81</v>
      </c>
      <c r="AK2" s="38" t="s">
        <v>82</v>
      </c>
      <c r="AL2" s="38" t="s">
        <v>84</v>
      </c>
      <c r="AM2" s="38" t="s">
        <v>85</v>
      </c>
      <c r="AN2" s="38" t="s">
        <v>87</v>
      </c>
      <c r="AO2" s="38" t="s">
        <v>88</v>
      </c>
      <c r="AP2" s="38" t="s">
        <v>90</v>
      </c>
      <c r="AQ2" s="38" t="s">
        <v>92</v>
      </c>
      <c r="AR2" s="38" t="s">
        <v>94</v>
      </c>
      <c r="AS2" s="38" t="s">
        <v>95</v>
      </c>
    </row>
    <row r="3" ht="15.75" customHeight="1">
      <c r="A3" s="42" t="s">
        <v>1853</v>
      </c>
      <c r="B3" s="43" t="s">
        <v>462</v>
      </c>
      <c r="C3" s="32">
        <v>5637768.0</v>
      </c>
      <c r="D3" s="23" t="s">
        <v>120</v>
      </c>
      <c r="E3" s="32" t="s">
        <v>199</v>
      </c>
      <c r="F3" s="23" t="s">
        <v>332</v>
      </c>
      <c r="G3" s="47" t="str">
        <f t="shared" ref="G3:G5" si="1">IFS($AF$3:$AF$935&lt;=500000,"Breno",$AF$3:$AF$935&lt;=20000000,"Bruno",$AF$3:$AF$935="","")</f>
        <v>Breno</v>
      </c>
      <c r="H3" s="49" t="s">
        <v>183</v>
      </c>
      <c r="I3" s="49" t="s">
        <v>66</v>
      </c>
      <c r="J3" s="63" t="str">
        <f t="shared" ref="J3:J5" si="2">IF(Q3=0,"Não","Sim")</f>
        <v>Sim</v>
      </c>
      <c r="K3" s="54">
        <v>45792.0</v>
      </c>
      <c r="L3" s="55"/>
      <c r="M3" s="32" t="s">
        <v>136</v>
      </c>
      <c r="N3" s="56">
        <v>0.008</v>
      </c>
      <c r="O3" s="23" t="s">
        <v>66</v>
      </c>
      <c r="P3" s="57">
        <v>0.0</v>
      </c>
      <c r="Q3" s="58" t="s">
        <v>1857</v>
      </c>
      <c r="R3" s="58"/>
      <c r="S3" s="32" t="s">
        <v>194</v>
      </c>
      <c r="T3" s="32" t="s">
        <v>472</v>
      </c>
      <c r="U3" s="32"/>
      <c r="V3" s="32"/>
      <c r="W3" s="32"/>
      <c r="X3" s="23" t="s">
        <v>475</v>
      </c>
      <c r="Y3" s="32" t="str">
        <f t="shared" ref="Y3:Y5" si="3">IFS(H:H="Encerrado","Encerrado",SUM(AF3:AV3)&lt;=0,"Inativo",SUM(AF3:AV3)&gt;0,"Ativo")</f>
        <v>Ativo</v>
      </c>
      <c r="Z3" s="62"/>
      <c r="AA3" s="32" t="s">
        <v>47</v>
      </c>
      <c r="AB3" s="64"/>
      <c r="AC3" s="65"/>
      <c r="AD3" s="101"/>
      <c r="AE3" s="339"/>
      <c r="AF3" s="340">
        <v>107859.35</v>
      </c>
      <c r="AG3" s="340">
        <v>110396.14</v>
      </c>
      <c r="AH3" s="340">
        <v>111483.66</v>
      </c>
      <c r="AI3" s="340">
        <v>108075.3</v>
      </c>
      <c r="AJ3" s="340">
        <v>108551.75</v>
      </c>
      <c r="AK3" s="340">
        <v>105871.01</v>
      </c>
      <c r="AL3" s="340">
        <v>103980.62</v>
      </c>
      <c r="AM3" s="340">
        <v>107228.49</v>
      </c>
      <c r="AN3" s="340">
        <v>109680.95</v>
      </c>
      <c r="AO3" s="340">
        <v>104208.05</v>
      </c>
      <c r="AP3" s="340">
        <v>98211.92</v>
      </c>
      <c r="AQ3" s="340">
        <v>104157.58</v>
      </c>
      <c r="AR3" s="340">
        <v>102473.39</v>
      </c>
      <c r="AS3" s="340">
        <v>103518.23</v>
      </c>
    </row>
    <row r="4" ht="15.75" customHeight="1">
      <c r="A4" s="42" t="s">
        <v>1853</v>
      </c>
      <c r="B4" s="43" t="s">
        <v>1063</v>
      </c>
      <c r="C4" s="32">
        <v>1.871822E7</v>
      </c>
      <c r="D4" s="23" t="s">
        <v>53</v>
      </c>
      <c r="E4" s="32" t="s">
        <v>54</v>
      </c>
      <c r="F4" s="23" t="s">
        <v>507</v>
      </c>
      <c r="G4" s="47" t="str">
        <f t="shared" si="1"/>
        <v>Breno</v>
      </c>
      <c r="H4" s="49" t="s">
        <v>183</v>
      </c>
      <c r="I4" s="49" t="s">
        <v>66</v>
      </c>
      <c r="J4" s="63" t="str">
        <f t="shared" si="2"/>
        <v>Sim</v>
      </c>
      <c r="K4" s="54">
        <v>46010.0</v>
      </c>
      <c r="L4" s="55"/>
      <c r="M4" s="32" t="s">
        <v>136</v>
      </c>
      <c r="N4" s="56">
        <v>0.015</v>
      </c>
      <c r="O4" s="23" t="s">
        <v>66</v>
      </c>
      <c r="P4" s="57">
        <v>0.0</v>
      </c>
      <c r="Q4" s="58" t="s">
        <v>231</v>
      </c>
      <c r="R4" s="58"/>
      <c r="S4" s="32" t="s">
        <v>194</v>
      </c>
      <c r="T4" s="32" t="s">
        <v>1077</v>
      </c>
      <c r="U4" s="32" t="s">
        <v>1864</v>
      </c>
      <c r="V4" s="32" t="s">
        <v>1078</v>
      </c>
      <c r="W4" s="55">
        <v>34523.0</v>
      </c>
      <c r="X4" s="23" t="s">
        <v>54</v>
      </c>
      <c r="Y4" s="32" t="str">
        <f t="shared" si="3"/>
        <v>Ativo</v>
      </c>
      <c r="Z4" s="62"/>
      <c r="AA4" s="32" t="s">
        <v>47</v>
      </c>
      <c r="AB4" s="64"/>
      <c r="AC4" s="65"/>
      <c r="AD4" s="101"/>
      <c r="AE4" s="348"/>
      <c r="AF4" s="340"/>
      <c r="AG4" s="340"/>
      <c r="AH4" s="340"/>
      <c r="AI4" s="340"/>
      <c r="AJ4" s="340"/>
      <c r="AK4" s="340"/>
      <c r="AL4" s="340"/>
      <c r="AM4" s="340">
        <v>21286.4</v>
      </c>
      <c r="AN4" s="340">
        <v>21491.12</v>
      </c>
      <c r="AO4" s="340">
        <v>20971.24</v>
      </c>
      <c r="AP4" s="340">
        <v>20218.15</v>
      </c>
      <c r="AQ4" s="340">
        <v>21536.4</v>
      </c>
      <c r="AR4" s="340">
        <v>21968.8</v>
      </c>
      <c r="AS4" s="340">
        <v>21576.89</v>
      </c>
    </row>
    <row r="5" ht="15.75" customHeight="1">
      <c r="A5" s="42" t="s">
        <v>1853</v>
      </c>
      <c r="B5" s="43" t="s">
        <v>1773</v>
      </c>
      <c r="C5" s="32">
        <v>1.8718124E7</v>
      </c>
      <c r="D5" s="23" t="s">
        <v>53</v>
      </c>
      <c r="E5" s="32" t="s">
        <v>54</v>
      </c>
      <c r="F5" s="23" t="s">
        <v>507</v>
      </c>
      <c r="G5" s="47" t="str">
        <f t="shared" si="1"/>
        <v>Breno</v>
      </c>
      <c r="H5" s="49" t="s">
        <v>183</v>
      </c>
      <c r="I5" s="49" t="s">
        <v>66</v>
      </c>
      <c r="J5" s="63" t="str">
        <f t="shared" si="2"/>
        <v>Sim</v>
      </c>
      <c r="K5" s="54">
        <v>46010.0</v>
      </c>
      <c r="L5" s="55"/>
      <c r="M5" s="32" t="s">
        <v>136</v>
      </c>
      <c r="N5" s="56">
        <v>0.015</v>
      </c>
      <c r="O5" s="23" t="s">
        <v>66</v>
      </c>
      <c r="P5" s="57">
        <v>0.0</v>
      </c>
      <c r="Q5" s="58" t="s">
        <v>231</v>
      </c>
      <c r="R5" s="58"/>
      <c r="S5" s="32" t="s">
        <v>194</v>
      </c>
      <c r="T5" s="32" t="s">
        <v>1776</v>
      </c>
      <c r="U5" s="32" t="s">
        <v>1865</v>
      </c>
      <c r="V5" s="32" t="s">
        <v>1778</v>
      </c>
      <c r="W5" s="55">
        <v>33089.0</v>
      </c>
      <c r="X5" s="23" t="s">
        <v>54</v>
      </c>
      <c r="Y5" s="32" t="str">
        <f t="shared" si="3"/>
        <v>Ativo</v>
      </c>
      <c r="Z5" s="62"/>
      <c r="AA5" s="32" t="s">
        <v>47</v>
      </c>
      <c r="AB5" s="64"/>
      <c r="AC5" s="65"/>
      <c r="AD5" s="101"/>
      <c r="AE5" s="348"/>
      <c r="AF5" s="340"/>
      <c r="AG5" s="340"/>
      <c r="AH5" s="340"/>
      <c r="AI5" s="340"/>
      <c r="AJ5" s="340"/>
      <c r="AK5" s="340"/>
      <c r="AL5" s="340"/>
      <c r="AM5" s="340">
        <v>7465.51</v>
      </c>
      <c r="AN5" s="340">
        <v>7536.43</v>
      </c>
      <c r="AO5" s="340">
        <v>7355.09</v>
      </c>
      <c r="AP5" s="340">
        <v>7091.91</v>
      </c>
      <c r="AQ5" s="340">
        <v>7546.73</v>
      </c>
      <c r="AR5" s="340">
        <v>7697.46</v>
      </c>
      <c r="AS5" s="340">
        <v>7736.27</v>
      </c>
    </row>
    <row r="6" ht="15.75" customHeight="1">
      <c r="A6" s="320"/>
      <c r="B6" s="320"/>
      <c r="C6" s="321"/>
      <c r="D6" s="256"/>
      <c r="E6" s="256"/>
      <c r="F6" s="254"/>
      <c r="G6" s="357"/>
      <c r="H6" s="253"/>
      <c r="I6" s="323"/>
      <c r="J6" s="253"/>
      <c r="K6" s="324"/>
      <c r="L6" s="324"/>
      <c r="M6" s="254"/>
      <c r="N6" s="273"/>
      <c r="O6" s="273"/>
      <c r="P6" s="325"/>
      <c r="Q6" s="274"/>
      <c r="R6" s="274"/>
      <c r="S6" s="254"/>
      <c r="T6" s="254"/>
      <c r="U6" s="254"/>
      <c r="V6" s="254"/>
      <c r="W6" s="254"/>
      <c r="X6" s="254"/>
      <c r="Y6" s="254"/>
      <c r="Z6" s="324"/>
      <c r="AA6" s="324"/>
      <c r="AB6" s="324"/>
      <c r="AC6" s="327"/>
      <c r="AD6" s="327"/>
      <c r="AE6" s="327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</row>
    <row r="7" ht="15.75" customHeight="1">
      <c r="A7" s="320"/>
      <c r="B7" s="320"/>
      <c r="C7" s="321"/>
      <c r="D7" s="256"/>
      <c r="E7" s="256"/>
      <c r="F7" s="254"/>
      <c r="G7" s="254"/>
      <c r="H7" s="253"/>
      <c r="I7" s="323"/>
      <c r="J7" s="253"/>
      <c r="K7" s="324"/>
      <c r="L7" s="324"/>
      <c r="M7" s="254"/>
      <c r="N7" s="273"/>
      <c r="O7" s="273"/>
      <c r="P7" s="325"/>
      <c r="Q7" s="274"/>
      <c r="R7" s="274"/>
      <c r="S7" s="254"/>
      <c r="T7" s="254"/>
      <c r="U7" s="254"/>
      <c r="V7" s="254"/>
      <c r="W7" s="254"/>
      <c r="X7" s="254"/>
      <c r="Y7" s="254"/>
      <c r="Z7" s="324"/>
      <c r="AA7" s="324"/>
      <c r="AB7" s="324"/>
      <c r="AC7" s="327"/>
      <c r="AD7" s="327"/>
      <c r="AE7" s="327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</row>
    <row r="8" ht="15.75" customHeight="1">
      <c r="A8" s="333"/>
      <c r="B8" s="334" t="s">
        <v>1353</v>
      </c>
      <c r="C8" s="335">
        <f>COUNTIF(H:H,"Ativo")</f>
        <v>3</v>
      </c>
      <c r="D8" s="336"/>
      <c r="E8" s="254"/>
      <c r="F8" s="254"/>
      <c r="G8" s="254"/>
      <c r="H8" s="254"/>
      <c r="I8" s="255"/>
      <c r="J8" s="254"/>
      <c r="K8" s="324"/>
      <c r="L8" s="324"/>
      <c r="M8" s="254"/>
      <c r="N8" s="273"/>
      <c r="O8" s="273"/>
      <c r="P8" s="325"/>
      <c r="Q8" s="274"/>
      <c r="R8" s="274"/>
      <c r="S8" s="254"/>
      <c r="T8" s="336"/>
      <c r="U8" s="336"/>
      <c r="V8" s="336"/>
      <c r="W8" s="336"/>
      <c r="X8" s="336"/>
      <c r="Y8" s="254"/>
      <c r="Z8" s="324"/>
      <c r="AA8" s="324"/>
      <c r="AB8" s="324"/>
      <c r="AC8" s="327"/>
      <c r="AD8" s="327"/>
      <c r="AE8" s="327"/>
      <c r="AF8" s="358">
        <f t="shared" ref="AF8:AS8" si="4">SUM(AF3:AF7)</f>
        <v>107859.35</v>
      </c>
      <c r="AG8" s="358">
        <f t="shared" si="4"/>
        <v>110396.14</v>
      </c>
      <c r="AH8" s="358">
        <f t="shared" si="4"/>
        <v>111483.66</v>
      </c>
      <c r="AI8" s="358">
        <f t="shared" si="4"/>
        <v>108075.3</v>
      </c>
      <c r="AJ8" s="358">
        <f t="shared" si="4"/>
        <v>108551.75</v>
      </c>
      <c r="AK8" s="358">
        <f t="shared" si="4"/>
        <v>105871.01</v>
      </c>
      <c r="AL8" s="358">
        <f t="shared" si="4"/>
        <v>103980.62</v>
      </c>
      <c r="AM8" s="358">
        <f t="shared" si="4"/>
        <v>135980.4</v>
      </c>
      <c r="AN8" s="358">
        <f t="shared" si="4"/>
        <v>138708.5</v>
      </c>
      <c r="AO8" s="358">
        <f t="shared" si="4"/>
        <v>132534.38</v>
      </c>
      <c r="AP8" s="358">
        <f t="shared" si="4"/>
        <v>125521.98</v>
      </c>
      <c r="AQ8" s="358">
        <f t="shared" si="4"/>
        <v>133240.71</v>
      </c>
      <c r="AR8" s="358">
        <f t="shared" si="4"/>
        <v>132139.65</v>
      </c>
      <c r="AS8" s="358">
        <f t="shared" si="4"/>
        <v>132831.39</v>
      </c>
    </row>
    <row r="9" ht="15.75" customHeight="1">
      <c r="A9" s="338"/>
      <c r="B9" s="271" t="s">
        <v>1370</v>
      </c>
      <c r="C9" s="341">
        <f>COUNTIF(H:H,"Inativo")</f>
        <v>0</v>
      </c>
      <c r="D9" s="336"/>
      <c r="E9" s="342"/>
      <c r="F9" s="253"/>
      <c r="G9" s="253"/>
      <c r="H9" s="256"/>
      <c r="I9" s="259"/>
      <c r="J9" s="256"/>
      <c r="K9" s="343"/>
      <c r="L9" s="344"/>
      <c r="M9" s="256"/>
      <c r="N9" s="273"/>
      <c r="O9" s="273"/>
      <c r="P9" s="325"/>
      <c r="Q9" s="274"/>
      <c r="R9" s="274"/>
      <c r="S9" s="254"/>
      <c r="T9" s="336"/>
      <c r="U9" s="336"/>
      <c r="V9" s="336"/>
      <c r="W9" s="336"/>
      <c r="X9" s="336"/>
      <c r="Y9" s="254"/>
      <c r="Z9" s="344"/>
      <c r="AA9" s="344"/>
      <c r="AB9" s="344"/>
      <c r="AC9" s="327"/>
      <c r="AD9" s="327"/>
      <c r="AE9" s="327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01"/>
      <c r="AR9" s="301"/>
      <c r="AS9" s="301"/>
    </row>
    <row r="10" ht="15.75" customHeight="1">
      <c r="A10" s="338"/>
      <c r="B10" s="271" t="s">
        <v>1407</v>
      </c>
      <c r="C10" s="341">
        <f>COUNTIF(H:H,"Encerrado")</f>
        <v>0</v>
      </c>
      <c r="D10" s="336"/>
      <c r="E10" s="342"/>
      <c r="F10" s="253"/>
      <c r="G10" s="253"/>
      <c r="H10" s="256"/>
      <c r="I10" s="259"/>
      <c r="J10" s="256"/>
      <c r="K10" s="343"/>
      <c r="L10" s="344"/>
      <c r="M10" s="256"/>
      <c r="N10" s="273"/>
      <c r="O10" s="273"/>
      <c r="P10" s="325"/>
      <c r="Q10" s="274"/>
      <c r="R10" s="274"/>
      <c r="S10" s="254"/>
      <c r="T10" s="336"/>
      <c r="U10" s="336"/>
      <c r="V10" s="336"/>
      <c r="W10" s="336"/>
      <c r="X10" s="336"/>
      <c r="Y10" s="254"/>
      <c r="Z10" s="344"/>
      <c r="AA10" s="344"/>
      <c r="AB10" s="344"/>
      <c r="AC10" s="327"/>
      <c r="AD10" s="327"/>
      <c r="AE10" s="327"/>
      <c r="AF10" s="301"/>
      <c r="AG10" s="301"/>
      <c r="AH10" s="301"/>
      <c r="AI10" s="301"/>
      <c r="AJ10" s="301"/>
      <c r="AK10" s="301"/>
      <c r="AL10" s="301"/>
      <c r="AM10" s="301"/>
      <c r="AN10" s="301"/>
      <c r="AO10" s="301"/>
      <c r="AP10" s="301"/>
      <c r="AQ10" s="301"/>
      <c r="AR10" s="301"/>
      <c r="AS10" s="301"/>
    </row>
    <row r="11" ht="15.75" customHeight="1">
      <c r="A11" s="349"/>
      <c r="B11" s="278" t="s">
        <v>1426</v>
      </c>
      <c r="C11" s="350">
        <f>COUNTIF(H:H,"Pode Operar")</f>
        <v>0</v>
      </c>
      <c r="D11" s="336"/>
      <c r="E11" s="342"/>
      <c r="F11" s="253"/>
      <c r="G11" s="253"/>
      <c r="H11" s="256"/>
      <c r="I11" s="259"/>
      <c r="J11" s="256"/>
      <c r="K11" s="343"/>
      <c r="L11" s="344"/>
      <c r="M11" s="256"/>
      <c r="N11" s="273"/>
      <c r="O11" s="273"/>
      <c r="P11" s="325"/>
      <c r="Q11" s="274"/>
      <c r="R11" s="274"/>
      <c r="S11" s="254"/>
      <c r="T11" s="336"/>
      <c r="U11" s="336"/>
      <c r="V11" s="336"/>
      <c r="W11" s="336"/>
      <c r="X11" s="336"/>
      <c r="Y11" s="254"/>
      <c r="Z11" s="344"/>
      <c r="AA11" s="344"/>
      <c r="AB11" s="344"/>
      <c r="AC11" s="327"/>
      <c r="AD11" s="327"/>
      <c r="AE11" s="327"/>
      <c r="AF11" s="301"/>
      <c r="AG11" s="301"/>
      <c r="AH11" s="301"/>
      <c r="AI11" s="301"/>
      <c r="AJ11" s="301"/>
      <c r="AK11" s="301"/>
      <c r="AL11" s="301"/>
      <c r="AM11" s="301"/>
      <c r="AN11" s="301"/>
      <c r="AO11" s="301"/>
      <c r="AP11" s="301"/>
      <c r="AQ11" s="301"/>
      <c r="AR11" s="301"/>
      <c r="AS11" s="301"/>
    </row>
    <row r="12" ht="15.75" customHeight="1">
      <c r="A12" s="351"/>
      <c r="B12" s="351"/>
      <c r="C12" s="352"/>
      <c r="D12" s="342"/>
      <c r="E12" s="342"/>
      <c r="F12" s="353"/>
      <c r="G12" s="353"/>
      <c r="H12" s="256"/>
      <c r="I12" s="259"/>
      <c r="J12" s="256"/>
      <c r="K12" s="343"/>
      <c r="L12" s="324"/>
      <c r="M12" s="254"/>
      <c r="N12" s="273"/>
      <c r="O12" s="273"/>
      <c r="P12" s="325"/>
      <c r="Q12" s="274"/>
      <c r="R12" s="274"/>
      <c r="S12" s="254"/>
      <c r="T12" s="356"/>
      <c r="U12" s="356"/>
      <c r="V12" s="356"/>
      <c r="W12" s="356"/>
      <c r="X12" s="254"/>
      <c r="Y12" s="254"/>
      <c r="Z12" s="324"/>
      <c r="AA12" s="324"/>
      <c r="AB12" s="324"/>
      <c r="AC12" s="327"/>
      <c r="AD12" s="327"/>
      <c r="AE12" s="327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</row>
    <row r="13" ht="15.75" customHeight="1">
      <c r="A13" s="351"/>
      <c r="B13" s="351"/>
      <c r="C13" s="352"/>
      <c r="D13" s="342"/>
      <c r="E13" s="342"/>
      <c r="F13" s="353"/>
      <c r="G13" s="353"/>
      <c r="H13" s="256"/>
      <c r="I13" s="259"/>
      <c r="J13" s="256"/>
      <c r="K13" s="343"/>
      <c r="L13" s="324"/>
      <c r="M13" s="254"/>
      <c r="N13" s="273"/>
      <c r="O13" s="273"/>
      <c r="P13" s="325"/>
      <c r="Q13" s="274"/>
      <c r="R13" s="274"/>
      <c r="S13" s="254"/>
      <c r="T13" s="356"/>
      <c r="U13" s="356"/>
      <c r="V13" s="356"/>
      <c r="W13" s="356"/>
      <c r="X13" s="254"/>
      <c r="Y13" s="254"/>
      <c r="Z13" s="324"/>
      <c r="AA13" s="324"/>
      <c r="AB13" s="324"/>
      <c r="AC13" s="327"/>
      <c r="AD13" s="327"/>
      <c r="AE13" s="327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</row>
    <row r="14" ht="15.75" customHeight="1">
      <c r="A14" s="351"/>
      <c r="B14" s="351"/>
      <c r="C14" s="352"/>
      <c r="D14" s="342"/>
      <c r="E14" s="342"/>
      <c r="F14" s="353"/>
      <c r="G14" s="353"/>
      <c r="H14" s="256"/>
      <c r="I14" s="259"/>
      <c r="J14" s="256"/>
      <c r="K14" s="343"/>
      <c r="L14" s="324"/>
      <c r="M14" s="254"/>
      <c r="N14" s="273"/>
      <c r="O14" s="273"/>
      <c r="P14" s="325"/>
      <c r="Q14" s="274"/>
      <c r="R14" s="274"/>
      <c r="S14" s="254"/>
      <c r="T14" s="356"/>
      <c r="U14" s="356"/>
      <c r="V14" s="356"/>
      <c r="W14" s="356"/>
      <c r="X14" s="254"/>
      <c r="Y14" s="254"/>
      <c r="Z14" s="324"/>
      <c r="AA14" s="324"/>
      <c r="AB14" s="324"/>
      <c r="AC14" s="327"/>
      <c r="AD14" s="327"/>
      <c r="AE14" s="327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</row>
    <row r="15" ht="15.75" customHeight="1">
      <c r="A15" s="351"/>
      <c r="B15" s="351"/>
      <c r="C15" s="352"/>
      <c r="D15" s="342"/>
      <c r="E15" s="342"/>
      <c r="F15" s="353"/>
      <c r="G15" s="353"/>
      <c r="H15" s="256"/>
      <c r="I15" s="259"/>
      <c r="J15" s="256"/>
      <c r="K15" s="343"/>
      <c r="L15" s="324"/>
      <c r="M15" s="254"/>
      <c r="N15" s="273"/>
      <c r="O15" s="273"/>
      <c r="P15" s="325"/>
      <c r="Q15" s="274"/>
      <c r="R15" s="274"/>
      <c r="S15" s="254"/>
      <c r="T15" s="356"/>
      <c r="U15" s="356"/>
      <c r="V15" s="356"/>
      <c r="W15" s="356"/>
      <c r="X15" s="254"/>
      <c r="Y15" s="254"/>
      <c r="Z15" s="324"/>
      <c r="AA15" s="324"/>
      <c r="AB15" s="324"/>
      <c r="AC15" s="327"/>
      <c r="AD15" s="327"/>
      <c r="AE15" s="327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</row>
  </sheetData>
  <customSheetViews>
    <customSheetView guid="{0635E86D-97FE-4BEF-B100-0431664E8011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B9CAED52-F68F-46DC-BC9D-365E252014AF}" filter="1" showAutoFilter="1">
      <autoFilter ref="$F$2:$M$12"/>
    </customSheetView>
    <customSheetView guid="{68DA9D9B-2BB9-4E03-B61D-259411CE2611}" filter="1" showAutoFilter="1">
      <autoFilter ref="$A$1:$AE$7">
        <filterColumn colId="12">
          <filters blank="1">
            <filter val="Carteira"/>
            <filter val="INT"/>
          </filters>
        </filterColumn>
        <filterColumn colId="6">
          <filters/>
        </filterColumn>
      </autoFilter>
    </customSheetView>
    <customSheetView guid="{53A3823D-765D-4290-A114-7121374C6831}" filter="1" showAutoFilter="1">
      <autoFilter ref="$A$1:$AE$6"/>
    </customSheetView>
    <customSheetView guid="{0C67F5DA-14A5-47C5-91B5-988FF202FC69}" filter="1" showAutoFilter="1">
      <autoFilter ref="$D$2:$K$12">
        <filterColumn colId="7">
          <filters>
            <filter val="15/05/2025"/>
            <filter val="19/12/2025"/>
          </filters>
        </filterColumn>
      </autoFilter>
    </customSheetView>
    <customSheetView guid="{69A2FE61-06A8-43F0-9BB6-CA53305A03F9}" filter="1" showAutoFilter="1">
      <autoFilter ref="$A$1:$AE$6"/>
    </customSheetView>
    <customSheetView guid="{F2EF48BC-2DE2-4EAE-9B39-DF0524B366C9}" filter="1" showAutoFilter="1">
      <autoFilter ref="$B$2:$AE$7"/>
    </customSheetView>
    <customSheetView guid="{4E06399B-CA7D-4E4D-A17E-E4B9B1AF63C4}" filter="1" showAutoFilter="1">
      <autoFilter ref="$B$2:$AE$7"/>
    </customSheetView>
    <customSheetView guid="{2F696A84-E0A2-4357-AFCA-01998AF33B79}" filter="1" showAutoFilter="1">
      <autoFilter ref="$B$2:$AE$7"/>
    </customSheetView>
    <customSheetView guid="{428C49DB-A299-4126-9E22-27159D3140B5}" filter="1" showAutoFilter="1">
      <autoFilter ref="$A$2:$AE$6">
        <filterColumn colId="24">
          <filters blank="1">
            <filter val="Ativo"/>
          </filters>
        </filterColumn>
      </autoFilter>
    </customSheetView>
    <customSheetView guid="{D383AB68-0115-4D3B-B6BE-207AECE317EE}" filter="1" showAutoFilter="1">
      <autoFilter ref="$A$1:$AE$6">
        <filterColumn colId="8">
          <filters/>
        </filterColumn>
      </autoFilter>
    </customSheetView>
    <customSheetView guid="{CAA79F67-A6A3-4ED0-A1B0-0DAAC59C98FC}" filter="1" showAutoFilter="1">
      <autoFilter ref="$B$2:$AE$7"/>
    </customSheetView>
    <customSheetView guid="{B7EA2B43-FFDE-4C9E-B072-96B56F96CE37}" filter="1" showAutoFilter="1">
      <autoFilter ref="$B$2:$AE$7"/>
    </customSheetView>
    <customSheetView guid="{AD03D55C-02EC-4A45-85EF-6E94354AF395}" filter="1" showAutoFilter="1">
      <autoFilter ref="$A$1:$AE$12">
        <filterColumn colId="5">
          <filters>
            <filter val="Bluemetrix Asset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EE3A4244-611E-4446-9499-9903DB4304D2}" filter="1" showAutoFilter="1">
      <autoFilter ref="$A$2:$AE$6">
        <filterColumn colId="8">
          <filters/>
        </filterColumn>
      </autoFilter>
    </customSheetView>
    <customSheetView guid="{8FF0F0BD-2ABF-4564-9B1A-9F23E317D8DE}" filter="1" showAutoFilter="1">
      <autoFilter ref="$A$2:$AE$6"/>
    </customSheetView>
    <customSheetView guid="{2BED0996-212A-43D6-A5BB-6E4636AD45BE}" filter="1" showAutoFilter="1">
      <autoFilter ref="$A$1:$AE$6">
        <filterColumn colId="24">
          <filters blank="1"/>
        </filterColumn>
      </autoFilter>
    </customSheetView>
    <customSheetView guid="{F5354E08-B6E9-4CA3-B3EA-CD773B8ADACB}" filter="1" showAutoFilter="1">
      <autoFilter ref="$A$1:$AE$12">
        <filterColumn colId="5">
          <filters>
            <filter val="Bluemetrix Asset"/>
            <filter val="André de Queiroz Coelho"/>
          </filters>
        </filterColumn>
      </autoFilter>
    </customSheetView>
    <customSheetView guid="{3AF03EB6-56CC-4410-8FFA-3735BC7F66A2}" filter="1" showAutoFilter="1">
      <autoFilter ref="$B$2:$AE$7"/>
    </customSheetView>
    <customSheetView guid="{90494278-C593-4FBA-B90B-FB914FDE88CA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2689B0F3-C848-484D-8837-E91813906F10}" filter="1" showAutoFilter="1">
      <autoFilter ref="$A$1:$AE$7">
        <filterColumn colId="7">
          <filters blank="1">
            <filter val="Status"/>
          </filters>
        </filterColumn>
        <filterColumn colId="6">
          <filters blank="1"/>
        </filterColumn>
      </autoFilter>
    </customSheetView>
    <customSheetView guid="{21B7878B-52E2-4788-B095-9054A5981802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B7695AD5-7545-4CED-8EDC-4FB5BC578C39}" filter="1" showAutoFilter="1">
      <autoFilter ref="$A$1:$AE$6">
        <filterColumn colId="5">
          <filters blank="1">
            <filter val="Bluemetrix Asset"/>
            <filter val="André de Queiroz Coelho"/>
          </filters>
        </filterColumn>
      </autoFilter>
    </customSheetView>
    <customSheetView guid="{5A18E0C5-1738-42D5-B301-46BE58627A66}" filter="1" showAutoFilter="1">
      <autoFilter ref="$A$1:$AE$6">
        <filterColumn colId="24">
          <filters blank="1"/>
        </filterColumn>
      </autoFilter>
    </customSheetView>
    <customSheetView guid="{D231C3E6-8F34-4669-BD4B-6375A5FD1A7D}" filter="1" showAutoFilter="1">
      <autoFilter ref="$B$2:$AE$12"/>
    </customSheetView>
    <customSheetView guid="{1CB918E4-DFB3-4EDB-9A6F-2EB78141C963}" filter="1" showAutoFilter="1">
      <autoFilter ref="$A$1:$AE$6">
        <filterColumn colId="7">
          <filters blank="1"/>
        </filterColumn>
        <filterColumn colId="8">
          <filters blank="1">
            <filter val="Situação"/>
          </filters>
        </filterColumn>
      </autoFilter>
    </customSheetView>
    <customSheetView guid="{B40945C9-974D-43EF-AB93-58449A090935}" filter="1" showAutoFilter="1">
      <autoFilter ref="$B$2:$AE$7"/>
    </customSheetView>
    <customSheetView guid="{03FF394B-A3CC-412E-AC3C-43FCE662566C}" filter="1" showAutoFilter="1">
      <autoFilter ref="$A$1:$AE$12"/>
    </customSheetView>
    <customSheetView guid="{8D0E9103-9A25-42C2-8CEF-4FE04634B0B7}" filter="1" showAutoFilter="1">
      <autoFilter ref="$A$1:$AE$7"/>
    </customSheetView>
    <customSheetView guid="{D9530DEF-0123-43FC-A161-4BC7736CB274}" filter="1" showAutoFilter="1">
      <autoFilter ref="$A$2:$AE$6">
        <filterColumn colId="8">
          <filters blank="1"/>
        </filterColumn>
      </autoFilter>
    </customSheetView>
    <customSheetView guid="{181C22BD-9FB8-4211-B38F-92D0B2C9BC50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4E09A950-F52E-442B-8DC3-BD654493555F}" filter="1" showAutoFilter="1">
      <autoFilter ref="$A$1:$AE$6"/>
    </customSheetView>
    <customSheetView guid="{451C6C33-BC1A-49FA-B291-60C00A458E45}" filter="1" showAutoFilter="1">
      <autoFilter ref="$D$2:$E$5">
        <filterColumn colId="1">
          <filters/>
        </filterColumn>
      </autoFilter>
    </customSheetView>
    <customSheetView guid="{E2D20005-B3FA-4B28-9FF1-464AED71BB3E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A03660A7-9D48-49DA-BC0E-ED8F769D2A1C}" filter="1" showAutoFilter="1">
      <autoFilter ref="$B$2:$AE$7"/>
    </customSheetView>
    <customSheetView guid="{7B595886-3679-4CE5-8338-C329E3005A7E}" filter="1" showAutoFilter="1">
      <autoFilter ref="$F$2:$AE$12"/>
    </customSheetView>
    <customSheetView guid="{49DFE820-1C93-4C02-A5DC-F8D6F0A2587A}" filter="1" showAutoFilter="1">
      <autoFilter ref="$A$1:$AE$6">
        <filterColumn colId="7">
          <filters blank="1"/>
        </filterColumn>
        <filterColumn colId="11">
          <filters blank="1">
            <filter val="Data distrato"/>
          </filters>
        </filterColumn>
      </autoFilter>
    </customSheetView>
    <customSheetView guid="{44DF447E-19F1-4EC8-8BEF-6D48B5598A57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BDEA0D28-6EB0-4544-8313-7877B5E9979F}" filter="1" showAutoFilter="1">
      <autoFilter ref="$B$2:$AE$7"/>
    </customSheetView>
    <customSheetView guid="{0410CE2D-75BD-465E-9E8C-279627BB2044}" filter="1" showAutoFilter="1">
      <autoFilter ref="$A$1:$AE$12">
        <filterColumn colId="7">
          <filters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3E31C90A-3057-42E9-B92F-76D1CB60C81E}" filter="1" showAutoFilter="1">
      <autoFilter ref="$A$2:$AE$6">
        <filterColumn colId="12">
          <filters blank="1">
            <filter val="INT"/>
          </filters>
        </filterColumn>
        <filterColumn colId="8">
          <filters blank="1">
            <filter val="------"/>
          </filters>
        </filterColumn>
        <filterColumn colId="7">
          <filters blank="1">
            <filter val="Ativo"/>
          </filters>
        </filterColumn>
      </autoFilter>
    </customSheetView>
    <customSheetView guid="{00E60367-C557-4A9D-ABF1-08D0B4DFDFC8}" filter="1" showAutoFilter="1">
      <autoFilter ref="$B$2:$Q$7">
        <filterColumn colId="13">
          <filters blank="1"/>
        </filterColumn>
      </autoFilter>
    </customSheetView>
    <customSheetView guid="{654A5899-80B2-4C15-A2FD-0DB5CDC13F98}" filter="1" showAutoFilter="1">
      <autoFilter ref="$B$2:$AE$12"/>
    </customSheetView>
    <customSheetView guid="{D657000B-DB7E-4866-89BA-EE41C00F8715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290A7CAD-8498-49F2-ACC3-7E165D752B61}" filter="1" showAutoFilter="1">
      <autoFilter ref="$A$1:$AE$6">
        <filterColumn colId="8">
          <filters blank="1"/>
        </filterColumn>
      </autoFilter>
    </customSheetView>
    <customSheetView guid="{9C32ABC4-642F-4A73-8F3D-FD161726996C}" filter="1" showAutoFilter="1">
      <autoFilter ref="$A$1:$AE$6">
        <filterColumn colId="5">
          <filters blank="1">
            <filter val="Bluemetrix Asset"/>
            <filter val="André de Queiroz Coelho"/>
          </filters>
        </filterColumn>
      </autoFilter>
    </customSheetView>
    <customSheetView guid="{281EB145-47F3-4262-92E2-5389E42992B6}" filter="1" showAutoFilter="1">
      <autoFilter ref="$A$1:$AE$6">
        <filterColumn colId="7">
          <filters blank="1"/>
        </filterColumn>
      </autoFilter>
    </customSheetView>
    <customSheetView guid="{876BADF1-FCFF-4C45-A0CD-C6DF3171442D}" filter="1" showAutoFilter="1">
      <autoFilter ref="$B$2:$AE$7"/>
    </customSheetView>
    <customSheetView guid="{CF50F9BD-DAED-4762-A970-27959259F675}" filter="1" showAutoFilter="1">
      <autoFilter ref="$A$1:$AE$6">
        <filterColumn colId="7">
          <filters blank="1"/>
        </filterColumn>
        <filterColumn colId="8">
          <filters blank="1">
            <filter val="------"/>
            <filter val="Situação"/>
          </filters>
        </filterColumn>
      </autoFilter>
    </customSheetView>
    <customSheetView guid="{3222D8C9-292D-42A9-9FB9-C02C74427E3B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B2B469ED-065E-487B-B6B9-536EFFBE72EB}" filter="1" showAutoFilter="1">
      <autoFilter ref="$A$2:$AE$7"/>
    </customSheetView>
    <customSheetView guid="{CCB54C7E-993A-4B2D-ACB8-60B4B8B158D0}" filter="1" showAutoFilter="1">
      <autoFilter ref="$A$2:$AE$6">
        <filterColumn colId="8">
          <filters blank="1"/>
        </filterColumn>
      </autoFilter>
    </customSheetView>
    <customSheetView guid="{6584D975-877B-45B6-93A9-51B70EB0018E}" filter="1" showAutoFilter="1">
      <autoFilter ref="$A$1:$AE$7">
        <filterColumn colId="5">
          <filters blank="1">
            <filter val="Bluemetrix Asset"/>
            <filter val="André de Queiroz Coelho"/>
          </filters>
        </filterColumn>
      </autoFilter>
    </customSheetView>
    <customSheetView guid="{89658390-5C37-4C7E-86DD-F1980A0E7F1E}" filter="1" showAutoFilter="1">
      <autoFilter ref="$A$2:$AE$6">
        <filterColumn colId="10">
          <filters blank="1">
            <filter val="15/05/2025"/>
            <filter val="19/12/2025"/>
          </filters>
        </filterColumn>
        <filterColumn colId="7">
          <filters blank="1"/>
        </filterColumn>
      </autoFilter>
    </customSheetView>
    <customSheetView guid="{98958A95-4992-40C8-8E85-ED54A4B5623A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7811813C-14A1-4A80-B350-9619658DA978}" filter="1" showAutoFilter="1">
      <autoFilter ref="$A$1:$AE$7">
        <filterColumn colId="7">
          <filters blank="1"/>
        </filterColumn>
        <filterColumn colId="8">
          <filters blank="1">
            <filter val="------"/>
            <filter val="Situaçã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065E01C9-57BE-450A-9C4A-C82F63BD101C}" filter="1" showAutoFilter="1">
      <autoFilter ref="$A$1:$AE$6">
        <filterColumn colId="17">
          <filters/>
        </filterColumn>
      </autoFilter>
    </customSheetView>
    <customSheetView guid="{9D3DEFCC-A924-4E8D-9CE6-778E89A63856}" filter="1" showAutoFilter="1">
      <autoFilter ref="$A$1:$F$5"/>
    </customSheetView>
    <customSheetView guid="{AC58E428-8995-4215-A75A-AD2C96080690}" filter="1" showAutoFilter="1">
      <autoFilter ref="$H$1:$I$5">
        <filterColumn colId="0">
          <filters>
            <filter val="Status"/>
            <filter val="Ativo"/>
          </filters>
        </filterColumn>
        <filterColumn colId="1">
          <filters>
            <filter val="------"/>
            <filter val="Situação"/>
          </filters>
        </filterColumn>
      </autoFilter>
    </customSheetView>
    <customSheetView guid="{1E1E7651-8A79-4640-8C04-6985941B1A23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FFF8B650-CBF3-4052-87D6-A8C0A82089E5}" filter="1" showAutoFilter="1">
      <autoFilter ref="$A$2:$AE$6">
        <filterColumn colId="7">
          <filters blank="1"/>
        </filterColumn>
      </autoFilter>
    </customSheetView>
    <customSheetView guid="{E9BF6AF0-BC32-4F88-8BD2-3FA7A1B4D5AB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F6C2467A-F0F2-4A7D-B977-32245C4F1613}" filter="1" showAutoFilter="1">
      <autoFilter ref="$A$1:$AE$6"/>
    </customSheetView>
    <customSheetView guid="{F74C4763-B110-4317-BA48-93E15369D235}" filter="1" showAutoFilter="1">
      <autoFilter ref="$Q$2:$Q$12">
        <filterColumn colId="0">
          <filters>
            <filter val="35K Dol em D+0"/>
            <filter val="EQT"/>
          </filters>
        </filterColumn>
      </autoFilter>
    </customSheetView>
    <customSheetView guid="{0395DF53-412F-4E58-A92E-3DC69A727BB5}" filter="1" showAutoFilter="1">
      <autoFilter ref="$A$1:$AF$7"/>
    </customSheetView>
    <customSheetView guid="{CFC6ADAB-EA49-4F10-AB39-1F497DAF85D3}" filter="1" showAutoFilter="1">
      <autoFilter ref="$F$2:$F$12"/>
    </customSheetView>
    <customSheetView guid="{80EACFF0-21DA-499B-A807-CBB674849A80}" filter="1" showAutoFilter="1">
      <autoFilter ref="$A$1:$AE$6"/>
    </customSheetView>
    <customSheetView guid="{F54AB606-0A02-4CDB-B6E2-C5D4DD633C39}" filter="1" showAutoFilter="1">
      <autoFilter ref="$M$2:$M$12">
        <filterColumn colId="0">
          <filters>
            <filter val="INT"/>
          </filters>
        </filterColumn>
      </autoFilter>
    </customSheetView>
    <customSheetView guid="{0E8B470D-7ADE-40FE-B97D-D07FC82360BD}" filter="1" showAutoFilter="1">
      <autoFilter ref="$A$2:$AE$6">
        <filterColumn colId="10">
          <filters blank="1">
            <filter val="15/05/2025"/>
            <filter val="19/12/2025"/>
          </filters>
        </filterColumn>
      </autoFilter>
    </customSheetView>
    <customSheetView guid="{23BBB91E-E8AC-4A5C-A03A-F7CA7D1A1FA0}" filter="1" showAutoFilter="1">
      <autoFilter ref="$A$1:$AE$12">
        <filterColumn colId="5">
          <filters>
            <filter val="Bluemetrix Asset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CA9CE70D-C062-42B7-A5AF-9E10E753649D}" filter="1" showAutoFilter="1">
      <autoFilter ref="$A$1:$AE$7">
        <filterColumn colId="7">
          <filters blank="1">
            <filter val="Status"/>
          </filters>
        </filterColumn>
        <filterColumn colId="6">
          <filters blank="1">
            <filter val="Breno"/>
          </filters>
        </filterColumn>
      </autoFilter>
    </customSheetView>
    <customSheetView guid="{1FC13B34-835E-47A1-85A4-01FE60642626}" filter="1" showAutoFilter="1">
      <autoFilter ref="$A$1:$AE$6">
        <filterColumn colId="24">
          <filters blank="1"/>
        </filterColumn>
      </autoFilter>
    </customSheetView>
    <customSheetView guid="{298F1453-B650-4D68-9A4F-A9E86BD56A4D}" filter="1" showAutoFilter="1">
      <autoFilter ref="$A$2:$AE$6">
        <filterColumn colId="8">
          <filters blank="1"/>
        </filterColumn>
        <filterColumn colId="7">
          <filters blank="1">
            <filter val="Ativo"/>
          </filters>
        </filterColumn>
      </autoFilter>
    </customSheetView>
    <customSheetView guid="{171F7247-BE81-48D0-A26A-F63427616EBA}" filter="1" showAutoFilter="1">
      <autoFilter ref="$A$1:$AE$6">
        <filterColumn colId="24">
          <filters blank="1"/>
        </filterColumn>
      </autoFilter>
    </customSheetView>
    <customSheetView guid="{2351D5E5-F8AC-4E80-BACB-97F4DC969D91}" filter="1" showAutoFilter="1">
      <autoFilter ref="$A$1:$AE$6">
        <filterColumn colId="5">
          <filters blank="1">
            <filter val="Bluemetrix Asset"/>
            <filter val="André de Queiroz Coelho"/>
          </filters>
        </filterColumn>
      </autoFilter>
    </customSheetView>
    <customSheetView guid="{1B07E80D-FBB4-4384-987D-9AD626C1FAAA}" filter="1" showAutoFilter="1">
      <autoFilter ref="$A$1:$AE$6"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DB8907F8-5CF4-4338-A86D-37428C1ED7D2}" filter="1" showAutoFilter="1">
      <autoFilter ref="$A$1:$AE$6"/>
    </customSheetView>
    <customSheetView guid="{E9EF4B04-EC2E-4866-A0D6-B498EEFB67F1}" filter="1" showAutoFilter="1">
      <autoFilter ref="$E$2:$F$12"/>
    </customSheetView>
    <customSheetView guid="{CB45C91D-37D9-452E-AFFE-508EB217137F}" filter="1" showAutoFilter="1">
      <autoFilter ref="$F$2:$F$12"/>
    </customSheetView>
    <customSheetView guid="{782C1766-D366-4791-A229-466454E378AF}" filter="1" showAutoFilter="1">
      <autoFilter ref="$A$1:$AE$6">
        <filterColumn colId="4">
          <filters blank="1">
            <filter val="DF"/>
          </filters>
        </filterColumn>
      </autoFilter>
    </customSheetView>
    <customSheetView guid="{97ED08F8-0902-4DF2-B169-6E35A244D709}" filter="1" showAutoFilter="1">
      <autoFilter ref="$B$2:$AE$7"/>
    </customSheetView>
    <customSheetView guid="{7228C4C0-6366-410B-999F-F4ED1D860199}" filter="1" showAutoFilter="1">
      <autoFilter ref="$F$2:$F$12"/>
    </customSheetView>
    <customSheetView guid="{C62C338D-6DD7-4E1D-BD83-DBDE22838042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98849F6F-DF55-434F-8EC1-0BF9B8DC5EE7}" filter="1" showAutoFilter="1">
      <autoFilter ref="$D$2:$F$12"/>
    </customSheetView>
    <customSheetView guid="{A214FC91-2926-4021-8CFF-EA2F61021101}" filter="1" showAutoFilter="1">
      <autoFilter ref="$B$2:$AE$7">
        <filterColumn colId="6">
          <filters blank="1">
            <filter val="Ativo"/>
          </filters>
        </filterColumn>
      </autoFilter>
    </customSheetView>
    <customSheetView guid="{F891595F-A274-4CEA-9DDC-4053E320D873}" filter="1" showAutoFilter="1">
      <autoFilter ref="$A$2:$AE$6">
        <filterColumn colId="7">
          <filters blank="1"/>
        </filterColumn>
        <filterColumn colId="8">
          <filters blank="1">
            <filter val="------"/>
          </filters>
        </filterColumn>
      </autoFilter>
    </customSheetView>
    <customSheetView guid="{9B73345C-F33C-41C8-B12C-AF426AF28CF2}" filter="1" showAutoFilter="1">
      <autoFilter ref="$A$1:$AE$11">
        <filterColumn colId="12">
          <filters>
            <filter val="INT"/>
          </filters>
        </filterColumn>
      </autoFilter>
    </customSheetView>
    <customSheetView guid="{7995FA59-641A-41E1-A8E4-4E25098B6ECE}" filter="1" showAutoFilter="1">
      <autoFilter ref="$A$1:$AF$7"/>
    </customSheetView>
    <customSheetView guid="{CC8A7891-EB49-4940-A740-FC8BDC1AB592}" filter="1" showAutoFilter="1">
      <autoFilter ref="$A$1:$AE$6">
        <filterColumn colId="3">
          <filters blank="1">
            <filter val="Expert"/>
            <filter val="Bluemetrix"/>
          </filters>
        </filterColumn>
        <filterColumn colId="4">
          <filters blank="1">
            <filter val="UF"/>
            <filter val="DF"/>
          </filters>
        </filterColumn>
        <filterColumn colId="5">
          <filters blank="1">
            <filter val="Bluemetrix Asset"/>
            <filter val="Assessor"/>
            <filter val="André de Queiroz Coelho"/>
          </filters>
        </filterColumn>
        <filterColumn colId="23">
          <filters blank="1">
            <filter val="UF cliente"/>
          </filters>
        </filterColumn>
      </autoFilter>
    </customSheetView>
    <customSheetView guid="{867688F4-DA77-491A-BC2D-EE63B05CD8C6}" filter="1" showAutoFilter="1">
      <autoFilter ref="$A$1:$AE$7">
        <filterColumn colId="6">
          <filters>
            <filter val="Breno"/>
          </filters>
        </filterColumn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</autoFilter>
    </customSheetView>
    <customSheetView guid="{A5110C8F-A3C9-4498-9128-3D1BCD33EAD6}" filter="1" showAutoFilter="1">
      <autoFilter ref="$A$1:$AE$7">
        <filterColumn colId="6">
          <filters/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C47A8014-6FA4-42E4-9F12-F1011B9C099B}" filter="1" showAutoFilter="1">
      <autoFilter ref="$B$2:$AE$7"/>
    </customSheetView>
    <customSheetView guid="{F68FA5A8-97B1-4212-8002-48B0E2190285}" filter="1" showAutoFilter="1">
      <autoFilter ref="$A$2:$AE$7">
        <filterColumn colId="3">
          <filters blank="1">
            <filter val="Expert"/>
          </filters>
        </filterColumn>
      </autoFilter>
    </customSheetView>
    <customSheetView guid="{7908B5B3-622B-49DE-9EE9-800AD2280514}" filter="1" showAutoFilter="1">
      <autoFilter ref="$A$1:$AE$6"/>
    </customSheetView>
    <customSheetView guid="{1E462D75-8D74-420B-A407-97545AE355DA}" filter="1" showAutoFilter="1">
      <autoFilter ref="$B$2:$AE$7"/>
    </customSheetView>
    <customSheetView guid="{2259A80A-0B36-4E70-A4A9-9EEA18E02BB8}" filter="1" showAutoFilter="1">
      <autoFilter ref="$A$1:$AE$6">
        <filterColumn colId="5">
          <filters blank="1">
            <filter val="Bluemetrix Asset"/>
            <filter val="André de Queiroz Coelho"/>
          </filters>
        </filterColumn>
      </autoFilter>
    </customSheetView>
    <customSheetView guid="{1A5CB954-232D-4D49-A5F7-C09A85AC5DA3}" filter="1" showAutoFilter="1">
      <autoFilter ref="$A$1:$AE$6">
        <filterColumn colId="5">
          <filters blank="1">
            <filter val="Bluemetrix Asset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8A3172FC-4096-49AA-9413-180E1AFFE242}" filter="1" showAutoFilter="1">
      <autoFilter ref="$A$1:$AE$7"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------"/>
            <filter val="Situação"/>
          </filters>
        </filterColumn>
        <filterColumn colId="6">
          <filters blank="1"/>
        </filterColumn>
      </autoFilter>
    </customSheetView>
    <customSheetView guid="{3F7281AE-855A-4F16-9462-FB365670BAD2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Situação"/>
          </filters>
        </filterColumn>
      </autoFilter>
    </customSheetView>
    <customSheetView guid="{E80CA402-71E3-41A6-BCC8-EF9B79EFF256}" filter="1" showAutoFilter="1">
      <autoFilter ref="$B$2:$AE$7"/>
    </customSheetView>
    <customSheetView guid="{0D6E73C6-3261-43FB-A2C9-4B9A53AC06CB}" filter="1" showAutoFilter="1">
      <autoFilter ref="$B$2:$AE$7"/>
    </customSheetView>
    <customSheetView guid="{8D8D3085-AB50-4CBA-97BF-5552334D2C30}" filter="1" showAutoFilter="1">
      <autoFilter ref="$F$2:$F$12"/>
    </customSheetView>
    <customSheetView guid="{D32BF63B-B2CA-4C3E-931C-80018C77A928}" filter="1" showAutoFilter="1">
      <autoFilter ref="$B$2:$AE$7"/>
    </customSheetView>
    <customSheetView guid="{3E797136-3B85-4512-BAFF-677FFB5D6710}" filter="1" showAutoFilter="1">
      <autoFilter ref="$A$1:$AE$6"/>
    </customSheetView>
    <customSheetView guid="{06003629-F286-4216-A213-4AFE1E36A40B}" filter="1" showAutoFilter="1">
      <autoFilter ref="$A$1:$AE$7">
        <filterColumn colId="7">
          <filters blank="1">
            <filter val="Status"/>
            <filter val="Ativo"/>
          </filters>
        </filterColumn>
      </autoFilter>
    </customSheetView>
    <customSheetView guid="{B604FAC0-0919-4A33-B240-F21979965E15}" filter="1" showAutoFilter="1">
      <autoFilter ref="$B$2:$AE$7"/>
    </customSheetView>
    <customSheetView guid="{B6B1CE0E-38E0-4906-A76E-D306BEA256D4}" filter="1" showAutoFilter="1">
      <autoFilter ref="$A$1:$AE$6">
        <filterColumn colId="24">
          <filters blank="1">
            <filter val="Ativo"/>
          </filters>
        </filterColumn>
      </autoFilter>
    </customSheetView>
    <customSheetView guid="{70B0536D-D383-4AAB-9558-2A0D578102A2}" filter="1" showAutoFilter="1">
      <autoFilter ref="$A$1:$AE$12">
        <filterColumn colId="5">
          <filters>
            <filter val="Bluemetrix Asset"/>
            <filter val="André de Queiroz Coelho"/>
          </filters>
        </filterColumn>
      </autoFilter>
    </customSheetView>
    <customSheetView guid="{31E47E3C-FDA0-4B26-8783-ED349E6494F7}" filter="1" showAutoFilter="1">
      <autoFilter ref="$B$2:$AE$7"/>
    </customSheetView>
    <customSheetView guid="{C1CA0EF5-D163-4398-B2A2-BDDFC98F2FB3}" filter="1" showAutoFilter="1">
      <autoFilter ref="$D$2:$F$12"/>
    </customSheetView>
    <customSheetView guid="{67C01C50-489A-43C6-898D-F58DB0C2FE7C}" filter="1" showAutoFilter="1">
      <autoFilter ref="$K$2:$K$12"/>
    </customSheetView>
    <customSheetView guid="{70E57EE2-2FF1-4169-9A89-59FDF3A2B70F}" filter="1" showAutoFilter="1">
      <autoFilter ref="$A$1:$AE$6"/>
    </customSheetView>
    <customSheetView guid="{ABBBA665-4775-4A10-A798-C01BBFABA2EF}" filter="1" showAutoFilter="1">
      <autoFilter ref="$K$2:$K$12"/>
    </customSheetView>
    <customSheetView guid="{70F7446A-0DAC-4D27-A21A-B34FE380E0B8}" filter="1" showAutoFilter="1">
      <autoFilter ref="$A$1:$AE$7">
        <filterColumn colId="12">
          <filters blank="1">
            <filter val="INT"/>
          </filters>
        </filterColumn>
      </autoFilter>
    </customSheetView>
    <customSheetView guid="{5C84BDDA-ECA1-49A6-AA70-22484C035470}" filter="1" showAutoFilter="1">
      <autoFilter ref="$J$1:$P$5"/>
    </customSheetView>
    <customSheetView guid="{8CF65A8E-5474-475B-B455-24393DDEE9FA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BED19743-79B0-4CE0-8BB5-CC952BE87801}" filter="1" showAutoFilter="1">
      <autoFilter ref="$A$1:$AE$12">
        <filterColumn colId="7">
          <filters blank="1">
            <filter val="Status"/>
            <filter val="Ativo"/>
          </filters>
        </filterColumn>
        <filterColumn colId="4">
          <filters>
            <filter val="UF"/>
            <filter val="GO"/>
          </filters>
        </filterColumn>
      </autoFilter>
    </customSheetView>
    <customSheetView guid="{A0B95A44-8FE9-47B9-8B52-DE67E8D5CD4F}" filter="1" showAutoFilter="1">
      <autoFilter ref="$B$2:$AE$7"/>
    </customSheetView>
    <customSheetView guid="{65680E02-236A-4088-A637-2526A6F5A73E}" filter="1" showAutoFilter="1">
      <autoFilter ref="$A$1:$AE$7"/>
    </customSheetView>
    <customSheetView guid="{0C1020D9-8109-496F-9ED6-28A7ED1A2AB7}" filter="1" showAutoFilter="1">
      <autoFilter ref="$A$2:$AE$6">
        <filterColumn colId="7">
          <filters blank="1"/>
        </filterColumn>
      </autoFilter>
    </customSheetView>
    <customSheetView guid="{C6AF0DFC-8C6B-4361-8E96-E27C127094D5}" filter="1" showAutoFilter="1">
      <autoFilter ref="$A$1:$AE$6">
        <filterColumn colId="17">
          <filters/>
        </filterColumn>
      </autoFilter>
    </customSheetView>
    <customSheetView guid="{D9F720D9-5985-417C-9131-10AEE008595B}" filter="1" showAutoFilter="1">
      <autoFilter ref="$A$1:$AE$6"/>
    </customSheetView>
    <customSheetView guid="{5CA085AB-9F04-4C5E-A250-EB57A3DB8059}" filter="1" showAutoFilter="1">
      <autoFilter ref="$A$2:$AE$6">
        <filterColumn colId="24">
          <filters blank="1"/>
        </filterColumn>
      </autoFilter>
    </customSheetView>
    <customSheetView guid="{D72A8D76-4C52-45A1-B03B-AA69964DED90}" filter="1" showAutoFilter="1">
      <autoFilter ref="$A$1:$AE$12"/>
    </customSheetView>
    <customSheetView guid="{7206ACFF-4CDC-43A8-9D17-70E44C8BA13D}" filter="1" showAutoFilter="1">
      <autoFilter ref="$D$2:$F$12"/>
    </customSheetView>
    <customSheetView guid="{1C90D351-8183-4CD8-8B10-7D7D43346581}" filter="1" showAutoFilter="1">
      <autoFilter ref="$A$1:$AE$6"/>
    </customSheetView>
    <customSheetView guid="{466D5FAB-D655-4B18-90D2-28C25ECFE9B0}" filter="1" showAutoFilter="1">
      <autoFilter ref="$A$2:$AE$6">
        <filterColumn colId="7">
          <filters blank="1"/>
        </filterColumn>
        <filterColumn colId="17">
          <filters/>
        </filterColumn>
      </autoFilter>
    </customSheetView>
    <customSheetView guid="{981F54B3-AD47-4881-8E48-9580C9672236}" filter="1" showAutoFilter="1">
      <autoFilter ref="$A$1:$AE$6"/>
    </customSheetView>
    <customSheetView guid="{BC0B1DB1-8786-41B4-8FFF-B82431D10F35}" filter="1" showAutoFilter="1">
      <autoFilter ref="$B$2:$AE$12"/>
    </customSheetView>
    <customSheetView guid="{7F6EBB9D-4C6B-4F0A-9736-FC94E3B466E1}" filter="1" showAutoFilter="1">
      <autoFilter ref="$M$2:$O$12"/>
    </customSheetView>
    <customSheetView guid="{D1D59EAF-0D63-4FBE-B89F-57DAF6BA1C2D}" filter="1" showAutoFilter="1">
      <autoFilter ref="$A$1:$AE$7"/>
    </customSheetView>
    <customSheetView guid="{51A8D2F4-8D86-4679-86B1-EA64A0EE4A10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4E961BEB-49AD-4B3A-B742-A30ADAC0D0C3}" filter="1" showAutoFilter="1">
      <autoFilter ref="$B$2:$AE$7">
        <filterColumn colId="11">
          <filters blank="1">
            <filter val="INT"/>
          </filters>
        </filterColumn>
        <filterColumn colId="13">
          <filters blank="1"/>
        </filterColumn>
      </autoFilter>
    </customSheetView>
    <customSheetView guid="{B720098B-70F4-44B5-833C-52F5E38957BF}" filter="1" showAutoFilter="1">
      <autoFilter ref="$B$2:$AE$7"/>
    </customSheetView>
    <customSheetView guid="{3D9A4475-5E5C-4472-A129-35E6A30C6B54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DF1A3CB9-3C9E-40AC-BF2C-102973F9E739}" filter="1" showAutoFilter="1">
      <autoFilter ref="$A$1:$AE$6">
        <filterColumn colId="8">
          <filters/>
        </filterColumn>
        <filterColumn colId="7">
          <filters blank="1">
            <filter val="Status"/>
          </filters>
        </filterColumn>
      </autoFilter>
    </customSheetView>
    <customSheetView guid="{538FDDD0-78A9-40B0-A279-3A97BDFBD764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6029AC19-417B-4102-AB04-0D587EB064E7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FBD4E7F3-FBBA-4389-B8DB-C6E19298F85D}" filter="1" showAutoFilter="1">
      <autoFilter ref="$K$2:$L$12">
        <filterColumn colId="0">
          <filters>
            <filter val="15/05/2025"/>
            <filter val="19/12/2025"/>
          </filters>
        </filterColumn>
      </autoFilter>
    </customSheetView>
    <customSheetView guid="{2B799362-B7B1-4E34-BAF1-CA385A7DA9EA}" filter="1" showAutoFilter="1">
      <autoFilter ref="$B$2:$AE$7"/>
    </customSheetView>
    <customSheetView guid="{22EAFBDC-F786-4265-98F2-E728CC4DB199}" filter="1" showAutoFilter="1">
      <autoFilter ref="$B$2:$AE$7"/>
    </customSheetView>
    <customSheetView guid="{0341D29D-7608-4A0E-B511-8874684203B9}" filter="1" showAutoFilter="1">
      <autoFilter ref="$B$2:$AE$12"/>
    </customSheetView>
    <customSheetView guid="{DBF97924-AD64-437D-8F5D-C0F6C70BE8D1}" filter="1" showAutoFilter="1">
      <autoFilter ref="$A$1:$AE$6">
        <filterColumn colId="4">
          <filters blank="1"/>
        </filterColumn>
        <filterColumn colId="3">
          <filters blank="1">
            <filter val="Expert"/>
            <filter val="Bluemetrix"/>
            <filter val="Escritório"/>
          </filters>
        </filterColumn>
      </autoFilter>
    </customSheetView>
    <customSheetView guid="{69049776-CFDF-4D0B-A26F-F2D5FB0083D2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CE2411D1-E1EA-4B10-9A09-B64AA7454FEF}" filter="1" showAutoFilter="1">
      <autoFilter ref="$B$2:$AE$7"/>
    </customSheetView>
    <customSheetView guid="{F6337007-513B-42BB-BB5C-E4B29034F3A9}" filter="1" showAutoFilter="1">
      <autoFilter ref="$A$2:$AE$6">
        <filterColumn colId="3">
          <filters blank="1">
            <filter val="Expert"/>
          </filters>
        </filterColumn>
        <filterColumn colId="5">
          <filters blank="1">
            <filter val="Bluemetrix Asset"/>
            <filter val="André de Queiroz Coelho"/>
          </filters>
        </filterColumn>
      </autoFilter>
    </customSheetView>
    <customSheetView guid="{9E44EB80-D057-49A3-B0D2-F7DA7E7CE002}" filter="1" showAutoFilter="1">
      <autoFilter ref="$A$1:$AE$6">
        <filterColumn colId="4">
          <filters blank="1">
            <filter val="UF"/>
            <filter val="DF"/>
          </filters>
        </filterColumn>
        <filterColumn colId="5">
          <filters blank="1">
            <filter val="Bluemetrix Asset"/>
            <filter val="Assessor"/>
            <filter val="André de Queiroz Coelho"/>
          </filters>
        </filterColumn>
        <filterColumn colId="23">
          <filters blank="1"/>
        </filterColumn>
      </autoFilter>
    </customSheetView>
    <customSheetView guid="{5D99C391-A582-4147-B89C-A2E2E90FF18D}" filter="1" showAutoFilter="1">
      <autoFilter ref="$B$2:$AE$7"/>
    </customSheetView>
    <customSheetView guid="{60066A11-447C-4650-AEF7-9FE005963B06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AC585C66-5314-4E46-945A-ACB6A5C6C665}" filter="1" showAutoFilter="1">
      <autoFilter ref="$A$1:$AE$7">
        <filterColumn colId="7">
          <filters blank="1">
            <filter val="Ativo"/>
          </filters>
        </filterColumn>
      </autoFilter>
    </customSheetView>
    <customSheetView guid="{A22650EC-12B2-4768-B2BE-5B4E4FD4134F}" filter="1" showAutoFilter="1">
      <autoFilter ref="$A$2:$AE$6">
        <filterColumn colId="12">
          <filters blank="1">
            <filter val="INT"/>
          </filters>
        </filterColumn>
        <filterColumn colId="7">
          <filters blank="1">
            <filter val="Ativo"/>
          </filters>
        </filterColumn>
      </autoFilter>
    </customSheetView>
    <customSheetView guid="{722B78C8-FCD4-4998-92AC-C08554C3B012}" filter="1" showAutoFilter="1">
      <autoFilter ref="$D$2:$AE$12"/>
    </customSheetView>
    <customSheetView guid="{77048510-7681-471A-8ABA-CEF5057C5417}" filter="1" showAutoFilter="1">
      <autoFilter ref="$A$1:$AE$12">
        <filterColumn colId="4">
          <filters blank="1">
            <filter val="UF"/>
            <filter val="DF"/>
          </filters>
        </filterColumn>
        <filterColumn colId="17">
          <filters/>
        </filterColumn>
      </autoFilter>
    </customSheetView>
    <customSheetView guid="{08F7F748-3961-4A6D-B19F-B00BB1F86BAE}" filter="1" showAutoFilter="1">
      <autoFilter ref="$D$2:$F$12"/>
    </customSheetView>
    <customSheetView guid="{C0B03341-4AEF-4BF7-A18B-DDC8CBEE8AA1}" filter="1" showAutoFilter="1">
      <autoFilter ref="$A$2:$AE$6">
        <filterColumn colId="4">
          <filters blank="1"/>
        </filterColumn>
      </autoFilter>
    </customSheetView>
    <customSheetView guid="{5AE5DDB4-0A42-4F43-9F28-CD5785369358}" filter="1" showAutoFilter="1">
      <autoFilter ref="$A$1:$AE$6">
        <filterColumn colId="7">
          <filters blank="1"/>
        </filterColumn>
      </autoFilter>
    </customSheetView>
    <customSheetView guid="{F93CDEF9-2774-4CF9-AD7F-8B246521D3B8}" filter="1" showAutoFilter="1">
      <autoFilter ref="$A$1:$AE$6"/>
    </customSheetView>
    <customSheetView guid="{04FF9915-DD3B-4396-A7AF-B26F880882B9}" filter="1" showAutoFilter="1">
      <autoFilter ref="$A$1:$AE$12"/>
    </customSheetView>
    <customSheetView guid="{76811BFC-6AF1-42FD-933F-8DEF2DDC606B}" filter="1" showAutoFilter="1">
      <autoFilter ref="$F$2:$F$12"/>
    </customSheetView>
    <customSheetView guid="{D2CEFE79-E609-463C-AA33-4D88E759492B}" filter="1" showAutoFilter="1">
      <autoFilter ref="$F$2:$F$12"/>
    </customSheetView>
    <customSheetView guid="{660A2834-41D4-4E6F-9572-4A1EE6F73E5A}" filter="1" showAutoFilter="1">
      <autoFilter ref="$A$1:$AE$6">
        <filterColumn colId="17">
          <filters/>
        </filterColumn>
      </autoFilter>
    </customSheetView>
    <customSheetView guid="{C22C274A-8351-4552-955C-17C75AF11B50}" filter="1" showAutoFilter="1">
      <autoFilter ref="$D$2:$AE$12"/>
    </customSheetView>
    <customSheetView guid="{0BD3746B-3FD0-468C-ABAC-538913C42215}" filter="1" showAutoFilter="1">
      <autoFilter ref="$A$1:$AE$11">
        <filterColumn colId="6">
          <filters/>
        </filterColumn>
        <filterColumn colId="7">
          <filters blank="1">
            <filter val="Status"/>
          </filters>
        </filterColumn>
      </autoFilter>
    </customSheetView>
    <customSheetView guid="{18305FC1-D259-4640-9665-7FBD61614DE9}" filter="1" showAutoFilter="1">
      <autoFilter ref="$A$1:$AE$7">
        <filterColumn colId="6">
          <filters blank="1"/>
        </filterColumn>
      </autoFilter>
    </customSheetView>
    <customSheetView guid="{8E23099A-352A-46B6-8EAF-566C415C9723}" filter="1" showAutoFilter="1">
      <autoFilter ref="$D$2:$F$12"/>
    </customSheetView>
    <customSheetView guid="{D4A6E9C6-7410-45D4-B7C4-015122FEDC4D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B0EBEE94-932C-4E01-8EA0-E4B52D8BC3D0}" filter="1" showAutoFilter="1">
      <autoFilter ref="$A$1:$AE$6">
        <filterColumn colId="8">
          <filters blank="1"/>
        </filterColumn>
      </autoFilter>
    </customSheetView>
    <customSheetView guid="{112F537C-77AF-4182-AB1C-99E1DCD0F91A}" filter="1" showAutoFilter="1">
      <autoFilter ref="$A$1:$AE$7">
        <filterColumn colId="7">
          <filters blank="1">
            <filter val="Ativ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902577D3-573C-4441-9717-39868E3B5A0E}" filter="1" showAutoFilter="1">
      <autoFilter ref="$A$2:$AE$6"/>
    </customSheetView>
    <customSheetView guid="{1378EEFE-F08B-4D31-8374-BF3463E0C9B2}" filter="1" showAutoFilter="1">
      <autoFilter ref="$A$1:$AE$6">
        <filterColumn colId="4">
          <filters blank="1">
            <filter val="UF"/>
            <filter val="GO"/>
          </filters>
        </filterColumn>
        <filterColumn colId="3">
          <filters blank="1">
            <filter val="Expert"/>
            <filter val="Bluemetrix"/>
          </filters>
        </filterColumn>
        <filterColumn colId="23">
          <filters blank="1">
            <filter val="UF cliente"/>
          </filters>
        </filterColumn>
      </autoFilter>
    </customSheetView>
    <customSheetView guid="{7241ABC4-7A48-45ED-A7DF-BA2A467779A1}" filter="1" showAutoFilter="1">
      <autoFilter ref="$A$2:$AE$6">
        <filterColumn colId="8">
          <filters/>
        </filterColumn>
      </autoFilter>
    </customSheetView>
  </customSheetViews>
  <mergeCells count="4">
    <mergeCell ref="A1:F1"/>
    <mergeCell ref="H1:I1"/>
    <mergeCell ref="J1:P1"/>
    <mergeCell ref="S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Y3:AA5">
    <cfRule type="notContainsBlanks" dxfId="0" priority="3">
      <formula>LEN(TRIM(Y3))&gt;0</formula>
    </cfRule>
  </conditionalFormatting>
  <dataValidations>
    <dataValidation type="list" allowBlank="1" showErrorMessage="1" sqref="I3:I5">
      <formula1>"------,Sem Saldo,STVM Entrada,STVM Saída,Alteração de C.A,Monitoramento,Bloqueado,Resgate,Resgate Total,Troca de Assessoria,Distrato"</formula1>
    </dataValidation>
    <dataValidation type="list" allowBlank="1" showErrorMessage="1" sqref="O3:O5">
      <formula1>"IBOVESPA,CDI,------,IFIX,SMLL,S&amp;P 500"</formula1>
    </dataValidation>
    <dataValidation type="list" allowBlank="1" showErrorMessage="1" sqref="E3:E5">
      <formula1>"DF,GO,SUL,SP,RJ"</formula1>
    </dataValidation>
    <dataValidation type="list" allowBlank="1" showErrorMessage="1" sqref="Z3:AA5">
      <formula1>"Conservador,Moderado,Arrojado"</formula1>
    </dataValidation>
    <dataValidation type="list" allowBlank="1" showErrorMessage="1" sqref="Y3:Y5">
      <formula1>"Ativo,Inativo,Encerrado"</formula1>
    </dataValidation>
    <dataValidation type="list" allowBlank="1" showErrorMessage="1" sqref="AB3:AB5">
      <formula1>"Não Qualificado,Qualificado,Profissional"</formula1>
    </dataValidation>
    <dataValidation type="list" allowBlank="1" showErrorMessage="1" sqref="D3:D5">
      <formula1>"Bluemetrix,Voga,Conquest,VcInvest,MI Smart,Altum,Poupinvista,Solution For Life,Miura,Expert"</formula1>
    </dataValidation>
    <dataValidation type="list" allowBlank="1" showErrorMessage="1" sqref="H3:H5">
      <formula1>"Ativo,Inativo,Encerrado,Pode Operar"</formula1>
    </dataValidation>
    <dataValidation type="list" allowBlank="1" showErrorMessage="1" sqref="S3:S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6.75"/>
    <col customWidth="1" min="3" max="3" width="10.0"/>
    <col customWidth="1" min="4" max="4" width="13.38"/>
    <col customWidth="1" min="5" max="5" width="9.0"/>
    <col customWidth="1" min="6" max="7" width="18.63"/>
    <col customWidth="1" min="8" max="9" width="15.0"/>
    <col customWidth="1" min="10" max="10" width="17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37.13"/>
    <col customWidth="1" min="18" max="18" width="41.88"/>
    <col customWidth="1" min="19" max="19" width="10.0"/>
    <col customWidth="1" min="20" max="23" width="14.5"/>
    <col customWidth="1" min="24" max="24" width="10.75"/>
    <col customWidth="1" min="25" max="25" width="13.0"/>
    <col customWidth="1" min="26" max="26" width="19.13"/>
    <col customWidth="1" min="27" max="27" width="20.63"/>
    <col customWidth="1" min="28" max="29" width="22.63"/>
    <col customWidth="1" min="30" max="30" width="16.63"/>
    <col customWidth="1" min="31" max="31" width="12.25"/>
    <col customWidth="1" min="32" max="73" width="15.38"/>
  </cols>
  <sheetData>
    <row r="1" ht="15.75" customHeight="1">
      <c r="A1" s="130" t="s">
        <v>0</v>
      </c>
      <c r="B1" s="16"/>
      <c r="C1" s="16"/>
      <c r="D1" s="16"/>
      <c r="E1" s="16"/>
      <c r="F1" s="19"/>
      <c r="G1" s="14" t="s">
        <v>3</v>
      </c>
      <c r="H1" s="132" t="s">
        <v>6</v>
      </c>
      <c r="I1" s="19"/>
      <c r="J1" s="130" t="s">
        <v>0</v>
      </c>
      <c r="K1" s="16"/>
      <c r="L1" s="16"/>
      <c r="M1" s="16"/>
      <c r="N1" s="16"/>
      <c r="O1" s="16"/>
      <c r="P1" s="16"/>
      <c r="Q1" s="133" t="s">
        <v>10</v>
      </c>
      <c r="R1" s="369" t="s">
        <v>11</v>
      </c>
      <c r="S1" s="371" t="s">
        <v>13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9"/>
      <c r="AF1" s="1" t="s">
        <v>18</v>
      </c>
      <c r="AG1" s="1" t="s">
        <v>18</v>
      </c>
      <c r="AH1" s="1" t="s">
        <v>18</v>
      </c>
      <c r="AI1" s="1" t="s">
        <v>18</v>
      </c>
      <c r="AJ1" s="1" t="s">
        <v>18</v>
      </c>
      <c r="AK1" s="1" t="s">
        <v>18</v>
      </c>
      <c r="AL1" s="1" t="s">
        <v>18</v>
      </c>
      <c r="AM1" s="1" t="s">
        <v>18</v>
      </c>
      <c r="AN1" s="1" t="s">
        <v>18</v>
      </c>
      <c r="AO1" s="1" t="s">
        <v>18</v>
      </c>
      <c r="AP1" s="1" t="s">
        <v>18</v>
      </c>
      <c r="AQ1" s="1" t="s">
        <v>18</v>
      </c>
      <c r="AR1" s="1" t="s">
        <v>18</v>
      </c>
      <c r="AS1" s="1" t="s">
        <v>18</v>
      </c>
      <c r="AT1" s="1" t="s">
        <v>18</v>
      </c>
      <c r="AU1" s="1" t="s">
        <v>18</v>
      </c>
      <c r="AV1" s="1" t="s">
        <v>18</v>
      </c>
      <c r="AW1" s="1" t="s">
        <v>18</v>
      </c>
      <c r="AX1" s="1" t="s">
        <v>18</v>
      </c>
      <c r="AY1" s="1" t="s">
        <v>18</v>
      </c>
      <c r="AZ1" s="1" t="s">
        <v>18</v>
      </c>
      <c r="BA1" s="1" t="s">
        <v>18</v>
      </c>
      <c r="BB1" s="1" t="s">
        <v>18</v>
      </c>
      <c r="BC1" s="1" t="s">
        <v>18</v>
      </c>
      <c r="BD1" s="1" t="s">
        <v>18</v>
      </c>
      <c r="BE1" s="1" t="s">
        <v>18</v>
      </c>
      <c r="BF1" s="1" t="s">
        <v>18</v>
      </c>
      <c r="BG1" s="1" t="s">
        <v>18</v>
      </c>
      <c r="BH1" s="1" t="s">
        <v>18</v>
      </c>
      <c r="BI1" s="1" t="s">
        <v>18</v>
      </c>
      <c r="BJ1" s="1" t="s">
        <v>18</v>
      </c>
      <c r="BK1" s="1" t="s">
        <v>18</v>
      </c>
      <c r="BL1" s="1" t="s">
        <v>18</v>
      </c>
      <c r="BM1" s="1" t="s">
        <v>18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  <c r="BS1" s="1" t="s">
        <v>18</v>
      </c>
      <c r="BT1" s="1" t="s">
        <v>18</v>
      </c>
      <c r="BU1" s="1" t="s">
        <v>18</v>
      </c>
    </row>
    <row r="2">
      <c r="A2" s="3" t="s">
        <v>31</v>
      </c>
      <c r="B2" s="10" t="s">
        <v>33</v>
      </c>
      <c r="C2" s="372" t="s">
        <v>2</v>
      </c>
      <c r="D2" s="373" t="s">
        <v>4</v>
      </c>
      <c r="E2" s="373" t="s">
        <v>5</v>
      </c>
      <c r="F2" s="373" t="s">
        <v>7</v>
      </c>
      <c r="G2" s="1" t="s">
        <v>36</v>
      </c>
      <c r="H2" s="374" t="s">
        <v>37</v>
      </c>
      <c r="I2" s="1" t="s">
        <v>38</v>
      </c>
      <c r="J2" s="28" t="s">
        <v>39</v>
      </c>
      <c r="K2" s="372" t="s">
        <v>41</v>
      </c>
      <c r="L2" s="372" t="s">
        <v>42</v>
      </c>
      <c r="M2" s="372" t="s">
        <v>12</v>
      </c>
      <c r="N2" s="375" t="s">
        <v>45</v>
      </c>
      <c r="O2" s="12" t="s">
        <v>46</v>
      </c>
      <c r="P2" s="25" t="s">
        <v>16</v>
      </c>
      <c r="Q2" s="7" t="s">
        <v>1832</v>
      </c>
      <c r="R2" s="7" t="s">
        <v>48</v>
      </c>
      <c r="S2" s="374" t="s">
        <v>50</v>
      </c>
      <c r="T2" s="10" t="s">
        <v>17</v>
      </c>
      <c r="U2" s="10" t="s">
        <v>19</v>
      </c>
      <c r="V2" s="10" t="s">
        <v>20</v>
      </c>
      <c r="W2" s="10" t="s">
        <v>21</v>
      </c>
      <c r="X2" s="372" t="s">
        <v>22</v>
      </c>
      <c r="Y2" s="1" t="s">
        <v>56</v>
      </c>
      <c r="Z2" s="12" t="s">
        <v>57</v>
      </c>
      <c r="AA2" s="12" t="s">
        <v>58</v>
      </c>
      <c r="AB2" s="3" t="s">
        <v>60</v>
      </c>
      <c r="AC2" s="38" t="s">
        <v>62</v>
      </c>
      <c r="AD2" s="376" t="s">
        <v>63</v>
      </c>
      <c r="AE2" s="376" t="s">
        <v>64</v>
      </c>
      <c r="AF2" s="377">
        <v>44957.0</v>
      </c>
      <c r="AG2" s="377">
        <v>44985.0</v>
      </c>
      <c r="AH2" s="377">
        <v>45016.0</v>
      </c>
      <c r="AI2" s="377">
        <v>45044.0</v>
      </c>
      <c r="AJ2" s="377">
        <v>45077.0</v>
      </c>
      <c r="AK2" s="377">
        <v>45107.0</v>
      </c>
      <c r="AL2" s="377">
        <v>45138.0</v>
      </c>
      <c r="AM2" s="377">
        <v>45169.0</v>
      </c>
      <c r="AN2" s="377">
        <v>45198.0</v>
      </c>
      <c r="AO2" s="377">
        <v>45230.0</v>
      </c>
      <c r="AP2" s="377">
        <v>45260.0</v>
      </c>
      <c r="AQ2" s="377">
        <v>45289.0</v>
      </c>
      <c r="AR2" s="377">
        <v>45322.0</v>
      </c>
      <c r="AS2" s="377">
        <v>45351.0</v>
      </c>
      <c r="AT2" s="377">
        <v>45379.0</v>
      </c>
      <c r="AU2" s="377">
        <v>45412.0</v>
      </c>
      <c r="AV2" s="377">
        <v>45443.0</v>
      </c>
      <c r="AW2" s="377">
        <v>45471.0</v>
      </c>
      <c r="AX2" s="377">
        <v>45504.0</v>
      </c>
      <c r="AY2" s="377">
        <v>45534.0</v>
      </c>
      <c r="AZ2" s="378">
        <v>45565.0</v>
      </c>
      <c r="BA2" s="378">
        <v>45596.0</v>
      </c>
      <c r="BB2" s="378">
        <v>45625.0</v>
      </c>
      <c r="BC2" s="378">
        <v>45657.0</v>
      </c>
      <c r="BD2" s="378">
        <v>45688.0</v>
      </c>
      <c r="BE2" s="378">
        <v>45716.0</v>
      </c>
      <c r="BF2" s="378">
        <v>45747.0</v>
      </c>
      <c r="BG2" s="378">
        <v>45777.0</v>
      </c>
      <c r="BH2" s="378">
        <v>45807.0</v>
      </c>
      <c r="BI2" s="378">
        <v>45838.0</v>
      </c>
      <c r="BJ2" s="378">
        <v>45869.0</v>
      </c>
      <c r="BK2" s="378">
        <v>45900.0</v>
      </c>
      <c r="BL2" s="378">
        <v>45930.0</v>
      </c>
      <c r="BM2" s="378">
        <v>45961.0</v>
      </c>
      <c r="BN2" s="378">
        <v>45991.0</v>
      </c>
      <c r="BO2" s="378">
        <v>46022.0</v>
      </c>
      <c r="BP2" s="378">
        <v>46053.0</v>
      </c>
      <c r="BQ2" s="378">
        <v>46081.0</v>
      </c>
      <c r="BR2" s="378">
        <v>46112.0</v>
      </c>
      <c r="BS2" s="378">
        <v>46142.0</v>
      </c>
      <c r="BT2" s="378">
        <v>46173.0</v>
      </c>
      <c r="BU2" s="378">
        <v>46203.0</v>
      </c>
    </row>
    <row r="3" ht="15.75" customHeight="1">
      <c r="A3" s="176" t="s">
        <v>111</v>
      </c>
      <c r="B3" s="167" t="s">
        <v>483</v>
      </c>
      <c r="C3" s="22" t="s">
        <v>1938</v>
      </c>
      <c r="D3" s="141" t="s">
        <v>1941</v>
      </c>
      <c r="E3" s="27" t="s">
        <v>54</v>
      </c>
      <c r="F3" s="141" t="s">
        <v>158</v>
      </c>
      <c r="G3" s="47" t="str">
        <f t="shared" ref="G3:G38" si="1">IFS($AS$3:$AS$974&lt;=300000,"Marcus",$AS$3:$AS$974&lt;=600000,"Gabriel", $AS$3:$AS$974&lt;=20000000,"Bruno",$AS$3:$AS$974="","")</f>
        <v>Marcus</v>
      </c>
      <c r="H3" s="73" t="s">
        <v>183</v>
      </c>
      <c r="I3" s="49" t="s">
        <v>66</v>
      </c>
      <c r="J3" s="47" t="str">
        <f t="shared" ref="J3:J38" si="2">IF(Q3=0,"Não","Sim")</f>
        <v>Sim</v>
      </c>
      <c r="K3" s="244">
        <v>45691.0</v>
      </c>
      <c r="L3" s="95"/>
      <c r="M3" s="22" t="s">
        <v>136</v>
      </c>
      <c r="N3" s="29">
        <v>0.008</v>
      </c>
      <c r="O3" s="23" t="s">
        <v>66</v>
      </c>
      <c r="P3" s="57">
        <v>0.0</v>
      </c>
      <c r="Q3" s="153" t="s">
        <v>1948</v>
      </c>
      <c r="R3" s="158"/>
      <c r="S3" s="22" t="s">
        <v>194</v>
      </c>
      <c r="T3" s="167" t="s">
        <v>490</v>
      </c>
      <c r="U3" s="167"/>
      <c r="V3" s="167"/>
      <c r="W3" s="167"/>
      <c r="X3" s="30" t="s">
        <v>54</v>
      </c>
      <c r="Y3" s="23" t="str">
        <f t="shared" ref="Y3:Y38" si="3">IFS(H:H="Encerrado","Encerrado",COUNTBLANK(AJ3:AR3)&gt;0,"Ativo",SUM(AJ3:AR3)=0,"Inativo",SUM(AJ3:AR3)&gt;0,"Ativo")</f>
        <v>Ativo</v>
      </c>
      <c r="Z3" s="95"/>
      <c r="AA3" s="95"/>
      <c r="AB3" s="95"/>
      <c r="AC3" s="95"/>
      <c r="AD3" s="95"/>
      <c r="AE3" s="95"/>
      <c r="AF3" s="380"/>
      <c r="AG3" s="380"/>
      <c r="AH3" s="380"/>
      <c r="AI3" s="380"/>
      <c r="AJ3" s="380"/>
      <c r="AK3" s="380"/>
      <c r="AL3" s="380"/>
      <c r="AM3" s="380"/>
      <c r="AN3" s="380"/>
      <c r="AO3" s="381"/>
      <c r="AP3" s="381"/>
      <c r="AQ3" s="381"/>
      <c r="AR3" s="381"/>
      <c r="AS3" s="381"/>
      <c r="AT3" s="381"/>
      <c r="AU3" s="381"/>
      <c r="AV3" s="381"/>
      <c r="AW3" s="381"/>
      <c r="AX3" s="381"/>
      <c r="AY3" s="381"/>
      <c r="AZ3" s="381"/>
      <c r="BA3" s="381"/>
      <c r="BB3" s="381"/>
      <c r="BC3" s="381"/>
      <c r="BD3" s="381"/>
      <c r="BE3" s="381">
        <v>0.0</v>
      </c>
      <c r="BF3" s="381">
        <v>58519.73</v>
      </c>
      <c r="BG3" s="381">
        <v>58181.55</v>
      </c>
      <c r="BH3" s="381">
        <v>60295.81</v>
      </c>
      <c r="BI3" s="381">
        <v>62476.1</v>
      </c>
      <c r="BJ3" s="381">
        <v>63892.32</v>
      </c>
      <c r="BK3" s="381">
        <v>64778.33</v>
      </c>
      <c r="BL3" s="381">
        <v>65726.7</v>
      </c>
      <c r="BM3" s="381">
        <v>67206.37</v>
      </c>
      <c r="BN3" s="381">
        <v>67142.06</v>
      </c>
      <c r="BO3" s="381">
        <v>67309.16</v>
      </c>
      <c r="BP3" s="381">
        <v>67844.15</v>
      </c>
      <c r="BQ3" s="381">
        <v>66684.18</v>
      </c>
      <c r="BR3" s="381">
        <v>64213.34</v>
      </c>
      <c r="BS3" s="381">
        <v>68493.01</v>
      </c>
      <c r="BT3" s="381">
        <v>69061.59</v>
      </c>
      <c r="BU3" s="381">
        <v>68362.9</v>
      </c>
    </row>
    <row r="4" ht="15.75" customHeight="1">
      <c r="A4" s="176" t="s">
        <v>111</v>
      </c>
      <c r="B4" s="368" t="s">
        <v>1956</v>
      </c>
      <c r="C4" s="95" t="s">
        <v>1957</v>
      </c>
      <c r="D4" s="141" t="s">
        <v>1958</v>
      </c>
      <c r="E4" s="66" t="s">
        <v>475</v>
      </c>
      <c r="F4" s="63" t="s">
        <v>1959</v>
      </c>
      <c r="G4" s="47" t="str">
        <f t="shared" si="1"/>
        <v>Bruno</v>
      </c>
      <c r="H4" s="73" t="s">
        <v>224</v>
      </c>
      <c r="I4" s="49" t="s">
        <v>66</v>
      </c>
      <c r="J4" s="47" t="str">
        <f t="shared" si="2"/>
        <v>Não</v>
      </c>
      <c r="K4" s="382">
        <v>45084.0</v>
      </c>
      <c r="L4" s="244">
        <v>45504.0</v>
      </c>
      <c r="M4" s="95" t="s">
        <v>136</v>
      </c>
      <c r="N4" s="366">
        <v>0.0075</v>
      </c>
      <c r="O4" s="23" t="s">
        <v>66</v>
      </c>
      <c r="P4" s="57">
        <v>0.0</v>
      </c>
      <c r="Q4" s="158"/>
      <c r="R4" s="158"/>
      <c r="S4" s="95" t="s">
        <v>234</v>
      </c>
      <c r="T4" s="167" t="s">
        <v>1964</v>
      </c>
      <c r="U4" s="167"/>
      <c r="V4" s="167"/>
      <c r="W4" s="167"/>
      <c r="X4" s="30" t="s">
        <v>1739</v>
      </c>
      <c r="Y4" s="23" t="str">
        <f t="shared" si="3"/>
        <v>Encerrado</v>
      </c>
      <c r="Z4" s="95"/>
      <c r="AA4" s="95"/>
      <c r="AB4" s="95"/>
      <c r="AC4" s="95"/>
      <c r="AD4" s="95"/>
      <c r="AE4" s="95"/>
      <c r="AF4" s="380">
        <v>0.0</v>
      </c>
      <c r="AG4" s="380">
        <v>0.0</v>
      </c>
      <c r="AH4" s="380">
        <v>0.0</v>
      </c>
      <c r="AI4" s="380">
        <v>0.0</v>
      </c>
      <c r="AJ4" s="380">
        <v>0.0</v>
      </c>
      <c r="AK4" s="380">
        <v>138472.32</v>
      </c>
      <c r="AL4" s="380">
        <v>282901.21</v>
      </c>
      <c r="AM4" s="380">
        <v>383594.1</v>
      </c>
      <c r="AN4" s="380">
        <v>470635.65</v>
      </c>
      <c r="AO4" s="381">
        <v>468788.84</v>
      </c>
      <c r="AP4" s="381">
        <v>577580.95</v>
      </c>
      <c r="AQ4" s="381">
        <v>689001.9</v>
      </c>
      <c r="AR4" s="381">
        <v>688986.26</v>
      </c>
      <c r="AS4" s="381">
        <v>686613.89</v>
      </c>
      <c r="AT4" s="381">
        <v>692206.92</v>
      </c>
      <c r="AU4" s="381">
        <v>681409.11</v>
      </c>
      <c r="AV4" s="381">
        <v>688859.81</v>
      </c>
      <c r="AW4" s="381">
        <v>693765.96</v>
      </c>
      <c r="AX4" s="381">
        <v>702737.1</v>
      </c>
      <c r="AY4" s="381">
        <v>0.0</v>
      </c>
      <c r="AZ4" s="381">
        <v>0.0</v>
      </c>
      <c r="BA4" s="381">
        <v>0.0</v>
      </c>
      <c r="BB4" s="381">
        <v>0.0</v>
      </c>
      <c r="BC4" s="381">
        <v>0.0</v>
      </c>
      <c r="BD4" s="381">
        <v>0.0</v>
      </c>
      <c r="BE4" s="381">
        <v>0.0</v>
      </c>
      <c r="BF4" s="381">
        <v>0.0</v>
      </c>
      <c r="BG4" s="381">
        <v>0.0</v>
      </c>
      <c r="BH4" s="381">
        <v>0.0</v>
      </c>
      <c r="BI4" s="381">
        <v>0.0</v>
      </c>
      <c r="BJ4" s="381">
        <v>0.0</v>
      </c>
      <c r="BK4" s="381">
        <v>0.0</v>
      </c>
      <c r="BL4" s="381">
        <v>0.0</v>
      </c>
      <c r="BM4" s="381">
        <v>0.0</v>
      </c>
      <c r="BN4" s="381">
        <v>0.0</v>
      </c>
      <c r="BO4" s="381"/>
      <c r="BP4" s="381">
        <v>0.0</v>
      </c>
      <c r="BQ4" s="381"/>
      <c r="BR4" s="381">
        <v>0.0</v>
      </c>
      <c r="BS4" s="381">
        <v>0.0</v>
      </c>
      <c r="BT4" s="381"/>
      <c r="BU4" s="381"/>
    </row>
    <row r="5" ht="15.75" customHeight="1">
      <c r="A5" s="383" t="s">
        <v>111</v>
      </c>
      <c r="B5" s="383" t="s">
        <v>619</v>
      </c>
      <c r="C5" s="62" t="s">
        <v>1969</v>
      </c>
      <c r="D5" s="63" t="s">
        <v>120</v>
      </c>
      <c r="E5" s="66" t="s">
        <v>199</v>
      </c>
      <c r="F5" s="63" t="s">
        <v>841</v>
      </c>
      <c r="G5" s="47" t="str">
        <f t="shared" si="1"/>
        <v>Marcus</v>
      </c>
      <c r="H5" s="115" t="s">
        <v>183</v>
      </c>
      <c r="I5" s="49" t="s">
        <v>66</v>
      </c>
      <c r="J5" s="47" t="str">
        <f t="shared" si="2"/>
        <v>Não</v>
      </c>
      <c r="K5" s="194">
        <v>44944.0</v>
      </c>
      <c r="L5" s="62"/>
      <c r="M5" s="62" t="s">
        <v>136</v>
      </c>
      <c r="N5" s="144">
        <v>0.008</v>
      </c>
      <c r="O5" s="23" t="s">
        <v>66</v>
      </c>
      <c r="P5" s="57">
        <v>0.0</v>
      </c>
      <c r="Q5" s="70"/>
      <c r="R5" s="70"/>
      <c r="S5" s="62" t="s">
        <v>194</v>
      </c>
      <c r="T5" s="384" t="s">
        <v>629</v>
      </c>
      <c r="U5" s="384"/>
      <c r="V5" s="384"/>
      <c r="W5" s="384"/>
      <c r="X5" s="30" t="s">
        <v>199</v>
      </c>
      <c r="Y5" s="23" t="str">
        <f t="shared" si="3"/>
        <v>Ativo</v>
      </c>
      <c r="Z5" s="95"/>
      <c r="AA5" s="62"/>
      <c r="AB5" s="62"/>
      <c r="AC5" s="95"/>
      <c r="AD5" s="95"/>
      <c r="AE5" s="95"/>
      <c r="AF5" s="385">
        <v>11803.57</v>
      </c>
      <c r="AG5" s="385">
        <v>18456.36</v>
      </c>
      <c r="AH5" s="385">
        <v>20875.33</v>
      </c>
      <c r="AI5" s="385">
        <v>24997.93</v>
      </c>
      <c r="AJ5" s="385">
        <v>46740.62</v>
      </c>
      <c r="AK5" s="385">
        <v>47715.17</v>
      </c>
      <c r="AL5" s="385">
        <v>57927.64</v>
      </c>
      <c r="AM5" s="385">
        <v>59410.8</v>
      </c>
      <c r="AN5" s="385">
        <v>58690.9</v>
      </c>
      <c r="AO5" s="381">
        <v>57930.35</v>
      </c>
      <c r="AP5" s="381">
        <v>59857.12</v>
      </c>
      <c r="AQ5" s="381">
        <v>70574.84</v>
      </c>
      <c r="AR5" s="381">
        <v>70944.3</v>
      </c>
      <c r="AS5" s="381">
        <v>72043.62</v>
      </c>
      <c r="AT5" s="381">
        <v>74073.95</v>
      </c>
      <c r="AU5" s="381">
        <v>83067.89</v>
      </c>
      <c r="AV5" s="381">
        <v>84716.37</v>
      </c>
      <c r="AW5" s="381">
        <v>85439.63</v>
      </c>
      <c r="AX5" s="381">
        <v>86959.8</v>
      </c>
      <c r="AY5" s="381">
        <v>88805.66</v>
      </c>
      <c r="AZ5" s="381">
        <v>89327.08</v>
      </c>
      <c r="BA5" s="381">
        <v>89037.09</v>
      </c>
      <c r="BB5" s="381">
        <v>92447.62</v>
      </c>
      <c r="BC5" s="381">
        <v>106126.97</v>
      </c>
      <c r="BD5" s="381">
        <v>107549.37</v>
      </c>
      <c r="BE5" s="381">
        <v>103530.99</v>
      </c>
      <c r="BF5" s="381">
        <v>106773.42</v>
      </c>
      <c r="BG5" s="381">
        <v>105210.09</v>
      </c>
      <c r="BH5" s="381">
        <v>111597.37</v>
      </c>
      <c r="BI5" s="381">
        <v>117240.88</v>
      </c>
      <c r="BJ5" s="381">
        <v>120226.22</v>
      </c>
      <c r="BK5" s="381">
        <v>122541.13</v>
      </c>
      <c r="BL5" s="381">
        <v>125168.34</v>
      </c>
      <c r="BM5" s="381">
        <v>131942.32</v>
      </c>
      <c r="BN5" s="381">
        <v>131967.07</v>
      </c>
      <c r="BO5" s="381">
        <v>132861.7</v>
      </c>
      <c r="BP5" s="381">
        <v>131928.04</v>
      </c>
      <c r="BQ5" s="381">
        <v>128662.38</v>
      </c>
      <c r="BR5" s="381">
        <v>126596.66</v>
      </c>
      <c r="BS5" s="381">
        <v>138934.12</v>
      </c>
      <c r="BT5" s="381">
        <v>140064.22</v>
      </c>
      <c r="BU5" s="381">
        <v>138775.67</v>
      </c>
    </row>
    <row r="6" ht="15.75" customHeight="1">
      <c r="A6" s="383" t="s">
        <v>111</v>
      </c>
      <c r="B6" s="383" t="s">
        <v>1979</v>
      </c>
      <c r="C6" s="62" t="s">
        <v>1980</v>
      </c>
      <c r="D6" s="141" t="s">
        <v>1941</v>
      </c>
      <c r="E6" s="27" t="s">
        <v>54</v>
      </c>
      <c r="F6" s="141" t="s">
        <v>158</v>
      </c>
      <c r="G6" s="47" t="str">
        <f t="shared" si="1"/>
        <v>Marcus</v>
      </c>
      <c r="H6" s="73" t="s">
        <v>183</v>
      </c>
      <c r="I6" s="49" t="s">
        <v>382</v>
      </c>
      <c r="J6" s="47" t="str">
        <f t="shared" si="2"/>
        <v>Não</v>
      </c>
      <c r="K6" s="55">
        <v>45924.0</v>
      </c>
      <c r="L6" s="62"/>
      <c r="M6" s="62" t="s">
        <v>136</v>
      </c>
      <c r="N6" s="144">
        <v>0.008</v>
      </c>
      <c r="O6" s="23" t="s">
        <v>66</v>
      </c>
      <c r="P6" s="57">
        <v>0.0</v>
      </c>
      <c r="Q6" s="70"/>
      <c r="R6" s="70"/>
      <c r="S6" s="32" t="s">
        <v>194</v>
      </c>
      <c r="T6" s="384" t="s">
        <v>1983</v>
      </c>
      <c r="U6" s="384"/>
      <c r="V6" s="384"/>
      <c r="W6" s="384"/>
      <c r="X6" s="30" t="s">
        <v>1986</v>
      </c>
      <c r="Y6" s="23" t="str">
        <f t="shared" si="3"/>
        <v>Ativo</v>
      </c>
      <c r="Z6" s="95"/>
      <c r="AA6" s="62"/>
      <c r="AB6" s="62"/>
      <c r="AC6" s="95"/>
      <c r="AD6" s="95"/>
      <c r="AE6" s="95"/>
      <c r="AF6" s="385"/>
      <c r="AG6" s="385"/>
      <c r="AH6" s="385"/>
      <c r="AI6" s="385"/>
      <c r="AJ6" s="385"/>
      <c r="AK6" s="385"/>
      <c r="AL6" s="385"/>
      <c r="AM6" s="385"/>
      <c r="AN6" s="385"/>
      <c r="AO6" s="381"/>
      <c r="AP6" s="381"/>
      <c r="AQ6" s="381"/>
      <c r="AR6" s="381"/>
      <c r="AS6" s="381"/>
      <c r="AT6" s="381"/>
      <c r="AU6" s="381"/>
      <c r="AV6" s="381"/>
      <c r="AW6" s="381"/>
      <c r="AX6" s="381"/>
      <c r="AY6" s="381"/>
      <c r="AZ6" s="381"/>
      <c r="BA6" s="381"/>
      <c r="BB6" s="381"/>
      <c r="BC6" s="381"/>
      <c r="BD6" s="381"/>
      <c r="BE6" s="381"/>
      <c r="BF6" s="381"/>
      <c r="BG6" s="381"/>
      <c r="BH6" s="381"/>
      <c r="BI6" s="381"/>
      <c r="BJ6" s="381"/>
      <c r="BK6" s="381"/>
      <c r="BL6" s="381"/>
      <c r="BM6" s="381">
        <v>1000.0</v>
      </c>
      <c r="BN6" s="381">
        <v>1000.0</v>
      </c>
      <c r="BO6" s="381">
        <v>51230.31</v>
      </c>
      <c r="BP6" s="381">
        <v>52472.15</v>
      </c>
      <c r="BQ6" s="381">
        <v>50850.36</v>
      </c>
      <c r="BR6" s="381">
        <v>49337.0</v>
      </c>
      <c r="BS6" s="381">
        <v>52986.47</v>
      </c>
      <c r="BT6" s="381">
        <v>53993.91</v>
      </c>
      <c r="BU6" s="381">
        <v>52471.97</v>
      </c>
    </row>
    <row r="7" ht="15.75" customHeight="1">
      <c r="A7" s="383" t="s">
        <v>111</v>
      </c>
      <c r="B7" s="42" t="s">
        <v>1989</v>
      </c>
      <c r="C7" s="32" t="s">
        <v>1990</v>
      </c>
      <c r="D7" s="141" t="s">
        <v>120</v>
      </c>
      <c r="E7" s="27" t="s">
        <v>54</v>
      </c>
      <c r="F7" s="141" t="s">
        <v>1393</v>
      </c>
      <c r="G7" s="47" t="str">
        <f t="shared" si="1"/>
        <v>Marcus</v>
      </c>
      <c r="H7" s="73" t="s">
        <v>295</v>
      </c>
      <c r="I7" s="49" t="s">
        <v>382</v>
      </c>
      <c r="J7" s="47" t="str">
        <f t="shared" si="2"/>
        <v>Não</v>
      </c>
      <c r="K7" s="55">
        <v>45372.0</v>
      </c>
      <c r="L7" s="62"/>
      <c r="M7" s="32" t="s">
        <v>136</v>
      </c>
      <c r="N7" s="199">
        <v>0.008</v>
      </c>
      <c r="O7" s="23" t="s">
        <v>66</v>
      </c>
      <c r="P7" s="57">
        <v>0.0</v>
      </c>
      <c r="Q7" s="58"/>
      <c r="R7" s="70"/>
      <c r="S7" s="32" t="s">
        <v>194</v>
      </c>
      <c r="T7" s="384" t="s">
        <v>1993</v>
      </c>
      <c r="U7" s="384"/>
      <c r="V7" s="384"/>
      <c r="W7" s="384"/>
      <c r="X7" s="30" t="s">
        <v>54</v>
      </c>
      <c r="Y7" s="23" t="str">
        <f t="shared" si="3"/>
        <v>Inativo</v>
      </c>
      <c r="Z7" s="95"/>
      <c r="AA7" s="62"/>
      <c r="AB7" s="62"/>
      <c r="AC7" s="95"/>
      <c r="AD7" s="95"/>
      <c r="AE7" s="95"/>
      <c r="AF7" s="381">
        <v>0.0</v>
      </c>
      <c r="AG7" s="381">
        <v>0.0</v>
      </c>
      <c r="AH7" s="381">
        <v>0.0</v>
      </c>
      <c r="AI7" s="381">
        <v>0.0</v>
      </c>
      <c r="AJ7" s="381">
        <v>0.0</v>
      </c>
      <c r="AK7" s="381">
        <v>0.0</v>
      </c>
      <c r="AL7" s="381">
        <v>0.0</v>
      </c>
      <c r="AM7" s="381">
        <v>0.0</v>
      </c>
      <c r="AN7" s="381">
        <v>0.0</v>
      </c>
      <c r="AO7" s="381">
        <v>0.0</v>
      </c>
      <c r="AP7" s="381">
        <v>0.0</v>
      </c>
      <c r="AQ7" s="381">
        <v>0.0</v>
      </c>
      <c r="AR7" s="381">
        <v>0.0</v>
      </c>
      <c r="AS7" s="381">
        <v>0.0</v>
      </c>
      <c r="AT7" s="381">
        <v>0.0</v>
      </c>
      <c r="AU7" s="381">
        <v>207621.11</v>
      </c>
      <c r="AV7" s="381">
        <v>208569.14</v>
      </c>
      <c r="AW7" s="381">
        <v>207651.57</v>
      </c>
      <c r="AX7" s="381">
        <v>210695.56</v>
      </c>
      <c r="AY7" s="381">
        <v>212138.64</v>
      </c>
      <c r="AZ7" s="381">
        <v>214427.72</v>
      </c>
      <c r="BA7" s="381">
        <v>213017.62</v>
      </c>
      <c r="BB7" s="381">
        <v>213280.57</v>
      </c>
      <c r="BC7" s="381">
        <v>3.7</v>
      </c>
      <c r="BD7" s="381">
        <v>0.0</v>
      </c>
      <c r="BE7" s="381">
        <v>0.0</v>
      </c>
      <c r="BF7" s="381">
        <v>0.0</v>
      </c>
      <c r="BG7" s="381">
        <v>0.0</v>
      </c>
      <c r="BH7" s="381">
        <v>0.0</v>
      </c>
      <c r="BI7" s="381">
        <v>0.0</v>
      </c>
      <c r="BJ7" s="381">
        <v>0.0</v>
      </c>
      <c r="BK7" s="381">
        <v>0.0</v>
      </c>
      <c r="BL7" s="381">
        <v>0.0</v>
      </c>
      <c r="BM7" s="381">
        <v>0.0</v>
      </c>
      <c r="BN7" s="381">
        <v>0.0</v>
      </c>
      <c r="BO7" s="381"/>
      <c r="BP7" s="381">
        <v>0.0</v>
      </c>
      <c r="BQ7" s="381"/>
      <c r="BR7" s="381">
        <v>0.0</v>
      </c>
      <c r="BS7" s="381">
        <v>0.0</v>
      </c>
      <c r="BT7" s="381"/>
      <c r="BU7" s="381"/>
    </row>
    <row r="8" ht="15.75" customHeight="1">
      <c r="A8" s="383" t="s">
        <v>111</v>
      </c>
      <c r="B8" s="384" t="s">
        <v>1999</v>
      </c>
      <c r="C8" s="62" t="s">
        <v>2000</v>
      </c>
      <c r="D8" s="63" t="s">
        <v>120</v>
      </c>
      <c r="E8" s="66" t="s">
        <v>199</v>
      </c>
      <c r="F8" s="63" t="s">
        <v>212</v>
      </c>
      <c r="G8" s="47" t="str">
        <f t="shared" si="1"/>
        <v>Marcus</v>
      </c>
      <c r="H8" s="115" t="s">
        <v>224</v>
      </c>
      <c r="I8" s="49" t="s">
        <v>66</v>
      </c>
      <c r="J8" s="47" t="str">
        <f t="shared" si="2"/>
        <v>Não</v>
      </c>
      <c r="K8" s="194">
        <v>45083.0</v>
      </c>
      <c r="L8" s="194">
        <v>45083.0</v>
      </c>
      <c r="M8" s="62" t="s">
        <v>136</v>
      </c>
      <c r="N8" s="144">
        <v>0.008</v>
      </c>
      <c r="O8" s="23" t="s">
        <v>66</v>
      </c>
      <c r="P8" s="57">
        <v>0.0</v>
      </c>
      <c r="Q8" s="70"/>
      <c r="R8" s="70"/>
      <c r="S8" s="62" t="s">
        <v>234</v>
      </c>
      <c r="T8" s="384" t="s">
        <v>2003</v>
      </c>
      <c r="U8" s="384"/>
      <c r="V8" s="384"/>
      <c r="W8" s="384"/>
      <c r="X8" s="30" t="s">
        <v>1739</v>
      </c>
      <c r="Y8" s="23" t="str">
        <f t="shared" si="3"/>
        <v>Encerrado</v>
      </c>
      <c r="Z8" s="95"/>
      <c r="AA8" s="62"/>
      <c r="AB8" s="62"/>
      <c r="AC8" s="95"/>
      <c r="AD8" s="95"/>
      <c r="AE8" s="95"/>
      <c r="AF8" s="385">
        <v>0.0</v>
      </c>
      <c r="AG8" s="385">
        <v>0.0</v>
      </c>
      <c r="AH8" s="385">
        <v>0.0</v>
      </c>
      <c r="AI8" s="385">
        <v>0.0</v>
      </c>
      <c r="AJ8" s="385">
        <v>0.0</v>
      </c>
      <c r="AK8" s="381">
        <v>0.0</v>
      </c>
      <c r="AL8" s="381">
        <v>0.0</v>
      </c>
      <c r="AM8" s="381">
        <v>0.0</v>
      </c>
      <c r="AN8" s="381">
        <v>0.0</v>
      </c>
      <c r="AO8" s="381">
        <v>0.0</v>
      </c>
      <c r="AP8" s="381">
        <v>0.0</v>
      </c>
      <c r="AQ8" s="381">
        <v>0.0</v>
      </c>
      <c r="AR8" s="381">
        <v>0.0</v>
      </c>
      <c r="AS8" s="381">
        <v>0.0</v>
      </c>
      <c r="AT8" s="381">
        <v>0.0</v>
      </c>
      <c r="AU8" s="381">
        <v>0.0</v>
      </c>
      <c r="AV8" s="381">
        <v>0.0</v>
      </c>
      <c r="AW8" s="381">
        <v>0.0</v>
      </c>
      <c r="AX8" s="381">
        <v>0.0</v>
      </c>
      <c r="AY8" s="381">
        <v>0.0</v>
      </c>
      <c r="AZ8" s="381">
        <v>0.0</v>
      </c>
      <c r="BA8" s="381">
        <v>0.0</v>
      </c>
      <c r="BB8" s="381">
        <v>0.0</v>
      </c>
      <c r="BC8" s="381">
        <v>0.0</v>
      </c>
      <c r="BD8" s="381">
        <v>0.0</v>
      </c>
      <c r="BE8" s="381">
        <v>0.0</v>
      </c>
      <c r="BF8" s="381">
        <v>0.0</v>
      </c>
      <c r="BG8" s="381">
        <v>0.0</v>
      </c>
      <c r="BH8" s="381">
        <v>0.0</v>
      </c>
      <c r="BI8" s="381">
        <v>0.0</v>
      </c>
      <c r="BJ8" s="381">
        <v>0.0</v>
      </c>
      <c r="BK8" s="381">
        <v>0.0</v>
      </c>
      <c r="BL8" s="381">
        <v>0.0</v>
      </c>
      <c r="BM8" s="381">
        <v>0.0</v>
      </c>
      <c r="BN8" s="381">
        <v>0.0</v>
      </c>
      <c r="BO8" s="381"/>
      <c r="BP8" s="381">
        <v>0.0</v>
      </c>
      <c r="BQ8" s="381"/>
      <c r="BR8" s="381">
        <v>0.0</v>
      </c>
      <c r="BS8" s="381">
        <v>0.0</v>
      </c>
      <c r="BT8" s="381"/>
      <c r="BU8" s="381"/>
    </row>
    <row r="9" ht="15.75" customHeight="1">
      <c r="A9" s="383" t="s">
        <v>111</v>
      </c>
      <c r="B9" s="383" t="s">
        <v>2006</v>
      </c>
      <c r="C9" s="62" t="s">
        <v>2007</v>
      </c>
      <c r="D9" s="63" t="s">
        <v>120</v>
      </c>
      <c r="E9" s="66" t="s">
        <v>199</v>
      </c>
      <c r="F9" s="63" t="s">
        <v>1914</v>
      </c>
      <c r="G9" s="47" t="str">
        <f t="shared" si="1"/>
        <v>Marcus</v>
      </c>
      <c r="H9" s="73" t="s">
        <v>224</v>
      </c>
      <c r="I9" s="49" t="s">
        <v>66</v>
      </c>
      <c r="J9" s="47" t="str">
        <f t="shared" si="2"/>
        <v>Não</v>
      </c>
      <c r="K9" s="194">
        <v>45040.0</v>
      </c>
      <c r="L9" s="55">
        <v>45565.0</v>
      </c>
      <c r="M9" s="62" t="s">
        <v>136</v>
      </c>
      <c r="N9" s="144">
        <v>0.008</v>
      </c>
      <c r="O9" s="23" t="s">
        <v>66</v>
      </c>
      <c r="P9" s="57">
        <v>0.0</v>
      </c>
      <c r="Q9" s="379"/>
      <c r="R9" s="70"/>
      <c r="S9" s="62" t="s">
        <v>234</v>
      </c>
      <c r="T9" s="384" t="s">
        <v>2009</v>
      </c>
      <c r="U9" s="384"/>
      <c r="V9" s="384"/>
      <c r="W9" s="384"/>
      <c r="X9" s="30" t="s">
        <v>199</v>
      </c>
      <c r="Y9" s="23" t="str">
        <f t="shared" si="3"/>
        <v>Encerrado</v>
      </c>
      <c r="Z9" s="95"/>
      <c r="AA9" s="62"/>
      <c r="AB9" s="62"/>
      <c r="AC9" s="95"/>
      <c r="AD9" s="95"/>
      <c r="AE9" s="95"/>
      <c r="AF9" s="385">
        <v>0.0</v>
      </c>
      <c r="AG9" s="385">
        <v>0.0</v>
      </c>
      <c r="AH9" s="385">
        <v>0.0</v>
      </c>
      <c r="AI9" s="385">
        <v>90191.83</v>
      </c>
      <c r="AJ9" s="385">
        <v>188409.94</v>
      </c>
      <c r="AK9" s="385">
        <v>190915.46</v>
      </c>
      <c r="AL9" s="385">
        <v>195942.82</v>
      </c>
      <c r="AM9" s="385">
        <v>194952.22</v>
      </c>
      <c r="AN9" s="385">
        <v>229416.65</v>
      </c>
      <c r="AO9" s="381">
        <v>222366.04</v>
      </c>
      <c r="AP9" s="381">
        <v>232669.03</v>
      </c>
      <c r="AQ9" s="381">
        <v>235990.65</v>
      </c>
      <c r="AR9" s="381">
        <v>236650.8</v>
      </c>
      <c r="AS9" s="381">
        <v>241714.09</v>
      </c>
      <c r="AT9" s="381">
        <v>336717.54</v>
      </c>
      <c r="AU9" s="381">
        <v>394361.87</v>
      </c>
      <c r="AV9" s="381">
        <v>404708.28</v>
      </c>
      <c r="AW9" s="381">
        <v>413427.96</v>
      </c>
      <c r="AX9" s="381">
        <v>411184.3</v>
      </c>
      <c r="AY9" s="381">
        <v>419905.8</v>
      </c>
      <c r="AZ9" s="381">
        <v>0.0</v>
      </c>
      <c r="BA9" s="381">
        <v>0.0</v>
      </c>
      <c r="BB9" s="381">
        <v>0.0</v>
      </c>
      <c r="BC9" s="381">
        <v>0.0</v>
      </c>
      <c r="BD9" s="381">
        <v>0.0</v>
      </c>
      <c r="BE9" s="381">
        <v>0.0</v>
      </c>
      <c r="BF9" s="381">
        <v>0.0</v>
      </c>
      <c r="BG9" s="381">
        <v>0.0</v>
      </c>
      <c r="BH9" s="381">
        <v>0.0</v>
      </c>
      <c r="BI9" s="381">
        <v>0.0</v>
      </c>
      <c r="BJ9" s="381">
        <v>0.0</v>
      </c>
      <c r="BK9" s="381">
        <v>0.0</v>
      </c>
      <c r="BL9" s="381">
        <v>0.0</v>
      </c>
      <c r="BM9" s="381">
        <v>0.0</v>
      </c>
      <c r="BN9" s="381">
        <v>0.0</v>
      </c>
      <c r="BO9" s="381"/>
      <c r="BP9" s="381">
        <v>0.0</v>
      </c>
      <c r="BQ9" s="381"/>
      <c r="BR9" s="381">
        <v>0.0</v>
      </c>
      <c r="BS9" s="381">
        <v>0.0</v>
      </c>
      <c r="BT9" s="381"/>
      <c r="BU9" s="381"/>
    </row>
    <row r="10" ht="15.75" customHeight="1">
      <c r="A10" s="383" t="s">
        <v>111</v>
      </c>
      <c r="B10" s="387" t="s">
        <v>2014</v>
      </c>
      <c r="C10" s="62" t="s">
        <v>2015</v>
      </c>
      <c r="D10" s="141" t="s">
        <v>1958</v>
      </c>
      <c r="E10" s="66" t="s">
        <v>475</v>
      </c>
      <c r="F10" s="63" t="s">
        <v>1959</v>
      </c>
      <c r="G10" s="47" t="str">
        <f t="shared" si="1"/>
        <v>Marcus</v>
      </c>
      <c r="H10" s="73" t="s">
        <v>224</v>
      </c>
      <c r="I10" s="49" t="s">
        <v>66</v>
      </c>
      <c r="J10" s="47" t="str">
        <f t="shared" si="2"/>
        <v>Não</v>
      </c>
      <c r="K10" s="62"/>
      <c r="L10" s="55">
        <v>45450.0</v>
      </c>
      <c r="M10" s="62" t="s">
        <v>136</v>
      </c>
      <c r="N10" s="144"/>
      <c r="O10" s="23" t="s">
        <v>66</v>
      </c>
      <c r="P10" s="57">
        <v>0.0</v>
      </c>
      <c r="Q10" s="58"/>
      <c r="R10" s="58"/>
      <c r="S10" s="62" t="s">
        <v>234</v>
      </c>
      <c r="T10" s="370" t="s">
        <v>2016</v>
      </c>
      <c r="U10" s="370"/>
      <c r="V10" s="370"/>
      <c r="W10" s="370"/>
      <c r="X10" s="30" t="s">
        <v>1739</v>
      </c>
      <c r="Y10" s="23" t="str">
        <f t="shared" si="3"/>
        <v>Encerrado</v>
      </c>
      <c r="Z10" s="95"/>
      <c r="AA10" s="62"/>
      <c r="AB10" s="62"/>
      <c r="AC10" s="95"/>
      <c r="AD10" s="95"/>
      <c r="AE10" s="95"/>
      <c r="AF10" s="385">
        <v>0.0</v>
      </c>
      <c r="AG10" s="385">
        <v>0.0</v>
      </c>
      <c r="AH10" s="385">
        <v>0.0</v>
      </c>
      <c r="AI10" s="385">
        <v>0.0</v>
      </c>
      <c r="AJ10" s="385">
        <v>50100.0</v>
      </c>
      <c r="AK10" s="385">
        <v>10.96</v>
      </c>
      <c r="AL10" s="385">
        <v>0.0</v>
      </c>
      <c r="AM10" s="385">
        <v>0.0</v>
      </c>
      <c r="AN10" s="385">
        <v>10.96</v>
      </c>
      <c r="AO10" s="381">
        <v>0.0</v>
      </c>
      <c r="AP10" s="381">
        <v>0.0</v>
      </c>
      <c r="AQ10" s="381">
        <v>10.96</v>
      </c>
      <c r="AR10" s="381">
        <v>0.0</v>
      </c>
      <c r="AS10" s="381">
        <v>0.0</v>
      </c>
      <c r="AT10" s="381">
        <v>10.96</v>
      </c>
      <c r="AU10" s="381">
        <v>-39.04</v>
      </c>
      <c r="AV10" s="381">
        <v>0.0</v>
      </c>
      <c r="AW10" s="381">
        <v>0.0</v>
      </c>
      <c r="AX10" s="381">
        <v>0.0</v>
      </c>
      <c r="AY10" s="381">
        <v>0.0</v>
      </c>
      <c r="AZ10" s="381">
        <v>0.0</v>
      </c>
      <c r="BA10" s="381">
        <v>0.0</v>
      </c>
      <c r="BB10" s="381">
        <v>0.0</v>
      </c>
      <c r="BC10" s="381">
        <v>0.0</v>
      </c>
      <c r="BD10" s="381">
        <v>0.0</v>
      </c>
      <c r="BE10" s="381">
        <v>0.0</v>
      </c>
      <c r="BF10" s="381">
        <v>0.0</v>
      </c>
      <c r="BG10" s="381">
        <v>0.0</v>
      </c>
      <c r="BH10" s="381">
        <v>0.0</v>
      </c>
      <c r="BI10" s="381">
        <v>0.0</v>
      </c>
      <c r="BJ10" s="381">
        <v>0.0</v>
      </c>
      <c r="BK10" s="381">
        <v>0.0</v>
      </c>
      <c r="BL10" s="381">
        <v>0.0</v>
      </c>
      <c r="BM10" s="381">
        <v>0.0</v>
      </c>
      <c r="BN10" s="381">
        <v>0.0</v>
      </c>
      <c r="BO10" s="381"/>
      <c r="BP10" s="381">
        <v>0.0</v>
      </c>
      <c r="BQ10" s="381"/>
      <c r="BR10" s="381">
        <v>0.0</v>
      </c>
      <c r="BS10" s="381">
        <v>0.0</v>
      </c>
      <c r="BT10" s="381"/>
      <c r="BU10" s="381"/>
    </row>
    <row r="11" ht="15.75" customHeight="1">
      <c r="A11" s="383" t="s">
        <v>111</v>
      </c>
      <c r="B11" s="42" t="s">
        <v>2023</v>
      </c>
      <c r="C11" s="388" t="s">
        <v>2025</v>
      </c>
      <c r="D11" s="141" t="s">
        <v>255</v>
      </c>
      <c r="E11" s="27" t="s">
        <v>199</v>
      </c>
      <c r="F11" s="141" t="s">
        <v>257</v>
      </c>
      <c r="G11" s="47" t="str">
        <f t="shared" si="1"/>
        <v>Marcus</v>
      </c>
      <c r="H11" s="73" t="s">
        <v>295</v>
      </c>
      <c r="I11" s="49" t="s">
        <v>382</v>
      </c>
      <c r="J11" s="47" t="str">
        <f t="shared" si="2"/>
        <v>Não</v>
      </c>
      <c r="K11" s="55">
        <v>45405.0</v>
      </c>
      <c r="L11" s="62"/>
      <c r="M11" s="32" t="s">
        <v>136</v>
      </c>
      <c r="N11" s="199">
        <v>0.008</v>
      </c>
      <c r="O11" s="23" t="s">
        <v>66</v>
      </c>
      <c r="P11" s="57">
        <v>0.0</v>
      </c>
      <c r="Q11" s="58"/>
      <c r="R11" s="58"/>
      <c r="S11" s="32" t="s">
        <v>234</v>
      </c>
      <c r="T11" s="389">
        <v>2.18056950018E11</v>
      </c>
      <c r="U11" s="389"/>
      <c r="V11" s="389"/>
      <c r="W11" s="389"/>
      <c r="X11" s="30"/>
      <c r="Y11" s="23" t="str">
        <f t="shared" si="3"/>
        <v>Ativo</v>
      </c>
      <c r="Z11" s="95"/>
      <c r="AA11" s="62"/>
      <c r="AB11" s="62"/>
      <c r="AC11" s="95"/>
      <c r="AD11" s="95"/>
      <c r="AE11" s="9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1"/>
      <c r="AP11" s="381"/>
      <c r="AQ11" s="381"/>
      <c r="AR11" s="381"/>
      <c r="AS11" s="381"/>
      <c r="AT11" s="381"/>
      <c r="AU11" s="381">
        <v>0.0</v>
      </c>
      <c r="AV11" s="381">
        <v>0.0</v>
      </c>
      <c r="AW11" s="381">
        <v>0.0</v>
      </c>
      <c r="AX11" s="381">
        <v>0.0</v>
      </c>
      <c r="AY11" s="381">
        <v>0.0</v>
      </c>
      <c r="AZ11" s="381">
        <v>0.0</v>
      </c>
      <c r="BA11" s="381">
        <v>0.0</v>
      </c>
      <c r="BB11" s="381">
        <v>0.0</v>
      </c>
      <c r="BC11" s="381">
        <v>0.0</v>
      </c>
      <c r="BD11" s="381">
        <v>0.0</v>
      </c>
      <c r="BE11" s="381">
        <v>0.0</v>
      </c>
      <c r="BF11" s="381">
        <v>0.0</v>
      </c>
      <c r="BG11" s="381">
        <v>0.0</v>
      </c>
      <c r="BH11" s="381">
        <v>0.0</v>
      </c>
      <c r="BI11" s="381">
        <v>0.0</v>
      </c>
      <c r="BJ11" s="381">
        <v>0.0</v>
      </c>
      <c r="BK11" s="381">
        <v>0.0</v>
      </c>
      <c r="BL11" s="381">
        <v>0.0</v>
      </c>
      <c r="BM11" s="381">
        <v>0.0</v>
      </c>
      <c r="BN11" s="381">
        <v>0.0</v>
      </c>
      <c r="BO11" s="381"/>
      <c r="BP11" s="381">
        <v>0.0</v>
      </c>
      <c r="BQ11" s="381"/>
      <c r="BR11" s="381">
        <v>0.0</v>
      </c>
      <c r="BS11" s="381">
        <v>0.0</v>
      </c>
      <c r="BT11" s="381"/>
      <c r="BU11" s="381"/>
    </row>
    <row r="12" ht="15.75" customHeight="1">
      <c r="A12" s="383" t="s">
        <v>111</v>
      </c>
      <c r="B12" s="42" t="s">
        <v>1594</v>
      </c>
      <c r="C12" s="388" t="s">
        <v>2032</v>
      </c>
      <c r="D12" s="141" t="s">
        <v>120</v>
      </c>
      <c r="E12" s="27" t="s">
        <v>54</v>
      </c>
      <c r="F12" s="141" t="s">
        <v>125</v>
      </c>
      <c r="G12" s="47" t="str">
        <f t="shared" si="1"/>
        <v>Marcus</v>
      </c>
      <c r="H12" s="73" t="s">
        <v>183</v>
      </c>
      <c r="I12" s="49" t="s">
        <v>382</v>
      </c>
      <c r="J12" s="47" t="str">
        <f t="shared" si="2"/>
        <v>Não</v>
      </c>
      <c r="K12" s="55">
        <v>45924.0</v>
      </c>
      <c r="L12" s="62"/>
      <c r="M12" s="32" t="s">
        <v>136</v>
      </c>
      <c r="N12" s="199">
        <v>0.008</v>
      </c>
      <c r="O12" s="23" t="s">
        <v>66</v>
      </c>
      <c r="P12" s="57">
        <v>0.0</v>
      </c>
      <c r="Q12" s="58"/>
      <c r="R12" s="58"/>
      <c r="S12" s="32" t="s">
        <v>194</v>
      </c>
      <c r="T12" s="389" t="s">
        <v>1597</v>
      </c>
      <c r="U12" s="389"/>
      <c r="V12" s="389"/>
      <c r="W12" s="389"/>
      <c r="X12" s="30" t="s">
        <v>54</v>
      </c>
      <c r="Y12" s="23" t="str">
        <f t="shared" si="3"/>
        <v>Ativo</v>
      </c>
      <c r="Z12" s="95"/>
      <c r="AA12" s="62"/>
      <c r="AB12" s="62"/>
      <c r="AC12" s="95"/>
      <c r="AD12" s="95"/>
      <c r="AE12" s="95"/>
      <c r="AF12" s="385"/>
      <c r="AG12" s="385"/>
      <c r="AH12" s="385"/>
      <c r="AI12" s="385"/>
      <c r="AJ12" s="385"/>
      <c r="AK12" s="385"/>
      <c r="AL12" s="385"/>
      <c r="AM12" s="385"/>
      <c r="AN12" s="385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BE12" s="381"/>
      <c r="BF12" s="381"/>
      <c r="BG12" s="381"/>
      <c r="BH12" s="381"/>
      <c r="BI12" s="381"/>
      <c r="BJ12" s="381"/>
      <c r="BK12" s="381"/>
      <c r="BL12" s="381"/>
      <c r="BM12" s="381">
        <v>0.0</v>
      </c>
      <c r="BN12" s="381">
        <v>0.0</v>
      </c>
      <c r="BO12" s="381"/>
      <c r="BP12" s="381">
        <v>5300.0</v>
      </c>
      <c r="BQ12" s="381">
        <v>5345.98</v>
      </c>
      <c r="BR12" s="381">
        <v>5252.78</v>
      </c>
      <c r="BS12" s="381">
        <v>5255.16</v>
      </c>
      <c r="BT12" s="381">
        <v>10146.95</v>
      </c>
      <c r="BU12" s="381">
        <v>10155.32</v>
      </c>
    </row>
    <row r="13" ht="15.75" customHeight="1">
      <c r="A13" s="383" t="s">
        <v>111</v>
      </c>
      <c r="B13" s="390" t="s">
        <v>2038</v>
      </c>
      <c r="C13" s="391" t="s">
        <v>2039</v>
      </c>
      <c r="D13" s="141" t="s">
        <v>120</v>
      </c>
      <c r="E13" s="27" t="s">
        <v>199</v>
      </c>
      <c r="F13" s="141" t="s">
        <v>290</v>
      </c>
      <c r="G13" s="47" t="str">
        <f t="shared" si="1"/>
        <v>Marcus</v>
      </c>
      <c r="H13" s="73" t="s">
        <v>183</v>
      </c>
      <c r="I13" s="49" t="s">
        <v>66</v>
      </c>
      <c r="J13" s="47" t="str">
        <f t="shared" si="2"/>
        <v>Sim</v>
      </c>
      <c r="K13" s="55">
        <v>46027.0</v>
      </c>
      <c r="L13" s="62"/>
      <c r="M13" s="32" t="s">
        <v>136</v>
      </c>
      <c r="N13" s="199">
        <v>0.0115</v>
      </c>
      <c r="O13" s="23" t="s">
        <v>66</v>
      </c>
      <c r="P13" s="57">
        <v>0.0</v>
      </c>
      <c r="Q13" s="58" t="s">
        <v>2040</v>
      </c>
      <c r="R13" s="58"/>
      <c r="S13" s="32" t="s">
        <v>194</v>
      </c>
      <c r="T13" s="389" t="s">
        <v>2041</v>
      </c>
      <c r="U13" s="389" t="s">
        <v>2042</v>
      </c>
      <c r="V13" s="389" t="s">
        <v>2043</v>
      </c>
      <c r="W13" s="392">
        <v>22109.0</v>
      </c>
      <c r="X13" s="30" t="s">
        <v>54</v>
      </c>
      <c r="Y13" s="23" t="str">
        <f t="shared" si="3"/>
        <v>Ativo</v>
      </c>
      <c r="Z13" s="95"/>
      <c r="AA13" s="62"/>
      <c r="AB13" s="62"/>
      <c r="AC13" s="95"/>
      <c r="AD13" s="95"/>
      <c r="AE13" s="95"/>
      <c r="AF13" s="385"/>
      <c r="AG13" s="385"/>
      <c r="AH13" s="385"/>
      <c r="AI13" s="385"/>
      <c r="AJ13" s="385"/>
      <c r="AK13" s="385"/>
      <c r="AL13" s="385"/>
      <c r="AM13" s="385"/>
      <c r="AN13" s="385"/>
      <c r="AO13" s="381"/>
      <c r="AP13" s="381"/>
      <c r="AQ13" s="38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/>
      <c r="BB13" s="381"/>
      <c r="BC13" s="381"/>
      <c r="BD13" s="381"/>
      <c r="BE13" s="381"/>
      <c r="BF13" s="381"/>
      <c r="BG13" s="381"/>
      <c r="BH13" s="381"/>
      <c r="BI13" s="381"/>
      <c r="BJ13" s="381"/>
      <c r="BK13" s="381"/>
      <c r="BL13" s="381"/>
      <c r="BM13" s="381"/>
      <c r="BN13" s="381"/>
      <c r="BO13" s="381"/>
      <c r="BP13" s="381">
        <v>18141.23</v>
      </c>
      <c r="BQ13" s="381">
        <v>33179.45</v>
      </c>
      <c r="BR13" s="381">
        <v>31996.38</v>
      </c>
      <c r="BS13" s="381">
        <v>33999.28</v>
      </c>
      <c r="BT13" s="381">
        <v>34678.61</v>
      </c>
      <c r="BU13" s="381">
        <v>34702.64</v>
      </c>
    </row>
    <row r="14" ht="15.75" customHeight="1">
      <c r="A14" s="383" t="s">
        <v>111</v>
      </c>
      <c r="B14" s="393" t="s">
        <v>565</v>
      </c>
      <c r="C14" s="394" t="s">
        <v>2049</v>
      </c>
      <c r="D14" s="141" t="s">
        <v>120</v>
      </c>
      <c r="E14" s="27" t="s">
        <v>199</v>
      </c>
      <c r="F14" s="141" t="s">
        <v>290</v>
      </c>
      <c r="G14" s="47" t="str">
        <f t="shared" si="1"/>
        <v>Marcus</v>
      </c>
      <c r="H14" s="73" t="s">
        <v>183</v>
      </c>
      <c r="I14" s="49" t="s">
        <v>66</v>
      </c>
      <c r="J14" s="47" t="str">
        <f t="shared" si="2"/>
        <v>Não</v>
      </c>
      <c r="K14" s="55">
        <v>45428.0</v>
      </c>
      <c r="L14" s="62"/>
      <c r="M14" s="32" t="s">
        <v>136</v>
      </c>
      <c r="N14" s="199">
        <v>0.008</v>
      </c>
      <c r="O14" s="23" t="s">
        <v>66</v>
      </c>
      <c r="P14" s="57">
        <v>0.0</v>
      </c>
      <c r="Q14" s="58"/>
      <c r="R14" s="58"/>
      <c r="S14" s="32" t="s">
        <v>194</v>
      </c>
      <c r="T14" s="395" t="s">
        <v>572</v>
      </c>
      <c r="U14" s="395"/>
      <c r="V14" s="395"/>
      <c r="W14" s="395"/>
      <c r="X14" s="396" t="s">
        <v>199</v>
      </c>
      <c r="Y14" s="23" t="str">
        <f t="shared" si="3"/>
        <v>Ativo</v>
      </c>
      <c r="Z14" s="95"/>
      <c r="AA14" s="62"/>
      <c r="AB14" s="62"/>
      <c r="AC14" s="95"/>
      <c r="AD14" s="95"/>
      <c r="AE14" s="9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1"/>
      <c r="AP14" s="381"/>
      <c r="AQ14" s="381"/>
      <c r="AR14" s="381"/>
      <c r="AS14" s="381"/>
      <c r="AT14" s="381"/>
      <c r="AU14" s="381"/>
      <c r="AV14" s="381">
        <v>58965.79</v>
      </c>
      <c r="AW14" s="381">
        <v>97952.84</v>
      </c>
      <c r="AX14" s="381">
        <v>100114.45</v>
      </c>
      <c r="AY14" s="381">
        <v>101083.82</v>
      </c>
      <c r="AZ14" s="381">
        <v>102095.6</v>
      </c>
      <c r="BA14" s="381">
        <v>102095.6</v>
      </c>
      <c r="BB14" s="381">
        <v>141131.62</v>
      </c>
      <c r="BC14" s="381">
        <v>138190.44</v>
      </c>
      <c r="BD14" s="381">
        <v>140537.5</v>
      </c>
      <c r="BE14" s="381">
        <v>141802.45</v>
      </c>
      <c r="BF14" s="381">
        <v>141932.57</v>
      </c>
      <c r="BG14" s="381">
        <v>141753.59</v>
      </c>
      <c r="BH14" s="381">
        <v>141444.13</v>
      </c>
      <c r="BI14" s="381">
        <v>142799.35</v>
      </c>
      <c r="BJ14" s="381">
        <v>200631.22</v>
      </c>
      <c r="BK14" s="381">
        <v>260124.32</v>
      </c>
      <c r="BL14" s="381">
        <v>313433.53</v>
      </c>
      <c r="BM14" s="381">
        <v>315102.0</v>
      </c>
      <c r="BN14" s="381">
        <v>316256.67</v>
      </c>
      <c r="BO14" s="381">
        <v>357670.54</v>
      </c>
      <c r="BP14" s="381">
        <v>361170.53</v>
      </c>
      <c r="BQ14" s="381">
        <v>359700.33</v>
      </c>
      <c r="BR14" s="381">
        <v>350515.95</v>
      </c>
      <c r="BS14" s="381">
        <v>399496.4</v>
      </c>
      <c r="BT14" s="381">
        <v>400678.19</v>
      </c>
      <c r="BU14" s="381">
        <v>427338.22</v>
      </c>
    </row>
    <row r="15" ht="15.75" customHeight="1">
      <c r="A15" s="383" t="s">
        <v>111</v>
      </c>
      <c r="B15" s="399" t="s">
        <v>2055</v>
      </c>
      <c r="C15" s="400" t="s">
        <v>2056</v>
      </c>
      <c r="D15" s="141" t="s">
        <v>120</v>
      </c>
      <c r="E15" s="27" t="s">
        <v>199</v>
      </c>
      <c r="F15" s="141" t="s">
        <v>290</v>
      </c>
      <c r="G15" s="47" t="str">
        <f t="shared" si="1"/>
        <v>Marcus</v>
      </c>
      <c r="H15" s="73" t="s">
        <v>183</v>
      </c>
      <c r="I15" s="49" t="s">
        <v>66</v>
      </c>
      <c r="J15" s="47" t="str">
        <f t="shared" si="2"/>
        <v>Não</v>
      </c>
      <c r="K15" s="55">
        <v>45894.0</v>
      </c>
      <c r="L15" s="62"/>
      <c r="M15" s="32" t="s">
        <v>136</v>
      </c>
      <c r="N15" s="199">
        <v>0.008</v>
      </c>
      <c r="O15" s="23" t="s">
        <v>66</v>
      </c>
      <c r="P15" s="57">
        <v>0.0</v>
      </c>
      <c r="Q15" s="58"/>
      <c r="R15" s="58"/>
      <c r="S15" s="32" t="s">
        <v>194</v>
      </c>
      <c r="T15" s="401" t="s">
        <v>2058</v>
      </c>
      <c r="U15" s="401"/>
      <c r="V15" s="401"/>
      <c r="W15" s="401"/>
      <c r="X15" s="396" t="s">
        <v>199</v>
      </c>
      <c r="Y15" s="23" t="str">
        <f t="shared" si="3"/>
        <v>Inativo</v>
      </c>
      <c r="Z15" s="95"/>
      <c r="AA15" s="62"/>
      <c r="AB15" s="62"/>
      <c r="AC15" s="95"/>
      <c r="AD15" s="95"/>
      <c r="AE15" s="95"/>
      <c r="AF15" s="381">
        <v>0.0</v>
      </c>
      <c r="AG15" s="381">
        <v>0.0</v>
      </c>
      <c r="AH15" s="381">
        <v>0.0</v>
      </c>
      <c r="AI15" s="381">
        <v>0.0</v>
      </c>
      <c r="AJ15" s="381">
        <v>0.0</v>
      </c>
      <c r="AK15" s="381">
        <v>0.0</v>
      </c>
      <c r="AL15" s="381">
        <v>0.0</v>
      </c>
      <c r="AM15" s="381">
        <v>0.0</v>
      </c>
      <c r="AN15" s="381">
        <v>0.0</v>
      </c>
      <c r="AO15" s="381">
        <v>0.0</v>
      </c>
      <c r="AP15" s="381">
        <v>0.0</v>
      </c>
      <c r="AQ15" s="381">
        <v>0.0</v>
      </c>
      <c r="AR15" s="381">
        <v>0.0</v>
      </c>
      <c r="AS15" s="381">
        <v>0.0</v>
      </c>
      <c r="AT15" s="381">
        <v>0.0</v>
      </c>
      <c r="AU15" s="381">
        <v>0.0</v>
      </c>
      <c r="AV15" s="381">
        <v>0.0</v>
      </c>
      <c r="AW15" s="381">
        <v>0.0</v>
      </c>
      <c r="AX15" s="381">
        <v>0.0</v>
      </c>
      <c r="AY15" s="381">
        <v>0.0</v>
      </c>
      <c r="AZ15" s="381">
        <v>0.0</v>
      </c>
      <c r="BA15" s="381">
        <v>0.0</v>
      </c>
      <c r="BB15" s="381">
        <v>0.0</v>
      </c>
      <c r="BC15" s="381">
        <v>0.0</v>
      </c>
      <c r="BD15" s="381">
        <v>0.0</v>
      </c>
      <c r="BE15" s="381">
        <v>0.0</v>
      </c>
      <c r="BF15" s="381">
        <v>0.0</v>
      </c>
      <c r="BG15" s="381">
        <v>0.0</v>
      </c>
      <c r="BH15" s="381">
        <v>0.0</v>
      </c>
      <c r="BI15" s="381">
        <v>0.0</v>
      </c>
      <c r="BJ15" s="381">
        <v>0.0</v>
      </c>
      <c r="BK15" s="381">
        <v>17721.21</v>
      </c>
      <c r="BL15" s="381">
        <v>17737.8</v>
      </c>
      <c r="BM15" s="381">
        <v>17924.73</v>
      </c>
      <c r="BN15" s="381">
        <v>17917.89</v>
      </c>
      <c r="BO15" s="381">
        <v>17954.7</v>
      </c>
      <c r="BP15" s="381">
        <v>18263.81</v>
      </c>
      <c r="BQ15" s="381">
        <v>18079.75</v>
      </c>
      <c r="BR15" s="381">
        <v>17670.31</v>
      </c>
      <c r="BS15" s="381">
        <v>18249.66</v>
      </c>
      <c r="BT15" s="381">
        <v>18339.14</v>
      </c>
      <c r="BU15" s="381">
        <v>18020.61</v>
      </c>
    </row>
    <row r="16" ht="15.75" customHeight="1">
      <c r="A16" s="383" t="s">
        <v>111</v>
      </c>
      <c r="B16" s="399" t="s">
        <v>2061</v>
      </c>
      <c r="C16" s="400" t="s">
        <v>2062</v>
      </c>
      <c r="D16" s="141" t="s">
        <v>120</v>
      </c>
      <c r="E16" s="27" t="s">
        <v>54</v>
      </c>
      <c r="F16" s="141" t="s">
        <v>125</v>
      </c>
      <c r="G16" s="47" t="str">
        <f t="shared" si="1"/>
        <v>Marcus</v>
      </c>
      <c r="H16" s="73" t="s">
        <v>183</v>
      </c>
      <c r="I16" s="49" t="s">
        <v>382</v>
      </c>
      <c r="J16" s="47" t="str">
        <f t="shared" si="2"/>
        <v>Não</v>
      </c>
      <c r="K16" s="55">
        <v>45915.0</v>
      </c>
      <c r="L16" s="62"/>
      <c r="M16" s="32" t="s">
        <v>136</v>
      </c>
      <c r="N16" s="199">
        <v>0.008</v>
      </c>
      <c r="O16" s="23" t="s">
        <v>66</v>
      </c>
      <c r="P16" s="57">
        <v>0.0</v>
      </c>
      <c r="Q16" s="58"/>
      <c r="R16" s="58"/>
      <c r="S16" s="32" t="s">
        <v>194</v>
      </c>
      <c r="T16" s="401" t="s">
        <v>2065</v>
      </c>
      <c r="U16" s="401"/>
      <c r="V16" s="401"/>
      <c r="W16" s="401"/>
      <c r="X16" s="396"/>
      <c r="Y16" s="23" t="str">
        <f t="shared" si="3"/>
        <v>Ativo</v>
      </c>
      <c r="Z16" s="95"/>
      <c r="AA16" s="62"/>
      <c r="AB16" s="62"/>
      <c r="AC16" s="95"/>
      <c r="AD16" s="95"/>
      <c r="AE16" s="95"/>
      <c r="AF16" s="385"/>
      <c r="AG16" s="385"/>
      <c r="AH16" s="385"/>
      <c r="AI16" s="385"/>
      <c r="AJ16" s="385"/>
      <c r="AK16" s="385"/>
      <c r="AL16" s="385"/>
      <c r="AM16" s="385"/>
      <c r="AN16" s="385"/>
      <c r="AO16" s="381"/>
      <c r="AP16" s="381"/>
      <c r="AQ16" s="381"/>
      <c r="AR16" s="381"/>
      <c r="AS16" s="381"/>
      <c r="AT16" s="381"/>
      <c r="AU16" s="381"/>
      <c r="AV16" s="381"/>
      <c r="AW16" s="381"/>
      <c r="AX16" s="381"/>
      <c r="AY16" s="381"/>
      <c r="AZ16" s="381"/>
      <c r="BA16" s="381"/>
      <c r="BB16" s="381"/>
      <c r="BC16" s="381"/>
      <c r="BD16" s="381"/>
      <c r="BE16" s="381"/>
      <c r="BF16" s="381"/>
      <c r="BG16" s="381"/>
      <c r="BH16" s="381"/>
      <c r="BI16" s="381"/>
      <c r="BJ16" s="381"/>
      <c r="BK16" s="381"/>
      <c r="BL16" s="381"/>
      <c r="BM16" s="381">
        <v>0.0</v>
      </c>
      <c r="BN16" s="381">
        <v>0.0</v>
      </c>
      <c r="BO16" s="381"/>
      <c r="BP16" s="381">
        <v>0.0</v>
      </c>
      <c r="BQ16" s="381"/>
      <c r="BR16" s="381">
        <v>0.0</v>
      </c>
      <c r="BS16" s="381">
        <v>0.0</v>
      </c>
      <c r="BT16" s="381"/>
      <c r="BU16" s="381"/>
    </row>
    <row r="17" ht="15.75" customHeight="1">
      <c r="A17" s="383" t="s">
        <v>111</v>
      </c>
      <c r="B17" s="383" t="s">
        <v>2069</v>
      </c>
      <c r="C17" s="62" t="s">
        <v>2070</v>
      </c>
      <c r="D17" s="63" t="s">
        <v>120</v>
      </c>
      <c r="E17" s="66" t="s">
        <v>199</v>
      </c>
      <c r="F17" s="63" t="s">
        <v>212</v>
      </c>
      <c r="G17" s="47" t="str">
        <f t="shared" si="1"/>
        <v>Marcus</v>
      </c>
      <c r="H17" s="115" t="s">
        <v>224</v>
      </c>
      <c r="I17" s="49" t="s">
        <v>66</v>
      </c>
      <c r="J17" s="47" t="str">
        <f t="shared" si="2"/>
        <v>Não</v>
      </c>
      <c r="K17" s="194"/>
      <c r="L17" s="194">
        <v>45083.0</v>
      </c>
      <c r="M17" s="62" t="s">
        <v>136</v>
      </c>
      <c r="N17" s="144">
        <v>0.008</v>
      </c>
      <c r="O17" s="23" t="s">
        <v>66</v>
      </c>
      <c r="P17" s="57">
        <v>0.0</v>
      </c>
      <c r="Q17" s="70"/>
      <c r="R17" s="70"/>
      <c r="S17" s="62" t="s">
        <v>194</v>
      </c>
      <c r="T17" s="384" t="s">
        <v>2073</v>
      </c>
      <c r="U17" s="384"/>
      <c r="V17" s="384"/>
      <c r="W17" s="384"/>
      <c r="X17" s="30" t="s">
        <v>199</v>
      </c>
      <c r="Y17" s="23" t="str">
        <f t="shared" si="3"/>
        <v>Encerrado</v>
      </c>
      <c r="Z17" s="95"/>
      <c r="AA17" s="62"/>
      <c r="AB17" s="62"/>
      <c r="AC17" s="95"/>
      <c r="AD17" s="95"/>
      <c r="AE17" s="95"/>
      <c r="AF17" s="385">
        <v>0.0</v>
      </c>
      <c r="AG17" s="385">
        <v>0.0</v>
      </c>
      <c r="AH17" s="385">
        <v>0.0</v>
      </c>
      <c r="AI17" s="385">
        <v>0.0</v>
      </c>
      <c r="AJ17" s="381">
        <v>0.0</v>
      </c>
      <c r="AK17" s="381">
        <v>0.0</v>
      </c>
      <c r="AL17" s="381">
        <v>0.0</v>
      </c>
      <c r="AM17" s="381">
        <v>0.0</v>
      </c>
      <c r="AN17" s="381">
        <v>0.0</v>
      </c>
      <c r="AO17" s="381">
        <v>0.0</v>
      </c>
      <c r="AP17" s="381">
        <v>0.0</v>
      </c>
      <c r="AQ17" s="381">
        <v>0.0</v>
      </c>
      <c r="AR17" s="381">
        <v>0.0</v>
      </c>
      <c r="AS17" s="381">
        <v>0.0</v>
      </c>
      <c r="AT17" s="381">
        <v>0.0</v>
      </c>
      <c r="AU17" s="381">
        <v>0.0</v>
      </c>
      <c r="AV17" s="381">
        <v>0.0</v>
      </c>
      <c r="AW17" s="381">
        <v>0.0</v>
      </c>
      <c r="AX17" s="381">
        <v>0.0</v>
      </c>
      <c r="AY17" s="381">
        <v>0.0</v>
      </c>
      <c r="AZ17" s="381">
        <v>0.0</v>
      </c>
      <c r="BA17" s="381">
        <v>0.0</v>
      </c>
      <c r="BB17" s="381">
        <v>0.0</v>
      </c>
      <c r="BC17" s="381">
        <v>0.0</v>
      </c>
      <c r="BD17" s="381">
        <v>0.0</v>
      </c>
      <c r="BE17" s="381">
        <v>0.0</v>
      </c>
      <c r="BF17" s="381">
        <v>0.0</v>
      </c>
      <c r="BG17" s="381">
        <v>0.0</v>
      </c>
      <c r="BH17" s="381">
        <v>0.0</v>
      </c>
      <c r="BI17" s="381">
        <v>0.0</v>
      </c>
      <c r="BJ17" s="381">
        <v>0.0</v>
      </c>
      <c r="BK17" s="381">
        <v>0.0</v>
      </c>
      <c r="BL17" s="381">
        <v>0.0</v>
      </c>
      <c r="BM17" s="381">
        <v>0.0</v>
      </c>
      <c r="BN17" s="381">
        <v>0.0</v>
      </c>
      <c r="BO17" s="381"/>
      <c r="BP17" s="381">
        <v>0.0</v>
      </c>
      <c r="BQ17" s="381"/>
      <c r="BR17" s="381">
        <v>0.0</v>
      </c>
      <c r="BS17" s="381">
        <v>0.0</v>
      </c>
      <c r="BT17" s="381"/>
      <c r="BU17" s="381"/>
    </row>
    <row r="18" ht="15.75" customHeight="1">
      <c r="A18" s="383" t="s">
        <v>111</v>
      </c>
      <c r="B18" s="384" t="s">
        <v>2076</v>
      </c>
      <c r="C18" s="32" t="s">
        <v>2077</v>
      </c>
      <c r="D18" s="141" t="s">
        <v>120</v>
      </c>
      <c r="E18" s="27" t="s">
        <v>199</v>
      </c>
      <c r="F18" s="141" t="s">
        <v>290</v>
      </c>
      <c r="G18" s="47" t="str">
        <f t="shared" si="1"/>
        <v>Marcus</v>
      </c>
      <c r="H18" s="73" t="s">
        <v>183</v>
      </c>
      <c r="I18" s="49" t="s">
        <v>66</v>
      </c>
      <c r="J18" s="47" t="str">
        <f t="shared" si="2"/>
        <v>Não</v>
      </c>
      <c r="K18" s="55">
        <v>45882.0</v>
      </c>
      <c r="L18" s="194"/>
      <c r="M18" s="32" t="s">
        <v>136</v>
      </c>
      <c r="N18" s="199">
        <v>0.008</v>
      </c>
      <c r="O18" s="23" t="s">
        <v>66</v>
      </c>
      <c r="P18" s="57">
        <v>0.0</v>
      </c>
      <c r="Q18" s="70"/>
      <c r="R18" s="70"/>
      <c r="S18" s="32" t="s">
        <v>194</v>
      </c>
      <c r="T18" s="384" t="s">
        <v>2080</v>
      </c>
      <c r="U18" s="384"/>
      <c r="V18" s="384"/>
      <c r="W18" s="384"/>
      <c r="X18" s="30" t="s">
        <v>199</v>
      </c>
      <c r="Y18" s="23" t="str">
        <f t="shared" si="3"/>
        <v>Ativo</v>
      </c>
      <c r="Z18" s="95"/>
      <c r="AA18" s="62"/>
      <c r="AB18" s="62"/>
      <c r="AC18" s="95"/>
      <c r="AD18" s="95"/>
      <c r="AE18" s="95"/>
      <c r="AF18" s="385"/>
      <c r="AG18" s="385"/>
      <c r="AH18" s="385"/>
      <c r="AI18" s="385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1"/>
      <c r="AV18" s="381"/>
      <c r="AW18" s="381"/>
      <c r="AX18" s="381"/>
      <c r="AY18" s="381"/>
      <c r="AZ18" s="381"/>
      <c r="BA18" s="381"/>
      <c r="BB18" s="381"/>
      <c r="BC18" s="381"/>
      <c r="BD18" s="381"/>
      <c r="BE18" s="381"/>
      <c r="BF18" s="381"/>
      <c r="BG18" s="381"/>
      <c r="BH18" s="381"/>
      <c r="BI18" s="381">
        <v>0.0</v>
      </c>
      <c r="BJ18" s="381">
        <v>0.0</v>
      </c>
      <c r="BK18" s="381">
        <v>161361.94</v>
      </c>
      <c r="BL18" s="381">
        <v>163040.58</v>
      </c>
      <c r="BM18" s="381">
        <v>162864.83</v>
      </c>
      <c r="BN18" s="381">
        <v>162864.83</v>
      </c>
      <c r="BO18" s="381">
        <v>163385.46</v>
      </c>
      <c r="BP18" s="381">
        <v>164623.84</v>
      </c>
      <c r="BQ18" s="381">
        <v>164623.84</v>
      </c>
      <c r="BR18" s="381">
        <v>164388.46</v>
      </c>
      <c r="BS18" s="381">
        <v>164621.78</v>
      </c>
      <c r="BT18" s="381">
        <v>164519.5</v>
      </c>
      <c r="BU18" s="381">
        <v>248787.76</v>
      </c>
    </row>
    <row r="19" ht="15.75" customHeight="1">
      <c r="A19" s="383" t="s">
        <v>111</v>
      </c>
      <c r="B19" s="383" t="s">
        <v>2083</v>
      </c>
      <c r="C19" s="62" t="s">
        <v>2084</v>
      </c>
      <c r="D19" s="141" t="s">
        <v>1958</v>
      </c>
      <c r="E19" s="66" t="s">
        <v>475</v>
      </c>
      <c r="F19" s="63" t="s">
        <v>1959</v>
      </c>
      <c r="G19" s="47" t="str">
        <f t="shared" si="1"/>
        <v>Marcus</v>
      </c>
      <c r="H19" s="73" t="s">
        <v>224</v>
      </c>
      <c r="I19" s="49" t="s">
        <v>66</v>
      </c>
      <c r="J19" s="47" t="str">
        <f t="shared" si="2"/>
        <v>Não</v>
      </c>
      <c r="K19" s="62"/>
      <c r="L19" s="55">
        <v>45450.0</v>
      </c>
      <c r="M19" s="62" t="s">
        <v>136</v>
      </c>
      <c r="N19" s="144"/>
      <c r="O19" s="23" t="s">
        <v>66</v>
      </c>
      <c r="P19" s="57">
        <v>0.0</v>
      </c>
      <c r="Q19" s="135"/>
      <c r="R19" s="135"/>
      <c r="S19" s="62" t="s">
        <v>234</v>
      </c>
      <c r="T19" s="384" t="s">
        <v>2087</v>
      </c>
      <c r="U19" s="384"/>
      <c r="V19" s="384"/>
      <c r="W19" s="384"/>
      <c r="X19" s="30" t="s">
        <v>1739</v>
      </c>
      <c r="Y19" s="23" t="str">
        <f t="shared" si="3"/>
        <v>Encerrado</v>
      </c>
      <c r="Z19" s="95"/>
      <c r="AA19" s="62"/>
      <c r="AB19" s="62"/>
      <c r="AC19" s="95"/>
      <c r="AD19" s="95"/>
      <c r="AE19" s="95"/>
      <c r="AF19" s="385">
        <v>0.0</v>
      </c>
      <c r="AG19" s="385">
        <v>0.0</v>
      </c>
      <c r="AH19" s="385">
        <v>0.0</v>
      </c>
      <c r="AI19" s="385">
        <v>0.0</v>
      </c>
      <c r="AJ19" s="385">
        <v>50000.0</v>
      </c>
      <c r="AK19" s="385">
        <v>42.47</v>
      </c>
      <c r="AL19" s="385">
        <v>0.0</v>
      </c>
      <c r="AM19" s="385">
        <v>0.0</v>
      </c>
      <c r="AN19" s="385">
        <v>42.47</v>
      </c>
      <c r="AO19" s="381">
        <v>0.0</v>
      </c>
      <c r="AP19" s="381">
        <v>0.0</v>
      </c>
      <c r="AQ19" s="381">
        <v>42.47</v>
      </c>
      <c r="AR19" s="381">
        <v>0.0</v>
      </c>
      <c r="AS19" s="381">
        <v>0.0</v>
      </c>
      <c r="AT19" s="381">
        <v>42.47</v>
      </c>
      <c r="AU19" s="381">
        <v>-7.53</v>
      </c>
      <c r="AV19" s="381">
        <v>0.0</v>
      </c>
      <c r="AW19" s="381">
        <v>0.0</v>
      </c>
      <c r="AX19" s="381">
        <v>0.0</v>
      </c>
      <c r="AY19" s="381">
        <v>0.0</v>
      </c>
      <c r="AZ19" s="381">
        <v>0.0</v>
      </c>
      <c r="BA19" s="381">
        <v>0.0</v>
      </c>
      <c r="BB19" s="381">
        <v>0.0</v>
      </c>
      <c r="BC19" s="381">
        <v>0.0</v>
      </c>
      <c r="BD19" s="381">
        <v>0.0</v>
      </c>
      <c r="BE19" s="381">
        <v>0.0</v>
      </c>
      <c r="BF19" s="381">
        <v>0.0</v>
      </c>
      <c r="BG19" s="381">
        <v>0.0</v>
      </c>
      <c r="BH19" s="381">
        <v>0.0</v>
      </c>
      <c r="BI19" s="381">
        <v>0.0</v>
      </c>
      <c r="BJ19" s="381">
        <v>0.0</v>
      </c>
      <c r="BK19" s="381">
        <v>0.0</v>
      </c>
      <c r="BL19" s="381">
        <v>0.0</v>
      </c>
      <c r="BM19" s="381">
        <v>0.0</v>
      </c>
      <c r="BN19" s="381">
        <v>0.0</v>
      </c>
      <c r="BO19" s="381"/>
      <c r="BP19" s="381">
        <v>0.0</v>
      </c>
      <c r="BQ19" s="381"/>
      <c r="BR19" s="381">
        <v>0.0</v>
      </c>
      <c r="BS19" s="381">
        <v>0.0</v>
      </c>
      <c r="BT19" s="381"/>
      <c r="BU19" s="381"/>
    </row>
    <row r="20" ht="15.75" customHeight="1">
      <c r="A20" s="176" t="s">
        <v>111</v>
      </c>
      <c r="B20" s="383" t="s">
        <v>2094</v>
      </c>
      <c r="C20" s="95" t="s">
        <v>2095</v>
      </c>
      <c r="D20" s="141" t="s">
        <v>1958</v>
      </c>
      <c r="E20" s="66" t="s">
        <v>475</v>
      </c>
      <c r="F20" s="63" t="s">
        <v>1959</v>
      </c>
      <c r="G20" s="47" t="str">
        <f t="shared" si="1"/>
        <v>Bruno</v>
      </c>
      <c r="H20" s="73" t="s">
        <v>224</v>
      </c>
      <c r="I20" s="49" t="s">
        <v>66</v>
      </c>
      <c r="J20" s="47" t="str">
        <f t="shared" si="2"/>
        <v>Não</v>
      </c>
      <c r="K20" s="382">
        <v>45084.0</v>
      </c>
      <c r="L20" s="244">
        <v>45504.0</v>
      </c>
      <c r="M20" s="95" t="s">
        <v>136</v>
      </c>
      <c r="N20" s="366">
        <v>0.0075</v>
      </c>
      <c r="O20" s="23" t="s">
        <v>66</v>
      </c>
      <c r="P20" s="57">
        <v>0.0</v>
      </c>
      <c r="Q20" s="160"/>
      <c r="R20" s="160"/>
      <c r="S20" s="95" t="s">
        <v>234</v>
      </c>
      <c r="T20" s="384" t="s">
        <v>2100</v>
      </c>
      <c r="U20" s="384"/>
      <c r="V20" s="384"/>
      <c r="W20" s="384"/>
      <c r="X20" s="30" t="s">
        <v>1739</v>
      </c>
      <c r="Y20" s="23" t="str">
        <f t="shared" si="3"/>
        <v>Encerrado</v>
      </c>
      <c r="Z20" s="95"/>
      <c r="AA20" s="95"/>
      <c r="AB20" s="95"/>
      <c r="AC20" s="95"/>
      <c r="AD20" s="95"/>
      <c r="AE20" s="95"/>
      <c r="AF20" s="380">
        <v>0.0</v>
      </c>
      <c r="AG20" s="380">
        <v>0.0</v>
      </c>
      <c r="AH20" s="380">
        <v>0.0</v>
      </c>
      <c r="AI20" s="380">
        <v>0.0</v>
      </c>
      <c r="AJ20" s="380">
        <v>100.0</v>
      </c>
      <c r="AK20" s="380">
        <v>147111.77</v>
      </c>
      <c r="AL20" s="380">
        <v>293154.95</v>
      </c>
      <c r="AM20" s="380">
        <v>393861.7</v>
      </c>
      <c r="AN20" s="380">
        <v>390340.6</v>
      </c>
      <c r="AO20" s="381">
        <v>508721.84</v>
      </c>
      <c r="AP20" s="381">
        <v>607243.78</v>
      </c>
      <c r="AQ20" s="381">
        <v>857931.72</v>
      </c>
      <c r="AR20" s="381">
        <v>860524.93</v>
      </c>
      <c r="AS20" s="381">
        <v>855358.56</v>
      </c>
      <c r="AT20" s="381">
        <v>862420.34</v>
      </c>
      <c r="AU20" s="381">
        <v>845912.78</v>
      </c>
      <c r="AV20" s="381">
        <v>856159.29</v>
      </c>
      <c r="AW20" s="381">
        <v>862179.54</v>
      </c>
      <c r="AX20" s="381">
        <v>876440.29</v>
      </c>
      <c r="AY20" s="381">
        <v>0.0</v>
      </c>
      <c r="AZ20" s="381">
        <v>0.0</v>
      </c>
      <c r="BA20" s="381">
        <v>0.0</v>
      </c>
      <c r="BB20" s="381">
        <v>0.0</v>
      </c>
      <c r="BC20" s="381">
        <v>0.0</v>
      </c>
      <c r="BD20" s="381">
        <v>0.0</v>
      </c>
      <c r="BE20" s="381">
        <v>0.0</v>
      </c>
      <c r="BF20" s="381">
        <v>0.0</v>
      </c>
      <c r="BG20" s="381">
        <v>0.0</v>
      </c>
      <c r="BH20" s="381">
        <v>0.0</v>
      </c>
      <c r="BI20" s="381">
        <v>0.0</v>
      </c>
      <c r="BJ20" s="381">
        <v>0.0</v>
      </c>
      <c r="BK20" s="381">
        <v>0.0</v>
      </c>
      <c r="BL20" s="381">
        <v>0.0</v>
      </c>
      <c r="BM20" s="381">
        <v>0.0</v>
      </c>
      <c r="BN20" s="381">
        <v>0.0</v>
      </c>
      <c r="BO20" s="381"/>
      <c r="BP20" s="381">
        <v>0.0</v>
      </c>
      <c r="BQ20" s="381"/>
      <c r="BR20" s="381">
        <v>0.0</v>
      </c>
      <c r="BS20" s="381">
        <v>0.0</v>
      </c>
      <c r="BT20" s="381"/>
      <c r="BU20" s="381"/>
    </row>
    <row r="21" ht="15.75" customHeight="1">
      <c r="A21" s="176" t="s">
        <v>111</v>
      </c>
      <c r="B21" s="384" t="s">
        <v>2104</v>
      </c>
      <c r="C21" s="22" t="s">
        <v>2105</v>
      </c>
      <c r="D21" s="141" t="s">
        <v>120</v>
      </c>
      <c r="E21" s="27" t="s">
        <v>54</v>
      </c>
      <c r="F21" s="141" t="s">
        <v>125</v>
      </c>
      <c r="G21" s="47" t="str">
        <f t="shared" si="1"/>
        <v>Marcus</v>
      </c>
      <c r="H21" s="73" t="s">
        <v>183</v>
      </c>
      <c r="I21" s="49" t="s">
        <v>66</v>
      </c>
      <c r="J21" s="47" t="str">
        <f t="shared" si="2"/>
        <v>Sim</v>
      </c>
      <c r="K21" s="244">
        <v>46155.0</v>
      </c>
      <c r="L21" s="244"/>
      <c r="M21" s="22" t="s">
        <v>136</v>
      </c>
      <c r="N21" s="29">
        <v>0.015</v>
      </c>
      <c r="O21" s="23" t="s">
        <v>66</v>
      </c>
      <c r="P21" s="57">
        <v>0.0</v>
      </c>
      <c r="Q21" s="163" t="s">
        <v>2107</v>
      </c>
      <c r="R21" s="160"/>
      <c r="S21" s="22" t="s">
        <v>194</v>
      </c>
      <c r="T21" s="384" t="s">
        <v>2108</v>
      </c>
      <c r="U21" s="384" t="s">
        <v>2109</v>
      </c>
      <c r="V21" s="384" t="s">
        <v>2110</v>
      </c>
      <c r="W21" s="407">
        <v>31596.0</v>
      </c>
      <c r="X21" s="30" t="s">
        <v>199</v>
      </c>
      <c r="Y21" s="23" t="str">
        <f t="shared" si="3"/>
        <v>Ativo</v>
      </c>
      <c r="Z21" s="95"/>
      <c r="AA21" s="22" t="s">
        <v>47</v>
      </c>
      <c r="AB21" s="95"/>
      <c r="AC21" s="95"/>
      <c r="AD21" s="95"/>
      <c r="AE21" s="95"/>
      <c r="AF21" s="380"/>
      <c r="AG21" s="380"/>
      <c r="AH21" s="380"/>
      <c r="AI21" s="380"/>
      <c r="AJ21" s="380"/>
      <c r="AK21" s="380"/>
      <c r="AL21" s="380"/>
      <c r="AM21" s="380"/>
      <c r="AN21" s="380"/>
      <c r="AO21" s="381"/>
      <c r="AP21" s="381"/>
      <c r="AQ21" s="381"/>
      <c r="AR21" s="381"/>
      <c r="AS21" s="381"/>
      <c r="AT21" s="381"/>
      <c r="AU21" s="381"/>
      <c r="AV21" s="381"/>
      <c r="AW21" s="381"/>
      <c r="AX21" s="381"/>
      <c r="AY21" s="381"/>
      <c r="AZ21" s="381"/>
      <c r="BA21" s="381"/>
      <c r="BB21" s="381"/>
      <c r="BC21" s="381"/>
      <c r="BD21" s="381"/>
      <c r="BE21" s="381"/>
      <c r="BF21" s="381"/>
      <c r="BG21" s="381"/>
      <c r="BH21" s="381"/>
      <c r="BI21" s="381"/>
      <c r="BJ21" s="381"/>
      <c r="BK21" s="381"/>
      <c r="BL21" s="381"/>
      <c r="BM21" s="381"/>
      <c r="BN21" s="381"/>
      <c r="BO21" s="381"/>
      <c r="BP21" s="381"/>
      <c r="BQ21" s="381"/>
      <c r="BR21" s="381"/>
      <c r="BS21" s="381">
        <v>0.0</v>
      </c>
      <c r="BT21" s="381">
        <v>25645.31</v>
      </c>
      <c r="BU21" s="381">
        <v>36153.6</v>
      </c>
    </row>
    <row r="22" ht="15.75" customHeight="1">
      <c r="A22" s="176" t="s">
        <v>111</v>
      </c>
      <c r="B22" s="383" t="s">
        <v>2120</v>
      </c>
      <c r="C22" s="408" t="s">
        <v>2121</v>
      </c>
      <c r="D22" s="63" t="s">
        <v>1941</v>
      </c>
      <c r="E22" s="66" t="s">
        <v>54</v>
      </c>
      <c r="F22" s="66" t="s">
        <v>158</v>
      </c>
      <c r="G22" s="47" t="str">
        <f t="shared" si="1"/>
        <v>Marcus</v>
      </c>
      <c r="H22" s="73" t="s">
        <v>183</v>
      </c>
      <c r="I22" s="49" t="s">
        <v>66</v>
      </c>
      <c r="J22" s="47" t="str">
        <f t="shared" si="2"/>
        <v>Não</v>
      </c>
      <c r="K22" s="382">
        <v>45231.0</v>
      </c>
      <c r="L22" s="95"/>
      <c r="M22" s="95" t="s">
        <v>136</v>
      </c>
      <c r="N22" s="366">
        <v>0.009</v>
      </c>
      <c r="O22" s="23" t="s">
        <v>66</v>
      </c>
      <c r="P22" s="57">
        <v>0.0</v>
      </c>
      <c r="Q22" s="160"/>
      <c r="R22" s="160"/>
      <c r="S22" s="95" t="s">
        <v>194</v>
      </c>
      <c r="T22" s="384" t="s">
        <v>2124</v>
      </c>
      <c r="U22" s="384"/>
      <c r="V22" s="384"/>
      <c r="W22" s="384"/>
      <c r="X22" s="30" t="s">
        <v>1739</v>
      </c>
      <c r="Y22" s="23" t="str">
        <f t="shared" si="3"/>
        <v>Ativo</v>
      </c>
      <c r="Z22" s="95"/>
      <c r="AA22" s="95"/>
      <c r="AB22" s="95"/>
      <c r="AC22" s="95"/>
      <c r="AD22" s="95"/>
      <c r="AE22" s="95"/>
      <c r="AF22" s="380">
        <v>0.0</v>
      </c>
      <c r="AG22" s="380">
        <v>0.0</v>
      </c>
      <c r="AH22" s="380">
        <v>0.0</v>
      </c>
      <c r="AI22" s="380">
        <v>0.0</v>
      </c>
      <c r="AJ22" s="380">
        <v>0.0</v>
      </c>
      <c r="AK22" s="380">
        <v>0.0</v>
      </c>
      <c r="AL22" s="380">
        <v>0.0</v>
      </c>
      <c r="AM22" s="380">
        <v>0.0</v>
      </c>
      <c r="AN22" s="380">
        <v>0.0</v>
      </c>
      <c r="AO22" s="381">
        <v>0.0</v>
      </c>
      <c r="AP22" s="381">
        <v>99189.89</v>
      </c>
      <c r="AQ22" s="381">
        <v>102048.49</v>
      </c>
      <c r="AR22" s="381">
        <v>103857.97</v>
      </c>
      <c r="AS22" s="381">
        <v>104847.92</v>
      </c>
      <c r="AT22" s="381">
        <v>107243.63</v>
      </c>
      <c r="AU22" s="381">
        <v>104846.24</v>
      </c>
      <c r="AV22" s="381">
        <v>106452.4</v>
      </c>
      <c r="AW22" s="381">
        <v>107742.21</v>
      </c>
      <c r="AX22" s="381">
        <v>108476.58</v>
      </c>
      <c r="AY22" s="381">
        <v>111366.9</v>
      </c>
      <c r="AZ22" s="381">
        <v>112705.05</v>
      </c>
      <c r="BA22" s="381">
        <v>111525.86</v>
      </c>
      <c r="BB22" s="381">
        <v>113301.53</v>
      </c>
      <c r="BC22" s="381">
        <v>111275.52</v>
      </c>
      <c r="BD22" s="381">
        <v>114118.37</v>
      </c>
      <c r="BE22" s="381">
        <v>114108.55</v>
      </c>
      <c r="BF22" s="381">
        <v>113572.48</v>
      </c>
      <c r="BG22" s="381">
        <v>113561.17</v>
      </c>
      <c r="BH22" s="381">
        <v>115205.43</v>
      </c>
      <c r="BI22" s="381">
        <v>116648.98</v>
      </c>
      <c r="BJ22" s="381">
        <v>118474.12</v>
      </c>
      <c r="BK22" s="381">
        <v>118915.05</v>
      </c>
      <c r="BL22" s="381">
        <v>120933.46</v>
      </c>
      <c r="BM22" s="381">
        <v>121791.84</v>
      </c>
      <c r="BN22" s="381">
        <v>121989.18</v>
      </c>
      <c r="BO22" s="381">
        <v>122293.51</v>
      </c>
      <c r="BP22" s="381">
        <v>124026.26</v>
      </c>
      <c r="BQ22" s="381">
        <v>123213.27</v>
      </c>
      <c r="BR22" s="381">
        <v>121751.59</v>
      </c>
      <c r="BS22" s="381">
        <v>124060.3</v>
      </c>
      <c r="BT22" s="381">
        <v>124375.66</v>
      </c>
      <c r="BU22" s="381">
        <v>123986.08</v>
      </c>
    </row>
    <row r="23" ht="15.75" customHeight="1">
      <c r="A23" s="176" t="s">
        <v>111</v>
      </c>
      <c r="B23" s="384" t="s">
        <v>2131</v>
      </c>
      <c r="C23" s="412" t="s">
        <v>2132</v>
      </c>
      <c r="D23" s="141" t="s">
        <v>120</v>
      </c>
      <c r="E23" s="27" t="s">
        <v>199</v>
      </c>
      <c r="F23" s="27" t="s">
        <v>290</v>
      </c>
      <c r="G23" s="47" t="str">
        <f t="shared" si="1"/>
        <v>Marcus</v>
      </c>
      <c r="H23" s="73" t="s">
        <v>183</v>
      </c>
      <c r="I23" s="49" t="s">
        <v>382</v>
      </c>
      <c r="J23" s="47" t="str">
        <f t="shared" si="2"/>
        <v>Não</v>
      </c>
      <c r="K23" s="244">
        <v>45840.0</v>
      </c>
      <c r="L23" s="95"/>
      <c r="M23" s="95" t="s">
        <v>136</v>
      </c>
      <c r="N23" s="29">
        <v>0.008</v>
      </c>
      <c r="O23" s="23" t="s">
        <v>66</v>
      </c>
      <c r="P23" s="57">
        <v>0.0</v>
      </c>
      <c r="Q23" s="160"/>
      <c r="R23" s="160"/>
      <c r="S23" s="95" t="s">
        <v>194</v>
      </c>
      <c r="T23" s="384" t="s">
        <v>2134</v>
      </c>
      <c r="U23" s="384"/>
      <c r="V23" s="384"/>
      <c r="W23" s="384"/>
      <c r="X23" s="30" t="s">
        <v>199</v>
      </c>
      <c r="Y23" s="23" t="str">
        <f t="shared" si="3"/>
        <v>Ativo</v>
      </c>
      <c r="Z23" s="95"/>
      <c r="AA23" s="95"/>
      <c r="AB23" s="95"/>
      <c r="AC23" s="95"/>
      <c r="AD23" s="95"/>
      <c r="AE23" s="95"/>
      <c r="AF23" s="380"/>
      <c r="AG23" s="380"/>
      <c r="AH23" s="380"/>
      <c r="AI23" s="380"/>
      <c r="AJ23" s="380"/>
      <c r="AK23" s="380"/>
      <c r="AL23" s="380"/>
      <c r="AM23" s="380"/>
      <c r="AN23" s="380"/>
      <c r="AO23" s="381"/>
      <c r="AP23" s="381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81"/>
      <c r="BD23" s="381"/>
      <c r="BE23" s="381"/>
      <c r="BF23" s="381"/>
      <c r="BG23" s="381"/>
      <c r="BH23" s="381"/>
      <c r="BI23" s="381">
        <v>0.0</v>
      </c>
      <c r="BJ23" s="381">
        <v>0.0</v>
      </c>
      <c r="BK23" s="381">
        <v>0.0</v>
      </c>
      <c r="BL23" s="381">
        <v>0.0</v>
      </c>
      <c r="BM23" s="381">
        <v>0.0</v>
      </c>
      <c r="BN23" s="381">
        <v>0.0</v>
      </c>
      <c r="BO23" s="381"/>
      <c r="BP23" s="381">
        <v>0.0</v>
      </c>
      <c r="BQ23" s="381"/>
      <c r="BR23" s="381">
        <v>0.0</v>
      </c>
      <c r="BS23" s="381">
        <v>0.0</v>
      </c>
      <c r="BT23" s="381"/>
      <c r="BU23" s="381"/>
    </row>
    <row r="24" ht="15.75" customHeight="1">
      <c r="A24" s="176" t="s">
        <v>111</v>
      </c>
      <c r="B24" s="39" t="s">
        <v>2142</v>
      </c>
      <c r="C24" s="388" t="s">
        <v>2143</v>
      </c>
      <c r="D24" s="141" t="s">
        <v>120</v>
      </c>
      <c r="E24" s="27" t="s">
        <v>475</v>
      </c>
      <c r="F24" s="66" t="s">
        <v>1658</v>
      </c>
      <c r="G24" s="47" t="str">
        <f t="shared" si="1"/>
        <v>Marcus</v>
      </c>
      <c r="H24" s="73" t="s">
        <v>295</v>
      </c>
      <c r="I24" s="152" t="s">
        <v>427</v>
      </c>
      <c r="J24" s="47" t="str">
        <f t="shared" si="2"/>
        <v>Não</v>
      </c>
      <c r="K24" s="244">
        <v>45572.0</v>
      </c>
      <c r="L24" s="95"/>
      <c r="M24" s="22" t="s">
        <v>136</v>
      </c>
      <c r="N24" s="366">
        <v>0.008</v>
      </c>
      <c r="O24" s="23" t="s">
        <v>66</v>
      </c>
      <c r="P24" s="57">
        <v>0.0</v>
      </c>
      <c r="Q24" s="160"/>
      <c r="R24" s="160"/>
      <c r="S24" s="22" t="s">
        <v>194</v>
      </c>
      <c r="T24" s="39" t="s">
        <v>2149</v>
      </c>
      <c r="U24" s="39"/>
      <c r="V24" s="39"/>
      <c r="W24" s="39"/>
      <c r="X24" s="30" t="s">
        <v>1507</v>
      </c>
      <c r="Y24" s="23" t="str">
        <f t="shared" si="3"/>
        <v>Ativo</v>
      </c>
      <c r="Z24" s="95"/>
      <c r="AA24" s="95"/>
      <c r="AB24" s="95"/>
      <c r="AC24" s="95"/>
      <c r="AD24" s="95"/>
      <c r="AE24" s="95"/>
      <c r="AF24" s="380"/>
      <c r="AG24" s="380"/>
      <c r="AH24" s="380"/>
      <c r="AI24" s="380"/>
      <c r="AJ24" s="380"/>
      <c r="AK24" s="380"/>
      <c r="AL24" s="380"/>
      <c r="AM24" s="380"/>
      <c r="AN24" s="380"/>
      <c r="AO24" s="381"/>
      <c r="AP24" s="381"/>
      <c r="AQ24" s="381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>
        <v>20000.0</v>
      </c>
      <c r="BB24" s="381">
        <v>19611.82</v>
      </c>
      <c r="BC24" s="381">
        <v>19651.23</v>
      </c>
      <c r="BD24" s="381">
        <v>19651.23</v>
      </c>
      <c r="BE24" s="381">
        <v>18333.29</v>
      </c>
      <c r="BF24" s="381">
        <v>17207.19</v>
      </c>
      <c r="BG24" s="381">
        <v>18559.96</v>
      </c>
      <c r="BH24" s="381">
        <v>20710.18</v>
      </c>
      <c r="BI24" s="381">
        <v>16134.05</v>
      </c>
      <c r="BJ24" s="381">
        <v>16067.17</v>
      </c>
      <c r="BK24" s="381">
        <v>21047.88</v>
      </c>
      <c r="BL24" s="381">
        <v>0.0</v>
      </c>
      <c r="BM24" s="381">
        <v>0.0</v>
      </c>
      <c r="BN24" s="381">
        <v>0.0</v>
      </c>
      <c r="BO24" s="381"/>
      <c r="BP24" s="381">
        <v>0.0</v>
      </c>
      <c r="BQ24" s="381"/>
      <c r="BR24" s="381">
        <v>0.0</v>
      </c>
      <c r="BS24" s="381">
        <v>0.0</v>
      </c>
      <c r="BT24" s="381"/>
      <c r="BU24" s="381"/>
    </row>
    <row r="25" ht="15.75" customHeight="1">
      <c r="A25" s="176" t="s">
        <v>111</v>
      </c>
      <c r="B25" s="384" t="s">
        <v>2163</v>
      </c>
      <c r="C25" s="412" t="s">
        <v>2164</v>
      </c>
      <c r="D25" s="141" t="s">
        <v>120</v>
      </c>
      <c r="E25" s="27" t="s">
        <v>54</v>
      </c>
      <c r="F25" s="27" t="s">
        <v>125</v>
      </c>
      <c r="G25" s="47" t="str">
        <f t="shared" si="1"/>
        <v>Marcus</v>
      </c>
      <c r="H25" s="73" t="s">
        <v>183</v>
      </c>
      <c r="I25" s="49" t="s">
        <v>66</v>
      </c>
      <c r="J25" s="47" t="str">
        <f t="shared" si="2"/>
        <v>Não</v>
      </c>
      <c r="K25" s="244">
        <v>45895.0</v>
      </c>
      <c r="L25" s="95"/>
      <c r="M25" s="22" t="s">
        <v>136</v>
      </c>
      <c r="N25" s="366">
        <v>0.008</v>
      </c>
      <c r="O25" s="23" t="s">
        <v>66</v>
      </c>
      <c r="P25" s="57">
        <v>0.0</v>
      </c>
      <c r="Q25" s="160"/>
      <c r="R25" s="160"/>
      <c r="S25" s="22" t="s">
        <v>194</v>
      </c>
      <c r="T25" s="384" t="s">
        <v>2169</v>
      </c>
      <c r="U25" s="384"/>
      <c r="V25" s="384"/>
      <c r="W25" s="384"/>
      <c r="X25" s="30" t="s">
        <v>54</v>
      </c>
      <c r="Y25" s="23" t="str">
        <f t="shared" si="3"/>
        <v>Ativo</v>
      </c>
      <c r="Z25" s="95"/>
      <c r="AA25" s="95"/>
      <c r="AB25" s="95"/>
      <c r="AC25" s="95"/>
      <c r="AD25" s="95"/>
      <c r="AE25" s="95"/>
      <c r="AF25" s="380"/>
      <c r="AG25" s="380"/>
      <c r="AH25" s="380"/>
      <c r="AI25" s="380"/>
      <c r="AJ25" s="380"/>
      <c r="AK25" s="380"/>
      <c r="AL25" s="380"/>
      <c r="AM25" s="380"/>
      <c r="AN25" s="380"/>
      <c r="AO25" s="381"/>
      <c r="AP25" s="381"/>
      <c r="AQ25" s="381"/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81"/>
      <c r="BD25" s="381"/>
      <c r="BE25" s="381"/>
      <c r="BF25" s="381"/>
      <c r="BG25" s="381"/>
      <c r="BH25" s="381"/>
      <c r="BI25" s="381"/>
      <c r="BJ25" s="381"/>
      <c r="BK25" s="381"/>
      <c r="BL25" s="381">
        <v>9859.2</v>
      </c>
      <c r="BM25" s="381">
        <v>9864.13</v>
      </c>
      <c r="BN25" s="381">
        <v>9864.13</v>
      </c>
      <c r="BO25" s="381">
        <v>9832.93</v>
      </c>
      <c r="BP25" s="381">
        <v>9994.12</v>
      </c>
      <c r="BQ25" s="381">
        <v>9994.12</v>
      </c>
      <c r="BR25" s="381">
        <v>9861.42</v>
      </c>
      <c r="BS25" s="381">
        <v>9823.72</v>
      </c>
      <c r="BT25" s="381">
        <v>9823.72</v>
      </c>
      <c r="BU25" s="381">
        <v>9767.72</v>
      </c>
    </row>
    <row r="26" ht="15.75" customHeight="1">
      <c r="A26" s="176" t="s">
        <v>111</v>
      </c>
      <c r="B26" s="384" t="s">
        <v>2181</v>
      </c>
      <c r="C26" s="412" t="s">
        <v>2182</v>
      </c>
      <c r="D26" s="141" t="s">
        <v>53</v>
      </c>
      <c r="E26" s="27" t="s">
        <v>54</v>
      </c>
      <c r="F26" s="27" t="s">
        <v>507</v>
      </c>
      <c r="G26" s="47" t="str">
        <f t="shared" si="1"/>
        <v>Marcus</v>
      </c>
      <c r="H26" s="73" t="s">
        <v>183</v>
      </c>
      <c r="I26" s="49" t="s">
        <v>66</v>
      </c>
      <c r="J26" s="47" t="str">
        <f t="shared" si="2"/>
        <v>Não</v>
      </c>
      <c r="K26" s="244">
        <v>45856.0</v>
      </c>
      <c r="L26" s="95"/>
      <c r="M26" s="22" t="s">
        <v>136</v>
      </c>
      <c r="N26" s="366">
        <v>0.008</v>
      </c>
      <c r="O26" s="23" t="s">
        <v>66</v>
      </c>
      <c r="P26" s="57">
        <v>0.0</v>
      </c>
      <c r="Q26" s="160"/>
      <c r="R26" s="160"/>
      <c r="S26" s="22" t="s">
        <v>194</v>
      </c>
      <c r="T26" s="384" t="s">
        <v>2188</v>
      </c>
      <c r="U26" s="384"/>
      <c r="V26" s="384"/>
      <c r="W26" s="384"/>
      <c r="X26" s="30" t="s">
        <v>54</v>
      </c>
      <c r="Y26" s="23" t="str">
        <f t="shared" si="3"/>
        <v>Ativo</v>
      </c>
      <c r="Z26" s="95"/>
      <c r="AA26" s="95"/>
      <c r="AB26" s="95"/>
      <c r="AC26" s="95"/>
      <c r="AD26" s="95"/>
      <c r="AE26" s="95"/>
      <c r="AF26" s="380"/>
      <c r="AG26" s="380"/>
      <c r="AH26" s="380"/>
      <c r="AI26" s="380"/>
      <c r="AJ26" s="380"/>
      <c r="AK26" s="380"/>
      <c r="AL26" s="380"/>
      <c r="AM26" s="380"/>
      <c r="AN26" s="380"/>
      <c r="AO26" s="381"/>
      <c r="AP26" s="381"/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81"/>
      <c r="BD26" s="381"/>
      <c r="BE26" s="381"/>
      <c r="BF26" s="381"/>
      <c r="BG26" s="381"/>
      <c r="BH26" s="381"/>
      <c r="BI26" s="381"/>
      <c r="BJ26" s="381"/>
      <c r="BK26" s="381"/>
      <c r="BL26" s="381">
        <v>9799.82</v>
      </c>
      <c r="BM26" s="381">
        <v>9804.79</v>
      </c>
      <c r="BN26" s="381">
        <v>9804.79</v>
      </c>
      <c r="BO26" s="381">
        <v>9773.59</v>
      </c>
      <c r="BP26" s="381">
        <v>9934.9</v>
      </c>
      <c r="BQ26" s="381">
        <v>9934.9</v>
      </c>
      <c r="BR26" s="381">
        <v>9802.2</v>
      </c>
      <c r="BS26" s="381">
        <v>9764.62</v>
      </c>
      <c r="BT26" s="381">
        <v>9764.62</v>
      </c>
      <c r="BU26" s="381">
        <v>9708.62</v>
      </c>
    </row>
    <row r="27" ht="15.75" customHeight="1">
      <c r="A27" s="176" t="s">
        <v>111</v>
      </c>
      <c r="B27" s="383" t="s">
        <v>2197</v>
      </c>
      <c r="C27" s="95" t="s">
        <v>2198</v>
      </c>
      <c r="D27" s="63" t="s">
        <v>120</v>
      </c>
      <c r="E27" s="66" t="s">
        <v>199</v>
      </c>
      <c r="F27" s="63" t="s">
        <v>120</v>
      </c>
      <c r="G27" s="47" t="str">
        <f t="shared" si="1"/>
        <v>Marcus</v>
      </c>
      <c r="H27" s="115" t="s">
        <v>183</v>
      </c>
      <c r="I27" s="49" t="s">
        <v>66</v>
      </c>
      <c r="J27" s="47" t="str">
        <f t="shared" si="2"/>
        <v>Não</v>
      </c>
      <c r="K27" s="382">
        <v>45052.0</v>
      </c>
      <c r="L27" s="95"/>
      <c r="M27" s="95" t="s">
        <v>136</v>
      </c>
      <c r="N27" s="366">
        <v>0.008</v>
      </c>
      <c r="O27" s="23" t="s">
        <v>66</v>
      </c>
      <c r="P27" s="57">
        <v>0.0</v>
      </c>
      <c r="Q27" s="158"/>
      <c r="R27" s="158"/>
      <c r="S27" s="95" t="s">
        <v>194</v>
      </c>
      <c r="T27" s="389" t="s">
        <v>1178</v>
      </c>
      <c r="U27" s="389"/>
      <c r="V27" s="389"/>
      <c r="W27" s="389"/>
      <c r="X27" s="30" t="s">
        <v>1739</v>
      </c>
      <c r="Y27" s="23" t="str">
        <f t="shared" si="3"/>
        <v>Ativo</v>
      </c>
      <c r="Z27" s="95"/>
      <c r="AA27" s="95"/>
      <c r="AB27" s="95"/>
      <c r="AC27" s="95"/>
      <c r="AD27" s="95"/>
      <c r="AE27" s="95"/>
      <c r="AF27" s="380">
        <v>0.0</v>
      </c>
      <c r="AG27" s="380">
        <v>0.0</v>
      </c>
      <c r="AH27" s="380">
        <v>0.0</v>
      </c>
      <c r="AI27" s="380">
        <v>0.0</v>
      </c>
      <c r="AJ27" s="380">
        <v>10000.0</v>
      </c>
      <c r="AK27" s="380">
        <v>17823.18</v>
      </c>
      <c r="AL27" s="380">
        <v>27647.28</v>
      </c>
      <c r="AM27" s="380">
        <v>27690.1</v>
      </c>
      <c r="AN27" s="380">
        <v>27610.94</v>
      </c>
      <c r="AO27" s="381">
        <v>32581.23</v>
      </c>
      <c r="AP27" s="381">
        <v>37752.56</v>
      </c>
      <c r="AQ27" s="381">
        <v>43408.75</v>
      </c>
      <c r="AR27" s="381">
        <v>43676.98</v>
      </c>
      <c r="AS27" s="381">
        <v>56013.84</v>
      </c>
      <c r="AT27" s="381">
        <v>61542.01</v>
      </c>
      <c r="AU27" s="381">
        <v>69588.53</v>
      </c>
      <c r="AV27" s="381">
        <v>70579.42</v>
      </c>
      <c r="AW27" s="381">
        <v>71243.68</v>
      </c>
      <c r="AX27" s="381">
        <v>72651.27</v>
      </c>
      <c r="AY27" s="381">
        <v>73569.5</v>
      </c>
      <c r="AZ27" s="381">
        <v>74398.85</v>
      </c>
      <c r="BA27" s="381">
        <v>72634.62</v>
      </c>
      <c r="BB27" s="381">
        <v>73052.82</v>
      </c>
      <c r="BC27" s="381">
        <v>91401.31</v>
      </c>
      <c r="BD27" s="381">
        <v>91388.02</v>
      </c>
      <c r="BE27" s="381">
        <v>93030.52</v>
      </c>
      <c r="BF27" s="381">
        <v>93690.11</v>
      </c>
      <c r="BG27" s="381">
        <v>93593.24</v>
      </c>
      <c r="BH27" s="381">
        <v>93069.57</v>
      </c>
      <c r="BI27" s="381">
        <v>94014.26</v>
      </c>
      <c r="BJ27" s="381">
        <v>93849.4</v>
      </c>
      <c r="BK27" s="381">
        <v>94254.86</v>
      </c>
      <c r="BL27" s="381">
        <v>95397.98</v>
      </c>
      <c r="BM27" s="381">
        <v>95642.02</v>
      </c>
      <c r="BN27" s="381">
        <v>95962.04</v>
      </c>
      <c r="BO27" s="381">
        <v>95385.38</v>
      </c>
      <c r="BP27" s="381">
        <v>95585.29</v>
      </c>
      <c r="BQ27" s="381">
        <v>96798.31</v>
      </c>
      <c r="BR27" s="381">
        <v>96278.16</v>
      </c>
      <c r="BS27" s="381">
        <v>99010.66</v>
      </c>
      <c r="BT27" s="381">
        <v>96073.28</v>
      </c>
      <c r="BU27" s="381">
        <v>96266.37</v>
      </c>
    </row>
    <row r="28" ht="15.75" customHeight="1">
      <c r="A28" s="176" t="s">
        <v>111</v>
      </c>
      <c r="B28" s="384" t="s">
        <v>2213</v>
      </c>
      <c r="C28" s="22" t="s">
        <v>2214</v>
      </c>
      <c r="D28" s="141" t="s">
        <v>120</v>
      </c>
      <c r="E28" s="27" t="s">
        <v>54</v>
      </c>
      <c r="F28" s="141" t="s">
        <v>125</v>
      </c>
      <c r="G28" s="47" t="str">
        <f t="shared" si="1"/>
        <v>Marcus</v>
      </c>
      <c r="H28" s="73" t="s">
        <v>183</v>
      </c>
      <c r="I28" s="49" t="s">
        <v>382</v>
      </c>
      <c r="J28" s="47" t="str">
        <f t="shared" si="2"/>
        <v>Não</v>
      </c>
      <c r="K28" s="244">
        <v>45909.0</v>
      </c>
      <c r="L28" s="95"/>
      <c r="M28" s="22" t="s">
        <v>136</v>
      </c>
      <c r="N28" s="29">
        <v>0.008</v>
      </c>
      <c r="O28" s="23" t="s">
        <v>66</v>
      </c>
      <c r="P28" s="57">
        <v>0.0</v>
      </c>
      <c r="Q28" s="153"/>
      <c r="R28" s="153"/>
      <c r="S28" s="22" t="s">
        <v>194</v>
      </c>
      <c r="T28" s="389" t="s">
        <v>2217</v>
      </c>
      <c r="U28" s="389"/>
      <c r="V28" s="389"/>
      <c r="W28" s="389"/>
      <c r="X28" s="30"/>
      <c r="Y28" s="23" t="str">
        <f t="shared" si="3"/>
        <v>Ativo</v>
      </c>
      <c r="Z28" s="95"/>
      <c r="AA28" s="95"/>
      <c r="AB28" s="95"/>
      <c r="AC28" s="95"/>
      <c r="AD28" s="95"/>
      <c r="AE28" s="95"/>
      <c r="AF28" s="380"/>
      <c r="AG28" s="380"/>
      <c r="AH28" s="380"/>
      <c r="AI28" s="380"/>
      <c r="AJ28" s="380"/>
      <c r="AK28" s="380"/>
      <c r="AL28" s="380"/>
      <c r="AM28" s="380"/>
      <c r="AN28" s="380"/>
      <c r="AO28" s="381"/>
      <c r="AP28" s="381"/>
      <c r="AQ28" s="381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1"/>
      <c r="BD28" s="381"/>
      <c r="BE28" s="381"/>
      <c r="BF28" s="381"/>
      <c r="BG28" s="381"/>
      <c r="BH28" s="381"/>
      <c r="BI28" s="381"/>
      <c r="BJ28" s="381"/>
      <c r="BK28" s="381"/>
      <c r="BL28" s="381"/>
      <c r="BM28" s="381">
        <v>0.0</v>
      </c>
      <c r="BN28" s="381">
        <v>0.0</v>
      </c>
      <c r="BO28" s="381"/>
      <c r="BP28" s="381">
        <v>0.0</v>
      </c>
      <c r="BQ28" s="381"/>
      <c r="BR28" s="381">
        <v>0.0</v>
      </c>
      <c r="BS28" s="381">
        <v>0.0</v>
      </c>
      <c r="BT28" s="381"/>
      <c r="BU28" s="381">
        <v>3761.91</v>
      </c>
    </row>
    <row r="29" ht="15.75" customHeight="1">
      <c r="A29" s="383" t="s">
        <v>111</v>
      </c>
      <c r="B29" s="383" t="s">
        <v>2230</v>
      </c>
      <c r="C29" s="408" t="s">
        <v>2231</v>
      </c>
      <c r="D29" s="63" t="s">
        <v>120</v>
      </c>
      <c r="E29" s="66" t="s">
        <v>199</v>
      </c>
      <c r="F29" s="63" t="s">
        <v>1914</v>
      </c>
      <c r="G29" s="47" t="str">
        <f t="shared" si="1"/>
        <v>Marcus</v>
      </c>
      <c r="H29" s="73" t="s">
        <v>224</v>
      </c>
      <c r="I29" s="49" t="s">
        <v>66</v>
      </c>
      <c r="J29" s="47" t="str">
        <f t="shared" si="2"/>
        <v>Não</v>
      </c>
      <c r="K29" s="194">
        <v>45215.0</v>
      </c>
      <c r="L29" s="55">
        <v>45602.0</v>
      </c>
      <c r="M29" s="62" t="s">
        <v>136</v>
      </c>
      <c r="N29" s="144">
        <v>0.008</v>
      </c>
      <c r="O29" s="23" t="s">
        <v>66</v>
      </c>
      <c r="P29" s="57">
        <v>0.0</v>
      </c>
      <c r="Q29" s="70"/>
      <c r="R29" s="70"/>
      <c r="S29" s="62" t="s">
        <v>194</v>
      </c>
      <c r="T29" s="384" t="s">
        <v>2239</v>
      </c>
      <c r="U29" s="384"/>
      <c r="V29" s="384"/>
      <c r="W29" s="384"/>
      <c r="X29" s="30" t="s">
        <v>199</v>
      </c>
      <c r="Y29" s="23" t="str">
        <f t="shared" si="3"/>
        <v>Encerrado</v>
      </c>
      <c r="Z29" s="95"/>
      <c r="AA29" s="62"/>
      <c r="AB29" s="62"/>
      <c r="AC29" s="95"/>
      <c r="AD29" s="95"/>
      <c r="AE29" s="95"/>
      <c r="AF29" s="385">
        <v>0.0</v>
      </c>
      <c r="AG29" s="385">
        <v>0.0</v>
      </c>
      <c r="AH29" s="385">
        <v>0.0</v>
      </c>
      <c r="AI29" s="385">
        <v>0.0</v>
      </c>
      <c r="AJ29" s="385">
        <v>0.0</v>
      </c>
      <c r="AK29" s="385">
        <v>0.0</v>
      </c>
      <c r="AL29" s="385">
        <v>0.0</v>
      </c>
      <c r="AM29" s="385">
        <v>0.0</v>
      </c>
      <c r="AN29" s="385">
        <v>0.0</v>
      </c>
      <c r="AO29" s="381">
        <v>0.0</v>
      </c>
      <c r="AP29" s="381">
        <v>0.0</v>
      </c>
      <c r="AQ29" s="381">
        <v>0.0</v>
      </c>
      <c r="AR29" s="381">
        <v>0.0</v>
      </c>
      <c r="AS29" s="381">
        <v>0.0</v>
      </c>
      <c r="AT29" s="381">
        <v>0.0</v>
      </c>
      <c r="AU29" s="381">
        <v>35327.4</v>
      </c>
      <c r="AV29" s="381">
        <v>35400.42</v>
      </c>
      <c r="AW29" s="381">
        <v>35447.61</v>
      </c>
      <c r="AX29" s="381">
        <v>36630.98</v>
      </c>
      <c r="AY29" s="381">
        <v>30357.8</v>
      </c>
      <c r="AZ29" s="381">
        <v>27181.53</v>
      </c>
      <c r="BA29" s="381">
        <v>0.0</v>
      </c>
      <c r="BB29" s="381">
        <v>0.0</v>
      </c>
      <c r="BC29" s="381">
        <v>0.0</v>
      </c>
      <c r="BD29" s="381">
        <v>0.0</v>
      </c>
      <c r="BE29" s="381">
        <v>0.0</v>
      </c>
      <c r="BF29" s="381">
        <v>0.0</v>
      </c>
      <c r="BG29" s="381">
        <v>0.0</v>
      </c>
      <c r="BH29" s="381">
        <v>0.0</v>
      </c>
      <c r="BI29" s="381">
        <v>0.0</v>
      </c>
      <c r="BJ29" s="381">
        <v>0.0</v>
      </c>
      <c r="BK29" s="381">
        <v>0.0</v>
      </c>
      <c r="BL29" s="381">
        <v>0.0</v>
      </c>
      <c r="BM29" s="381">
        <v>0.0</v>
      </c>
      <c r="BN29" s="381">
        <v>0.0</v>
      </c>
      <c r="BO29" s="381"/>
      <c r="BP29" s="381">
        <v>0.0</v>
      </c>
      <c r="BQ29" s="381"/>
      <c r="BR29" s="381">
        <v>0.0</v>
      </c>
      <c r="BS29" s="381">
        <v>0.0</v>
      </c>
      <c r="BT29" s="381"/>
      <c r="BU29" s="381"/>
    </row>
    <row r="30" ht="15.75" customHeight="1">
      <c r="A30" s="383" t="s">
        <v>111</v>
      </c>
      <c r="B30" s="384" t="s">
        <v>1301</v>
      </c>
      <c r="C30" s="412" t="s">
        <v>2250</v>
      </c>
      <c r="D30" s="141" t="s">
        <v>120</v>
      </c>
      <c r="E30" s="27" t="s">
        <v>199</v>
      </c>
      <c r="F30" s="141" t="s">
        <v>290</v>
      </c>
      <c r="G30" s="47" t="str">
        <f t="shared" si="1"/>
        <v>Marcus</v>
      </c>
      <c r="H30" s="73" t="s">
        <v>183</v>
      </c>
      <c r="I30" s="49" t="s">
        <v>66</v>
      </c>
      <c r="J30" s="47" t="str">
        <f t="shared" si="2"/>
        <v>Sim</v>
      </c>
      <c r="K30" s="55">
        <v>45999.0</v>
      </c>
      <c r="L30" s="55"/>
      <c r="M30" s="32" t="s">
        <v>136</v>
      </c>
      <c r="N30" s="199">
        <v>0.008</v>
      </c>
      <c r="O30" s="23" t="s">
        <v>66</v>
      </c>
      <c r="P30" s="57">
        <v>0.0</v>
      </c>
      <c r="Q30" s="427" t="s">
        <v>2257</v>
      </c>
      <c r="R30" s="70"/>
      <c r="S30" s="32" t="s">
        <v>194</v>
      </c>
      <c r="T30" s="384" t="s">
        <v>1306</v>
      </c>
      <c r="U30" s="384" t="s">
        <v>2259</v>
      </c>
      <c r="V30" s="384" t="s">
        <v>1308</v>
      </c>
      <c r="W30" s="407">
        <v>30734.0</v>
      </c>
      <c r="X30" s="30" t="s">
        <v>622</v>
      </c>
      <c r="Y30" s="23" t="str">
        <f t="shared" si="3"/>
        <v>Ativo</v>
      </c>
      <c r="Z30" s="95"/>
      <c r="AA30" s="62"/>
      <c r="AB30" s="62"/>
      <c r="AC30" s="95"/>
      <c r="AD30" s="95"/>
      <c r="AE30" s="9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1"/>
      <c r="AP30" s="381"/>
      <c r="AQ30" s="381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1"/>
      <c r="BD30" s="381"/>
      <c r="BE30" s="381"/>
      <c r="BF30" s="381"/>
      <c r="BG30" s="381"/>
      <c r="BH30" s="381"/>
      <c r="BI30" s="381"/>
      <c r="BJ30" s="381"/>
      <c r="BK30" s="381"/>
      <c r="BL30" s="381"/>
      <c r="BM30" s="381"/>
      <c r="BN30" s="381">
        <v>0.0</v>
      </c>
      <c r="BO30" s="381">
        <v>5949.26</v>
      </c>
      <c r="BP30" s="381">
        <v>5934.74</v>
      </c>
      <c r="BQ30" s="381">
        <v>5934.74</v>
      </c>
      <c r="BR30" s="381">
        <v>5948.63</v>
      </c>
      <c r="BS30" s="381">
        <v>5921.78</v>
      </c>
      <c r="BT30" s="381">
        <v>5921.78</v>
      </c>
      <c r="BU30" s="381">
        <v>5964.2</v>
      </c>
    </row>
    <row r="31" ht="15.75" customHeight="1">
      <c r="A31" s="383" t="s">
        <v>111</v>
      </c>
      <c r="B31" s="384" t="s">
        <v>2270</v>
      </c>
      <c r="C31" s="412" t="s">
        <v>2272</v>
      </c>
      <c r="D31" s="141" t="s">
        <v>2195</v>
      </c>
      <c r="E31" s="27" t="s">
        <v>199</v>
      </c>
      <c r="F31" s="141" t="s">
        <v>2276</v>
      </c>
      <c r="G31" s="47" t="str">
        <f t="shared" si="1"/>
        <v>Marcus</v>
      </c>
      <c r="H31" s="73" t="s">
        <v>183</v>
      </c>
      <c r="I31" s="49" t="s">
        <v>66</v>
      </c>
      <c r="J31" s="47" t="str">
        <f t="shared" si="2"/>
        <v>Sim</v>
      </c>
      <c r="K31" s="55">
        <v>46153.0</v>
      </c>
      <c r="L31" s="55"/>
      <c r="M31" s="32" t="s">
        <v>136</v>
      </c>
      <c r="N31" s="199">
        <v>0.008</v>
      </c>
      <c r="O31" s="23" t="s">
        <v>66</v>
      </c>
      <c r="P31" s="57">
        <v>0.0</v>
      </c>
      <c r="Q31" s="427" t="s">
        <v>2277</v>
      </c>
      <c r="R31" s="70"/>
      <c r="S31" s="32" t="s">
        <v>194</v>
      </c>
      <c r="T31" s="384" t="s">
        <v>2278</v>
      </c>
      <c r="U31" s="384" t="s">
        <v>2279</v>
      </c>
      <c r="V31" s="384" t="s">
        <v>2280</v>
      </c>
      <c r="W31" s="407"/>
      <c r="X31" s="30" t="s">
        <v>199</v>
      </c>
      <c r="Y31" s="23" t="str">
        <f t="shared" si="3"/>
        <v>Ativo</v>
      </c>
      <c r="Z31" s="95"/>
      <c r="AA31" s="32" t="s">
        <v>47</v>
      </c>
      <c r="AB31" s="62"/>
      <c r="AC31" s="95"/>
      <c r="AD31" s="95"/>
      <c r="AE31" s="95"/>
      <c r="AF31" s="385"/>
      <c r="AG31" s="385"/>
      <c r="AH31" s="385"/>
      <c r="AI31" s="385"/>
      <c r="AJ31" s="385"/>
      <c r="AK31" s="385"/>
      <c r="AL31" s="385"/>
      <c r="AM31" s="385"/>
      <c r="AN31" s="385"/>
      <c r="AO31" s="381"/>
      <c r="AP31" s="381"/>
      <c r="AQ31" s="381"/>
      <c r="AR31" s="381"/>
      <c r="AS31" s="381"/>
      <c r="AT31" s="381"/>
      <c r="AU31" s="381"/>
      <c r="AV31" s="381"/>
      <c r="AW31" s="381"/>
      <c r="AX31" s="381"/>
      <c r="AY31" s="381"/>
      <c r="AZ31" s="381"/>
      <c r="BA31" s="381"/>
      <c r="BB31" s="381"/>
      <c r="BC31" s="381"/>
      <c r="BD31" s="381"/>
      <c r="BE31" s="381"/>
      <c r="BF31" s="381"/>
      <c r="BG31" s="381"/>
      <c r="BH31" s="381"/>
      <c r="BI31" s="381"/>
      <c r="BJ31" s="381"/>
      <c r="BK31" s="381"/>
      <c r="BL31" s="381"/>
      <c r="BM31" s="381"/>
      <c r="BN31" s="381"/>
      <c r="BO31" s="381"/>
      <c r="BP31" s="381"/>
      <c r="BQ31" s="381"/>
      <c r="BR31" s="381"/>
      <c r="BS31" s="381">
        <v>0.0</v>
      </c>
      <c r="BT31" s="381">
        <v>309849.68</v>
      </c>
      <c r="BU31" s="381">
        <v>299561.23</v>
      </c>
    </row>
    <row r="32" ht="15.75" customHeight="1">
      <c r="A32" s="39" t="s">
        <v>111</v>
      </c>
      <c r="B32" s="42" t="s">
        <v>1838</v>
      </c>
      <c r="C32" s="21" t="s">
        <v>2283</v>
      </c>
      <c r="D32" s="141" t="s">
        <v>255</v>
      </c>
      <c r="E32" s="27" t="s">
        <v>199</v>
      </c>
      <c r="F32" s="141" t="s">
        <v>257</v>
      </c>
      <c r="G32" s="47" t="str">
        <f t="shared" si="1"/>
        <v>Marcus</v>
      </c>
      <c r="H32" s="73" t="s">
        <v>295</v>
      </c>
      <c r="I32" s="49" t="s">
        <v>382</v>
      </c>
      <c r="J32" s="47" t="str">
        <f t="shared" si="2"/>
        <v>Não</v>
      </c>
      <c r="K32" s="244">
        <v>45314.0</v>
      </c>
      <c r="L32" s="95"/>
      <c r="M32" s="22" t="s">
        <v>136</v>
      </c>
      <c r="N32" s="29">
        <v>0.008</v>
      </c>
      <c r="O32" s="23" t="s">
        <v>66</v>
      </c>
      <c r="P32" s="57">
        <v>0.0</v>
      </c>
      <c r="Q32" s="158"/>
      <c r="R32" s="158"/>
      <c r="S32" s="22" t="s">
        <v>194</v>
      </c>
      <c r="T32" s="384" t="s">
        <v>1852</v>
      </c>
      <c r="U32" s="384"/>
      <c r="V32" s="384"/>
      <c r="W32" s="384"/>
      <c r="X32" s="30" t="s">
        <v>199</v>
      </c>
      <c r="Y32" s="23" t="str">
        <f t="shared" si="3"/>
        <v>Inativo</v>
      </c>
      <c r="Z32" s="95"/>
      <c r="AA32" s="95"/>
      <c r="AB32" s="95"/>
      <c r="AC32" s="95"/>
      <c r="AD32" s="95"/>
      <c r="AE32" s="95"/>
      <c r="AF32" s="381">
        <v>0.0</v>
      </c>
      <c r="AG32" s="381">
        <v>0.0</v>
      </c>
      <c r="AH32" s="381">
        <v>0.0</v>
      </c>
      <c r="AI32" s="381">
        <v>0.0</v>
      </c>
      <c r="AJ32" s="381">
        <v>0.0</v>
      </c>
      <c r="AK32" s="381">
        <v>0.0</v>
      </c>
      <c r="AL32" s="381">
        <v>0.0</v>
      </c>
      <c r="AM32" s="381">
        <v>0.0</v>
      </c>
      <c r="AN32" s="381">
        <v>0.0</v>
      </c>
      <c r="AO32" s="381">
        <v>0.0</v>
      </c>
      <c r="AP32" s="381">
        <v>0.0</v>
      </c>
      <c r="AQ32" s="381">
        <v>0.0</v>
      </c>
      <c r="AR32" s="381">
        <v>0.0</v>
      </c>
      <c r="AS32" s="381">
        <v>0.0</v>
      </c>
      <c r="AT32" s="381">
        <v>0.0</v>
      </c>
      <c r="AU32" s="381">
        <v>0.0</v>
      </c>
      <c r="AV32" s="381">
        <v>0.0</v>
      </c>
      <c r="AW32" s="381">
        <v>0.0</v>
      </c>
      <c r="AX32" s="381">
        <v>0.0</v>
      </c>
      <c r="AY32" s="381">
        <v>0.0</v>
      </c>
      <c r="AZ32" s="381">
        <v>0.0</v>
      </c>
      <c r="BA32" s="381">
        <v>0.0</v>
      </c>
      <c r="BB32" s="381">
        <v>0.0</v>
      </c>
      <c r="BC32" s="381">
        <v>0.0</v>
      </c>
      <c r="BD32" s="381">
        <v>0.0</v>
      </c>
      <c r="BE32" s="381">
        <v>0.0</v>
      </c>
      <c r="BF32" s="381">
        <v>0.0</v>
      </c>
      <c r="BG32" s="381">
        <v>0.0</v>
      </c>
      <c r="BH32" s="381">
        <v>0.0</v>
      </c>
      <c r="BI32" s="381">
        <v>0.0</v>
      </c>
      <c r="BJ32" s="381">
        <v>0.0</v>
      </c>
      <c r="BK32" s="381">
        <v>0.0</v>
      </c>
      <c r="BL32" s="381">
        <v>0.0</v>
      </c>
      <c r="BM32" s="381">
        <v>0.0</v>
      </c>
      <c r="BN32" s="381">
        <v>0.0</v>
      </c>
      <c r="BO32" s="381"/>
      <c r="BP32" s="381">
        <v>0.0</v>
      </c>
      <c r="BQ32" s="381"/>
      <c r="BR32" s="381">
        <v>0.0</v>
      </c>
      <c r="BS32" s="381">
        <v>0.0</v>
      </c>
      <c r="BT32" s="381"/>
      <c r="BU32" s="381"/>
    </row>
    <row r="33" ht="15.75" customHeight="1">
      <c r="A33" s="39" t="s">
        <v>111</v>
      </c>
      <c r="B33" s="42" t="s">
        <v>2288</v>
      </c>
      <c r="C33" s="430" t="s">
        <v>2289</v>
      </c>
      <c r="D33" s="141" t="s">
        <v>120</v>
      </c>
      <c r="E33" s="27" t="s">
        <v>199</v>
      </c>
      <c r="F33" s="141" t="s">
        <v>1914</v>
      </c>
      <c r="G33" s="47" t="str">
        <f t="shared" si="1"/>
        <v>Marcus</v>
      </c>
      <c r="H33" s="73" t="s">
        <v>224</v>
      </c>
      <c r="I33" s="49" t="s">
        <v>66</v>
      </c>
      <c r="J33" s="47" t="str">
        <f t="shared" si="2"/>
        <v>Não</v>
      </c>
      <c r="K33" s="244">
        <v>45329.0</v>
      </c>
      <c r="L33" s="244">
        <v>45604.0</v>
      </c>
      <c r="M33" s="22" t="s">
        <v>136</v>
      </c>
      <c r="N33" s="29">
        <v>0.008</v>
      </c>
      <c r="O33" s="23" t="s">
        <v>66</v>
      </c>
      <c r="P33" s="57">
        <v>0.0</v>
      </c>
      <c r="Q33" s="158"/>
      <c r="R33" s="158"/>
      <c r="S33" s="22" t="s">
        <v>194</v>
      </c>
      <c r="T33" s="384" t="s">
        <v>2292</v>
      </c>
      <c r="U33" s="384"/>
      <c r="V33" s="384"/>
      <c r="W33" s="384"/>
      <c r="X33" s="30" t="s">
        <v>1739</v>
      </c>
      <c r="Y33" s="23" t="str">
        <f t="shared" si="3"/>
        <v>Encerrado</v>
      </c>
      <c r="Z33" s="95"/>
      <c r="AA33" s="95"/>
      <c r="AB33" s="95"/>
      <c r="AC33" s="95"/>
      <c r="AD33" s="95"/>
      <c r="AE33" s="95"/>
      <c r="AF33" s="381">
        <v>0.0</v>
      </c>
      <c r="AG33" s="381">
        <v>0.0</v>
      </c>
      <c r="AH33" s="381">
        <v>0.0</v>
      </c>
      <c r="AI33" s="381">
        <v>0.0</v>
      </c>
      <c r="AJ33" s="381">
        <v>0.0</v>
      </c>
      <c r="AK33" s="381">
        <v>0.0</v>
      </c>
      <c r="AL33" s="381">
        <v>0.0</v>
      </c>
      <c r="AM33" s="381">
        <v>0.0</v>
      </c>
      <c r="AN33" s="381">
        <v>0.0</v>
      </c>
      <c r="AO33" s="381">
        <v>0.0</v>
      </c>
      <c r="AP33" s="381">
        <v>0.0</v>
      </c>
      <c r="AQ33" s="381">
        <v>0.0</v>
      </c>
      <c r="AR33" s="381">
        <v>0.0</v>
      </c>
      <c r="AS33" s="381">
        <v>0.0</v>
      </c>
      <c r="AT33" s="381">
        <v>25253.99</v>
      </c>
      <c r="AU33" s="381">
        <v>24598.33</v>
      </c>
      <c r="AV33" s="381">
        <v>25713.99</v>
      </c>
      <c r="AW33" s="381">
        <v>12427.11</v>
      </c>
      <c r="AX33" s="381">
        <v>12706.54</v>
      </c>
      <c r="AY33" s="381">
        <v>17446.15</v>
      </c>
      <c r="AZ33" s="381">
        <v>34149.91</v>
      </c>
      <c r="BA33" s="381">
        <v>0.0</v>
      </c>
      <c r="BB33" s="381">
        <v>0.0</v>
      </c>
      <c r="BC33" s="381">
        <v>0.0</v>
      </c>
      <c r="BD33" s="381">
        <v>0.0</v>
      </c>
      <c r="BE33" s="381">
        <v>0.0</v>
      </c>
      <c r="BF33" s="381">
        <v>0.0</v>
      </c>
      <c r="BG33" s="381">
        <v>0.0</v>
      </c>
      <c r="BH33" s="381">
        <v>0.0</v>
      </c>
      <c r="BI33" s="381">
        <v>0.0</v>
      </c>
      <c r="BJ33" s="381">
        <v>0.0</v>
      </c>
      <c r="BK33" s="381">
        <v>0.0</v>
      </c>
      <c r="BL33" s="381">
        <v>0.0</v>
      </c>
      <c r="BM33" s="381">
        <v>0.0</v>
      </c>
      <c r="BN33" s="381">
        <v>0.0</v>
      </c>
      <c r="BO33" s="381"/>
      <c r="BP33" s="381">
        <v>0.0</v>
      </c>
      <c r="BQ33" s="381"/>
      <c r="BR33" s="381">
        <v>0.0</v>
      </c>
      <c r="BS33" s="381">
        <v>0.0</v>
      </c>
      <c r="BT33" s="381"/>
      <c r="BU33" s="381"/>
    </row>
    <row r="34" ht="15.75" customHeight="1">
      <c r="A34" s="368" t="s">
        <v>111</v>
      </c>
      <c r="B34" s="384" t="s">
        <v>2220</v>
      </c>
      <c r="C34" s="95" t="s">
        <v>2301</v>
      </c>
      <c r="D34" s="63" t="s">
        <v>120</v>
      </c>
      <c r="E34" s="66" t="s">
        <v>199</v>
      </c>
      <c r="F34" s="63" t="s">
        <v>290</v>
      </c>
      <c r="G34" s="47" t="str">
        <f t="shared" si="1"/>
        <v>Marcus</v>
      </c>
      <c r="H34" s="115" t="s">
        <v>183</v>
      </c>
      <c r="I34" s="49" t="s">
        <v>66</v>
      </c>
      <c r="J34" s="47" t="str">
        <f t="shared" si="2"/>
        <v>Não</v>
      </c>
      <c r="K34" s="95"/>
      <c r="L34" s="95"/>
      <c r="M34" s="95" t="s">
        <v>136</v>
      </c>
      <c r="N34" s="29">
        <v>0.007</v>
      </c>
      <c r="O34" s="23" t="s">
        <v>66</v>
      </c>
      <c r="P34" s="57">
        <v>0.0</v>
      </c>
      <c r="Q34" s="158"/>
      <c r="R34" s="50"/>
      <c r="S34" s="95" t="s">
        <v>194</v>
      </c>
      <c r="T34" s="384" t="s">
        <v>2309</v>
      </c>
      <c r="U34" s="384"/>
      <c r="V34" s="384"/>
      <c r="W34" s="384"/>
      <c r="X34" s="30" t="s">
        <v>199</v>
      </c>
      <c r="Y34" s="23" t="str">
        <f t="shared" si="3"/>
        <v>Inativo</v>
      </c>
      <c r="Z34" s="95"/>
      <c r="AA34" s="95"/>
      <c r="AB34" s="95"/>
      <c r="AC34" s="95"/>
      <c r="AD34" s="95"/>
      <c r="AE34" s="95"/>
      <c r="AF34" s="380">
        <v>0.0</v>
      </c>
      <c r="AG34" s="380">
        <v>0.0</v>
      </c>
      <c r="AH34" s="380">
        <v>0.0</v>
      </c>
      <c r="AI34" s="380">
        <v>0.0</v>
      </c>
      <c r="AJ34" s="380">
        <v>0.0</v>
      </c>
      <c r="AK34" s="380">
        <v>0.0</v>
      </c>
      <c r="AL34" s="380">
        <v>0.0</v>
      </c>
      <c r="AM34" s="380">
        <v>0.0</v>
      </c>
      <c r="AN34" s="380">
        <v>0.0</v>
      </c>
      <c r="AO34" s="381">
        <v>0.0</v>
      </c>
      <c r="AP34" s="381">
        <v>0.0</v>
      </c>
      <c r="AQ34" s="381">
        <v>0.0</v>
      </c>
      <c r="AR34" s="381">
        <v>0.0</v>
      </c>
      <c r="AS34" s="381">
        <v>0.0</v>
      </c>
      <c r="AT34" s="381">
        <v>0.0</v>
      </c>
      <c r="AU34" s="381">
        <v>0.0</v>
      </c>
      <c r="AV34" s="381">
        <v>0.0</v>
      </c>
      <c r="AW34" s="381">
        <v>0.0</v>
      </c>
      <c r="AX34" s="381">
        <v>0.0</v>
      </c>
      <c r="AY34" s="381">
        <v>0.0</v>
      </c>
      <c r="AZ34" s="381">
        <v>0.0</v>
      </c>
      <c r="BA34" s="381">
        <v>643759.87</v>
      </c>
      <c r="BB34" s="381">
        <v>646306.94</v>
      </c>
      <c r="BC34" s="381">
        <v>428132.51</v>
      </c>
      <c r="BD34" s="381">
        <v>428132.51</v>
      </c>
      <c r="BE34" s="381">
        <v>428132.51</v>
      </c>
      <c r="BF34" s="381">
        <v>433224.51</v>
      </c>
      <c r="BG34" s="381">
        <v>434603.01</v>
      </c>
      <c r="BH34" s="381">
        <v>437417.39</v>
      </c>
      <c r="BI34" s="381">
        <v>439231.76</v>
      </c>
      <c r="BJ34" s="381">
        <v>439525.45</v>
      </c>
      <c r="BK34" s="381">
        <v>549702.7</v>
      </c>
      <c r="BL34" s="381">
        <v>551448.99</v>
      </c>
      <c r="BM34" s="381">
        <v>551673.95</v>
      </c>
      <c r="BN34" s="381">
        <v>553509.52</v>
      </c>
      <c r="BO34" s="381">
        <v>555473.17</v>
      </c>
      <c r="BP34" s="381">
        <v>556202.56</v>
      </c>
      <c r="BQ34" s="381">
        <v>558125.51</v>
      </c>
      <c r="BR34" s="381">
        <v>557639.99</v>
      </c>
      <c r="BS34" s="381">
        <v>558750.44</v>
      </c>
      <c r="BT34" s="381">
        <v>560499.31</v>
      </c>
      <c r="BU34" s="381">
        <v>561620.57</v>
      </c>
    </row>
    <row r="35" ht="15.75" customHeight="1">
      <c r="A35" s="176" t="s">
        <v>111</v>
      </c>
      <c r="B35" s="176" t="s">
        <v>2320</v>
      </c>
      <c r="C35" s="95" t="s">
        <v>2321</v>
      </c>
      <c r="D35" s="63" t="s">
        <v>120</v>
      </c>
      <c r="E35" s="66" t="s">
        <v>199</v>
      </c>
      <c r="F35" s="63" t="s">
        <v>212</v>
      </c>
      <c r="G35" s="47" t="str">
        <f t="shared" si="1"/>
        <v>Gabriel</v>
      </c>
      <c r="H35" s="73" t="s">
        <v>295</v>
      </c>
      <c r="I35" s="152" t="s">
        <v>66</v>
      </c>
      <c r="J35" s="47" t="str">
        <f t="shared" si="2"/>
        <v>Não</v>
      </c>
      <c r="K35" s="382">
        <v>44944.0</v>
      </c>
      <c r="L35" s="95"/>
      <c r="M35" s="95" t="s">
        <v>136</v>
      </c>
      <c r="N35" s="366">
        <v>0.008</v>
      </c>
      <c r="O35" s="23" t="s">
        <v>66</v>
      </c>
      <c r="P35" s="57">
        <v>0.0</v>
      </c>
      <c r="Q35" s="457"/>
      <c r="R35" s="428" t="s">
        <v>2329</v>
      </c>
      <c r="S35" s="95" t="s">
        <v>234</v>
      </c>
      <c r="T35" s="39" t="s">
        <v>1739</v>
      </c>
      <c r="U35" s="39"/>
      <c r="V35" s="39"/>
      <c r="W35" s="39"/>
      <c r="X35" s="30" t="s">
        <v>1739</v>
      </c>
      <c r="Y35" s="23" t="str">
        <f t="shared" si="3"/>
        <v>Ativo</v>
      </c>
      <c r="Z35" s="95"/>
      <c r="AA35" s="95"/>
      <c r="AB35" s="95"/>
      <c r="AC35" s="95"/>
      <c r="AD35" s="95"/>
      <c r="AE35" s="95"/>
      <c r="AF35" s="380">
        <v>475031.53</v>
      </c>
      <c r="AG35" s="380">
        <v>467242.31</v>
      </c>
      <c r="AH35" s="380">
        <v>475245.76</v>
      </c>
      <c r="AI35" s="380">
        <v>474056.33</v>
      </c>
      <c r="AJ35" s="380">
        <v>475975.17</v>
      </c>
      <c r="AK35" s="380">
        <v>483037.09</v>
      </c>
      <c r="AL35" s="380">
        <v>492092.04</v>
      </c>
      <c r="AM35" s="380">
        <v>485533.4</v>
      </c>
      <c r="AN35" s="380">
        <v>478684.8</v>
      </c>
      <c r="AO35" s="381">
        <v>476463.51</v>
      </c>
      <c r="AP35" s="381">
        <v>496631.17</v>
      </c>
      <c r="AQ35" s="381">
        <v>511349.87</v>
      </c>
      <c r="AR35" s="381">
        <v>507269.24</v>
      </c>
      <c r="AS35" s="381">
        <v>526554.68</v>
      </c>
      <c r="AT35" s="381">
        <v>553891.52</v>
      </c>
      <c r="AU35" s="381">
        <v>529283.89</v>
      </c>
      <c r="AV35" s="381">
        <v>549792.31</v>
      </c>
      <c r="AW35" s="381">
        <v>553289.14</v>
      </c>
      <c r="AX35" s="381">
        <v>561495.38</v>
      </c>
      <c r="AY35" s="381">
        <v>559626.64</v>
      </c>
      <c r="AZ35" s="381">
        <v>303824.89</v>
      </c>
      <c r="BA35" s="381">
        <v>298395.06</v>
      </c>
      <c r="BB35" s="381">
        <v>308005.1</v>
      </c>
      <c r="BC35" s="381">
        <v>301676.1</v>
      </c>
      <c r="BD35" s="381">
        <v>296923.61</v>
      </c>
      <c r="BE35" s="381">
        <v>295737.89</v>
      </c>
      <c r="BF35" s="381">
        <v>292095.56</v>
      </c>
      <c r="BG35" s="381">
        <v>290887.6</v>
      </c>
      <c r="BH35" s="381">
        <v>295609.57</v>
      </c>
      <c r="BI35" s="381">
        <v>299289.07</v>
      </c>
      <c r="BJ35" s="381">
        <v>301225.59</v>
      </c>
      <c r="BK35" s="381">
        <v>303430.18</v>
      </c>
      <c r="BL35" s="381">
        <v>306139.04</v>
      </c>
      <c r="BM35" s="381">
        <v>307847.58</v>
      </c>
      <c r="BN35" s="381">
        <v>309679.51</v>
      </c>
      <c r="BO35" s="381">
        <v>309594.21</v>
      </c>
      <c r="BP35" s="381">
        <v>311344.17</v>
      </c>
      <c r="BQ35" s="381">
        <v>312589.59</v>
      </c>
      <c r="BR35" s="381">
        <v>308105.94</v>
      </c>
      <c r="BS35" s="381">
        <v>311234.31</v>
      </c>
      <c r="BT35" s="381">
        <v>312270.57</v>
      </c>
      <c r="BU35" s="381">
        <v>311720.88</v>
      </c>
    </row>
    <row r="36" ht="15.75" customHeight="1">
      <c r="A36" s="176" t="s">
        <v>111</v>
      </c>
      <c r="B36" s="39" t="s">
        <v>2345</v>
      </c>
      <c r="C36" s="22" t="s">
        <v>2347</v>
      </c>
      <c r="D36" s="141" t="s">
        <v>89</v>
      </c>
      <c r="E36" s="27" t="s">
        <v>397</v>
      </c>
      <c r="F36" s="141" t="s">
        <v>2349</v>
      </c>
      <c r="G36" s="47" t="str">
        <f t="shared" si="1"/>
        <v>Marcus</v>
      </c>
      <c r="H36" s="73" t="s">
        <v>295</v>
      </c>
      <c r="I36" s="152" t="s">
        <v>382</v>
      </c>
      <c r="J36" s="47" t="str">
        <f t="shared" si="2"/>
        <v>Não</v>
      </c>
      <c r="K36" s="244">
        <v>45558.0</v>
      </c>
      <c r="L36" s="95"/>
      <c r="M36" s="22" t="s">
        <v>136</v>
      </c>
      <c r="N36" s="366">
        <v>0.008</v>
      </c>
      <c r="O36" s="23" t="s">
        <v>66</v>
      </c>
      <c r="P36" s="57">
        <v>0.0</v>
      </c>
      <c r="Q36" s="457"/>
      <c r="R36" s="428"/>
      <c r="S36" s="22" t="s">
        <v>234</v>
      </c>
      <c r="T36" s="39" t="s">
        <v>1739</v>
      </c>
      <c r="U36" s="39"/>
      <c r="V36" s="39"/>
      <c r="W36" s="39"/>
      <c r="X36" s="30"/>
      <c r="Y36" s="23" t="str">
        <f t="shared" si="3"/>
        <v>Ativo</v>
      </c>
      <c r="Z36" s="95"/>
      <c r="AA36" s="95"/>
      <c r="AB36" s="95"/>
      <c r="AC36" s="95"/>
      <c r="AD36" s="95"/>
      <c r="AE36" s="95"/>
      <c r="AF36" s="380"/>
      <c r="AG36" s="380"/>
      <c r="AH36" s="380"/>
      <c r="AI36" s="380"/>
      <c r="AJ36" s="380"/>
      <c r="AK36" s="380"/>
      <c r="AL36" s="380"/>
      <c r="AM36" s="380"/>
      <c r="AN36" s="380"/>
      <c r="AO36" s="381"/>
      <c r="AP36" s="381"/>
      <c r="AQ36" s="381"/>
      <c r="AR36" s="381"/>
      <c r="AS36" s="381"/>
      <c r="AT36" s="381"/>
      <c r="AU36" s="381"/>
      <c r="AV36" s="381"/>
      <c r="AW36" s="381"/>
      <c r="AX36" s="381"/>
      <c r="AY36" s="381"/>
      <c r="AZ36" s="381">
        <v>79697.78</v>
      </c>
      <c r="BA36" s="381">
        <v>76781.98</v>
      </c>
      <c r="BB36" s="381">
        <v>77981.27</v>
      </c>
      <c r="BC36" s="381">
        <v>77045.1</v>
      </c>
      <c r="BD36" s="381">
        <v>78274.93</v>
      </c>
      <c r="BE36" s="381">
        <v>77830.48</v>
      </c>
      <c r="BF36" s="381">
        <v>75765.18</v>
      </c>
      <c r="BG36" s="381">
        <v>74777.9</v>
      </c>
      <c r="BH36" s="381">
        <v>77249.66</v>
      </c>
      <c r="BI36" s="381">
        <v>80340.39</v>
      </c>
      <c r="BJ36" s="381">
        <v>0.0</v>
      </c>
      <c r="BK36" s="381">
        <v>0.0</v>
      </c>
      <c r="BL36" s="381">
        <v>0.0</v>
      </c>
      <c r="BM36" s="381">
        <v>-200.0</v>
      </c>
      <c r="BN36" s="381">
        <v>0.0</v>
      </c>
      <c r="BO36" s="381"/>
      <c r="BP36" s="381">
        <v>0.0</v>
      </c>
      <c r="BQ36" s="381"/>
      <c r="BR36" s="381">
        <v>0.0</v>
      </c>
      <c r="BS36" s="381">
        <v>0.0</v>
      </c>
      <c r="BT36" s="381"/>
      <c r="BU36" s="381"/>
    </row>
    <row r="37" ht="15.75" customHeight="1">
      <c r="A37" s="176" t="s">
        <v>111</v>
      </c>
      <c r="B37" s="167" t="s">
        <v>2361</v>
      </c>
      <c r="C37" s="95" t="s">
        <v>2362</v>
      </c>
      <c r="D37" s="63" t="s">
        <v>120</v>
      </c>
      <c r="E37" s="66" t="s">
        <v>199</v>
      </c>
      <c r="F37" s="63" t="s">
        <v>1914</v>
      </c>
      <c r="G37" s="47" t="str">
        <f t="shared" si="1"/>
        <v>Gabriel</v>
      </c>
      <c r="H37" s="73" t="s">
        <v>224</v>
      </c>
      <c r="I37" s="49" t="s">
        <v>66</v>
      </c>
      <c r="J37" s="47" t="str">
        <f t="shared" si="2"/>
        <v>Não</v>
      </c>
      <c r="K37" s="382">
        <v>45001.0</v>
      </c>
      <c r="L37" s="244">
        <v>45565.0</v>
      </c>
      <c r="M37" s="95" t="s">
        <v>136</v>
      </c>
      <c r="N37" s="366">
        <v>0.008</v>
      </c>
      <c r="O37" s="23" t="s">
        <v>66</v>
      </c>
      <c r="P37" s="57">
        <v>0.0</v>
      </c>
      <c r="Q37" s="158"/>
      <c r="R37" s="158"/>
      <c r="S37" s="95" t="s">
        <v>194</v>
      </c>
      <c r="T37" s="167" t="s">
        <v>2367</v>
      </c>
      <c r="U37" s="167"/>
      <c r="V37" s="167"/>
      <c r="W37" s="167"/>
      <c r="X37" s="30" t="s">
        <v>1739</v>
      </c>
      <c r="Y37" s="23" t="str">
        <f t="shared" si="3"/>
        <v>Encerrado</v>
      </c>
      <c r="Z37" s="95"/>
      <c r="AA37" s="95"/>
      <c r="AB37" s="95"/>
      <c r="AC37" s="95"/>
      <c r="AD37" s="95"/>
      <c r="AE37" s="95"/>
      <c r="AF37" s="380">
        <v>0.0</v>
      </c>
      <c r="AG37" s="380">
        <v>0.0</v>
      </c>
      <c r="AH37" s="380">
        <v>253638.82</v>
      </c>
      <c r="AI37" s="380">
        <v>254673.01</v>
      </c>
      <c r="AJ37" s="380">
        <v>254027.5</v>
      </c>
      <c r="AK37" s="380">
        <v>258268.19</v>
      </c>
      <c r="AL37" s="380">
        <v>261881.54</v>
      </c>
      <c r="AM37" s="380">
        <v>260319.34</v>
      </c>
      <c r="AN37" s="380">
        <v>254977.7</v>
      </c>
      <c r="AO37" s="381">
        <v>252509.3</v>
      </c>
      <c r="AP37" s="381">
        <v>264031.76</v>
      </c>
      <c r="AQ37" s="381">
        <v>270334.46</v>
      </c>
      <c r="AR37" s="381">
        <v>272829.18</v>
      </c>
      <c r="AS37" s="381">
        <v>358411.0</v>
      </c>
      <c r="AT37" s="381">
        <v>366704.43</v>
      </c>
      <c r="AU37" s="381">
        <v>360104.0</v>
      </c>
      <c r="AV37" s="381">
        <v>371449.75</v>
      </c>
      <c r="AW37" s="381">
        <v>374846.98</v>
      </c>
      <c r="AX37" s="381">
        <v>477426.64</v>
      </c>
      <c r="AY37" s="381">
        <v>589296.0</v>
      </c>
      <c r="AZ37" s="381">
        <v>0.0</v>
      </c>
      <c r="BA37" s="381">
        <v>0.0</v>
      </c>
      <c r="BB37" s="381">
        <v>0.0</v>
      </c>
      <c r="BC37" s="381">
        <v>0.0</v>
      </c>
      <c r="BD37" s="381">
        <v>0.0</v>
      </c>
      <c r="BE37" s="381">
        <v>0.0</v>
      </c>
      <c r="BF37" s="381">
        <v>0.0</v>
      </c>
      <c r="BG37" s="381">
        <v>0.0</v>
      </c>
      <c r="BH37" s="381">
        <v>0.0</v>
      </c>
      <c r="BI37" s="381">
        <v>0.0</v>
      </c>
      <c r="BJ37" s="381">
        <v>0.0</v>
      </c>
      <c r="BK37" s="381">
        <v>0.0</v>
      </c>
      <c r="BL37" s="381">
        <v>0.0</v>
      </c>
      <c r="BM37" s="381">
        <v>0.0</v>
      </c>
      <c r="BN37" s="381">
        <v>0.0</v>
      </c>
      <c r="BO37" s="381"/>
      <c r="BP37" s="381">
        <v>0.0</v>
      </c>
      <c r="BQ37" s="381"/>
      <c r="BR37" s="381">
        <v>0.0</v>
      </c>
      <c r="BS37" s="381">
        <v>0.0</v>
      </c>
      <c r="BT37" s="381"/>
      <c r="BU37" s="381"/>
    </row>
    <row r="38" ht="15.75" customHeight="1">
      <c r="A38" s="383" t="s">
        <v>111</v>
      </c>
      <c r="B38" s="383" t="s">
        <v>2378</v>
      </c>
      <c r="C38" s="62" t="s">
        <v>2379</v>
      </c>
      <c r="D38" s="63" t="s">
        <v>120</v>
      </c>
      <c r="E38" s="66" t="s">
        <v>199</v>
      </c>
      <c r="F38" s="63" t="s">
        <v>212</v>
      </c>
      <c r="G38" s="47" t="str">
        <f t="shared" si="1"/>
        <v>Marcus</v>
      </c>
      <c r="H38" s="115" t="s">
        <v>224</v>
      </c>
      <c r="I38" s="49" t="s">
        <v>66</v>
      </c>
      <c r="J38" s="47" t="str">
        <f t="shared" si="2"/>
        <v>Não</v>
      </c>
      <c r="K38" s="62"/>
      <c r="L38" s="194">
        <v>45083.0</v>
      </c>
      <c r="M38" s="62" t="s">
        <v>136</v>
      </c>
      <c r="N38" s="144">
        <v>0.008</v>
      </c>
      <c r="O38" s="23" t="s">
        <v>66</v>
      </c>
      <c r="P38" s="57">
        <v>0.0</v>
      </c>
      <c r="Q38" s="190"/>
      <c r="R38" s="70"/>
      <c r="S38" s="62" t="s">
        <v>194</v>
      </c>
      <c r="T38" s="384" t="s">
        <v>2381</v>
      </c>
      <c r="U38" s="384"/>
      <c r="V38" s="384"/>
      <c r="W38" s="384"/>
      <c r="X38" s="30" t="s">
        <v>199</v>
      </c>
      <c r="Y38" s="23" t="str">
        <f t="shared" si="3"/>
        <v>Encerrado</v>
      </c>
      <c r="Z38" s="95"/>
      <c r="AA38" s="62"/>
      <c r="AB38" s="62"/>
      <c r="AC38" s="95"/>
      <c r="AD38" s="95"/>
      <c r="AE38" s="95"/>
      <c r="AF38" s="385">
        <v>0.0</v>
      </c>
      <c r="AG38" s="385">
        <v>0.0</v>
      </c>
      <c r="AH38" s="385">
        <v>0.0</v>
      </c>
      <c r="AI38" s="385">
        <v>0.0</v>
      </c>
      <c r="AJ38" s="385">
        <v>0.0</v>
      </c>
      <c r="AK38" s="385">
        <v>0.0</v>
      </c>
      <c r="AL38" s="385">
        <v>0.0</v>
      </c>
      <c r="AM38" s="385">
        <v>0.0</v>
      </c>
      <c r="AN38" s="385">
        <v>0.0</v>
      </c>
      <c r="AO38" s="385">
        <v>0.0</v>
      </c>
      <c r="AP38" s="385">
        <v>0.0</v>
      </c>
      <c r="AQ38" s="385">
        <v>0.0</v>
      </c>
      <c r="AR38" s="385">
        <v>0.0</v>
      </c>
      <c r="AS38" s="385">
        <v>0.0</v>
      </c>
      <c r="AT38" s="385">
        <v>0.0</v>
      </c>
      <c r="AU38" s="381">
        <v>0.0</v>
      </c>
      <c r="AV38" s="381">
        <v>0.0</v>
      </c>
      <c r="AW38" s="381">
        <v>0.0</v>
      </c>
      <c r="AX38" s="381">
        <v>0.0</v>
      </c>
      <c r="AY38" s="381">
        <v>0.0</v>
      </c>
      <c r="AZ38" s="381">
        <v>0.0</v>
      </c>
      <c r="BA38" s="381">
        <v>0.0</v>
      </c>
      <c r="BB38" s="381">
        <v>0.0</v>
      </c>
      <c r="BC38" s="381">
        <v>0.0</v>
      </c>
      <c r="BD38" s="381">
        <v>0.0</v>
      </c>
      <c r="BE38" s="381">
        <v>0.0</v>
      </c>
      <c r="BF38" s="381">
        <v>0.0</v>
      </c>
      <c r="BG38" s="381">
        <v>0.0</v>
      </c>
      <c r="BH38" s="381">
        <v>0.0</v>
      </c>
      <c r="BI38" s="381">
        <v>0.0</v>
      </c>
      <c r="BJ38" s="381">
        <v>0.0</v>
      </c>
      <c r="BK38" s="381">
        <v>0.0</v>
      </c>
      <c r="BL38" s="381">
        <v>0.0</v>
      </c>
      <c r="BM38" s="381">
        <v>0.0</v>
      </c>
      <c r="BN38" s="381">
        <v>0.0</v>
      </c>
      <c r="BO38" s="381"/>
      <c r="BP38" s="381">
        <v>0.0</v>
      </c>
      <c r="BQ38" s="381"/>
      <c r="BR38" s="381">
        <v>0.0</v>
      </c>
      <c r="BS38" s="381">
        <v>0.0</v>
      </c>
      <c r="BT38" s="381"/>
      <c r="BU38" s="381"/>
    </row>
    <row r="39" ht="15.75" customHeight="1">
      <c r="A39" s="237"/>
      <c r="B39" s="237"/>
      <c r="C39" s="284"/>
      <c r="D39" s="216"/>
      <c r="E39" s="216"/>
      <c r="F39" s="203"/>
      <c r="G39" s="203"/>
      <c r="H39" s="253"/>
      <c r="I39" s="253"/>
      <c r="J39" s="253"/>
      <c r="K39" s="204"/>
      <c r="L39" s="204"/>
      <c r="M39" s="203"/>
      <c r="N39" s="205"/>
      <c r="O39" s="205"/>
      <c r="P39" s="205"/>
      <c r="Q39" s="207"/>
      <c r="R39" s="207"/>
      <c r="S39" s="203"/>
      <c r="T39" s="203"/>
      <c r="U39" s="203"/>
      <c r="V39" s="203"/>
      <c r="W39" s="203"/>
      <c r="X39" s="203"/>
      <c r="Y39" s="203"/>
      <c r="Z39" s="203"/>
      <c r="AA39" s="204"/>
      <c r="AB39" s="204"/>
      <c r="AC39" s="204"/>
      <c r="AD39" s="204"/>
      <c r="AE39" s="204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10"/>
      <c r="AW39" s="210"/>
      <c r="AX39" s="210"/>
      <c r="AY39" s="210"/>
      <c r="AZ39" s="210"/>
      <c r="BA39" s="210"/>
      <c r="BB39" s="210"/>
      <c r="BC39" s="210"/>
      <c r="BD39" s="210"/>
      <c r="BE39" s="210"/>
      <c r="BF39" s="210"/>
      <c r="BG39" s="210"/>
      <c r="BH39" s="210"/>
      <c r="BI39" s="210"/>
      <c r="BJ39" s="210"/>
      <c r="BK39" s="210"/>
      <c r="BL39" s="210"/>
      <c r="BM39" s="210"/>
      <c r="BN39" s="210"/>
      <c r="BO39" s="210"/>
      <c r="BP39" s="210"/>
      <c r="BQ39" s="210"/>
      <c r="BR39" s="210"/>
      <c r="BS39" s="210"/>
      <c r="BT39" s="210"/>
      <c r="BU39" s="210"/>
    </row>
    <row r="40" ht="15.75" customHeight="1">
      <c r="A40" s="285"/>
      <c r="B40" s="286" t="s">
        <v>1353</v>
      </c>
      <c r="C40" s="287">
        <f>COUNTIF(H:H,"Ativo")</f>
        <v>19</v>
      </c>
      <c r="D40" s="203"/>
      <c r="E40" s="203"/>
      <c r="F40" s="203"/>
      <c r="G40" s="203"/>
      <c r="H40" s="203"/>
      <c r="I40" s="203"/>
      <c r="J40" s="203"/>
      <c r="K40" s="204"/>
      <c r="L40" s="204"/>
      <c r="M40" s="203"/>
      <c r="N40" s="205"/>
      <c r="O40" s="205"/>
      <c r="P40" s="205"/>
      <c r="Q40" s="207"/>
      <c r="R40" s="207"/>
      <c r="S40" s="203"/>
      <c r="T40" s="203"/>
      <c r="U40" s="203"/>
      <c r="V40" s="203"/>
      <c r="W40" s="203"/>
      <c r="X40" s="203"/>
      <c r="Y40" s="203"/>
      <c r="Z40" s="203"/>
      <c r="AA40" s="204"/>
      <c r="AB40" s="204"/>
      <c r="AC40" s="204"/>
      <c r="AD40" s="204"/>
      <c r="AE40" s="204"/>
      <c r="AF40" s="358">
        <f t="shared" ref="AF40:AJ40" si="4">SUM(AF5:AF38)</f>
        <v>486835.1</v>
      </c>
      <c r="AG40" s="358">
        <f t="shared" si="4"/>
        <v>485698.67</v>
      </c>
      <c r="AH40" s="358">
        <f t="shared" si="4"/>
        <v>749759.91</v>
      </c>
      <c r="AI40" s="358">
        <f t="shared" si="4"/>
        <v>843919.1</v>
      </c>
      <c r="AJ40" s="358">
        <f t="shared" si="4"/>
        <v>1075353.23</v>
      </c>
      <c r="AK40" s="358">
        <f t="shared" ref="AK40:AO40" si="5">SUM(AK4:AK38)</f>
        <v>1283396.61</v>
      </c>
      <c r="AL40" s="358">
        <f t="shared" si="5"/>
        <v>1611547.48</v>
      </c>
      <c r="AM40" s="358">
        <f t="shared" si="5"/>
        <v>1805361.66</v>
      </c>
      <c r="AN40" s="358">
        <f t="shared" si="5"/>
        <v>1910410.67</v>
      </c>
      <c r="AO40" s="358">
        <f t="shared" si="5"/>
        <v>2019361.11</v>
      </c>
      <c r="AP40" s="358">
        <f t="shared" ref="AP40:BU40" si="6">SUM(AP3:AP38)</f>
        <v>2374956.26</v>
      </c>
      <c r="AQ40" s="358">
        <f t="shared" si="6"/>
        <v>2780694.11</v>
      </c>
      <c r="AR40" s="358">
        <f t="shared" si="6"/>
        <v>2784739.66</v>
      </c>
      <c r="AS40" s="358">
        <f t="shared" si="6"/>
        <v>2901557.6</v>
      </c>
      <c r="AT40" s="358">
        <f t="shared" si="6"/>
        <v>3080107.76</v>
      </c>
      <c r="AU40" s="358">
        <f t="shared" si="6"/>
        <v>3336074.58</v>
      </c>
      <c r="AV40" s="358">
        <f t="shared" si="6"/>
        <v>3461366.97</v>
      </c>
      <c r="AW40" s="358">
        <f t="shared" si="6"/>
        <v>3515414.23</v>
      </c>
      <c r="AX40" s="358">
        <f t="shared" si="6"/>
        <v>3657518.89</v>
      </c>
      <c r="AY40" s="358">
        <f t="shared" si="6"/>
        <v>2203596.91</v>
      </c>
      <c r="AZ40" s="358">
        <f t="shared" si="6"/>
        <v>1037808.41</v>
      </c>
      <c r="BA40" s="358">
        <f t="shared" si="6"/>
        <v>1627247.7</v>
      </c>
      <c r="BB40" s="358">
        <f t="shared" si="6"/>
        <v>1685119.29</v>
      </c>
      <c r="BC40" s="358">
        <f t="shared" si="6"/>
        <v>1273502.88</v>
      </c>
      <c r="BD40" s="358">
        <f t="shared" si="6"/>
        <v>1276575.54</v>
      </c>
      <c r="BE40" s="358">
        <f t="shared" si="6"/>
        <v>1272506.68</v>
      </c>
      <c r="BF40" s="358">
        <f t="shared" si="6"/>
        <v>1332780.75</v>
      </c>
      <c r="BG40" s="358">
        <f t="shared" si="6"/>
        <v>1331128.11</v>
      </c>
      <c r="BH40" s="358">
        <f t="shared" si="6"/>
        <v>1352599.11</v>
      </c>
      <c r="BI40" s="358">
        <f t="shared" si="6"/>
        <v>1368174.84</v>
      </c>
      <c r="BJ40" s="358">
        <f t="shared" si="6"/>
        <v>1353891.49</v>
      </c>
      <c r="BK40" s="358">
        <f t="shared" si="6"/>
        <v>1713877.6</v>
      </c>
      <c r="BL40" s="358">
        <f t="shared" si="6"/>
        <v>1778685.44</v>
      </c>
      <c r="BM40" s="358">
        <f t="shared" si="6"/>
        <v>1792464.56</v>
      </c>
      <c r="BN40" s="358">
        <f t="shared" si="6"/>
        <v>1797957.69</v>
      </c>
      <c r="BO40" s="358">
        <f t="shared" si="6"/>
        <v>1898713.92</v>
      </c>
      <c r="BP40" s="358">
        <f t="shared" si="6"/>
        <v>1932765.79</v>
      </c>
      <c r="BQ40" s="358">
        <f t="shared" si="6"/>
        <v>1943716.71</v>
      </c>
      <c r="BR40" s="358">
        <f t="shared" si="6"/>
        <v>1919358.81</v>
      </c>
      <c r="BS40" s="358">
        <f t="shared" si="6"/>
        <v>2000601.71</v>
      </c>
      <c r="BT40" s="358">
        <f t="shared" si="6"/>
        <v>2345706.04</v>
      </c>
      <c r="BU40" s="358">
        <f t="shared" si="6"/>
        <v>2457126.27</v>
      </c>
    </row>
    <row r="41" ht="15.75" customHeight="1">
      <c r="A41" s="293"/>
      <c r="B41" s="294" t="s">
        <v>1370</v>
      </c>
      <c r="C41" s="295">
        <f>COUNTIF(H:H,"Inativo")</f>
        <v>6</v>
      </c>
      <c r="D41" s="214"/>
      <c r="E41" s="214"/>
      <c r="F41" s="215"/>
      <c r="G41" s="215"/>
      <c r="H41" s="216"/>
      <c r="I41" s="216"/>
      <c r="J41" s="216"/>
      <c r="K41" s="217"/>
      <c r="L41" s="218"/>
      <c r="M41" s="216"/>
      <c r="N41" s="205"/>
      <c r="O41" s="205"/>
      <c r="P41" s="205"/>
      <c r="Q41" s="207"/>
      <c r="R41" s="207"/>
      <c r="S41" s="203"/>
      <c r="T41" s="203"/>
      <c r="U41" s="203"/>
      <c r="V41" s="203"/>
      <c r="W41" s="203"/>
      <c r="X41" s="203"/>
      <c r="Y41" s="203"/>
      <c r="Z41" s="203"/>
      <c r="AA41" s="218"/>
      <c r="AB41" s="218"/>
      <c r="AC41" s="218"/>
      <c r="AD41" s="218"/>
      <c r="AE41" s="218"/>
      <c r="AF41" s="210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  <c r="AT41" s="210"/>
      <c r="AU41" s="210"/>
      <c r="AV41" s="210"/>
      <c r="AW41" s="210"/>
      <c r="AX41" s="210"/>
      <c r="AY41" s="210"/>
      <c r="AZ41" s="210"/>
      <c r="BA41" s="210"/>
      <c r="BB41" s="210"/>
      <c r="BC41" s="210"/>
      <c r="BD41" s="210"/>
      <c r="BE41" s="210"/>
      <c r="BF41" s="210"/>
      <c r="BG41" s="210"/>
      <c r="BH41" s="210"/>
      <c r="BI41" s="210"/>
      <c r="BJ41" s="210"/>
      <c r="BK41" s="210"/>
      <c r="BL41" s="210"/>
      <c r="BM41" s="210"/>
      <c r="BN41" s="210"/>
      <c r="BO41" s="210"/>
      <c r="BP41" s="210"/>
      <c r="BQ41" s="210"/>
      <c r="BR41" s="210"/>
      <c r="BS41" s="210"/>
      <c r="BT41" s="210"/>
      <c r="BU41" s="210"/>
    </row>
    <row r="42" ht="15.75" customHeight="1">
      <c r="A42" s="293"/>
      <c r="B42" s="294" t="s">
        <v>1407</v>
      </c>
      <c r="C42" s="295">
        <f>COUNTIF(H:H,"Encerrado")</f>
        <v>11</v>
      </c>
      <c r="D42" s="214"/>
      <c r="E42" s="214"/>
      <c r="F42" s="215"/>
      <c r="G42" s="215"/>
      <c r="H42" s="216"/>
      <c r="I42" s="216"/>
      <c r="J42" s="216"/>
      <c r="K42" s="217"/>
      <c r="L42" s="218"/>
      <c r="M42" s="216"/>
      <c r="N42" s="205"/>
      <c r="O42" s="205"/>
      <c r="P42" s="205"/>
      <c r="Q42" s="207"/>
      <c r="R42" s="207"/>
      <c r="S42" s="203"/>
      <c r="T42" s="203"/>
      <c r="U42" s="203"/>
      <c r="V42" s="203"/>
      <c r="W42" s="203"/>
      <c r="X42" s="203"/>
      <c r="Y42" s="203"/>
      <c r="Z42" s="203"/>
      <c r="AA42" s="218"/>
      <c r="AB42" s="218"/>
      <c r="AC42" s="218"/>
      <c r="AD42" s="218"/>
      <c r="AE42" s="218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0"/>
      <c r="AX42" s="210"/>
      <c r="AY42" s="210"/>
      <c r="AZ42" s="210"/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</row>
    <row r="43" ht="15.75" customHeight="1">
      <c r="A43" s="303"/>
      <c r="B43" s="304" t="s">
        <v>1426</v>
      </c>
      <c r="C43" s="305">
        <f>COUNTIF(H:H,"Pode Operar")</f>
        <v>0</v>
      </c>
      <c r="D43" s="214"/>
      <c r="E43" s="214"/>
      <c r="F43" s="215"/>
      <c r="G43" s="215"/>
      <c r="H43" s="216"/>
      <c r="I43" s="216"/>
      <c r="J43" s="216"/>
      <c r="K43" s="217"/>
      <c r="L43" s="218"/>
      <c r="M43" s="216"/>
      <c r="N43" s="205"/>
      <c r="O43" s="205"/>
      <c r="P43" s="205"/>
      <c r="Q43" s="207"/>
      <c r="R43" s="207"/>
      <c r="S43" s="203"/>
      <c r="T43" s="203"/>
      <c r="U43" s="203"/>
      <c r="V43" s="203"/>
      <c r="W43" s="203"/>
      <c r="X43" s="203"/>
      <c r="Y43" s="203"/>
      <c r="Z43" s="203"/>
      <c r="AA43" s="218"/>
      <c r="AB43" s="218"/>
      <c r="AC43" s="218"/>
      <c r="AD43" s="218"/>
      <c r="AE43" s="218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  <c r="BD43" s="210"/>
      <c r="BE43" s="210"/>
      <c r="BF43" s="210"/>
      <c r="BG43" s="210"/>
      <c r="BH43" s="210"/>
      <c r="BI43" s="210"/>
      <c r="BJ43" s="210"/>
      <c r="BK43" s="210"/>
      <c r="BL43" s="210"/>
      <c r="BM43" s="210"/>
      <c r="BN43" s="210"/>
      <c r="BO43" s="210"/>
      <c r="BP43" s="210"/>
      <c r="BQ43" s="210"/>
      <c r="BR43" s="210"/>
      <c r="BS43" s="210"/>
      <c r="BT43" s="210"/>
      <c r="BU43" s="210"/>
    </row>
  </sheetData>
  <customSheetViews>
    <customSheetView guid="{A214FC91-2926-4021-8CFF-EA2F61021101}" filter="1" showAutoFilter="1">
      <autoFilter ref="$B$2:$AM$38"/>
    </customSheetView>
  </customSheetViews>
  <mergeCells count="4">
    <mergeCell ref="A1:F1"/>
    <mergeCell ref="H1:I1"/>
    <mergeCell ref="J1:P1"/>
    <mergeCell ref="S1:AE1"/>
  </mergeCells>
  <conditionalFormatting sqref="E3:E38">
    <cfRule type="cellIs" dxfId="1" priority="1" operator="equal">
      <formula>"Conquest"</formula>
    </cfRule>
  </conditionalFormatting>
  <conditionalFormatting sqref="E3:E38">
    <cfRule type="cellIs" dxfId="2" priority="2" operator="equal">
      <formula>"Voga"</formula>
    </cfRule>
  </conditionalFormatting>
  <conditionalFormatting sqref="Z3:AA38">
    <cfRule type="notContainsBlanks" dxfId="0" priority="3">
      <formula>LEN(TRIM(Z3))&gt;0</formula>
    </cfRule>
  </conditionalFormatting>
  <dataValidations>
    <dataValidation type="list" allowBlank="1" showErrorMessage="1" sqref="D3:D38">
      <formula1>"Bluemetrix,Vcinvest,Voga,Bullside,Miura,Expert,PoupInvista"</formula1>
    </dataValidation>
    <dataValidation type="list" allowBlank="1" showErrorMessage="1" sqref="I3:I38">
      <formula1>"------,Sem Saldo,STVM Entrada,STVM Saída,Alteração de C.A,Monitoramento,Bloqueado,Resgate,Resgate Total,Troca de Assessoria,Distrato"</formula1>
    </dataValidation>
    <dataValidation type="list" allowBlank="1" showErrorMessage="1" sqref="AB3:AB38">
      <formula1>"Varejo,Qualificado,Profissional"</formula1>
    </dataValidation>
    <dataValidation type="list" allowBlank="1" showErrorMessage="1" sqref="H3:H38">
      <formula1>"Ativo,Pode Operar,Inativo,Encerrado"</formula1>
    </dataValidation>
    <dataValidation type="list" allowBlank="1" showErrorMessage="1" sqref="M3:M38">
      <formula1>"INT"</formula1>
    </dataValidation>
    <dataValidation type="list" allowBlank="1" showErrorMessage="1" sqref="Z3:AA38">
      <formula1>"Conservador,Moderado,Arrojado"</formula1>
    </dataValidation>
    <dataValidation type="list" allowBlank="1" showErrorMessage="1" sqref="Y3:Y38">
      <formula1>"Ativo,Inativo,Encerrado"</formula1>
    </dataValidation>
    <dataValidation type="list" allowBlank="1" showErrorMessage="1" sqref="E3:E38">
      <formula1>"DF,SP,GO,SUL,RJ"</formula1>
    </dataValidation>
    <dataValidation type="list" allowBlank="1" showErrorMessage="1" sqref="O3:O38">
      <formula1>"IBOVESPA,CDI,------,IFIX,SMLL,S&amp;P 500,IPCA +7% "</formula1>
    </dataValidation>
    <dataValidation type="list" allowBlank="1" showErrorMessage="1" sqref="S3:S38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6.75"/>
    <col customWidth="1" min="3" max="3" width="10.0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23.63"/>
    <col customWidth="1" min="18" max="18" width="60.25"/>
    <col customWidth="1" min="19" max="19" width="10.0"/>
    <col customWidth="1" min="20" max="20" width="11.5"/>
    <col customWidth="1" min="21" max="21" width="13.13"/>
    <col customWidth="1" min="22" max="22" width="23.5"/>
    <col customWidth="1" min="23" max="23" width="9.38"/>
    <col customWidth="1" min="24" max="24" width="10.75"/>
    <col customWidth="1" min="25" max="25" width="11.63"/>
    <col customWidth="1" min="26" max="26" width="19.13"/>
    <col customWidth="1" min="27" max="27" width="20.63"/>
    <col customWidth="1" min="28" max="31" width="22.63"/>
    <col customWidth="1" min="32" max="55" width="15.38"/>
  </cols>
  <sheetData>
    <row r="1" ht="15.75" customHeight="1">
      <c r="A1" s="130" t="s">
        <v>0</v>
      </c>
      <c r="B1" s="16"/>
      <c r="C1" s="16"/>
      <c r="D1" s="16"/>
      <c r="E1" s="16"/>
      <c r="F1" s="19"/>
      <c r="G1" s="14" t="s">
        <v>3</v>
      </c>
      <c r="H1" s="132" t="s">
        <v>6</v>
      </c>
      <c r="I1" s="19"/>
      <c r="J1" s="397" t="s">
        <v>0</v>
      </c>
      <c r="Q1" s="133" t="s">
        <v>10</v>
      </c>
      <c r="R1" s="369" t="s">
        <v>11</v>
      </c>
      <c r="S1" s="371" t="s">
        <v>13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398" t="s">
        <v>18</v>
      </c>
      <c r="AG1" s="398" t="s">
        <v>18</v>
      </c>
      <c r="AH1" s="398" t="s">
        <v>18</v>
      </c>
      <c r="AI1" s="398" t="s">
        <v>18</v>
      </c>
      <c r="AJ1" s="398" t="s">
        <v>18</v>
      </c>
      <c r="AK1" s="11" t="s">
        <v>18</v>
      </c>
      <c r="AL1" s="11" t="s">
        <v>18</v>
      </c>
      <c r="AM1" s="11" t="s">
        <v>18</v>
      </c>
      <c r="AN1" s="11" t="s">
        <v>18</v>
      </c>
      <c r="AO1" s="11" t="s">
        <v>18</v>
      </c>
      <c r="AP1" s="11" t="s">
        <v>18</v>
      </c>
      <c r="AQ1" s="11" t="s">
        <v>18</v>
      </c>
      <c r="AR1" s="11" t="s">
        <v>18</v>
      </c>
      <c r="AS1" s="11" t="s">
        <v>18</v>
      </c>
      <c r="AT1" s="11" t="s">
        <v>18</v>
      </c>
      <c r="AU1" s="11" t="s">
        <v>18</v>
      </c>
      <c r="AV1" s="11" t="s">
        <v>18</v>
      </c>
      <c r="AW1" s="11" t="s">
        <v>18</v>
      </c>
      <c r="AX1" s="11" t="s">
        <v>18</v>
      </c>
      <c r="AY1" s="11" t="s">
        <v>18</v>
      </c>
      <c r="AZ1" s="11" t="s">
        <v>18</v>
      </c>
      <c r="BA1" s="11" t="s">
        <v>18</v>
      </c>
      <c r="BB1" s="11" t="s">
        <v>18</v>
      </c>
      <c r="BC1" s="11" t="s">
        <v>18</v>
      </c>
    </row>
    <row r="2">
      <c r="A2" s="3" t="s">
        <v>31</v>
      </c>
      <c r="B2" s="10" t="s">
        <v>33</v>
      </c>
      <c r="C2" s="372" t="s">
        <v>2</v>
      </c>
      <c r="D2" s="373" t="s">
        <v>4</v>
      </c>
      <c r="E2" s="373" t="s">
        <v>5</v>
      </c>
      <c r="F2" s="373" t="s">
        <v>7</v>
      </c>
      <c r="G2" s="28" t="s">
        <v>36</v>
      </c>
      <c r="H2" s="374" t="s">
        <v>37</v>
      </c>
      <c r="I2" s="1" t="s">
        <v>38</v>
      </c>
      <c r="J2" s="374" t="s">
        <v>39</v>
      </c>
      <c r="K2" s="372" t="s">
        <v>41</v>
      </c>
      <c r="L2" s="372" t="s">
        <v>42</v>
      </c>
      <c r="M2" s="372" t="s">
        <v>12</v>
      </c>
      <c r="N2" s="375" t="s">
        <v>45</v>
      </c>
      <c r="O2" s="402" t="s">
        <v>46</v>
      </c>
      <c r="P2" s="402" t="s">
        <v>16</v>
      </c>
      <c r="Q2" s="7" t="s">
        <v>1832</v>
      </c>
      <c r="R2" s="7" t="s">
        <v>48</v>
      </c>
      <c r="S2" s="374" t="s">
        <v>50</v>
      </c>
      <c r="T2" s="10" t="s">
        <v>17</v>
      </c>
      <c r="U2" s="402" t="s">
        <v>19</v>
      </c>
      <c r="V2" s="402" t="s">
        <v>20</v>
      </c>
      <c r="W2" s="402" t="s">
        <v>21</v>
      </c>
      <c r="X2" s="372" t="s">
        <v>22</v>
      </c>
      <c r="Y2" s="1" t="s">
        <v>56</v>
      </c>
      <c r="Z2" s="12" t="s">
        <v>57</v>
      </c>
      <c r="AA2" s="12" t="s">
        <v>58</v>
      </c>
      <c r="AB2" s="3" t="s">
        <v>60</v>
      </c>
      <c r="AC2" s="402" t="s">
        <v>62</v>
      </c>
      <c r="AD2" s="402" t="s">
        <v>63</v>
      </c>
      <c r="AE2" s="402" t="s">
        <v>64</v>
      </c>
      <c r="AF2" s="377">
        <v>45504.0</v>
      </c>
      <c r="AG2" s="377">
        <v>45534.0</v>
      </c>
      <c r="AH2" s="377">
        <v>45565.0</v>
      </c>
      <c r="AI2" s="377">
        <v>45596.0</v>
      </c>
      <c r="AJ2" s="377">
        <v>45625.0</v>
      </c>
      <c r="AK2" s="51" t="s">
        <v>67</v>
      </c>
      <c r="AL2" s="51" t="s">
        <v>68</v>
      </c>
      <c r="AM2" s="51" t="s">
        <v>70</v>
      </c>
      <c r="AN2" s="51" t="s">
        <v>72</v>
      </c>
      <c r="AO2" s="51" t="s">
        <v>74</v>
      </c>
      <c r="AP2" s="51" t="s">
        <v>75</v>
      </c>
      <c r="AQ2" s="51" t="s">
        <v>76</v>
      </c>
      <c r="AR2" s="51" t="s">
        <v>78</v>
      </c>
      <c r="AS2" s="51" t="s">
        <v>79</v>
      </c>
      <c r="AT2" s="51" t="s">
        <v>81</v>
      </c>
      <c r="AU2" s="51" t="s">
        <v>82</v>
      </c>
      <c r="AV2" s="51" t="s">
        <v>84</v>
      </c>
      <c r="AW2" s="51" t="s">
        <v>85</v>
      </c>
      <c r="AX2" s="51" t="s">
        <v>87</v>
      </c>
      <c r="AY2" s="51" t="s">
        <v>88</v>
      </c>
      <c r="AZ2" s="51" t="s">
        <v>90</v>
      </c>
      <c r="BA2" s="51" t="s">
        <v>92</v>
      </c>
      <c r="BB2" s="51" t="s">
        <v>94</v>
      </c>
      <c r="BC2" s="51" t="s">
        <v>95</v>
      </c>
    </row>
    <row r="3" ht="15.75" customHeight="1">
      <c r="A3" s="39" t="s">
        <v>229</v>
      </c>
      <c r="B3" s="167" t="s">
        <v>609</v>
      </c>
      <c r="C3" s="403" t="s">
        <v>2082</v>
      </c>
      <c r="D3" s="141" t="s">
        <v>89</v>
      </c>
      <c r="E3" s="27" t="s">
        <v>91</v>
      </c>
      <c r="F3" s="141" t="s">
        <v>521</v>
      </c>
      <c r="G3" s="47" t="str">
        <f t="shared" ref="G3:G4" si="1">IFS($AX3:$AX985&lt;=30000,"Marcus",$AX3:$AX985&lt;=60000,"Gabriel", $AX3:$AX985&lt;=2000000,"Bruno",$AX3:$AX985="","")</f>
        <v>Bruno</v>
      </c>
      <c r="H3" s="73" t="s">
        <v>183</v>
      </c>
      <c r="I3" s="49" t="s">
        <v>66</v>
      </c>
      <c r="J3" s="63" t="str">
        <f t="shared" ref="J3:J21" si="2">IF(Q3=0,"Não","Sim")</f>
        <v>Sim</v>
      </c>
      <c r="K3" s="244">
        <v>46010.0</v>
      </c>
      <c r="L3" s="95"/>
      <c r="M3" s="22" t="s">
        <v>136</v>
      </c>
      <c r="N3" s="29">
        <v>0.0115</v>
      </c>
      <c r="O3" s="80" t="s">
        <v>66</v>
      </c>
      <c r="P3" s="404">
        <v>0.0</v>
      </c>
      <c r="Q3" s="153" t="s">
        <v>2090</v>
      </c>
      <c r="R3" s="158"/>
      <c r="S3" s="22" t="s">
        <v>194</v>
      </c>
      <c r="T3" s="167" t="s">
        <v>615</v>
      </c>
      <c r="U3" s="167">
        <v>4.399115901E10</v>
      </c>
      <c r="V3" s="167" t="s">
        <v>2052</v>
      </c>
      <c r="W3" s="167">
        <v>18114.0</v>
      </c>
      <c r="X3" s="30" t="s">
        <v>221</v>
      </c>
      <c r="Y3" s="49" t="str">
        <f t="shared" ref="Y3:Y21" si="3">IFS(I:I="Encerrado","Encerrado",COUNTBLANK(BH3:BS3)&gt;0,"Ativo",SUM(BH3:BS3)=0,"Inativo",SUM(BH3:BS3)&gt;0,"Ativo")</f>
        <v>Inativo</v>
      </c>
      <c r="Z3" s="62"/>
      <c r="AA3" s="22" t="s">
        <v>165</v>
      </c>
      <c r="AB3" s="95"/>
      <c r="AC3" s="95"/>
      <c r="AD3" s="95"/>
      <c r="AE3" s="95"/>
      <c r="AF3" s="381"/>
      <c r="AG3" s="381"/>
      <c r="AH3" s="381"/>
      <c r="AI3" s="381"/>
      <c r="AJ3" s="381"/>
      <c r="AK3" s="381"/>
      <c r="AL3" s="381"/>
      <c r="AM3" s="381"/>
      <c r="AN3" s="381"/>
      <c r="AO3" s="381"/>
      <c r="AP3" s="381"/>
      <c r="AQ3" s="381"/>
      <c r="AR3" s="381"/>
      <c r="AS3" s="381"/>
      <c r="AT3" s="381">
        <v>0.0</v>
      </c>
      <c r="AU3" s="381">
        <v>0.0</v>
      </c>
      <c r="AV3" s="381">
        <v>0.0</v>
      </c>
      <c r="AW3" s="381">
        <v>170692.69</v>
      </c>
      <c r="AX3" s="381">
        <v>170692.69</v>
      </c>
      <c r="AY3" s="381">
        <v>172082.11</v>
      </c>
      <c r="AZ3" s="381">
        <v>166452.91</v>
      </c>
      <c r="BA3" s="381">
        <v>170103.63</v>
      </c>
      <c r="BB3" s="381">
        <v>172103.63</v>
      </c>
      <c r="BC3" s="381">
        <v>171684.16</v>
      </c>
    </row>
    <row r="4" ht="15.75" customHeight="1">
      <c r="A4" s="39" t="s">
        <v>229</v>
      </c>
      <c r="B4" s="167" t="s">
        <v>446</v>
      </c>
      <c r="C4" s="403" t="s">
        <v>2101</v>
      </c>
      <c r="D4" s="141" t="s">
        <v>120</v>
      </c>
      <c r="E4" s="27" t="s">
        <v>199</v>
      </c>
      <c r="F4" s="141" t="s">
        <v>431</v>
      </c>
      <c r="G4" s="47" t="str">
        <f t="shared" si="1"/>
        <v>Marcus</v>
      </c>
      <c r="H4" s="73" t="s">
        <v>295</v>
      </c>
      <c r="I4" s="49" t="s">
        <v>447</v>
      </c>
      <c r="J4" s="63" t="str">
        <f t="shared" si="2"/>
        <v>Não</v>
      </c>
      <c r="K4" s="244">
        <v>46037.0</v>
      </c>
      <c r="L4" s="95"/>
      <c r="M4" s="22" t="s">
        <v>136</v>
      </c>
      <c r="N4" s="29">
        <v>0.0</v>
      </c>
      <c r="O4" s="80" t="s">
        <v>66</v>
      </c>
      <c r="P4" s="404">
        <v>0.0</v>
      </c>
      <c r="Q4" s="153"/>
      <c r="R4" s="153"/>
      <c r="S4" s="22" t="s">
        <v>194</v>
      </c>
      <c r="T4" s="167" t="s">
        <v>450</v>
      </c>
      <c r="U4" s="167">
        <v>5.561982666915E12</v>
      </c>
      <c r="V4" s="167" t="s">
        <v>452</v>
      </c>
      <c r="W4" s="167">
        <v>34915.0</v>
      </c>
      <c r="X4" s="30" t="s">
        <v>199</v>
      </c>
      <c r="Y4" s="49" t="str">
        <f t="shared" si="3"/>
        <v>Inativo</v>
      </c>
      <c r="Z4" s="62"/>
      <c r="AA4" s="22" t="s">
        <v>165</v>
      </c>
      <c r="AB4" s="95"/>
      <c r="AC4" s="95"/>
      <c r="AD4" s="95"/>
      <c r="AE4" s="95"/>
      <c r="AF4" s="381"/>
      <c r="AG4" s="381"/>
      <c r="AH4" s="381"/>
      <c r="AI4" s="381"/>
      <c r="AJ4" s="381"/>
      <c r="AK4" s="381"/>
      <c r="AL4" s="381"/>
      <c r="AM4" s="381"/>
      <c r="AN4" s="381"/>
      <c r="AO4" s="381"/>
      <c r="AP4" s="381"/>
      <c r="AQ4" s="381"/>
      <c r="AR4" s="381"/>
      <c r="AS4" s="381"/>
      <c r="AT4" s="381"/>
      <c r="AU4" s="381"/>
      <c r="AV4" s="381"/>
      <c r="AW4" s="381"/>
      <c r="AX4" s="381"/>
      <c r="AY4" s="381"/>
      <c r="AZ4" s="381">
        <v>0.0</v>
      </c>
      <c r="BA4" s="381"/>
      <c r="BB4" s="381"/>
      <c r="BC4" s="381"/>
    </row>
    <row r="5" ht="15.75" customHeight="1">
      <c r="A5" s="39" t="s">
        <v>229</v>
      </c>
      <c r="B5" s="167" t="s">
        <v>2111</v>
      </c>
      <c r="C5" s="403" t="s">
        <v>2112</v>
      </c>
      <c r="D5" s="141" t="s">
        <v>120</v>
      </c>
      <c r="E5" s="27" t="s">
        <v>199</v>
      </c>
      <c r="F5" s="141" t="s">
        <v>290</v>
      </c>
      <c r="G5" s="47" t="str">
        <f t="shared" ref="G5:G6" si="4">IFS($AX5:$AX986&lt;=30000,"Marcus",$AX5:$AX986&lt;=60000,"Gabriel", $AX5:$AX986&lt;=2000000,"Bruno",$AX5:$AX986="","")</f>
        <v>Marcus</v>
      </c>
      <c r="H5" s="73" t="s">
        <v>224</v>
      </c>
      <c r="I5" s="49" t="s">
        <v>66</v>
      </c>
      <c r="J5" s="63" t="str">
        <f t="shared" si="2"/>
        <v>Não</v>
      </c>
      <c r="K5" s="244">
        <v>45484.0</v>
      </c>
      <c r="L5" s="95"/>
      <c r="M5" s="22" t="s">
        <v>136</v>
      </c>
      <c r="N5" s="29">
        <v>0.01</v>
      </c>
      <c r="O5" s="80" t="s">
        <v>66</v>
      </c>
      <c r="P5" s="404">
        <v>0.0</v>
      </c>
      <c r="Q5" s="153"/>
      <c r="R5" s="153" t="s">
        <v>2118</v>
      </c>
      <c r="S5" s="22" t="s">
        <v>194</v>
      </c>
      <c r="T5" s="167" t="s">
        <v>2119</v>
      </c>
      <c r="U5" s="167"/>
      <c r="V5" s="167"/>
      <c r="W5" s="167"/>
      <c r="X5" s="30" t="s">
        <v>199</v>
      </c>
      <c r="Y5" s="49" t="str">
        <f t="shared" si="3"/>
        <v>Inativo</v>
      </c>
      <c r="Z5" s="62"/>
      <c r="AA5" s="22" t="s">
        <v>47</v>
      </c>
      <c r="AB5" s="95"/>
      <c r="AC5" s="95"/>
      <c r="AD5" s="95"/>
      <c r="AE5" s="95"/>
      <c r="AF5" s="381">
        <v>183280.25</v>
      </c>
      <c r="AG5" s="381">
        <v>188236.87</v>
      </c>
      <c r="AH5" s="381">
        <v>130068.69</v>
      </c>
      <c r="AI5" s="381">
        <v>126893.18</v>
      </c>
      <c r="AJ5" s="381">
        <v>129182.16</v>
      </c>
      <c r="AK5" s="381">
        <v>121911.07</v>
      </c>
      <c r="AL5" s="381">
        <v>21624.7</v>
      </c>
      <c r="AM5" s="381">
        <v>21698.79</v>
      </c>
      <c r="AN5" s="381">
        <v>53.21</v>
      </c>
      <c r="AO5" s="381">
        <v>0.0</v>
      </c>
      <c r="AP5" s="381">
        <v>0.0</v>
      </c>
      <c r="AQ5" s="381">
        <v>0.0</v>
      </c>
      <c r="AR5" s="381">
        <v>0.0</v>
      </c>
      <c r="AS5" s="381">
        <v>0.0</v>
      </c>
      <c r="AT5" s="381">
        <v>0.0</v>
      </c>
      <c r="AU5" s="381">
        <v>0.0</v>
      </c>
      <c r="AV5" s="381">
        <v>0.0</v>
      </c>
      <c r="AW5" s="381">
        <v>0.0</v>
      </c>
      <c r="AX5" s="381"/>
      <c r="AY5" s="381"/>
      <c r="AZ5" s="381">
        <v>0.0</v>
      </c>
      <c r="BA5" s="381"/>
      <c r="BB5" s="381"/>
      <c r="BC5" s="381"/>
    </row>
    <row r="6" ht="15.75" customHeight="1">
      <c r="A6" s="39" t="s">
        <v>229</v>
      </c>
      <c r="B6" s="167" t="s">
        <v>2111</v>
      </c>
      <c r="C6" s="403"/>
      <c r="D6" s="141" t="s">
        <v>120</v>
      </c>
      <c r="E6" s="27" t="s">
        <v>199</v>
      </c>
      <c r="F6" s="141" t="s">
        <v>290</v>
      </c>
      <c r="G6" s="47" t="str">
        <f t="shared" si="4"/>
        <v>Marcus</v>
      </c>
      <c r="H6" s="73" t="s">
        <v>335</v>
      </c>
      <c r="I6" s="49" t="s">
        <v>66</v>
      </c>
      <c r="J6" s="63" t="str">
        <f t="shared" si="2"/>
        <v>Sim</v>
      </c>
      <c r="K6" s="244">
        <v>46197.0</v>
      </c>
      <c r="L6" s="95"/>
      <c r="M6" s="22" t="s">
        <v>136</v>
      </c>
      <c r="N6" s="29">
        <v>0.01</v>
      </c>
      <c r="O6" s="83" t="s">
        <v>66</v>
      </c>
      <c r="P6" s="409">
        <v>0.0</v>
      </c>
      <c r="Q6" s="153" t="s">
        <v>2090</v>
      </c>
      <c r="R6" s="153"/>
      <c r="S6" s="22" t="s">
        <v>194</v>
      </c>
      <c r="T6" s="167" t="s">
        <v>2119</v>
      </c>
      <c r="U6" s="410" t="s">
        <v>2128</v>
      </c>
      <c r="V6" s="410" t="s">
        <v>2129</v>
      </c>
      <c r="W6" s="411">
        <v>11867.0</v>
      </c>
      <c r="X6" s="30" t="s">
        <v>199</v>
      </c>
      <c r="Y6" s="49" t="str">
        <f t="shared" si="3"/>
        <v>Inativo</v>
      </c>
      <c r="Z6" s="62"/>
      <c r="AA6" s="22"/>
      <c r="AB6" s="95"/>
      <c r="AC6" s="95"/>
      <c r="AD6" s="95"/>
      <c r="AE6" s="95"/>
      <c r="AF6" s="381"/>
      <c r="AG6" s="381"/>
      <c r="AH6" s="381"/>
      <c r="AI6" s="381"/>
      <c r="AJ6" s="381"/>
      <c r="AK6" s="381"/>
      <c r="AL6" s="381"/>
      <c r="AM6" s="381"/>
      <c r="AN6" s="381"/>
      <c r="AO6" s="381"/>
      <c r="AP6" s="381"/>
      <c r="AQ6" s="381"/>
      <c r="AR6" s="381"/>
      <c r="AS6" s="381"/>
      <c r="AT6" s="381"/>
      <c r="AU6" s="381"/>
      <c r="AV6" s="381"/>
      <c r="AW6" s="381"/>
      <c r="AX6" s="381"/>
      <c r="AY6" s="381"/>
      <c r="AZ6" s="381"/>
      <c r="BA6" s="381"/>
      <c r="BB6" s="381"/>
      <c r="BC6" s="381"/>
    </row>
    <row r="7" ht="15.75" customHeight="1">
      <c r="A7" s="39" t="s">
        <v>229</v>
      </c>
      <c r="B7" s="167" t="s">
        <v>2135</v>
      </c>
      <c r="C7" s="403" t="s">
        <v>2136</v>
      </c>
      <c r="D7" s="141" t="s">
        <v>89</v>
      </c>
      <c r="E7" s="27" t="s">
        <v>91</v>
      </c>
      <c r="F7" s="141" t="s">
        <v>521</v>
      </c>
      <c r="G7" s="47" t="str">
        <f t="shared" ref="G7:G8" si="5">IFS($AX7:$AX987&lt;=30000,"Marcus",$AX7:$AX987&lt;=60000,"Gabriel", $AX7:$AX987&lt;=2000000,"Bruno",$AX7:$AX987="","")</f>
        <v>Gabriel</v>
      </c>
      <c r="H7" s="73" t="s">
        <v>183</v>
      </c>
      <c r="I7" s="49" t="s">
        <v>66</v>
      </c>
      <c r="J7" s="63" t="str">
        <f t="shared" si="2"/>
        <v>Sim</v>
      </c>
      <c r="K7" s="244">
        <v>46043.0</v>
      </c>
      <c r="L7" s="95"/>
      <c r="M7" s="22" t="s">
        <v>2138</v>
      </c>
      <c r="N7" s="29">
        <v>0.0115</v>
      </c>
      <c r="O7" s="83" t="s">
        <v>66</v>
      </c>
      <c r="P7" s="409">
        <v>0.0</v>
      </c>
      <c r="Q7" s="153" t="s">
        <v>2090</v>
      </c>
      <c r="R7" s="153"/>
      <c r="S7" s="22" t="s">
        <v>194</v>
      </c>
      <c r="T7" s="167" t="s">
        <v>2139</v>
      </c>
      <c r="U7" s="167" t="s">
        <v>2140</v>
      </c>
      <c r="V7" s="167" t="s">
        <v>2141</v>
      </c>
      <c r="W7" s="413">
        <v>34271.0</v>
      </c>
      <c r="X7" s="30" t="s">
        <v>221</v>
      </c>
      <c r="Y7" s="49" t="str">
        <f t="shared" si="3"/>
        <v>Inativo</v>
      </c>
      <c r="Z7" s="62"/>
      <c r="AA7" s="22" t="s">
        <v>47</v>
      </c>
      <c r="AB7" s="95"/>
      <c r="AC7" s="95"/>
      <c r="AD7" s="95"/>
      <c r="AE7" s="95"/>
      <c r="AF7" s="381"/>
      <c r="AG7" s="381"/>
      <c r="AH7" s="381"/>
      <c r="AI7" s="381"/>
      <c r="AJ7" s="381"/>
      <c r="AK7" s="381"/>
      <c r="AL7" s="381"/>
      <c r="AM7" s="381"/>
      <c r="AN7" s="381"/>
      <c r="AO7" s="381"/>
      <c r="AP7" s="381"/>
      <c r="AQ7" s="381"/>
      <c r="AR7" s="381"/>
      <c r="AS7" s="381"/>
      <c r="AT7" s="381"/>
      <c r="AU7" s="381"/>
      <c r="AV7" s="381"/>
      <c r="AW7" s="381"/>
      <c r="AX7" s="381">
        <v>50168.25</v>
      </c>
      <c r="AY7" s="381">
        <v>49649.57</v>
      </c>
      <c r="AZ7" s="381">
        <v>48600.22</v>
      </c>
      <c r="BA7" s="381">
        <v>51425.59</v>
      </c>
      <c r="BB7" s="381">
        <v>51806.3</v>
      </c>
      <c r="BC7" s="381">
        <v>51276.01</v>
      </c>
    </row>
    <row r="8" ht="15.75" customHeight="1">
      <c r="A8" s="39" t="s">
        <v>229</v>
      </c>
      <c r="B8" s="167" t="s">
        <v>2147</v>
      </c>
      <c r="C8" s="414" t="s">
        <v>2148</v>
      </c>
      <c r="D8" s="141" t="s">
        <v>89</v>
      </c>
      <c r="E8" s="27" t="s">
        <v>91</v>
      </c>
      <c r="F8" s="141" t="s">
        <v>521</v>
      </c>
      <c r="G8" s="47" t="str">
        <f t="shared" si="5"/>
        <v>Marcus</v>
      </c>
      <c r="H8" s="73" t="s">
        <v>183</v>
      </c>
      <c r="I8" s="49" t="s">
        <v>66</v>
      </c>
      <c r="J8" s="63" t="str">
        <f t="shared" si="2"/>
        <v>Sim</v>
      </c>
      <c r="K8" s="244">
        <v>46079.0</v>
      </c>
      <c r="L8" s="95"/>
      <c r="M8" s="22" t="s">
        <v>136</v>
      </c>
      <c r="N8" s="29">
        <v>0.0115</v>
      </c>
      <c r="O8" s="83" t="s">
        <v>66</v>
      </c>
      <c r="P8" s="409">
        <v>0.0</v>
      </c>
      <c r="Q8" s="153" t="s">
        <v>2090</v>
      </c>
      <c r="R8" s="153"/>
      <c r="S8" s="22" t="s">
        <v>194</v>
      </c>
      <c r="T8" s="167" t="s">
        <v>2150</v>
      </c>
      <c r="U8" s="167" t="s">
        <v>2151</v>
      </c>
      <c r="V8" s="167" t="s">
        <v>2152</v>
      </c>
      <c r="W8" s="413">
        <v>30822.0</v>
      </c>
      <c r="X8" s="30" t="s">
        <v>54</v>
      </c>
      <c r="Y8" s="49" t="str">
        <f t="shared" si="3"/>
        <v>Inativo</v>
      </c>
      <c r="Z8" s="62"/>
      <c r="AA8" s="22" t="s">
        <v>165</v>
      </c>
      <c r="AB8" s="95"/>
      <c r="AC8" s="95"/>
      <c r="AD8" s="95"/>
      <c r="AE8" s="95"/>
      <c r="AF8" s="381"/>
      <c r="AG8" s="381"/>
      <c r="AH8" s="381"/>
      <c r="AI8" s="381"/>
      <c r="AJ8" s="381"/>
      <c r="AK8" s="381"/>
      <c r="AL8" s="381"/>
      <c r="AM8" s="381"/>
      <c r="AN8" s="381"/>
      <c r="AO8" s="381"/>
      <c r="AP8" s="381"/>
      <c r="AQ8" s="381"/>
      <c r="AR8" s="381"/>
      <c r="AS8" s="381"/>
      <c r="AT8" s="381"/>
      <c r="AU8" s="381"/>
      <c r="AV8" s="381"/>
      <c r="AW8" s="381"/>
      <c r="AX8" s="381"/>
      <c r="AY8" s="381">
        <v>26067.35</v>
      </c>
      <c r="AZ8" s="381">
        <v>20513.69</v>
      </c>
      <c r="BA8" s="381">
        <v>23262.45</v>
      </c>
      <c r="BB8" s="381">
        <v>23367.77</v>
      </c>
      <c r="BC8" s="381">
        <v>23211.33</v>
      </c>
    </row>
    <row r="9" ht="15.75" customHeight="1">
      <c r="A9" s="39" t="s">
        <v>229</v>
      </c>
      <c r="B9" s="167" t="s">
        <v>2155</v>
      </c>
      <c r="C9" s="403" t="s">
        <v>2156</v>
      </c>
      <c r="D9" s="141" t="s">
        <v>1941</v>
      </c>
      <c r="E9" s="27" t="s">
        <v>54</v>
      </c>
      <c r="F9" s="141" t="s">
        <v>158</v>
      </c>
      <c r="G9" s="47" t="str">
        <f>IFS($AX9:$AX987&lt;=30000,"Marcus",$AX9:$AX987&lt;=60000,"Gabriel", $AX9:$AX987&lt;=2000000,"Bruno",$AX9:$AX987="","")</f>
        <v>Bruno</v>
      </c>
      <c r="H9" s="73" t="s">
        <v>183</v>
      </c>
      <c r="I9" s="49" t="s">
        <v>66</v>
      </c>
      <c r="J9" s="63" t="str">
        <f t="shared" si="2"/>
        <v>Sim</v>
      </c>
      <c r="K9" s="244">
        <v>46030.0</v>
      </c>
      <c r="L9" s="95"/>
      <c r="M9" s="22" t="s">
        <v>136</v>
      </c>
      <c r="N9" s="29">
        <v>0.012</v>
      </c>
      <c r="O9" s="83" t="s">
        <v>66</v>
      </c>
      <c r="P9" s="409">
        <v>0.0</v>
      </c>
      <c r="Q9" s="153" t="s">
        <v>2090</v>
      </c>
      <c r="R9" s="153"/>
      <c r="S9" s="22" t="s">
        <v>194</v>
      </c>
      <c r="T9" s="167" t="s">
        <v>2159</v>
      </c>
      <c r="U9" s="167" t="s">
        <v>2160</v>
      </c>
      <c r="V9" s="167" t="s">
        <v>2161</v>
      </c>
      <c r="W9" s="413">
        <v>26471.0</v>
      </c>
      <c r="X9" s="30" t="s">
        <v>2162</v>
      </c>
      <c r="Y9" s="49" t="str">
        <f t="shared" si="3"/>
        <v>Inativo</v>
      </c>
      <c r="Z9" s="62"/>
      <c r="AA9" s="22" t="s">
        <v>165</v>
      </c>
      <c r="AB9" s="95"/>
      <c r="AC9" s="95"/>
      <c r="AD9" s="95"/>
      <c r="AE9" s="95"/>
      <c r="AF9" s="381"/>
      <c r="AG9" s="381"/>
      <c r="AH9" s="381"/>
      <c r="AI9" s="381"/>
      <c r="AJ9" s="381"/>
      <c r="AK9" s="381"/>
      <c r="AL9" s="381"/>
      <c r="AM9" s="381"/>
      <c r="AN9" s="381"/>
      <c r="AO9" s="381"/>
      <c r="AP9" s="381"/>
      <c r="AQ9" s="381"/>
      <c r="AR9" s="381"/>
      <c r="AS9" s="381"/>
      <c r="AT9" s="381"/>
      <c r="AU9" s="381"/>
      <c r="AV9" s="381"/>
      <c r="AW9" s="381"/>
      <c r="AX9" s="381">
        <v>405304.68</v>
      </c>
      <c r="AY9" s="381">
        <v>397142.97</v>
      </c>
      <c r="AZ9" s="381">
        <v>387917.45</v>
      </c>
      <c r="BA9" s="381">
        <v>409357.73</v>
      </c>
      <c r="BB9" s="381">
        <v>415958.72</v>
      </c>
      <c r="BC9" s="381">
        <v>407378.67</v>
      </c>
    </row>
    <row r="10" ht="15.75" customHeight="1">
      <c r="A10" s="39" t="s">
        <v>229</v>
      </c>
      <c r="B10" s="384" t="s">
        <v>2167</v>
      </c>
      <c r="C10" s="415" t="s">
        <v>2168</v>
      </c>
      <c r="D10" s="141" t="s">
        <v>120</v>
      </c>
      <c r="E10" s="27" t="s">
        <v>199</v>
      </c>
      <c r="F10" s="141" t="s">
        <v>290</v>
      </c>
      <c r="G10" s="47" t="str">
        <f t="shared" ref="G10:G11" si="6">IFS($AX10:$AX987&lt;=30000,"Marcus",$AX10:$AX987&lt;=60000,"Gabriel", $AX10:$AX987&lt;=2000000,"Bruno",$AX10:$AX987="","")</f>
        <v>Bruno</v>
      </c>
      <c r="H10" s="73" t="s">
        <v>295</v>
      </c>
      <c r="I10" s="49" t="s">
        <v>2174</v>
      </c>
      <c r="J10" s="63" t="str">
        <f t="shared" si="2"/>
        <v>Sim</v>
      </c>
      <c r="K10" s="55">
        <v>45489.0</v>
      </c>
      <c r="L10" s="62"/>
      <c r="M10" s="32" t="s">
        <v>136</v>
      </c>
      <c r="N10" s="199">
        <v>0.01</v>
      </c>
      <c r="O10" s="80" t="s">
        <v>66</v>
      </c>
      <c r="P10" s="404">
        <v>0.0</v>
      </c>
      <c r="Q10" s="58" t="s">
        <v>2175</v>
      </c>
      <c r="R10" s="70"/>
      <c r="S10" s="32" t="s">
        <v>194</v>
      </c>
      <c r="T10" s="384" t="s">
        <v>2176</v>
      </c>
      <c r="U10" s="384"/>
      <c r="V10" s="384"/>
      <c r="W10" s="384"/>
      <c r="X10" s="30" t="s">
        <v>199</v>
      </c>
      <c r="Y10" s="49" t="str">
        <f t="shared" si="3"/>
        <v>Inativo</v>
      </c>
      <c r="Z10" s="32"/>
      <c r="AA10" s="32" t="s">
        <v>47</v>
      </c>
      <c r="AB10" s="62"/>
      <c r="AC10" s="95"/>
      <c r="AD10" s="95"/>
      <c r="AE10" s="95"/>
      <c r="AF10" s="416">
        <v>514810.92</v>
      </c>
      <c r="AG10" s="381">
        <v>529442.29</v>
      </c>
      <c r="AH10" s="381">
        <v>536779.39</v>
      </c>
      <c r="AI10" s="381">
        <v>525733.26</v>
      </c>
      <c r="AJ10" s="381">
        <v>534791.41</v>
      </c>
      <c r="AK10" s="381">
        <v>515472.2</v>
      </c>
      <c r="AL10" s="381">
        <v>525240.95</v>
      </c>
      <c r="AM10" s="381">
        <v>535699.04</v>
      </c>
      <c r="AN10" s="381">
        <v>531796.17</v>
      </c>
      <c r="AO10" s="381">
        <v>525491.63</v>
      </c>
      <c r="AP10" s="381">
        <v>532328.32</v>
      </c>
      <c r="AQ10" s="381">
        <v>537221.23</v>
      </c>
      <c r="AR10" s="381">
        <v>534084.6</v>
      </c>
      <c r="AS10" s="381">
        <v>549859.69</v>
      </c>
      <c r="AT10" s="381">
        <v>557240.99</v>
      </c>
      <c r="AU10" s="381">
        <v>555385.25</v>
      </c>
      <c r="AV10" s="381">
        <v>566680.01</v>
      </c>
      <c r="AW10" s="381">
        <v>566739.49</v>
      </c>
      <c r="AX10" s="381">
        <v>575447.41</v>
      </c>
      <c r="AY10" s="381">
        <v>590231.34</v>
      </c>
      <c r="AZ10" s="381">
        <v>567533.02</v>
      </c>
      <c r="BA10" s="381">
        <v>589512.26</v>
      </c>
      <c r="BB10" s="381">
        <v>588147.78</v>
      </c>
      <c r="BC10" s="381">
        <v>588995.64</v>
      </c>
    </row>
    <row r="11" ht="15.75" customHeight="1">
      <c r="A11" s="39" t="s">
        <v>229</v>
      </c>
      <c r="B11" s="384" t="s">
        <v>863</v>
      </c>
      <c r="C11" s="415" t="s">
        <v>2179</v>
      </c>
      <c r="D11" s="141" t="s">
        <v>120</v>
      </c>
      <c r="E11" s="27" t="s">
        <v>199</v>
      </c>
      <c r="F11" s="141" t="s">
        <v>212</v>
      </c>
      <c r="G11" s="47" t="str">
        <f t="shared" si="6"/>
        <v>Marcus</v>
      </c>
      <c r="H11" s="73" t="s">
        <v>335</v>
      </c>
      <c r="I11" s="49" t="s">
        <v>66</v>
      </c>
      <c r="J11" s="63" t="str">
        <f t="shared" si="2"/>
        <v>Sim</v>
      </c>
      <c r="K11" s="55">
        <v>46114.0</v>
      </c>
      <c r="L11" s="62"/>
      <c r="M11" s="32" t="s">
        <v>136</v>
      </c>
      <c r="N11" s="199">
        <v>0.0115</v>
      </c>
      <c r="O11" s="83" t="s">
        <v>66</v>
      </c>
      <c r="P11" s="409">
        <v>0.0</v>
      </c>
      <c r="Q11" s="153" t="s">
        <v>2090</v>
      </c>
      <c r="R11" s="70"/>
      <c r="S11" s="32" t="s">
        <v>194</v>
      </c>
      <c r="T11" s="384" t="s">
        <v>868</v>
      </c>
      <c r="U11" s="384" t="s">
        <v>2180</v>
      </c>
      <c r="V11" s="384" t="s">
        <v>871</v>
      </c>
      <c r="W11" s="407">
        <v>28975.0</v>
      </c>
      <c r="X11" s="30" t="s">
        <v>199</v>
      </c>
      <c r="Y11" s="49" t="str">
        <f t="shared" si="3"/>
        <v>Inativo</v>
      </c>
      <c r="Z11" s="32"/>
      <c r="AA11" s="32" t="s">
        <v>47</v>
      </c>
      <c r="AB11" s="62"/>
      <c r="AC11" s="95"/>
      <c r="AD11" s="95"/>
      <c r="AE11" s="95"/>
      <c r="AF11" s="416"/>
      <c r="AG11" s="381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  <c r="AW11" s="381"/>
      <c r="AX11" s="381"/>
      <c r="AY11" s="381"/>
      <c r="AZ11" s="381">
        <v>0.0</v>
      </c>
      <c r="BA11" s="381"/>
      <c r="BB11" s="381"/>
      <c r="BC11" s="381"/>
    </row>
    <row r="12" ht="15.75" customHeight="1">
      <c r="A12" s="39" t="s">
        <v>229</v>
      </c>
      <c r="B12" s="42" t="s">
        <v>2186</v>
      </c>
      <c r="C12" s="417" t="s">
        <v>2187</v>
      </c>
      <c r="D12" s="141" t="s">
        <v>1358</v>
      </c>
      <c r="E12" s="27" t="s">
        <v>199</v>
      </c>
      <c r="F12" s="141" t="s">
        <v>1359</v>
      </c>
      <c r="G12" s="47" t="str">
        <f t="shared" ref="G12:G13" si="7">IFS($AX12:$AX988&lt;=30000,"Marcus",$AX12:$AX988&lt;=60000,"Gabriel", $AX12:$AX988&lt;=2000000,"Bruno",$AX12:$AX988="","")</f>
        <v>Gabriel</v>
      </c>
      <c r="H12" s="73" t="s">
        <v>183</v>
      </c>
      <c r="I12" s="49" t="s">
        <v>66</v>
      </c>
      <c r="J12" s="63" t="str">
        <f t="shared" si="2"/>
        <v>Sim</v>
      </c>
      <c r="K12" s="55">
        <v>45894.0</v>
      </c>
      <c r="L12" s="62"/>
      <c r="M12" s="32" t="s">
        <v>136</v>
      </c>
      <c r="N12" s="199">
        <v>0.008</v>
      </c>
      <c r="O12" s="80" t="s">
        <v>66</v>
      </c>
      <c r="P12" s="404">
        <v>0.0</v>
      </c>
      <c r="Q12" s="58" t="s">
        <v>2189</v>
      </c>
      <c r="R12" s="70"/>
      <c r="S12" s="32" t="s">
        <v>194</v>
      </c>
      <c r="T12" s="384" t="s">
        <v>2190</v>
      </c>
      <c r="U12" s="384"/>
      <c r="V12" s="384"/>
      <c r="W12" s="384"/>
      <c r="X12" s="30" t="s">
        <v>199</v>
      </c>
      <c r="Y12" s="49" t="str">
        <f t="shared" si="3"/>
        <v>Inativo</v>
      </c>
      <c r="Z12" s="32"/>
      <c r="AA12" s="32" t="s">
        <v>165</v>
      </c>
      <c r="AB12" s="62"/>
      <c r="AC12" s="95"/>
      <c r="AD12" s="95"/>
      <c r="AE12" s="95"/>
      <c r="AF12" s="381">
        <v>0.0</v>
      </c>
      <c r="AG12" s="381">
        <v>0.0</v>
      </c>
      <c r="AH12" s="381">
        <v>0.0</v>
      </c>
      <c r="AI12" s="381">
        <v>0.0</v>
      </c>
      <c r="AJ12" s="381">
        <v>0.0</v>
      </c>
      <c r="AK12" s="381">
        <v>0.0</v>
      </c>
      <c r="AL12" s="381">
        <v>0.0</v>
      </c>
      <c r="AM12" s="381">
        <v>0.0</v>
      </c>
      <c r="AN12" s="381">
        <v>0.0</v>
      </c>
      <c r="AO12" s="381">
        <v>0.0</v>
      </c>
      <c r="AP12" s="381">
        <v>0.0</v>
      </c>
      <c r="AQ12" s="381">
        <v>0.0</v>
      </c>
      <c r="AR12" s="381">
        <v>0.0</v>
      </c>
      <c r="AS12" s="381">
        <v>30010.87</v>
      </c>
      <c r="AT12" s="381">
        <v>30531.01</v>
      </c>
      <c r="AU12" s="381">
        <v>31255.2</v>
      </c>
      <c r="AV12" s="381">
        <v>31259.88</v>
      </c>
      <c r="AW12" s="381">
        <v>31833.06</v>
      </c>
      <c r="AX12" s="381">
        <v>31725.74</v>
      </c>
      <c r="AY12" s="381">
        <v>31301.12</v>
      </c>
      <c r="AZ12" s="381">
        <v>0.0</v>
      </c>
      <c r="BA12" s="381">
        <v>0.0</v>
      </c>
      <c r="BB12" s="381"/>
      <c r="BC12" s="381"/>
    </row>
    <row r="13" ht="15.75" customHeight="1">
      <c r="A13" s="39" t="s">
        <v>229</v>
      </c>
      <c r="B13" s="42" t="s">
        <v>256</v>
      </c>
      <c r="C13" s="417" t="s">
        <v>2194</v>
      </c>
      <c r="D13" s="141" t="s">
        <v>2195</v>
      </c>
      <c r="E13" s="27" t="s">
        <v>199</v>
      </c>
      <c r="F13" s="141" t="s">
        <v>251</v>
      </c>
      <c r="G13" s="47" t="str">
        <f t="shared" si="7"/>
        <v>Marcus</v>
      </c>
      <c r="H13" s="73" t="s">
        <v>183</v>
      </c>
      <c r="I13" s="49" t="s">
        <v>66</v>
      </c>
      <c r="J13" s="63" t="str">
        <f t="shared" si="2"/>
        <v>Sim</v>
      </c>
      <c r="K13" s="55">
        <v>46169.0</v>
      </c>
      <c r="L13" s="62"/>
      <c r="M13" s="32" t="s">
        <v>136</v>
      </c>
      <c r="N13" s="199">
        <v>0.0085</v>
      </c>
      <c r="O13" s="83" t="s">
        <v>66</v>
      </c>
      <c r="P13" s="404">
        <v>0.0</v>
      </c>
      <c r="Q13" s="153" t="s">
        <v>2090</v>
      </c>
      <c r="R13" s="70"/>
      <c r="S13" s="32" t="s">
        <v>194</v>
      </c>
      <c r="T13" s="384" t="s">
        <v>1212</v>
      </c>
      <c r="U13" s="384" t="s">
        <v>2196</v>
      </c>
      <c r="V13" s="384" t="s">
        <v>1214</v>
      </c>
      <c r="W13" s="407">
        <v>31873.0</v>
      </c>
      <c r="X13" s="30" t="s">
        <v>199</v>
      </c>
      <c r="Y13" s="49" t="str">
        <f t="shared" si="3"/>
        <v>Inativo</v>
      </c>
      <c r="Z13" s="32"/>
      <c r="AA13" s="32" t="s">
        <v>47</v>
      </c>
      <c r="AB13" s="62"/>
      <c r="AC13" s="95"/>
      <c r="AD13" s="95"/>
      <c r="AE13" s="95"/>
      <c r="AF13" s="381"/>
      <c r="AG13" s="381"/>
      <c r="AH13" s="381"/>
      <c r="AI13" s="381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>
        <v>0.0</v>
      </c>
      <c r="BB13" s="381">
        <v>3101.16</v>
      </c>
      <c r="BC13" s="381">
        <v>22454.91</v>
      </c>
    </row>
    <row r="14" ht="15.75" customHeight="1">
      <c r="A14" s="39" t="s">
        <v>229</v>
      </c>
      <c r="B14" s="42" t="s">
        <v>2199</v>
      </c>
      <c r="C14" s="417" t="s">
        <v>2200</v>
      </c>
      <c r="D14" s="141" t="s">
        <v>89</v>
      </c>
      <c r="E14" s="27" t="s">
        <v>91</v>
      </c>
      <c r="F14" s="141" t="s">
        <v>521</v>
      </c>
      <c r="G14" s="47" t="str">
        <f t="shared" ref="G14:G15" si="8">IFS($AX14:$AX989&lt;=30000,"Marcus",$AX14:$AX989&lt;=60000,"Gabriel", $AX14:$AX989&lt;=2000000,"Bruno",$AX14:$AX989="","")</f>
        <v>Marcus</v>
      </c>
      <c r="H14" s="73" t="s">
        <v>183</v>
      </c>
      <c r="I14" s="49" t="s">
        <v>66</v>
      </c>
      <c r="J14" s="63" t="str">
        <f t="shared" si="2"/>
        <v>Sim</v>
      </c>
      <c r="K14" s="55">
        <v>46063.0</v>
      </c>
      <c r="L14" s="62"/>
      <c r="M14" s="32" t="s">
        <v>136</v>
      </c>
      <c r="N14" s="199">
        <v>0.0115</v>
      </c>
      <c r="O14" s="83" t="s">
        <v>66</v>
      </c>
      <c r="P14" s="409">
        <v>0.0</v>
      </c>
      <c r="Q14" s="153" t="s">
        <v>2090</v>
      </c>
      <c r="R14" s="70"/>
      <c r="S14" s="32" t="s">
        <v>194</v>
      </c>
      <c r="T14" s="384" t="s">
        <v>2203</v>
      </c>
      <c r="U14" s="384" t="s">
        <v>2204</v>
      </c>
      <c r="V14" s="384" t="s">
        <v>2205</v>
      </c>
      <c r="W14" s="407" t="s">
        <v>2206</v>
      </c>
      <c r="X14" s="30" t="s">
        <v>221</v>
      </c>
      <c r="Y14" s="49" t="str">
        <f t="shared" si="3"/>
        <v>Inativo</v>
      </c>
      <c r="Z14" s="32"/>
      <c r="AA14" s="32" t="s">
        <v>165</v>
      </c>
      <c r="AB14" s="62"/>
      <c r="AC14" s="95"/>
      <c r="AD14" s="95"/>
      <c r="AE14" s="95"/>
      <c r="AF14" s="381"/>
      <c r="AG14" s="381"/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  <c r="AY14" s="381">
        <v>9879.29</v>
      </c>
      <c r="AZ14" s="381">
        <v>10070.24</v>
      </c>
      <c r="BA14" s="381">
        <v>13103.52</v>
      </c>
      <c r="BB14" s="381">
        <v>19809.03</v>
      </c>
      <c r="BC14" s="381">
        <v>22556.51</v>
      </c>
    </row>
    <row r="15" ht="15.75" customHeight="1">
      <c r="A15" s="39" t="s">
        <v>229</v>
      </c>
      <c r="B15" s="42" t="s">
        <v>1194</v>
      </c>
      <c r="C15" s="417" t="s">
        <v>2208</v>
      </c>
      <c r="D15" s="141" t="s">
        <v>120</v>
      </c>
      <c r="E15" s="27" t="s">
        <v>199</v>
      </c>
      <c r="F15" s="141" t="s">
        <v>290</v>
      </c>
      <c r="G15" s="47" t="str">
        <f t="shared" si="8"/>
        <v>Marcus</v>
      </c>
      <c r="H15" s="73" t="s">
        <v>183</v>
      </c>
      <c r="I15" s="49" t="s">
        <v>66</v>
      </c>
      <c r="J15" s="63" t="str">
        <f t="shared" si="2"/>
        <v>Sim</v>
      </c>
      <c r="K15" s="55">
        <v>46212.0</v>
      </c>
      <c r="L15" s="62"/>
      <c r="M15" s="32" t="s">
        <v>136</v>
      </c>
      <c r="N15" s="199">
        <v>0.008</v>
      </c>
      <c r="O15" s="83" t="s">
        <v>66</v>
      </c>
      <c r="P15" s="409">
        <v>0.0</v>
      </c>
      <c r="Q15" s="153" t="s">
        <v>2090</v>
      </c>
      <c r="R15" s="70"/>
      <c r="S15" s="32" t="s">
        <v>194</v>
      </c>
      <c r="T15" s="384" t="s">
        <v>1200</v>
      </c>
      <c r="U15" s="384" t="s">
        <v>1202</v>
      </c>
      <c r="V15" s="384" t="s">
        <v>1205</v>
      </c>
      <c r="W15" s="407">
        <v>24644.0</v>
      </c>
      <c r="X15" s="30" t="s">
        <v>199</v>
      </c>
      <c r="Y15" s="49" t="str">
        <f t="shared" si="3"/>
        <v>Inativo</v>
      </c>
      <c r="Z15" s="32"/>
      <c r="AA15" s="32" t="s">
        <v>165</v>
      </c>
      <c r="AB15" s="62"/>
      <c r="AC15" s="95"/>
      <c r="AD15" s="95"/>
      <c r="AE15" s="95"/>
      <c r="AF15" s="381"/>
      <c r="AG15" s="381"/>
      <c r="AH15" s="381"/>
      <c r="AI15" s="381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1"/>
      <c r="AV15" s="381"/>
      <c r="AW15" s="381"/>
      <c r="AX15" s="381"/>
      <c r="AY15" s="381"/>
      <c r="AZ15" s="381"/>
      <c r="BA15" s="381"/>
      <c r="BB15" s="381"/>
      <c r="BC15" s="381"/>
    </row>
    <row r="16" ht="15.75" customHeight="1">
      <c r="A16" s="39" t="s">
        <v>229</v>
      </c>
      <c r="B16" s="42" t="s">
        <v>2211</v>
      </c>
      <c r="C16" s="417" t="s">
        <v>2212</v>
      </c>
      <c r="D16" s="141" t="s">
        <v>120</v>
      </c>
      <c r="E16" s="27" t="s">
        <v>199</v>
      </c>
      <c r="F16" s="141" t="s">
        <v>332</v>
      </c>
      <c r="G16" s="47" t="str">
        <f>IFS($AX16:$AX990&lt;=30000,"Marcus",$AX16:$AX990&lt;=60000,"Gabriel", $AX16:$AX990&lt;=2000000,"Bruno",$AX16:$AX990="","")</f>
        <v>Marcus</v>
      </c>
      <c r="H16" s="73" t="s">
        <v>183</v>
      </c>
      <c r="I16" s="49" t="s">
        <v>66</v>
      </c>
      <c r="J16" s="63" t="str">
        <f t="shared" si="2"/>
        <v>Não</v>
      </c>
      <c r="K16" s="55">
        <v>46149.0</v>
      </c>
      <c r="L16" s="62"/>
      <c r="M16" s="32" t="s">
        <v>136</v>
      </c>
      <c r="N16" s="199">
        <v>0.0</v>
      </c>
      <c r="O16" s="83" t="s">
        <v>66</v>
      </c>
      <c r="P16" s="409">
        <v>0.0</v>
      </c>
      <c r="Q16" s="153"/>
      <c r="R16" s="70"/>
      <c r="S16" s="32" t="s">
        <v>194</v>
      </c>
      <c r="T16" s="384" t="s">
        <v>2215</v>
      </c>
      <c r="U16" s="384">
        <v>6.1999880033E10</v>
      </c>
      <c r="V16" s="384" t="s">
        <v>2216</v>
      </c>
      <c r="W16" s="407">
        <v>22509.0</v>
      </c>
      <c r="X16" s="30" t="s">
        <v>199</v>
      </c>
      <c r="Y16" s="49" t="str">
        <f t="shared" si="3"/>
        <v>Inativo</v>
      </c>
      <c r="Z16" s="32"/>
      <c r="AA16" s="32" t="s">
        <v>47</v>
      </c>
      <c r="AB16" s="62"/>
      <c r="AC16" s="95"/>
      <c r="AD16" s="95"/>
      <c r="AE16" s="95"/>
      <c r="AF16" s="381"/>
      <c r="AG16" s="381"/>
      <c r="AH16" s="381"/>
      <c r="AI16" s="381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1"/>
      <c r="AV16" s="381"/>
      <c r="AW16" s="381"/>
      <c r="AX16" s="381"/>
      <c r="AY16" s="381"/>
      <c r="AZ16" s="381"/>
      <c r="BA16" s="381">
        <v>0.0</v>
      </c>
      <c r="BB16" s="381">
        <v>148.87</v>
      </c>
      <c r="BC16" s="381">
        <v>148.87</v>
      </c>
    </row>
    <row r="17" ht="15.75" customHeight="1">
      <c r="A17" s="39" t="s">
        <v>229</v>
      </c>
      <c r="B17" s="42" t="s">
        <v>2220</v>
      </c>
      <c r="C17" s="417" t="s">
        <v>2221</v>
      </c>
      <c r="D17" s="141" t="s">
        <v>120</v>
      </c>
      <c r="E17" s="27" t="s">
        <v>199</v>
      </c>
      <c r="F17" s="141" t="s">
        <v>290</v>
      </c>
      <c r="G17" s="47" t="str">
        <f t="shared" ref="G17:G20" si="9">IFS($AX17:$AX989&lt;=30000,"Marcus",$AX17:$AX989&lt;=60000,"Gabriel", $AX17:$AX989&lt;=2000000,"Bruno",$AX17:$AX989="","")</f>
        <v>Bruno</v>
      </c>
      <c r="H17" s="73" t="s">
        <v>183</v>
      </c>
      <c r="I17" s="49" t="s">
        <v>66</v>
      </c>
      <c r="J17" s="63" t="str">
        <f t="shared" si="2"/>
        <v>Sim</v>
      </c>
      <c r="K17" s="55">
        <v>45852.0</v>
      </c>
      <c r="L17" s="62"/>
      <c r="M17" s="32" t="s">
        <v>136</v>
      </c>
      <c r="N17" s="199">
        <v>0.005</v>
      </c>
      <c r="O17" s="80" t="s">
        <v>66</v>
      </c>
      <c r="P17" s="404">
        <v>0.0</v>
      </c>
      <c r="Q17" s="58" t="s">
        <v>2226</v>
      </c>
      <c r="R17" s="70"/>
      <c r="S17" s="32" t="s">
        <v>194</v>
      </c>
      <c r="T17" s="384" t="s">
        <v>2176</v>
      </c>
      <c r="U17" s="384"/>
      <c r="V17" s="384"/>
      <c r="W17" s="384"/>
      <c r="X17" s="30" t="s">
        <v>199</v>
      </c>
      <c r="Y17" s="49" t="str">
        <f t="shared" si="3"/>
        <v>Inativo</v>
      </c>
      <c r="Z17" s="62"/>
      <c r="AA17" s="62"/>
      <c r="AB17" s="62"/>
      <c r="AC17" s="95"/>
      <c r="AD17" s="95"/>
      <c r="AE17" s="95"/>
      <c r="AF17" s="381">
        <v>0.0</v>
      </c>
      <c r="AG17" s="381">
        <v>0.0</v>
      </c>
      <c r="AH17" s="381">
        <v>0.0</v>
      </c>
      <c r="AI17" s="381">
        <v>0.0</v>
      </c>
      <c r="AJ17" s="381">
        <v>0.0</v>
      </c>
      <c r="AK17" s="381">
        <v>0.0</v>
      </c>
      <c r="AL17" s="381">
        <v>0.0</v>
      </c>
      <c r="AM17" s="381">
        <v>0.0</v>
      </c>
      <c r="AN17" s="381">
        <v>0.0</v>
      </c>
      <c r="AO17" s="381">
        <v>0.0</v>
      </c>
      <c r="AP17" s="381">
        <v>0.0</v>
      </c>
      <c r="AQ17" s="381">
        <v>0.0</v>
      </c>
      <c r="AR17" s="381">
        <v>0.0</v>
      </c>
      <c r="AS17" s="381">
        <v>219000.0</v>
      </c>
      <c r="AT17" s="381">
        <v>219000.0</v>
      </c>
      <c r="AU17" s="381">
        <v>218184.36</v>
      </c>
      <c r="AV17" s="381">
        <v>219433.33</v>
      </c>
      <c r="AW17" s="381">
        <v>219950.93</v>
      </c>
      <c r="AX17" s="381">
        <v>219826.29</v>
      </c>
      <c r="AY17" s="381">
        <v>221718.12</v>
      </c>
      <c r="AZ17" s="381">
        <v>218699.99</v>
      </c>
      <c r="BA17" s="381">
        <v>219730.25</v>
      </c>
      <c r="BB17" s="381">
        <v>220917.71</v>
      </c>
      <c r="BC17" s="381">
        <v>221346.98</v>
      </c>
    </row>
    <row r="18" ht="15.75" customHeight="1">
      <c r="A18" s="39" t="s">
        <v>229</v>
      </c>
      <c r="B18" s="42" t="s">
        <v>2234</v>
      </c>
      <c r="C18" s="417" t="s">
        <v>2235</v>
      </c>
      <c r="D18" s="141" t="s">
        <v>89</v>
      </c>
      <c r="E18" s="27" t="s">
        <v>91</v>
      </c>
      <c r="F18" s="141" t="s">
        <v>521</v>
      </c>
      <c r="G18" s="47" t="str">
        <f t="shared" si="9"/>
        <v>Marcus</v>
      </c>
      <c r="H18" s="73" t="s">
        <v>183</v>
      </c>
      <c r="I18" s="49" t="s">
        <v>66</v>
      </c>
      <c r="J18" s="63" t="str">
        <f t="shared" si="2"/>
        <v>Sim</v>
      </c>
      <c r="K18" s="55">
        <v>46079.0</v>
      </c>
      <c r="L18" s="62"/>
      <c r="M18" s="32" t="s">
        <v>136</v>
      </c>
      <c r="N18" s="32">
        <v>1.15</v>
      </c>
      <c r="O18" s="83" t="s">
        <v>66</v>
      </c>
      <c r="P18" s="409">
        <v>0.0</v>
      </c>
      <c r="Q18" s="153" t="s">
        <v>2090</v>
      </c>
      <c r="R18" s="70"/>
      <c r="S18" s="32" t="s">
        <v>194</v>
      </c>
      <c r="T18" s="384" t="s">
        <v>2240</v>
      </c>
      <c r="U18" s="384" t="s">
        <v>2241</v>
      </c>
      <c r="V18" s="384" t="s">
        <v>2242</v>
      </c>
      <c r="W18" s="407">
        <v>28963.0</v>
      </c>
      <c r="X18" s="30" t="s">
        <v>221</v>
      </c>
      <c r="Y18" s="49" t="str">
        <f t="shared" si="3"/>
        <v>Inativo</v>
      </c>
      <c r="Z18" s="62"/>
      <c r="AA18" s="32" t="s">
        <v>47</v>
      </c>
      <c r="AB18" s="62"/>
      <c r="AC18" s="95"/>
      <c r="AD18" s="95"/>
      <c r="AE18" s="95"/>
      <c r="AF18" s="381"/>
      <c r="AG18" s="381"/>
      <c r="AH18" s="381"/>
      <c r="AI18" s="381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1"/>
      <c r="AV18" s="381"/>
      <c r="AW18" s="381"/>
      <c r="AX18" s="381"/>
      <c r="AY18" s="381">
        <v>9882.55</v>
      </c>
      <c r="AZ18" s="381">
        <v>10073.5</v>
      </c>
      <c r="BA18" s="381">
        <v>10108.49</v>
      </c>
      <c r="BB18" s="381">
        <v>9835.21</v>
      </c>
      <c r="BC18" s="381">
        <v>10771.03</v>
      </c>
    </row>
    <row r="19" ht="15.75" customHeight="1">
      <c r="A19" s="39" t="s">
        <v>229</v>
      </c>
      <c r="B19" s="42" t="s">
        <v>2248</v>
      </c>
      <c r="C19" s="417" t="s">
        <v>2249</v>
      </c>
      <c r="D19" s="141" t="s">
        <v>89</v>
      </c>
      <c r="E19" s="27" t="s">
        <v>91</v>
      </c>
      <c r="F19" s="141" t="s">
        <v>521</v>
      </c>
      <c r="G19" s="47" t="str">
        <f t="shared" si="9"/>
        <v>Marcus</v>
      </c>
      <c r="H19" s="73" t="s">
        <v>183</v>
      </c>
      <c r="I19" s="49" t="s">
        <v>66</v>
      </c>
      <c r="J19" s="63" t="str">
        <f t="shared" si="2"/>
        <v>Sim</v>
      </c>
      <c r="K19" s="55">
        <v>46090.0</v>
      </c>
      <c r="L19" s="62"/>
      <c r="M19" s="32" t="s">
        <v>136</v>
      </c>
      <c r="N19" s="32">
        <v>1.15</v>
      </c>
      <c r="O19" s="83" t="s">
        <v>66</v>
      </c>
      <c r="P19" s="409">
        <v>0.0</v>
      </c>
      <c r="Q19" s="153" t="s">
        <v>2090</v>
      </c>
      <c r="R19" s="70"/>
      <c r="S19" s="32" t="s">
        <v>194</v>
      </c>
      <c r="T19" s="384" t="s">
        <v>2254</v>
      </c>
      <c r="U19" s="384">
        <v>5.543999146669E12</v>
      </c>
      <c r="V19" s="384" t="s">
        <v>2256</v>
      </c>
      <c r="W19" s="407">
        <v>29539.0</v>
      </c>
      <c r="X19" s="30" t="s">
        <v>221</v>
      </c>
      <c r="Y19" s="49" t="str">
        <f t="shared" si="3"/>
        <v>Inativo</v>
      </c>
      <c r="Z19" s="62"/>
      <c r="AA19" s="32" t="s">
        <v>47</v>
      </c>
      <c r="AB19" s="62"/>
      <c r="AC19" s="95"/>
      <c r="AD19" s="95"/>
      <c r="AE19" s="95"/>
      <c r="AF19" s="381"/>
      <c r="AG19" s="381"/>
      <c r="AH19" s="381"/>
      <c r="AI19" s="381"/>
      <c r="AJ19" s="381"/>
      <c r="AK19" s="381"/>
      <c r="AL19" s="381"/>
      <c r="AM19" s="381"/>
      <c r="AN19" s="381"/>
      <c r="AO19" s="381"/>
      <c r="AP19" s="381"/>
      <c r="AQ19" s="381"/>
      <c r="AR19" s="381"/>
      <c r="AS19" s="381"/>
      <c r="AT19" s="381"/>
      <c r="AU19" s="381"/>
      <c r="AV19" s="381"/>
      <c r="AW19" s="381"/>
      <c r="AX19" s="381"/>
      <c r="AY19" s="381"/>
      <c r="AZ19" s="381">
        <v>26504.42</v>
      </c>
      <c r="BA19" s="381">
        <v>27701.57</v>
      </c>
      <c r="BB19" s="381">
        <v>27884.23</v>
      </c>
      <c r="BC19" s="381">
        <v>27661.11</v>
      </c>
    </row>
    <row r="20" ht="15.75" customHeight="1">
      <c r="A20" s="39" t="s">
        <v>229</v>
      </c>
      <c r="B20" s="42" t="s">
        <v>1751</v>
      </c>
      <c r="C20" s="417" t="s">
        <v>2262</v>
      </c>
      <c r="D20" s="141" t="s">
        <v>120</v>
      </c>
      <c r="E20" s="27" t="s">
        <v>199</v>
      </c>
      <c r="F20" s="141" t="s">
        <v>388</v>
      </c>
      <c r="G20" s="47" t="str">
        <f t="shared" si="9"/>
        <v>Marcus</v>
      </c>
      <c r="H20" s="73" t="s">
        <v>335</v>
      </c>
      <c r="I20" s="49" t="s">
        <v>66</v>
      </c>
      <c r="J20" s="63" t="str">
        <f t="shared" si="2"/>
        <v>Sim</v>
      </c>
      <c r="K20" s="55">
        <v>46169.0</v>
      </c>
      <c r="L20" s="62"/>
      <c r="M20" s="32" t="s">
        <v>136</v>
      </c>
      <c r="N20" s="32">
        <v>1.15</v>
      </c>
      <c r="O20" s="83" t="s">
        <v>66</v>
      </c>
      <c r="P20" s="409">
        <v>0.0</v>
      </c>
      <c r="Q20" s="153" t="s">
        <v>2090</v>
      </c>
      <c r="R20" s="70"/>
      <c r="S20" s="32" t="s">
        <v>194</v>
      </c>
      <c r="T20" s="384" t="s">
        <v>1752</v>
      </c>
      <c r="U20" s="384" t="s">
        <v>2263</v>
      </c>
      <c r="V20" s="384" t="s">
        <v>2264</v>
      </c>
      <c r="W20" s="407">
        <v>33486.0</v>
      </c>
      <c r="X20" s="30" t="s">
        <v>54</v>
      </c>
      <c r="Y20" s="49" t="str">
        <f t="shared" si="3"/>
        <v>Inativo</v>
      </c>
      <c r="Z20" s="62"/>
      <c r="AA20" s="32" t="s">
        <v>47</v>
      </c>
      <c r="AB20" s="62"/>
      <c r="AC20" s="95"/>
      <c r="AD20" s="95"/>
      <c r="AE20" s="95"/>
      <c r="AF20" s="381"/>
      <c r="AG20" s="381"/>
      <c r="AH20" s="381"/>
      <c r="AI20" s="381"/>
      <c r="AJ20" s="381"/>
      <c r="AK20" s="381"/>
      <c r="AL20" s="381"/>
      <c r="AM20" s="381"/>
      <c r="AN20" s="381"/>
      <c r="AO20" s="381"/>
      <c r="AP20" s="381"/>
      <c r="AQ20" s="381"/>
      <c r="AR20" s="381"/>
      <c r="AS20" s="381"/>
      <c r="AT20" s="381"/>
      <c r="AU20" s="381"/>
      <c r="AV20" s="381"/>
      <c r="AW20" s="381"/>
      <c r="AX20" s="381"/>
      <c r="AY20" s="381"/>
      <c r="AZ20" s="381"/>
      <c r="BA20" s="381"/>
      <c r="BB20" s="381"/>
      <c r="BC20" s="381"/>
    </row>
    <row r="21" ht="15.75" customHeight="1">
      <c r="A21" s="39" t="s">
        <v>229</v>
      </c>
      <c r="B21" s="42" t="s">
        <v>2265</v>
      </c>
      <c r="C21" s="417" t="s">
        <v>2266</v>
      </c>
      <c r="D21" s="141" t="s">
        <v>53</v>
      </c>
      <c r="E21" s="27" t="s">
        <v>54</v>
      </c>
      <c r="F21" s="141" t="s">
        <v>608</v>
      </c>
      <c r="G21" s="47" t="str">
        <f>IFS($AX21:$AX992&lt;=30000,"Marcus",$AX21:$AX992&lt;=60000,"Gabriel", $AX21:$AX992&lt;=2000000,"Bruno",$AX21:$AX992="","")</f>
        <v>Marcus</v>
      </c>
      <c r="H21" s="73" t="s">
        <v>224</v>
      </c>
      <c r="I21" s="49" t="s">
        <v>66</v>
      </c>
      <c r="J21" s="63" t="str">
        <f t="shared" si="2"/>
        <v>Sim</v>
      </c>
      <c r="K21" s="55">
        <v>46100.0</v>
      </c>
      <c r="L21" s="55">
        <v>46125.0</v>
      </c>
      <c r="M21" s="32" t="s">
        <v>136</v>
      </c>
      <c r="N21" s="32">
        <v>1.5</v>
      </c>
      <c r="O21" s="83" t="s">
        <v>66</v>
      </c>
      <c r="P21" s="409">
        <v>0.0</v>
      </c>
      <c r="Q21" s="153" t="s">
        <v>231</v>
      </c>
      <c r="R21" s="70"/>
      <c r="S21" s="32" t="s">
        <v>194</v>
      </c>
      <c r="T21" s="384" t="s">
        <v>2273</v>
      </c>
      <c r="U21" s="384" t="s">
        <v>2274</v>
      </c>
      <c r="V21" s="384" t="s">
        <v>2275</v>
      </c>
      <c r="W21" s="407">
        <v>31636.0</v>
      </c>
      <c r="X21" s="30" t="s">
        <v>54</v>
      </c>
      <c r="Y21" s="49" t="str">
        <f t="shared" si="3"/>
        <v>Inativo</v>
      </c>
      <c r="Z21" s="62"/>
      <c r="AA21" s="32" t="s">
        <v>47</v>
      </c>
      <c r="AB21" s="62"/>
      <c r="AC21" s="95"/>
      <c r="AD21" s="95"/>
      <c r="AE21" s="95"/>
      <c r="AF21" s="381"/>
      <c r="AG21" s="381"/>
      <c r="AH21" s="381"/>
      <c r="AI21" s="381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1"/>
      <c r="AV21" s="381"/>
      <c r="AW21" s="381"/>
      <c r="AX21" s="381"/>
      <c r="AY21" s="381"/>
      <c r="AZ21" s="381">
        <v>0.0</v>
      </c>
      <c r="BA21" s="381"/>
      <c r="BB21" s="381"/>
      <c r="BC21" s="381"/>
    </row>
    <row r="22" ht="15.75" customHeight="1">
      <c r="A22" s="237"/>
      <c r="B22" s="237"/>
      <c r="C22" s="284"/>
      <c r="D22" s="216"/>
      <c r="E22" s="216"/>
      <c r="F22" s="203"/>
      <c r="G22" s="203"/>
      <c r="H22" s="253"/>
      <c r="I22" s="253"/>
      <c r="J22" s="253"/>
      <c r="K22" s="204"/>
      <c r="L22" s="204"/>
      <c r="M22" s="203"/>
      <c r="N22" s="205"/>
      <c r="O22" s="205"/>
      <c r="P22" s="205"/>
      <c r="Q22" s="207"/>
      <c r="R22" s="207"/>
      <c r="S22" s="203"/>
      <c r="T22" s="237"/>
      <c r="U22" s="237"/>
      <c r="V22" s="237"/>
      <c r="W22" s="237"/>
      <c r="X22" s="203"/>
      <c r="Y22" s="203"/>
      <c r="Z22" s="204"/>
      <c r="AA22" s="204"/>
      <c r="AB22" s="204"/>
      <c r="AC22" s="204"/>
      <c r="AD22" s="204"/>
      <c r="AE22" s="204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</row>
    <row r="23" ht="15.75" customHeight="1">
      <c r="A23" s="237"/>
      <c r="B23" s="237"/>
      <c r="C23" s="284"/>
      <c r="D23" s="216"/>
      <c r="E23" s="216"/>
      <c r="F23" s="203"/>
      <c r="G23" s="203"/>
      <c r="H23" s="253"/>
      <c r="I23" s="253"/>
      <c r="J23" s="253"/>
      <c r="K23" s="204"/>
      <c r="L23" s="204"/>
      <c r="M23" s="203"/>
      <c r="N23" s="205"/>
      <c r="O23" s="205"/>
      <c r="P23" s="205"/>
      <c r="Q23" s="207"/>
      <c r="R23" s="207"/>
      <c r="S23" s="203"/>
      <c r="T23" s="237"/>
      <c r="U23" s="237"/>
      <c r="V23" s="237"/>
      <c r="W23" s="237"/>
      <c r="X23" s="203"/>
      <c r="Y23" s="203"/>
      <c r="Z23" s="204"/>
      <c r="AA23" s="204"/>
      <c r="AB23" s="204"/>
      <c r="AC23" s="204"/>
      <c r="AD23" s="204"/>
      <c r="AE23" s="204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</row>
    <row r="24" ht="15.75" customHeight="1">
      <c r="A24" s="285"/>
      <c r="B24" s="286" t="s">
        <v>1353</v>
      </c>
      <c r="C24" s="287">
        <f>COUNTIF(H:H,"Ativo")</f>
        <v>12</v>
      </c>
      <c r="D24" s="203"/>
      <c r="E24" s="203"/>
      <c r="F24" s="203"/>
      <c r="G24" s="203"/>
      <c r="H24" s="203"/>
      <c r="I24" s="203"/>
      <c r="J24" s="203"/>
      <c r="K24" s="204"/>
      <c r="L24" s="204"/>
      <c r="M24" s="203"/>
      <c r="N24" s="205"/>
      <c r="O24" s="205"/>
      <c r="P24" s="205"/>
      <c r="Q24" s="207"/>
      <c r="R24" s="207"/>
      <c r="S24" s="203"/>
      <c r="T24" s="204"/>
      <c r="U24" s="204"/>
      <c r="V24" s="204"/>
      <c r="W24" s="204"/>
      <c r="X24" s="203"/>
      <c r="Y24" s="203"/>
      <c r="Z24" s="204"/>
      <c r="AA24" s="204"/>
      <c r="AB24" s="204"/>
      <c r="AC24" s="204"/>
      <c r="AD24" s="204"/>
      <c r="AE24" s="204"/>
      <c r="AF24" s="358">
        <f t="shared" ref="AF24:AV24" si="10">SUM(AF5:AF17)</f>
        <v>698091.17</v>
      </c>
      <c r="AG24" s="358">
        <f t="shared" si="10"/>
        <v>717679.16</v>
      </c>
      <c r="AH24" s="358">
        <f t="shared" si="10"/>
        <v>666848.08</v>
      </c>
      <c r="AI24" s="358">
        <f t="shared" si="10"/>
        <v>652626.44</v>
      </c>
      <c r="AJ24" s="358">
        <f t="shared" si="10"/>
        <v>663973.57</v>
      </c>
      <c r="AK24" s="358">
        <f t="shared" si="10"/>
        <v>637383.27</v>
      </c>
      <c r="AL24" s="358">
        <f t="shared" si="10"/>
        <v>546865.65</v>
      </c>
      <c r="AM24" s="358">
        <f t="shared" si="10"/>
        <v>557397.83</v>
      </c>
      <c r="AN24" s="358">
        <f t="shared" si="10"/>
        <v>531849.38</v>
      </c>
      <c r="AO24" s="358">
        <f t="shared" si="10"/>
        <v>525491.63</v>
      </c>
      <c r="AP24" s="358">
        <f t="shared" si="10"/>
        <v>532328.32</v>
      </c>
      <c r="AQ24" s="358">
        <f t="shared" si="10"/>
        <v>537221.23</v>
      </c>
      <c r="AR24" s="358">
        <f t="shared" si="10"/>
        <v>534084.6</v>
      </c>
      <c r="AS24" s="358">
        <f t="shared" si="10"/>
        <v>798870.56</v>
      </c>
      <c r="AT24" s="358">
        <f t="shared" si="10"/>
        <v>806772</v>
      </c>
      <c r="AU24" s="358">
        <f t="shared" si="10"/>
        <v>804824.81</v>
      </c>
      <c r="AV24" s="358">
        <f t="shared" si="10"/>
        <v>817373.22</v>
      </c>
      <c r="AW24" s="358">
        <f t="shared" ref="AW24:BC24" si="11">SUM(AW3:AW21)</f>
        <v>989216.17</v>
      </c>
      <c r="AX24" s="358">
        <f t="shared" si="11"/>
        <v>1453165.06</v>
      </c>
      <c r="AY24" s="358">
        <f t="shared" si="11"/>
        <v>1507954.42</v>
      </c>
      <c r="AZ24" s="358">
        <f t="shared" si="11"/>
        <v>1456365.44</v>
      </c>
      <c r="BA24" s="358">
        <f t="shared" si="11"/>
        <v>1514305.49</v>
      </c>
      <c r="BB24" s="358">
        <f t="shared" si="11"/>
        <v>1533080.41</v>
      </c>
      <c r="BC24" s="358">
        <f t="shared" si="11"/>
        <v>1547485.22</v>
      </c>
    </row>
    <row r="25" ht="15.75" customHeight="1">
      <c r="A25" s="293"/>
      <c r="B25" s="294" t="s">
        <v>1370</v>
      </c>
      <c r="C25" s="295">
        <f>COUNTIF(H:H,"Inativo")</f>
        <v>2</v>
      </c>
      <c r="D25" s="214"/>
      <c r="E25" s="214"/>
      <c r="F25" s="215"/>
      <c r="G25" s="215"/>
      <c r="H25" s="216"/>
      <c r="I25" s="216"/>
      <c r="J25" s="216"/>
      <c r="K25" s="217"/>
      <c r="L25" s="218"/>
      <c r="M25" s="216"/>
      <c r="N25" s="205"/>
      <c r="O25" s="205"/>
      <c r="P25" s="205"/>
      <c r="Q25" s="207"/>
      <c r="R25" s="207"/>
      <c r="S25" s="203"/>
      <c r="T25" s="204"/>
      <c r="U25" s="204"/>
      <c r="V25" s="204"/>
      <c r="W25" s="204"/>
      <c r="X25" s="203"/>
      <c r="Y25" s="203"/>
      <c r="Z25" s="218"/>
      <c r="AA25" s="218"/>
      <c r="AB25" s="218"/>
      <c r="AC25" s="218"/>
      <c r="AD25" s="218"/>
      <c r="AE25" s="218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</row>
    <row r="26" ht="15.75" customHeight="1">
      <c r="A26" s="293"/>
      <c r="B26" s="294" t="s">
        <v>1407</v>
      </c>
      <c r="C26" s="295">
        <f>COUNTIF(H:H,"Encerrado")</f>
        <v>2</v>
      </c>
      <c r="D26" s="214"/>
      <c r="E26" s="214"/>
      <c r="F26" s="215"/>
      <c r="G26" s="215"/>
      <c r="H26" s="216"/>
      <c r="I26" s="216"/>
      <c r="J26" s="216"/>
      <c r="K26" s="217"/>
      <c r="L26" s="218"/>
      <c r="M26" s="216"/>
      <c r="N26" s="205"/>
      <c r="O26" s="205"/>
      <c r="P26" s="205"/>
      <c r="Q26" s="207"/>
      <c r="R26" s="207"/>
      <c r="S26" s="203"/>
      <c r="T26" s="204"/>
      <c r="U26" s="204"/>
      <c r="V26" s="204"/>
      <c r="W26" s="204"/>
      <c r="X26" s="203"/>
      <c r="Y26" s="203"/>
      <c r="Z26" s="218"/>
      <c r="AA26" s="218"/>
      <c r="AB26" s="218"/>
      <c r="AC26" s="218"/>
      <c r="AD26" s="218"/>
      <c r="AE26" s="218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</row>
    <row r="27" ht="15.75" customHeight="1">
      <c r="A27" s="303"/>
      <c r="B27" s="304" t="s">
        <v>1426</v>
      </c>
      <c r="C27" s="305">
        <f>COUNTIF(H:H,"Pode Operar")</f>
        <v>3</v>
      </c>
      <c r="D27" s="214"/>
      <c r="E27" s="214"/>
      <c r="F27" s="215"/>
      <c r="G27" s="215"/>
      <c r="H27" s="216"/>
      <c r="I27" s="216"/>
      <c r="J27" s="216"/>
      <c r="K27" s="217"/>
      <c r="L27" s="218"/>
      <c r="M27" s="216"/>
      <c r="N27" s="205"/>
      <c r="O27" s="205"/>
      <c r="P27" s="205"/>
      <c r="Q27" s="207"/>
      <c r="R27" s="207"/>
      <c r="S27" s="203"/>
      <c r="T27" s="204"/>
      <c r="U27" s="204"/>
      <c r="V27" s="204"/>
      <c r="W27" s="204"/>
      <c r="X27" s="203"/>
      <c r="Y27" s="203"/>
      <c r="Z27" s="218"/>
      <c r="AA27" s="218"/>
      <c r="AB27" s="218"/>
      <c r="AC27" s="218"/>
      <c r="AD27" s="218"/>
      <c r="AE27" s="218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</row>
    <row r="28" ht="15.75" customHeight="1">
      <c r="A28" s="240"/>
      <c r="B28" s="429"/>
      <c r="C28" s="238"/>
      <c r="D28" s="214"/>
      <c r="E28" s="214"/>
      <c r="F28" s="236"/>
      <c r="G28" s="236"/>
      <c r="H28" s="216"/>
      <c r="I28" s="216"/>
      <c r="J28" s="216"/>
      <c r="K28" s="217"/>
      <c r="L28" s="204"/>
      <c r="M28" s="203"/>
      <c r="N28" s="205"/>
      <c r="O28" s="205"/>
      <c r="P28" s="205"/>
      <c r="Q28" s="207"/>
      <c r="R28" s="207"/>
      <c r="S28" s="203"/>
      <c r="T28" s="240"/>
      <c r="U28" s="240"/>
      <c r="V28" s="240"/>
      <c r="W28" s="240"/>
      <c r="X28" s="203"/>
      <c r="Y28" s="203"/>
      <c r="Z28" s="204"/>
      <c r="AA28" s="204"/>
      <c r="AB28" s="204"/>
      <c r="AC28" s="204"/>
      <c r="AD28" s="204"/>
      <c r="AE28" s="204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0"/>
      <c r="AY28" s="210"/>
      <c r="AZ28" s="210"/>
      <c r="BA28" s="210"/>
      <c r="BB28" s="210"/>
      <c r="BC28" s="210"/>
    </row>
  </sheetData>
  <customSheetViews>
    <customSheetView guid="{A214FC91-2926-4021-8CFF-EA2F61021101}" filter="1" showAutoFilter="1">
      <autoFilter ref="$B$2:$AF$21"/>
    </customSheetView>
  </customSheetViews>
  <mergeCells count="4">
    <mergeCell ref="A1:F1"/>
    <mergeCell ref="H1:I1"/>
    <mergeCell ref="J1:P1"/>
    <mergeCell ref="S1:AE1"/>
  </mergeCells>
  <conditionalFormatting sqref="E3:E21">
    <cfRule type="cellIs" dxfId="1" priority="1" operator="equal">
      <formula>"Conquest"</formula>
    </cfRule>
  </conditionalFormatting>
  <conditionalFormatting sqref="E3:E21">
    <cfRule type="cellIs" dxfId="2" priority="2" operator="equal">
      <formula>"Voga"</formula>
    </cfRule>
  </conditionalFormatting>
  <conditionalFormatting sqref="Z3:AA21">
    <cfRule type="notContainsBlanks" dxfId="0" priority="3">
      <formula>LEN(TRIM(Z3))&gt;0</formula>
    </cfRule>
  </conditionalFormatting>
  <dataValidations>
    <dataValidation type="list" allowBlank="1" showErrorMessage="1" sqref="AB3:AB21">
      <formula1>"Varejo,Qualificado,Profissional"</formula1>
    </dataValidation>
    <dataValidation type="list" allowBlank="1" showErrorMessage="1" sqref="E3:E21">
      <formula1>"DF,SP,GO,SUL"</formula1>
    </dataValidation>
    <dataValidation type="list" allowBlank="1" showErrorMessage="1" sqref="H3:H21">
      <formula1>"Ativo,Pode Operar,Inativo,Encerrado"</formula1>
    </dataValidation>
    <dataValidation type="list" allowBlank="1" showErrorMessage="1" sqref="M3:M6 M9:M21">
      <formula1>"INT"</formula1>
    </dataValidation>
    <dataValidation type="list" allowBlank="1" showErrorMessage="1" sqref="Z3:AA21">
      <formula1>"Conservador,Moderado,Arrojado"</formula1>
    </dataValidation>
    <dataValidation type="list" allowBlank="1" showErrorMessage="1" sqref="Y3:Y21">
      <formula1>"Ativo,Inativo,Encerrado"</formula1>
    </dataValidation>
    <dataValidation type="list" allowBlank="1" showErrorMessage="1" sqref="I3:I21">
      <formula1>"------,Sem Saldo,STVM Entrada,STVM Saída,Alteração de C.A,Monitoramento,Bloqueado,Faleceu"</formula1>
    </dataValidation>
    <dataValidation type="list" allowBlank="1" showErrorMessage="1" sqref="D3:D21">
      <formula1>"Bluemetrix,Vcinvest,Nexco,Miura,Expert,PoupInvista"</formula1>
    </dataValidation>
    <dataValidation type="list" allowBlank="1" showErrorMessage="1" sqref="O3:O21">
      <formula1>"IBOVESPA,CDI,------,IFIX,SMLL,S&amp;P 500,IPCA +7% "</formula1>
    </dataValidation>
    <dataValidation type="list" allowBlank="1" showErrorMessage="1" sqref="S3:S21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46.75"/>
    <col customWidth="1" min="3" max="3" width="10.0"/>
    <col customWidth="1" min="4" max="4" width="13.38"/>
    <col customWidth="1" min="5" max="5" width="9.0"/>
    <col customWidth="1" min="6" max="6" width="17.38"/>
    <col customWidth="1" min="7" max="10" width="15.0"/>
    <col customWidth="1" min="11" max="11" width="9.38"/>
    <col customWidth="1" min="12" max="12" width="15.13"/>
    <col customWidth="1" min="13" max="13" width="12.88"/>
    <col customWidth="1" min="14" max="15" width="14.38"/>
    <col customWidth="1" min="16" max="16" width="23.63"/>
    <col customWidth="1" min="17" max="17" width="17.88"/>
    <col customWidth="1" min="18" max="18" width="10.0"/>
    <col customWidth="1" min="19" max="19" width="11.5"/>
    <col customWidth="1" min="20" max="20" width="10.75"/>
    <col customWidth="1" min="21" max="21" width="11.63"/>
    <col customWidth="1" min="22" max="22" width="12.88"/>
    <col customWidth="1" min="23" max="23" width="22.63"/>
    <col customWidth="1" min="24" max="31" width="18.75"/>
  </cols>
  <sheetData>
    <row r="1" ht="15.75" customHeight="1">
      <c r="A1" s="2" t="s">
        <v>0</v>
      </c>
      <c r="G1" s="5" t="s">
        <v>6</v>
      </c>
      <c r="I1" s="2" t="s">
        <v>0</v>
      </c>
      <c r="P1" s="6" t="s">
        <v>10</v>
      </c>
      <c r="Q1" s="8" t="s">
        <v>11</v>
      </c>
      <c r="R1" s="9" t="s">
        <v>13</v>
      </c>
      <c r="X1" s="11" t="s">
        <v>18</v>
      </c>
    </row>
    <row r="2" ht="15.75" customHeight="1">
      <c r="A2" s="418" t="s">
        <v>31</v>
      </c>
      <c r="B2" s="3" t="s">
        <v>1</v>
      </c>
      <c r="C2" s="372" t="s">
        <v>2</v>
      </c>
      <c r="D2" s="373" t="s">
        <v>4</v>
      </c>
      <c r="E2" s="373" t="s">
        <v>5</v>
      </c>
      <c r="F2" s="373" t="s">
        <v>7</v>
      </c>
      <c r="G2" s="374" t="s">
        <v>37</v>
      </c>
      <c r="H2" s="1" t="s">
        <v>38</v>
      </c>
      <c r="I2" s="374" t="s">
        <v>2218</v>
      </c>
      <c r="J2" s="374" t="s">
        <v>2219</v>
      </c>
      <c r="K2" s="374" t="s">
        <v>39</v>
      </c>
      <c r="L2" s="372" t="s">
        <v>41</v>
      </c>
      <c r="M2" s="372" t="s">
        <v>42</v>
      </c>
      <c r="N2" s="372" t="s">
        <v>12</v>
      </c>
      <c r="O2" s="375" t="s">
        <v>45</v>
      </c>
      <c r="P2" s="7" t="s">
        <v>1832</v>
      </c>
      <c r="Q2" s="7" t="s">
        <v>48</v>
      </c>
      <c r="R2" s="374" t="s">
        <v>50</v>
      </c>
      <c r="S2" s="10" t="s">
        <v>2224</v>
      </c>
      <c r="T2" s="372" t="s">
        <v>22</v>
      </c>
      <c r="U2" s="1" t="s">
        <v>56</v>
      </c>
      <c r="V2" s="3" t="s">
        <v>23</v>
      </c>
      <c r="W2" s="3" t="s">
        <v>60</v>
      </c>
      <c r="X2" s="419">
        <v>44957.0</v>
      </c>
      <c r="Y2" s="419">
        <v>44985.0</v>
      </c>
      <c r="Z2" s="419">
        <v>45016.0</v>
      </c>
      <c r="AA2" s="419">
        <v>45044.0</v>
      </c>
      <c r="AB2" s="419">
        <v>45077.0</v>
      </c>
      <c r="AC2" s="419">
        <v>45107.0</v>
      </c>
      <c r="AD2" s="419">
        <v>45138.0</v>
      </c>
      <c r="AE2" s="419">
        <v>45169.0</v>
      </c>
    </row>
    <row r="3" ht="15.75" customHeight="1">
      <c r="A3" s="420" t="s">
        <v>2227</v>
      </c>
      <c r="B3" s="249" t="s">
        <v>2228</v>
      </c>
      <c r="C3" s="421" t="s">
        <v>2229</v>
      </c>
      <c r="D3" s="63" t="s">
        <v>120</v>
      </c>
      <c r="E3" s="66" t="s">
        <v>199</v>
      </c>
      <c r="F3" s="422" t="s">
        <v>212</v>
      </c>
      <c r="G3" s="115" t="s">
        <v>183</v>
      </c>
      <c r="H3" s="74" t="s">
        <v>66</v>
      </c>
      <c r="I3" s="63"/>
      <c r="J3" s="63"/>
      <c r="K3" s="63" t="str">
        <f t="shared" ref="K3:K5" si="1">IF(P3=0,"Não","Sim")</f>
        <v>Não</v>
      </c>
      <c r="L3" s="194"/>
      <c r="M3" s="62"/>
      <c r="N3" s="62" t="s">
        <v>136</v>
      </c>
      <c r="O3" s="144">
        <v>0.008</v>
      </c>
      <c r="P3" s="70"/>
      <c r="Q3" s="70"/>
      <c r="R3" s="62" t="s">
        <v>194</v>
      </c>
      <c r="S3" s="423" t="s">
        <v>2003</v>
      </c>
      <c r="T3" s="30" t="s">
        <v>199</v>
      </c>
      <c r="U3" s="23"/>
      <c r="V3" s="62"/>
      <c r="W3" s="62"/>
      <c r="X3" s="424"/>
      <c r="Y3" s="424"/>
      <c r="Z3" s="424"/>
      <c r="AA3" s="424"/>
      <c r="AB3" s="424"/>
      <c r="AC3" s="424"/>
      <c r="AD3" s="424"/>
      <c r="AE3" s="96"/>
    </row>
    <row r="4" ht="15.75" customHeight="1">
      <c r="A4" s="420" t="s">
        <v>2227</v>
      </c>
      <c r="B4" s="425" t="s">
        <v>790</v>
      </c>
      <c r="C4" s="408" t="s">
        <v>2245</v>
      </c>
      <c r="D4" s="141" t="s">
        <v>89</v>
      </c>
      <c r="E4" s="66" t="s">
        <v>91</v>
      </c>
      <c r="F4" s="422" t="s">
        <v>521</v>
      </c>
      <c r="G4" s="115" t="s">
        <v>183</v>
      </c>
      <c r="H4" s="74" t="s">
        <v>66</v>
      </c>
      <c r="I4" s="63"/>
      <c r="J4" s="63"/>
      <c r="K4" s="63" t="str">
        <f t="shared" si="1"/>
        <v>Não</v>
      </c>
      <c r="L4" s="194"/>
      <c r="M4" s="194"/>
      <c r="N4" s="62" t="s">
        <v>136</v>
      </c>
      <c r="O4" s="144">
        <v>0.008</v>
      </c>
      <c r="P4" s="70"/>
      <c r="Q4" s="70"/>
      <c r="R4" s="62" t="s">
        <v>194</v>
      </c>
      <c r="S4" s="423" t="s">
        <v>798</v>
      </c>
      <c r="T4" s="30" t="s">
        <v>221</v>
      </c>
      <c r="U4" s="23"/>
      <c r="V4" s="62"/>
      <c r="W4" s="62"/>
      <c r="X4" s="424"/>
      <c r="Y4" s="424"/>
      <c r="Z4" s="424"/>
      <c r="AA4" s="424"/>
      <c r="AB4" s="424"/>
      <c r="AC4" s="424"/>
      <c r="AD4" s="424"/>
      <c r="AE4" s="96"/>
    </row>
    <row r="5" ht="15.75" customHeight="1">
      <c r="A5" s="420" t="s">
        <v>2227</v>
      </c>
      <c r="B5" s="420" t="s">
        <v>2251</v>
      </c>
      <c r="C5" s="421" t="s">
        <v>2252</v>
      </c>
      <c r="D5" s="141" t="s">
        <v>89</v>
      </c>
      <c r="E5" s="66" t="s">
        <v>91</v>
      </c>
      <c r="F5" s="422" t="s">
        <v>521</v>
      </c>
      <c r="G5" s="115" t="s">
        <v>183</v>
      </c>
      <c r="H5" s="74" t="s">
        <v>66</v>
      </c>
      <c r="I5" s="63"/>
      <c r="J5" s="63"/>
      <c r="K5" s="63" t="str">
        <f t="shared" si="1"/>
        <v>Não</v>
      </c>
      <c r="L5" s="194"/>
      <c r="M5" s="62"/>
      <c r="N5" s="62" t="s">
        <v>136</v>
      </c>
      <c r="O5" s="144">
        <v>0.008</v>
      </c>
      <c r="P5" s="70"/>
      <c r="Q5" s="70"/>
      <c r="R5" s="62" t="s">
        <v>194</v>
      </c>
      <c r="S5" s="423" t="s">
        <v>2258</v>
      </c>
      <c r="T5" s="30" t="s">
        <v>221</v>
      </c>
      <c r="U5" s="23"/>
      <c r="V5" s="62"/>
      <c r="W5" s="62"/>
      <c r="X5" s="424"/>
      <c r="Y5" s="424"/>
      <c r="Z5" s="424"/>
      <c r="AA5" s="424"/>
      <c r="AB5" s="424"/>
      <c r="AC5" s="424"/>
      <c r="AD5" s="424"/>
      <c r="AE5" s="96"/>
    </row>
    <row r="6" ht="15.75" customHeight="1">
      <c r="A6" s="237"/>
      <c r="B6" s="237"/>
      <c r="C6" s="284"/>
      <c r="D6" s="216"/>
      <c r="E6" s="216"/>
      <c r="F6" s="203"/>
      <c r="G6" s="253"/>
      <c r="H6" s="253"/>
      <c r="I6" s="253"/>
      <c r="J6" s="253"/>
      <c r="K6" s="253"/>
      <c r="L6" s="204"/>
      <c r="M6" s="204"/>
      <c r="N6" s="203"/>
      <c r="O6" s="205"/>
      <c r="P6" s="207"/>
      <c r="Q6" s="207"/>
      <c r="R6" s="203"/>
      <c r="S6" s="237"/>
      <c r="T6" s="203"/>
      <c r="U6" s="203"/>
      <c r="V6" s="204"/>
      <c r="W6" s="204"/>
      <c r="X6" s="210"/>
      <c r="Y6" s="210"/>
      <c r="Z6" s="210"/>
      <c r="AA6" s="210"/>
      <c r="AB6" s="210"/>
      <c r="AC6" s="210"/>
      <c r="AD6" s="210"/>
      <c r="AE6" s="210"/>
    </row>
    <row r="7" ht="15.75" customHeight="1">
      <c r="A7" s="285"/>
      <c r="B7" s="286" t="s">
        <v>1353</v>
      </c>
      <c r="C7" s="287">
        <f>COUNTIF(G:G,"Ativo")</f>
        <v>3</v>
      </c>
      <c r="D7" s="203"/>
      <c r="E7" s="203"/>
      <c r="F7" s="203"/>
      <c r="G7" s="203"/>
      <c r="H7" s="203"/>
      <c r="I7" s="203"/>
      <c r="J7" s="203"/>
      <c r="K7" s="203"/>
      <c r="L7" s="204"/>
      <c r="M7" s="204"/>
      <c r="N7" s="203"/>
      <c r="O7" s="205"/>
      <c r="P7" s="207"/>
      <c r="Q7" s="207"/>
      <c r="R7" s="203"/>
      <c r="S7" s="288"/>
      <c r="T7" s="203"/>
      <c r="U7" s="203"/>
      <c r="V7" s="204"/>
      <c r="W7" s="204"/>
      <c r="X7" s="289">
        <f t="shared" ref="X7:AE7" si="2">SUM(X3:X6)</f>
        <v>0</v>
      </c>
      <c r="Y7" s="289">
        <f t="shared" si="2"/>
        <v>0</v>
      </c>
      <c r="Z7" s="289">
        <f t="shared" si="2"/>
        <v>0</v>
      </c>
      <c r="AA7" s="289">
        <f t="shared" si="2"/>
        <v>0</v>
      </c>
      <c r="AB7" s="289">
        <f t="shared" si="2"/>
        <v>0</v>
      </c>
      <c r="AC7" s="289">
        <f t="shared" si="2"/>
        <v>0</v>
      </c>
      <c r="AD7" s="289">
        <f t="shared" si="2"/>
        <v>0</v>
      </c>
      <c r="AE7" s="289">
        <f t="shared" si="2"/>
        <v>0</v>
      </c>
    </row>
    <row r="8" ht="15.75" customHeight="1">
      <c r="A8" s="293"/>
      <c r="B8" s="294" t="s">
        <v>1370</v>
      </c>
      <c r="C8" s="295">
        <f>COUNTIF(G:G,"Inativo")</f>
        <v>0</v>
      </c>
      <c r="D8" s="214"/>
      <c r="E8" s="214"/>
      <c r="F8" s="215"/>
      <c r="G8" s="216"/>
      <c r="H8" s="216"/>
      <c r="I8" s="216"/>
      <c r="J8" s="216"/>
      <c r="K8" s="216"/>
      <c r="L8" s="217"/>
      <c r="M8" s="218"/>
      <c r="N8" s="216"/>
      <c r="O8" s="205"/>
      <c r="P8" s="207"/>
      <c r="Q8" s="207"/>
      <c r="R8" s="203"/>
      <c r="S8" s="288"/>
      <c r="T8" s="203"/>
      <c r="U8" s="203"/>
      <c r="V8" s="218"/>
      <c r="W8" s="218"/>
      <c r="X8" s="210"/>
      <c r="Y8" s="210"/>
      <c r="Z8" s="210"/>
      <c r="AA8" s="210"/>
      <c r="AB8" s="210"/>
      <c r="AC8" s="210"/>
      <c r="AD8" s="210"/>
      <c r="AE8" s="210"/>
    </row>
    <row r="9" ht="15.75" customHeight="1">
      <c r="A9" s="293"/>
      <c r="B9" s="294" t="s">
        <v>1407</v>
      </c>
      <c r="C9" s="295">
        <f>COUNTIF(G:G,"Encerrado")</f>
        <v>0</v>
      </c>
      <c r="D9" s="214"/>
      <c r="E9" s="214"/>
      <c r="F9" s="215"/>
      <c r="G9" s="216"/>
      <c r="H9" s="216"/>
      <c r="I9" s="216"/>
      <c r="J9" s="216"/>
      <c r="K9" s="216"/>
      <c r="L9" s="217"/>
      <c r="M9" s="218"/>
      <c r="N9" s="216"/>
      <c r="O9" s="205"/>
      <c r="P9" s="207"/>
      <c r="Q9" s="207"/>
      <c r="R9" s="203"/>
      <c r="S9" s="288"/>
      <c r="T9" s="203"/>
      <c r="U9" s="203"/>
      <c r="V9" s="218"/>
      <c r="W9" s="218"/>
      <c r="X9" s="210"/>
      <c r="Y9" s="210"/>
      <c r="Z9" s="210"/>
      <c r="AA9" s="210"/>
      <c r="AB9" s="210"/>
      <c r="AC9" s="210"/>
      <c r="AD9" s="210"/>
      <c r="AE9" s="210"/>
    </row>
    <row r="10" ht="15.75" customHeight="1">
      <c r="A10" s="303"/>
      <c r="B10" s="304" t="s">
        <v>1426</v>
      </c>
      <c r="C10" s="305">
        <f>COUNTIF(G:G,"Pode Operar")</f>
        <v>0</v>
      </c>
      <c r="D10" s="214"/>
      <c r="E10" s="214"/>
      <c r="F10" s="215"/>
      <c r="G10" s="216"/>
      <c r="H10" s="216"/>
      <c r="I10" s="216"/>
      <c r="J10" s="216"/>
      <c r="K10" s="216"/>
      <c r="L10" s="217"/>
      <c r="M10" s="218"/>
      <c r="N10" s="216"/>
      <c r="O10" s="205"/>
      <c r="P10" s="207"/>
      <c r="Q10" s="207"/>
      <c r="R10" s="203"/>
      <c r="S10" s="288"/>
      <c r="T10" s="203"/>
      <c r="U10" s="203"/>
      <c r="V10" s="218"/>
      <c r="W10" s="218"/>
      <c r="X10" s="210"/>
      <c r="Y10" s="210"/>
      <c r="Z10" s="210"/>
      <c r="AA10" s="210"/>
      <c r="AB10" s="210"/>
      <c r="AC10" s="210"/>
      <c r="AD10" s="210"/>
      <c r="AE10" s="210"/>
    </row>
    <row r="11" ht="15.75" customHeight="1">
      <c r="A11" s="240"/>
      <c r="B11" s="240"/>
      <c r="C11" s="238"/>
      <c r="D11" s="214"/>
      <c r="E11" s="214"/>
      <c r="F11" s="236"/>
      <c r="G11" s="216"/>
      <c r="H11" s="216"/>
      <c r="I11" s="216"/>
      <c r="J11" s="216"/>
      <c r="K11" s="216"/>
      <c r="L11" s="217"/>
      <c r="M11" s="204"/>
      <c r="N11" s="203"/>
      <c r="O11" s="205"/>
      <c r="P11" s="207"/>
      <c r="Q11" s="207"/>
      <c r="R11" s="203"/>
      <c r="S11" s="240"/>
      <c r="T11" s="203"/>
      <c r="U11" s="203"/>
      <c r="V11" s="204"/>
      <c r="W11" s="204"/>
      <c r="X11" s="210"/>
      <c r="Y11" s="210"/>
      <c r="Z11" s="210"/>
      <c r="AA11" s="210"/>
      <c r="AB11" s="210"/>
      <c r="AC11" s="210"/>
      <c r="AD11" s="210"/>
      <c r="AE11" s="210"/>
    </row>
    <row r="12" ht="15.75" customHeight="1">
      <c r="A12" s="237"/>
      <c r="B12" s="237"/>
      <c r="C12" s="238"/>
      <c r="D12" s="214"/>
      <c r="E12" s="214"/>
      <c r="F12" s="215"/>
      <c r="G12" s="216"/>
      <c r="H12" s="216"/>
      <c r="I12" s="216"/>
      <c r="J12" s="216"/>
      <c r="K12" s="216"/>
      <c r="L12" s="217"/>
      <c r="M12" s="204"/>
      <c r="N12" s="203"/>
      <c r="O12" s="205"/>
      <c r="P12" s="207"/>
      <c r="Q12" s="207"/>
      <c r="R12" s="203"/>
      <c r="S12" s="237"/>
      <c r="T12" s="203"/>
      <c r="U12" s="203"/>
      <c r="V12" s="204"/>
      <c r="W12" s="204"/>
      <c r="X12" s="210"/>
      <c r="Y12" s="210"/>
      <c r="Z12" s="210"/>
      <c r="AA12" s="210"/>
      <c r="AB12" s="210"/>
      <c r="AC12" s="210"/>
      <c r="AD12" s="210"/>
      <c r="AE12" s="210"/>
    </row>
    <row r="13" ht="15.75" customHeight="1">
      <c r="A13" s="240"/>
      <c r="B13" s="240"/>
      <c r="C13" s="238"/>
      <c r="D13" s="214"/>
      <c r="E13" s="214"/>
      <c r="F13" s="215"/>
      <c r="G13" s="216"/>
      <c r="H13" s="216"/>
      <c r="I13" s="216"/>
      <c r="J13" s="216"/>
      <c r="K13" s="216"/>
      <c r="L13" s="217"/>
      <c r="M13" s="218"/>
      <c r="N13" s="216"/>
      <c r="O13" s="205"/>
      <c r="P13" s="207"/>
      <c r="Q13" s="207"/>
      <c r="R13" s="203"/>
      <c r="S13" s="240"/>
      <c r="T13" s="203"/>
      <c r="U13" s="203"/>
      <c r="V13" s="218"/>
      <c r="W13" s="218"/>
      <c r="X13" s="210"/>
      <c r="Y13" s="210"/>
      <c r="Z13" s="210"/>
      <c r="AA13" s="210"/>
      <c r="AB13" s="210"/>
      <c r="AC13" s="210"/>
      <c r="AD13" s="210"/>
      <c r="AE13" s="210"/>
    </row>
  </sheetData>
  <mergeCells count="5">
    <mergeCell ref="A1:F1"/>
    <mergeCell ref="G1:H1"/>
    <mergeCell ref="I1:O1"/>
    <mergeCell ref="R1:W1"/>
    <mergeCell ref="X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V3:V5">
    <cfRule type="notContainsBlanks" dxfId="0" priority="3">
      <formula>LEN(TRIM(V3))&gt;0</formula>
    </cfRule>
  </conditionalFormatting>
  <dataValidations>
    <dataValidation type="list" allowBlank="1" showErrorMessage="1" sqref="W3:W5">
      <formula1>"Varejo,Qualificado,Profissional"</formula1>
    </dataValidation>
    <dataValidation type="list" allowBlank="1" showErrorMessage="1" sqref="G3:G5">
      <formula1>"Ativo,Pode Operar,Inativo,Encerrado"</formula1>
    </dataValidation>
    <dataValidation type="list" allowBlank="1" showErrorMessage="1" sqref="N3:N5">
      <formula1>"INT"</formula1>
    </dataValidation>
    <dataValidation type="list" allowBlank="1" showErrorMessage="1" sqref="V3:V5">
      <formula1>"Conservador,Moderado,Arrojado"</formula1>
    </dataValidation>
    <dataValidation type="list" allowBlank="1" showErrorMessage="1" sqref="E3:E5">
      <formula1>"DF,SP,SUL"</formula1>
    </dataValidation>
    <dataValidation type="list" allowBlank="1" showErrorMessage="1" sqref="U3:U5">
      <formula1>"Ativo,Inativo,Encerrado"</formula1>
    </dataValidation>
    <dataValidation type="list" allowBlank="1" showErrorMessage="1" sqref="H3:H5">
      <formula1>"------,Sem Saldo,STVM Entrada,STVM Saída,Alteração de C.A,Monitoramento,Bloqueado"</formula1>
    </dataValidation>
    <dataValidation type="list" allowBlank="1" showErrorMessage="1" sqref="D3:D5">
      <formula1>"Bluemetrix,Miura"</formula1>
    </dataValidation>
    <dataValidation type="list" allowBlank="1" showErrorMessage="1" sqref="I3:J5">
      <formula1>"Atualizado,Ass. cliente,Ac. BR.Plural,------"</formula1>
    </dataValidation>
    <dataValidation type="list" allowBlank="1" showErrorMessage="1" sqref="R3:R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0.75"/>
    <col customWidth="1" min="22" max="22" width="14.13"/>
    <col customWidth="1" min="23" max="23" width="19.13"/>
    <col customWidth="1" min="24" max="24" width="20.63"/>
    <col customWidth="1" min="25" max="25" width="22.63"/>
    <col customWidth="1" min="26" max="28" width="20.13"/>
    <col customWidth="1" hidden="1" min="29" max="34" width="14.25"/>
    <col customWidth="1" hidden="1" min="35" max="35" width="14.13"/>
    <col customWidth="1" hidden="1" min="36" max="46" width="14.25"/>
    <col customWidth="1" hidden="1" min="47" max="90" width="15.13"/>
    <col customWidth="1" min="91" max="92" width="15.13"/>
  </cols>
  <sheetData>
    <row r="1" ht="15.75" customHeight="1">
      <c r="A1" s="130" t="s">
        <v>11</v>
      </c>
      <c r="B1" s="16"/>
      <c r="C1" s="16"/>
      <c r="D1" s="16"/>
      <c r="E1" s="16"/>
      <c r="F1" s="19"/>
      <c r="G1" s="131" t="s">
        <v>3</v>
      </c>
      <c r="H1" s="132" t="s">
        <v>6</v>
      </c>
      <c r="I1" s="19"/>
      <c r="J1" s="130" t="s">
        <v>11</v>
      </c>
      <c r="K1" s="16"/>
      <c r="L1" s="16"/>
      <c r="M1" s="16"/>
      <c r="N1" s="16"/>
      <c r="O1" s="16"/>
      <c r="P1" s="19"/>
      <c r="Q1" s="133" t="s">
        <v>10</v>
      </c>
      <c r="R1" s="134" t="s">
        <v>11</v>
      </c>
      <c r="S1" s="136" t="s">
        <v>13</v>
      </c>
      <c r="T1" s="16"/>
      <c r="U1" s="16"/>
      <c r="V1" s="16"/>
      <c r="W1" s="16"/>
      <c r="X1" s="16"/>
      <c r="Y1" s="16"/>
      <c r="Z1" s="16"/>
      <c r="AA1" s="16"/>
      <c r="AB1" s="19"/>
      <c r="AC1" s="138" t="s">
        <v>18</v>
      </c>
      <c r="AD1" s="138" t="s">
        <v>18</v>
      </c>
      <c r="AE1" s="138" t="s">
        <v>18</v>
      </c>
      <c r="AF1" s="138" t="s">
        <v>18</v>
      </c>
      <c r="AG1" s="138" t="s">
        <v>18</v>
      </c>
      <c r="AH1" s="138" t="s">
        <v>18</v>
      </c>
      <c r="AI1" s="138" t="s">
        <v>18</v>
      </c>
      <c r="AJ1" s="138" t="s">
        <v>18</v>
      </c>
      <c r="AK1" s="138" t="s">
        <v>18</v>
      </c>
      <c r="AL1" s="138" t="s">
        <v>18</v>
      </c>
      <c r="AM1" s="138" t="s">
        <v>18</v>
      </c>
      <c r="AN1" s="138" t="s">
        <v>18</v>
      </c>
      <c r="AO1" s="138" t="s">
        <v>18</v>
      </c>
      <c r="AP1" s="138" t="s">
        <v>18</v>
      </c>
      <c r="AQ1" s="138" t="s">
        <v>18</v>
      </c>
      <c r="AR1" s="138" t="s">
        <v>18</v>
      </c>
      <c r="AS1" s="138" t="s">
        <v>18</v>
      </c>
      <c r="AT1" s="138" t="s">
        <v>18</v>
      </c>
      <c r="AU1" s="138" t="s">
        <v>18</v>
      </c>
      <c r="AV1" s="138" t="s">
        <v>18</v>
      </c>
      <c r="AW1" s="138" t="s">
        <v>18</v>
      </c>
      <c r="AX1" s="138" t="s">
        <v>18</v>
      </c>
      <c r="AY1" s="138" t="s">
        <v>18</v>
      </c>
      <c r="AZ1" s="138" t="s">
        <v>18</v>
      </c>
      <c r="BA1" s="138" t="s">
        <v>18</v>
      </c>
      <c r="BB1" s="138" t="s">
        <v>18</v>
      </c>
      <c r="BC1" s="138" t="s">
        <v>18</v>
      </c>
      <c r="BD1" s="138" t="s">
        <v>18</v>
      </c>
      <c r="BE1" s="138" t="s">
        <v>18</v>
      </c>
      <c r="BF1" s="138" t="s">
        <v>18</v>
      </c>
      <c r="BG1" s="138" t="s">
        <v>18</v>
      </c>
      <c r="BH1" s="138" t="s">
        <v>18</v>
      </c>
      <c r="BI1" s="138" t="s">
        <v>18</v>
      </c>
      <c r="BJ1" s="138" t="s">
        <v>18</v>
      </c>
      <c r="BK1" s="138" t="s">
        <v>18</v>
      </c>
      <c r="BL1" s="138" t="s">
        <v>18</v>
      </c>
      <c r="BM1" s="138" t="s">
        <v>18</v>
      </c>
      <c r="BN1" s="138" t="s">
        <v>18</v>
      </c>
      <c r="BO1" s="138" t="s">
        <v>18</v>
      </c>
      <c r="BP1" s="138" t="s">
        <v>18</v>
      </c>
      <c r="BQ1" s="138" t="s">
        <v>18</v>
      </c>
      <c r="BR1" s="138" t="s">
        <v>18</v>
      </c>
      <c r="BS1" s="138" t="s">
        <v>18</v>
      </c>
      <c r="BT1" s="138" t="s">
        <v>18</v>
      </c>
      <c r="BU1" s="138" t="s">
        <v>18</v>
      </c>
      <c r="BV1" s="138" t="s">
        <v>18</v>
      </c>
      <c r="BW1" s="138" t="s">
        <v>18</v>
      </c>
      <c r="BX1" s="138" t="s">
        <v>18</v>
      </c>
      <c r="BY1" s="138" t="s">
        <v>18</v>
      </c>
      <c r="BZ1" s="138" t="s">
        <v>18</v>
      </c>
      <c r="CA1" s="138" t="s">
        <v>18</v>
      </c>
      <c r="CB1" s="138" t="s">
        <v>18</v>
      </c>
      <c r="CC1" s="138" t="s">
        <v>18</v>
      </c>
      <c r="CD1" s="138" t="s">
        <v>18</v>
      </c>
      <c r="CE1" s="138" t="s">
        <v>18</v>
      </c>
      <c r="CF1" s="138" t="s">
        <v>18</v>
      </c>
      <c r="CG1" s="138" t="s">
        <v>18</v>
      </c>
      <c r="CH1" s="138" t="s">
        <v>18</v>
      </c>
      <c r="CI1" s="138" t="s">
        <v>18</v>
      </c>
      <c r="CJ1" s="138" t="s">
        <v>18</v>
      </c>
      <c r="CK1" s="138" t="s">
        <v>18</v>
      </c>
      <c r="CL1" s="138" t="s">
        <v>18</v>
      </c>
      <c r="CM1" s="138" t="s">
        <v>18</v>
      </c>
      <c r="CN1" s="138" t="s">
        <v>18</v>
      </c>
    </row>
    <row r="2" ht="15.75" customHeight="1">
      <c r="A2" s="25" t="s">
        <v>31</v>
      </c>
      <c r="B2" s="12" t="s">
        <v>33</v>
      </c>
      <c r="C2" s="25" t="s">
        <v>2</v>
      </c>
      <c r="D2" s="28" t="s">
        <v>4</v>
      </c>
      <c r="E2" s="28" t="s">
        <v>5</v>
      </c>
      <c r="F2" s="28" t="s">
        <v>7</v>
      </c>
      <c r="G2" s="28" t="s">
        <v>36</v>
      </c>
      <c r="H2" s="28" t="s">
        <v>37</v>
      </c>
      <c r="I2" s="28" t="s">
        <v>38</v>
      </c>
      <c r="J2" s="28" t="s">
        <v>39</v>
      </c>
      <c r="K2" s="25" t="s">
        <v>41</v>
      </c>
      <c r="L2" s="25" t="s">
        <v>42</v>
      </c>
      <c r="M2" s="25" t="s">
        <v>12</v>
      </c>
      <c r="N2" s="25" t="s">
        <v>45</v>
      </c>
      <c r="O2" s="12" t="s">
        <v>46</v>
      </c>
      <c r="P2" s="25" t="s">
        <v>16</v>
      </c>
      <c r="Q2" s="35" t="s">
        <v>9</v>
      </c>
      <c r="R2" s="36" t="s">
        <v>48</v>
      </c>
      <c r="S2" s="28" t="s">
        <v>50</v>
      </c>
      <c r="T2" s="12" t="s">
        <v>17</v>
      </c>
      <c r="U2" s="25" t="s">
        <v>22</v>
      </c>
      <c r="V2" s="41" t="s">
        <v>56</v>
      </c>
      <c r="W2" s="12" t="s">
        <v>57</v>
      </c>
      <c r="X2" s="12" t="s">
        <v>58</v>
      </c>
      <c r="Y2" s="25" t="s">
        <v>60</v>
      </c>
      <c r="Z2" s="38" t="s">
        <v>62</v>
      </c>
      <c r="AA2" s="38" t="s">
        <v>63</v>
      </c>
      <c r="AB2" s="38" t="s">
        <v>64</v>
      </c>
      <c r="AC2" s="25" t="s">
        <v>105</v>
      </c>
      <c r="AD2" s="25" t="s">
        <v>108</v>
      </c>
      <c r="AE2" s="25" t="s">
        <v>110</v>
      </c>
      <c r="AF2" s="25" t="s">
        <v>113</v>
      </c>
      <c r="AG2" s="25" t="s">
        <v>116</v>
      </c>
      <c r="AH2" s="25" t="s">
        <v>119</v>
      </c>
      <c r="AI2" s="25" t="s">
        <v>2323</v>
      </c>
      <c r="AJ2" s="25" t="s">
        <v>124</v>
      </c>
      <c r="AK2" s="25" t="s">
        <v>2324</v>
      </c>
      <c r="AL2" s="25" t="s">
        <v>131</v>
      </c>
      <c r="AM2" s="25" t="s">
        <v>2325</v>
      </c>
      <c r="AN2" s="25" t="s">
        <v>137</v>
      </c>
      <c r="AO2" s="28" t="s">
        <v>139</v>
      </c>
      <c r="AP2" s="28" t="s">
        <v>141</v>
      </c>
      <c r="AQ2" s="28" t="s">
        <v>144</v>
      </c>
      <c r="AR2" s="28" t="s">
        <v>145</v>
      </c>
      <c r="AS2" s="28" t="s">
        <v>2330</v>
      </c>
      <c r="AT2" s="28" t="s">
        <v>150</v>
      </c>
      <c r="AU2" s="28" t="s">
        <v>2331</v>
      </c>
      <c r="AV2" s="28" t="s">
        <v>154</v>
      </c>
      <c r="AW2" s="28" t="s">
        <v>156</v>
      </c>
      <c r="AX2" s="28" t="s">
        <v>159</v>
      </c>
      <c r="AY2" s="28" t="s">
        <v>160</v>
      </c>
      <c r="AZ2" s="28" t="s">
        <v>162</v>
      </c>
      <c r="BA2" s="28" t="s">
        <v>164</v>
      </c>
      <c r="BB2" s="28" t="s">
        <v>2333</v>
      </c>
      <c r="BC2" s="28" t="s">
        <v>169</v>
      </c>
      <c r="BD2" s="28" t="s">
        <v>2334</v>
      </c>
      <c r="BE2" s="28" t="s">
        <v>2335</v>
      </c>
      <c r="BF2" s="28" t="s">
        <v>173</v>
      </c>
      <c r="BG2" s="28" t="s">
        <v>174</v>
      </c>
      <c r="BH2" s="28" t="s">
        <v>175</v>
      </c>
      <c r="BI2" s="28" t="s">
        <v>176</v>
      </c>
      <c r="BJ2" s="28" t="s">
        <v>177</v>
      </c>
      <c r="BK2" s="28" t="s">
        <v>179</v>
      </c>
      <c r="BL2" s="28" t="s">
        <v>106</v>
      </c>
      <c r="BM2" s="28" t="s">
        <v>109</v>
      </c>
      <c r="BN2" s="28" t="s">
        <v>2336</v>
      </c>
      <c r="BO2" s="28" t="s">
        <v>115</v>
      </c>
      <c r="BP2" s="28" t="s">
        <v>118</v>
      </c>
      <c r="BQ2" s="28" t="s">
        <v>121</v>
      </c>
      <c r="BR2" s="28" t="s">
        <v>123</v>
      </c>
      <c r="BS2" s="28" t="s">
        <v>126</v>
      </c>
      <c r="BT2" s="28" t="s">
        <v>127</v>
      </c>
      <c r="BU2" s="28" t="s">
        <v>128</v>
      </c>
      <c r="BV2" s="28" t="s">
        <v>130</v>
      </c>
      <c r="BW2" s="28" t="s">
        <v>132</v>
      </c>
      <c r="BX2" s="28" t="s">
        <v>135</v>
      </c>
      <c r="BY2" s="28" t="s">
        <v>138</v>
      </c>
      <c r="BZ2" s="38" t="s">
        <v>140</v>
      </c>
      <c r="CA2" s="38" t="s">
        <v>143</v>
      </c>
      <c r="CB2" s="38" t="s">
        <v>146</v>
      </c>
      <c r="CC2" s="38" t="s">
        <v>149</v>
      </c>
      <c r="CD2" s="46" t="s">
        <v>153</v>
      </c>
      <c r="CE2" s="46" t="s">
        <v>157</v>
      </c>
      <c r="CF2" s="46" t="s">
        <v>161</v>
      </c>
      <c r="CG2" s="46" t="s">
        <v>163</v>
      </c>
      <c r="CH2" s="46" t="s">
        <v>166</v>
      </c>
      <c r="CI2" s="46" t="s">
        <v>168</v>
      </c>
      <c r="CJ2" s="46" t="s">
        <v>171</v>
      </c>
      <c r="CK2" s="46" t="s">
        <v>65</v>
      </c>
      <c r="CL2" s="46" t="s">
        <v>67</v>
      </c>
      <c r="CM2" s="46" t="s">
        <v>68</v>
      </c>
      <c r="CN2" s="46" t="s">
        <v>70</v>
      </c>
    </row>
    <row r="3" ht="15.75" customHeight="1">
      <c r="A3" s="462" t="s">
        <v>2346</v>
      </c>
      <c r="B3" s="462" t="s">
        <v>2348</v>
      </c>
      <c r="C3" s="141">
        <v>579904.0</v>
      </c>
      <c r="D3" s="63" t="s">
        <v>669</v>
      </c>
      <c r="E3" s="63" t="s">
        <v>199</v>
      </c>
      <c r="F3" s="63" t="s">
        <v>1228</v>
      </c>
      <c r="G3" s="47" t="str">
        <f t="shared" ref="G3:G395" si="1">IFS($CL$3:$CL$678&lt;=200000,"Breno",$CL$3:$CL$678&lt;=20000000000,"Bruno",$CL$3:$CL$678="","")</f>
        <v>Breno</v>
      </c>
      <c r="H3" s="142" t="s">
        <v>295</v>
      </c>
      <c r="I3" s="49" t="s">
        <v>382</v>
      </c>
      <c r="J3" s="63" t="str">
        <f t="shared" ref="J3:J92" si="2">IF(Q3=0,"Não","Sim")</f>
        <v>Não</v>
      </c>
      <c r="K3" s="143">
        <v>43570.0</v>
      </c>
      <c r="L3" s="81"/>
      <c r="M3" s="81" t="s">
        <v>34</v>
      </c>
      <c r="N3" s="464">
        <v>0.01</v>
      </c>
      <c r="O3" s="141" t="s">
        <v>66</v>
      </c>
      <c r="P3" s="145">
        <v>0.0</v>
      </c>
      <c r="Q3" s="158"/>
      <c r="R3" s="160" t="s">
        <v>2358</v>
      </c>
      <c r="S3" s="62" t="s">
        <v>194</v>
      </c>
      <c r="T3" s="141" t="s">
        <v>2359</v>
      </c>
      <c r="U3" s="95" t="s">
        <v>199</v>
      </c>
      <c r="V3" s="49" t="str">
        <f t="shared" ref="V3:V395" si="3">IFS(H:H="Encerrado","Encerrado",COUNTBLANK(CA3:CL3)&gt;0,"Ativo",SUM(CA3:CL3)=0,"Inativo",SUM(CA3:CL403)&gt;0,"Ativo")</f>
        <v>Inativo</v>
      </c>
      <c r="W3" s="150"/>
      <c r="X3" s="150"/>
      <c r="Y3" s="30" t="s">
        <v>244</v>
      </c>
      <c r="Z3" s="81"/>
      <c r="AA3" s="467">
        <v>43570.0</v>
      </c>
      <c r="AB3" s="30">
        <v>4.9075100013535E13</v>
      </c>
      <c r="AC3" s="96">
        <v>447120.35</v>
      </c>
      <c r="AD3" s="96">
        <v>440380.83</v>
      </c>
      <c r="AE3" s="96">
        <v>427324.53</v>
      </c>
      <c r="AF3" s="96">
        <v>433321.2</v>
      </c>
      <c r="AG3" s="96">
        <v>438487.86</v>
      </c>
      <c r="AH3" s="96">
        <v>442712.83</v>
      </c>
      <c r="AI3" s="96">
        <v>459795.06</v>
      </c>
      <c r="AJ3" s="96">
        <v>461529.88</v>
      </c>
      <c r="AK3" s="96">
        <v>461105.93</v>
      </c>
      <c r="AL3" s="96">
        <v>460647.72</v>
      </c>
      <c r="AM3" s="96">
        <v>470935.49</v>
      </c>
      <c r="AN3" s="96">
        <v>478252.68</v>
      </c>
      <c r="AO3" s="96">
        <v>475399.28</v>
      </c>
      <c r="AP3" s="96">
        <v>464036.03</v>
      </c>
      <c r="AQ3" s="471">
        <v>465687.41</v>
      </c>
      <c r="AR3" s="471">
        <v>474592.33</v>
      </c>
      <c r="AS3" s="471">
        <v>475634.25</v>
      </c>
      <c r="AT3" s="471">
        <v>476080.26</v>
      </c>
      <c r="AU3" s="471">
        <v>480273.27</v>
      </c>
      <c r="AV3" s="96">
        <v>479395.21</v>
      </c>
      <c r="AW3" s="96">
        <v>477928.32</v>
      </c>
      <c r="AX3" s="96">
        <v>474162.73</v>
      </c>
      <c r="AY3" s="96">
        <v>417534.79</v>
      </c>
      <c r="AZ3" s="96">
        <v>464464.66</v>
      </c>
      <c r="BA3" s="96">
        <v>243244.18</v>
      </c>
      <c r="BB3" s="96">
        <v>223194.51</v>
      </c>
      <c r="BC3" s="96">
        <v>215207.03</v>
      </c>
      <c r="BD3" s="96">
        <v>115466.93</v>
      </c>
      <c r="BE3" s="96">
        <v>118445.35</v>
      </c>
      <c r="BF3" s="96">
        <v>99912.02</v>
      </c>
      <c r="BG3" s="472">
        <v>99793.73</v>
      </c>
      <c r="BH3" s="472">
        <v>54115.2</v>
      </c>
      <c r="BI3" s="472">
        <v>54733.42</v>
      </c>
      <c r="BJ3" s="472">
        <v>55392.95</v>
      </c>
      <c r="BK3" s="472">
        <v>26863.9</v>
      </c>
      <c r="BL3" s="472">
        <v>946.22</v>
      </c>
      <c r="BM3" s="472">
        <v>937.29</v>
      </c>
      <c r="BN3" s="472">
        <v>142.3</v>
      </c>
      <c r="BO3" s="472">
        <v>142.3</v>
      </c>
      <c r="BP3" s="472">
        <v>142.3</v>
      </c>
      <c r="BQ3" s="472">
        <v>142.3</v>
      </c>
      <c r="BR3" s="472">
        <v>142.3</v>
      </c>
      <c r="BS3" s="472">
        <v>0.0</v>
      </c>
      <c r="BT3" s="472">
        <v>0.0</v>
      </c>
      <c r="BU3" s="472">
        <v>0.0</v>
      </c>
      <c r="BV3" s="472">
        <v>0.0</v>
      </c>
      <c r="BW3" s="472">
        <v>0.0</v>
      </c>
      <c r="BX3" s="472">
        <v>0.0</v>
      </c>
      <c r="BY3" s="472">
        <v>0.0</v>
      </c>
      <c r="BZ3" s="472">
        <v>0.0</v>
      </c>
      <c r="CA3" s="474">
        <v>0.0</v>
      </c>
      <c r="CB3" s="474">
        <v>0.0</v>
      </c>
      <c r="CC3" s="474">
        <v>0.0</v>
      </c>
      <c r="CD3" s="474">
        <v>0.0</v>
      </c>
      <c r="CE3" s="474">
        <v>0.0</v>
      </c>
      <c r="CF3" s="474">
        <v>0.0</v>
      </c>
      <c r="CG3" s="474">
        <v>0.0</v>
      </c>
      <c r="CH3" s="65">
        <v>0.0</v>
      </c>
      <c r="CI3" s="65">
        <v>0.0</v>
      </c>
      <c r="CJ3" s="65">
        <v>0.0</v>
      </c>
      <c r="CK3" s="65">
        <v>0.0</v>
      </c>
      <c r="CL3" s="65">
        <v>0.0</v>
      </c>
      <c r="CM3" s="65">
        <v>0.0</v>
      </c>
      <c r="CN3" s="65">
        <v>0.0</v>
      </c>
    </row>
    <row r="4" ht="15.75" customHeight="1">
      <c r="A4" s="462" t="s">
        <v>2346</v>
      </c>
      <c r="B4" s="50" t="s">
        <v>459</v>
      </c>
      <c r="C4" s="141">
        <v>36881.0</v>
      </c>
      <c r="D4" s="63" t="s">
        <v>120</v>
      </c>
      <c r="E4" s="63" t="s">
        <v>91</v>
      </c>
      <c r="F4" s="63" t="s">
        <v>193</v>
      </c>
      <c r="G4" s="47" t="str">
        <f t="shared" si="1"/>
        <v>Breno</v>
      </c>
      <c r="H4" s="142" t="s">
        <v>295</v>
      </c>
      <c r="I4" s="49" t="s">
        <v>382</v>
      </c>
      <c r="J4" s="63" t="str">
        <f t="shared" si="2"/>
        <v>Não</v>
      </c>
      <c r="K4" s="143">
        <v>44664.0</v>
      </c>
      <c r="L4" s="81"/>
      <c r="M4" s="81" t="s">
        <v>34</v>
      </c>
      <c r="N4" s="144">
        <v>0.012</v>
      </c>
      <c r="O4" s="141" t="s">
        <v>66</v>
      </c>
      <c r="P4" s="145">
        <v>0.0</v>
      </c>
      <c r="Q4" s="146"/>
      <c r="R4" s="70" t="s">
        <v>427</v>
      </c>
      <c r="S4" s="62" t="s">
        <v>194</v>
      </c>
      <c r="T4" s="22" t="s">
        <v>466</v>
      </c>
      <c r="U4" s="95" t="s">
        <v>221</v>
      </c>
      <c r="V4" s="49" t="str">
        <f t="shared" si="3"/>
        <v>Ativo</v>
      </c>
      <c r="W4" s="150"/>
      <c r="X4" s="150"/>
      <c r="Y4" s="30" t="s">
        <v>244</v>
      </c>
      <c r="Z4" s="81"/>
      <c r="AA4" s="467">
        <v>44664.0</v>
      </c>
      <c r="AB4" s="30">
        <v>4.9075100002975E13</v>
      </c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96"/>
      <c r="AQ4" s="471"/>
      <c r="AR4" s="471"/>
      <c r="AS4" s="471"/>
      <c r="AT4" s="471"/>
      <c r="AU4" s="471"/>
      <c r="AV4" s="96"/>
      <c r="AW4" s="96"/>
      <c r="AX4" s="96"/>
      <c r="AY4" s="96"/>
      <c r="AZ4" s="96"/>
      <c r="BA4" s="96"/>
      <c r="BB4" s="96"/>
      <c r="BC4" s="96"/>
      <c r="BD4" s="96">
        <v>0.0</v>
      </c>
      <c r="BE4" s="96"/>
      <c r="BF4" s="96">
        <v>321148.22</v>
      </c>
      <c r="BG4" s="472">
        <v>318367.16</v>
      </c>
      <c r="BH4" s="472">
        <v>309554.83</v>
      </c>
      <c r="BI4" s="472">
        <v>311906.71</v>
      </c>
      <c r="BJ4" s="472">
        <v>315400.41</v>
      </c>
      <c r="BK4" s="472">
        <v>318200.73</v>
      </c>
      <c r="BL4" s="472">
        <v>324981.4</v>
      </c>
      <c r="BM4" s="472">
        <v>323541.74</v>
      </c>
      <c r="BN4" s="472">
        <v>326679.22</v>
      </c>
      <c r="BO4" s="472">
        <v>330622.45</v>
      </c>
      <c r="BP4" s="472">
        <v>333668.03</v>
      </c>
      <c r="BQ4" s="472">
        <v>133897.54</v>
      </c>
      <c r="BR4" s="472">
        <v>73.76</v>
      </c>
      <c r="BS4" s="472">
        <v>73.76</v>
      </c>
      <c r="BT4" s="472">
        <v>0.0</v>
      </c>
      <c r="BU4" s="472">
        <v>0.0</v>
      </c>
      <c r="BV4" s="472">
        <v>0.0</v>
      </c>
      <c r="BW4" s="472">
        <v>0.0</v>
      </c>
      <c r="BX4" s="472">
        <v>0.0</v>
      </c>
      <c r="BY4" s="472">
        <v>0.0</v>
      </c>
      <c r="BZ4" s="472">
        <v>0.0</v>
      </c>
      <c r="CA4" s="474">
        <v>0.0</v>
      </c>
      <c r="CB4" s="474">
        <v>0.0</v>
      </c>
      <c r="CC4" s="474">
        <v>0.0</v>
      </c>
      <c r="CD4" s="474">
        <v>0.0</v>
      </c>
      <c r="CE4" s="474">
        <v>0.0</v>
      </c>
      <c r="CF4" s="474">
        <v>0.0</v>
      </c>
      <c r="CG4" s="474">
        <v>0.0</v>
      </c>
      <c r="CH4" s="65">
        <v>0.0</v>
      </c>
      <c r="CI4" s="65">
        <v>0.0</v>
      </c>
      <c r="CJ4" s="65">
        <v>0.0</v>
      </c>
      <c r="CK4" s="65">
        <v>0.0</v>
      </c>
      <c r="CL4" s="65">
        <v>0.24</v>
      </c>
      <c r="CM4" s="65">
        <v>0.24</v>
      </c>
      <c r="CN4" s="65">
        <v>0.24</v>
      </c>
    </row>
    <row r="5" ht="15.75" customHeight="1">
      <c r="A5" s="462" t="s">
        <v>2346</v>
      </c>
      <c r="B5" s="477" t="s">
        <v>2387</v>
      </c>
      <c r="C5" s="141">
        <v>448162.0</v>
      </c>
      <c r="D5" s="63" t="s">
        <v>669</v>
      </c>
      <c r="E5" s="63" t="s">
        <v>199</v>
      </c>
      <c r="F5" s="81" t="s">
        <v>2388</v>
      </c>
      <c r="G5" s="47" t="str">
        <f t="shared" si="1"/>
        <v>Breno</v>
      </c>
      <c r="H5" s="152" t="s">
        <v>224</v>
      </c>
      <c r="I5" s="74" t="s">
        <v>66</v>
      </c>
      <c r="J5" s="63" t="str">
        <f t="shared" si="2"/>
        <v>Não</v>
      </c>
      <c r="K5" s="467">
        <v>43874.0</v>
      </c>
      <c r="L5" s="467">
        <v>44314.0</v>
      </c>
      <c r="M5" s="81" t="s">
        <v>209</v>
      </c>
      <c r="N5" s="478">
        <v>0.012</v>
      </c>
      <c r="O5" s="63" t="s">
        <v>35</v>
      </c>
      <c r="P5" s="145">
        <v>0.1</v>
      </c>
      <c r="Q5" s="146"/>
      <c r="R5" s="190"/>
      <c r="S5" s="62" t="s">
        <v>194</v>
      </c>
      <c r="T5" s="30" t="s">
        <v>2389</v>
      </c>
      <c r="U5" s="81" t="s">
        <v>199</v>
      </c>
      <c r="V5" s="49" t="str">
        <f t="shared" si="3"/>
        <v>Encerrado</v>
      </c>
      <c r="W5" s="150"/>
      <c r="X5" s="150"/>
      <c r="Y5" s="81"/>
      <c r="Z5" s="81"/>
      <c r="AA5" s="81"/>
      <c r="AB5" s="30"/>
      <c r="AC5" s="96">
        <v>0.0</v>
      </c>
      <c r="AD5" s="96">
        <v>96776.56</v>
      </c>
      <c r="AE5" s="96">
        <v>183783.56</v>
      </c>
      <c r="AF5" s="96">
        <v>287893.4</v>
      </c>
      <c r="AG5" s="96">
        <v>291343.79</v>
      </c>
      <c r="AH5" s="96">
        <v>294698.38</v>
      </c>
      <c r="AI5" s="96">
        <v>299232.66</v>
      </c>
      <c r="AJ5" s="96">
        <v>292938.64</v>
      </c>
      <c r="AK5" s="96">
        <v>288710.24</v>
      </c>
      <c r="AL5" s="96">
        <v>288349.59</v>
      </c>
      <c r="AM5" s="96">
        <v>300617.48</v>
      </c>
      <c r="AN5" s="96">
        <v>305040.57</v>
      </c>
      <c r="AO5" s="96">
        <v>301563.7</v>
      </c>
      <c r="AP5" s="96">
        <v>294929.9</v>
      </c>
      <c r="AQ5" s="96">
        <v>292735.32</v>
      </c>
      <c r="AR5" s="96">
        <v>299695.62</v>
      </c>
      <c r="AS5" s="96">
        <v>298979.36</v>
      </c>
      <c r="AT5" s="96">
        <v>143498.87</v>
      </c>
      <c r="AU5" s="96">
        <v>43479.59</v>
      </c>
      <c r="AV5" s="96">
        <v>43645.0</v>
      </c>
      <c r="AW5" s="96">
        <v>44066.83</v>
      </c>
      <c r="AX5" s="96">
        <v>44272.96</v>
      </c>
      <c r="AY5" s="96">
        <v>44455.41</v>
      </c>
      <c r="AZ5" s="96">
        <v>45100.47</v>
      </c>
      <c r="BA5" s="96"/>
      <c r="BB5" s="96"/>
      <c r="BC5" s="96"/>
      <c r="BD5" s="96">
        <v>0.0</v>
      </c>
      <c r="BE5" s="96">
        <v>0.0</v>
      </c>
      <c r="BF5" s="96">
        <v>0.0</v>
      </c>
      <c r="BG5" s="96" t="s">
        <v>377</v>
      </c>
      <c r="BH5" s="96">
        <v>0.0</v>
      </c>
      <c r="BI5" s="96">
        <v>0.0</v>
      </c>
      <c r="BJ5" s="96">
        <v>0.0</v>
      </c>
      <c r="BK5" s="472">
        <v>0.0</v>
      </c>
      <c r="BL5" s="472">
        <v>0.0</v>
      </c>
      <c r="BM5" s="472">
        <v>0.0</v>
      </c>
      <c r="BN5" s="472">
        <v>0.0</v>
      </c>
      <c r="BO5" s="472">
        <v>0.0</v>
      </c>
      <c r="BP5" s="472">
        <v>0.0</v>
      </c>
      <c r="BQ5" s="472">
        <v>0.0</v>
      </c>
      <c r="BR5" s="472">
        <v>0.0</v>
      </c>
      <c r="BS5" s="472">
        <v>0.0</v>
      </c>
      <c r="BT5" s="472">
        <v>0.0</v>
      </c>
      <c r="BU5" s="472">
        <v>0.0</v>
      </c>
      <c r="BV5" s="472">
        <v>0.0</v>
      </c>
      <c r="BW5" s="472">
        <v>0.0</v>
      </c>
      <c r="BX5" s="472">
        <v>0.0</v>
      </c>
      <c r="BY5" s="472">
        <v>0.0</v>
      </c>
      <c r="BZ5" s="472">
        <v>0.0</v>
      </c>
      <c r="CA5" s="474">
        <v>0.0</v>
      </c>
      <c r="CB5" s="474">
        <v>0.0</v>
      </c>
      <c r="CC5" s="474">
        <v>0.0</v>
      </c>
      <c r="CD5" s="474">
        <v>0.0</v>
      </c>
      <c r="CE5" s="474">
        <v>0.0</v>
      </c>
      <c r="CF5" s="474">
        <v>0.0</v>
      </c>
      <c r="CG5" s="474">
        <v>0.0</v>
      </c>
      <c r="CH5" s="65">
        <v>0.0</v>
      </c>
      <c r="CI5" s="65">
        <v>0.0</v>
      </c>
      <c r="CJ5" s="65">
        <v>0.0</v>
      </c>
      <c r="CK5" s="65">
        <v>0.0</v>
      </c>
      <c r="CL5" s="65">
        <v>0.0</v>
      </c>
      <c r="CM5" s="65">
        <v>0.0</v>
      </c>
      <c r="CN5" s="65">
        <v>0.0</v>
      </c>
    </row>
    <row r="6" ht="15.75" customHeight="1">
      <c r="A6" s="462" t="s">
        <v>2346</v>
      </c>
      <c r="B6" s="50" t="s">
        <v>2396</v>
      </c>
      <c r="C6" s="141">
        <v>34899.0</v>
      </c>
      <c r="D6" s="63" t="s">
        <v>120</v>
      </c>
      <c r="E6" s="63" t="s">
        <v>91</v>
      </c>
      <c r="F6" s="63" t="s">
        <v>193</v>
      </c>
      <c r="G6" s="47" t="str">
        <f t="shared" si="1"/>
        <v>Breno</v>
      </c>
      <c r="H6" s="142" t="s">
        <v>295</v>
      </c>
      <c r="I6" s="49" t="s">
        <v>382</v>
      </c>
      <c r="J6" s="63" t="str">
        <f t="shared" si="2"/>
        <v>Não</v>
      </c>
      <c r="K6" s="143">
        <v>44321.0</v>
      </c>
      <c r="L6" s="81"/>
      <c r="M6" s="81" t="s">
        <v>34</v>
      </c>
      <c r="N6" s="144">
        <v>0.012</v>
      </c>
      <c r="O6" s="141" t="s">
        <v>66</v>
      </c>
      <c r="P6" s="145">
        <v>0.0</v>
      </c>
      <c r="Q6" s="146"/>
      <c r="R6" s="70" t="s">
        <v>2397</v>
      </c>
      <c r="S6" s="62" t="s">
        <v>194</v>
      </c>
      <c r="T6" s="22" t="s">
        <v>2398</v>
      </c>
      <c r="U6" s="95" t="s">
        <v>221</v>
      </c>
      <c r="V6" s="49" t="str">
        <f t="shared" si="3"/>
        <v>Inativo</v>
      </c>
      <c r="W6" s="150"/>
      <c r="X6" s="150"/>
      <c r="Y6" s="30" t="s">
        <v>269</v>
      </c>
      <c r="Z6" s="81"/>
      <c r="AA6" s="467">
        <v>44321.0</v>
      </c>
      <c r="AB6" s="30">
        <v>4.9075100010439E13</v>
      </c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96"/>
      <c r="AQ6" s="471"/>
      <c r="AR6" s="471"/>
      <c r="AS6" s="471"/>
      <c r="AT6" s="471"/>
      <c r="AU6" s="471">
        <v>2891541.71</v>
      </c>
      <c r="AV6" s="96">
        <v>2889339.52</v>
      </c>
      <c r="AW6" s="96">
        <v>2530492.36</v>
      </c>
      <c r="AX6" s="96">
        <v>2205281.01</v>
      </c>
      <c r="AY6" s="96">
        <v>2191383.28</v>
      </c>
      <c r="AZ6" s="96">
        <v>2062360.45</v>
      </c>
      <c r="BA6" s="96">
        <v>1956984.15</v>
      </c>
      <c r="BB6" s="96">
        <v>1753200.49</v>
      </c>
      <c r="BC6" s="96">
        <v>1675241.7</v>
      </c>
      <c r="BD6" s="96">
        <v>1539225.57</v>
      </c>
      <c r="BE6" s="96">
        <v>1590835.53</v>
      </c>
      <c r="BF6" s="96">
        <v>1477667.26</v>
      </c>
      <c r="BG6" s="472">
        <v>1481285.3</v>
      </c>
      <c r="BH6" s="472">
        <v>1478090.7</v>
      </c>
      <c r="BI6" s="472">
        <v>1488079.04</v>
      </c>
      <c r="BJ6" s="472">
        <v>1405419.27</v>
      </c>
      <c r="BK6" s="472">
        <v>1419714.13</v>
      </c>
      <c r="BL6" s="472">
        <v>1446855.21</v>
      </c>
      <c r="BM6" s="472">
        <v>710635.69</v>
      </c>
      <c r="BN6" s="472">
        <v>702639.91</v>
      </c>
      <c r="BO6" s="472">
        <v>345490.07</v>
      </c>
      <c r="BP6" s="472">
        <v>311293.96</v>
      </c>
      <c r="BQ6" s="472">
        <v>852.54</v>
      </c>
      <c r="BR6" s="472">
        <v>852.54</v>
      </c>
      <c r="BS6" s="472">
        <v>0.0</v>
      </c>
      <c r="BT6" s="472">
        <v>0.0</v>
      </c>
      <c r="BU6" s="472">
        <v>0.0</v>
      </c>
      <c r="BV6" s="472">
        <v>0.0</v>
      </c>
      <c r="BW6" s="472">
        <v>0.0</v>
      </c>
      <c r="BX6" s="472">
        <v>0.0</v>
      </c>
      <c r="BY6" s="472">
        <v>0.0</v>
      </c>
      <c r="BZ6" s="472">
        <v>0.0</v>
      </c>
      <c r="CA6" s="474">
        <v>0.0</v>
      </c>
      <c r="CB6" s="474">
        <v>0.0</v>
      </c>
      <c r="CC6" s="474">
        <v>0.0</v>
      </c>
      <c r="CD6" s="474">
        <v>0.0</v>
      </c>
      <c r="CE6" s="474">
        <v>0.0</v>
      </c>
      <c r="CF6" s="474">
        <v>0.0</v>
      </c>
      <c r="CG6" s="474">
        <v>0.0</v>
      </c>
      <c r="CH6" s="65">
        <v>0.0</v>
      </c>
      <c r="CI6" s="65">
        <v>0.0</v>
      </c>
      <c r="CJ6" s="65">
        <v>0.0</v>
      </c>
      <c r="CK6" s="65">
        <v>0.0</v>
      </c>
      <c r="CL6" s="65">
        <v>0.0</v>
      </c>
      <c r="CM6" s="65">
        <v>0.0</v>
      </c>
      <c r="CN6" s="65">
        <v>0.0</v>
      </c>
    </row>
    <row r="7" ht="15.75" customHeight="1">
      <c r="A7" s="462" t="s">
        <v>2346</v>
      </c>
      <c r="B7" s="462" t="s">
        <v>2402</v>
      </c>
      <c r="C7" s="141">
        <v>439947.0</v>
      </c>
      <c r="D7" s="63" t="s">
        <v>669</v>
      </c>
      <c r="E7" s="63" t="s">
        <v>199</v>
      </c>
      <c r="F7" s="63" t="s">
        <v>2388</v>
      </c>
      <c r="G7" s="47" t="str">
        <f t="shared" si="1"/>
        <v>Breno</v>
      </c>
      <c r="H7" s="142" t="s">
        <v>295</v>
      </c>
      <c r="I7" s="49" t="s">
        <v>382</v>
      </c>
      <c r="J7" s="63" t="str">
        <f t="shared" si="2"/>
        <v>Não</v>
      </c>
      <c r="K7" s="479">
        <v>43780.0</v>
      </c>
      <c r="L7" s="81"/>
      <c r="M7" s="81" t="s">
        <v>34</v>
      </c>
      <c r="N7" s="478">
        <v>0.012</v>
      </c>
      <c r="O7" s="141" t="s">
        <v>66</v>
      </c>
      <c r="P7" s="145">
        <v>0.0</v>
      </c>
      <c r="Q7" s="190"/>
      <c r="R7" s="158" t="s">
        <v>2405</v>
      </c>
      <c r="S7" s="62" t="s">
        <v>194</v>
      </c>
      <c r="T7" s="141" t="s">
        <v>2406</v>
      </c>
      <c r="U7" s="81" t="s">
        <v>199</v>
      </c>
      <c r="V7" s="49" t="str">
        <f t="shared" si="3"/>
        <v>Ativo</v>
      </c>
      <c r="W7" s="150"/>
      <c r="X7" s="150"/>
      <c r="Y7" s="30" t="s">
        <v>244</v>
      </c>
      <c r="Z7" s="81"/>
      <c r="AA7" s="480">
        <v>43780.0</v>
      </c>
      <c r="AB7" s="30">
        <v>4.9075100003157E13</v>
      </c>
      <c r="AC7" s="96">
        <v>101253.6</v>
      </c>
      <c r="AD7" s="96">
        <v>99688.16</v>
      </c>
      <c r="AE7" s="96">
        <v>93768.21</v>
      </c>
      <c r="AF7" s="96">
        <v>95615.45</v>
      </c>
      <c r="AG7" s="96">
        <v>95766.75</v>
      </c>
      <c r="AH7" s="96">
        <v>96629.85</v>
      </c>
      <c r="AI7" s="96">
        <v>98214.18</v>
      </c>
      <c r="AJ7" s="96">
        <v>96572.31</v>
      </c>
      <c r="AK7" s="96">
        <v>95876.01</v>
      </c>
      <c r="AL7" s="96">
        <v>95925.29</v>
      </c>
      <c r="AM7" s="96">
        <v>98856.94</v>
      </c>
      <c r="AN7" s="96">
        <v>99917.39</v>
      </c>
      <c r="AO7" s="96">
        <v>99343.7</v>
      </c>
      <c r="AP7" s="96">
        <v>97654.46</v>
      </c>
      <c r="AQ7" s="471">
        <v>96878.35</v>
      </c>
      <c r="AR7" s="471">
        <v>97180.23</v>
      </c>
      <c r="AS7" s="471">
        <v>98071.5</v>
      </c>
      <c r="AT7" s="471">
        <v>98060.43</v>
      </c>
      <c r="AU7" s="471">
        <v>98978.72</v>
      </c>
      <c r="AV7" s="96">
        <v>98782.62</v>
      </c>
      <c r="AW7" s="96">
        <v>98443.64</v>
      </c>
      <c r="AX7" s="96">
        <v>97602.23</v>
      </c>
      <c r="AY7" s="96">
        <v>76715.88</v>
      </c>
      <c r="AZ7" s="96">
        <v>95224.21</v>
      </c>
      <c r="BA7" s="96">
        <v>95292.08</v>
      </c>
      <c r="BB7" s="96">
        <v>59688.47</v>
      </c>
      <c r="BC7" s="96">
        <v>60652.16</v>
      </c>
      <c r="BD7" s="96">
        <v>39028.18</v>
      </c>
      <c r="BE7" s="96">
        <v>39817.09</v>
      </c>
      <c r="BF7" s="96">
        <v>39036.17</v>
      </c>
      <c r="BG7" s="472">
        <v>31127.55</v>
      </c>
      <c r="BH7" s="472">
        <v>0.0</v>
      </c>
      <c r="BI7" s="472">
        <v>31046.21</v>
      </c>
      <c r="BJ7" s="472">
        <v>31542.78</v>
      </c>
      <c r="BK7" s="472">
        <v>31700.77</v>
      </c>
      <c r="BL7" s="472">
        <v>32125.5</v>
      </c>
      <c r="BM7" s="472">
        <v>5988.98</v>
      </c>
      <c r="BN7" s="472">
        <v>5756.62</v>
      </c>
      <c r="BO7" s="472">
        <v>5991.44</v>
      </c>
      <c r="BP7" s="472">
        <v>5600.13</v>
      </c>
      <c r="BQ7" s="472">
        <v>5338.74</v>
      </c>
      <c r="BR7" s="472">
        <v>5402.61</v>
      </c>
      <c r="BS7" s="472">
        <v>6070.66</v>
      </c>
      <c r="BT7" s="472">
        <v>0.0</v>
      </c>
      <c r="BU7" s="472">
        <v>0.0</v>
      </c>
      <c r="BV7" s="472">
        <v>0.0</v>
      </c>
      <c r="BW7" s="472">
        <v>0.0</v>
      </c>
      <c r="BX7" s="472">
        <v>0.0</v>
      </c>
      <c r="BY7" s="472">
        <v>0.0</v>
      </c>
      <c r="BZ7" s="472">
        <v>0.0</v>
      </c>
      <c r="CA7" s="474">
        <v>0.0</v>
      </c>
      <c r="CB7" s="474">
        <v>0.0</v>
      </c>
      <c r="CC7" s="474">
        <v>2124.89</v>
      </c>
      <c r="CD7" s="474">
        <v>2018.93</v>
      </c>
      <c r="CE7" s="474">
        <v>0.0</v>
      </c>
      <c r="CF7" s="474">
        <v>0.0</v>
      </c>
      <c r="CG7" s="474">
        <v>0.0</v>
      </c>
      <c r="CH7" s="65">
        <v>0.0</v>
      </c>
      <c r="CI7" s="65">
        <v>0.0</v>
      </c>
      <c r="CJ7" s="65">
        <v>0.0</v>
      </c>
      <c r="CK7" s="65">
        <v>0.0</v>
      </c>
      <c r="CL7" s="65">
        <v>0.0</v>
      </c>
      <c r="CM7" s="65">
        <v>0.0</v>
      </c>
      <c r="CN7" s="65">
        <v>0.0</v>
      </c>
    </row>
    <row r="8" ht="15.75" customHeight="1">
      <c r="A8" s="462" t="s">
        <v>2346</v>
      </c>
      <c r="B8" s="477" t="s">
        <v>476</v>
      </c>
      <c r="C8" s="141">
        <v>442725.0</v>
      </c>
      <c r="D8" s="63" t="s">
        <v>120</v>
      </c>
      <c r="E8" s="63" t="s">
        <v>199</v>
      </c>
      <c r="F8" s="63" t="s">
        <v>677</v>
      </c>
      <c r="G8" s="47" t="str">
        <f t="shared" si="1"/>
        <v>Breno</v>
      </c>
      <c r="H8" s="152" t="s">
        <v>183</v>
      </c>
      <c r="I8" s="74" t="s">
        <v>66</v>
      </c>
      <c r="J8" s="63" t="str">
        <f t="shared" si="2"/>
        <v>Não</v>
      </c>
      <c r="K8" s="479">
        <v>43816.0</v>
      </c>
      <c r="L8" s="81"/>
      <c r="M8" s="81" t="s">
        <v>34</v>
      </c>
      <c r="N8" s="478">
        <v>0.012</v>
      </c>
      <c r="O8" s="141" t="s">
        <v>66</v>
      </c>
      <c r="P8" s="145">
        <v>0.0</v>
      </c>
      <c r="Q8" s="158"/>
      <c r="R8" s="153" t="s">
        <v>481</v>
      </c>
      <c r="S8" s="62" t="s">
        <v>194</v>
      </c>
      <c r="T8" s="30" t="s">
        <v>482</v>
      </c>
      <c r="U8" s="81" t="s">
        <v>199</v>
      </c>
      <c r="V8" s="49" t="str">
        <f t="shared" si="3"/>
        <v>Ativo</v>
      </c>
      <c r="W8" s="150"/>
      <c r="X8" s="150"/>
      <c r="Y8" s="30" t="s">
        <v>244</v>
      </c>
      <c r="Z8" s="81"/>
      <c r="AA8" s="480">
        <v>43816.0</v>
      </c>
      <c r="AB8" s="30">
        <v>4.9075100010447E13</v>
      </c>
      <c r="AC8" s="96">
        <v>49089.19</v>
      </c>
      <c r="AD8" s="96">
        <v>48728.46</v>
      </c>
      <c r="AE8" s="96">
        <v>45945.67</v>
      </c>
      <c r="AF8" s="96">
        <v>46733.59</v>
      </c>
      <c r="AG8" s="96">
        <v>46657.45</v>
      </c>
      <c r="AH8" s="96">
        <v>47100.22</v>
      </c>
      <c r="AI8" s="96">
        <v>47534.21</v>
      </c>
      <c r="AJ8" s="96">
        <v>46543.29</v>
      </c>
      <c r="AK8" s="96">
        <v>46257.87</v>
      </c>
      <c r="AL8" s="96">
        <v>46215.1</v>
      </c>
      <c r="AM8" s="96">
        <v>47791.19</v>
      </c>
      <c r="AN8" s="96">
        <v>47840.2</v>
      </c>
      <c r="AO8" s="96">
        <v>47524.72</v>
      </c>
      <c r="AP8" s="96">
        <v>46648.32</v>
      </c>
      <c r="AQ8" s="471">
        <v>46295.48</v>
      </c>
      <c r="AR8" s="471">
        <v>46310.54</v>
      </c>
      <c r="AS8" s="471">
        <v>47001.66</v>
      </c>
      <c r="AT8" s="471">
        <v>46708.13</v>
      </c>
      <c r="AU8" s="471">
        <v>47017.65</v>
      </c>
      <c r="AV8" s="96">
        <v>46867.03</v>
      </c>
      <c r="AW8" s="96">
        <v>46700.58</v>
      </c>
      <c r="AX8" s="96">
        <v>46280.12</v>
      </c>
      <c r="AY8" s="96">
        <v>45918.33</v>
      </c>
      <c r="AZ8" s="96">
        <v>45068.8</v>
      </c>
      <c r="BA8" s="96">
        <v>45124.76</v>
      </c>
      <c r="BB8" s="96">
        <v>45506.57</v>
      </c>
      <c r="BC8" s="96">
        <v>45858.99</v>
      </c>
      <c r="BD8" s="96">
        <v>46225.53</v>
      </c>
      <c r="BE8" s="96">
        <v>47402.26</v>
      </c>
      <c r="BF8" s="96">
        <v>47274.14</v>
      </c>
      <c r="BG8" s="472">
        <v>47671.7</v>
      </c>
      <c r="BH8" s="472">
        <v>47564.83</v>
      </c>
      <c r="BI8" s="472">
        <v>47751.61</v>
      </c>
      <c r="BJ8" s="472">
        <v>48652.03</v>
      </c>
      <c r="BK8" s="472">
        <v>48797.44</v>
      </c>
      <c r="BL8" s="472">
        <v>49633.0</v>
      </c>
      <c r="BM8" s="472">
        <v>49282.99</v>
      </c>
      <c r="BN8" s="472">
        <v>49678.47</v>
      </c>
      <c r="BO8" s="472">
        <v>50315.96</v>
      </c>
      <c r="BP8" s="472">
        <v>43006.58</v>
      </c>
      <c r="BQ8" s="472">
        <v>51346.01</v>
      </c>
      <c r="BR8" s="472">
        <v>51742.29</v>
      </c>
      <c r="BS8" s="472">
        <v>62033.63</v>
      </c>
      <c r="BT8" s="472">
        <v>52239.43</v>
      </c>
      <c r="BU8" s="472">
        <v>52668.38</v>
      </c>
      <c r="BV8" s="472">
        <v>0.0</v>
      </c>
      <c r="BW8" s="472">
        <v>53239.09</v>
      </c>
      <c r="BX8" s="472">
        <v>53353.04</v>
      </c>
      <c r="BY8" s="472">
        <v>43166.55</v>
      </c>
      <c r="BZ8" s="472">
        <v>43790.34</v>
      </c>
      <c r="CA8" s="474">
        <v>43780.83</v>
      </c>
      <c r="CB8" s="474">
        <v>44166.18</v>
      </c>
      <c r="CC8" s="474">
        <v>44546.78</v>
      </c>
      <c r="CD8" s="474">
        <v>53896.18</v>
      </c>
      <c r="CE8" s="474">
        <v>53789.03</v>
      </c>
      <c r="CF8" s="474">
        <v>54758.0</v>
      </c>
      <c r="CG8" s="474">
        <v>53608.58</v>
      </c>
      <c r="CH8" s="65">
        <v>55685.26</v>
      </c>
      <c r="CI8" s="65">
        <v>55877.59</v>
      </c>
      <c r="CJ8" s="65">
        <v>55712.9</v>
      </c>
      <c r="CK8" s="65">
        <v>55716.97</v>
      </c>
      <c r="CL8" s="65">
        <v>43470.62</v>
      </c>
      <c r="CM8" s="65">
        <v>56677.57</v>
      </c>
      <c r="CN8" s="65">
        <v>56861.12</v>
      </c>
    </row>
    <row r="9" ht="15.75" customHeight="1">
      <c r="A9" s="462" t="s">
        <v>2346</v>
      </c>
      <c r="B9" s="477" t="s">
        <v>619</v>
      </c>
      <c r="C9" s="141">
        <v>462138.0</v>
      </c>
      <c r="D9" s="63" t="s">
        <v>120</v>
      </c>
      <c r="E9" s="63" t="s">
        <v>199</v>
      </c>
      <c r="F9" s="81" t="s">
        <v>841</v>
      </c>
      <c r="G9" s="47" t="str">
        <f t="shared" si="1"/>
        <v>Breno</v>
      </c>
      <c r="H9" s="152" t="s">
        <v>224</v>
      </c>
      <c r="I9" s="74" t="s">
        <v>66</v>
      </c>
      <c r="J9" s="63" t="str">
        <f t="shared" si="2"/>
        <v>Não</v>
      </c>
      <c r="K9" s="467">
        <v>44006.0</v>
      </c>
      <c r="L9" s="467">
        <v>44309.0</v>
      </c>
      <c r="M9" s="81" t="s">
        <v>209</v>
      </c>
      <c r="N9" s="478">
        <v>0.015</v>
      </c>
      <c r="O9" s="63" t="s">
        <v>35</v>
      </c>
      <c r="P9" s="145">
        <v>0.1</v>
      </c>
      <c r="Q9" s="190"/>
      <c r="R9" s="158" t="s">
        <v>2424</v>
      </c>
      <c r="S9" s="62" t="s">
        <v>194</v>
      </c>
      <c r="T9" s="30" t="s">
        <v>629</v>
      </c>
      <c r="U9" s="81" t="s">
        <v>199</v>
      </c>
      <c r="V9" s="49" t="str">
        <f t="shared" si="3"/>
        <v>Encerrado</v>
      </c>
      <c r="W9" s="150"/>
      <c r="X9" s="150"/>
      <c r="Y9" s="81"/>
      <c r="Z9" s="81"/>
      <c r="AA9" s="81"/>
      <c r="AB9" s="30"/>
      <c r="AC9" s="482"/>
      <c r="AD9" s="482"/>
      <c r="AE9" s="482"/>
      <c r="AF9" s="96"/>
      <c r="AG9" s="96">
        <v>0.0</v>
      </c>
      <c r="AH9" s="96">
        <v>147203.24</v>
      </c>
      <c r="AI9" s="96">
        <v>243731.48</v>
      </c>
      <c r="AJ9" s="96">
        <v>237082.99</v>
      </c>
      <c r="AK9" s="96">
        <v>231799.36</v>
      </c>
      <c r="AL9" s="96">
        <v>223307.59</v>
      </c>
      <c r="AM9" s="96">
        <v>247943.17</v>
      </c>
      <c r="AN9" s="96">
        <v>254677.31</v>
      </c>
      <c r="AO9" s="96">
        <v>250734.52</v>
      </c>
      <c r="AP9" s="96">
        <v>5153.2</v>
      </c>
      <c r="AQ9" s="96">
        <v>5399.43</v>
      </c>
      <c r="AR9" s="96">
        <v>219.76</v>
      </c>
      <c r="AS9" s="96">
        <v>219.76</v>
      </c>
      <c r="AT9" s="96">
        <v>219.76</v>
      </c>
      <c r="AU9" s="96"/>
      <c r="AV9" s="482"/>
      <c r="AW9" s="482"/>
      <c r="AX9" s="482"/>
      <c r="AY9" s="96"/>
      <c r="AZ9" s="96"/>
      <c r="BA9" s="96"/>
      <c r="BB9" s="96"/>
      <c r="BC9" s="96"/>
      <c r="BD9" s="96">
        <v>0.0</v>
      </c>
      <c r="BE9" s="96">
        <v>0.0</v>
      </c>
      <c r="BF9" s="96">
        <v>0.0</v>
      </c>
      <c r="BG9" s="96" t="s">
        <v>377</v>
      </c>
      <c r="BH9" s="96">
        <v>0.0</v>
      </c>
      <c r="BI9" s="96">
        <v>0.0</v>
      </c>
      <c r="BJ9" s="96">
        <v>0.0</v>
      </c>
      <c r="BK9" s="472">
        <v>0.0</v>
      </c>
      <c r="BL9" s="472">
        <v>0.0</v>
      </c>
      <c r="BM9" s="472">
        <v>0.0</v>
      </c>
      <c r="BN9" s="472">
        <v>0.0</v>
      </c>
      <c r="BO9" s="472">
        <v>0.0</v>
      </c>
      <c r="BP9" s="472">
        <v>0.0</v>
      </c>
      <c r="BQ9" s="472">
        <v>0.0</v>
      </c>
      <c r="BR9" s="472">
        <v>0.0</v>
      </c>
      <c r="BS9" s="472">
        <v>0.0</v>
      </c>
      <c r="BT9" s="472">
        <v>0.0</v>
      </c>
      <c r="BU9" s="472">
        <v>0.0</v>
      </c>
      <c r="BV9" s="472">
        <v>0.0</v>
      </c>
      <c r="BW9" s="472">
        <v>0.0</v>
      </c>
      <c r="BX9" s="472">
        <v>0.0</v>
      </c>
      <c r="BY9" s="472">
        <v>0.0</v>
      </c>
      <c r="BZ9" s="472">
        <v>0.0</v>
      </c>
      <c r="CA9" s="474">
        <v>0.0</v>
      </c>
      <c r="CB9" s="474">
        <v>0.0</v>
      </c>
      <c r="CC9" s="474">
        <v>0.0</v>
      </c>
      <c r="CD9" s="474">
        <v>0.0</v>
      </c>
      <c r="CE9" s="474">
        <v>0.0</v>
      </c>
      <c r="CF9" s="474">
        <v>0.0</v>
      </c>
      <c r="CG9" s="474">
        <v>0.0</v>
      </c>
      <c r="CH9" s="65">
        <v>0.0</v>
      </c>
      <c r="CI9" s="65">
        <v>0.0</v>
      </c>
      <c r="CJ9" s="65">
        <v>0.0</v>
      </c>
      <c r="CK9" s="65">
        <v>0.0</v>
      </c>
      <c r="CL9" s="65">
        <v>0.0</v>
      </c>
      <c r="CM9" s="65">
        <v>0.0</v>
      </c>
      <c r="CN9" s="65">
        <v>0.0</v>
      </c>
    </row>
    <row r="10" ht="15.75" customHeight="1">
      <c r="A10" s="462" t="s">
        <v>2346</v>
      </c>
      <c r="B10" s="477" t="s">
        <v>2441</v>
      </c>
      <c r="C10" s="141">
        <v>438486.0</v>
      </c>
      <c r="D10" s="63" t="s">
        <v>669</v>
      </c>
      <c r="E10" s="63" t="s">
        <v>199</v>
      </c>
      <c r="F10" s="81" t="s">
        <v>1228</v>
      </c>
      <c r="G10" s="47" t="str">
        <f t="shared" si="1"/>
        <v>Breno</v>
      </c>
      <c r="H10" s="152" t="s">
        <v>224</v>
      </c>
      <c r="I10" s="74" t="s">
        <v>66</v>
      </c>
      <c r="J10" s="63" t="str">
        <f t="shared" si="2"/>
        <v>Não</v>
      </c>
      <c r="K10" s="480">
        <v>43753.0</v>
      </c>
      <c r="L10" s="467">
        <v>44363.0</v>
      </c>
      <c r="M10" s="81" t="s">
        <v>209</v>
      </c>
      <c r="N10" s="478">
        <v>0.01</v>
      </c>
      <c r="O10" s="63" t="s">
        <v>35</v>
      </c>
      <c r="P10" s="145">
        <v>0.1</v>
      </c>
      <c r="Q10" s="190"/>
      <c r="R10" s="158" t="s">
        <v>2446</v>
      </c>
      <c r="S10" s="62" t="s">
        <v>194</v>
      </c>
      <c r="T10" s="30" t="s">
        <v>2447</v>
      </c>
      <c r="U10" s="81" t="s">
        <v>199</v>
      </c>
      <c r="V10" s="49" t="str">
        <f t="shared" si="3"/>
        <v>Encerrado</v>
      </c>
      <c r="W10" s="150"/>
      <c r="X10" s="150"/>
      <c r="Y10" s="30" t="s">
        <v>244</v>
      </c>
      <c r="Z10" s="81"/>
      <c r="AA10" s="81"/>
      <c r="AB10" s="30"/>
      <c r="AC10" s="96">
        <v>102912.41</v>
      </c>
      <c r="AD10" s="96">
        <v>102093.06</v>
      </c>
      <c r="AE10" s="96">
        <v>98566.6</v>
      </c>
      <c r="AF10" s="96">
        <v>99987.02</v>
      </c>
      <c r="AG10" s="96">
        <v>100785.78</v>
      </c>
      <c r="AH10" s="96">
        <v>101820.86</v>
      </c>
      <c r="AI10" s="96">
        <v>104147.07</v>
      </c>
      <c r="AJ10" s="96">
        <v>103569.45</v>
      </c>
      <c r="AK10" s="96">
        <v>104393.73</v>
      </c>
      <c r="AL10" s="96">
        <v>104946.6</v>
      </c>
      <c r="AM10" s="96">
        <v>108377.12</v>
      </c>
      <c r="AN10" s="96">
        <v>109877.66</v>
      </c>
      <c r="AO10" s="96">
        <v>111168.97</v>
      </c>
      <c r="AP10" s="96">
        <v>111310.32</v>
      </c>
      <c r="AQ10" s="96">
        <v>110628.54</v>
      </c>
      <c r="AR10" s="96">
        <v>111156.89</v>
      </c>
      <c r="AS10" s="96">
        <v>113047.02</v>
      </c>
      <c r="AT10" s="96">
        <v>113072.91</v>
      </c>
      <c r="AU10" s="96">
        <v>126158.5</v>
      </c>
      <c r="AV10" s="96">
        <v>94401.89</v>
      </c>
      <c r="AW10" s="96">
        <v>94208.68</v>
      </c>
      <c r="AX10" s="96">
        <v>93234.31</v>
      </c>
      <c r="AY10" s="96">
        <v>92094.75</v>
      </c>
      <c r="AZ10" s="96">
        <v>90330.36</v>
      </c>
      <c r="BA10" s="96">
        <v>44466.28</v>
      </c>
      <c r="BB10" s="96">
        <v>30677.56</v>
      </c>
      <c r="BC10" s="96">
        <v>32277.9</v>
      </c>
      <c r="BD10" s="96">
        <v>16775.85</v>
      </c>
      <c r="BE10" s="96">
        <v>0.0</v>
      </c>
      <c r="BF10" s="96">
        <v>5.79</v>
      </c>
      <c r="BG10" s="505" t="s">
        <v>377</v>
      </c>
      <c r="BH10" s="96">
        <v>19.42</v>
      </c>
      <c r="BI10" s="96">
        <v>0.0</v>
      </c>
      <c r="BJ10" s="96">
        <v>61.54</v>
      </c>
      <c r="BK10" s="472">
        <v>61.54</v>
      </c>
      <c r="BL10" s="472">
        <v>61.54</v>
      </c>
      <c r="BM10" s="472">
        <v>61.54</v>
      </c>
      <c r="BN10" s="472">
        <v>61.54</v>
      </c>
      <c r="BO10" s="472">
        <v>61.54</v>
      </c>
      <c r="BP10" s="472">
        <v>61.54</v>
      </c>
      <c r="BQ10" s="472">
        <v>0.0</v>
      </c>
      <c r="BR10" s="472">
        <v>0.0</v>
      </c>
      <c r="BS10" s="472">
        <v>0.0</v>
      </c>
      <c r="BT10" s="472">
        <v>0.0</v>
      </c>
      <c r="BU10" s="472">
        <v>0.0</v>
      </c>
      <c r="BV10" s="472">
        <v>0.0</v>
      </c>
      <c r="BW10" s="472">
        <v>0.0</v>
      </c>
      <c r="BX10" s="472">
        <v>0.0</v>
      </c>
      <c r="BY10" s="472">
        <v>0.0</v>
      </c>
      <c r="BZ10" s="472">
        <v>0.0</v>
      </c>
      <c r="CA10" s="474">
        <v>0.0</v>
      </c>
      <c r="CB10" s="474">
        <v>0.0</v>
      </c>
      <c r="CC10" s="474">
        <v>0.0</v>
      </c>
      <c r="CD10" s="474">
        <v>0.0</v>
      </c>
      <c r="CE10" s="474">
        <v>0.0</v>
      </c>
      <c r="CF10" s="474">
        <v>0.0</v>
      </c>
      <c r="CG10" s="474">
        <v>0.0</v>
      </c>
      <c r="CH10" s="65">
        <v>0.0</v>
      </c>
      <c r="CI10" s="65">
        <v>0.0</v>
      </c>
      <c r="CJ10" s="65">
        <v>0.0</v>
      </c>
      <c r="CK10" s="65">
        <v>0.0</v>
      </c>
      <c r="CL10" s="65">
        <v>0.0</v>
      </c>
      <c r="CM10" s="65">
        <v>0.0</v>
      </c>
      <c r="CN10" s="65">
        <v>0.0</v>
      </c>
    </row>
    <row r="11" ht="15.75" customHeight="1">
      <c r="A11" s="462" t="s">
        <v>2346</v>
      </c>
      <c r="B11" s="462" t="s">
        <v>491</v>
      </c>
      <c r="C11" s="141">
        <v>421731.0</v>
      </c>
      <c r="D11" s="63" t="s">
        <v>120</v>
      </c>
      <c r="E11" s="63" t="s">
        <v>199</v>
      </c>
      <c r="F11" s="63" t="s">
        <v>677</v>
      </c>
      <c r="G11" s="47" t="str">
        <f t="shared" si="1"/>
        <v>Breno</v>
      </c>
      <c r="H11" s="142" t="s">
        <v>295</v>
      </c>
      <c r="I11" s="74" t="s">
        <v>66</v>
      </c>
      <c r="J11" s="63" t="str">
        <f t="shared" si="2"/>
        <v>Sim</v>
      </c>
      <c r="K11" s="143">
        <v>43684.0</v>
      </c>
      <c r="L11" s="81"/>
      <c r="M11" s="81" t="s">
        <v>209</v>
      </c>
      <c r="N11" s="464">
        <v>0.01</v>
      </c>
      <c r="O11" s="63" t="s">
        <v>35</v>
      </c>
      <c r="P11" s="145">
        <v>0.1</v>
      </c>
      <c r="Q11" s="509" t="s">
        <v>492</v>
      </c>
      <c r="R11" s="153" t="s">
        <v>481</v>
      </c>
      <c r="S11" s="62" t="s">
        <v>194</v>
      </c>
      <c r="T11" s="141" t="s">
        <v>493</v>
      </c>
      <c r="U11" s="81" t="s">
        <v>199</v>
      </c>
      <c r="V11" s="49" t="str">
        <f t="shared" si="3"/>
        <v>Ativo</v>
      </c>
      <c r="W11" s="150"/>
      <c r="X11" s="150"/>
      <c r="Y11" s="30" t="s">
        <v>244</v>
      </c>
      <c r="Z11" s="81"/>
      <c r="AA11" s="467">
        <v>43684.0</v>
      </c>
      <c r="AB11" s="30">
        <v>4.907510000585E13</v>
      </c>
      <c r="AC11" s="96">
        <v>262229.28</v>
      </c>
      <c r="AD11" s="96">
        <v>260241.71</v>
      </c>
      <c r="AE11" s="96">
        <v>246956.93</v>
      </c>
      <c r="AF11" s="96">
        <v>251748.15</v>
      </c>
      <c r="AG11" s="96">
        <v>254282.76</v>
      </c>
      <c r="AH11" s="96">
        <v>258419.79</v>
      </c>
      <c r="AI11" s="96">
        <v>263166.25</v>
      </c>
      <c r="AJ11" s="96">
        <v>259335.68</v>
      </c>
      <c r="AK11" s="96">
        <v>255519.33</v>
      </c>
      <c r="AL11" s="96">
        <v>256043.88</v>
      </c>
      <c r="AM11" s="96">
        <v>262838.63</v>
      </c>
      <c r="AN11" s="96">
        <v>265781.59</v>
      </c>
      <c r="AO11" s="96">
        <v>263616.95</v>
      </c>
      <c r="AP11" s="96">
        <v>259280.02</v>
      </c>
      <c r="AQ11" s="471">
        <v>258213.95</v>
      </c>
      <c r="AR11" s="471">
        <v>260497.01</v>
      </c>
      <c r="AS11" s="471">
        <v>263503.81</v>
      </c>
      <c r="AT11" s="471">
        <v>263682.77</v>
      </c>
      <c r="AU11" s="471">
        <v>57490.07</v>
      </c>
      <c r="AV11" s="96">
        <v>57565.24</v>
      </c>
      <c r="AW11" s="96">
        <v>15764.62</v>
      </c>
      <c r="AX11" s="96">
        <v>15871.58</v>
      </c>
      <c r="AY11" s="96">
        <v>15928.67</v>
      </c>
      <c r="AZ11" s="96">
        <v>16169.29</v>
      </c>
      <c r="BA11" s="96">
        <v>16267.31</v>
      </c>
      <c r="BB11" s="96">
        <v>16548.47</v>
      </c>
      <c r="BC11" s="96">
        <v>16659.21</v>
      </c>
      <c r="BD11" s="96">
        <v>16766.27</v>
      </c>
      <c r="BE11" s="96">
        <v>16758.91</v>
      </c>
      <c r="BF11" s="96">
        <v>16851.86</v>
      </c>
      <c r="BG11" s="472">
        <v>17002.13</v>
      </c>
      <c r="BH11" s="472">
        <v>0.0</v>
      </c>
      <c r="BI11" s="472">
        <v>17325.92</v>
      </c>
      <c r="BJ11" s="472">
        <v>17443.88</v>
      </c>
      <c r="BK11" s="472">
        <v>17554.0</v>
      </c>
      <c r="BL11" s="472">
        <v>17660.68</v>
      </c>
      <c r="BM11" s="472">
        <v>17766.11</v>
      </c>
      <c r="BN11" s="472">
        <v>17873.46</v>
      </c>
      <c r="BO11" s="472">
        <v>18003.51</v>
      </c>
      <c r="BP11" s="472">
        <v>18101.61</v>
      </c>
      <c r="BQ11" s="472">
        <v>18229.35</v>
      </c>
      <c r="BR11" s="472">
        <v>18322.06</v>
      </c>
      <c r="BS11" s="472">
        <v>18447.33</v>
      </c>
      <c r="BT11" s="472">
        <v>0.0</v>
      </c>
      <c r="BU11" s="472">
        <v>0.0</v>
      </c>
      <c r="BV11" s="472">
        <v>0.0</v>
      </c>
      <c r="BW11" s="472">
        <v>19122.86</v>
      </c>
      <c r="BX11" s="472">
        <v>19321.2</v>
      </c>
      <c r="BY11" s="472">
        <v>18931.88</v>
      </c>
      <c r="BZ11" s="472">
        <v>19090.22</v>
      </c>
      <c r="CA11" s="474">
        <v>19279.45</v>
      </c>
      <c r="CB11" s="474">
        <v>19422.34</v>
      </c>
      <c r="CC11" s="474">
        <v>19589.5</v>
      </c>
      <c r="CD11" s="474">
        <v>19759.01</v>
      </c>
      <c r="CE11" s="474">
        <v>19771.28</v>
      </c>
      <c r="CF11" s="474">
        <v>19923.69</v>
      </c>
      <c r="CG11" s="474">
        <v>20100.17</v>
      </c>
      <c r="CH11" s="65">
        <v>20271.52</v>
      </c>
      <c r="CI11" s="65">
        <v>20437.33</v>
      </c>
      <c r="CJ11" s="65">
        <v>20624.51</v>
      </c>
      <c r="CK11" s="65">
        <v>20635.04</v>
      </c>
      <c r="CL11" s="65">
        <v>174.04</v>
      </c>
      <c r="CM11" s="65">
        <v>21203.05</v>
      </c>
      <c r="CN11" s="65">
        <v>21387.86</v>
      </c>
    </row>
    <row r="12" ht="15.75" customHeight="1">
      <c r="A12" s="462" t="s">
        <v>2346</v>
      </c>
      <c r="B12" s="510" t="s">
        <v>2497</v>
      </c>
      <c r="C12" s="141">
        <v>421537.0</v>
      </c>
      <c r="D12" s="63" t="s">
        <v>669</v>
      </c>
      <c r="E12" s="63" t="s">
        <v>199</v>
      </c>
      <c r="F12" s="81" t="s">
        <v>2388</v>
      </c>
      <c r="G12" s="47" t="str">
        <f t="shared" si="1"/>
        <v>Breno</v>
      </c>
      <c r="H12" s="152" t="s">
        <v>224</v>
      </c>
      <c r="I12" s="74" t="s">
        <v>66</v>
      </c>
      <c r="J12" s="63" t="str">
        <f t="shared" si="2"/>
        <v>Não</v>
      </c>
      <c r="K12" s="467">
        <v>43633.0</v>
      </c>
      <c r="L12" s="467">
        <v>44509.0</v>
      </c>
      <c r="M12" s="81" t="s">
        <v>34</v>
      </c>
      <c r="N12" s="478">
        <v>0.012</v>
      </c>
      <c r="O12" s="141" t="s">
        <v>66</v>
      </c>
      <c r="P12" s="145">
        <v>0.0</v>
      </c>
      <c r="Q12" s="190"/>
      <c r="R12" s="158" t="s">
        <v>2504</v>
      </c>
      <c r="S12" s="62" t="s">
        <v>194</v>
      </c>
      <c r="T12" s="30" t="s">
        <v>2508</v>
      </c>
      <c r="U12" s="30" t="s">
        <v>475</v>
      </c>
      <c r="V12" s="49" t="str">
        <f t="shared" si="3"/>
        <v>Encerrado</v>
      </c>
      <c r="W12" s="150"/>
      <c r="X12" s="150"/>
      <c r="Y12" s="81"/>
      <c r="Z12" s="81"/>
      <c r="AA12" s="81"/>
      <c r="AB12" s="30"/>
      <c r="AC12" s="96">
        <v>107522.64</v>
      </c>
      <c r="AD12" s="96">
        <v>105884.84</v>
      </c>
      <c r="AE12" s="96">
        <v>98819.54</v>
      </c>
      <c r="AF12" s="96">
        <v>101176.69</v>
      </c>
      <c r="AG12" s="96">
        <v>102806.59</v>
      </c>
      <c r="AH12" s="96">
        <v>103635.18</v>
      </c>
      <c r="AI12" s="96">
        <v>105779.25</v>
      </c>
      <c r="AJ12" s="96">
        <v>103824.56</v>
      </c>
      <c r="AK12" s="96">
        <v>104369.64</v>
      </c>
      <c r="AL12" s="482"/>
      <c r="AM12" s="482"/>
      <c r="AN12" s="482"/>
      <c r="AO12" s="482"/>
      <c r="AP12" s="96"/>
      <c r="AQ12" s="96">
        <v>103137.56</v>
      </c>
      <c r="AR12" s="96"/>
      <c r="AS12" s="96">
        <v>105545.31</v>
      </c>
      <c r="AT12" s="96">
        <v>105489.39</v>
      </c>
      <c r="AU12" s="96">
        <v>106362.27</v>
      </c>
      <c r="AV12" s="96">
        <v>106114.77</v>
      </c>
      <c r="AW12" s="96">
        <v>105943.53</v>
      </c>
      <c r="AX12" s="96">
        <v>105102.2</v>
      </c>
      <c r="AY12" s="96">
        <v>104522.08</v>
      </c>
      <c r="AZ12" s="96">
        <v>103216.61</v>
      </c>
      <c r="BA12" s="96"/>
      <c r="BB12" s="96"/>
      <c r="BC12" s="96"/>
      <c r="BD12" s="96">
        <v>0.0</v>
      </c>
      <c r="BE12" s="96">
        <v>0.0</v>
      </c>
      <c r="BF12" s="96">
        <v>0.0</v>
      </c>
      <c r="BG12" s="96" t="s">
        <v>377</v>
      </c>
      <c r="BH12" s="96">
        <v>0.0</v>
      </c>
      <c r="BI12" s="96">
        <v>0.0</v>
      </c>
      <c r="BJ12" s="96">
        <v>0.0</v>
      </c>
      <c r="BK12" s="472">
        <v>0.0</v>
      </c>
      <c r="BL12" s="472">
        <v>0.0</v>
      </c>
      <c r="BM12" s="472">
        <v>0.0</v>
      </c>
      <c r="BN12" s="472">
        <v>0.0</v>
      </c>
      <c r="BO12" s="472">
        <v>0.0</v>
      </c>
      <c r="BP12" s="472">
        <v>0.0</v>
      </c>
      <c r="BQ12" s="472">
        <v>0.0</v>
      </c>
      <c r="BR12" s="472">
        <v>0.0</v>
      </c>
      <c r="BS12" s="472">
        <v>0.0</v>
      </c>
      <c r="BT12" s="472">
        <v>0.0</v>
      </c>
      <c r="BU12" s="472">
        <v>0.0</v>
      </c>
      <c r="BV12" s="472">
        <v>0.0</v>
      </c>
      <c r="BW12" s="472">
        <v>0.0</v>
      </c>
      <c r="BX12" s="472">
        <v>0.0</v>
      </c>
      <c r="BY12" s="472">
        <v>0.0</v>
      </c>
      <c r="BZ12" s="472">
        <v>0.0</v>
      </c>
      <c r="CA12" s="474">
        <v>0.0</v>
      </c>
      <c r="CB12" s="474">
        <v>0.0</v>
      </c>
      <c r="CC12" s="474">
        <v>0.0</v>
      </c>
      <c r="CD12" s="474">
        <v>0.0</v>
      </c>
      <c r="CE12" s="474">
        <v>0.0</v>
      </c>
      <c r="CF12" s="474">
        <v>0.0</v>
      </c>
      <c r="CG12" s="474">
        <v>0.0</v>
      </c>
      <c r="CH12" s="65">
        <v>0.0</v>
      </c>
      <c r="CI12" s="65">
        <v>0.0</v>
      </c>
      <c r="CJ12" s="65">
        <v>0.0</v>
      </c>
      <c r="CK12" s="65">
        <v>0.0</v>
      </c>
      <c r="CL12" s="65">
        <v>0.0</v>
      </c>
      <c r="CM12" s="65">
        <v>0.0</v>
      </c>
      <c r="CN12" s="65">
        <v>0.0</v>
      </c>
    </row>
    <row r="13" ht="15.75" customHeight="1">
      <c r="A13" s="462" t="s">
        <v>2346</v>
      </c>
      <c r="B13" s="477" t="s">
        <v>2536</v>
      </c>
      <c r="C13" s="141">
        <v>326344.0</v>
      </c>
      <c r="D13" s="63" t="s">
        <v>669</v>
      </c>
      <c r="E13" s="63" t="s">
        <v>199</v>
      </c>
      <c r="F13" s="81" t="s">
        <v>1228</v>
      </c>
      <c r="G13" s="47" t="str">
        <f t="shared" si="1"/>
        <v>Breno</v>
      </c>
      <c r="H13" s="152" t="s">
        <v>224</v>
      </c>
      <c r="I13" s="74" t="s">
        <v>66</v>
      </c>
      <c r="J13" s="63" t="str">
        <f t="shared" si="2"/>
        <v>Não</v>
      </c>
      <c r="K13" s="151">
        <v>43930.0</v>
      </c>
      <c r="L13" s="480">
        <v>44482.0</v>
      </c>
      <c r="M13" s="81" t="s">
        <v>209</v>
      </c>
      <c r="N13" s="478">
        <v>0.015</v>
      </c>
      <c r="O13" s="63" t="s">
        <v>35</v>
      </c>
      <c r="P13" s="145">
        <v>0.1</v>
      </c>
      <c r="Q13" s="190"/>
      <c r="R13" s="158"/>
      <c r="S13" s="62" t="s">
        <v>194</v>
      </c>
      <c r="T13" s="30" t="s">
        <v>2548</v>
      </c>
      <c r="U13" s="81" t="s">
        <v>199</v>
      </c>
      <c r="V13" s="49" t="str">
        <f t="shared" si="3"/>
        <v>Encerrado</v>
      </c>
      <c r="W13" s="150"/>
      <c r="X13" s="150"/>
      <c r="Y13" s="81"/>
      <c r="Z13" s="81"/>
      <c r="AA13" s="81"/>
      <c r="AB13" s="30"/>
      <c r="AC13" s="482"/>
      <c r="AD13" s="482"/>
      <c r="AE13" s="482"/>
      <c r="AF13" s="96"/>
      <c r="AG13" s="96"/>
      <c r="AH13" s="482"/>
      <c r="AI13" s="482"/>
      <c r="AJ13" s="482"/>
      <c r="AK13" s="482"/>
      <c r="AL13" s="96">
        <v>102675.48</v>
      </c>
      <c r="AM13" s="96">
        <v>106536.55</v>
      </c>
      <c r="AN13" s="96">
        <v>107774.74</v>
      </c>
      <c r="AO13" s="96">
        <v>106354.7</v>
      </c>
      <c r="AP13" s="96"/>
      <c r="AQ13" s="96"/>
      <c r="AR13" s="96"/>
      <c r="AS13" s="96"/>
      <c r="AT13" s="96"/>
      <c r="AU13" s="96"/>
      <c r="AV13" s="482"/>
      <c r="AW13" s="482"/>
      <c r="AX13" s="482"/>
      <c r="AY13" s="96"/>
      <c r="AZ13" s="96"/>
      <c r="BA13" s="96"/>
      <c r="BB13" s="96"/>
      <c r="BC13" s="96"/>
      <c r="BD13" s="96">
        <v>0.0</v>
      </c>
      <c r="BE13" s="96">
        <v>0.0</v>
      </c>
      <c r="BF13" s="96">
        <v>0.0</v>
      </c>
      <c r="BG13" s="96" t="s">
        <v>377</v>
      </c>
      <c r="BH13" s="96">
        <v>0.0</v>
      </c>
      <c r="BI13" s="96">
        <v>0.0</v>
      </c>
      <c r="BJ13" s="96">
        <v>0.0</v>
      </c>
      <c r="BK13" s="472">
        <v>0.0</v>
      </c>
      <c r="BL13" s="472">
        <v>0.0</v>
      </c>
      <c r="BM13" s="472">
        <v>0.0</v>
      </c>
      <c r="BN13" s="472">
        <v>0.0</v>
      </c>
      <c r="BO13" s="472">
        <v>0.0</v>
      </c>
      <c r="BP13" s="472">
        <v>0.0</v>
      </c>
      <c r="BQ13" s="472">
        <v>0.0</v>
      </c>
      <c r="BR13" s="472">
        <v>0.0</v>
      </c>
      <c r="BS13" s="472">
        <v>0.0</v>
      </c>
      <c r="BT13" s="472">
        <v>0.0</v>
      </c>
      <c r="BU13" s="472">
        <v>0.0</v>
      </c>
      <c r="BV13" s="472">
        <v>0.0</v>
      </c>
      <c r="BW13" s="472">
        <v>0.0</v>
      </c>
      <c r="BX13" s="472">
        <v>0.0</v>
      </c>
      <c r="BY13" s="472">
        <v>0.0</v>
      </c>
      <c r="BZ13" s="472">
        <v>0.0</v>
      </c>
      <c r="CA13" s="474">
        <v>0.0</v>
      </c>
      <c r="CB13" s="474">
        <v>0.0</v>
      </c>
      <c r="CC13" s="474">
        <v>0.0</v>
      </c>
      <c r="CD13" s="474">
        <v>0.0</v>
      </c>
      <c r="CE13" s="474">
        <v>0.0</v>
      </c>
      <c r="CF13" s="474">
        <v>0.0</v>
      </c>
      <c r="CG13" s="474">
        <v>0.0</v>
      </c>
      <c r="CH13" s="65">
        <v>0.0</v>
      </c>
      <c r="CI13" s="65">
        <v>0.0</v>
      </c>
      <c r="CJ13" s="65">
        <v>0.0</v>
      </c>
      <c r="CK13" s="65">
        <v>0.0</v>
      </c>
      <c r="CL13" s="65">
        <v>0.0</v>
      </c>
      <c r="CM13" s="65">
        <v>0.0</v>
      </c>
      <c r="CN13" s="65">
        <v>0.0</v>
      </c>
    </row>
    <row r="14" ht="15.75" customHeight="1">
      <c r="A14" s="462" t="s">
        <v>2346</v>
      </c>
      <c r="B14" s="43" t="s">
        <v>500</v>
      </c>
      <c r="C14" s="141">
        <v>376503.0</v>
      </c>
      <c r="D14" s="63" t="s">
        <v>120</v>
      </c>
      <c r="E14" s="63" t="s">
        <v>199</v>
      </c>
      <c r="F14" s="63" t="s">
        <v>1108</v>
      </c>
      <c r="G14" s="47" t="str">
        <f t="shared" si="1"/>
        <v>Bruno</v>
      </c>
      <c r="H14" s="142" t="s">
        <v>183</v>
      </c>
      <c r="I14" s="74" t="s">
        <v>66</v>
      </c>
      <c r="J14" s="63" t="str">
        <f t="shared" si="2"/>
        <v>Não</v>
      </c>
      <c r="K14" s="143">
        <v>44970.0</v>
      </c>
      <c r="L14" s="81"/>
      <c r="M14" s="81" t="s">
        <v>61</v>
      </c>
      <c r="N14" s="478">
        <v>0.01</v>
      </c>
      <c r="O14" s="141" t="s">
        <v>66</v>
      </c>
      <c r="P14" s="145">
        <v>0.0</v>
      </c>
      <c r="Q14" s="70"/>
      <c r="R14" s="70"/>
      <c r="S14" s="62" t="s">
        <v>194</v>
      </c>
      <c r="T14" s="22" t="s">
        <v>503</v>
      </c>
      <c r="U14" s="22" t="s">
        <v>199</v>
      </c>
      <c r="V14" s="49" t="str">
        <f t="shared" si="3"/>
        <v>Ativo</v>
      </c>
      <c r="W14" s="150"/>
      <c r="X14" s="150"/>
      <c r="Y14" s="30" t="s">
        <v>244</v>
      </c>
      <c r="Z14" s="81"/>
      <c r="AA14" s="467">
        <v>44970.0</v>
      </c>
      <c r="AB14" s="30">
        <v>4.9075100008876E13</v>
      </c>
      <c r="AC14" s="476"/>
      <c r="AD14" s="476"/>
      <c r="AE14" s="476"/>
      <c r="AF14" s="476"/>
      <c r="AG14" s="476"/>
      <c r="AH14" s="476"/>
      <c r="AI14" s="476"/>
      <c r="AJ14" s="476"/>
      <c r="AK14" s="476"/>
      <c r="AL14" s="476"/>
      <c r="AM14" s="476"/>
      <c r="AN14" s="476"/>
      <c r="AO14" s="476"/>
      <c r="AP14" s="96"/>
      <c r="AQ14" s="471"/>
      <c r="AR14" s="471"/>
      <c r="AS14" s="471"/>
      <c r="AT14" s="471"/>
      <c r="AU14" s="471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472"/>
      <c r="BH14" s="472"/>
      <c r="BI14" s="472"/>
      <c r="BJ14" s="472"/>
      <c r="BK14" s="472"/>
      <c r="BL14" s="472"/>
      <c r="BM14" s="472"/>
      <c r="BN14" s="472"/>
      <c r="BO14" s="472"/>
      <c r="BP14" s="472">
        <v>96441.94</v>
      </c>
      <c r="BQ14" s="472">
        <v>101445.48</v>
      </c>
      <c r="BR14" s="472">
        <v>152363.58</v>
      </c>
      <c r="BS14" s="472">
        <v>154001.44</v>
      </c>
      <c r="BT14" s="472">
        <v>155252.93</v>
      </c>
      <c r="BU14" s="472">
        <v>196353.27</v>
      </c>
      <c r="BV14" s="472">
        <v>198849.6</v>
      </c>
      <c r="BW14" s="472">
        <v>215564.62</v>
      </c>
      <c r="BX14" s="472">
        <v>237808.65</v>
      </c>
      <c r="BY14" s="472">
        <v>239535.68</v>
      </c>
      <c r="BZ14" s="472">
        <v>261290.36</v>
      </c>
      <c r="CA14" s="474">
        <v>263329.86</v>
      </c>
      <c r="CB14" s="474">
        <v>285337.49</v>
      </c>
      <c r="CC14" s="474">
        <v>286075.31</v>
      </c>
      <c r="CD14" s="474">
        <v>298116.94</v>
      </c>
      <c r="CE14" s="474">
        <v>300615.38</v>
      </c>
      <c r="CF14" s="474">
        <v>318170.77</v>
      </c>
      <c r="CG14" s="474">
        <v>340556.06</v>
      </c>
      <c r="CH14" s="65">
        <v>350735.95</v>
      </c>
      <c r="CI14" s="65">
        <v>375539.19</v>
      </c>
      <c r="CJ14" s="65">
        <v>393622.82</v>
      </c>
      <c r="CK14" s="65">
        <v>397191.49</v>
      </c>
      <c r="CL14" s="65">
        <v>348102.25</v>
      </c>
      <c r="CM14" s="65">
        <v>423456.91</v>
      </c>
      <c r="CN14" s="65">
        <v>426964.55</v>
      </c>
    </row>
    <row r="15" ht="15.75" customHeight="1">
      <c r="A15" s="462" t="s">
        <v>2346</v>
      </c>
      <c r="B15" s="43" t="s">
        <v>500</v>
      </c>
      <c r="C15" s="141">
        <v>376732.0</v>
      </c>
      <c r="D15" s="63" t="s">
        <v>120</v>
      </c>
      <c r="E15" s="63" t="s">
        <v>199</v>
      </c>
      <c r="F15" s="63" t="s">
        <v>1108</v>
      </c>
      <c r="G15" s="47" t="str">
        <f t="shared" si="1"/>
        <v>Bruno</v>
      </c>
      <c r="H15" s="142" t="s">
        <v>183</v>
      </c>
      <c r="I15" s="74" t="s">
        <v>66</v>
      </c>
      <c r="J15" s="63" t="str">
        <f t="shared" si="2"/>
        <v>Não</v>
      </c>
      <c r="K15" s="143">
        <v>44971.0</v>
      </c>
      <c r="L15" s="81"/>
      <c r="M15" s="81" t="s">
        <v>231</v>
      </c>
      <c r="N15" s="478">
        <v>0.025</v>
      </c>
      <c r="O15" s="141" t="s">
        <v>233</v>
      </c>
      <c r="P15" s="145">
        <v>0.2</v>
      </c>
      <c r="Q15" s="70"/>
      <c r="R15" s="70"/>
      <c r="S15" s="62" t="s">
        <v>194</v>
      </c>
      <c r="T15" s="155" t="s">
        <v>503</v>
      </c>
      <c r="U15" s="22" t="s">
        <v>199</v>
      </c>
      <c r="V15" s="49" t="str">
        <f t="shared" si="3"/>
        <v>Ativo</v>
      </c>
      <c r="W15" s="150"/>
      <c r="X15" s="150"/>
      <c r="Y15" s="30" t="s">
        <v>244</v>
      </c>
      <c r="Z15" s="81"/>
      <c r="AA15" s="467">
        <v>44971.0</v>
      </c>
      <c r="AB15" s="30">
        <v>4.907510000876E13</v>
      </c>
      <c r="AC15" s="476"/>
      <c r="AD15" s="476"/>
      <c r="AE15" s="476"/>
      <c r="AF15" s="476"/>
      <c r="AG15" s="476"/>
      <c r="AH15" s="476"/>
      <c r="AI15" s="476"/>
      <c r="AJ15" s="476"/>
      <c r="AK15" s="476"/>
      <c r="AL15" s="476"/>
      <c r="AM15" s="476"/>
      <c r="AN15" s="476"/>
      <c r="AO15" s="476"/>
      <c r="AP15" s="96"/>
      <c r="AQ15" s="471"/>
      <c r="AR15" s="471"/>
      <c r="AS15" s="471"/>
      <c r="AT15" s="471"/>
      <c r="AU15" s="471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472"/>
      <c r="BH15" s="472"/>
      <c r="BI15" s="472"/>
      <c r="BJ15" s="472"/>
      <c r="BK15" s="472"/>
      <c r="BL15" s="472"/>
      <c r="BM15" s="472"/>
      <c r="BN15" s="472"/>
      <c r="BO15" s="472"/>
      <c r="BP15" s="472">
        <v>97658.61</v>
      </c>
      <c r="BQ15" s="472">
        <v>97272.84</v>
      </c>
      <c r="BR15" s="472">
        <v>143818.91</v>
      </c>
      <c r="BS15" s="472">
        <v>150406.68</v>
      </c>
      <c r="BT15" s="472">
        <v>162337.85</v>
      </c>
      <c r="BU15" s="472">
        <v>210751.3</v>
      </c>
      <c r="BV15" s="472">
        <v>209335.48</v>
      </c>
      <c r="BW15" s="472">
        <v>216457.31</v>
      </c>
      <c r="BX15" s="472">
        <v>225142.56</v>
      </c>
      <c r="BY15" s="472">
        <v>242482.76</v>
      </c>
      <c r="BZ15" s="472">
        <v>274526.7</v>
      </c>
      <c r="CA15" s="474">
        <v>256267.06</v>
      </c>
      <c r="CB15" s="474">
        <v>261092.78</v>
      </c>
      <c r="CC15" s="474">
        <v>209751.43</v>
      </c>
      <c r="CD15" s="474">
        <v>280621.27</v>
      </c>
      <c r="CE15" s="474">
        <v>247584.87</v>
      </c>
      <c r="CF15" s="474">
        <v>286328.6</v>
      </c>
      <c r="CG15" s="474">
        <v>288941.69</v>
      </c>
      <c r="CH15" s="65">
        <v>333569.1</v>
      </c>
      <c r="CI15" s="65">
        <v>344407.36</v>
      </c>
      <c r="CJ15" s="65">
        <v>341386.76</v>
      </c>
      <c r="CK15" s="65">
        <v>327315.59</v>
      </c>
      <c r="CL15" s="65">
        <v>298364.89</v>
      </c>
      <c r="CM15" s="65">
        <v>306400.9</v>
      </c>
      <c r="CN15" s="65">
        <v>301359.04</v>
      </c>
    </row>
    <row r="16" ht="15.75" customHeight="1">
      <c r="A16" s="462" t="s">
        <v>2346</v>
      </c>
      <c r="B16" s="50" t="s">
        <v>520</v>
      </c>
      <c r="C16" s="141">
        <v>420111.0</v>
      </c>
      <c r="D16" s="63" t="s">
        <v>120</v>
      </c>
      <c r="E16" s="63" t="s">
        <v>91</v>
      </c>
      <c r="F16" s="63" t="s">
        <v>521</v>
      </c>
      <c r="G16" s="47" t="str">
        <f t="shared" si="1"/>
        <v>Breno</v>
      </c>
      <c r="H16" s="142" t="s">
        <v>183</v>
      </c>
      <c r="I16" s="74" t="s">
        <v>66</v>
      </c>
      <c r="J16" s="63" t="str">
        <f t="shared" si="2"/>
        <v>Não</v>
      </c>
      <c r="K16" s="143">
        <v>44321.0</v>
      </c>
      <c r="L16" s="81"/>
      <c r="M16" s="81" t="s">
        <v>209</v>
      </c>
      <c r="N16" s="478">
        <v>0.015</v>
      </c>
      <c r="O16" s="63" t="s">
        <v>35</v>
      </c>
      <c r="P16" s="145">
        <v>0.1</v>
      </c>
      <c r="Q16" s="70"/>
      <c r="R16" s="70"/>
      <c r="S16" s="62" t="s">
        <v>194</v>
      </c>
      <c r="T16" s="22" t="s">
        <v>523</v>
      </c>
      <c r="U16" s="95" t="s">
        <v>221</v>
      </c>
      <c r="V16" s="49" t="str">
        <f t="shared" si="3"/>
        <v>Ativo</v>
      </c>
      <c r="W16" s="150"/>
      <c r="X16" s="150"/>
      <c r="Y16" s="30" t="s">
        <v>244</v>
      </c>
      <c r="Z16" s="81"/>
      <c r="AA16" s="467">
        <v>44321.0</v>
      </c>
      <c r="AB16" s="30">
        <v>4.9075100003629E13</v>
      </c>
      <c r="AC16" s="476"/>
      <c r="AD16" s="476"/>
      <c r="AE16" s="476"/>
      <c r="AF16" s="476"/>
      <c r="AG16" s="476"/>
      <c r="AH16" s="476"/>
      <c r="AI16" s="476"/>
      <c r="AJ16" s="476"/>
      <c r="AK16" s="476"/>
      <c r="AL16" s="476"/>
      <c r="AM16" s="476"/>
      <c r="AN16" s="476"/>
      <c r="AO16" s="476"/>
      <c r="AP16" s="96"/>
      <c r="AQ16" s="471"/>
      <c r="AR16" s="471"/>
      <c r="AS16" s="471"/>
      <c r="AT16" s="471"/>
      <c r="AU16" s="471">
        <v>176525.77</v>
      </c>
      <c r="AV16" s="96">
        <v>177328.31</v>
      </c>
      <c r="AW16" s="96">
        <v>176460.92</v>
      </c>
      <c r="AX16" s="96">
        <v>174148.58</v>
      </c>
      <c r="AY16" s="96">
        <v>149350.3</v>
      </c>
      <c r="AZ16" s="96">
        <v>167367.68</v>
      </c>
      <c r="BA16" s="96">
        <v>165710.39</v>
      </c>
      <c r="BB16" s="96">
        <v>165717.75</v>
      </c>
      <c r="BC16" s="96">
        <v>167379.83</v>
      </c>
      <c r="BD16" s="96">
        <v>168457.79</v>
      </c>
      <c r="BE16" s="96">
        <v>175571.34</v>
      </c>
      <c r="BF16" s="96">
        <v>172585.18</v>
      </c>
      <c r="BG16" s="472">
        <v>172248.16</v>
      </c>
      <c r="BH16" s="472">
        <v>170919.5</v>
      </c>
      <c r="BI16" s="472">
        <v>173175.56</v>
      </c>
      <c r="BJ16" s="472">
        <v>172542.98</v>
      </c>
      <c r="BK16" s="472">
        <v>216748.13</v>
      </c>
      <c r="BL16" s="472">
        <v>222672.24</v>
      </c>
      <c r="BM16" s="472">
        <v>221198.06</v>
      </c>
      <c r="BN16" s="472">
        <v>223105.1</v>
      </c>
      <c r="BO16" s="472">
        <v>225604.95</v>
      </c>
      <c r="BP16" s="472">
        <v>227295.12</v>
      </c>
      <c r="BQ16" s="472">
        <v>230326.01</v>
      </c>
      <c r="BR16" s="472">
        <v>230883.48</v>
      </c>
      <c r="BS16" s="472">
        <v>236956.32</v>
      </c>
      <c r="BT16" s="472">
        <v>239950.27</v>
      </c>
      <c r="BU16" s="472">
        <v>199623.8</v>
      </c>
      <c r="BV16" s="472">
        <v>241359.69</v>
      </c>
      <c r="BW16" s="472">
        <v>2079.49</v>
      </c>
      <c r="BX16" s="472">
        <v>2193.56</v>
      </c>
      <c r="BY16" s="472">
        <v>2189.53</v>
      </c>
      <c r="BZ16" s="472">
        <v>2193.54</v>
      </c>
      <c r="CA16" s="474">
        <v>2219.69</v>
      </c>
      <c r="CB16" s="474">
        <v>2291.61</v>
      </c>
      <c r="CC16" s="474">
        <v>2298.57</v>
      </c>
      <c r="CD16" s="474">
        <v>2218.53</v>
      </c>
      <c r="CE16" s="474">
        <v>2067.12</v>
      </c>
      <c r="CF16" s="474">
        <v>2024.2</v>
      </c>
      <c r="CG16" s="474">
        <v>2083.36</v>
      </c>
      <c r="CH16" s="65">
        <v>0.0</v>
      </c>
      <c r="CI16" s="65">
        <v>2136.25</v>
      </c>
      <c r="CJ16" s="65">
        <v>2149.63</v>
      </c>
      <c r="CK16" s="65">
        <v>0.0</v>
      </c>
      <c r="CL16" s="65">
        <v>0.0</v>
      </c>
      <c r="CM16" s="65">
        <v>0.0</v>
      </c>
      <c r="CN16" s="65">
        <v>0.0</v>
      </c>
    </row>
    <row r="17" ht="15.75" customHeight="1">
      <c r="A17" s="462" t="s">
        <v>2346</v>
      </c>
      <c r="B17" s="50" t="s">
        <v>2710</v>
      </c>
      <c r="C17" s="141">
        <v>47785.0</v>
      </c>
      <c r="D17" s="63" t="s">
        <v>669</v>
      </c>
      <c r="E17" s="63" t="s">
        <v>199</v>
      </c>
      <c r="F17" s="63" t="s">
        <v>2388</v>
      </c>
      <c r="G17" s="47" t="str">
        <f t="shared" si="1"/>
        <v>Breno</v>
      </c>
      <c r="H17" s="142" t="s">
        <v>295</v>
      </c>
      <c r="I17" s="49" t="s">
        <v>382</v>
      </c>
      <c r="J17" s="63" t="str">
        <f t="shared" si="2"/>
        <v>Não</v>
      </c>
      <c r="K17" s="143">
        <v>44186.0</v>
      </c>
      <c r="L17" s="81"/>
      <c r="M17" s="81" t="s">
        <v>209</v>
      </c>
      <c r="N17" s="478">
        <v>0.015</v>
      </c>
      <c r="O17" s="63" t="s">
        <v>35</v>
      </c>
      <c r="P17" s="145">
        <v>0.1</v>
      </c>
      <c r="Q17" s="70"/>
      <c r="R17" s="70" t="s">
        <v>2719</v>
      </c>
      <c r="S17" s="62" t="s">
        <v>194</v>
      </c>
      <c r="T17" s="22" t="s">
        <v>2724</v>
      </c>
      <c r="U17" s="81" t="s">
        <v>199</v>
      </c>
      <c r="V17" s="49" t="str">
        <f t="shared" si="3"/>
        <v>Inativo</v>
      </c>
      <c r="W17" s="150"/>
      <c r="X17" s="150"/>
      <c r="Y17" s="30" t="s">
        <v>244</v>
      </c>
      <c r="Z17" s="81"/>
      <c r="AA17" s="467">
        <v>44186.0</v>
      </c>
      <c r="AB17" s="30">
        <v>4.9075100003033E13</v>
      </c>
      <c r="AC17" s="96">
        <v>0.0</v>
      </c>
      <c r="AD17" s="96">
        <v>0.0</v>
      </c>
      <c r="AE17" s="96">
        <v>0.0</v>
      </c>
      <c r="AF17" s="96">
        <v>0.0</v>
      </c>
      <c r="AG17" s="96">
        <v>0.0</v>
      </c>
      <c r="AH17" s="96">
        <v>0.0</v>
      </c>
      <c r="AI17" s="96">
        <v>0.0</v>
      </c>
      <c r="AJ17" s="96">
        <v>0.0</v>
      </c>
      <c r="AK17" s="96">
        <v>0.0</v>
      </c>
      <c r="AL17" s="96">
        <v>0.0</v>
      </c>
      <c r="AM17" s="96">
        <v>0.0</v>
      </c>
      <c r="AN17" s="96">
        <v>240350.16</v>
      </c>
      <c r="AO17" s="96">
        <v>238175.41</v>
      </c>
      <c r="AP17" s="96">
        <v>231039.82</v>
      </c>
      <c r="AQ17" s="471">
        <v>228785.77</v>
      </c>
      <c r="AR17" s="471">
        <v>229518.88</v>
      </c>
      <c r="AS17" s="471">
        <v>236932.2</v>
      </c>
      <c r="AT17" s="471">
        <v>237701.1</v>
      </c>
      <c r="AU17" s="471">
        <v>241540.3</v>
      </c>
      <c r="AV17" s="96">
        <v>240359.58</v>
      </c>
      <c r="AW17" s="96">
        <v>237887.35</v>
      </c>
      <c r="AX17" s="96">
        <v>239355.09</v>
      </c>
      <c r="AY17" s="96">
        <v>202433.96</v>
      </c>
      <c r="AZ17" s="96">
        <v>223634.53</v>
      </c>
      <c r="BA17" s="96">
        <v>221832.49</v>
      </c>
      <c r="BB17" s="96">
        <v>223902.18</v>
      </c>
      <c r="BC17" s="96">
        <v>229616.1</v>
      </c>
      <c r="BD17" s="96">
        <v>230847.23</v>
      </c>
      <c r="BE17" s="96">
        <v>74052.76</v>
      </c>
      <c r="BF17" s="96">
        <v>53459.36</v>
      </c>
      <c r="BG17" s="472">
        <v>54018.18</v>
      </c>
      <c r="BH17" s="472">
        <v>54350.12</v>
      </c>
      <c r="BI17" s="472">
        <v>54696.65</v>
      </c>
      <c r="BJ17" s="472">
        <v>44034.78</v>
      </c>
      <c r="BK17" s="472">
        <v>31934.11</v>
      </c>
      <c r="BL17" s="472">
        <v>32033.95</v>
      </c>
      <c r="BM17" s="472">
        <v>52.63</v>
      </c>
      <c r="BN17" s="472">
        <v>26.02</v>
      </c>
      <c r="BO17" s="472">
        <v>26.02</v>
      </c>
      <c r="BP17" s="472">
        <v>26.02</v>
      </c>
      <c r="BQ17" s="472">
        <v>26.02</v>
      </c>
      <c r="BR17" s="472">
        <v>26.02</v>
      </c>
      <c r="BS17" s="472">
        <v>26.02</v>
      </c>
      <c r="BT17" s="472">
        <v>0.0</v>
      </c>
      <c r="BU17" s="472">
        <v>0.0</v>
      </c>
      <c r="BV17" s="472">
        <v>0.0</v>
      </c>
      <c r="BW17" s="472">
        <v>0.0</v>
      </c>
      <c r="BX17" s="472">
        <v>0.0</v>
      </c>
      <c r="BY17" s="472">
        <v>0.0</v>
      </c>
      <c r="BZ17" s="472">
        <v>0.0</v>
      </c>
      <c r="CA17" s="474">
        <v>0.0</v>
      </c>
      <c r="CB17" s="474">
        <v>0.0</v>
      </c>
      <c r="CC17" s="474">
        <v>0.0</v>
      </c>
      <c r="CD17" s="474">
        <v>0.0</v>
      </c>
      <c r="CE17" s="474">
        <v>0.0</v>
      </c>
      <c r="CF17" s="474">
        <v>0.0</v>
      </c>
      <c r="CG17" s="474">
        <v>0.0</v>
      </c>
      <c r="CH17" s="65">
        <v>0.0</v>
      </c>
      <c r="CI17" s="65">
        <v>0.0</v>
      </c>
      <c r="CJ17" s="65">
        <v>0.0</v>
      </c>
      <c r="CK17" s="65">
        <v>0.0</v>
      </c>
      <c r="CL17" s="65">
        <v>0.0</v>
      </c>
      <c r="CM17" s="65">
        <v>0.0</v>
      </c>
      <c r="CN17" s="65">
        <v>0.0</v>
      </c>
    </row>
    <row r="18" ht="15.75" customHeight="1">
      <c r="A18" s="462" t="s">
        <v>2346</v>
      </c>
      <c r="B18" s="249" t="s">
        <v>2770</v>
      </c>
      <c r="C18" s="141">
        <v>49819.0</v>
      </c>
      <c r="D18" s="63" t="s">
        <v>120</v>
      </c>
      <c r="E18" s="63" t="s">
        <v>91</v>
      </c>
      <c r="F18" s="81" t="s">
        <v>193</v>
      </c>
      <c r="G18" s="47" t="str">
        <f t="shared" si="1"/>
        <v>Breno</v>
      </c>
      <c r="H18" s="152" t="s">
        <v>295</v>
      </c>
      <c r="I18" s="49" t="s">
        <v>382</v>
      </c>
      <c r="J18" s="63" t="str">
        <f t="shared" si="2"/>
        <v>Não</v>
      </c>
      <c r="K18" s="194">
        <v>44698.0</v>
      </c>
      <c r="L18" s="515"/>
      <c r="M18" s="81" t="s">
        <v>34</v>
      </c>
      <c r="N18" s="464">
        <v>0.012</v>
      </c>
      <c r="O18" s="141" t="s">
        <v>66</v>
      </c>
      <c r="P18" s="145">
        <v>0.0</v>
      </c>
      <c r="Q18" s="70"/>
      <c r="R18" s="70"/>
      <c r="S18" s="62" t="s">
        <v>194</v>
      </c>
      <c r="T18" s="27" t="s">
        <v>1167</v>
      </c>
      <c r="U18" s="32" t="s">
        <v>221</v>
      </c>
      <c r="V18" s="49" t="str">
        <f t="shared" si="3"/>
        <v>Inativo</v>
      </c>
      <c r="W18" s="150"/>
      <c r="X18" s="150"/>
      <c r="Y18" s="30" t="s">
        <v>269</v>
      </c>
      <c r="Z18" s="81"/>
      <c r="AA18" s="467">
        <v>44698.0</v>
      </c>
      <c r="AB18" s="30">
        <v>4.9075100003041E13</v>
      </c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96"/>
      <c r="AN18" s="96"/>
      <c r="AO18" s="96"/>
      <c r="AP18" s="96"/>
      <c r="AQ18" s="96"/>
      <c r="AR18" s="96"/>
      <c r="AS18" s="96"/>
      <c r="AT18" s="96"/>
      <c r="AU18" s="482"/>
      <c r="AV18" s="96"/>
      <c r="AW18" s="96"/>
      <c r="AX18" s="379"/>
      <c r="AY18" s="96"/>
      <c r="AZ18" s="96"/>
      <c r="BA18" s="96"/>
      <c r="BB18" s="96"/>
      <c r="BC18" s="96"/>
      <c r="BD18" s="96"/>
      <c r="BE18" s="96"/>
      <c r="BF18" s="96"/>
      <c r="BG18" s="472">
        <v>102484.03</v>
      </c>
      <c r="BH18" s="472">
        <v>101000.95</v>
      </c>
      <c r="BI18" s="472">
        <v>102326.01</v>
      </c>
      <c r="BJ18" s="472">
        <v>102942.63</v>
      </c>
      <c r="BK18" s="472">
        <v>103774.01</v>
      </c>
      <c r="BL18" s="472">
        <v>105820.46</v>
      </c>
      <c r="BM18" s="472">
        <v>105819.89</v>
      </c>
      <c r="BN18" s="472">
        <v>106657.87</v>
      </c>
      <c r="BO18" s="472">
        <v>107600.87</v>
      </c>
      <c r="BP18" s="472">
        <v>108272.09</v>
      </c>
      <c r="BQ18" s="472">
        <v>109278.25</v>
      </c>
      <c r="BR18" s="472">
        <v>109937.58</v>
      </c>
      <c r="BS18" s="472">
        <v>110953.53</v>
      </c>
      <c r="BT18" s="472">
        <v>112407.8</v>
      </c>
      <c r="BU18" s="472">
        <v>113222.86</v>
      </c>
      <c r="BV18" s="472">
        <v>114403.19</v>
      </c>
      <c r="BW18" s="472">
        <v>114038.19</v>
      </c>
      <c r="BX18" s="472">
        <v>419.05</v>
      </c>
      <c r="BY18" s="472">
        <v>15.79</v>
      </c>
      <c r="BZ18" s="472">
        <v>0.0</v>
      </c>
      <c r="CA18" s="474">
        <v>0.0</v>
      </c>
      <c r="CB18" s="474">
        <v>0.0</v>
      </c>
      <c r="CC18" s="474">
        <v>0.0</v>
      </c>
      <c r="CD18" s="474">
        <v>0.0</v>
      </c>
      <c r="CE18" s="474">
        <v>0.0</v>
      </c>
      <c r="CF18" s="474">
        <v>0.0</v>
      </c>
      <c r="CG18" s="474">
        <v>0.0</v>
      </c>
      <c r="CH18" s="65">
        <v>0.0</v>
      </c>
      <c r="CI18" s="65">
        <v>0.0</v>
      </c>
      <c r="CJ18" s="65">
        <v>0.0</v>
      </c>
      <c r="CK18" s="65">
        <v>0.0</v>
      </c>
      <c r="CL18" s="65">
        <v>0.0</v>
      </c>
      <c r="CM18" s="65">
        <v>0.0</v>
      </c>
      <c r="CN18" s="65">
        <v>0.0</v>
      </c>
    </row>
    <row r="19" ht="15.75" customHeight="1">
      <c r="A19" s="462" t="s">
        <v>2346</v>
      </c>
      <c r="B19" s="249" t="s">
        <v>2802</v>
      </c>
      <c r="C19" s="141">
        <v>627411.0</v>
      </c>
      <c r="D19" s="63" t="s">
        <v>120</v>
      </c>
      <c r="E19" s="63" t="s">
        <v>199</v>
      </c>
      <c r="F19" s="62" t="s">
        <v>290</v>
      </c>
      <c r="G19" s="47" t="str">
        <f t="shared" si="1"/>
        <v>Breno</v>
      </c>
      <c r="H19" s="152" t="s">
        <v>224</v>
      </c>
      <c r="I19" s="74" t="s">
        <v>66</v>
      </c>
      <c r="J19" s="63" t="str">
        <f t="shared" si="2"/>
        <v>Não</v>
      </c>
      <c r="K19" s="194">
        <v>44469.0</v>
      </c>
      <c r="L19" s="516">
        <v>44907.0</v>
      </c>
      <c r="M19" s="81" t="s">
        <v>34</v>
      </c>
      <c r="N19" s="464">
        <v>0.012</v>
      </c>
      <c r="O19" s="141" t="s">
        <v>66</v>
      </c>
      <c r="P19" s="145">
        <v>0.0</v>
      </c>
      <c r="Q19" s="70"/>
      <c r="R19" s="160" t="s">
        <v>2810</v>
      </c>
      <c r="S19" s="62" t="s">
        <v>194</v>
      </c>
      <c r="T19" s="27" t="s">
        <v>2813</v>
      </c>
      <c r="U19" s="62" t="s">
        <v>618</v>
      </c>
      <c r="V19" s="49" t="str">
        <f t="shared" si="3"/>
        <v>Encerrado</v>
      </c>
      <c r="W19" s="150"/>
      <c r="X19" s="150"/>
      <c r="Y19" s="30" t="s">
        <v>244</v>
      </c>
      <c r="Z19" s="81"/>
      <c r="AA19" s="81"/>
      <c r="AB19" s="30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96"/>
      <c r="AN19" s="96"/>
      <c r="AO19" s="96"/>
      <c r="AP19" s="96"/>
      <c r="AQ19" s="96"/>
      <c r="AR19" s="96"/>
      <c r="AS19" s="96"/>
      <c r="AT19" s="96"/>
      <c r="AU19" s="482"/>
      <c r="AV19" s="96"/>
      <c r="AW19" s="96"/>
      <c r="AX19" s="379"/>
      <c r="AY19" s="96">
        <v>1000.0</v>
      </c>
      <c r="AZ19" s="96">
        <v>590780.42</v>
      </c>
      <c r="BA19" s="96">
        <v>592755.68</v>
      </c>
      <c r="BB19" s="96">
        <v>599392.87</v>
      </c>
      <c r="BC19" s="96">
        <v>606265.6</v>
      </c>
      <c r="BD19" s="96">
        <v>610674.77</v>
      </c>
      <c r="BE19" s="96">
        <v>626694.72</v>
      </c>
      <c r="BF19" s="96">
        <v>623867.6</v>
      </c>
      <c r="BG19" s="472">
        <v>626220.03</v>
      </c>
      <c r="BH19" s="472">
        <v>625103.39</v>
      </c>
      <c r="BI19" s="472">
        <v>631849.87</v>
      </c>
      <c r="BJ19" s="472">
        <v>639608.2</v>
      </c>
      <c r="BK19" s="472">
        <v>590794.07</v>
      </c>
      <c r="BL19" s="472">
        <v>659715.7</v>
      </c>
      <c r="BM19" s="472">
        <v>0.0</v>
      </c>
      <c r="BN19" s="472">
        <v>0.0</v>
      </c>
      <c r="BO19" s="472">
        <v>0.0</v>
      </c>
      <c r="BP19" s="472">
        <v>0.0</v>
      </c>
      <c r="BQ19" s="472">
        <v>0.0</v>
      </c>
      <c r="BR19" s="472">
        <v>0.0</v>
      </c>
      <c r="BS19" s="472">
        <v>0.0</v>
      </c>
      <c r="BT19" s="472">
        <v>0.0</v>
      </c>
      <c r="BU19" s="472">
        <v>0.0</v>
      </c>
      <c r="BV19" s="472">
        <v>0.0</v>
      </c>
      <c r="BW19" s="472">
        <v>0.0</v>
      </c>
      <c r="BX19" s="472">
        <v>0.0</v>
      </c>
      <c r="BY19" s="472">
        <v>0.0</v>
      </c>
      <c r="BZ19" s="472">
        <v>0.0</v>
      </c>
      <c r="CA19" s="474">
        <v>0.0</v>
      </c>
      <c r="CB19" s="474">
        <v>0.0</v>
      </c>
      <c r="CC19" s="474">
        <v>0.0</v>
      </c>
      <c r="CD19" s="474">
        <v>0.0</v>
      </c>
      <c r="CE19" s="474">
        <v>0.0</v>
      </c>
      <c r="CF19" s="474">
        <v>0.0</v>
      </c>
      <c r="CG19" s="474">
        <v>0.0</v>
      </c>
      <c r="CH19" s="65">
        <v>0.0</v>
      </c>
      <c r="CI19" s="65">
        <v>0.0</v>
      </c>
      <c r="CJ19" s="65">
        <v>0.0</v>
      </c>
      <c r="CK19" s="65">
        <v>0.0</v>
      </c>
      <c r="CL19" s="65">
        <v>0.0</v>
      </c>
      <c r="CM19" s="65">
        <v>0.0</v>
      </c>
      <c r="CN19" s="65">
        <v>0.0</v>
      </c>
    </row>
    <row r="20" ht="15.75" customHeight="1">
      <c r="A20" s="462" t="s">
        <v>2346</v>
      </c>
      <c r="B20" s="510" t="s">
        <v>2835</v>
      </c>
      <c r="C20" s="141">
        <v>430193.0</v>
      </c>
      <c r="D20" s="63" t="s">
        <v>669</v>
      </c>
      <c r="E20" s="63" t="s">
        <v>199</v>
      </c>
      <c r="F20" s="81" t="s">
        <v>1228</v>
      </c>
      <c r="G20" s="47" t="str">
        <f t="shared" si="1"/>
        <v>Breno</v>
      </c>
      <c r="H20" s="152" t="s">
        <v>224</v>
      </c>
      <c r="I20" s="74" t="s">
        <v>66</v>
      </c>
      <c r="J20" s="63" t="str">
        <f t="shared" si="2"/>
        <v>Não</v>
      </c>
      <c r="K20" s="467">
        <v>43745.0</v>
      </c>
      <c r="L20" s="467">
        <v>44035.0</v>
      </c>
      <c r="M20" s="81" t="s">
        <v>209</v>
      </c>
      <c r="N20" s="478">
        <v>0.01</v>
      </c>
      <c r="O20" s="63" t="s">
        <v>35</v>
      </c>
      <c r="P20" s="145">
        <v>0.1</v>
      </c>
      <c r="Q20" s="190"/>
      <c r="R20" s="158"/>
      <c r="S20" s="62" t="s">
        <v>194</v>
      </c>
      <c r="T20" s="30" t="s">
        <v>2845</v>
      </c>
      <c r="U20" s="81" t="s">
        <v>199</v>
      </c>
      <c r="V20" s="49" t="str">
        <f t="shared" si="3"/>
        <v>Encerrado</v>
      </c>
      <c r="W20" s="150"/>
      <c r="X20" s="150"/>
      <c r="Y20" s="30" t="s">
        <v>244</v>
      </c>
      <c r="Z20" s="81"/>
      <c r="AA20" s="81"/>
      <c r="AB20" s="30"/>
      <c r="AC20" s="96">
        <v>1035342.41</v>
      </c>
      <c r="AD20" s="96">
        <v>1027142.78</v>
      </c>
      <c r="AE20" s="96">
        <v>968338.56</v>
      </c>
      <c r="AF20" s="96">
        <v>971958.06</v>
      </c>
      <c r="AG20" s="96">
        <v>973440.75</v>
      </c>
      <c r="AH20" s="96">
        <v>556008.9</v>
      </c>
      <c r="AI20" s="96">
        <v>0.0</v>
      </c>
      <c r="AJ20" s="96"/>
      <c r="AK20" s="96"/>
      <c r="AL20" s="96">
        <v>237.78</v>
      </c>
      <c r="AM20" s="96">
        <v>237.78</v>
      </c>
      <c r="AN20" s="96">
        <v>147.88</v>
      </c>
      <c r="AO20" s="96">
        <v>147.88</v>
      </c>
      <c r="AP20" s="96">
        <v>147.88</v>
      </c>
      <c r="AQ20" s="96">
        <v>147.88</v>
      </c>
      <c r="AR20" s="96">
        <v>147.88</v>
      </c>
      <c r="AS20" s="96">
        <v>147.88</v>
      </c>
      <c r="AT20" s="96">
        <v>147.88</v>
      </c>
      <c r="AU20" s="96"/>
      <c r="AV20" s="482"/>
      <c r="AW20" s="96">
        <v>42.06</v>
      </c>
      <c r="AX20" s="96">
        <v>42.06</v>
      </c>
      <c r="AY20" s="96">
        <v>42.06</v>
      </c>
      <c r="AZ20" s="96">
        <v>42.06</v>
      </c>
      <c r="BA20" s="96">
        <v>42.06</v>
      </c>
      <c r="BB20" s="96">
        <v>42.06</v>
      </c>
      <c r="BC20" s="96">
        <v>42.06</v>
      </c>
      <c r="BD20" s="96">
        <v>42.06</v>
      </c>
      <c r="BE20" s="96">
        <v>42.06</v>
      </c>
      <c r="BF20" s="96">
        <v>42.06</v>
      </c>
      <c r="BG20" s="505" t="s">
        <v>377</v>
      </c>
      <c r="BH20" s="96">
        <v>0.0</v>
      </c>
      <c r="BI20" s="96">
        <v>0.0</v>
      </c>
      <c r="BJ20" s="96">
        <v>42.06</v>
      </c>
      <c r="BK20" s="472">
        <v>42.06</v>
      </c>
      <c r="BL20" s="472">
        <v>42.06</v>
      </c>
      <c r="BM20" s="472">
        <v>42.06</v>
      </c>
      <c r="BN20" s="472">
        <v>42.06</v>
      </c>
      <c r="BO20" s="472">
        <v>42.06</v>
      </c>
      <c r="BP20" s="472">
        <v>42.06</v>
      </c>
      <c r="BQ20" s="472">
        <v>42.06</v>
      </c>
      <c r="BR20" s="472">
        <v>42.06</v>
      </c>
      <c r="BS20" s="472">
        <v>42.06</v>
      </c>
      <c r="BT20" s="472">
        <v>0.0</v>
      </c>
      <c r="BU20" s="472">
        <v>0.0</v>
      </c>
      <c r="BV20" s="472">
        <v>0.0</v>
      </c>
      <c r="BW20" s="472">
        <v>0.0</v>
      </c>
      <c r="BX20" s="472">
        <v>0.0</v>
      </c>
      <c r="BY20" s="472">
        <v>0.0</v>
      </c>
      <c r="BZ20" s="472">
        <v>0.0</v>
      </c>
      <c r="CA20" s="474">
        <v>0.0</v>
      </c>
      <c r="CB20" s="474">
        <v>0.0</v>
      </c>
      <c r="CC20" s="474">
        <v>0.0</v>
      </c>
      <c r="CD20" s="474">
        <v>0.0</v>
      </c>
      <c r="CE20" s="474">
        <v>0.0</v>
      </c>
      <c r="CF20" s="474">
        <v>0.0</v>
      </c>
      <c r="CG20" s="474">
        <v>0.0</v>
      </c>
      <c r="CH20" s="65">
        <v>0.0</v>
      </c>
      <c r="CI20" s="65">
        <v>0.0</v>
      </c>
      <c r="CJ20" s="65">
        <v>0.0</v>
      </c>
      <c r="CK20" s="65">
        <v>0.0</v>
      </c>
      <c r="CL20" s="65">
        <v>0.0</v>
      </c>
      <c r="CM20" s="65">
        <v>0.0</v>
      </c>
      <c r="CN20" s="65">
        <v>0.0</v>
      </c>
    </row>
    <row r="21" ht="15.75" customHeight="1">
      <c r="A21" s="462" t="s">
        <v>2346</v>
      </c>
      <c r="B21" s="510" t="s">
        <v>530</v>
      </c>
      <c r="C21" s="141">
        <v>379151.0</v>
      </c>
      <c r="D21" s="63" t="s">
        <v>120</v>
      </c>
      <c r="E21" s="63" t="s">
        <v>199</v>
      </c>
      <c r="F21" s="81" t="s">
        <v>290</v>
      </c>
      <c r="G21" s="47" t="str">
        <f t="shared" si="1"/>
        <v>Bruno</v>
      </c>
      <c r="H21" s="142" t="s">
        <v>183</v>
      </c>
      <c r="I21" s="74" t="s">
        <v>66</v>
      </c>
      <c r="J21" s="63" t="str">
        <f t="shared" si="2"/>
        <v>Não</v>
      </c>
      <c r="K21" s="194">
        <v>45020.0</v>
      </c>
      <c r="L21" s="62"/>
      <c r="M21" s="81" t="s">
        <v>61</v>
      </c>
      <c r="N21" s="478">
        <v>0.007</v>
      </c>
      <c r="O21" s="141" t="s">
        <v>66</v>
      </c>
      <c r="P21" s="145">
        <v>0.0</v>
      </c>
      <c r="Q21" s="70"/>
      <c r="R21" s="70"/>
      <c r="S21" s="62" t="s">
        <v>194</v>
      </c>
      <c r="T21" s="30" t="s">
        <v>531</v>
      </c>
      <c r="U21" s="22" t="s">
        <v>199</v>
      </c>
      <c r="V21" s="49" t="str">
        <f t="shared" si="3"/>
        <v>Ativo</v>
      </c>
      <c r="W21" s="150"/>
      <c r="X21" s="150"/>
      <c r="Y21" s="30" t="s">
        <v>244</v>
      </c>
      <c r="Z21" s="81"/>
      <c r="AA21" s="467">
        <v>45020.0</v>
      </c>
      <c r="AB21" s="30">
        <v>4.9075100009996E13</v>
      </c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482"/>
      <c r="AN21" s="482"/>
      <c r="AO21" s="96"/>
      <c r="AP21" s="471"/>
      <c r="AQ21" s="471"/>
      <c r="AR21" s="471"/>
      <c r="AS21" s="471"/>
      <c r="AT21" s="471"/>
      <c r="AU21" s="96"/>
      <c r="AV21" s="96"/>
      <c r="AW21" s="96"/>
      <c r="AX21" s="96"/>
      <c r="AY21" s="96"/>
      <c r="AZ21" s="379"/>
      <c r="BA21" s="476"/>
      <c r="BB21" s="476"/>
      <c r="BC21" s="96"/>
      <c r="BD21" s="96"/>
      <c r="BE21" s="96"/>
      <c r="BF21" s="96"/>
      <c r="BG21" s="472"/>
      <c r="BH21" s="472"/>
      <c r="BI21" s="472"/>
      <c r="BJ21" s="472"/>
      <c r="BK21" s="472"/>
      <c r="BL21" s="472"/>
      <c r="BM21" s="472"/>
      <c r="BN21" s="472"/>
      <c r="BO21" s="472"/>
      <c r="BP21" s="472"/>
      <c r="BQ21" s="472">
        <v>0.0</v>
      </c>
      <c r="BR21" s="472">
        <v>279469.28</v>
      </c>
      <c r="BS21" s="472">
        <v>282007.53</v>
      </c>
      <c r="BT21" s="472">
        <v>285642.6</v>
      </c>
      <c r="BU21" s="472">
        <v>287956.62</v>
      </c>
      <c r="BV21" s="472">
        <v>290908.71</v>
      </c>
      <c r="BW21" s="472">
        <v>292485.32</v>
      </c>
      <c r="BX21" s="472">
        <v>248650.68</v>
      </c>
      <c r="BY21" s="472">
        <v>249698.66</v>
      </c>
      <c r="BZ21" s="472">
        <v>252042.49</v>
      </c>
      <c r="CA21" s="474">
        <v>254140.24</v>
      </c>
      <c r="CB21" s="474">
        <v>255408.88</v>
      </c>
      <c r="CC21" s="474">
        <v>255001.13</v>
      </c>
      <c r="CD21" s="474">
        <v>256872.24</v>
      </c>
      <c r="CE21" s="474">
        <v>259014.46</v>
      </c>
      <c r="CF21" s="474">
        <v>261168.08</v>
      </c>
      <c r="CG21" s="474">
        <v>263112.05</v>
      </c>
      <c r="CH21" s="65">
        <v>265387.87</v>
      </c>
      <c r="CI21" s="65">
        <v>266055.76</v>
      </c>
      <c r="CJ21" s="65">
        <v>268374.72</v>
      </c>
      <c r="CK21" s="65">
        <v>270270.21</v>
      </c>
      <c r="CL21" s="65">
        <v>252850.48</v>
      </c>
      <c r="CM21" s="65">
        <v>275964.02</v>
      </c>
      <c r="CN21" s="65">
        <v>278197.09</v>
      </c>
    </row>
    <row r="22" ht="15.75" customHeight="1">
      <c r="A22" s="462" t="s">
        <v>2346</v>
      </c>
      <c r="B22" s="176" t="s">
        <v>2913</v>
      </c>
      <c r="C22" s="141">
        <v>253852.0</v>
      </c>
      <c r="D22" s="63" t="s">
        <v>120</v>
      </c>
      <c r="E22" s="63" t="s">
        <v>91</v>
      </c>
      <c r="F22" s="81" t="s">
        <v>521</v>
      </c>
      <c r="G22" s="47" t="str">
        <f t="shared" si="1"/>
        <v>Breno</v>
      </c>
      <c r="H22" s="152" t="s">
        <v>295</v>
      </c>
      <c r="I22" s="49" t="s">
        <v>382</v>
      </c>
      <c r="J22" s="63" t="str">
        <f t="shared" si="2"/>
        <v>Não</v>
      </c>
      <c r="K22" s="479">
        <v>44512.0</v>
      </c>
      <c r="L22" s="62"/>
      <c r="M22" s="81" t="s">
        <v>61</v>
      </c>
      <c r="N22" s="478">
        <v>0.007</v>
      </c>
      <c r="O22" s="141" t="s">
        <v>66</v>
      </c>
      <c r="P22" s="145">
        <v>0.0</v>
      </c>
      <c r="Q22" s="70"/>
      <c r="R22" s="70"/>
      <c r="S22" s="62" t="s">
        <v>194</v>
      </c>
      <c r="T22" s="22" t="s">
        <v>1792</v>
      </c>
      <c r="U22" s="95" t="s">
        <v>221</v>
      </c>
      <c r="V22" s="49" t="str">
        <f t="shared" si="3"/>
        <v>Inativo</v>
      </c>
      <c r="W22" s="150"/>
      <c r="X22" s="150"/>
      <c r="Y22" s="30" t="s">
        <v>244</v>
      </c>
      <c r="Z22" s="81"/>
      <c r="AA22" s="480">
        <v>44512.0</v>
      </c>
      <c r="AB22" s="30">
        <v>4.9075100014248E13</v>
      </c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482"/>
      <c r="AN22" s="482"/>
      <c r="AO22" s="96"/>
      <c r="AP22" s="471"/>
      <c r="AQ22" s="471"/>
      <c r="AR22" s="471"/>
      <c r="AS22" s="471"/>
      <c r="AT22" s="471"/>
      <c r="AU22" s="96"/>
      <c r="AV22" s="96"/>
      <c r="AW22" s="96"/>
      <c r="AX22" s="96"/>
      <c r="AY22" s="96"/>
      <c r="AZ22" s="379"/>
      <c r="BA22" s="476">
        <v>136654.94</v>
      </c>
      <c r="BB22" s="476">
        <v>138554.52</v>
      </c>
      <c r="BC22" s="96">
        <v>138760.3</v>
      </c>
      <c r="BD22" s="96">
        <v>139588.04</v>
      </c>
      <c r="BE22" s="96">
        <v>142204.77</v>
      </c>
      <c r="BF22" s="96">
        <v>142834.25</v>
      </c>
      <c r="BG22" s="472">
        <v>144103.6</v>
      </c>
      <c r="BH22" s="472">
        <v>144763.45</v>
      </c>
      <c r="BI22" s="472">
        <v>144684.82</v>
      </c>
      <c r="BJ22" s="472">
        <v>146324.19</v>
      </c>
      <c r="BK22" s="472">
        <v>147059.78</v>
      </c>
      <c r="BL22" s="472">
        <v>148335.12</v>
      </c>
      <c r="BM22" s="472">
        <v>146094.53</v>
      </c>
      <c r="BN22" s="472">
        <v>146874.37</v>
      </c>
      <c r="BO22" s="472">
        <v>144397.3</v>
      </c>
      <c r="BP22" s="472">
        <v>145710.51</v>
      </c>
      <c r="BQ22" s="472">
        <v>147586.09</v>
      </c>
      <c r="BR22" s="472">
        <v>148784.85</v>
      </c>
      <c r="BS22" s="472">
        <v>148037.75</v>
      </c>
      <c r="BT22" s="472">
        <v>149312.35</v>
      </c>
      <c r="BU22" s="472">
        <v>150549.05</v>
      </c>
      <c r="BV22" s="472">
        <v>152517.99</v>
      </c>
      <c r="BW22" s="472">
        <v>152613.39</v>
      </c>
      <c r="BX22" s="472">
        <v>154909.92</v>
      </c>
      <c r="BY22" s="472">
        <v>156080.16</v>
      </c>
      <c r="BZ22" s="472">
        <v>157545.52</v>
      </c>
      <c r="CA22" s="474">
        <v>0.0</v>
      </c>
      <c r="CB22" s="474">
        <v>0.0</v>
      </c>
      <c r="CC22" s="474">
        <v>0.0</v>
      </c>
      <c r="CD22" s="474">
        <v>0.0</v>
      </c>
      <c r="CE22" s="474">
        <v>0.0</v>
      </c>
      <c r="CF22" s="474">
        <v>0.0</v>
      </c>
      <c r="CG22" s="474">
        <v>0.0</v>
      </c>
      <c r="CH22" s="65">
        <v>0.0</v>
      </c>
      <c r="CI22" s="65">
        <v>0.0</v>
      </c>
      <c r="CJ22" s="65">
        <v>0.0</v>
      </c>
      <c r="CK22" s="65">
        <v>0.0</v>
      </c>
      <c r="CL22" s="65">
        <v>0.0</v>
      </c>
      <c r="CM22" s="65">
        <v>0.0</v>
      </c>
      <c r="CN22" s="65">
        <v>0.0</v>
      </c>
    </row>
    <row r="23" ht="15.75" customHeight="1">
      <c r="A23" s="462" t="s">
        <v>2346</v>
      </c>
      <c r="B23" s="518" t="s">
        <v>547</v>
      </c>
      <c r="C23" s="141">
        <v>34380.0</v>
      </c>
      <c r="D23" s="63" t="s">
        <v>120</v>
      </c>
      <c r="E23" s="63" t="s">
        <v>91</v>
      </c>
      <c r="F23" s="63" t="s">
        <v>521</v>
      </c>
      <c r="G23" s="47" t="str">
        <f t="shared" si="1"/>
        <v>Breno</v>
      </c>
      <c r="H23" s="142" t="s">
        <v>295</v>
      </c>
      <c r="I23" s="49" t="s">
        <v>382</v>
      </c>
      <c r="J23" s="63" t="str">
        <f t="shared" si="2"/>
        <v>Não</v>
      </c>
      <c r="K23" s="467">
        <v>44266.0</v>
      </c>
      <c r="L23" s="81"/>
      <c r="M23" s="81" t="s">
        <v>361</v>
      </c>
      <c r="N23" s="478">
        <v>0.02</v>
      </c>
      <c r="O23" s="63" t="s">
        <v>35</v>
      </c>
      <c r="P23" s="145">
        <v>0.2</v>
      </c>
      <c r="Q23" s="190"/>
      <c r="R23" s="158" t="s">
        <v>550</v>
      </c>
      <c r="S23" s="62" t="s">
        <v>194</v>
      </c>
      <c r="T23" s="141" t="s">
        <v>553</v>
      </c>
      <c r="U23" s="95" t="s">
        <v>221</v>
      </c>
      <c r="V23" s="49" t="str">
        <f t="shared" si="3"/>
        <v>Ativo</v>
      </c>
      <c r="W23" s="150"/>
      <c r="X23" s="150"/>
      <c r="Y23" s="30" t="s">
        <v>269</v>
      </c>
      <c r="Z23" s="81"/>
      <c r="AA23" s="467">
        <v>44266.0</v>
      </c>
      <c r="AB23" s="30">
        <v>4.9075100009139E13</v>
      </c>
      <c r="AC23" s="482"/>
      <c r="AD23" s="482"/>
      <c r="AE23" s="482"/>
      <c r="AF23" s="482"/>
      <c r="AG23" s="482"/>
      <c r="AH23" s="482"/>
      <c r="AI23" s="482"/>
      <c r="AJ23" s="482"/>
      <c r="AK23" s="482"/>
      <c r="AL23" s="482"/>
      <c r="AM23" s="482"/>
      <c r="AN23" s="482"/>
      <c r="AO23" s="482"/>
      <c r="AP23" s="96"/>
      <c r="AQ23" s="471">
        <v>1480002.42</v>
      </c>
      <c r="AR23" s="471">
        <v>1498381.39</v>
      </c>
      <c r="AS23" s="471"/>
      <c r="AT23" s="471">
        <v>1516551.96</v>
      </c>
      <c r="AU23" s="471">
        <v>1575263.45</v>
      </c>
      <c r="AV23" s="96">
        <v>1774359.68</v>
      </c>
      <c r="AW23" s="96">
        <v>2595356.17</v>
      </c>
      <c r="AX23" s="96">
        <v>2502500.1</v>
      </c>
      <c r="AY23" s="96">
        <v>2138438.3</v>
      </c>
      <c r="AZ23" s="96">
        <v>1768948.13</v>
      </c>
      <c r="BA23" s="96">
        <v>1276825.42</v>
      </c>
      <c r="BB23" s="96">
        <v>1174513.69</v>
      </c>
      <c r="BC23" s="96">
        <v>1250748.79</v>
      </c>
      <c r="BD23" s="96">
        <v>1263287.03</v>
      </c>
      <c r="BE23" s="96">
        <v>1374879.65</v>
      </c>
      <c r="BF23" s="96">
        <v>1336222.17</v>
      </c>
      <c r="BG23" s="472">
        <v>1324303.62</v>
      </c>
      <c r="BH23" s="472">
        <v>1343985.82</v>
      </c>
      <c r="BI23" s="472">
        <v>1386731.4</v>
      </c>
      <c r="BJ23" s="472">
        <v>1260597.49</v>
      </c>
      <c r="BK23" s="472">
        <v>1169900.72</v>
      </c>
      <c r="BL23" s="472">
        <v>983265.69</v>
      </c>
      <c r="BM23" s="472">
        <v>774415.32</v>
      </c>
      <c r="BN23" s="472">
        <v>776809.27</v>
      </c>
      <c r="BO23" s="472">
        <v>779063.03</v>
      </c>
      <c r="BP23" s="472">
        <v>767690.86</v>
      </c>
      <c r="BQ23" s="472">
        <v>884640.7</v>
      </c>
      <c r="BR23" s="472">
        <v>314241.81</v>
      </c>
      <c r="BS23" s="472">
        <v>15.94</v>
      </c>
      <c r="BT23" s="472">
        <v>0.0</v>
      </c>
      <c r="BU23" s="472">
        <v>0.0</v>
      </c>
      <c r="BV23" s="472">
        <v>0.0</v>
      </c>
      <c r="BW23" s="472">
        <v>0.0</v>
      </c>
      <c r="BX23" s="472">
        <v>0.0</v>
      </c>
      <c r="BY23" s="472">
        <v>0.0</v>
      </c>
      <c r="BZ23" s="472">
        <v>0.0</v>
      </c>
      <c r="CA23" s="474">
        <v>0.0</v>
      </c>
      <c r="CB23" s="474">
        <v>0.0</v>
      </c>
      <c r="CC23" s="474">
        <v>0.0</v>
      </c>
      <c r="CD23" s="474">
        <v>0.0</v>
      </c>
      <c r="CE23" s="474">
        <v>0.0</v>
      </c>
      <c r="CF23" s="474">
        <v>0.0</v>
      </c>
      <c r="CG23" s="474">
        <v>0.0</v>
      </c>
      <c r="CH23" s="65">
        <v>0.0</v>
      </c>
      <c r="CI23" s="65">
        <v>0.0</v>
      </c>
      <c r="CJ23" s="65">
        <v>0.0</v>
      </c>
      <c r="CK23" s="65">
        <v>0.0</v>
      </c>
      <c r="CL23" s="65">
        <v>0.18</v>
      </c>
      <c r="CM23" s="65">
        <v>0.18</v>
      </c>
      <c r="CN23" s="65">
        <v>0.18</v>
      </c>
    </row>
    <row r="24" ht="15.75" customHeight="1">
      <c r="A24" s="462" t="s">
        <v>2346</v>
      </c>
      <c r="B24" s="43" t="s">
        <v>2974</v>
      </c>
      <c r="C24" s="141">
        <v>578360.0</v>
      </c>
      <c r="D24" s="63" t="s">
        <v>120</v>
      </c>
      <c r="E24" s="63" t="s">
        <v>91</v>
      </c>
      <c r="F24" s="63" t="s">
        <v>521</v>
      </c>
      <c r="G24" s="47" t="str">
        <f t="shared" si="1"/>
        <v>Breno</v>
      </c>
      <c r="H24" s="142" t="s">
        <v>295</v>
      </c>
      <c r="I24" s="49" t="s">
        <v>382</v>
      </c>
      <c r="J24" s="63" t="str">
        <f t="shared" si="2"/>
        <v>Não</v>
      </c>
      <c r="K24" s="143">
        <v>44319.0</v>
      </c>
      <c r="L24" s="81"/>
      <c r="M24" s="81" t="s">
        <v>209</v>
      </c>
      <c r="N24" s="478">
        <v>0.015</v>
      </c>
      <c r="O24" s="63" t="s">
        <v>35</v>
      </c>
      <c r="P24" s="145">
        <v>0.1</v>
      </c>
      <c r="Q24" s="190"/>
      <c r="R24" s="70" t="s">
        <v>2986</v>
      </c>
      <c r="S24" s="62" t="s">
        <v>194</v>
      </c>
      <c r="T24" s="22" t="s">
        <v>1820</v>
      </c>
      <c r="U24" s="95" t="s">
        <v>221</v>
      </c>
      <c r="V24" s="49" t="str">
        <f t="shared" si="3"/>
        <v>Inativo</v>
      </c>
      <c r="W24" s="150"/>
      <c r="X24" s="150"/>
      <c r="Y24" s="30" t="s">
        <v>244</v>
      </c>
      <c r="Z24" s="81"/>
      <c r="AA24" s="467">
        <v>44319.0</v>
      </c>
      <c r="AB24" s="30">
        <v>4.9075100010013E13</v>
      </c>
      <c r="AC24" s="476"/>
      <c r="AD24" s="476"/>
      <c r="AE24" s="476"/>
      <c r="AF24" s="476"/>
      <c r="AG24" s="476"/>
      <c r="AH24" s="476"/>
      <c r="AI24" s="476"/>
      <c r="AJ24" s="476"/>
      <c r="AK24" s="476"/>
      <c r="AL24" s="476"/>
      <c r="AM24" s="476"/>
      <c r="AN24" s="476"/>
      <c r="AO24" s="476"/>
      <c r="AP24" s="96"/>
      <c r="AQ24" s="471"/>
      <c r="AR24" s="471"/>
      <c r="AS24" s="471"/>
      <c r="AT24" s="471"/>
      <c r="AU24" s="471">
        <v>167600.48</v>
      </c>
      <c r="AV24" s="96">
        <v>166400.34</v>
      </c>
      <c r="AW24" s="96">
        <v>164751.16</v>
      </c>
      <c r="AX24" s="96">
        <v>161807.32</v>
      </c>
      <c r="AY24" s="96">
        <v>159519.38</v>
      </c>
      <c r="AZ24" s="96">
        <v>156047.33</v>
      </c>
      <c r="BA24" s="96">
        <v>154441.82</v>
      </c>
      <c r="BB24" s="96">
        <v>153698.24</v>
      </c>
      <c r="BC24" s="96">
        <v>157826.11</v>
      </c>
      <c r="BD24" s="96">
        <v>158653.22</v>
      </c>
      <c r="BE24" s="96">
        <v>165764.4</v>
      </c>
      <c r="BF24" s="96">
        <v>163088.48</v>
      </c>
      <c r="BG24" s="472">
        <v>162907.42</v>
      </c>
      <c r="BH24" s="472">
        <v>161052.5</v>
      </c>
      <c r="BI24" s="472">
        <v>163497.5</v>
      </c>
      <c r="BJ24" s="472">
        <v>165748.29</v>
      </c>
      <c r="BK24" s="472">
        <v>167274.89</v>
      </c>
      <c r="BL24" s="472">
        <v>19777.92</v>
      </c>
      <c r="BM24" s="472">
        <v>7585.1</v>
      </c>
      <c r="BN24" s="472">
        <v>7624.74</v>
      </c>
      <c r="BO24" s="472">
        <v>8012.56</v>
      </c>
      <c r="BP24" s="472">
        <v>8061.84</v>
      </c>
      <c r="BQ24" s="472">
        <v>8150.87</v>
      </c>
      <c r="BR24" s="472">
        <v>8192.09</v>
      </c>
      <c r="BS24" s="472">
        <v>7181.17</v>
      </c>
      <c r="BT24" s="472">
        <v>0.0</v>
      </c>
      <c r="BU24" s="472">
        <v>0.0</v>
      </c>
      <c r="BV24" s="472">
        <v>0.0</v>
      </c>
      <c r="BW24" s="472">
        <v>0.0</v>
      </c>
      <c r="BX24" s="472">
        <v>0.0</v>
      </c>
      <c r="BY24" s="472">
        <v>0.0</v>
      </c>
      <c r="BZ24" s="472">
        <v>0.0</v>
      </c>
      <c r="CA24" s="474">
        <v>0.0</v>
      </c>
      <c r="CB24" s="474">
        <v>0.0</v>
      </c>
      <c r="CC24" s="474">
        <v>0.0</v>
      </c>
      <c r="CD24" s="474">
        <v>0.0</v>
      </c>
      <c r="CE24" s="474">
        <v>0.0</v>
      </c>
      <c r="CF24" s="474">
        <v>0.0</v>
      </c>
      <c r="CG24" s="474">
        <v>0.0</v>
      </c>
      <c r="CH24" s="65">
        <v>0.0</v>
      </c>
      <c r="CI24" s="65">
        <v>0.0</v>
      </c>
      <c r="CJ24" s="65">
        <v>0.0</v>
      </c>
      <c r="CK24" s="65">
        <v>0.0</v>
      </c>
      <c r="CL24" s="65">
        <v>0.0</v>
      </c>
      <c r="CM24" s="65">
        <v>0.0</v>
      </c>
      <c r="CN24" s="65">
        <v>0.0</v>
      </c>
    </row>
    <row r="25" ht="15.75" customHeight="1">
      <c r="A25" s="462" t="s">
        <v>2346</v>
      </c>
      <c r="B25" s="518" t="s">
        <v>576</v>
      </c>
      <c r="C25" s="141">
        <v>32319.0</v>
      </c>
      <c r="D25" s="63" t="s">
        <v>120</v>
      </c>
      <c r="E25" s="63" t="s">
        <v>91</v>
      </c>
      <c r="F25" s="63" t="s">
        <v>699</v>
      </c>
      <c r="G25" s="47" t="str">
        <f t="shared" si="1"/>
        <v>Breno</v>
      </c>
      <c r="H25" s="152" t="s">
        <v>295</v>
      </c>
      <c r="I25" s="49" t="s">
        <v>447</v>
      </c>
      <c r="J25" s="63" t="str">
        <f t="shared" si="2"/>
        <v>Sim</v>
      </c>
      <c r="K25" s="143">
        <v>44263.0</v>
      </c>
      <c r="L25" s="81"/>
      <c r="M25" s="81" t="s">
        <v>34</v>
      </c>
      <c r="N25" s="478">
        <v>0.012</v>
      </c>
      <c r="O25" s="141" t="s">
        <v>66</v>
      </c>
      <c r="P25" s="145">
        <v>0.0</v>
      </c>
      <c r="Q25" s="163" t="s">
        <v>577</v>
      </c>
      <c r="R25" s="160"/>
      <c r="S25" s="62" t="s">
        <v>194</v>
      </c>
      <c r="T25" s="141" t="s">
        <v>580</v>
      </c>
      <c r="U25" s="95" t="s">
        <v>221</v>
      </c>
      <c r="V25" s="49" t="str">
        <f t="shared" si="3"/>
        <v>Ativo</v>
      </c>
      <c r="W25" s="150"/>
      <c r="X25" s="150"/>
      <c r="Y25" s="30" t="s">
        <v>244</v>
      </c>
      <c r="Z25" s="81"/>
      <c r="AA25" s="467">
        <v>44263.0</v>
      </c>
      <c r="AB25" s="30">
        <v>4.9075100009589E13</v>
      </c>
      <c r="AC25" s="482"/>
      <c r="AD25" s="482"/>
      <c r="AE25" s="482"/>
      <c r="AF25" s="482"/>
      <c r="AG25" s="482"/>
      <c r="AH25" s="482"/>
      <c r="AI25" s="482"/>
      <c r="AJ25" s="482"/>
      <c r="AK25" s="482"/>
      <c r="AL25" s="482"/>
      <c r="AM25" s="482"/>
      <c r="AN25" s="482"/>
      <c r="AO25" s="482"/>
      <c r="AP25" s="96"/>
      <c r="AQ25" s="471">
        <v>440722.58</v>
      </c>
      <c r="AR25" s="471">
        <v>449239.04</v>
      </c>
      <c r="AS25" s="471"/>
      <c r="AT25" s="471">
        <v>462224.91</v>
      </c>
      <c r="AU25" s="471">
        <v>470954.9</v>
      </c>
      <c r="AV25" s="96">
        <v>469764.14</v>
      </c>
      <c r="AW25" s="96">
        <v>465189.44</v>
      </c>
      <c r="AX25" s="96">
        <v>457279.75</v>
      </c>
      <c r="AY25" s="96">
        <v>412484.09</v>
      </c>
      <c r="AZ25" s="96">
        <v>437541.9</v>
      </c>
      <c r="BA25" s="96">
        <v>432527.98</v>
      </c>
      <c r="BB25" s="96">
        <v>434212.15</v>
      </c>
      <c r="BC25" s="96">
        <v>443105.66</v>
      </c>
      <c r="BD25" s="96">
        <v>446263.22</v>
      </c>
      <c r="BE25" s="96">
        <v>465702.25</v>
      </c>
      <c r="BF25" s="96">
        <v>457808.8</v>
      </c>
      <c r="BG25" s="472">
        <v>505664.71</v>
      </c>
      <c r="BH25" s="472">
        <v>456198.74</v>
      </c>
      <c r="BI25" s="472">
        <v>460413.11</v>
      </c>
      <c r="BJ25" s="472">
        <v>465701.96</v>
      </c>
      <c r="BK25" s="472">
        <v>469182.88</v>
      </c>
      <c r="BL25" s="472">
        <v>479309.81</v>
      </c>
      <c r="BM25" s="472">
        <v>477172.68</v>
      </c>
      <c r="BN25" s="472">
        <v>481234.45</v>
      </c>
      <c r="BO25" s="472">
        <v>486765.01</v>
      </c>
      <c r="BP25" s="472">
        <v>491437.74</v>
      </c>
      <c r="BQ25" s="472">
        <v>497419.32</v>
      </c>
      <c r="BR25" s="472">
        <v>500972.7</v>
      </c>
      <c r="BS25" s="472">
        <v>505457.11</v>
      </c>
      <c r="BT25" s="472">
        <v>235644.94</v>
      </c>
      <c r="BU25" s="472">
        <v>206013.87</v>
      </c>
      <c r="BV25" s="472">
        <v>240906.88</v>
      </c>
      <c r="BW25" s="472">
        <v>241298.98</v>
      </c>
      <c r="BX25" s="472">
        <v>242917.88</v>
      </c>
      <c r="BY25" s="472">
        <v>206237.43</v>
      </c>
      <c r="BZ25" s="472">
        <v>118196.35</v>
      </c>
      <c r="CA25" s="474">
        <v>119397.47</v>
      </c>
      <c r="CB25" s="474">
        <v>120333.01</v>
      </c>
      <c r="CC25" s="474">
        <v>12940.09</v>
      </c>
      <c r="CD25" s="474">
        <v>13007.13</v>
      </c>
      <c r="CE25" s="474">
        <v>12771.82</v>
      </c>
      <c r="CF25" s="474">
        <v>12854.13</v>
      </c>
      <c r="CG25" s="474">
        <v>12925.4</v>
      </c>
      <c r="CH25" s="65">
        <v>12988.98</v>
      </c>
      <c r="CI25" s="65">
        <v>13049.41</v>
      </c>
      <c r="CJ25" s="65">
        <v>13154.61</v>
      </c>
      <c r="CK25" s="65">
        <v>12916.8</v>
      </c>
      <c r="CL25" s="65">
        <v>87458.99</v>
      </c>
      <c r="CM25" s="65">
        <v>13704.35</v>
      </c>
      <c r="CN25" s="65">
        <v>13819.08</v>
      </c>
    </row>
    <row r="26" ht="15.75" customHeight="1">
      <c r="A26" s="462" t="s">
        <v>2346</v>
      </c>
      <c r="B26" s="50" t="s">
        <v>592</v>
      </c>
      <c r="C26" s="141">
        <v>36944.0</v>
      </c>
      <c r="D26" s="521" t="s">
        <v>120</v>
      </c>
      <c r="E26" s="521" t="s">
        <v>91</v>
      </c>
      <c r="F26" s="522" t="s">
        <v>521</v>
      </c>
      <c r="G26" s="47" t="str">
        <f t="shared" si="1"/>
        <v>Breno</v>
      </c>
      <c r="H26" s="161" t="s">
        <v>183</v>
      </c>
      <c r="I26" s="74" t="s">
        <v>66</v>
      </c>
      <c r="J26" s="63" t="str">
        <f t="shared" si="2"/>
        <v>Não</v>
      </c>
      <c r="K26" s="523">
        <v>44623.0</v>
      </c>
      <c r="L26" s="524"/>
      <c r="M26" s="524" t="s">
        <v>231</v>
      </c>
      <c r="N26" s="525">
        <v>0.025</v>
      </c>
      <c r="O26" s="526" t="s">
        <v>233</v>
      </c>
      <c r="P26" s="527">
        <v>0.2</v>
      </c>
      <c r="Q26" s="158"/>
      <c r="R26" s="158"/>
      <c r="S26" s="62" t="s">
        <v>194</v>
      </c>
      <c r="T26" s="22" t="s">
        <v>604</v>
      </c>
      <c r="U26" s="95" t="s">
        <v>221</v>
      </c>
      <c r="V26" s="49" t="str">
        <f t="shared" si="3"/>
        <v>Ativo</v>
      </c>
      <c r="W26" s="150"/>
      <c r="X26" s="150"/>
      <c r="Y26" s="30" t="s">
        <v>244</v>
      </c>
      <c r="Z26" s="81"/>
      <c r="AA26" s="467">
        <v>44623.0</v>
      </c>
      <c r="AB26" s="30">
        <v>4.9075100010099E13</v>
      </c>
      <c r="AC26" s="482"/>
      <c r="AD26" s="482"/>
      <c r="AE26" s="482"/>
      <c r="AF26" s="482"/>
      <c r="AG26" s="482"/>
      <c r="AH26" s="482"/>
      <c r="AI26" s="482"/>
      <c r="AJ26" s="482"/>
      <c r="AK26" s="482"/>
      <c r="AL26" s="482"/>
      <c r="AM26" s="482"/>
      <c r="AN26" s="482"/>
      <c r="AO26" s="482"/>
      <c r="AP26" s="96"/>
      <c r="AQ26" s="471"/>
      <c r="AR26" s="471"/>
      <c r="AS26" s="471"/>
      <c r="AT26" s="471"/>
      <c r="AU26" s="471"/>
      <c r="AV26" s="96"/>
      <c r="AW26" s="96"/>
      <c r="AX26" s="96"/>
      <c r="AY26" s="96"/>
      <c r="AZ26" s="96"/>
      <c r="BA26" s="96"/>
      <c r="BB26" s="96"/>
      <c r="BC26" s="96"/>
      <c r="BD26" s="96"/>
      <c r="BE26" s="96">
        <v>97100.02</v>
      </c>
      <c r="BF26" s="96">
        <v>92638.91</v>
      </c>
      <c r="BG26" s="472">
        <v>90466.5</v>
      </c>
      <c r="BH26" s="472">
        <v>85689.23</v>
      </c>
      <c r="BI26" s="472">
        <v>88679.33</v>
      </c>
      <c r="BJ26" s="472">
        <v>90869.7</v>
      </c>
      <c r="BK26" s="472">
        <v>91312.47</v>
      </c>
      <c r="BL26" s="472">
        <v>98195.95</v>
      </c>
      <c r="BM26" s="472">
        <v>96165.06</v>
      </c>
      <c r="BN26" s="472">
        <v>95605.15</v>
      </c>
      <c r="BO26" s="472">
        <v>98467.87</v>
      </c>
      <c r="BP26" s="472">
        <v>95312.6</v>
      </c>
      <c r="BQ26" s="472">
        <v>94859.19</v>
      </c>
      <c r="BR26" s="472">
        <v>92637.07</v>
      </c>
      <c r="BS26" s="472">
        <v>97007.24</v>
      </c>
      <c r="BT26" s="472">
        <v>104362.69</v>
      </c>
      <c r="BU26" s="472">
        <v>110007.3</v>
      </c>
      <c r="BV26" s="472">
        <v>108631.49</v>
      </c>
      <c r="BW26" s="472">
        <v>104479.37</v>
      </c>
      <c r="BX26" s="472">
        <v>99276.68</v>
      </c>
      <c r="BY26" s="472">
        <v>106800.24</v>
      </c>
      <c r="BZ26" s="472">
        <v>111462.73</v>
      </c>
      <c r="CA26" s="474">
        <v>104775.96</v>
      </c>
      <c r="CB26" s="474">
        <v>106729.11</v>
      </c>
      <c r="CC26" s="474">
        <v>72574.86</v>
      </c>
      <c r="CD26" s="474">
        <v>102972.12</v>
      </c>
      <c r="CE26" s="474">
        <v>90764.55</v>
      </c>
      <c r="CF26" s="474">
        <v>99754.49</v>
      </c>
      <c r="CG26" s="474">
        <v>98254.55</v>
      </c>
      <c r="CH26" s="65">
        <v>103004.21</v>
      </c>
      <c r="CI26" s="65">
        <v>100865.64</v>
      </c>
      <c r="CJ26" s="65">
        <v>96727.47</v>
      </c>
      <c r="CK26" s="65">
        <v>92660.11</v>
      </c>
      <c r="CL26" s="65">
        <v>0.01</v>
      </c>
      <c r="CM26" s="65">
        <v>92306.36</v>
      </c>
      <c r="CN26" s="65">
        <v>89404.71</v>
      </c>
    </row>
    <row r="27" ht="15.75" customHeight="1">
      <c r="A27" s="462" t="s">
        <v>2346</v>
      </c>
      <c r="B27" s="176" t="s">
        <v>561</v>
      </c>
      <c r="C27" s="141">
        <v>446649.0</v>
      </c>
      <c r="D27" s="63" t="s">
        <v>120</v>
      </c>
      <c r="E27" s="63" t="s">
        <v>91</v>
      </c>
      <c r="F27" s="66" t="s">
        <v>193</v>
      </c>
      <c r="G27" s="47" t="str">
        <f t="shared" si="1"/>
        <v>Breno</v>
      </c>
      <c r="H27" s="142" t="s">
        <v>295</v>
      </c>
      <c r="I27" s="49" t="s">
        <v>382</v>
      </c>
      <c r="J27" s="63" t="str">
        <f t="shared" si="2"/>
        <v>Não</v>
      </c>
      <c r="K27" s="143">
        <v>44670.0</v>
      </c>
      <c r="L27" s="81"/>
      <c r="M27" s="81" t="s">
        <v>34</v>
      </c>
      <c r="N27" s="478">
        <v>0.012</v>
      </c>
      <c r="O27" s="141" t="s">
        <v>66</v>
      </c>
      <c r="P27" s="145">
        <v>0.0</v>
      </c>
      <c r="Q27" s="158"/>
      <c r="R27" s="146"/>
      <c r="S27" s="62" t="s">
        <v>194</v>
      </c>
      <c r="T27" s="22" t="s">
        <v>566</v>
      </c>
      <c r="U27" s="95" t="s">
        <v>221</v>
      </c>
      <c r="V27" s="49" t="str">
        <f t="shared" si="3"/>
        <v>Ativo</v>
      </c>
      <c r="W27" s="150"/>
      <c r="X27" s="150"/>
      <c r="Y27" s="30" t="s">
        <v>244</v>
      </c>
      <c r="Z27" s="81"/>
      <c r="AA27" s="467">
        <v>44670.0</v>
      </c>
      <c r="AB27" s="30">
        <v>4.9075100010463E13</v>
      </c>
      <c r="AC27" s="482"/>
      <c r="AD27" s="482"/>
      <c r="AE27" s="482"/>
      <c r="AF27" s="482"/>
      <c r="AG27" s="482"/>
      <c r="AH27" s="482"/>
      <c r="AI27" s="482"/>
      <c r="AJ27" s="482"/>
      <c r="AK27" s="482"/>
      <c r="AL27" s="482"/>
      <c r="AM27" s="482"/>
      <c r="AN27" s="482"/>
      <c r="AO27" s="482"/>
      <c r="AP27" s="96"/>
      <c r="AQ27" s="471"/>
      <c r="AR27" s="471"/>
      <c r="AS27" s="471"/>
      <c r="AT27" s="471"/>
      <c r="AU27" s="471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>
        <v>69385.22</v>
      </c>
      <c r="BG27" s="472">
        <v>70121.02</v>
      </c>
      <c r="BH27" s="472">
        <v>79333.13</v>
      </c>
      <c r="BI27" s="472">
        <v>79828.34</v>
      </c>
      <c r="BJ27" s="472">
        <v>81298.81</v>
      </c>
      <c r="BK27" s="472">
        <v>81390.51</v>
      </c>
      <c r="BL27" s="472">
        <v>82870.28</v>
      </c>
      <c r="BM27" s="472">
        <v>82303.12</v>
      </c>
      <c r="BN27" s="472">
        <v>82946.74</v>
      </c>
      <c r="BO27" s="472">
        <v>89915.95</v>
      </c>
      <c r="BP27" s="472">
        <v>90730.0</v>
      </c>
      <c r="BQ27" s="472">
        <v>91893.69</v>
      </c>
      <c r="BR27" s="472">
        <v>92649.91</v>
      </c>
      <c r="BS27" s="472">
        <v>96473.39</v>
      </c>
      <c r="BT27" s="472">
        <v>96902.54</v>
      </c>
      <c r="BU27" s="472">
        <v>97651.06</v>
      </c>
      <c r="BV27" s="472">
        <v>68255.64</v>
      </c>
      <c r="BW27" s="472">
        <v>67709.93</v>
      </c>
      <c r="BX27" s="472">
        <v>9.25</v>
      </c>
      <c r="BY27" s="472">
        <v>9.25</v>
      </c>
      <c r="BZ27" s="472">
        <v>9.25</v>
      </c>
      <c r="CA27" s="474">
        <v>9.25</v>
      </c>
      <c r="CB27" s="474">
        <v>9.25</v>
      </c>
      <c r="CC27" s="474">
        <v>9.25</v>
      </c>
      <c r="CD27" s="474">
        <v>9.25</v>
      </c>
      <c r="CE27" s="474">
        <v>9.25</v>
      </c>
      <c r="CF27" s="474">
        <v>9.25</v>
      </c>
      <c r="CG27" s="474">
        <v>9.25</v>
      </c>
      <c r="CH27" s="65">
        <v>9.25</v>
      </c>
      <c r="CI27" s="65">
        <v>7.19</v>
      </c>
      <c r="CJ27" s="65">
        <v>7.19</v>
      </c>
      <c r="CK27" s="65">
        <v>3.69</v>
      </c>
      <c r="CL27" s="65">
        <v>0.0</v>
      </c>
      <c r="CM27" s="65">
        <v>0.01</v>
      </c>
      <c r="CN27" s="65">
        <v>0.01</v>
      </c>
    </row>
    <row r="28" ht="15.75" customHeight="1">
      <c r="A28" s="462" t="s">
        <v>2346</v>
      </c>
      <c r="B28" s="176" t="s">
        <v>3142</v>
      </c>
      <c r="C28" s="141">
        <v>352574.0</v>
      </c>
      <c r="D28" s="63" t="s">
        <v>120</v>
      </c>
      <c r="E28" s="63" t="s">
        <v>91</v>
      </c>
      <c r="F28" s="66" t="s">
        <v>521</v>
      </c>
      <c r="G28" s="47" t="str">
        <f t="shared" si="1"/>
        <v>Breno</v>
      </c>
      <c r="H28" s="142" t="s">
        <v>295</v>
      </c>
      <c r="I28" s="49" t="s">
        <v>382</v>
      </c>
      <c r="J28" s="63" t="str">
        <f t="shared" si="2"/>
        <v>Não</v>
      </c>
      <c r="K28" s="143">
        <v>44769.0</v>
      </c>
      <c r="L28" s="81"/>
      <c r="M28" s="81" t="s">
        <v>61</v>
      </c>
      <c r="N28" s="478">
        <v>0.007</v>
      </c>
      <c r="O28" s="141" t="s">
        <v>66</v>
      </c>
      <c r="P28" s="145">
        <v>0.0</v>
      </c>
      <c r="Q28" s="146"/>
      <c r="R28" s="153" t="s">
        <v>3153</v>
      </c>
      <c r="S28" s="62" t="s">
        <v>194</v>
      </c>
      <c r="T28" s="22" t="s">
        <v>1907</v>
      </c>
      <c r="U28" s="22" t="s">
        <v>221</v>
      </c>
      <c r="V28" s="49" t="str">
        <f t="shared" si="3"/>
        <v>Inativo</v>
      </c>
      <c r="W28" s="150"/>
      <c r="X28" s="150"/>
      <c r="Y28" s="30" t="s">
        <v>244</v>
      </c>
      <c r="Z28" s="81"/>
      <c r="AA28" s="467">
        <v>44769.0</v>
      </c>
      <c r="AB28" s="30">
        <v>4.9075100010471E13</v>
      </c>
      <c r="AC28" s="482"/>
      <c r="AD28" s="482"/>
      <c r="AE28" s="482"/>
      <c r="AF28" s="482"/>
      <c r="AG28" s="482"/>
      <c r="AH28" s="482"/>
      <c r="AI28" s="482"/>
      <c r="AJ28" s="482"/>
      <c r="AK28" s="482"/>
      <c r="AL28" s="482"/>
      <c r="AM28" s="482"/>
      <c r="AN28" s="482"/>
      <c r="AO28" s="482"/>
      <c r="AP28" s="96"/>
      <c r="AQ28" s="471"/>
      <c r="AR28" s="471"/>
      <c r="AS28" s="471"/>
      <c r="AT28" s="471"/>
      <c r="AU28" s="471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472"/>
      <c r="BH28" s="472"/>
      <c r="BI28" s="472">
        <v>0.0</v>
      </c>
      <c r="BJ28" s="472">
        <v>70472.16</v>
      </c>
      <c r="BK28" s="472">
        <v>121357.87</v>
      </c>
      <c r="BL28" s="472">
        <v>162796.25</v>
      </c>
      <c r="BM28" s="472">
        <v>179176.94</v>
      </c>
      <c r="BN28" s="472">
        <v>180673.05</v>
      </c>
      <c r="BO28" s="472">
        <v>182470.3</v>
      </c>
      <c r="BP28" s="472">
        <v>0.0</v>
      </c>
      <c r="BQ28" s="472">
        <v>570.75</v>
      </c>
      <c r="BR28" s="472">
        <v>0.0</v>
      </c>
      <c r="BS28" s="472">
        <v>0.0</v>
      </c>
      <c r="BT28" s="472">
        <v>0.0</v>
      </c>
      <c r="BU28" s="472">
        <v>0.0</v>
      </c>
      <c r="BV28" s="472">
        <v>0.0</v>
      </c>
      <c r="BW28" s="472">
        <v>0.0</v>
      </c>
      <c r="BX28" s="472">
        <v>0.0</v>
      </c>
      <c r="BY28" s="472">
        <v>0.0</v>
      </c>
      <c r="BZ28" s="472">
        <v>0.0</v>
      </c>
      <c r="CA28" s="474">
        <v>0.0</v>
      </c>
      <c r="CB28" s="474">
        <v>0.0</v>
      </c>
      <c r="CC28" s="474">
        <v>0.0</v>
      </c>
      <c r="CD28" s="474">
        <v>0.0</v>
      </c>
      <c r="CE28" s="474">
        <v>0.0</v>
      </c>
      <c r="CF28" s="474">
        <v>0.0</v>
      </c>
      <c r="CG28" s="474">
        <v>0.0</v>
      </c>
      <c r="CH28" s="65">
        <v>0.0</v>
      </c>
      <c r="CI28" s="65">
        <v>0.0</v>
      </c>
      <c r="CJ28" s="65">
        <v>0.0</v>
      </c>
      <c r="CK28" s="65">
        <v>0.0</v>
      </c>
      <c r="CL28" s="65">
        <v>0.0</v>
      </c>
      <c r="CM28" s="65">
        <v>0.0</v>
      </c>
      <c r="CN28" s="65">
        <v>0.0</v>
      </c>
    </row>
    <row r="29" ht="15.75" customHeight="1">
      <c r="A29" s="462" t="s">
        <v>2346</v>
      </c>
      <c r="B29" s="50" t="s">
        <v>3188</v>
      </c>
      <c r="C29" s="141">
        <v>34467.0</v>
      </c>
      <c r="D29" s="63" t="s">
        <v>120</v>
      </c>
      <c r="E29" s="63" t="s">
        <v>91</v>
      </c>
      <c r="F29" s="66" t="s">
        <v>193</v>
      </c>
      <c r="G29" s="47" t="str">
        <f t="shared" si="1"/>
        <v>Breno</v>
      </c>
      <c r="H29" s="142" t="s">
        <v>295</v>
      </c>
      <c r="I29" s="49" t="s">
        <v>382</v>
      </c>
      <c r="J29" s="63" t="str">
        <f t="shared" si="2"/>
        <v>Não</v>
      </c>
      <c r="K29" s="143">
        <v>44754.0</v>
      </c>
      <c r="L29" s="81"/>
      <c r="M29" s="81" t="s">
        <v>61</v>
      </c>
      <c r="N29" s="478">
        <v>0.007</v>
      </c>
      <c r="O29" s="141" t="s">
        <v>66</v>
      </c>
      <c r="P29" s="145">
        <v>0.0</v>
      </c>
      <c r="Q29" s="158"/>
      <c r="R29" s="146"/>
      <c r="S29" s="62" t="s">
        <v>194</v>
      </c>
      <c r="T29" s="22" t="s">
        <v>1919</v>
      </c>
      <c r="U29" s="95" t="s">
        <v>221</v>
      </c>
      <c r="V29" s="49" t="str">
        <f t="shared" si="3"/>
        <v>Inativo</v>
      </c>
      <c r="W29" s="150"/>
      <c r="X29" s="150"/>
      <c r="Y29" s="30" t="s">
        <v>269</v>
      </c>
      <c r="Z29" s="81"/>
      <c r="AA29" s="467">
        <v>44754.0</v>
      </c>
      <c r="AB29" s="30">
        <v>4.907510000313E13</v>
      </c>
      <c r="AC29" s="482"/>
      <c r="AD29" s="482"/>
      <c r="AE29" s="482"/>
      <c r="AF29" s="482"/>
      <c r="AG29" s="482"/>
      <c r="AH29" s="482"/>
      <c r="AI29" s="482"/>
      <c r="AJ29" s="482"/>
      <c r="AK29" s="482"/>
      <c r="AL29" s="482"/>
      <c r="AM29" s="482"/>
      <c r="AN29" s="482"/>
      <c r="AO29" s="482"/>
      <c r="AP29" s="96"/>
      <c r="AQ29" s="471"/>
      <c r="AR29" s="471"/>
      <c r="AS29" s="471"/>
      <c r="AT29" s="471"/>
      <c r="AU29" s="471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472"/>
      <c r="BH29" s="472"/>
      <c r="BI29" s="472">
        <v>149982.82</v>
      </c>
      <c r="BJ29" s="472">
        <v>152361.6</v>
      </c>
      <c r="BK29" s="472">
        <v>113075.37</v>
      </c>
      <c r="BL29" s="472">
        <v>113863.31</v>
      </c>
      <c r="BM29" s="472">
        <v>94148.57</v>
      </c>
      <c r="BN29" s="472">
        <v>95093.48</v>
      </c>
      <c r="BO29" s="472">
        <v>96198.33</v>
      </c>
      <c r="BP29" s="472">
        <v>96946.46</v>
      </c>
      <c r="BQ29" s="472">
        <v>98110.8</v>
      </c>
      <c r="BR29" s="472">
        <v>98849.11</v>
      </c>
      <c r="BS29" s="472">
        <v>99957.52</v>
      </c>
      <c r="BT29" s="472">
        <v>102383.09</v>
      </c>
      <c r="BU29" s="472">
        <v>101806.15</v>
      </c>
      <c r="BV29" s="472">
        <v>7749.63</v>
      </c>
      <c r="BW29" s="472">
        <v>0.0</v>
      </c>
      <c r="BX29" s="472">
        <v>0.0</v>
      </c>
      <c r="BY29" s="472">
        <v>0.0</v>
      </c>
      <c r="BZ29" s="472">
        <v>0.0</v>
      </c>
      <c r="CA29" s="474">
        <v>0.0</v>
      </c>
      <c r="CB29" s="474">
        <v>0.0</v>
      </c>
      <c r="CC29" s="474">
        <v>0.0</v>
      </c>
      <c r="CD29" s="474">
        <v>0.0</v>
      </c>
      <c r="CE29" s="474">
        <v>0.0</v>
      </c>
      <c r="CF29" s="474">
        <v>0.0</v>
      </c>
      <c r="CG29" s="474">
        <v>0.0</v>
      </c>
      <c r="CH29" s="65">
        <v>0.0</v>
      </c>
      <c r="CI29" s="65">
        <v>0.0</v>
      </c>
      <c r="CJ29" s="65">
        <v>0.0</v>
      </c>
      <c r="CK29" s="65">
        <v>0.0</v>
      </c>
      <c r="CL29" s="65">
        <v>0.0</v>
      </c>
      <c r="CM29" s="65">
        <v>0.0</v>
      </c>
      <c r="CN29" s="65">
        <v>0.0</v>
      </c>
    </row>
    <row r="30" ht="15.75" customHeight="1">
      <c r="A30" s="462" t="s">
        <v>2346</v>
      </c>
      <c r="B30" s="510" t="s">
        <v>1946</v>
      </c>
      <c r="C30" s="141">
        <v>286648.0</v>
      </c>
      <c r="D30" s="63" t="s">
        <v>120</v>
      </c>
      <c r="E30" s="63" t="s">
        <v>199</v>
      </c>
      <c r="F30" s="81" t="s">
        <v>388</v>
      </c>
      <c r="G30" s="47" t="str">
        <f t="shared" si="1"/>
        <v>Breno</v>
      </c>
      <c r="H30" s="152" t="s">
        <v>224</v>
      </c>
      <c r="I30" s="74" t="s">
        <v>66</v>
      </c>
      <c r="J30" s="63" t="str">
        <f t="shared" si="2"/>
        <v>Não</v>
      </c>
      <c r="K30" s="467">
        <v>43355.0</v>
      </c>
      <c r="L30" s="467">
        <v>44322.0</v>
      </c>
      <c r="M30" s="81" t="s">
        <v>231</v>
      </c>
      <c r="N30" s="478">
        <v>1.0E-4</v>
      </c>
      <c r="O30" s="141" t="s">
        <v>233</v>
      </c>
      <c r="P30" s="145">
        <v>0.2</v>
      </c>
      <c r="Q30" s="190"/>
      <c r="R30" s="158" t="s">
        <v>3234</v>
      </c>
      <c r="S30" s="62" t="s">
        <v>194</v>
      </c>
      <c r="T30" s="30" t="s">
        <v>1949</v>
      </c>
      <c r="U30" s="81" t="s">
        <v>199</v>
      </c>
      <c r="V30" s="49" t="str">
        <f t="shared" si="3"/>
        <v>Encerrado</v>
      </c>
      <c r="W30" s="150"/>
      <c r="X30" s="150"/>
      <c r="Y30" s="81"/>
      <c r="Z30" s="81"/>
      <c r="AA30" s="81"/>
      <c r="AB30" s="30"/>
      <c r="AC30" s="96">
        <v>991080.27</v>
      </c>
      <c r="AD30" s="96">
        <v>971581.66</v>
      </c>
      <c r="AE30" s="96">
        <v>860540.64</v>
      </c>
      <c r="AF30" s="96">
        <v>885715.17</v>
      </c>
      <c r="AG30" s="96">
        <v>901497.64</v>
      </c>
      <c r="AH30" s="96">
        <v>933347.65</v>
      </c>
      <c r="AI30" s="96">
        <v>976445.55</v>
      </c>
      <c r="AJ30" s="96">
        <v>950723.64</v>
      </c>
      <c r="AK30" s="96">
        <v>931891.19</v>
      </c>
      <c r="AL30" s="96">
        <v>933844.65</v>
      </c>
      <c r="AM30" s="96">
        <v>983808.8</v>
      </c>
      <c r="AN30" s="96">
        <v>1004743.92</v>
      </c>
      <c r="AO30" s="96">
        <v>989367.31</v>
      </c>
      <c r="AP30" s="96">
        <v>916258.88</v>
      </c>
      <c r="AQ30" s="96">
        <v>903374.98</v>
      </c>
      <c r="AR30" s="96">
        <v>383555.94</v>
      </c>
      <c r="AS30" s="96">
        <v>276960.08</v>
      </c>
      <c r="AT30" s="96">
        <v>277064.2</v>
      </c>
      <c r="AU30" s="96"/>
      <c r="AV30" s="482"/>
      <c r="AW30" s="482"/>
      <c r="AX30" s="482"/>
      <c r="AY30" s="96"/>
      <c r="AZ30" s="96"/>
      <c r="BA30" s="96"/>
      <c r="BB30" s="96"/>
      <c r="BC30" s="96"/>
      <c r="BD30" s="96">
        <v>0.0</v>
      </c>
      <c r="BE30" s="96">
        <v>0.0</v>
      </c>
      <c r="BF30" s="96">
        <v>0.0</v>
      </c>
      <c r="BG30" s="96" t="s">
        <v>377</v>
      </c>
      <c r="BH30" s="96">
        <v>0.0</v>
      </c>
      <c r="BI30" s="96">
        <v>0.0</v>
      </c>
      <c r="BJ30" s="96">
        <v>0.0</v>
      </c>
      <c r="BK30" s="472">
        <v>0.0</v>
      </c>
      <c r="BL30" s="472">
        <v>0.0</v>
      </c>
      <c r="BM30" s="472">
        <v>0.0</v>
      </c>
      <c r="BN30" s="472">
        <v>0.0</v>
      </c>
      <c r="BO30" s="472">
        <v>0.0</v>
      </c>
      <c r="BP30" s="472">
        <v>0.0</v>
      </c>
      <c r="BQ30" s="472">
        <v>0.0</v>
      </c>
      <c r="BR30" s="472">
        <v>0.0</v>
      </c>
      <c r="BS30" s="472">
        <v>0.0</v>
      </c>
      <c r="BT30" s="472">
        <v>0.0</v>
      </c>
      <c r="BU30" s="472">
        <v>0.0</v>
      </c>
      <c r="BV30" s="472">
        <v>0.0</v>
      </c>
      <c r="BW30" s="472">
        <v>0.0</v>
      </c>
      <c r="BX30" s="472">
        <v>0.0</v>
      </c>
      <c r="BY30" s="472">
        <v>0.0</v>
      </c>
      <c r="BZ30" s="472">
        <v>0.0</v>
      </c>
      <c r="CA30" s="474">
        <v>0.0</v>
      </c>
      <c r="CB30" s="474">
        <v>0.0</v>
      </c>
      <c r="CC30" s="474">
        <v>0.0</v>
      </c>
      <c r="CD30" s="474">
        <v>0.0</v>
      </c>
      <c r="CE30" s="474">
        <v>0.0</v>
      </c>
      <c r="CF30" s="474">
        <v>0.0</v>
      </c>
      <c r="CG30" s="474">
        <v>0.0</v>
      </c>
      <c r="CH30" s="65">
        <v>0.0</v>
      </c>
      <c r="CI30" s="65">
        <v>0.0</v>
      </c>
      <c r="CJ30" s="65">
        <v>0.0</v>
      </c>
      <c r="CK30" s="65">
        <v>0.0</v>
      </c>
      <c r="CL30" s="65">
        <v>0.0</v>
      </c>
      <c r="CM30" s="65">
        <v>0.0</v>
      </c>
      <c r="CN30" s="65">
        <v>0.0</v>
      </c>
    </row>
    <row r="31" ht="15.75" customHeight="1">
      <c r="A31" s="462" t="s">
        <v>2346</v>
      </c>
      <c r="B31" s="510" t="s">
        <v>2964</v>
      </c>
      <c r="C31" s="141">
        <v>317547.0</v>
      </c>
      <c r="D31" s="63" t="s">
        <v>120</v>
      </c>
      <c r="E31" s="63" t="s">
        <v>199</v>
      </c>
      <c r="F31" s="81" t="s">
        <v>388</v>
      </c>
      <c r="G31" s="47" t="str">
        <f t="shared" si="1"/>
        <v>Breno</v>
      </c>
      <c r="H31" s="152" t="s">
        <v>224</v>
      </c>
      <c r="I31" s="74" t="s">
        <v>66</v>
      </c>
      <c r="J31" s="63" t="str">
        <f t="shared" si="2"/>
        <v>Não</v>
      </c>
      <c r="K31" s="467">
        <v>43355.0</v>
      </c>
      <c r="L31" s="467">
        <v>44310.0</v>
      </c>
      <c r="M31" s="81" t="s">
        <v>231</v>
      </c>
      <c r="N31" s="478">
        <v>1.0E-4</v>
      </c>
      <c r="O31" s="141" t="s">
        <v>233</v>
      </c>
      <c r="P31" s="145">
        <v>0.2</v>
      </c>
      <c r="Q31" s="190"/>
      <c r="R31" s="158" t="s">
        <v>3234</v>
      </c>
      <c r="S31" s="62" t="s">
        <v>194</v>
      </c>
      <c r="T31" s="30" t="s">
        <v>1949</v>
      </c>
      <c r="U31" s="81" t="s">
        <v>199</v>
      </c>
      <c r="V31" s="49" t="str">
        <f t="shared" si="3"/>
        <v>Encerrado</v>
      </c>
      <c r="W31" s="150"/>
      <c r="X31" s="150"/>
      <c r="Y31" s="81"/>
      <c r="Z31" s="81"/>
      <c r="AA31" s="81"/>
      <c r="AB31" s="30"/>
      <c r="AC31" s="96">
        <v>0.0</v>
      </c>
      <c r="AD31" s="96">
        <v>0.0</v>
      </c>
      <c r="AE31" s="96">
        <v>0.0</v>
      </c>
      <c r="AF31" s="96">
        <v>0.0</v>
      </c>
      <c r="AG31" s="96">
        <v>0.0</v>
      </c>
      <c r="AH31" s="96">
        <v>0.0</v>
      </c>
      <c r="AI31" s="96">
        <v>0.0</v>
      </c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482"/>
      <c r="AW31" s="482"/>
      <c r="AX31" s="482"/>
      <c r="AY31" s="96"/>
      <c r="AZ31" s="96"/>
      <c r="BA31" s="96"/>
      <c r="BB31" s="96"/>
      <c r="BC31" s="96"/>
      <c r="BD31" s="96">
        <v>0.0</v>
      </c>
      <c r="BE31" s="96">
        <v>0.0</v>
      </c>
      <c r="BF31" s="96">
        <v>0.0</v>
      </c>
      <c r="BG31" s="96" t="s">
        <v>377</v>
      </c>
      <c r="BH31" s="96">
        <v>0.0</v>
      </c>
      <c r="BI31" s="96">
        <v>0.0</v>
      </c>
      <c r="BJ31" s="96">
        <v>0.0</v>
      </c>
      <c r="BK31" s="472">
        <v>0.0</v>
      </c>
      <c r="BL31" s="472">
        <v>0.0</v>
      </c>
      <c r="BM31" s="472">
        <v>0.0</v>
      </c>
      <c r="BN31" s="472">
        <v>0.0</v>
      </c>
      <c r="BO31" s="472">
        <v>0.0</v>
      </c>
      <c r="BP31" s="472">
        <v>0.0</v>
      </c>
      <c r="BQ31" s="472">
        <v>0.0</v>
      </c>
      <c r="BR31" s="472">
        <v>0.0</v>
      </c>
      <c r="BS31" s="472">
        <v>0.0</v>
      </c>
      <c r="BT31" s="472">
        <v>0.0</v>
      </c>
      <c r="BU31" s="472">
        <v>0.0</v>
      </c>
      <c r="BV31" s="472">
        <v>0.0</v>
      </c>
      <c r="BW31" s="472">
        <v>0.0</v>
      </c>
      <c r="BX31" s="472">
        <v>0.0</v>
      </c>
      <c r="BY31" s="472">
        <v>0.0</v>
      </c>
      <c r="BZ31" s="472">
        <v>0.0</v>
      </c>
      <c r="CA31" s="474">
        <v>0.0</v>
      </c>
      <c r="CB31" s="474">
        <v>0.0</v>
      </c>
      <c r="CC31" s="474">
        <v>0.0</v>
      </c>
      <c r="CD31" s="474">
        <v>0.0</v>
      </c>
      <c r="CE31" s="474">
        <v>0.0</v>
      </c>
      <c r="CF31" s="474">
        <v>0.0</v>
      </c>
      <c r="CG31" s="474">
        <v>0.0</v>
      </c>
      <c r="CH31" s="65">
        <v>0.0</v>
      </c>
      <c r="CI31" s="65">
        <v>0.0</v>
      </c>
      <c r="CJ31" s="65">
        <v>0.0</v>
      </c>
      <c r="CK31" s="65">
        <v>0.0</v>
      </c>
      <c r="CL31" s="65">
        <v>0.0</v>
      </c>
      <c r="CM31" s="65">
        <v>0.0</v>
      </c>
      <c r="CN31" s="65">
        <v>0.0</v>
      </c>
    </row>
    <row r="32" ht="15.75" customHeight="1">
      <c r="A32" s="462" t="s">
        <v>2346</v>
      </c>
      <c r="B32" s="510" t="s">
        <v>3299</v>
      </c>
      <c r="C32" s="141">
        <v>34135.0</v>
      </c>
      <c r="D32" s="63" t="s">
        <v>669</v>
      </c>
      <c r="E32" s="63" t="s">
        <v>199</v>
      </c>
      <c r="F32" s="81" t="s">
        <v>2388</v>
      </c>
      <c r="G32" s="47" t="str">
        <f t="shared" si="1"/>
        <v>Breno</v>
      </c>
      <c r="H32" s="152" t="s">
        <v>224</v>
      </c>
      <c r="I32" s="74" t="s">
        <v>66</v>
      </c>
      <c r="J32" s="63" t="str">
        <f t="shared" si="2"/>
        <v>Não</v>
      </c>
      <c r="K32" s="467">
        <v>43685.0</v>
      </c>
      <c r="L32" s="467">
        <v>44309.0</v>
      </c>
      <c r="M32" s="81" t="s">
        <v>209</v>
      </c>
      <c r="N32" s="478">
        <v>0.01</v>
      </c>
      <c r="O32" s="63" t="s">
        <v>35</v>
      </c>
      <c r="P32" s="145">
        <v>0.1</v>
      </c>
      <c r="Q32" s="158"/>
      <c r="R32" s="190"/>
      <c r="S32" s="62" t="s">
        <v>194</v>
      </c>
      <c r="T32" s="30" t="s">
        <v>3312</v>
      </c>
      <c r="U32" s="95" t="s">
        <v>199</v>
      </c>
      <c r="V32" s="49" t="str">
        <f t="shared" si="3"/>
        <v>Encerrado</v>
      </c>
      <c r="W32" s="150"/>
      <c r="X32" s="150"/>
      <c r="Y32" s="81"/>
      <c r="Z32" s="81"/>
      <c r="AA32" s="467">
        <v>43685.0</v>
      </c>
      <c r="AB32" s="30">
        <v>4.9075100002207E13</v>
      </c>
      <c r="AC32" s="96">
        <v>512597.8</v>
      </c>
      <c r="AD32" s="96">
        <v>507834.73</v>
      </c>
      <c r="AE32" s="96">
        <v>485581.59</v>
      </c>
      <c r="AF32" s="96">
        <v>493916.78</v>
      </c>
      <c r="AG32" s="96">
        <v>497124.09</v>
      </c>
      <c r="AH32" s="96">
        <v>499455.0</v>
      </c>
      <c r="AI32" s="96">
        <v>505291.68</v>
      </c>
      <c r="AJ32" s="96">
        <v>534365.47</v>
      </c>
      <c r="AK32" s="96">
        <v>529957.68</v>
      </c>
      <c r="AL32" s="96">
        <v>529960.67</v>
      </c>
      <c r="AM32" s="96">
        <v>542346.41</v>
      </c>
      <c r="AN32" s="96">
        <v>513488.74</v>
      </c>
      <c r="AO32" s="96">
        <v>1254.95</v>
      </c>
      <c r="AP32" s="96"/>
      <c r="AQ32" s="96">
        <v>2.93</v>
      </c>
      <c r="AR32" s="96">
        <v>72.06</v>
      </c>
      <c r="AS32" s="96">
        <v>72.06</v>
      </c>
      <c r="AT32" s="96">
        <v>72.06</v>
      </c>
      <c r="AU32" s="96"/>
      <c r="AV32" s="482"/>
      <c r="AW32" s="482"/>
      <c r="AX32" s="482"/>
      <c r="AY32" s="96"/>
      <c r="AZ32" s="96"/>
      <c r="BA32" s="96"/>
      <c r="BB32" s="96"/>
      <c r="BC32" s="96"/>
      <c r="BD32" s="96">
        <v>0.0</v>
      </c>
      <c r="BE32" s="96">
        <v>0.0</v>
      </c>
      <c r="BF32" s="96">
        <v>0.0</v>
      </c>
      <c r="BG32" s="96" t="s">
        <v>377</v>
      </c>
      <c r="BH32" s="96">
        <v>0.0</v>
      </c>
      <c r="BI32" s="96">
        <v>0.0</v>
      </c>
      <c r="BJ32" s="96">
        <v>0.0</v>
      </c>
      <c r="BK32" s="472">
        <v>0.0</v>
      </c>
      <c r="BL32" s="472">
        <v>0.0</v>
      </c>
      <c r="BM32" s="472">
        <v>0.0</v>
      </c>
      <c r="BN32" s="472">
        <v>0.0</v>
      </c>
      <c r="BO32" s="472">
        <v>0.0</v>
      </c>
      <c r="BP32" s="472">
        <v>0.0</v>
      </c>
      <c r="BQ32" s="472">
        <v>0.0</v>
      </c>
      <c r="BR32" s="472">
        <v>0.0</v>
      </c>
      <c r="BS32" s="472">
        <v>0.0</v>
      </c>
      <c r="BT32" s="472">
        <v>0.0</v>
      </c>
      <c r="BU32" s="472">
        <v>0.0</v>
      </c>
      <c r="BV32" s="472">
        <v>0.0</v>
      </c>
      <c r="BW32" s="472">
        <v>0.0</v>
      </c>
      <c r="BX32" s="472">
        <v>0.0</v>
      </c>
      <c r="BY32" s="472">
        <v>0.0</v>
      </c>
      <c r="BZ32" s="472">
        <v>0.0</v>
      </c>
      <c r="CA32" s="474">
        <v>0.0</v>
      </c>
      <c r="CB32" s="474">
        <v>0.0</v>
      </c>
      <c r="CC32" s="474">
        <v>0.0</v>
      </c>
      <c r="CD32" s="474">
        <v>0.0</v>
      </c>
      <c r="CE32" s="474">
        <v>0.0</v>
      </c>
      <c r="CF32" s="474">
        <v>0.0</v>
      </c>
      <c r="CG32" s="474">
        <v>0.0</v>
      </c>
      <c r="CH32" s="65">
        <v>0.0</v>
      </c>
      <c r="CI32" s="65">
        <v>0.0</v>
      </c>
      <c r="CJ32" s="65">
        <v>0.0</v>
      </c>
      <c r="CK32" s="65">
        <v>0.0</v>
      </c>
      <c r="CL32" s="65">
        <v>0.0</v>
      </c>
      <c r="CM32" s="65">
        <v>0.0</v>
      </c>
      <c r="CN32" s="65">
        <v>0.0</v>
      </c>
    </row>
    <row r="33" ht="15.75" customHeight="1">
      <c r="A33" s="462" t="s">
        <v>2346</v>
      </c>
      <c r="B33" s="176" t="s">
        <v>3344</v>
      </c>
      <c r="C33" s="141">
        <v>469418.0</v>
      </c>
      <c r="D33" s="63" t="s">
        <v>120</v>
      </c>
      <c r="E33" s="63" t="s">
        <v>54</v>
      </c>
      <c r="F33" s="62" t="s">
        <v>379</v>
      </c>
      <c r="G33" s="47" t="str">
        <f t="shared" si="1"/>
        <v>Breno</v>
      </c>
      <c r="H33" s="152" t="s">
        <v>224</v>
      </c>
      <c r="I33" s="74" t="s">
        <v>66</v>
      </c>
      <c r="J33" s="63" t="str">
        <f t="shared" si="2"/>
        <v>Não</v>
      </c>
      <c r="K33" s="467">
        <v>44705.0</v>
      </c>
      <c r="L33" s="467">
        <v>44936.0</v>
      </c>
      <c r="M33" s="81" t="s">
        <v>209</v>
      </c>
      <c r="N33" s="478">
        <v>0.015</v>
      </c>
      <c r="O33" s="63" t="s">
        <v>35</v>
      </c>
      <c r="P33" s="145">
        <v>0.1</v>
      </c>
      <c r="Q33" s="190"/>
      <c r="R33" s="158" t="s">
        <v>3352</v>
      </c>
      <c r="S33" s="62" t="s">
        <v>194</v>
      </c>
      <c r="T33" s="22" t="s">
        <v>3355</v>
      </c>
      <c r="U33" s="95" t="s">
        <v>54</v>
      </c>
      <c r="V33" s="49" t="str">
        <f t="shared" si="3"/>
        <v>Encerrado</v>
      </c>
      <c r="W33" s="150"/>
      <c r="X33" s="150"/>
      <c r="Y33" s="81"/>
      <c r="Z33" s="81"/>
      <c r="AA33" s="81"/>
      <c r="AB33" s="30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482"/>
      <c r="AW33" s="482"/>
      <c r="AX33" s="482"/>
      <c r="AY33" s="96"/>
      <c r="AZ33" s="96"/>
      <c r="BA33" s="96"/>
      <c r="BB33" s="96"/>
      <c r="BC33" s="96"/>
      <c r="BD33" s="96"/>
      <c r="BE33" s="96"/>
      <c r="BF33" s="96"/>
      <c r="BG33" s="472">
        <v>659677.38</v>
      </c>
      <c r="BH33" s="472">
        <v>714395.15</v>
      </c>
      <c r="BI33" s="472">
        <v>726792.92</v>
      </c>
      <c r="BJ33" s="472">
        <v>737562.92</v>
      </c>
      <c r="BK33" s="472">
        <v>743036.59</v>
      </c>
      <c r="BL33" s="472">
        <v>767583.41</v>
      </c>
      <c r="BM33" s="472">
        <v>851834.98</v>
      </c>
      <c r="BN33" s="472">
        <v>860096.68</v>
      </c>
      <c r="BO33" s="472">
        <v>-1128.21</v>
      </c>
      <c r="BP33" s="472">
        <v>0.0</v>
      </c>
      <c r="BQ33" s="472">
        <v>0.01</v>
      </c>
      <c r="BR33" s="472">
        <v>0.01</v>
      </c>
      <c r="BS33" s="472">
        <v>0.01</v>
      </c>
      <c r="BT33" s="472">
        <v>0.0</v>
      </c>
      <c r="BU33" s="472">
        <v>0.0</v>
      </c>
      <c r="BV33" s="472">
        <v>0.0</v>
      </c>
      <c r="BW33" s="472">
        <v>0.0</v>
      </c>
      <c r="BX33" s="472">
        <v>0.0</v>
      </c>
      <c r="BY33" s="472">
        <v>0.0</v>
      </c>
      <c r="BZ33" s="472">
        <v>0.0</v>
      </c>
      <c r="CA33" s="474">
        <v>0.0</v>
      </c>
      <c r="CB33" s="474">
        <v>0.0</v>
      </c>
      <c r="CC33" s="474">
        <v>0.0</v>
      </c>
      <c r="CD33" s="474">
        <v>0.0</v>
      </c>
      <c r="CE33" s="474">
        <v>0.0</v>
      </c>
      <c r="CF33" s="474">
        <v>0.0</v>
      </c>
      <c r="CG33" s="474">
        <v>0.0</v>
      </c>
      <c r="CH33" s="65">
        <v>0.0</v>
      </c>
      <c r="CI33" s="65">
        <v>0.0</v>
      </c>
      <c r="CJ33" s="65">
        <v>0.0</v>
      </c>
      <c r="CK33" s="65">
        <v>0.0</v>
      </c>
      <c r="CL33" s="65">
        <v>0.0</v>
      </c>
      <c r="CM33" s="65">
        <v>0.0</v>
      </c>
      <c r="CN33" s="65">
        <v>0.0</v>
      </c>
    </row>
    <row r="34" ht="15.75" customHeight="1">
      <c r="A34" s="462" t="s">
        <v>2346</v>
      </c>
      <c r="B34" s="477" t="s">
        <v>3394</v>
      </c>
      <c r="C34" s="141">
        <v>446160.0</v>
      </c>
      <c r="D34" s="63" t="s">
        <v>669</v>
      </c>
      <c r="E34" s="63" t="s">
        <v>199</v>
      </c>
      <c r="F34" s="81" t="s">
        <v>1228</v>
      </c>
      <c r="G34" s="47" t="str">
        <f t="shared" si="1"/>
        <v>Breno</v>
      </c>
      <c r="H34" s="152" t="s">
        <v>224</v>
      </c>
      <c r="I34" s="74" t="s">
        <v>66</v>
      </c>
      <c r="J34" s="63" t="str">
        <f t="shared" si="2"/>
        <v>Não</v>
      </c>
      <c r="K34" s="467">
        <v>43867.0</v>
      </c>
      <c r="L34" s="480">
        <v>44551.0</v>
      </c>
      <c r="M34" s="81" t="s">
        <v>209</v>
      </c>
      <c r="N34" s="478">
        <v>0.015</v>
      </c>
      <c r="O34" s="63" t="s">
        <v>35</v>
      </c>
      <c r="P34" s="145">
        <v>0.1</v>
      </c>
      <c r="Q34" s="190"/>
      <c r="R34" s="158"/>
      <c r="S34" s="62" t="s">
        <v>194</v>
      </c>
      <c r="T34" s="30" t="s">
        <v>3406</v>
      </c>
      <c r="U34" s="81" t="s">
        <v>199</v>
      </c>
      <c r="V34" s="49" t="str">
        <f t="shared" si="3"/>
        <v>Encerrado</v>
      </c>
      <c r="W34" s="150"/>
      <c r="X34" s="150"/>
      <c r="Y34" s="30" t="s">
        <v>244</v>
      </c>
      <c r="Z34" s="81"/>
      <c r="AA34" s="81"/>
      <c r="AB34" s="30"/>
      <c r="AC34" s="96">
        <v>0.0</v>
      </c>
      <c r="AD34" s="96">
        <v>273308.35</v>
      </c>
      <c r="AE34" s="96">
        <v>296867.55</v>
      </c>
      <c r="AF34" s="96">
        <v>422823.6</v>
      </c>
      <c r="AG34" s="96">
        <v>401999.94</v>
      </c>
      <c r="AH34" s="96">
        <v>410491.35</v>
      </c>
      <c r="AI34" s="96">
        <v>419299.22</v>
      </c>
      <c r="AJ34" s="96">
        <v>457087.84</v>
      </c>
      <c r="AK34" s="96">
        <v>447201.75</v>
      </c>
      <c r="AL34" s="96">
        <v>390358.02</v>
      </c>
      <c r="AM34" s="96">
        <v>583219.66</v>
      </c>
      <c r="AN34" s="96">
        <v>596529.14</v>
      </c>
      <c r="AO34" s="96">
        <v>438570.62</v>
      </c>
      <c r="AP34" s="96">
        <v>531858.1</v>
      </c>
      <c r="AQ34" s="96">
        <v>526325.75</v>
      </c>
      <c r="AR34" s="96">
        <v>544264.06</v>
      </c>
      <c r="AS34" s="96">
        <v>594482.46</v>
      </c>
      <c r="AT34" s="96">
        <v>594440.45</v>
      </c>
      <c r="AU34" s="96">
        <v>717518.14</v>
      </c>
      <c r="AV34" s="96">
        <v>788533.8</v>
      </c>
      <c r="AW34" s="96">
        <v>780890.69</v>
      </c>
      <c r="AX34" s="96">
        <v>766164.66</v>
      </c>
      <c r="AY34" s="96">
        <v>753202.54</v>
      </c>
      <c r="AZ34" s="96">
        <v>728939.58</v>
      </c>
      <c r="BA34" s="96">
        <v>720567.26</v>
      </c>
      <c r="BB34" s="96">
        <v>803251.3</v>
      </c>
      <c r="BC34" s="96">
        <v>594150.53</v>
      </c>
      <c r="BD34" s="96">
        <v>605300.42</v>
      </c>
      <c r="BE34" s="96">
        <v>527143.78</v>
      </c>
      <c r="BF34" s="96">
        <v>501314.86</v>
      </c>
      <c r="BG34" s="505" t="s">
        <v>377</v>
      </c>
      <c r="BH34" s="96">
        <v>0.0</v>
      </c>
      <c r="BI34" s="96">
        <v>0.0</v>
      </c>
      <c r="BJ34" s="96">
        <v>0.0</v>
      </c>
      <c r="BK34" s="472">
        <v>0.0</v>
      </c>
      <c r="BL34" s="472">
        <v>0.0</v>
      </c>
      <c r="BM34" s="472">
        <v>0.0</v>
      </c>
      <c r="BN34" s="472">
        <v>0.0</v>
      </c>
      <c r="BO34" s="472">
        <v>0.0</v>
      </c>
      <c r="BP34" s="472">
        <v>0.0</v>
      </c>
      <c r="BQ34" s="472">
        <v>0.0</v>
      </c>
      <c r="BR34" s="472">
        <v>0.0</v>
      </c>
      <c r="BS34" s="472">
        <v>0.0</v>
      </c>
      <c r="BT34" s="472">
        <v>0.0</v>
      </c>
      <c r="BU34" s="472">
        <v>0.0</v>
      </c>
      <c r="BV34" s="472">
        <v>0.0</v>
      </c>
      <c r="BW34" s="472">
        <v>0.0</v>
      </c>
      <c r="BX34" s="472">
        <v>0.0</v>
      </c>
      <c r="BY34" s="472">
        <v>0.0</v>
      </c>
      <c r="BZ34" s="472">
        <v>0.0</v>
      </c>
      <c r="CA34" s="474">
        <v>0.0</v>
      </c>
      <c r="CB34" s="474">
        <v>0.0</v>
      </c>
      <c r="CC34" s="474">
        <v>0.0</v>
      </c>
      <c r="CD34" s="474">
        <v>0.0</v>
      </c>
      <c r="CE34" s="474">
        <v>0.0</v>
      </c>
      <c r="CF34" s="474">
        <v>0.0</v>
      </c>
      <c r="CG34" s="474">
        <v>0.0</v>
      </c>
      <c r="CH34" s="65">
        <v>0.0</v>
      </c>
      <c r="CI34" s="65">
        <v>0.0</v>
      </c>
      <c r="CJ34" s="65">
        <v>0.0</v>
      </c>
      <c r="CK34" s="65">
        <v>0.0</v>
      </c>
      <c r="CL34" s="65">
        <v>0.0</v>
      </c>
      <c r="CM34" s="65">
        <v>0.0</v>
      </c>
      <c r="CN34" s="65">
        <v>0.0</v>
      </c>
    </row>
    <row r="35" ht="15.75" customHeight="1">
      <c r="A35" s="462" t="s">
        <v>2346</v>
      </c>
      <c r="B35" s="510" t="s">
        <v>3438</v>
      </c>
      <c r="C35" s="141">
        <v>84638.0</v>
      </c>
      <c r="D35" s="63" t="s">
        <v>1096</v>
      </c>
      <c r="E35" s="63" t="s">
        <v>199</v>
      </c>
      <c r="F35" s="81" t="s">
        <v>1096</v>
      </c>
      <c r="G35" s="47" t="str">
        <f t="shared" si="1"/>
        <v>Breno</v>
      </c>
      <c r="H35" s="152" t="s">
        <v>224</v>
      </c>
      <c r="I35" s="74" t="s">
        <v>66</v>
      </c>
      <c r="J35" s="63" t="str">
        <f t="shared" si="2"/>
        <v>Não</v>
      </c>
      <c r="K35" s="467">
        <v>43563.0</v>
      </c>
      <c r="L35" s="480">
        <v>44181.0</v>
      </c>
      <c r="M35" s="81" t="s">
        <v>231</v>
      </c>
      <c r="N35" s="478">
        <v>0.01</v>
      </c>
      <c r="O35" s="141" t="s">
        <v>233</v>
      </c>
      <c r="P35" s="145">
        <v>0.2</v>
      </c>
      <c r="Q35" s="190"/>
      <c r="R35" s="158"/>
      <c r="S35" s="62" t="s">
        <v>194</v>
      </c>
      <c r="T35" s="30" t="s">
        <v>3450</v>
      </c>
      <c r="U35" s="30" t="s">
        <v>199</v>
      </c>
      <c r="V35" s="49" t="str">
        <f t="shared" si="3"/>
        <v>Encerrado</v>
      </c>
      <c r="W35" s="150"/>
      <c r="X35" s="150"/>
      <c r="Y35" s="81"/>
      <c r="Z35" s="81"/>
      <c r="AA35" s="81"/>
      <c r="AB35" s="30"/>
      <c r="AC35" s="96">
        <v>182194.13</v>
      </c>
      <c r="AD35" s="96">
        <v>171388.13</v>
      </c>
      <c r="AE35" s="96">
        <v>153054.4</v>
      </c>
      <c r="AF35" s="96">
        <v>164686.06</v>
      </c>
      <c r="AG35" s="96">
        <v>171943.78</v>
      </c>
      <c r="AH35" s="96">
        <v>200454.86</v>
      </c>
      <c r="AI35" s="96">
        <v>261117.59</v>
      </c>
      <c r="AJ35" s="96">
        <v>245768.35</v>
      </c>
      <c r="AK35" s="96">
        <v>234093.82</v>
      </c>
      <c r="AL35" s="96">
        <v>238934.86</v>
      </c>
      <c r="AM35" s="96">
        <v>268845.87</v>
      </c>
      <c r="AN35" s="482"/>
      <c r="AO35" s="531"/>
      <c r="AP35" s="531"/>
      <c r="AQ35" s="482"/>
      <c r="AR35" s="482"/>
      <c r="AS35" s="482"/>
      <c r="AT35" s="482"/>
      <c r="AU35" s="482"/>
      <c r="AV35" s="482"/>
      <c r="AW35" s="482"/>
      <c r="AX35" s="482"/>
      <c r="AY35" s="96"/>
      <c r="AZ35" s="96"/>
      <c r="BA35" s="96"/>
      <c r="BB35" s="96"/>
      <c r="BC35" s="96"/>
      <c r="BD35" s="96">
        <v>0.0</v>
      </c>
      <c r="BE35" s="96">
        <v>0.0</v>
      </c>
      <c r="BF35" s="96">
        <v>0.0</v>
      </c>
      <c r="BG35" s="96" t="s">
        <v>377</v>
      </c>
      <c r="BH35" s="96">
        <v>0.0</v>
      </c>
      <c r="BI35" s="96">
        <v>0.0</v>
      </c>
      <c r="BJ35" s="96">
        <v>0.0</v>
      </c>
      <c r="BK35" s="472">
        <v>0.0</v>
      </c>
      <c r="BL35" s="472">
        <v>0.0</v>
      </c>
      <c r="BM35" s="472">
        <v>0.0</v>
      </c>
      <c r="BN35" s="472">
        <v>0.0</v>
      </c>
      <c r="BO35" s="472">
        <v>0.0</v>
      </c>
      <c r="BP35" s="472">
        <v>0.0</v>
      </c>
      <c r="BQ35" s="472">
        <v>0.0</v>
      </c>
      <c r="BR35" s="472">
        <v>0.0</v>
      </c>
      <c r="BS35" s="472">
        <v>0.0</v>
      </c>
      <c r="BT35" s="472">
        <v>0.0</v>
      </c>
      <c r="BU35" s="472">
        <v>0.0</v>
      </c>
      <c r="BV35" s="472">
        <v>0.0</v>
      </c>
      <c r="BW35" s="472">
        <v>0.0</v>
      </c>
      <c r="BX35" s="472">
        <v>0.0</v>
      </c>
      <c r="BY35" s="472">
        <v>0.0</v>
      </c>
      <c r="BZ35" s="472">
        <v>0.0</v>
      </c>
      <c r="CA35" s="474">
        <v>0.0</v>
      </c>
      <c r="CB35" s="474">
        <v>0.0</v>
      </c>
      <c r="CC35" s="474">
        <v>0.0</v>
      </c>
      <c r="CD35" s="474">
        <v>0.0</v>
      </c>
      <c r="CE35" s="474">
        <v>0.0</v>
      </c>
      <c r="CF35" s="474">
        <v>0.0</v>
      </c>
      <c r="CG35" s="474">
        <v>0.0</v>
      </c>
      <c r="CH35" s="65">
        <v>0.0</v>
      </c>
      <c r="CI35" s="65">
        <v>0.0</v>
      </c>
      <c r="CJ35" s="65">
        <v>0.0</v>
      </c>
      <c r="CK35" s="65">
        <v>0.0</v>
      </c>
      <c r="CL35" s="65">
        <v>0.0</v>
      </c>
      <c r="CM35" s="65">
        <v>0.0</v>
      </c>
      <c r="CN35" s="65">
        <v>0.0</v>
      </c>
    </row>
    <row r="36" ht="15.75" customHeight="1">
      <c r="A36" s="462" t="s">
        <v>2346</v>
      </c>
      <c r="B36" s="510" t="s">
        <v>3478</v>
      </c>
      <c r="C36" s="141">
        <v>290205.0</v>
      </c>
      <c r="D36" s="63" t="s">
        <v>120</v>
      </c>
      <c r="E36" s="63" t="s">
        <v>199</v>
      </c>
      <c r="F36" s="81" t="s">
        <v>388</v>
      </c>
      <c r="G36" s="47" t="str">
        <f t="shared" si="1"/>
        <v>Breno</v>
      </c>
      <c r="H36" s="152" t="s">
        <v>224</v>
      </c>
      <c r="I36" s="74" t="s">
        <v>66</v>
      </c>
      <c r="J36" s="63" t="str">
        <f t="shared" si="2"/>
        <v>Não</v>
      </c>
      <c r="K36" s="467">
        <v>43382.0</v>
      </c>
      <c r="L36" s="467">
        <v>44309.0</v>
      </c>
      <c r="M36" s="81" t="s">
        <v>231</v>
      </c>
      <c r="N36" s="478">
        <v>0.02</v>
      </c>
      <c r="O36" s="141" t="s">
        <v>233</v>
      </c>
      <c r="P36" s="145">
        <v>0.2</v>
      </c>
      <c r="Q36" s="190"/>
      <c r="R36" s="158"/>
      <c r="S36" s="62" t="s">
        <v>194</v>
      </c>
      <c r="T36" s="30" t="s">
        <v>392</v>
      </c>
      <c r="U36" s="95" t="s">
        <v>397</v>
      </c>
      <c r="V36" s="49" t="str">
        <f t="shared" si="3"/>
        <v>Encerrado</v>
      </c>
      <c r="W36" s="150"/>
      <c r="X36" s="150"/>
      <c r="Y36" s="81"/>
      <c r="Z36" s="81"/>
      <c r="AA36" s="81"/>
      <c r="AB36" s="30"/>
      <c r="AC36" s="96">
        <v>159327.75</v>
      </c>
      <c r="AD36" s="96">
        <v>150771.79</v>
      </c>
      <c r="AE36" s="96">
        <v>113934.18</v>
      </c>
      <c r="AF36" s="96">
        <v>120338.82</v>
      </c>
      <c r="AG36" s="96">
        <v>124285.77</v>
      </c>
      <c r="AH36" s="96">
        <v>129988.04</v>
      </c>
      <c r="AI36" s="96">
        <v>141892.05</v>
      </c>
      <c r="AJ36" s="96">
        <v>134841.5</v>
      </c>
      <c r="AK36" s="96">
        <v>128139.81</v>
      </c>
      <c r="AL36" s="96">
        <v>133559.14</v>
      </c>
      <c r="AM36" s="96">
        <v>365.46</v>
      </c>
      <c r="AN36" s="96">
        <v>130.76</v>
      </c>
      <c r="AO36" s="96">
        <v>379.93</v>
      </c>
      <c r="AP36" s="96">
        <v>379.93</v>
      </c>
      <c r="AQ36" s="96">
        <v>289.36</v>
      </c>
      <c r="AR36" s="96">
        <v>295.22</v>
      </c>
      <c r="AS36" s="96">
        <v>295.22</v>
      </c>
      <c r="AT36" s="96">
        <v>295.22</v>
      </c>
      <c r="AU36" s="96"/>
      <c r="AV36" s="482"/>
      <c r="AW36" s="482"/>
      <c r="AX36" s="482"/>
      <c r="AY36" s="96"/>
      <c r="AZ36" s="96"/>
      <c r="BA36" s="96"/>
      <c r="BB36" s="96"/>
      <c r="BC36" s="96"/>
      <c r="BD36" s="96">
        <v>0.0</v>
      </c>
      <c r="BE36" s="96">
        <v>0.0</v>
      </c>
      <c r="BF36" s="96">
        <v>0.0</v>
      </c>
      <c r="BG36" s="96" t="s">
        <v>377</v>
      </c>
      <c r="BH36" s="96">
        <v>0.0</v>
      </c>
      <c r="BI36" s="96">
        <v>0.0</v>
      </c>
      <c r="BJ36" s="96">
        <v>0.0</v>
      </c>
      <c r="BK36" s="472">
        <v>0.0</v>
      </c>
      <c r="BL36" s="472">
        <v>0.0</v>
      </c>
      <c r="BM36" s="472">
        <v>0.0</v>
      </c>
      <c r="BN36" s="472">
        <v>0.0</v>
      </c>
      <c r="BO36" s="472">
        <v>0.0</v>
      </c>
      <c r="BP36" s="472">
        <v>0.0</v>
      </c>
      <c r="BQ36" s="472">
        <v>0.0</v>
      </c>
      <c r="BR36" s="472">
        <v>0.0</v>
      </c>
      <c r="BS36" s="472">
        <v>0.0</v>
      </c>
      <c r="BT36" s="472">
        <v>0.0</v>
      </c>
      <c r="BU36" s="472">
        <v>0.0</v>
      </c>
      <c r="BV36" s="472">
        <v>0.0</v>
      </c>
      <c r="BW36" s="472">
        <v>0.0</v>
      </c>
      <c r="BX36" s="472">
        <v>0.0</v>
      </c>
      <c r="BY36" s="472">
        <v>0.0</v>
      </c>
      <c r="BZ36" s="472">
        <v>0.0</v>
      </c>
      <c r="CA36" s="474">
        <v>0.0</v>
      </c>
      <c r="CB36" s="474">
        <v>0.0</v>
      </c>
      <c r="CC36" s="474">
        <v>0.0</v>
      </c>
      <c r="CD36" s="474">
        <v>0.0</v>
      </c>
      <c r="CE36" s="474">
        <v>0.0</v>
      </c>
      <c r="CF36" s="474">
        <v>0.0</v>
      </c>
      <c r="CG36" s="474">
        <v>0.0</v>
      </c>
      <c r="CH36" s="65">
        <v>0.0</v>
      </c>
      <c r="CI36" s="65">
        <v>0.0</v>
      </c>
      <c r="CJ36" s="65">
        <v>0.0</v>
      </c>
      <c r="CK36" s="65">
        <v>0.0</v>
      </c>
      <c r="CL36" s="65">
        <v>0.0</v>
      </c>
      <c r="CM36" s="65">
        <v>0.0</v>
      </c>
      <c r="CN36" s="65">
        <v>0.0</v>
      </c>
    </row>
    <row r="37" ht="15.75" customHeight="1">
      <c r="A37" s="462" t="s">
        <v>2346</v>
      </c>
      <c r="B37" s="510" t="s">
        <v>3516</v>
      </c>
      <c r="C37" s="141">
        <v>259187.0</v>
      </c>
      <c r="D37" s="63" t="s">
        <v>120</v>
      </c>
      <c r="E37" s="63" t="s">
        <v>91</v>
      </c>
      <c r="F37" s="81" t="s">
        <v>193</v>
      </c>
      <c r="G37" s="47" t="str">
        <f t="shared" si="1"/>
        <v>Breno</v>
      </c>
      <c r="H37" s="152" t="s">
        <v>224</v>
      </c>
      <c r="I37" s="74" t="s">
        <v>66</v>
      </c>
      <c r="J37" s="63" t="str">
        <f t="shared" si="2"/>
        <v>Não</v>
      </c>
      <c r="K37" s="467">
        <v>44295.0</v>
      </c>
      <c r="L37" s="467">
        <v>44592.0</v>
      </c>
      <c r="M37" s="81" t="s">
        <v>361</v>
      </c>
      <c r="N37" s="478">
        <v>0.02</v>
      </c>
      <c r="O37" s="63" t="s">
        <v>35</v>
      </c>
      <c r="P37" s="145">
        <v>0.2</v>
      </c>
      <c r="Q37" s="190"/>
      <c r="R37" s="70"/>
      <c r="S37" s="62" t="s">
        <v>194</v>
      </c>
      <c r="T37" s="30" t="s">
        <v>3525</v>
      </c>
      <c r="U37" s="95" t="s">
        <v>221</v>
      </c>
      <c r="V37" s="49" t="str">
        <f t="shared" si="3"/>
        <v>Encerrado</v>
      </c>
      <c r="W37" s="150"/>
      <c r="X37" s="150"/>
      <c r="Y37" s="30" t="s">
        <v>244</v>
      </c>
      <c r="Z37" s="81"/>
      <c r="AA37" s="467">
        <v>44295.0</v>
      </c>
      <c r="AB37" s="30">
        <v>4.9075100000281E13</v>
      </c>
      <c r="AC37" s="476"/>
      <c r="AD37" s="476"/>
      <c r="AE37" s="476"/>
      <c r="AF37" s="476"/>
      <c r="AG37" s="476"/>
      <c r="AH37" s="476"/>
      <c r="AI37" s="476"/>
      <c r="AJ37" s="476"/>
      <c r="AK37" s="476"/>
      <c r="AL37" s="476"/>
      <c r="AM37" s="476"/>
      <c r="AN37" s="476"/>
      <c r="AO37" s="476"/>
      <c r="AP37" s="96"/>
      <c r="AQ37" s="96"/>
      <c r="AR37" s="96"/>
      <c r="AS37" s="96"/>
      <c r="AT37" s="96">
        <v>578905.96</v>
      </c>
      <c r="AU37" s="96">
        <v>588610.94</v>
      </c>
      <c r="AV37" s="96">
        <v>516768.15</v>
      </c>
      <c r="AW37" s="96">
        <v>573634.41</v>
      </c>
      <c r="AX37" s="96">
        <v>557250.98</v>
      </c>
      <c r="AY37" s="96">
        <v>539017.65</v>
      </c>
      <c r="AZ37" s="96">
        <v>554171.4</v>
      </c>
      <c r="BA37" s="96">
        <v>366980.0</v>
      </c>
      <c r="BB37" s="96">
        <v>120288.82</v>
      </c>
      <c r="BC37" s="96">
        <v>94157.01</v>
      </c>
      <c r="BD37" s="96">
        <v>16455.08</v>
      </c>
      <c r="BE37" s="96">
        <v>13446.42</v>
      </c>
      <c r="BF37" s="96">
        <v>13459.83</v>
      </c>
      <c r="BG37" s="505" t="s">
        <v>377</v>
      </c>
      <c r="BH37" s="96">
        <v>0.0</v>
      </c>
      <c r="BI37" s="96">
        <v>0.0</v>
      </c>
      <c r="BJ37" s="96">
        <v>0.0</v>
      </c>
      <c r="BK37" s="472">
        <v>0.0</v>
      </c>
      <c r="BL37" s="472">
        <v>0.0</v>
      </c>
      <c r="BM37" s="472">
        <v>0.0</v>
      </c>
      <c r="BN37" s="472">
        <v>0.0</v>
      </c>
      <c r="BO37" s="472">
        <v>0.0</v>
      </c>
      <c r="BP37" s="472">
        <v>0.0</v>
      </c>
      <c r="BQ37" s="472">
        <v>0.0</v>
      </c>
      <c r="BR37" s="472">
        <v>0.0</v>
      </c>
      <c r="BS37" s="472">
        <v>0.0</v>
      </c>
      <c r="BT37" s="472">
        <v>0.0</v>
      </c>
      <c r="BU37" s="472">
        <v>0.0</v>
      </c>
      <c r="BV37" s="472">
        <v>0.0</v>
      </c>
      <c r="BW37" s="472">
        <v>0.0</v>
      </c>
      <c r="BX37" s="472">
        <v>0.0</v>
      </c>
      <c r="BY37" s="472">
        <v>0.0</v>
      </c>
      <c r="BZ37" s="472">
        <v>0.0</v>
      </c>
      <c r="CA37" s="474">
        <v>0.0</v>
      </c>
      <c r="CB37" s="474">
        <v>0.0</v>
      </c>
      <c r="CC37" s="474">
        <v>0.0</v>
      </c>
      <c r="CD37" s="474">
        <v>0.0</v>
      </c>
      <c r="CE37" s="474">
        <v>0.0</v>
      </c>
      <c r="CF37" s="474">
        <v>0.0</v>
      </c>
      <c r="CG37" s="474">
        <v>0.0</v>
      </c>
      <c r="CH37" s="65">
        <v>0.0</v>
      </c>
      <c r="CI37" s="65">
        <v>0.0</v>
      </c>
      <c r="CJ37" s="65">
        <v>0.0</v>
      </c>
      <c r="CK37" s="65">
        <v>0.0</v>
      </c>
      <c r="CL37" s="65">
        <v>0.0</v>
      </c>
      <c r="CM37" s="65">
        <v>0.0</v>
      </c>
      <c r="CN37" s="65">
        <v>0.0</v>
      </c>
    </row>
    <row r="38" ht="15.75" customHeight="1">
      <c r="A38" s="462" t="s">
        <v>2346</v>
      </c>
      <c r="B38" s="477" t="s">
        <v>609</v>
      </c>
      <c r="C38" s="141">
        <v>32262.0</v>
      </c>
      <c r="D38" s="521" t="s">
        <v>120</v>
      </c>
      <c r="E38" s="521" t="s">
        <v>91</v>
      </c>
      <c r="F38" s="521" t="s">
        <v>521</v>
      </c>
      <c r="G38" s="47" t="str">
        <f t="shared" si="1"/>
        <v>Breno</v>
      </c>
      <c r="H38" s="161" t="s">
        <v>295</v>
      </c>
      <c r="I38" s="49" t="s">
        <v>382</v>
      </c>
      <c r="J38" s="63" t="str">
        <f t="shared" si="2"/>
        <v>Não</v>
      </c>
      <c r="K38" s="523">
        <v>44267.0</v>
      </c>
      <c r="L38" s="524"/>
      <c r="M38" s="535" t="s">
        <v>209</v>
      </c>
      <c r="N38" s="536">
        <v>0.015</v>
      </c>
      <c r="O38" s="526"/>
      <c r="P38" s="527"/>
      <c r="Q38" s="158"/>
      <c r="R38" s="163" t="s">
        <v>614</v>
      </c>
      <c r="S38" s="62" t="s">
        <v>194</v>
      </c>
      <c r="T38" s="30" t="s">
        <v>615</v>
      </c>
      <c r="U38" s="95" t="s">
        <v>618</v>
      </c>
      <c r="V38" s="49" t="str">
        <f t="shared" si="3"/>
        <v>Ativo</v>
      </c>
      <c r="W38" s="150"/>
      <c r="X38" s="150"/>
      <c r="Y38" s="30" t="s">
        <v>269</v>
      </c>
      <c r="Z38" s="81"/>
      <c r="AA38" s="467">
        <v>44267.0</v>
      </c>
      <c r="AB38" s="30">
        <v>4.9075100004171E13</v>
      </c>
      <c r="AC38" s="482"/>
      <c r="AD38" s="482"/>
      <c r="AE38" s="482"/>
      <c r="AF38" s="482"/>
      <c r="AG38" s="482"/>
      <c r="AH38" s="482"/>
      <c r="AI38" s="482"/>
      <c r="AJ38" s="482"/>
      <c r="AK38" s="482"/>
      <c r="AL38" s="482"/>
      <c r="AM38" s="482"/>
      <c r="AN38" s="482"/>
      <c r="AO38" s="482"/>
      <c r="AP38" s="96"/>
      <c r="AQ38" s="471">
        <v>6000192.03</v>
      </c>
      <c r="AR38" s="471">
        <v>5976679.59</v>
      </c>
      <c r="AS38" s="471"/>
      <c r="AT38" s="471">
        <v>6083574.12</v>
      </c>
      <c r="AU38" s="471">
        <v>6247971.09</v>
      </c>
      <c r="AV38" s="96">
        <v>6250864.09</v>
      </c>
      <c r="AW38" s="96">
        <v>6170945.08</v>
      </c>
      <c r="AX38" s="96">
        <v>6008214.85</v>
      </c>
      <c r="AY38" s="96">
        <v>5899942.41</v>
      </c>
      <c r="AZ38" s="96">
        <v>5686958.4</v>
      </c>
      <c r="BA38" s="96">
        <v>5636475.3</v>
      </c>
      <c r="BB38" s="96">
        <v>5690825.91</v>
      </c>
      <c r="BC38" s="96">
        <v>5805155.95</v>
      </c>
      <c r="BD38" s="96">
        <v>5845867.09</v>
      </c>
      <c r="BE38" s="96">
        <v>6120616.31</v>
      </c>
      <c r="BF38" s="96">
        <v>5986600.06</v>
      </c>
      <c r="BG38" s="472">
        <v>2447061.79</v>
      </c>
      <c r="BH38" s="472">
        <v>5395425.74</v>
      </c>
      <c r="BI38" s="472">
        <v>5428899.3</v>
      </c>
      <c r="BJ38" s="472">
        <v>5305914.68</v>
      </c>
      <c r="BK38" s="472">
        <v>5567398.39</v>
      </c>
      <c r="BL38" s="472">
        <v>5662088.34</v>
      </c>
      <c r="BM38" s="472">
        <v>5634762.66</v>
      </c>
      <c r="BN38" s="472">
        <v>5737142.23</v>
      </c>
      <c r="BO38" s="472">
        <v>5624796.85</v>
      </c>
      <c r="BP38" s="472">
        <v>5639910.87</v>
      </c>
      <c r="BQ38" s="472">
        <v>5689960.42</v>
      </c>
      <c r="BR38" s="472">
        <v>3374683.51</v>
      </c>
      <c r="BS38" s="472">
        <v>3314769.92</v>
      </c>
      <c r="BT38" s="472">
        <v>3361112.64</v>
      </c>
      <c r="BU38" s="472">
        <v>2218193.84</v>
      </c>
      <c r="BV38" s="472">
        <v>2294.82</v>
      </c>
      <c r="BW38" s="472">
        <v>0.0</v>
      </c>
      <c r="BX38" s="472">
        <v>396.95</v>
      </c>
      <c r="BY38" s="472">
        <v>0.0</v>
      </c>
      <c r="BZ38" s="472">
        <v>0.0</v>
      </c>
      <c r="CA38" s="474">
        <v>0.0</v>
      </c>
      <c r="CB38" s="474">
        <v>0.0</v>
      </c>
      <c r="CC38" s="474">
        <v>0.0</v>
      </c>
      <c r="CD38" s="474">
        <v>0.0</v>
      </c>
      <c r="CE38" s="474">
        <v>0.0</v>
      </c>
      <c r="CF38" s="474">
        <v>0.0</v>
      </c>
      <c r="CG38" s="474">
        <v>0.0</v>
      </c>
      <c r="CH38" s="65">
        <v>0.0</v>
      </c>
      <c r="CI38" s="65">
        <v>0.0</v>
      </c>
      <c r="CJ38" s="65">
        <v>0.0</v>
      </c>
      <c r="CK38" s="65">
        <v>0.0</v>
      </c>
      <c r="CL38" s="65">
        <v>0.81</v>
      </c>
      <c r="CM38" s="65">
        <v>0.81</v>
      </c>
      <c r="CN38" s="65">
        <v>0.81</v>
      </c>
    </row>
    <row r="39" ht="15.75" customHeight="1">
      <c r="A39" s="462" t="s">
        <v>2346</v>
      </c>
      <c r="B39" s="510" t="s">
        <v>3585</v>
      </c>
      <c r="C39" s="141">
        <v>584285.0</v>
      </c>
      <c r="D39" s="63" t="s">
        <v>669</v>
      </c>
      <c r="E39" s="63" t="s">
        <v>199</v>
      </c>
      <c r="F39" s="81" t="s">
        <v>1228</v>
      </c>
      <c r="G39" s="47" t="str">
        <f t="shared" si="1"/>
        <v>Breno</v>
      </c>
      <c r="H39" s="152" t="s">
        <v>224</v>
      </c>
      <c r="I39" s="74" t="s">
        <v>66</v>
      </c>
      <c r="J39" s="63" t="str">
        <f t="shared" si="2"/>
        <v>Não</v>
      </c>
      <c r="K39" s="467">
        <v>43620.0</v>
      </c>
      <c r="L39" s="467">
        <v>44314.0</v>
      </c>
      <c r="M39" s="81" t="s">
        <v>34</v>
      </c>
      <c r="N39" s="478">
        <v>0.005</v>
      </c>
      <c r="O39" s="141" t="s">
        <v>66</v>
      </c>
      <c r="P39" s="145">
        <v>0.0</v>
      </c>
      <c r="Q39" s="190"/>
      <c r="R39" s="158" t="s">
        <v>3589</v>
      </c>
      <c r="S39" s="62" t="s">
        <v>194</v>
      </c>
      <c r="T39" s="30" t="s">
        <v>3591</v>
      </c>
      <c r="U39" s="81" t="s">
        <v>199</v>
      </c>
      <c r="V39" s="49" t="str">
        <f t="shared" si="3"/>
        <v>Encerrado</v>
      </c>
      <c r="W39" s="150"/>
      <c r="X39" s="150"/>
      <c r="Y39" s="81"/>
      <c r="Z39" s="81"/>
      <c r="AA39" s="81"/>
      <c r="AB39" s="30"/>
      <c r="AC39" s="96">
        <v>31068.04</v>
      </c>
      <c r="AD39" s="96">
        <v>30852.34</v>
      </c>
      <c r="AE39" s="96">
        <v>30847.92</v>
      </c>
      <c r="AF39" s="96">
        <v>30699.44</v>
      </c>
      <c r="AG39" s="96">
        <v>30564.46</v>
      </c>
      <c r="AH39" s="96">
        <v>30440.91</v>
      </c>
      <c r="AI39" s="96">
        <v>30471.1</v>
      </c>
      <c r="AJ39" s="96">
        <v>30331.78</v>
      </c>
      <c r="AK39" s="96">
        <v>30256.2</v>
      </c>
      <c r="AL39" s="96">
        <v>30141.41</v>
      </c>
      <c r="AM39" s="96">
        <v>30053.1</v>
      </c>
      <c r="AN39" s="96">
        <v>29981.89</v>
      </c>
      <c r="AO39" s="96">
        <v>30030.51</v>
      </c>
      <c r="AP39" s="96">
        <v>29937.45</v>
      </c>
      <c r="AQ39" s="96">
        <v>29848.93</v>
      </c>
      <c r="AR39" s="96">
        <v>29853.44</v>
      </c>
      <c r="AS39" s="96">
        <v>29730.6</v>
      </c>
      <c r="AT39" s="96">
        <v>29616.53</v>
      </c>
      <c r="AU39" s="96"/>
      <c r="AV39" s="482"/>
      <c r="AW39" s="482"/>
      <c r="AX39" s="482"/>
      <c r="AY39" s="96"/>
      <c r="AZ39" s="96"/>
      <c r="BA39" s="96"/>
      <c r="BB39" s="96"/>
      <c r="BC39" s="96"/>
      <c r="BD39" s="96">
        <v>0.0</v>
      </c>
      <c r="BE39" s="96">
        <v>0.0</v>
      </c>
      <c r="BF39" s="96">
        <v>0.0</v>
      </c>
      <c r="BG39" s="96" t="s">
        <v>377</v>
      </c>
      <c r="BH39" s="96">
        <v>0.0</v>
      </c>
      <c r="BI39" s="96">
        <v>0.0</v>
      </c>
      <c r="BJ39" s="96">
        <v>0.0</v>
      </c>
      <c r="BK39" s="472">
        <v>0.0</v>
      </c>
      <c r="BL39" s="472">
        <v>0.0</v>
      </c>
      <c r="BM39" s="472">
        <v>0.0</v>
      </c>
      <c r="BN39" s="472">
        <v>0.0</v>
      </c>
      <c r="BO39" s="472">
        <v>0.0</v>
      </c>
      <c r="BP39" s="472">
        <v>0.0</v>
      </c>
      <c r="BQ39" s="472">
        <v>0.0</v>
      </c>
      <c r="BR39" s="472">
        <v>0.0</v>
      </c>
      <c r="BS39" s="472">
        <v>0.0</v>
      </c>
      <c r="BT39" s="472">
        <v>0.0</v>
      </c>
      <c r="BU39" s="472">
        <v>0.0</v>
      </c>
      <c r="BV39" s="472">
        <v>0.0</v>
      </c>
      <c r="BW39" s="472">
        <v>0.0</v>
      </c>
      <c r="BX39" s="472">
        <v>0.0</v>
      </c>
      <c r="BY39" s="472">
        <v>0.0</v>
      </c>
      <c r="BZ39" s="472">
        <v>0.0</v>
      </c>
      <c r="CA39" s="474">
        <v>0.0</v>
      </c>
      <c r="CB39" s="474">
        <v>0.0</v>
      </c>
      <c r="CC39" s="474">
        <v>0.0</v>
      </c>
      <c r="CD39" s="474">
        <v>0.0</v>
      </c>
      <c r="CE39" s="474">
        <v>0.0</v>
      </c>
      <c r="CF39" s="474">
        <v>0.0</v>
      </c>
      <c r="CG39" s="474">
        <v>0.0</v>
      </c>
      <c r="CH39" s="65">
        <v>0.0</v>
      </c>
      <c r="CI39" s="65">
        <v>0.0</v>
      </c>
      <c r="CJ39" s="65">
        <v>0.0</v>
      </c>
      <c r="CK39" s="65">
        <v>0.0</v>
      </c>
      <c r="CL39" s="65">
        <v>0.0</v>
      </c>
      <c r="CM39" s="65">
        <v>0.0</v>
      </c>
      <c r="CN39" s="65">
        <v>0.0</v>
      </c>
    </row>
    <row r="40" ht="15.75" customHeight="1">
      <c r="A40" s="462" t="s">
        <v>2346</v>
      </c>
      <c r="B40" s="50" t="s">
        <v>3603</v>
      </c>
      <c r="C40" s="141">
        <v>429937.0</v>
      </c>
      <c r="D40" s="63" t="s">
        <v>120</v>
      </c>
      <c r="E40" s="63" t="s">
        <v>91</v>
      </c>
      <c r="F40" s="81" t="s">
        <v>193</v>
      </c>
      <c r="G40" s="47" t="str">
        <f t="shared" si="1"/>
        <v>Breno</v>
      </c>
      <c r="H40" s="152" t="s">
        <v>224</v>
      </c>
      <c r="I40" s="74" t="s">
        <v>66</v>
      </c>
      <c r="J40" s="63" t="str">
        <f t="shared" si="2"/>
        <v>Não</v>
      </c>
      <c r="K40" s="143">
        <v>44789.0</v>
      </c>
      <c r="L40" s="151">
        <v>44988.0</v>
      </c>
      <c r="M40" s="81" t="s">
        <v>61</v>
      </c>
      <c r="N40" s="478">
        <v>0.007</v>
      </c>
      <c r="O40" s="141" t="s">
        <v>66</v>
      </c>
      <c r="P40" s="145">
        <v>0.0</v>
      </c>
      <c r="Q40" s="70"/>
      <c r="R40" s="70"/>
      <c r="S40" s="62" t="s">
        <v>194</v>
      </c>
      <c r="T40" s="22" t="s">
        <v>3613</v>
      </c>
      <c r="U40" s="95" t="s">
        <v>221</v>
      </c>
      <c r="V40" s="49" t="str">
        <f t="shared" si="3"/>
        <v>Encerrado</v>
      </c>
      <c r="W40" s="150"/>
      <c r="X40" s="150"/>
      <c r="Y40" s="81"/>
      <c r="Z40" s="81"/>
      <c r="AA40" s="81"/>
      <c r="AB40" s="30"/>
      <c r="AC40" s="476"/>
      <c r="AD40" s="476"/>
      <c r="AE40" s="476"/>
      <c r="AF40" s="476"/>
      <c r="AG40" s="476"/>
      <c r="AH40" s="476"/>
      <c r="AI40" s="476"/>
      <c r="AJ40" s="476"/>
      <c r="AK40" s="476"/>
      <c r="AL40" s="476"/>
      <c r="AM40" s="476"/>
      <c r="AN40" s="476"/>
      <c r="AO40" s="476"/>
      <c r="AP40" s="96"/>
      <c r="AQ40" s="471"/>
      <c r="AR40" s="471"/>
      <c r="AS40" s="471"/>
      <c r="AT40" s="471"/>
      <c r="AU40" s="471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472"/>
      <c r="BH40" s="472"/>
      <c r="BI40" s="472">
        <v>120324.58</v>
      </c>
      <c r="BJ40" s="472">
        <v>122167.19</v>
      </c>
      <c r="BK40" s="472">
        <v>123166.65</v>
      </c>
      <c r="BL40" s="472">
        <v>124084.86</v>
      </c>
      <c r="BM40" s="472">
        <v>124364.73</v>
      </c>
      <c r="BN40" s="472">
        <v>104823.45</v>
      </c>
      <c r="BO40" s="472">
        <v>105935.71</v>
      </c>
      <c r="BP40" s="472">
        <v>84390.21</v>
      </c>
      <c r="BQ40" s="472">
        <v>0.0</v>
      </c>
      <c r="BR40" s="472">
        <v>0.0</v>
      </c>
      <c r="BS40" s="472">
        <v>0.0</v>
      </c>
      <c r="BT40" s="472">
        <v>0.0</v>
      </c>
      <c r="BU40" s="472">
        <v>0.0</v>
      </c>
      <c r="BV40" s="472">
        <v>0.0</v>
      </c>
      <c r="BW40" s="472">
        <v>0.0</v>
      </c>
      <c r="BX40" s="472">
        <v>0.0</v>
      </c>
      <c r="BY40" s="472">
        <v>0.0</v>
      </c>
      <c r="BZ40" s="472">
        <v>0.0</v>
      </c>
      <c r="CA40" s="474">
        <v>0.0</v>
      </c>
      <c r="CB40" s="474">
        <v>0.0</v>
      </c>
      <c r="CC40" s="474">
        <v>0.0</v>
      </c>
      <c r="CD40" s="474">
        <v>0.0</v>
      </c>
      <c r="CE40" s="474">
        <v>0.0</v>
      </c>
      <c r="CF40" s="474">
        <v>0.0</v>
      </c>
      <c r="CG40" s="474">
        <v>0.0</v>
      </c>
      <c r="CH40" s="65">
        <v>0.0</v>
      </c>
      <c r="CI40" s="65">
        <v>0.0</v>
      </c>
      <c r="CJ40" s="65">
        <v>0.0</v>
      </c>
      <c r="CK40" s="65">
        <v>0.0</v>
      </c>
      <c r="CL40" s="65">
        <v>0.0</v>
      </c>
      <c r="CM40" s="65">
        <v>0.0</v>
      </c>
      <c r="CN40" s="65">
        <v>0.0</v>
      </c>
    </row>
    <row r="41" ht="15.75" customHeight="1">
      <c r="A41" s="462" t="s">
        <v>2346</v>
      </c>
      <c r="B41" s="50" t="s">
        <v>2071</v>
      </c>
      <c r="C41" s="141">
        <v>293395.0</v>
      </c>
      <c r="D41" s="63" t="s">
        <v>120</v>
      </c>
      <c r="E41" s="63" t="s">
        <v>91</v>
      </c>
      <c r="F41" s="63" t="s">
        <v>193</v>
      </c>
      <c r="G41" s="47" t="str">
        <f t="shared" si="1"/>
        <v>Breno</v>
      </c>
      <c r="H41" s="142" t="s">
        <v>295</v>
      </c>
      <c r="I41" s="49" t="s">
        <v>382</v>
      </c>
      <c r="J41" s="63" t="str">
        <f t="shared" si="2"/>
        <v>Não</v>
      </c>
      <c r="K41" s="143">
        <v>44323.0</v>
      </c>
      <c r="L41" s="81"/>
      <c r="M41" s="81" t="s">
        <v>209</v>
      </c>
      <c r="N41" s="478">
        <v>0.015</v>
      </c>
      <c r="O41" s="63" t="s">
        <v>35</v>
      </c>
      <c r="P41" s="145">
        <v>0.1</v>
      </c>
      <c r="Q41" s="70"/>
      <c r="R41" s="70"/>
      <c r="S41" s="62" t="s">
        <v>194</v>
      </c>
      <c r="T41" s="22" t="s">
        <v>2074</v>
      </c>
      <c r="U41" s="95" t="s">
        <v>221</v>
      </c>
      <c r="V41" s="49" t="str">
        <f t="shared" si="3"/>
        <v>Inativo</v>
      </c>
      <c r="W41" s="150"/>
      <c r="X41" s="150"/>
      <c r="Y41" s="30" t="s">
        <v>269</v>
      </c>
      <c r="Z41" s="81"/>
      <c r="AA41" s="467">
        <v>44323.0</v>
      </c>
      <c r="AB41" s="30">
        <v>4.9075100004481E13</v>
      </c>
      <c r="AC41" s="476"/>
      <c r="AD41" s="476"/>
      <c r="AE41" s="476"/>
      <c r="AF41" s="476"/>
      <c r="AG41" s="476"/>
      <c r="AH41" s="476"/>
      <c r="AI41" s="476"/>
      <c r="AJ41" s="476"/>
      <c r="AK41" s="476"/>
      <c r="AL41" s="476"/>
      <c r="AM41" s="476"/>
      <c r="AN41" s="476"/>
      <c r="AO41" s="476"/>
      <c r="AP41" s="96"/>
      <c r="AQ41" s="471"/>
      <c r="AR41" s="471"/>
      <c r="AS41" s="471"/>
      <c r="AT41" s="471"/>
      <c r="AU41" s="471">
        <v>1784500.76</v>
      </c>
      <c r="AV41" s="96">
        <v>1776092.69</v>
      </c>
      <c r="AW41" s="96">
        <v>1759116.65</v>
      </c>
      <c r="AX41" s="96">
        <v>1726485.95</v>
      </c>
      <c r="AY41" s="96">
        <v>1702469.86</v>
      </c>
      <c r="AZ41" s="96">
        <v>1665475.68</v>
      </c>
      <c r="BA41" s="96">
        <v>1645457.18</v>
      </c>
      <c r="BB41" s="96">
        <v>1648785.82</v>
      </c>
      <c r="BC41" s="96">
        <v>1684277.02</v>
      </c>
      <c r="BD41" s="96">
        <v>1694879.55</v>
      </c>
      <c r="BE41" s="96">
        <v>1772638.46</v>
      </c>
      <c r="BF41" s="96">
        <v>1741662.95</v>
      </c>
      <c r="BG41" s="472">
        <v>1736900.16</v>
      </c>
      <c r="BH41" s="472">
        <v>1718496.95</v>
      </c>
      <c r="BI41" s="472">
        <v>1740678.99</v>
      </c>
      <c r="BJ41" s="472">
        <v>1764469.64</v>
      </c>
      <c r="BK41" s="472">
        <v>1780696.53</v>
      </c>
      <c r="BL41" s="472">
        <v>1848390.12</v>
      </c>
      <c r="BM41" s="472">
        <v>1826780.84</v>
      </c>
      <c r="BN41" s="472">
        <v>1793813.85</v>
      </c>
      <c r="BO41" s="472">
        <v>1866610.85</v>
      </c>
      <c r="BP41" s="472">
        <v>1880844.02</v>
      </c>
      <c r="BQ41" s="472">
        <v>1903790.11</v>
      </c>
      <c r="BR41" s="472">
        <v>1909951.46</v>
      </c>
      <c r="BS41" s="472">
        <v>1875267.58</v>
      </c>
      <c r="BT41" s="472">
        <v>499.32</v>
      </c>
      <c r="BU41" s="472">
        <v>0.0</v>
      </c>
      <c r="BV41" s="472">
        <v>0.0</v>
      </c>
      <c r="BW41" s="472">
        <v>0.0</v>
      </c>
      <c r="BX41" s="472">
        <v>0.0</v>
      </c>
      <c r="BY41" s="472">
        <v>0.0</v>
      </c>
      <c r="BZ41" s="472">
        <v>0.0</v>
      </c>
      <c r="CA41" s="474">
        <v>0.0</v>
      </c>
      <c r="CB41" s="474">
        <v>0.0</v>
      </c>
      <c r="CC41" s="474">
        <v>0.0</v>
      </c>
      <c r="CD41" s="474">
        <v>0.0</v>
      </c>
      <c r="CE41" s="474">
        <v>0.0</v>
      </c>
      <c r="CF41" s="474">
        <v>0.0</v>
      </c>
      <c r="CG41" s="474">
        <v>0.0</v>
      </c>
      <c r="CH41" s="65">
        <v>0.0</v>
      </c>
      <c r="CI41" s="65">
        <v>0.0</v>
      </c>
      <c r="CJ41" s="65">
        <v>0.0</v>
      </c>
      <c r="CK41" s="65">
        <v>0.0</v>
      </c>
      <c r="CL41" s="65">
        <v>0.0</v>
      </c>
      <c r="CM41" s="65">
        <v>0.0</v>
      </c>
      <c r="CN41" s="65">
        <v>0.0</v>
      </c>
    </row>
    <row r="42" ht="15.75" customHeight="1">
      <c r="A42" s="462" t="s">
        <v>2346</v>
      </c>
      <c r="B42" s="477" t="s">
        <v>3646</v>
      </c>
      <c r="C42" s="141">
        <v>84635.0</v>
      </c>
      <c r="D42" s="63" t="s">
        <v>120</v>
      </c>
      <c r="E42" s="63" t="s">
        <v>91</v>
      </c>
      <c r="F42" s="81" t="s">
        <v>699</v>
      </c>
      <c r="G42" s="47" t="str">
        <f t="shared" si="1"/>
        <v>Breno</v>
      </c>
      <c r="H42" s="152" t="s">
        <v>224</v>
      </c>
      <c r="I42" s="74" t="s">
        <v>66</v>
      </c>
      <c r="J42" s="63" t="str">
        <f t="shared" si="2"/>
        <v>Não</v>
      </c>
      <c r="K42" s="467">
        <v>44263.0</v>
      </c>
      <c r="L42" s="467">
        <v>44812.0</v>
      </c>
      <c r="M42" s="81" t="s">
        <v>61</v>
      </c>
      <c r="N42" s="478">
        <v>0.007</v>
      </c>
      <c r="O42" s="141" t="s">
        <v>66</v>
      </c>
      <c r="P42" s="145">
        <v>0.0</v>
      </c>
      <c r="Q42" s="190"/>
      <c r="R42" s="158" t="s">
        <v>3649</v>
      </c>
      <c r="S42" s="62" t="s">
        <v>194</v>
      </c>
      <c r="T42" s="30" t="s">
        <v>3650</v>
      </c>
      <c r="U42" s="95" t="s">
        <v>221</v>
      </c>
      <c r="V42" s="49" t="str">
        <f t="shared" si="3"/>
        <v>Encerrado</v>
      </c>
      <c r="W42" s="150"/>
      <c r="X42" s="150"/>
      <c r="Y42" s="30" t="s">
        <v>244</v>
      </c>
      <c r="Z42" s="81"/>
      <c r="AA42" s="81"/>
      <c r="AB42" s="30"/>
      <c r="AC42" s="482"/>
      <c r="AD42" s="482"/>
      <c r="AE42" s="482"/>
      <c r="AF42" s="482"/>
      <c r="AG42" s="482"/>
      <c r="AH42" s="482"/>
      <c r="AI42" s="482"/>
      <c r="AJ42" s="482"/>
      <c r="AK42" s="482"/>
      <c r="AL42" s="482"/>
      <c r="AM42" s="482"/>
      <c r="AN42" s="96"/>
      <c r="AO42" s="96"/>
      <c r="AP42" s="96"/>
      <c r="AQ42" s="96">
        <v>789188.79</v>
      </c>
      <c r="AR42" s="96">
        <v>801732.79</v>
      </c>
      <c r="AS42" s="96"/>
      <c r="AT42" s="96">
        <v>802406.84</v>
      </c>
      <c r="AU42" s="96">
        <v>835576.89</v>
      </c>
      <c r="AV42" s="96">
        <v>851405.78</v>
      </c>
      <c r="AW42" s="96">
        <v>843866.44</v>
      </c>
      <c r="AX42" s="96">
        <v>846439.45</v>
      </c>
      <c r="AY42" s="96">
        <v>838704.69</v>
      </c>
      <c r="AZ42" s="96">
        <v>823843.9</v>
      </c>
      <c r="BA42" s="96">
        <v>816938.38</v>
      </c>
      <c r="BB42" s="96">
        <v>827580.86</v>
      </c>
      <c r="BC42" s="96">
        <v>869286.91</v>
      </c>
      <c r="BD42" s="96">
        <v>874553.46</v>
      </c>
      <c r="BE42" s="96">
        <v>921095.16</v>
      </c>
      <c r="BF42" s="96">
        <v>906532.39</v>
      </c>
      <c r="BG42" s="96">
        <v>905644.71</v>
      </c>
      <c r="BH42" s="96">
        <v>853989.39</v>
      </c>
      <c r="BI42" s="96">
        <v>861333.4</v>
      </c>
      <c r="BJ42" s="96">
        <v>861258.49</v>
      </c>
      <c r="BK42" s="472">
        <v>846765.31</v>
      </c>
      <c r="BL42" s="472">
        <v>0.0</v>
      </c>
      <c r="BM42" s="472">
        <v>0.0</v>
      </c>
      <c r="BN42" s="472">
        <v>0.0</v>
      </c>
      <c r="BO42" s="472">
        <v>0.0</v>
      </c>
      <c r="BP42" s="472">
        <v>0.0</v>
      </c>
      <c r="BQ42" s="472">
        <v>0.0</v>
      </c>
      <c r="BR42" s="472">
        <v>0.0</v>
      </c>
      <c r="BS42" s="472">
        <v>0.0</v>
      </c>
      <c r="BT42" s="472">
        <v>0.0</v>
      </c>
      <c r="BU42" s="472">
        <v>0.0</v>
      </c>
      <c r="BV42" s="472">
        <v>0.0</v>
      </c>
      <c r="BW42" s="472">
        <v>0.0</v>
      </c>
      <c r="BX42" s="472">
        <v>0.0</v>
      </c>
      <c r="BY42" s="472">
        <v>0.0</v>
      </c>
      <c r="BZ42" s="472">
        <v>0.0</v>
      </c>
      <c r="CA42" s="474">
        <v>0.0</v>
      </c>
      <c r="CB42" s="474">
        <v>0.0</v>
      </c>
      <c r="CC42" s="474">
        <v>0.0</v>
      </c>
      <c r="CD42" s="474">
        <v>0.0</v>
      </c>
      <c r="CE42" s="474">
        <v>0.0</v>
      </c>
      <c r="CF42" s="474">
        <v>0.0</v>
      </c>
      <c r="CG42" s="474">
        <v>0.0</v>
      </c>
      <c r="CH42" s="65">
        <v>0.0</v>
      </c>
      <c r="CI42" s="65">
        <v>0.0</v>
      </c>
      <c r="CJ42" s="65">
        <v>0.0</v>
      </c>
      <c r="CK42" s="65">
        <v>0.0</v>
      </c>
      <c r="CL42" s="65">
        <v>0.0</v>
      </c>
      <c r="CM42" s="65">
        <v>0.0</v>
      </c>
      <c r="CN42" s="65">
        <v>0.0</v>
      </c>
    </row>
    <row r="43" ht="15.75" customHeight="1">
      <c r="A43" s="462" t="s">
        <v>2346</v>
      </c>
      <c r="B43" s="518" t="s">
        <v>2122</v>
      </c>
      <c r="C43" s="141">
        <v>33002.0</v>
      </c>
      <c r="D43" s="63" t="s">
        <v>120</v>
      </c>
      <c r="E43" s="63" t="s">
        <v>91</v>
      </c>
      <c r="F43" s="63" t="s">
        <v>521</v>
      </c>
      <c r="G43" s="47" t="str">
        <f t="shared" si="1"/>
        <v>Breno</v>
      </c>
      <c r="H43" s="142" t="s">
        <v>295</v>
      </c>
      <c r="I43" s="49" t="s">
        <v>382</v>
      </c>
      <c r="J43" s="63" t="str">
        <f t="shared" si="2"/>
        <v>Sim</v>
      </c>
      <c r="K43" s="467">
        <v>44263.0</v>
      </c>
      <c r="L43" s="81"/>
      <c r="M43" s="81" t="s">
        <v>209</v>
      </c>
      <c r="N43" s="478">
        <v>0.0075</v>
      </c>
      <c r="O43" s="63" t="s">
        <v>35</v>
      </c>
      <c r="P43" s="145">
        <v>0.15</v>
      </c>
      <c r="Q43" s="158" t="s">
        <v>3656</v>
      </c>
      <c r="R43" s="160"/>
      <c r="S43" s="62" t="s">
        <v>194</v>
      </c>
      <c r="T43" s="141" t="s">
        <v>2126</v>
      </c>
      <c r="U43" s="95" t="s">
        <v>221</v>
      </c>
      <c r="V43" s="49" t="str">
        <f t="shared" si="3"/>
        <v>Inativo</v>
      </c>
      <c r="W43" s="150"/>
      <c r="X43" s="150"/>
      <c r="Y43" s="30" t="s">
        <v>269</v>
      </c>
      <c r="Z43" s="81"/>
      <c r="AA43" s="467">
        <v>44263.0</v>
      </c>
      <c r="AB43" s="30">
        <v>4.9075100009597E13</v>
      </c>
      <c r="AC43" s="482"/>
      <c r="AD43" s="482"/>
      <c r="AE43" s="482"/>
      <c r="AF43" s="482"/>
      <c r="AG43" s="482"/>
      <c r="AH43" s="482"/>
      <c r="AI43" s="482"/>
      <c r="AJ43" s="482"/>
      <c r="AK43" s="482"/>
      <c r="AL43" s="482"/>
      <c r="AM43" s="482"/>
      <c r="AN43" s="96"/>
      <c r="AO43" s="96"/>
      <c r="AP43" s="96"/>
      <c r="AQ43" s="471">
        <v>7235956.09</v>
      </c>
      <c r="AR43" s="471">
        <v>7269024.62</v>
      </c>
      <c r="AS43" s="471"/>
      <c r="AT43" s="471">
        <v>7611598.27</v>
      </c>
      <c r="AU43" s="471">
        <v>7566070.03</v>
      </c>
      <c r="AV43" s="96">
        <v>7536661.61</v>
      </c>
      <c r="AW43" s="96">
        <v>7912549.15</v>
      </c>
      <c r="AX43" s="96">
        <v>7768232.63</v>
      </c>
      <c r="AY43" s="96">
        <v>7647384.02</v>
      </c>
      <c r="AZ43" s="96">
        <v>7214068.02</v>
      </c>
      <c r="BA43" s="96">
        <v>7358684.21</v>
      </c>
      <c r="BB43" s="96">
        <v>7448285.13</v>
      </c>
      <c r="BC43" s="96">
        <v>7624660.98</v>
      </c>
      <c r="BD43" s="96">
        <v>7677957.67</v>
      </c>
      <c r="BE43" s="96">
        <v>8017181.95</v>
      </c>
      <c r="BF43" s="96">
        <v>7895003.56</v>
      </c>
      <c r="BG43" s="472">
        <v>7886157.13</v>
      </c>
      <c r="BH43" s="472">
        <v>7836615.53</v>
      </c>
      <c r="BI43" s="472">
        <v>7928589.73</v>
      </c>
      <c r="BJ43" s="472">
        <v>8019979.05</v>
      </c>
      <c r="BK43" s="472">
        <v>8099521.3</v>
      </c>
      <c r="BL43" s="472">
        <v>8341002.47</v>
      </c>
      <c r="BM43" s="472">
        <v>8292909.7</v>
      </c>
      <c r="BN43" s="472">
        <v>8236107.91</v>
      </c>
      <c r="BO43" s="472">
        <v>8361634.28</v>
      </c>
      <c r="BP43" s="472">
        <v>8659365.71</v>
      </c>
      <c r="BQ43" s="472">
        <v>1157161.02</v>
      </c>
      <c r="BR43" s="472">
        <v>1162295.96</v>
      </c>
      <c r="BS43" s="472">
        <v>0.0</v>
      </c>
      <c r="BT43" s="472">
        <v>0.0</v>
      </c>
      <c r="BU43" s="472">
        <v>0.0</v>
      </c>
      <c r="BV43" s="472">
        <v>0.0</v>
      </c>
      <c r="BW43" s="472">
        <v>0.0</v>
      </c>
      <c r="BX43" s="472">
        <v>0.0</v>
      </c>
      <c r="BY43" s="472">
        <v>0.0</v>
      </c>
      <c r="BZ43" s="472">
        <v>0.0</v>
      </c>
      <c r="CA43" s="474">
        <v>0.0</v>
      </c>
      <c r="CB43" s="474">
        <v>0.0</v>
      </c>
      <c r="CC43" s="474">
        <v>0.0</v>
      </c>
      <c r="CD43" s="474">
        <v>0.0</v>
      </c>
      <c r="CE43" s="474">
        <v>0.0</v>
      </c>
      <c r="CF43" s="474">
        <v>0.0</v>
      </c>
      <c r="CG43" s="474">
        <v>0.0</v>
      </c>
      <c r="CH43" s="65">
        <v>0.0</v>
      </c>
      <c r="CI43" s="65">
        <v>0.0</v>
      </c>
      <c r="CJ43" s="65">
        <v>0.0</v>
      </c>
      <c r="CK43" s="65">
        <v>0.0</v>
      </c>
      <c r="CL43" s="65">
        <v>0.0</v>
      </c>
      <c r="CM43" s="65">
        <v>0.0</v>
      </c>
      <c r="CN43" s="65">
        <v>0.0</v>
      </c>
    </row>
    <row r="44" ht="15.75" customHeight="1">
      <c r="A44" s="462" t="s">
        <v>2346</v>
      </c>
      <c r="B44" s="477" t="s">
        <v>3662</v>
      </c>
      <c r="C44" s="141">
        <v>575772.0</v>
      </c>
      <c r="D44" s="63" t="s">
        <v>120</v>
      </c>
      <c r="E44" s="63" t="s">
        <v>91</v>
      </c>
      <c r="F44" s="81" t="s">
        <v>521</v>
      </c>
      <c r="G44" s="47" t="str">
        <f t="shared" si="1"/>
        <v>Breno</v>
      </c>
      <c r="H44" s="152" t="s">
        <v>224</v>
      </c>
      <c r="I44" s="74" t="s">
        <v>66</v>
      </c>
      <c r="J44" s="63" t="str">
        <f t="shared" si="2"/>
        <v>Não</v>
      </c>
      <c r="K44" s="467">
        <v>44280.0</v>
      </c>
      <c r="L44" s="480">
        <v>44512.0</v>
      </c>
      <c r="M44" s="81" t="s">
        <v>231</v>
      </c>
      <c r="N44" s="478">
        <v>0.025</v>
      </c>
      <c r="O44" s="141" t="s">
        <v>233</v>
      </c>
      <c r="P44" s="145">
        <v>0.2</v>
      </c>
      <c r="Q44" s="190"/>
      <c r="R44" s="158"/>
      <c r="S44" s="62" t="s">
        <v>234</v>
      </c>
      <c r="T44" s="30" t="s">
        <v>3664</v>
      </c>
      <c r="U44" s="95" t="s">
        <v>221</v>
      </c>
      <c r="V44" s="49" t="str">
        <f t="shared" si="3"/>
        <v>Encerrado</v>
      </c>
      <c r="W44" s="150"/>
      <c r="X44" s="150"/>
      <c r="Y44" s="81"/>
      <c r="Z44" s="81"/>
      <c r="AA44" s="81"/>
      <c r="AB44" s="30"/>
      <c r="AC44" s="482"/>
      <c r="AD44" s="482"/>
      <c r="AE44" s="482"/>
      <c r="AF44" s="482"/>
      <c r="AG44" s="482"/>
      <c r="AH44" s="482"/>
      <c r="AI44" s="482"/>
      <c r="AJ44" s="482"/>
      <c r="AK44" s="482"/>
      <c r="AL44" s="482"/>
      <c r="AM44" s="482"/>
      <c r="AN44" s="96"/>
      <c r="AO44" s="96"/>
      <c r="AP44" s="96"/>
      <c r="AQ44" s="96">
        <v>754702.02</v>
      </c>
      <c r="AR44" s="96">
        <v>758147.1</v>
      </c>
      <c r="AS44" s="96">
        <v>1607331.5</v>
      </c>
      <c r="AT44" s="96">
        <v>1622459.6</v>
      </c>
      <c r="AU44" s="96">
        <v>1693737.37</v>
      </c>
      <c r="AV44" s="96">
        <v>1670571.53</v>
      </c>
      <c r="AW44" s="96">
        <v>1635681.63</v>
      </c>
      <c r="AX44" s="96">
        <v>1558503.26</v>
      </c>
      <c r="AY44" s="96">
        <v>60486.36</v>
      </c>
      <c r="AZ44" s="96">
        <v>63054.73</v>
      </c>
      <c r="BA44" s="96"/>
      <c r="BB44" s="96"/>
      <c r="BC44" s="96"/>
      <c r="BD44" s="96">
        <v>0.0</v>
      </c>
      <c r="BE44" s="96">
        <v>0.0</v>
      </c>
      <c r="BF44" s="96">
        <v>0.0</v>
      </c>
      <c r="BG44" s="96" t="s">
        <v>377</v>
      </c>
      <c r="BH44" s="96">
        <v>0.0</v>
      </c>
      <c r="BI44" s="96">
        <v>0.0</v>
      </c>
      <c r="BJ44" s="96">
        <v>0.0</v>
      </c>
      <c r="BK44" s="472">
        <v>0.0</v>
      </c>
      <c r="BL44" s="472">
        <v>0.0</v>
      </c>
      <c r="BM44" s="472">
        <v>0.0</v>
      </c>
      <c r="BN44" s="472">
        <v>0.0</v>
      </c>
      <c r="BO44" s="472">
        <v>0.0</v>
      </c>
      <c r="BP44" s="472">
        <v>0.0</v>
      </c>
      <c r="BQ44" s="472">
        <v>0.0</v>
      </c>
      <c r="BR44" s="472">
        <v>0.0</v>
      </c>
      <c r="BS44" s="472">
        <v>0.0</v>
      </c>
      <c r="BT44" s="472">
        <v>0.0</v>
      </c>
      <c r="BU44" s="472">
        <v>0.0</v>
      </c>
      <c r="BV44" s="472">
        <v>0.0</v>
      </c>
      <c r="BW44" s="472">
        <v>0.0</v>
      </c>
      <c r="BX44" s="472">
        <v>0.0</v>
      </c>
      <c r="BY44" s="472">
        <v>0.0</v>
      </c>
      <c r="BZ44" s="472">
        <v>0.0</v>
      </c>
      <c r="CA44" s="474">
        <v>0.0</v>
      </c>
      <c r="CB44" s="474">
        <v>0.0</v>
      </c>
      <c r="CC44" s="474">
        <v>0.0</v>
      </c>
      <c r="CD44" s="474">
        <v>0.0</v>
      </c>
      <c r="CE44" s="474">
        <v>0.0</v>
      </c>
      <c r="CF44" s="474">
        <v>0.0</v>
      </c>
      <c r="CG44" s="474">
        <v>0.0</v>
      </c>
      <c r="CH44" s="65">
        <v>0.0</v>
      </c>
      <c r="CI44" s="65">
        <v>0.0</v>
      </c>
      <c r="CJ44" s="65">
        <v>0.0</v>
      </c>
      <c r="CK44" s="65">
        <v>0.0</v>
      </c>
      <c r="CL44" s="65">
        <v>0.0</v>
      </c>
      <c r="CM44" s="65">
        <v>0.0</v>
      </c>
      <c r="CN44" s="65">
        <v>0.0</v>
      </c>
    </row>
    <row r="45" ht="15.75" customHeight="1">
      <c r="A45" s="462" t="s">
        <v>2346</v>
      </c>
      <c r="B45" s="249" t="s">
        <v>621</v>
      </c>
      <c r="C45" s="141">
        <v>627408.0</v>
      </c>
      <c r="D45" s="63" t="s">
        <v>120</v>
      </c>
      <c r="E45" s="63" t="s">
        <v>622</v>
      </c>
      <c r="F45" s="62" t="s">
        <v>623</v>
      </c>
      <c r="G45" s="47" t="str">
        <f t="shared" si="1"/>
        <v>Breno</v>
      </c>
      <c r="H45" s="142" t="s">
        <v>295</v>
      </c>
      <c r="I45" s="49" t="s">
        <v>382</v>
      </c>
      <c r="J45" s="63" t="str">
        <f t="shared" si="2"/>
        <v>Não</v>
      </c>
      <c r="K45" s="479">
        <v>44512.0</v>
      </c>
      <c r="L45" s="81"/>
      <c r="M45" s="81" t="s">
        <v>34</v>
      </c>
      <c r="N45" s="478">
        <v>0.012</v>
      </c>
      <c r="O45" s="141" t="s">
        <v>66</v>
      </c>
      <c r="P45" s="145">
        <v>0.0</v>
      </c>
      <c r="Q45" s="70"/>
      <c r="R45" s="70"/>
      <c r="S45" s="62" t="s">
        <v>194</v>
      </c>
      <c r="T45" s="27" t="s">
        <v>631</v>
      </c>
      <c r="U45" s="62" t="s">
        <v>618</v>
      </c>
      <c r="V45" s="49" t="str">
        <f t="shared" si="3"/>
        <v>Ativo</v>
      </c>
      <c r="W45" s="150"/>
      <c r="X45" s="150"/>
      <c r="Y45" s="30" t="s">
        <v>244</v>
      </c>
      <c r="Z45" s="81"/>
      <c r="AA45" s="480">
        <v>44512.0</v>
      </c>
      <c r="AB45" s="30">
        <v>4.9075100003181E13</v>
      </c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96"/>
      <c r="AN45" s="96"/>
      <c r="AO45" s="96"/>
      <c r="AP45" s="96"/>
      <c r="AQ45" s="96"/>
      <c r="AR45" s="96"/>
      <c r="AS45" s="96"/>
      <c r="AT45" s="96"/>
      <c r="AU45" s="482"/>
      <c r="AV45" s="482"/>
      <c r="AW45" s="482"/>
      <c r="AX45" s="379"/>
      <c r="AY45" s="96"/>
      <c r="AZ45" s="96"/>
      <c r="BA45" s="96">
        <v>5012.74</v>
      </c>
      <c r="BB45" s="96">
        <v>5049.73</v>
      </c>
      <c r="BC45" s="96">
        <v>5087.71</v>
      </c>
      <c r="BD45" s="96">
        <v>5125.07</v>
      </c>
      <c r="BE45" s="96">
        <v>5173.9</v>
      </c>
      <c r="BF45" s="96">
        <v>5193.83</v>
      </c>
      <c r="BG45" s="472">
        <v>5250.05</v>
      </c>
      <c r="BH45" s="472">
        <v>5304.8</v>
      </c>
      <c r="BI45" s="472">
        <v>5359.98</v>
      </c>
      <c r="BJ45" s="472">
        <v>5423.77</v>
      </c>
      <c r="BK45" s="472">
        <v>5483.78</v>
      </c>
      <c r="BL45" s="472">
        <v>5540.41</v>
      </c>
      <c r="BM45" s="472">
        <v>5595.29</v>
      </c>
      <c r="BN45" s="472">
        <v>5652.32</v>
      </c>
      <c r="BO45" s="472">
        <v>5720.49</v>
      </c>
      <c r="BP45" s="472">
        <v>5771.79</v>
      </c>
      <c r="BQ45" s="472">
        <v>5838.68</v>
      </c>
      <c r="BR45" s="472">
        <v>5887.3</v>
      </c>
      <c r="BS45" s="472">
        <v>5956.04</v>
      </c>
      <c r="BT45" s="472">
        <v>0.0</v>
      </c>
      <c r="BU45" s="472">
        <v>0.0</v>
      </c>
      <c r="BV45" s="472">
        <v>0.0</v>
      </c>
      <c r="BW45" s="472">
        <v>0.0</v>
      </c>
      <c r="BX45" s="472">
        <v>0.0</v>
      </c>
      <c r="BY45" s="472">
        <v>0.0</v>
      </c>
      <c r="BZ45" s="472">
        <v>0.0</v>
      </c>
      <c r="CA45" s="474">
        <v>0.0</v>
      </c>
      <c r="CB45" s="474">
        <v>0.0</v>
      </c>
      <c r="CC45" s="474">
        <v>6443.17</v>
      </c>
      <c r="CD45" s="474">
        <v>6500.35</v>
      </c>
      <c r="CE45" s="474">
        <v>6554.23</v>
      </c>
      <c r="CF45" s="474">
        <v>6606.23</v>
      </c>
      <c r="CG45" s="474">
        <v>6666.12</v>
      </c>
      <c r="CH45" s="65">
        <v>0.0</v>
      </c>
      <c r="CI45" s="65">
        <v>0.0</v>
      </c>
      <c r="CJ45" s="65">
        <v>0.0</v>
      </c>
      <c r="CK45" s="65">
        <v>0.0</v>
      </c>
      <c r="CL45" s="65">
        <v>0.0</v>
      </c>
      <c r="CM45" s="65">
        <v>0.0</v>
      </c>
      <c r="CN45" s="65">
        <v>0.0</v>
      </c>
    </row>
    <row r="46" ht="15.75" customHeight="1">
      <c r="A46" s="462" t="s">
        <v>2346</v>
      </c>
      <c r="B46" s="510" t="s">
        <v>3687</v>
      </c>
      <c r="C46" s="141">
        <v>82555.0</v>
      </c>
      <c r="D46" s="63" t="s">
        <v>669</v>
      </c>
      <c r="E46" s="63" t="s">
        <v>199</v>
      </c>
      <c r="F46" s="81" t="s">
        <v>1228</v>
      </c>
      <c r="G46" s="47" t="str">
        <f t="shared" si="1"/>
        <v>Breno</v>
      </c>
      <c r="H46" s="152" t="s">
        <v>224</v>
      </c>
      <c r="I46" s="74" t="s">
        <v>66</v>
      </c>
      <c r="J46" s="63" t="str">
        <f t="shared" si="2"/>
        <v>Não</v>
      </c>
      <c r="K46" s="467">
        <v>43567.0</v>
      </c>
      <c r="L46" s="480">
        <v>43768.0</v>
      </c>
      <c r="M46" s="81" t="s">
        <v>231</v>
      </c>
      <c r="N46" s="478">
        <v>0.025</v>
      </c>
      <c r="O46" s="141" t="s">
        <v>233</v>
      </c>
      <c r="P46" s="145">
        <v>0.2</v>
      </c>
      <c r="Q46" s="190"/>
      <c r="R46" s="158"/>
      <c r="S46" s="62" t="s">
        <v>194</v>
      </c>
      <c r="T46" s="30" t="s">
        <v>3690</v>
      </c>
      <c r="U46" s="81" t="s">
        <v>618</v>
      </c>
      <c r="V46" s="49" t="str">
        <f t="shared" si="3"/>
        <v>Encerrado</v>
      </c>
      <c r="W46" s="150"/>
      <c r="X46" s="150"/>
      <c r="Y46" s="81"/>
      <c r="Z46" s="81"/>
      <c r="AA46" s="81"/>
      <c r="AB46" s="30"/>
      <c r="AC46" s="96">
        <v>0.0</v>
      </c>
      <c r="AD46" s="96">
        <v>0.0</v>
      </c>
      <c r="AE46" s="96">
        <v>0.0</v>
      </c>
      <c r="AF46" s="96">
        <v>0.0</v>
      </c>
      <c r="AG46" s="96">
        <v>0.0</v>
      </c>
      <c r="AH46" s="96">
        <v>0.0</v>
      </c>
      <c r="AI46" s="96">
        <v>0.0</v>
      </c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482"/>
      <c r="AW46" s="482"/>
      <c r="AX46" s="482"/>
      <c r="AY46" s="96"/>
      <c r="AZ46" s="96"/>
      <c r="BA46" s="96"/>
      <c r="BB46" s="96"/>
      <c r="BC46" s="96"/>
      <c r="BD46" s="96">
        <v>0.0</v>
      </c>
      <c r="BE46" s="96">
        <v>0.0</v>
      </c>
      <c r="BF46" s="96">
        <v>0.0</v>
      </c>
      <c r="BG46" s="96" t="s">
        <v>377</v>
      </c>
      <c r="BH46" s="96">
        <v>0.0</v>
      </c>
      <c r="BI46" s="96">
        <v>0.0</v>
      </c>
      <c r="BJ46" s="96">
        <v>0.0</v>
      </c>
      <c r="BK46" s="472">
        <v>0.0</v>
      </c>
      <c r="BL46" s="472">
        <v>0.0</v>
      </c>
      <c r="BM46" s="472">
        <v>0.0</v>
      </c>
      <c r="BN46" s="472">
        <v>0.0</v>
      </c>
      <c r="BO46" s="472">
        <v>0.0</v>
      </c>
      <c r="BP46" s="472">
        <v>0.0</v>
      </c>
      <c r="BQ46" s="472">
        <v>0.0</v>
      </c>
      <c r="BR46" s="472">
        <v>0.0</v>
      </c>
      <c r="BS46" s="472">
        <v>0.0</v>
      </c>
      <c r="BT46" s="472">
        <v>0.0</v>
      </c>
      <c r="BU46" s="472">
        <v>0.0</v>
      </c>
      <c r="BV46" s="472">
        <v>0.0</v>
      </c>
      <c r="BW46" s="472">
        <v>0.0</v>
      </c>
      <c r="BX46" s="472">
        <v>0.0</v>
      </c>
      <c r="BY46" s="472">
        <v>0.0</v>
      </c>
      <c r="BZ46" s="472">
        <v>0.0</v>
      </c>
      <c r="CA46" s="474">
        <v>0.0</v>
      </c>
      <c r="CB46" s="474">
        <v>0.0</v>
      </c>
      <c r="CC46" s="474">
        <v>0.0</v>
      </c>
      <c r="CD46" s="474">
        <v>0.0</v>
      </c>
      <c r="CE46" s="474">
        <v>0.0</v>
      </c>
      <c r="CF46" s="474">
        <v>0.0</v>
      </c>
      <c r="CG46" s="474">
        <v>0.0</v>
      </c>
      <c r="CH46" s="65">
        <v>0.0</v>
      </c>
      <c r="CI46" s="65">
        <v>0.0</v>
      </c>
      <c r="CJ46" s="65">
        <v>0.0</v>
      </c>
      <c r="CK46" s="65">
        <v>0.0</v>
      </c>
      <c r="CL46" s="65">
        <v>0.0</v>
      </c>
      <c r="CM46" s="65">
        <v>0.0</v>
      </c>
      <c r="CN46" s="65">
        <v>0.0</v>
      </c>
    </row>
    <row r="47" ht="15.75" customHeight="1">
      <c r="A47" s="462" t="s">
        <v>2346</v>
      </c>
      <c r="B47" s="477" t="s">
        <v>3697</v>
      </c>
      <c r="C47" s="141">
        <v>575918.0</v>
      </c>
      <c r="D47" s="63" t="s">
        <v>669</v>
      </c>
      <c r="E47" s="63" t="s">
        <v>199</v>
      </c>
      <c r="F47" s="81" t="s">
        <v>1228</v>
      </c>
      <c r="G47" s="47" t="str">
        <f t="shared" si="1"/>
        <v>Breno</v>
      </c>
      <c r="H47" s="152" t="s">
        <v>224</v>
      </c>
      <c r="I47" s="74" t="s">
        <v>66</v>
      </c>
      <c r="J47" s="63" t="str">
        <f t="shared" si="2"/>
        <v>Não</v>
      </c>
      <c r="K47" s="467">
        <v>43725.0</v>
      </c>
      <c r="L47" s="480">
        <v>44490.0</v>
      </c>
      <c r="M47" s="81" t="s">
        <v>209</v>
      </c>
      <c r="N47" s="478">
        <v>0.01</v>
      </c>
      <c r="O47" s="63" t="s">
        <v>35</v>
      </c>
      <c r="P47" s="145">
        <v>0.1</v>
      </c>
      <c r="Q47" s="158"/>
      <c r="R47" s="190"/>
      <c r="S47" s="62" t="s">
        <v>194</v>
      </c>
      <c r="T47" s="30" t="s">
        <v>3700</v>
      </c>
      <c r="U47" s="81" t="s">
        <v>199</v>
      </c>
      <c r="V47" s="49" t="str">
        <f t="shared" si="3"/>
        <v>Encerrado</v>
      </c>
      <c r="W47" s="150"/>
      <c r="X47" s="150"/>
      <c r="Y47" s="81"/>
      <c r="Z47" s="81"/>
      <c r="AA47" s="81"/>
      <c r="AB47" s="30"/>
      <c r="AC47" s="96">
        <v>101588.43</v>
      </c>
      <c r="AD47" s="96">
        <v>100105.88</v>
      </c>
      <c r="AE47" s="96">
        <v>96648.78</v>
      </c>
      <c r="AF47" s="96">
        <v>97081.62</v>
      </c>
      <c r="AG47" s="96">
        <v>97860.73</v>
      </c>
      <c r="AH47" s="96">
        <v>98350.86</v>
      </c>
      <c r="AI47" s="96">
        <v>99488.49</v>
      </c>
      <c r="AJ47" s="96">
        <v>98603.43</v>
      </c>
      <c r="AK47" s="96">
        <v>97138.93</v>
      </c>
      <c r="AL47" s="96">
        <v>97260.01</v>
      </c>
      <c r="AM47" s="96">
        <v>99637.29</v>
      </c>
      <c r="AN47" s="96">
        <v>100638.85</v>
      </c>
      <c r="AO47" s="96">
        <v>34143.79</v>
      </c>
      <c r="AP47" s="96">
        <v>34012.55</v>
      </c>
      <c r="AQ47" s="96">
        <v>34030.3</v>
      </c>
      <c r="AR47" s="96">
        <v>33952.38</v>
      </c>
      <c r="AS47" s="96">
        <v>33889.99</v>
      </c>
      <c r="AT47" s="96">
        <v>33786.11</v>
      </c>
      <c r="AU47" s="96">
        <v>33873.85</v>
      </c>
      <c r="AV47" s="96">
        <v>33850.81</v>
      </c>
      <c r="AW47" s="96">
        <v>34102.19</v>
      </c>
      <c r="AX47" s="96">
        <v>34240.54</v>
      </c>
      <c r="AY47" s="96">
        <v>1902.11</v>
      </c>
      <c r="AZ47" s="96"/>
      <c r="BA47" s="96"/>
      <c r="BB47" s="96"/>
      <c r="BC47" s="96"/>
      <c r="BD47" s="96">
        <v>0.0</v>
      </c>
      <c r="BE47" s="96">
        <v>0.0</v>
      </c>
      <c r="BF47" s="96">
        <v>0.0</v>
      </c>
      <c r="BG47" s="96" t="s">
        <v>377</v>
      </c>
      <c r="BH47" s="96">
        <v>0.0</v>
      </c>
      <c r="BI47" s="96">
        <v>0.0</v>
      </c>
      <c r="BJ47" s="96">
        <v>0.0</v>
      </c>
      <c r="BK47" s="472">
        <v>0.0</v>
      </c>
      <c r="BL47" s="472">
        <v>0.0</v>
      </c>
      <c r="BM47" s="472">
        <v>0.0</v>
      </c>
      <c r="BN47" s="472">
        <v>0.0</v>
      </c>
      <c r="BO47" s="472">
        <v>0.0</v>
      </c>
      <c r="BP47" s="472">
        <v>0.0</v>
      </c>
      <c r="BQ47" s="472">
        <v>0.0</v>
      </c>
      <c r="BR47" s="472">
        <v>0.0</v>
      </c>
      <c r="BS47" s="472">
        <v>0.0</v>
      </c>
      <c r="BT47" s="472">
        <v>0.0</v>
      </c>
      <c r="BU47" s="472">
        <v>0.0</v>
      </c>
      <c r="BV47" s="472">
        <v>0.0</v>
      </c>
      <c r="BW47" s="472">
        <v>0.0</v>
      </c>
      <c r="BX47" s="472">
        <v>0.0</v>
      </c>
      <c r="BY47" s="472">
        <v>0.0</v>
      </c>
      <c r="BZ47" s="472">
        <v>0.0</v>
      </c>
      <c r="CA47" s="474">
        <v>0.0</v>
      </c>
      <c r="CB47" s="474">
        <v>0.0</v>
      </c>
      <c r="CC47" s="474">
        <v>0.0</v>
      </c>
      <c r="CD47" s="474">
        <v>0.0</v>
      </c>
      <c r="CE47" s="474">
        <v>0.0</v>
      </c>
      <c r="CF47" s="474">
        <v>0.0</v>
      </c>
      <c r="CG47" s="474">
        <v>0.0</v>
      </c>
      <c r="CH47" s="65">
        <v>0.0</v>
      </c>
      <c r="CI47" s="65">
        <v>0.0</v>
      </c>
      <c r="CJ47" s="65">
        <v>0.0</v>
      </c>
      <c r="CK47" s="65">
        <v>0.0</v>
      </c>
      <c r="CL47" s="65">
        <v>0.0</v>
      </c>
      <c r="CM47" s="65">
        <v>0.0</v>
      </c>
      <c r="CN47" s="65">
        <v>0.0</v>
      </c>
    </row>
    <row r="48" ht="15.75" customHeight="1">
      <c r="A48" s="462" t="s">
        <v>2346</v>
      </c>
      <c r="B48" s="176" t="s">
        <v>2299</v>
      </c>
      <c r="C48" s="141">
        <v>624508.0</v>
      </c>
      <c r="D48" s="63" t="s">
        <v>120</v>
      </c>
      <c r="E48" s="63" t="s">
        <v>91</v>
      </c>
      <c r="F48" s="66" t="s">
        <v>521</v>
      </c>
      <c r="G48" s="47" t="str">
        <f t="shared" si="1"/>
        <v>Breno</v>
      </c>
      <c r="H48" s="152" t="s">
        <v>295</v>
      </c>
      <c r="I48" s="49" t="s">
        <v>382</v>
      </c>
      <c r="J48" s="63" t="str">
        <f t="shared" si="2"/>
        <v>Não</v>
      </c>
      <c r="K48" s="194">
        <v>44421.0</v>
      </c>
      <c r="L48" s="81"/>
      <c r="M48" s="81" t="s">
        <v>209</v>
      </c>
      <c r="N48" s="478">
        <v>0.015</v>
      </c>
      <c r="O48" s="63" t="s">
        <v>35</v>
      </c>
      <c r="P48" s="162">
        <v>0.1</v>
      </c>
      <c r="Q48" s="70"/>
      <c r="R48" s="70"/>
      <c r="S48" s="62" t="s">
        <v>194</v>
      </c>
      <c r="T48" s="22" t="s">
        <v>2307</v>
      </c>
      <c r="U48" s="95" t="s">
        <v>221</v>
      </c>
      <c r="V48" s="49" t="str">
        <f t="shared" si="3"/>
        <v>Ativo</v>
      </c>
      <c r="W48" s="150"/>
      <c r="X48" s="150"/>
      <c r="Y48" s="30" t="s">
        <v>244</v>
      </c>
      <c r="Z48" s="81"/>
      <c r="AA48" s="467">
        <v>44421.0</v>
      </c>
      <c r="AB48" s="30">
        <v>4.9075100003191E13</v>
      </c>
      <c r="AC48" s="246"/>
      <c r="AD48" s="246"/>
      <c r="AE48" s="246"/>
      <c r="AF48" s="246"/>
      <c r="AG48" s="246"/>
      <c r="AH48" s="246"/>
      <c r="AI48" s="246"/>
      <c r="AJ48" s="246"/>
      <c r="AK48" s="246"/>
      <c r="AL48" s="246"/>
      <c r="AM48" s="246"/>
      <c r="AN48" s="96"/>
      <c r="AO48" s="96"/>
      <c r="AP48" s="471"/>
      <c r="AQ48" s="471"/>
      <c r="AR48" s="471"/>
      <c r="AS48" s="471"/>
      <c r="AT48" s="471"/>
      <c r="AU48" s="96"/>
      <c r="AV48" s="96"/>
      <c r="AW48" s="476"/>
      <c r="AX48" s="476">
        <v>47648.88</v>
      </c>
      <c r="AY48" s="96">
        <v>46993.27</v>
      </c>
      <c r="AZ48" s="96">
        <v>35270.98</v>
      </c>
      <c r="BA48" s="96">
        <v>27919.29</v>
      </c>
      <c r="BB48" s="96">
        <v>27979.75</v>
      </c>
      <c r="BC48" s="96">
        <v>28655.09</v>
      </c>
      <c r="BD48" s="96">
        <v>21216.49</v>
      </c>
      <c r="BE48" s="96">
        <v>17209.95</v>
      </c>
      <c r="BF48" s="96">
        <v>16588.53</v>
      </c>
      <c r="BG48" s="472">
        <v>16536.42</v>
      </c>
      <c r="BH48" s="472">
        <v>16201.95</v>
      </c>
      <c r="BI48" s="472">
        <v>16469.87</v>
      </c>
      <c r="BJ48" s="472">
        <v>16932.21</v>
      </c>
      <c r="BK48" s="472">
        <v>16885.61</v>
      </c>
      <c r="BL48" s="472">
        <v>17417.23</v>
      </c>
      <c r="BM48" s="472">
        <v>17222.22</v>
      </c>
      <c r="BN48" s="472">
        <v>17294.35</v>
      </c>
      <c r="BO48" s="472">
        <v>17513.49</v>
      </c>
      <c r="BP48" s="472">
        <v>17592.19</v>
      </c>
      <c r="BQ48" s="472">
        <v>12701.68</v>
      </c>
      <c r="BR48" s="472">
        <v>12766.95</v>
      </c>
      <c r="BS48" s="472">
        <v>12903.71</v>
      </c>
      <c r="BT48" s="472">
        <v>12986.6</v>
      </c>
      <c r="BU48" s="472">
        <v>12380.43</v>
      </c>
      <c r="BV48" s="472">
        <v>7188.74</v>
      </c>
      <c r="BW48" s="472">
        <v>6382.46</v>
      </c>
      <c r="BX48" s="472">
        <v>7306.66</v>
      </c>
      <c r="BY48" s="472">
        <v>7073.07</v>
      </c>
      <c r="BZ48" s="472">
        <v>7414.6</v>
      </c>
      <c r="CA48" s="474">
        <v>7388.95</v>
      </c>
      <c r="CB48" s="474">
        <v>7446.0</v>
      </c>
      <c r="CC48" s="474">
        <v>3.71</v>
      </c>
      <c r="CD48" s="474">
        <v>0.0</v>
      </c>
      <c r="CE48" s="474">
        <v>0.0</v>
      </c>
      <c r="CF48" s="474">
        <v>0.0</v>
      </c>
      <c r="CG48" s="474">
        <v>0.0</v>
      </c>
      <c r="CH48" s="65">
        <v>0.0</v>
      </c>
      <c r="CI48" s="65">
        <v>0.0</v>
      </c>
      <c r="CJ48" s="65">
        <v>0.0</v>
      </c>
      <c r="CK48" s="65">
        <v>0.0</v>
      </c>
      <c r="CL48" s="65">
        <v>0.0</v>
      </c>
      <c r="CM48" s="65">
        <v>0.0</v>
      </c>
      <c r="CN48" s="65">
        <v>0.0</v>
      </c>
    </row>
    <row r="49" ht="15.75" customHeight="1">
      <c r="A49" s="462" t="s">
        <v>2346</v>
      </c>
      <c r="B49" s="477" t="s">
        <v>641</v>
      </c>
      <c r="C49" s="141">
        <v>270211.0</v>
      </c>
      <c r="D49" s="63" t="s">
        <v>120</v>
      </c>
      <c r="E49" s="63" t="s">
        <v>199</v>
      </c>
      <c r="F49" s="63" t="s">
        <v>212</v>
      </c>
      <c r="G49" s="47" t="str">
        <f t="shared" si="1"/>
        <v>Breno</v>
      </c>
      <c r="H49" s="152" t="s">
        <v>295</v>
      </c>
      <c r="I49" s="49" t="s">
        <v>382</v>
      </c>
      <c r="J49" s="63" t="str">
        <f t="shared" si="2"/>
        <v>Não</v>
      </c>
      <c r="K49" s="143">
        <v>43903.0</v>
      </c>
      <c r="L49" s="81"/>
      <c r="M49" s="81" t="s">
        <v>209</v>
      </c>
      <c r="N49" s="478">
        <v>0.015</v>
      </c>
      <c r="O49" s="141" t="s">
        <v>66</v>
      </c>
      <c r="P49" s="145">
        <v>0.0</v>
      </c>
      <c r="Q49" s="158"/>
      <c r="R49" s="153" t="s">
        <v>642</v>
      </c>
      <c r="S49" s="62" t="s">
        <v>194</v>
      </c>
      <c r="T49" s="30" t="s">
        <v>644</v>
      </c>
      <c r="U49" s="81" t="s">
        <v>397</v>
      </c>
      <c r="V49" s="49" t="str">
        <f t="shared" si="3"/>
        <v>Ativo</v>
      </c>
      <c r="W49" s="150"/>
      <c r="X49" s="150"/>
      <c r="Y49" s="30" t="s">
        <v>244</v>
      </c>
      <c r="Z49" s="81"/>
      <c r="AA49" s="467">
        <v>43903.0</v>
      </c>
      <c r="AB49" s="30">
        <v>4.9075100003203E13</v>
      </c>
      <c r="AC49" s="96">
        <v>145642.82</v>
      </c>
      <c r="AD49" s="96">
        <v>142959.05</v>
      </c>
      <c r="AE49" s="96">
        <v>268847.47</v>
      </c>
      <c r="AF49" s="96">
        <v>274057.68</v>
      </c>
      <c r="AG49" s="96">
        <v>279141.8</v>
      </c>
      <c r="AH49" s="96">
        <v>282221.55</v>
      </c>
      <c r="AI49" s="96">
        <v>349858.74</v>
      </c>
      <c r="AJ49" s="96">
        <v>320881.21</v>
      </c>
      <c r="AK49" s="96">
        <v>242299.17</v>
      </c>
      <c r="AL49" s="96">
        <v>166385.34</v>
      </c>
      <c r="AM49" s="96">
        <v>175521.76</v>
      </c>
      <c r="AN49" s="96">
        <v>179019.45</v>
      </c>
      <c r="AO49" s="96">
        <v>175665.52</v>
      </c>
      <c r="AP49" s="96">
        <v>168571.66</v>
      </c>
      <c r="AQ49" s="471">
        <v>166515.98</v>
      </c>
      <c r="AR49" s="471">
        <v>170842.36</v>
      </c>
      <c r="AS49" s="471">
        <v>173604.49</v>
      </c>
      <c r="AT49" s="471">
        <v>173590.14</v>
      </c>
      <c r="AU49" s="471">
        <v>176813.53</v>
      </c>
      <c r="AV49" s="96">
        <v>175857.66</v>
      </c>
      <c r="AW49" s="96">
        <v>174298.27</v>
      </c>
      <c r="AX49" s="96">
        <v>171587.07</v>
      </c>
      <c r="AY49" s="96">
        <v>151271.37</v>
      </c>
      <c r="AZ49" s="96">
        <v>164679.13</v>
      </c>
      <c r="BA49" s="96">
        <v>163317.99</v>
      </c>
      <c r="BB49" s="96">
        <v>163918.73</v>
      </c>
      <c r="BC49" s="96">
        <v>167848.8</v>
      </c>
      <c r="BD49" s="96">
        <v>168842.99</v>
      </c>
      <c r="BE49" s="96">
        <v>175863.39</v>
      </c>
      <c r="BF49" s="96">
        <v>172979.52</v>
      </c>
      <c r="BG49" s="472">
        <v>172884.68</v>
      </c>
      <c r="BH49" s="472">
        <v>171399.43</v>
      </c>
      <c r="BI49" s="472">
        <v>174087.64</v>
      </c>
      <c r="BJ49" s="472">
        <v>176435.28</v>
      </c>
      <c r="BK49" s="472">
        <v>178263.87</v>
      </c>
      <c r="BL49" s="472">
        <v>185324.15</v>
      </c>
      <c r="BM49" s="472">
        <v>183141.21</v>
      </c>
      <c r="BN49" s="472">
        <v>184624.8</v>
      </c>
      <c r="BO49" s="472">
        <v>186943.36</v>
      </c>
      <c r="BP49" s="472">
        <v>188170.44</v>
      </c>
      <c r="BQ49" s="472">
        <v>190398.81</v>
      </c>
      <c r="BR49" s="472">
        <v>191132.33</v>
      </c>
      <c r="BS49" s="472">
        <v>196022.46</v>
      </c>
      <c r="BT49" s="472">
        <v>192639.19</v>
      </c>
      <c r="BU49" s="472">
        <v>148647.12</v>
      </c>
      <c r="BV49" s="472">
        <v>199569.36</v>
      </c>
      <c r="BW49" s="472">
        <v>197632.48</v>
      </c>
      <c r="BX49" s="472">
        <v>198972.21</v>
      </c>
      <c r="BY49" s="472">
        <v>201808.71</v>
      </c>
      <c r="BZ49" s="472">
        <v>205842.52</v>
      </c>
      <c r="CA49" s="474">
        <v>203156.35</v>
      </c>
      <c r="CB49" s="474">
        <v>205145.92</v>
      </c>
      <c r="CC49" s="474">
        <v>98288.23</v>
      </c>
      <c r="CD49" s="474">
        <v>200770.71</v>
      </c>
      <c r="CE49" s="474">
        <v>196847.45</v>
      </c>
      <c r="CF49" s="474">
        <v>201902.2</v>
      </c>
      <c r="CG49" s="474">
        <v>198828.84</v>
      </c>
      <c r="CH49" s="65">
        <v>196544.34</v>
      </c>
      <c r="CI49" s="65">
        <v>395.14</v>
      </c>
      <c r="CJ49" s="65">
        <v>355.86</v>
      </c>
      <c r="CK49" s="65">
        <v>339.23</v>
      </c>
      <c r="CL49" s="65">
        <v>210.8</v>
      </c>
      <c r="CM49" s="65">
        <v>210.8</v>
      </c>
      <c r="CN49" s="65">
        <v>210.8</v>
      </c>
    </row>
    <row r="50" ht="15.75" customHeight="1">
      <c r="A50" s="462" t="s">
        <v>2346</v>
      </c>
      <c r="B50" s="477" t="s">
        <v>2394</v>
      </c>
      <c r="C50" s="141">
        <v>451734.0</v>
      </c>
      <c r="D50" s="521" t="s">
        <v>120</v>
      </c>
      <c r="E50" s="521" t="s">
        <v>199</v>
      </c>
      <c r="F50" s="521" t="s">
        <v>1914</v>
      </c>
      <c r="G50" s="47" t="str">
        <f t="shared" si="1"/>
        <v>Breno</v>
      </c>
      <c r="H50" s="239" t="s">
        <v>295</v>
      </c>
      <c r="I50" s="49" t="s">
        <v>382</v>
      </c>
      <c r="J50" s="63" t="str">
        <f t="shared" si="2"/>
        <v>Sim</v>
      </c>
      <c r="K50" s="523">
        <v>43928.0</v>
      </c>
      <c r="L50" s="524"/>
      <c r="M50" s="524" t="s">
        <v>209</v>
      </c>
      <c r="N50" s="539">
        <v>0.015</v>
      </c>
      <c r="O50" s="526" t="s">
        <v>35</v>
      </c>
      <c r="P50" s="527">
        <v>0.2</v>
      </c>
      <c r="Q50" s="158" t="s">
        <v>3725</v>
      </c>
      <c r="R50" s="153" t="s">
        <v>3726</v>
      </c>
      <c r="S50" s="62" t="s">
        <v>194</v>
      </c>
      <c r="T50" s="30" t="s">
        <v>2399</v>
      </c>
      <c r="U50" s="81" t="s">
        <v>1620</v>
      </c>
      <c r="V50" s="49" t="str">
        <f t="shared" si="3"/>
        <v>Ativo</v>
      </c>
      <c r="W50" s="150"/>
      <c r="X50" s="150"/>
      <c r="Y50" s="30" t="s">
        <v>244</v>
      </c>
      <c r="Z50" s="81"/>
      <c r="AA50" s="467">
        <v>43928.0</v>
      </c>
      <c r="AB50" s="30">
        <v>4.9075100004439E13</v>
      </c>
      <c r="AC50" s="96">
        <v>0.0</v>
      </c>
      <c r="AD50" s="96">
        <v>0.0</v>
      </c>
      <c r="AE50" s="96">
        <v>0.0</v>
      </c>
      <c r="AF50" s="96">
        <v>99148.64</v>
      </c>
      <c r="AG50" s="96">
        <v>102256.5</v>
      </c>
      <c r="AH50" s="96">
        <v>115566.32</v>
      </c>
      <c r="AI50" s="96">
        <v>118888.46</v>
      </c>
      <c r="AJ50" s="96">
        <v>114751.44</v>
      </c>
      <c r="AK50" s="96">
        <v>111616.76</v>
      </c>
      <c r="AL50" s="96">
        <v>111285.19</v>
      </c>
      <c r="AM50" s="96">
        <v>119550.43</v>
      </c>
      <c r="AN50" s="96">
        <v>224188.61</v>
      </c>
      <c r="AO50" s="96">
        <v>220752.93</v>
      </c>
      <c r="AP50" s="96">
        <v>211655.55</v>
      </c>
      <c r="AQ50" s="471">
        <v>209858.61</v>
      </c>
      <c r="AR50" s="471">
        <v>218436.88</v>
      </c>
      <c r="AS50" s="471">
        <v>238406.41</v>
      </c>
      <c r="AT50" s="471">
        <v>238908.65</v>
      </c>
      <c r="AU50" s="471">
        <v>244013.51</v>
      </c>
      <c r="AV50" s="96">
        <v>242501.45</v>
      </c>
      <c r="AW50" s="96">
        <v>239384.26</v>
      </c>
      <c r="AX50" s="96">
        <v>233845.45</v>
      </c>
      <c r="AY50" s="96">
        <v>210304.02</v>
      </c>
      <c r="AZ50" s="96">
        <v>221045.88</v>
      </c>
      <c r="BA50" s="96">
        <v>218069.03</v>
      </c>
      <c r="BB50" s="96">
        <v>219743.75</v>
      </c>
      <c r="BC50" s="96">
        <v>275461.61</v>
      </c>
      <c r="BD50" s="96">
        <v>277705.89</v>
      </c>
      <c r="BE50" s="96">
        <v>289723.8</v>
      </c>
      <c r="BF50" s="96">
        <v>285432.53</v>
      </c>
      <c r="BG50" s="472">
        <v>285086.99</v>
      </c>
      <c r="BH50" s="472">
        <v>283588.35</v>
      </c>
      <c r="BI50" s="472">
        <v>286851.62</v>
      </c>
      <c r="BJ50" s="472">
        <v>290540.5</v>
      </c>
      <c r="BK50" s="472">
        <v>292803.19</v>
      </c>
      <c r="BL50" s="472">
        <v>301335.43</v>
      </c>
      <c r="BM50" s="472">
        <v>302280.32</v>
      </c>
      <c r="BN50" s="472">
        <v>304885.23</v>
      </c>
      <c r="BO50" s="472">
        <v>359016.41</v>
      </c>
      <c r="BP50" s="472">
        <v>361720.16</v>
      </c>
      <c r="BQ50" s="472">
        <v>411670.6</v>
      </c>
      <c r="BR50" s="472">
        <v>414763.74</v>
      </c>
      <c r="BS50" s="472">
        <v>419051.61</v>
      </c>
      <c r="BT50" s="472">
        <v>422510.06</v>
      </c>
      <c r="BU50" s="472">
        <v>470372.27</v>
      </c>
      <c r="BV50" s="472">
        <v>476251.23</v>
      </c>
      <c r="BW50" s="472">
        <v>503526.86</v>
      </c>
      <c r="BX50" s="472">
        <v>507476.98</v>
      </c>
      <c r="BY50" s="472">
        <v>511805.4</v>
      </c>
      <c r="BZ50" s="472">
        <v>515932.33</v>
      </c>
      <c r="CA50" s="474">
        <v>519147.86</v>
      </c>
      <c r="CB50" s="474">
        <v>417261.23</v>
      </c>
      <c r="CC50" s="474">
        <v>21.6</v>
      </c>
      <c r="CD50" s="474">
        <v>21.6</v>
      </c>
      <c r="CE50" s="474">
        <v>0.0</v>
      </c>
      <c r="CF50" s="474">
        <v>0.0</v>
      </c>
      <c r="CG50" s="474">
        <v>0.0</v>
      </c>
      <c r="CH50" s="65">
        <v>0.0</v>
      </c>
      <c r="CI50" s="65">
        <v>0.0</v>
      </c>
      <c r="CJ50" s="65">
        <v>0.0</v>
      </c>
      <c r="CK50" s="65">
        <v>0.0</v>
      </c>
      <c r="CL50" s="65">
        <v>0.0</v>
      </c>
      <c r="CM50" s="65">
        <v>0.0</v>
      </c>
      <c r="CN50" s="65">
        <v>0.0</v>
      </c>
    </row>
    <row r="51" ht="15.75" customHeight="1">
      <c r="A51" s="462" t="s">
        <v>2346</v>
      </c>
      <c r="B51" s="510" t="s">
        <v>3736</v>
      </c>
      <c r="C51" s="141">
        <v>440470.0</v>
      </c>
      <c r="D51" s="63" t="s">
        <v>669</v>
      </c>
      <c r="E51" s="63" t="s">
        <v>199</v>
      </c>
      <c r="F51" s="81" t="s">
        <v>1228</v>
      </c>
      <c r="G51" s="47" t="str">
        <f t="shared" si="1"/>
        <v>Breno</v>
      </c>
      <c r="H51" s="152" t="s">
        <v>224</v>
      </c>
      <c r="I51" s="74" t="s">
        <v>66</v>
      </c>
      <c r="J51" s="63" t="str">
        <f t="shared" si="2"/>
        <v>Não</v>
      </c>
      <c r="K51" s="480">
        <v>43769.0</v>
      </c>
      <c r="L51" s="467">
        <v>44637.0</v>
      </c>
      <c r="M51" s="81" t="s">
        <v>34</v>
      </c>
      <c r="N51" s="478">
        <v>0.01</v>
      </c>
      <c r="O51" s="141" t="s">
        <v>66</v>
      </c>
      <c r="P51" s="145">
        <v>0.0</v>
      </c>
      <c r="Q51" s="190"/>
      <c r="R51" s="158" t="s">
        <v>3737</v>
      </c>
      <c r="S51" s="62" t="s">
        <v>194</v>
      </c>
      <c r="T51" s="30" t="s">
        <v>3738</v>
      </c>
      <c r="U51" s="81" t="s">
        <v>199</v>
      </c>
      <c r="V51" s="49" t="str">
        <f t="shared" si="3"/>
        <v>Encerrado</v>
      </c>
      <c r="W51" s="150"/>
      <c r="X51" s="150"/>
      <c r="Y51" s="81"/>
      <c r="Z51" s="81"/>
      <c r="AA51" s="81"/>
      <c r="AB51" s="30"/>
      <c r="AC51" s="96">
        <v>35970.59</v>
      </c>
      <c r="AD51" s="96">
        <v>35338.24</v>
      </c>
      <c r="AE51" s="96">
        <v>33967.45</v>
      </c>
      <c r="AF51" s="96">
        <v>34255.51</v>
      </c>
      <c r="AG51" s="96">
        <v>34473.06</v>
      </c>
      <c r="AH51" s="96">
        <v>34599.53</v>
      </c>
      <c r="AI51" s="96">
        <v>35123.17</v>
      </c>
      <c r="AJ51" s="96">
        <v>34532.19</v>
      </c>
      <c r="AK51" s="96">
        <v>34373.05</v>
      </c>
      <c r="AL51" s="96">
        <v>34383.29</v>
      </c>
      <c r="AM51" s="96">
        <v>35598.34</v>
      </c>
      <c r="AN51" s="96">
        <v>35806.58</v>
      </c>
      <c r="AO51" s="96">
        <v>35478.48</v>
      </c>
      <c r="AP51" s="96">
        <v>34506.11</v>
      </c>
      <c r="AQ51" s="96">
        <v>34058.5</v>
      </c>
      <c r="AR51" s="96">
        <v>31881.22</v>
      </c>
      <c r="AS51" s="96">
        <v>34619.83</v>
      </c>
      <c r="AT51" s="96">
        <v>34644.56</v>
      </c>
      <c r="AU51" s="96">
        <v>34920.5</v>
      </c>
      <c r="AV51" s="96">
        <v>34813.48</v>
      </c>
      <c r="AW51" s="96">
        <v>34679.86</v>
      </c>
      <c r="AX51" s="96">
        <v>34417.37</v>
      </c>
      <c r="AY51" s="96">
        <v>34144.28</v>
      </c>
      <c r="AZ51" s="96">
        <v>33637.23</v>
      </c>
      <c r="BA51" s="96">
        <v>12620.37</v>
      </c>
      <c r="BB51" s="96">
        <v>12645.41</v>
      </c>
      <c r="BC51" s="96">
        <v>3897.83</v>
      </c>
      <c r="BD51" s="96">
        <v>3918.4</v>
      </c>
      <c r="BE51" s="96">
        <v>3985.03</v>
      </c>
      <c r="BF51" s="96">
        <v>0.0</v>
      </c>
      <c r="BG51" s="505" t="s">
        <v>377</v>
      </c>
      <c r="BH51" s="96">
        <v>0.0</v>
      </c>
      <c r="BI51" s="96">
        <v>0.0</v>
      </c>
      <c r="BJ51" s="96">
        <v>1.92</v>
      </c>
      <c r="BK51" s="472">
        <v>1.92</v>
      </c>
      <c r="BL51" s="472">
        <v>1.92</v>
      </c>
      <c r="BM51" s="472">
        <v>1.92</v>
      </c>
      <c r="BN51" s="472">
        <v>1.92</v>
      </c>
      <c r="BO51" s="472">
        <v>1.92</v>
      </c>
      <c r="BP51" s="472">
        <v>1.92</v>
      </c>
      <c r="BQ51" s="472">
        <v>1.92</v>
      </c>
      <c r="BR51" s="472">
        <v>1.92</v>
      </c>
      <c r="BS51" s="472">
        <v>1.92</v>
      </c>
      <c r="BT51" s="472">
        <v>0.0</v>
      </c>
      <c r="BU51" s="472">
        <v>0.0</v>
      </c>
      <c r="BV51" s="472">
        <v>0.0</v>
      </c>
      <c r="BW51" s="472">
        <v>0.0</v>
      </c>
      <c r="BX51" s="472">
        <v>0.0</v>
      </c>
      <c r="BY51" s="472">
        <v>0.0</v>
      </c>
      <c r="BZ51" s="472">
        <v>0.0</v>
      </c>
      <c r="CA51" s="474">
        <v>0.0</v>
      </c>
      <c r="CB51" s="474">
        <v>0.0</v>
      </c>
      <c r="CC51" s="474">
        <v>0.0</v>
      </c>
      <c r="CD51" s="474">
        <v>0.0</v>
      </c>
      <c r="CE51" s="474">
        <v>0.0</v>
      </c>
      <c r="CF51" s="474">
        <v>0.0</v>
      </c>
      <c r="CG51" s="474">
        <v>0.0</v>
      </c>
      <c r="CH51" s="65">
        <v>0.0</v>
      </c>
      <c r="CI51" s="65">
        <v>0.0</v>
      </c>
      <c r="CJ51" s="65">
        <v>0.0</v>
      </c>
      <c r="CK51" s="65">
        <v>0.0</v>
      </c>
      <c r="CL51" s="65">
        <v>0.0</v>
      </c>
      <c r="CM51" s="65">
        <v>0.0</v>
      </c>
      <c r="CN51" s="65">
        <v>0.0</v>
      </c>
    </row>
    <row r="52" ht="15.75" customHeight="1">
      <c r="A52" s="462" t="s">
        <v>2346</v>
      </c>
      <c r="B52" s="510" t="s">
        <v>3743</v>
      </c>
      <c r="C52" s="141">
        <v>428022.0</v>
      </c>
      <c r="D52" s="63" t="s">
        <v>669</v>
      </c>
      <c r="E52" s="63" t="s">
        <v>199</v>
      </c>
      <c r="F52" s="81" t="s">
        <v>1228</v>
      </c>
      <c r="G52" s="47" t="str">
        <f t="shared" si="1"/>
        <v>Breno</v>
      </c>
      <c r="H52" s="152" t="s">
        <v>224</v>
      </c>
      <c r="I52" s="74" t="s">
        <v>66</v>
      </c>
      <c r="J52" s="63" t="str">
        <f t="shared" si="2"/>
        <v>Não</v>
      </c>
      <c r="K52" s="467">
        <v>43665.0</v>
      </c>
      <c r="L52" s="467">
        <v>44309.0</v>
      </c>
      <c r="M52" s="81" t="s">
        <v>209</v>
      </c>
      <c r="N52" s="478">
        <v>0.01</v>
      </c>
      <c r="O52" s="63" t="s">
        <v>35</v>
      </c>
      <c r="P52" s="145">
        <v>0.1</v>
      </c>
      <c r="Q52" s="158"/>
      <c r="R52" s="190"/>
      <c r="S52" s="62" t="s">
        <v>194</v>
      </c>
      <c r="T52" s="30" t="s">
        <v>3748</v>
      </c>
      <c r="U52" s="95" t="s">
        <v>199</v>
      </c>
      <c r="V52" s="49" t="str">
        <f t="shared" si="3"/>
        <v>Encerrado</v>
      </c>
      <c r="W52" s="150"/>
      <c r="X52" s="150"/>
      <c r="Y52" s="81"/>
      <c r="Z52" s="81"/>
      <c r="AA52" s="81"/>
      <c r="AB52" s="30"/>
      <c r="AC52" s="96">
        <v>255555.68</v>
      </c>
      <c r="AD52" s="96">
        <v>253417.99</v>
      </c>
      <c r="AE52" s="96">
        <v>241072.78</v>
      </c>
      <c r="AF52" s="96">
        <v>245330.8</v>
      </c>
      <c r="AG52" s="96">
        <v>247365.38</v>
      </c>
      <c r="AH52" s="96">
        <v>249142.84</v>
      </c>
      <c r="AI52" s="96">
        <v>254177.08</v>
      </c>
      <c r="AJ52" s="96">
        <v>280059.2</v>
      </c>
      <c r="AK52" s="96">
        <v>277113.49</v>
      </c>
      <c r="AL52" s="96">
        <v>278526.07</v>
      </c>
      <c r="AM52" s="96">
        <v>306021.71</v>
      </c>
      <c r="AN52" s="96">
        <v>337713.16</v>
      </c>
      <c r="AO52" s="546">
        <v>1176.94</v>
      </c>
      <c r="AP52" s="546"/>
      <c r="AQ52" s="96">
        <v>2.93</v>
      </c>
      <c r="AR52" s="96">
        <v>47.86</v>
      </c>
      <c r="AS52" s="96">
        <v>47.86</v>
      </c>
      <c r="AT52" s="96">
        <v>47.86</v>
      </c>
      <c r="AU52" s="96"/>
      <c r="AV52" s="482"/>
      <c r="AW52" s="482"/>
      <c r="AX52" s="482"/>
      <c r="AY52" s="96"/>
      <c r="AZ52" s="96"/>
      <c r="BA52" s="96"/>
      <c r="BB52" s="96"/>
      <c r="BC52" s="96"/>
      <c r="BD52" s="96">
        <v>0.0</v>
      </c>
      <c r="BE52" s="96">
        <v>0.0</v>
      </c>
      <c r="BF52" s="96">
        <v>0.0</v>
      </c>
      <c r="BG52" s="96" t="s">
        <v>377</v>
      </c>
      <c r="BH52" s="96">
        <v>0.0</v>
      </c>
      <c r="BI52" s="96">
        <v>0.0</v>
      </c>
      <c r="BJ52" s="96">
        <v>0.0</v>
      </c>
      <c r="BK52" s="472">
        <v>0.0</v>
      </c>
      <c r="BL52" s="472">
        <v>0.0</v>
      </c>
      <c r="BM52" s="472">
        <v>0.0</v>
      </c>
      <c r="BN52" s="472">
        <v>0.0</v>
      </c>
      <c r="BO52" s="472">
        <v>0.0</v>
      </c>
      <c r="BP52" s="472">
        <v>0.0</v>
      </c>
      <c r="BQ52" s="472">
        <v>0.0</v>
      </c>
      <c r="BR52" s="472">
        <v>0.0</v>
      </c>
      <c r="BS52" s="472">
        <v>0.0</v>
      </c>
      <c r="BT52" s="472">
        <v>0.0</v>
      </c>
      <c r="BU52" s="472">
        <v>0.0</v>
      </c>
      <c r="BV52" s="472">
        <v>0.0</v>
      </c>
      <c r="BW52" s="472">
        <v>0.0</v>
      </c>
      <c r="BX52" s="472">
        <v>0.0</v>
      </c>
      <c r="BY52" s="472">
        <v>0.0</v>
      </c>
      <c r="BZ52" s="472">
        <v>0.0</v>
      </c>
      <c r="CA52" s="474">
        <v>0.0</v>
      </c>
      <c r="CB52" s="474">
        <v>0.0</v>
      </c>
      <c r="CC52" s="474">
        <v>0.0</v>
      </c>
      <c r="CD52" s="474">
        <v>0.0</v>
      </c>
      <c r="CE52" s="474">
        <v>0.0</v>
      </c>
      <c r="CF52" s="474">
        <v>0.0</v>
      </c>
      <c r="CG52" s="474">
        <v>0.0</v>
      </c>
      <c r="CH52" s="65">
        <v>0.0</v>
      </c>
      <c r="CI52" s="65">
        <v>0.0</v>
      </c>
      <c r="CJ52" s="65">
        <v>0.0</v>
      </c>
      <c r="CK52" s="65">
        <v>0.0</v>
      </c>
      <c r="CL52" s="65">
        <v>0.0</v>
      </c>
      <c r="CM52" s="65">
        <v>0.0</v>
      </c>
      <c r="CN52" s="65">
        <v>0.0</v>
      </c>
    </row>
    <row r="53" ht="15.75" customHeight="1">
      <c r="A53" s="462" t="s">
        <v>2346</v>
      </c>
      <c r="B53" s="510" t="s">
        <v>437</v>
      </c>
      <c r="C53" s="141">
        <v>293578.0</v>
      </c>
      <c r="D53" s="63" t="s">
        <v>120</v>
      </c>
      <c r="E53" s="63" t="s">
        <v>199</v>
      </c>
      <c r="F53" s="81" t="s">
        <v>388</v>
      </c>
      <c r="G53" s="47" t="str">
        <f t="shared" si="1"/>
        <v>Breno</v>
      </c>
      <c r="H53" s="152" t="s">
        <v>224</v>
      </c>
      <c r="I53" s="74" t="s">
        <v>66</v>
      </c>
      <c r="J53" s="63" t="str">
        <f t="shared" si="2"/>
        <v>Não</v>
      </c>
      <c r="K53" s="467">
        <v>43509.0</v>
      </c>
      <c r="L53" s="467">
        <v>44309.0</v>
      </c>
      <c r="M53" s="81" t="s">
        <v>361</v>
      </c>
      <c r="N53" s="478">
        <v>0.0075</v>
      </c>
      <c r="O53" s="63" t="s">
        <v>35</v>
      </c>
      <c r="P53" s="145">
        <v>0.2</v>
      </c>
      <c r="Q53" s="160"/>
      <c r="R53" s="158" t="s">
        <v>3759</v>
      </c>
      <c r="S53" s="62" t="s">
        <v>194</v>
      </c>
      <c r="T53" s="30" t="s">
        <v>445</v>
      </c>
      <c r="U53" s="81" t="s">
        <v>199</v>
      </c>
      <c r="V53" s="49" t="str">
        <f t="shared" si="3"/>
        <v>Encerrado</v>
      </c>
      <c r="W53" s="150"/>
      <c r="X53" s="150"/>
      <c r="Y53" s="81"/>
      <c r="Z53" s="81"/>
      <c r="AA53" s="81"/>
      <c r="AB53" s="30"/>
      <c r="AC53" s="96">
        <v>552688.85</v>
      </c>
      <c r="AD53" s="96">
        <v>517429.23</v>
      </c>
      <c r="AE53" s="96">
        <v>524081.55</v>
      </c>
      <c r="AF53" s="96">
        <v>544963.13</v>
      </c>
      <c r="AG53" s="96">
        <v>559620.29</v>
      </c>
      <c r="AH53" s="96">
        <v>606331.66</v>
      </c>
      <c r="AI53" s="96">
        <v>640320.64</v>
      </c>
      <c r="AJ53" s="96">
        <v>612044.24</v>
      </c>
      <c r="AK53" s="96">
        <v>642652.54</v>
      </c>
      <c r="AL53" s="96">
        <v>650187.21</v>
      </c>
      <c r="AM53" s="96">
        <v>707349.78</v>
      </c>
      <c r="AN53" s="96">
        <v>736361.46</v>
      </c>
      <c r="AO53" s="96">
        <v>720769.75</v>
      </c>
      <c r="AP53" s="96">
        <v>689726.59</v>
      </c>
      <c r="AQ53" s="96">
        <v>674863.11</v>
      </c>
      <c r="AR53" s="96">
        <v>772839.24</v>
      </c>
      <c r="AS53" s="96">
        <v>35060.09</v>
      </c>
      <c r="AT53" s="96">
        <v>35060.09</v>
      </c>
      <c r="AU53" s="96"/>
      <c r="AV53" s="482"/>
      <c r="AW53" s="482"/>
      <c r="AX53" s="482"/>
      <c r="AY53" s="96"/>
      <c r="AZ53" s="96"/>
      <c r="BA53" s="96"/>
      <c r="BB53" s="96"/>
      <c r="BC53" s="96"/>
      <c r="BD53" s="96">
        <v>0.0</v>
      </c>
      <c r="BE53" s="96">
        <v>0.0</v>
      </c>
      <c r="BF53" s="96">
        <v>0.0</v>
      </c>
      <c r="BG53" s="96" t="s">
        <v>377</v>
      </c>
      <c r="BH53" s="96">
        <v>0.0</v>
      </c>
      <c r="BI53" s="96">
        <v>0.0</v>
      </c>
      <c r="BJ53" s="96">
        <v>0.0</v>
      </c>
      <c r="BK53" s="472">
        <v>0.0</v>
      </c>
      <c r="BL53" s="472">
        <v>0.0</v>
      </c>
      <c r="BM53" s="472">
        <v>0.0</v>
      </c>
      <c r="BN53" s="472">
        <v>0.0</v>
      </c>
      <c r="BO53" s="472">
        <v>0.0</v>
      </c>
      <c r="BP53" s="472">
        <v>0.0</v>
      </c>
      <c r="BQ53" s="472">
        <v>0.0</v>
      </c>
      <c r="BR53" s="472">
        <v>0.0</v>
      </c>
      <c r="BS53" s="472">
        <v>0.0</v>
      </c>
      <c r="BT53" s="472">
        <v>0.0</v>
      </c>
      <c r="BU53" s="472">
        <v>0.0</v>
      </c>
      <c r="BV53" s="472">
        <v>0.0</v>
      </c>
      <c r="BW53" s="472">
        <v>0.0</v>
      </c>
      <c r="BX53" s="472">
        <v>0.0</v>
      </c>
      <c r="BY53" s="472">
        <v>0.0</v>
      </c>
      <c r="BZ53" s="472">
        <v>0.0</v>
      </c>
      <c r="CA53" s="474">
        <v>0.0</v>
      </c>
      <c r="CB53" s="474">
        <v>0.0</v>
      </c>
      <c r="CC53" s="474">
        <v>0.0</v>
      </c>
      <c r="CD53" s="474">
        <v>0.0</v>
      </c>
      <c r="CE53" s="474">
        <v>0.0</v>
      </c>
      <c r="CF53" s="474">
        <v>0.0</v>
      </c>
      <c r="CG53" s="474">
        <v>0.0</v>
      </c>
      <c r="CH53" s="65">
        <v>0.0</v>
      </c>
      <c r="CI53" s="65">
        <v>0.0</v>
      </c>
      <c r="CJ53" s="65">
        <v>0.0</v>
      </c>
      <c r="CK53" s="65">
        <v>0.0</v>
      </c>
      <c r="CL53" s="65">
        <v>0.0</v>
      </c>
      <c r="CM53" s="65">
        <v>0.0</v>
      </c>
      <c r="CN53" s="65">
        <v>0.0</v>
      </c>
    </row>
    <row r="54" ht="15.75" customHeight="1">
      <c r="A54" s="462" t="s">
        <v>2346</v>
      </c>
      <c r="B54" s="510" t="s">
        <v>437</v>
      </c>
      <c r="C54" s="141">
        <v>294408.0</v>
      </c>
      <c r="D54" s="63" t="s">
        <v>120</v>
      </c>
      <c r="E54" s="63" t="s">
        <v>199</v>
      </c>
      <c r="F54" s="81" t="s">
        <v>388</v>
      </c>
      <c r="G54" s="47" t="str">
        <f t="shared" si="1"/>
        <v>Breno</v>
      </c>
      <c r="H54" s="152" t="s">
        <v>224</v>
      </c>
      <c r="I54" s="74" t="s">
        <v>66</v>
      </c>
      <c r="J54" s="63" t="str">
        <f t="shared" si="2"/>
        <v>Não</v>
      </c>
      <c r="K54" s="467">
        <v>43517.0</v>
      </c>
      <c r="L54" s="467">
        <v>44309.0</v>
      </c>
      <c r="M54" s="81" t="s">
        <v>231</v>
      </c>
      <c r="N54" s="478">
        <v>0.0125</v>
      </c>
      <c r="O54" s="141" t="s">
        <v>233</v>
      </c>
      <c r="P54" s="145">
        <v>0.2</v>
      </c>
      <c r="Q54" s="190"/>
      <c r="R54" s="158" t="s">
        <v>3774</v>
      </c>
      <c r="S54" s="62" t="s">
        <v>194</v>
      </c>
      <c r="T54" s="30" t="s">
        <v>445</v>
      </c>
      <c r="U54" s="81" t="s">
        <v>199</v>
      </c>
      <c r="V54" s="49" t="str">
        <f t="shared" si="3"/>
        <v>Encerrado</v>
      </c>
      <c r="W54" s="150"/>
      <c r="X54" s="150"/>
      <c r="Y54" s="81"/>
      <c r="Z54" s="81"/>
      <c r="AA54" s="81"/>
      <c r="AB54" s="30"/>
      <c r="AC54" s="96">
        <v>0.0</v>
      </c>
      <c r="AD54" s="96">
        <v>0.0</v>
      </c>
      <c r="AE54" s="96">
        <v>0.0</v>
      </c>
      <c r="AF54" s="96">
        <v>0.0</v>
      </c>
      <c r="AG54" s="96">
        <v>0.0</v>
      </c>
      <c r="AH54" s="96">
        <v>0.0</v>
      </c>
      <c r="AI54" s="96">
        <v>0.0</v>
      </c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482"/>
      <c r="AW54" s="482"/>
      <c r="AX54" s="482"/>
      <c r="AY54" s="96"/>
      <c r="AZ54" s="96"/>
      <c r="BA54" s="96"/>
      <c r="BB54" s="96"/>
      <c r="BC54" s="96"/>
      <c r="BD54" s="96">
        <v>0.0</v>
      </c>
      <c r="BE54" s="96">
        <v>0.0</v>
      </c>
      <c r="BF54" s="96">
        <v>0.0</v>
      </c>
      <c r="BG54" s="96" t="s">
        <v>377</v>
      </c>
      <c r="BH54" s="96">
        <v>0.0</v>
      </c>
      <c r="BI54" s="96">
        <v>0.0</v>
      </c>
      <c r="BJ54" s="96">
        <v>0.0</v>
      </c>
      <c r="BK54" s="472">
        <v>0.0</v>
      </c>
      <c r="BL54" s="472">
        <v>0.0</v>
      </c>
      <c r="BM54" s="472">
        <v>0.0</v>
      </c>
      <c r="BN54" s="472">
        <v>0.0</v>
      </c>
      <c r="BO54" s="472">
        <v>0.0</v>
      </c>
      <c r="BP54" s="472">
        <v>0.0</v>
      </c>
      <c r="BQ54" s="472">
        <v>0.0</v>
      </c>
      <c r="BR54" s="472">
        <v>0.0</v>
      </c>
      <c r="BS54" s="472">
        <v>0.0</v>
      </c>
      <c r="BT54" s="472">
        <v>0.0</v>
      </c>
      <c r="BU54" s="472">
        <v>0.0</v>
      </c>
      <c r="BV54" s="472">
        <v>0.0</v>
      </c>
      <c r="BW54" s="472">
        <v>0.0</v>
      </c>
      <c r="BX54" s="472">
        <v>0.0</v>
      </c>
      <c r="BY54" s="472">
        <v>0.0</v>
      </c>
      <c r="BZ54" s="472">
        <v>0.0</v>
      </c>
      <c r="CA54" s="474">
        <v>0.0</v>
      </c>
      <c r="CB54" s="474">
        <v>0.0</v>
      </c>
      <c r="CC54" s="474">
        <v>0.0</v>
      </c>
      <c r="CD54" s="474">
        <v>0.0</v>
      </c>
      <c r="CE54" s="474">
        <v>0.0</v>
      </c>
      <c r="CF54" s="474">
        <v>0.0</v>
      </c>
      <c r="CG54" s="474">
        <v>0.0</v>
      </c>
      <c r="CH54" s="65">
        <v>0.0</v>
      </c>
      <c r="CI54" s="65">
        <v>0.0</v>
      </c>
      <c r="CJ54" s="65">
        <v>0.0</v>
      </c>
      <c r="CK54" s="65">
        <v>0.0</v>
      </c>
      <c r="CL54" s="65">
        <v>0.0</v>
      </c>
      <c r="CM54" s="65">
        <v>0.0</v>
      </c>
      <c r="CN54" s="65">
        <v>0.0</v>
      </c>
    </row>
    <row r="55" ht="15.75" customHeight="1">
      <c r="A55" s="462" t="s">
        <v>2346</v>
      </c>
      <c r="B55" s="176" t="s">
        <v>2780</v>
      </c>
      <c r="C55" s="141">
        <v>624134.0</v>
      </c>
      <c r="D55" s="63" t="s">
        <v>120</v>
      </c>
      <c r="E55" s="63" t="s">
        <v>91</v>
      </c>
      <c r="F55" s="66" t="s">
        <v>521</v>
      </c>
      <c r="G55" s="47" t="str">
        <f t="shared" si="1"/>
        <v>Breno</v>
      </c>
      <c r="H55" s="142" t="s">
        <v>295</v>
      </c>
      <c r="I55" s="49" t="s">
        <v>382</v>
      </c>
      <c r="J55" s="63" t="str">
        <f t="shared" si="2"/>
        <v>Não</v>
      </c>
      <c r="K55" s="194">
        <v>44420.0</v>
      </c>
      <c r="L55" s="62"/>
      <c r="M55" s="81" t="s">
        <v>361</v>
      </c>
      <c r="N55" s="478">
        <v>0.02</v>
      </c>
      <c r="O55" s="63" t="s">
        <v>35</v>
      </c>
      <c r="P55" s="145">
        <v>0.2</v>
      </c>
      <c r="Q55" s="146"/>
      <c r="R55" s="58" t="s">
        <v>3782</v>
      </c>
      <c r="S55" s="62" t="s">
        <v>194</v>
      </c>
      <c r="T55" s="22" t="s">
        <v>2788</v>
      </c>
      <c r="U55" s="62" t="s">
        <v>1620</v>
      </c>
      <c r="V55" s="49" t="str">
        <f t="shared" si="3"/>
        <v>Ativo</v>
      </c>
      <c r="W55" s="150"/>
      <c r="X55" s="150"/>
      <c r="Y55" s="30" t="s">
        <v>244</v>
      </c>
      <c r="Z55" s="81"/>
      <c r="AA55" s="467">
        <v>44420.0</v>
      </c>
      <c r="AB55" s="30">
        <v>4.9075100003221E13</v>
      </c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96"/>
      <c r="AO55" s="96"/>
      <c r="AP55" s="471"/>
      <c r="AQ55" s="471"/>
      <c r="AR55" s="471"/>
      <c r="AS55" s="471"/>
      <c r="AT55" s="471"/>
      <c r="AU55" s="482"/>
      <c r="AV55" s="482"/>
      <c r="AW55" s="476"/>
      <c r="AX55" s="476">
        <v>102500.57</v>
      </c>
      <c r="AY55" s="96">
        <v>101670.58</v>
      </c>
      <c r="AZ55" s="96">
        <v>99262.13</v>
      </c>
      <c r="BA55" s="96">
        <v>99306.38</v>
      </c>
      <c r="BB55" s="96">
        <v>101696.74</v>
      </c>
      <c r="BC55" s="96">
        <v>107022.82</v>
      </c>
      <c r="BD55" s="96">
        <v>107623.65</v>
      </c>
      <c r="BE55" s="96">
        <v>115465.47</v>
      </c>
      <c r="BF55" s="96">
        <v>118294.01</v>
      </c>
      <c r="BG55" s="472">
        <v>119341.01</v>
      </c>
      <c r="BH55" s="472">
        <v>117310.74</v>
      </c>
      <c r="BI55" s="472">
        <v>121909.55</v>
      </c>
      <c r="BJ55" s="472">
        <v>126137.6</v>
      </c>
      <c r="BK55" s="472">
        <v>128930.79</v>
      </c>
      <c r="BL55" s="472">
        <v>138420.55</v>
      </c>
      <c r="BM55" s="472">
        <v>137152.64</v>
      </c>
      <c r="BN55" s="472">
        <v>139892.18</v>
      </c>
      <c r="BO55" s="472">
        <v>142881.47</v>
      </c>
      <c r="BP55" s="472">
        <v>144768.3</v>
      </c>
      <c r="BQ55" s="472">
        <v>148116.96</v>
      </c>
      <c r="BR55" s="472">
        <v>150668.16</v>
      </c>
      <c r="BS55" s="472">
        <v>157188.59</v>
      </c>
      <c r="BT55" s="472">
        <v>10447.8</v>
      </c>
      <c r="BU55" s="472">
        <v>10538.14</v>
      </c>
      <c r="BV55" s="472">
        <v>10695.64</v>
      </c>
      <c r="BW55" s="472">
        <v>10512.7</v>
      </c>
      <c r="BX55" s="472">
        <v>49.92</v>
      </c>
      <c r="BY55" s="472">
        <v>25.83</v>
      </c>
      <c r="BZ55" s="472">
        <v>20.45</v>
      </c>
      <c r="CA55" s="474">
        <v>0.0</v>
      </c>
      <c r="CB55" s="474">
        <v>20.45</v>
      </c>
      <c r="CC55" s="474">
        <v>0.0</v>
      </c>
      <c r="CD55" s="474">
        <v>20.45</v>
      </c>
      <c r="CE55" s="474">
        <v>0.0</v>
      </c>
      <c r="CF55" s="474">
        <v>0.0</v>
      </c>
      <c r="CG55" s="474">
        <v>0.0</v>
      </c>
      <c r="CH55" s="65">
        <v>0.0</v>
      </c>
      <c r="CI55" s="65">
        <v>0.0</v>
      </c>
      <c r="CJ55" s="65">
        <v>0.0</v>
      </c>
      <c r="CK55" s="65">
        <v>0.0</v>
      </c>
      <c r="CL55" s="65">
        <v>0.0</v>
      </c>
      <c r="CM55" s="65">
        <v>0.0</v>
      </c>
      <c r="CN55" s="65">
        <v>0.0</v>
      </c>
    </row>
    <row r="56" ht="15.75" customHeight="1">
      <c r="A56" s="462" t="s">
        <v>2346</v>
      </c>
      <c r="B56" s="462" t="s">
        <v>3794</v>
      </c>
      <c r="C56" s="141">
        <v>435592.0</v>
      </c>
      <c r="D56" s="63" t="s">
        <v>669</v>
      </c>
      <c r="E56" s="63" t="s">
        <v>199</v>
      </c>
      <c r="F56" s="63" t="s">
        <v>1228</v>
      </c>
      <c r="G56" s="47" t="str">
        <f t="shared" si="1"/>
        <v>Breno</v>
      </c>
      <c r="H56" s="152" t="s">
        <v>224</v>
      </c>
      <c r="I56" s="74" t="s">
        <v>66</v>
      </c>
      <c r="J56" s="63" t="str">
        <f t="shared" si="2"/>
        <v>Não</v>
      </c>
      <c r="K56" s="143">
        <v>43713.0</v>
      </c>
      <c r="L56" s="467">
        <v>45154.0</v>
      </c>
      <c r="M56" s="81" t="s">
        <v>34</v>
      </c>
      <c r="N56" s="464">
        <v>0.01</v>
      </c>
      <c r="O56" s="141" t="s">
        <v>66</v>
      </c>
      <c r="P56" s="145">
        <v>0.0</v>
      </c>
      <c r="Q56" s="158"/>
      <c r="R56" s="158"/>
      <c r="S56" s="62" t="s">
        <v>194</v>
      </c>
      <c r="T56" s="141" t="s">
        <v>3798</v>
      </c>
      <c r="U56" s="81" t="s">
        <v>199</v>
      </c>
      <c r="V56" s="49" t="str">
        <f t="shared" si="3"/>
        <v>Encerrado</v>
      </c>
      <c r="W56" s="150"/>
      <c r="X56" s="150"/>
      <c r="Y56" s="30" t="s">
        <v>244</v>
      </c>
      <c r="Z56" s="81"/>
      <c r="AA56" s="81"/>
      <c r="AB56" s="30"/>
      <c r="AC56" s="96">
        <v>223949.92</v>
      </c>
      <c r="AD56" s="96">
        <v>236385.79</v>
      </c>
      <c r="AE56" s="96">
        <v>235105.65</v>
      </c>
      <c r="AF56" s="96">
        <v>270640.93</v>
      </c>
      <c r="AG56" s="96">
        <v>278443.9</v>
      </c>
      <c r="AH56" s="96">
        <v>282128.9</v>
      </c>
      <c r="AI56" s="96">
        <v>325668.9</v>
      </c>
      <c r="AJ56" s="96">
        <v>321274.0</v>
      </c>
      <c r="AK56" s="96">
        <v>317554.88</v>
      </c>
      <c r="AL56" s="96">
        <v>316405.06</v>
      </c>
      <c r="AM56" s="96">
        <v>578123.92</v>
      </c>
      <c r="AN56" s="96">
        <v>605462.32</v>
      </c>
      <c r="AO56" s="96">
        <v>618369.07</v>
      </c>
      <c r="AP56" s="96">
        <v>609600.0</v>
      </c>
      <c r="AQ56" s="96">
        <v>615339.32</v>
      </c>
      <c r="AR56" s="96">
        <v>626691.81</v>
      </c>
      <c r="AS56" s="96">
        <v>637297.31</v>
      </c>
      <c r="AT56" s="96">
        <v>637907.21</v>
      </c>
      <c r="AU56" s="96">
        <v>653592.42</v>
      </c>
      <c r="AV56" s="96">
        <v>671207.65</v>
      </c>
      <c r="AW56" s="96">
        <v>686039.67</v>
      </c>
      <c r="AX56" s="96">
        <v>680618.94</v>
      </c>
      <c r="AY56" s="96">
        <v>645631.95</v>
      </c>
      <c r="AZ56" s="96">
        <v>676018.55</v>
      </c>
      <c r="BA56" s="96">
        <v>689591.32</v>
      </c>
      <c r="BB56" s="96">
        <v>715982.3</v>
      </c>
      <c r="BC56" s="96">
        <v>737576.52</v>
      </c>
      <c r="BD56" s="96">
        <v>741955.33</v>
      </c>
      <c r="BE56" s="96">
        <v>770256.48</v>
      </c>
      <c r="BF56" s="96">
        <v>799832.48</v>
      </c>
      <c r="BG56" s="472">
        <v>803880.67</v>
      </c>
      <c r="BH56" s="472">
        <v>800999.59</v>
      </c>
      <c r="BI56" s="472">
        <v>818961.53</v>
      </c>
      <c r="BJ56" s="472">
        <v>830257.77</v>
      </c>
      <c r="BK56" s="472">
        <v>849935.52</v>
      </c>
      <c r="BL56" s="472">
        <v>887230.9</v>
      </c>
      <c r="BM56" s="472">
        <v>893694.71</v>
      </c>
      <c r="BN56" s="472">
        <v>918814.12</v>
      </c>
      <c r="BO56" s="472">
        <v>943977.23</v>
      </c>
      <c r="BP56" s="472">
        <v>960980.6</v>
      </c>
      <c r="BQ56" s="472">
        <v>972903.27</v>
      </c>
      <c r="BR56" s="472">
        <v>993613.44</v>
      </c>
      <c r="BS56" s="472">
        <v>1049556.32</v>
      </c>
      <c r="BT56" s="472">
        <v>1112247.46</v>
      </c>
      <c r="BU56" s="472">
        <v>1118956.51</v>
      </c>
      <c r="BV56" s="472">
        <v>29239.81</v>
      </c>
      <c r="BW56" s="472">
        <v>29331.06</v>
      </c>
      <c r="BX56" s="472">
        <v>90.68</v>
      </c>
      <c r="BY56" s="472">
        <v>26.07</v>
      </c>
      <c r="BZ56" s="472">
        <v>26.07</v>
      </c>
      <c r="CA56" s="474">
        <v>26.07</v>
      </c>
      <c r="CB56" s="474">
        <v>26.07</v>
      </c>
      <c r="CC56" s="474">
        <v>26.07</v>
      </c>
      <c r="CD56" s="474">
        <v>26.07</v>
      </c>
      <c r="CE56" s="474">
        <v>0.0</v>
      </c>
      <c r="CF56" s="474">
        <v>0.0</v>
      </c>
      <c r="CG56" s="474">
        <v>0.0</v>
      </c>
      <c r="CH56" s="65">
        <v>0.0</v>
      </c>
      <c r="CI56" s="65">
        <v>0.0</v>
      </c>
      <c r="CJ56" s="65">
        <v>0.0</v>
      </c>
      <c r="CK56" s="65">
        <v>0.0</v>
      </c>
      <c r="CL56" s="65">
        <v>0.0</v>
      </c>
      <c r="CM56" s="65">
        <v>0.0</v>
      </c>
      <c r="CN56" s="65">
        <v>0.0</v>
      </c>
    </row>
    <row r="57" ht="15.75" customHeight="1">
      <c r="A57" s="462" t="s">
        <v>2346</v>
      </c>
      <c r="B57" s="477" t="s">
        <v>2912</v>
      </c>
      <c r="C57" s="141">
        <v>35841.0</v>
      </c>
      <c r="D57" s="63" t="s">
        <v>120</v>
      </c>
      <c r="E57" s="63" t="s">
        <v>91</v>
      </c>
      <c r="F57" s="63" t="s">
        <v>193</v>
      </c>
      <c r="G57" s="47" t="str">
        <f t="shared" si="1"/>
        <v>Breno</v>
      </c>
      <c r="H57" s="142" t="s">
        <v>295</v>
      </c>
      <c r="I57" s="49" t="s">
        <v>382</v>
      </c>
      <c r="J57" s="63" t="str">
        <f t="shared" si="2"/>
        <v>Não</v>
      </c>
      <c r="K57" s="143">
        <v>44291.0</v>
      </c>
      <c r="L57" s="81"/>
      <c r="M57" s="81" t="s">
        <v>209</v>
      </c>
      <c r="N57" s="464">
        <v>0.015</v>
      </c>
      <c r="O57" s="63" t="s">
        <v>35</v>
      </c>
      <c r="P57" s="145">
        <v>0.1</v>
      </c>
      <c r="Q57" s="158"/>
      <c r="R57" s="158"/>
      <c r="S57" s="62" t="s">
        <v>194</v>
      </c>
      <c r="T57" s="30" t="s">
        <v>2921</v>
      </c>
      <c r="U57" s="95" t="s">
        <v>221</v>
      </c>
      <c r="V57" s="49" t="str">
        <f t="shared" si="3"/>
        <v>Inativo</v>
      </c>
      <c r="W57" s="150"/>
      <c r="X57" s="150"/>
      <c r="Y57" s="30" t="s">
        <v>244</v>
      </c>
      <c r="Z57" s="81"/>
      <c r="AA57" s="467">
        <v>44291.0</v>
      </c>
      <c r="AB57" s="30">
        <v>4.9075100004617E13</v>
      </c>
      <c r="AC57" s="482"/>
      <c r="AD57" s="482"/>
      <c r="AE57" s="482"/>
      <c r="AF57" s="482"/>
      <c r="AG57" s="482"/>
      <c r="AH57" s="482"/>
      <c r="AI57" s="482"/>
      <c r="AJ57" s="482"/>
      <c r="AK57" s="482"/>
      <c r="AL57" s="482"/>
      <c r="AM57" s="482"/>
      <c r="AN57" s="482"/>
      <c r="AO57" s="482"/>
      <c r="AP57" s="96"/>
      <c r="AQ57" s="471"/>
      <c r="AR57" s="471">
        <v>554162.88</v>
      </c>
      <c r="AS57" s="471"/>
      <c r="AT57" s="471">
        <v>557827.93</v>
      </c>
      <c r="AU57" s="471">
        <v>566049.39</v>
      </c>
      <c r="AV57" s="96">
        <v>565315.32</v>
      </c>
      <c r="AW57" s="96">
        <v>560305.21</v>
      </c>
      <c r="AX57" s="96">
        <v>549161.58</v>
      </c>
      <c r="AY57" s="96">
        <v>515748.16</v>
      </c>
      <c r="AZ57" s="96">
        <v>521941.15</v>
      </c>
      <c r="BA57" s="96">
        <v>518269.12</v>
      </c>
      <c r="BB57" s="96">
        <v>523165.74</v>
      </c>
      <c r="BC57" s="96">
        <v>529933.08</v>
      </c>
      <c r="BD57" s="96">
        <v>532987.43</v>
      </c>
      <c r="BE57" s="96">
        <v>553841.73</v>
      </c>
      <c r="BF57" s="96">
        <v>543469.29</v>
      </c>
      <c r="BG57" s="472">
        <v>541635.97</v>
      </c>
      <c r="BH57" s="472">
        <v>536423.2</v>
      </c>
      <c r="BI57" s="472">
        <v>545778.09</v>
      </c>
      <c r="BJ57" s="472">
        <v>554286.97</v>
      </c>
      <c r="BK57" s="472">
        <v>561039.22</v>
      </c>
      <c r="BL57" s="472">
        <v>583045.56</v>
      </c>
      <c r="BM57" s="472">
        <v>576084.6</v>
      </c>
      <c r="BN57" s="472">
        <v>581601.74</v>
      </c>
      <c r="BO57" s="472">
        <v>588466.75</v>
      </c>
      <c r="BP57" s="472">
        <v>591727.99</v>
      </c>
      <c r="BQ57" s="472">
        <v>598938.14</v>
      </c>
      <c r="BR57" s="472">
        <v>59207.34</v>
      </c>
      <c r="BS57" s="472">
        <v>0.0</v>
      </c>
      <c r="BT57" s="472">
        <v>0.0</v>
      </c>
      <c r="BU57" s="472">
        <v>0.0</v>
      </c>
      <c r="BV57" s="472">
        <v>0.0</v>
      </c>
      <c r="BW57" s="472">
        <v>0.0</v>
      </c>
      <c r="BX57" s="472">
        <v>0.0</v>
      </c>
      <c r="BY57" s="472">
        <v>0.0</v>
      </c>
      <c r="BZ57" s="472">
        <v>0.0</v>
      </c>
      <c r="CA57" s="474">
        <v>0.0</v>
      </c>
      <c r="CB57" s="474">
        <v>0.0</v>
      </c>
      <c r="CC57" s="474">
        <v>0.0</v>
      </c>
      <c r="CD57" s="474">
        <v>0.0</v>
      </c>
      <c r="CE57" s="474">
        <v>0.0</v>
      </c>
      <c r="CF57" s="474">
        <v>0.0</v>
      </c>
      <c r="CG57" s="474">
        <v>0.0</v>
      </c>
      <c r="CH57" s="65">
        <v>0.0</v>
      </c>
      <c r="CI57" s="65">
        <v>0.0</v>
      </c>
      <c r="CJ57" s="65">
        <v>0.0</v>
      </c>
      <c r="CK57" s="65">
        <v>0.0</v>
      </c>
      <c r="CL57" s="65">
        <v>0.0</v>
      </c>
      <c r="CM57" s="65">
        <v>0.0</v>
      </c>
      <c r="CN57" s="65">
        <v>0.0</v>
      </c>
    </row>
    <row r="58" ht="15.75" customHeight="1">
      <c r="A58" s="462" t="s">
        <v>2346</v>
      </c>
      <c r="B58" s="50" t="s">
        <v>2966</v>
      </c>
      <c r="C58" s="141">
        <v>36284.0</v>
      </c>
      <c r="D58" s="63" t="s">
        <v>120</v>
      </c>
      <c r="E58" s="63" t="s">
        <v>91</v>
      </c>
      <c r="F58" s="66" t="s">
        <v>521</v>
      </c>
      <c r="G58" s="47" t="str">
        <f t="shared" si="1"/>
        <v>Breno</v>
      </c>
      <c r="H58" s="142" t="s">
        <v>295</v>
      </c>
      <c r="I58" s="49" t="s">
        <v>382</v>
      </c>
      <c r="J58" s="63" t="str">
        <f t="shared" si="2"/>
        <v>Não</v>
      </c>
      <c r="K58" s="194">
        <v>44358.0</v>
      </c>
      <c r="L58" s="81"/>
      <c r="M58" s="81" t="s">
        <v>209</v>
      </c>
      <c r="N58" s="464">
        <v>0.015</v>
      </c>
      <c r="O58" s="63" t="s">
        <v>35</v>
      </c>
      <c r="P58" s="145">
        <v>0.1</v>
      </c>
      <c r="Q58" s="70"/>
      <c r="R58" s="70"/>
      <c r="S58" s="62" t="s">
        <v>194</v>
      </c>
      <c r="T58" s="22" t="s">
        <v>3822</v>
      </c>
      <c r="U58" s="95" t="s">
        <v>221</v>
      </c>
      <c r="V58" s="49" t="str">
        <f t="shared" si="3"/>
        <v>Ativo</v>
      </c>
      <c r="W58" s="150"/>
      <c r="X58" s="150"/>
      <c r="Y58" s="30" t="s">
        <v>269</v>
      </c>
      <c r="Z58" s="81"/>
      <c r="AA58" s="467">
        <v>44358.0</v>
      </c>
      <c r="AB58" s="30">
        <v>4.9075100004846E13</v>
      </c>
      <c r="AC58" s="476"/>
      <c r="AD58" s="476"/>
      <c r="AE58" s="476"/>
      <c r="AF58" s="476"/>
      <c r="AG58" s="476"/>
      <c r="AH58" s="476"/>
      <c r="AI58" s="476"/>
      <c r="AJ58" s="476"/>
      <c r="AK58" s="476"/>
      <c r="AL58" s="476"/>
      <c r="AM58" s="476"/>
      <c r="AN58" s="476"/>
      <c r="AO58" s="476"/>
      <c r="AP58" s="476"/>
      <c r="AQ58" s="471"/>
      <c r="AR58" s="471"/>
      <c r="AS58" s="476"/>
      <c r="AT58" s="476"/>
      <c r="AU58" s="476"/>
      <c r="AV58" s="96">
        <v>2199026.82</v>
      </c>
      <c r="AW58" s="96">
        <v>2031941.23</v>
      </c>
      <c r="AX58" s="96">
        <v>1994210.49</v>
      </c>
      <c r="AY58" s="96">
        <v>1966999.8</v>
      </c>
      <c r="AZ58" s="96">
        <v>1904464.77</v>
      </c>
      <c r="BA58" s="96">
        <v>1890939.8</v>
      </c>
      <c r="BB58" s="96">
        <v>1906349.21</v>
      </c>
      <c r="BC58" s="96">
        <v>1957536.85</v>
      </c>
      <c r="BD58" s="96">
        <v>1969409.37</v>
      </c>
      <c r="BE58" s="96">
        <v>2054053.11</v>
      </c>
      <c r="BF58" s="96">
        <v>2018639.91</v>
      </c>
      <c r="BG58" s="472">
        <v>2014604.88</v>
      </c>
      <c r="BH58" s="472">
        <v>1992902.53</v>
      </c>
      <c r="BI58" s="472">
        <v>2022209.44</v>
      </c>
      <c r="BJ58" s="472">
        <v>2050569.4</v>
      </c>
      <c r="BK58" s="472">
        <v>2069985.79</v>
      </c>
      <c r="BL58" s="472">
        <v>2147561.71</v>
      </c>
      <c r="BM58" s="472">
        <v>2121934.34</v>
      </c>
      <c r="BN58" s="472">
        <v>2140081.33</v>
      </c>
      <c r="BO58" s="472">
        <v>2113000.82</v>
      </c>
      <c r="BP58" s="472">
        <v>2182535.28</v>
      </c>
      <c r="BQ58" s="472">
        <v>2210263.08</v>
      </c>
      <c r="BR58" s="472">
        <v>191485.05</v>
      </c>
      <c r="BS58" s="472">
        <v>199722.66</v>
      </c>
      <c r="BT58" s="472">
        <v>208674.2</v>
      </c>
      <c r="BU58" s="472">
        <v>210839.91</v>
      </c>
      <c r="BV58" s="472">
        <v>206594.37</v>
      </c>
      <c r="BW58" s="472">
        <v>88897.41</v>
      </c>
      <c r="BX58" s="472">
        <v>561.08</v>
      </c>
      <c r="BY58" s="472">
        <v>151.32</v>
      </c>
      <c r="BZ58" s="472">
        <v>151.32</v>
      </c>
      <c r="CA58" s="474">
        <v>151.32</v>
      </c>
      <c r="CB58" s="474">
        <v>151.32</v>
      </c>
      <c r="CC58" s="474">
        <v>0.0</v>
      </c>
      <c r="CD58" s="474">
        <v>0.0</v>
      </c>
      <c r="CE58" s="474">
        <v>0.0</v>
      </c>
      <c r="CF58" s="474">
        <v>0.0</v>
      </c>
      <c r="CG58" s="474">
        <v>0.0</v>
      </c>
      <c r="CH58" s="65">
        <v>0.0</v>
      </c>
      <c r="CI58" s="65">
        <v>0.0</v>
      </c>
      <c r="CJ58" s="65">
        <v>0.0</v>
      </c>
      <c r="CK58" s="65">
        <v>0.0</v>
      </c>
      <c r="CL58" s="65">
        <v>0.0</v>
      </c>
      <c r="CM58" s="65">
        <v>0.0</v>
      </c>
      <c r="CN58" s="65">
        <v>0.0</v>
      </c>
    </row>
    <row r="59" ht="15.75" customHeight="1">
      <c r="A59" s="462" t="s">
        <v>2346</v>
      </c>
      <c r="B59" s="50" t="s">
        <v>3017</v>
      </c>
      <c r="C59" s="141">
        <v>46477.0</v>
      </c>
      <c r="D59" s="63" t="s">
        <v>120</v>
      </c>
      <c r="E59" s="63" t="s">
        <v>91</v>
      </c>
      <c r="F59" s="66" t="s">
        <v>193</v>
      </c>
      <c r="G59" s="47" t="str">
        <f t="shared" si="1"/>
        <v>Breno</v>
      </c>
      <c r="H59" s="142" t="s">
        <v>295</v>
      </c>
      <c r="I59" s="49" t="s">
        <v>382</v>
      </c>
      <c r="J59" s="63" t="str">
        <f t="shared" si="2"/>
        <v>Não</v>
      </c>
      <c r="K59" s="551">
        <v>44333.0</v>
      </c>
      <c r="L59" s="81"/>
      <c r="M59" s="81" t="s">
        <v>34</v>
      </c>
      <c r="N59" s="478">
        <v>0.012</v>
      </c>
      <c r="O59" s="141" t="s">
        <v>66</v>
      </c>
      <c r="P59" s="145">
        <v>0.0</v>
      </c>
      <c r="Q59" s="146"/>
      <c r="R59" s="58" t="s">
        <v>3830</v>
      </c>
      <c r="S59" s="62" t="s">
        <v>194</v>
      </c>
      <c r="T59" s="22" t="s">
        <v>3023</v>
      </c>
      <c r="U59" s="95" t="s">
        <v>221</v>
      </c>
      <c r="V59" s="49" t="str">
        <f t="shared" si="3"/>
        <v>Inativo</v>
      </c>
      <c r="W59" s="150"/>
      <c r="X59" s="150"/>
      <c r="Y59" s="30" t="s">
        <v>244</v>
      </c>
      <c r="Z59" s="81"/>
      <c r="AA59" s="553">
        <v>44333.0</v>
      </c>
      <c r="AB59" s="30">
        <v>4.9075100003262E13</v>
      </c>
      <c r="AC59" s="476"/>
      <c r="AD59" s="476"/>
      <c r="AE59" s="476"/>
      <c r="AF59" s="476"/>
      <c r="AG59" s="476"/>
      <c r="AH59" s="476"/>
      <c r="AI59" s="476"/>
      <c r="AJ59" s="476"/>
      <c r="AK59" s="476"/>
      <c r="AL59" s="476"/>
      <c r="AM59" s="476"/>
      <c r="AN59" s="476"/>
      <c r="AO59" s="476"/>
      <c r="AP59" s="476"/>
      <c r="AQ59" s="471"/>
      <c r="AR59" s="471"/>
      <c r="AS59" s="471"/>
      <c r="AT59" s="476"/>
      <c r="AU59" s="476">
        <v>442600.57</v>
      </c>
      <c r="AV59" s="96">
        <v>446154.86</v>
      </c>
      <c r="AW59" s="96">
        <v>445905.44</v>
      </c>
      <c r="AX59" s="96">
        <v>444322.18</v>
      </c>
      <c r="AY59" s="96">
        <v>428557.56</v>
      </c>
      <c r="AZ59" s="96">
        <v>438951.53</v>
      </c>
      <c r="BA59" s="96">
        <v>428099.52</v>
      </c>
      <c r="BB59" s="96">
        <v>437756.37</v>
      </c>
      <c r="BC59" s="96">
        <v>441446.35</v>
      </c>
      <c r="BD59" s="96">
        <v>444444.15</v>
      </c>
      <c r="BE59" s="96">
        <v>456986.33</v>
      </c>
      <c r="BF59" s="96">
        <v>455190.68</v>
      </c>
      <c r="BG59" s="472">
        <v>457088.69</v>
      </c>
      <c r="BH59" s="472">
        <v>456407.78</v>
      </c>
      <c r="BI59" s="472">
        <v>459896.67</v>
      </c>
      <c r="BJ59" s="472">
        <v>465226.77</v>
      </c>
      <c r="BK59" s="472">
        <v>468390.07</v>
      </c>
      <c r="BL59" s="472">
        <v>478581.39</v>
      </c>
      <c r="BM59" s="472">
        <v>586761.32</v>
      </c>
      <c r="BN59" s="472">
        <v>591981.39</v>
      </c>
      <c r="BO59" s="472">
        <v>598033.28</v>
      </c>
      <c r="BP59" s="472">
        <v>603883.74</v>
      </c>
      <c r="BQ59" s="472">
        <v>611562.92</v>
      </c>
      <c r="BR59" s="472">
        <v>616404.32</v>
      </c>
      <c r="BS59" s="472">
        <v>43902.15</v>
      </c>
      <c r="BT59" s="472">
        <v>47.92</v>
      </c>
      <c r="BU59" s="472">
        <v>0.0</v>
      </c>
      <c r="BV59" s="472">
        <v>0.0</v>
      </c>
      <c r="BW59" s="472">
        <v>0.0</v>
      </c>
      <c r="BX59" s="472">
        <v>0.0</v>
      </c>
      <c r="BY59" s="472">
        <v>0.0</v>
      </c>
      <c r="BZ59" s="472">
        <v>0.0</v>
      </c>
      <c r="CA59" s="474">
        <v>0.0</v>
      </c>
      <c r="CB59" s="474">
        <v>0.0</v>
      </c>
      <c r="CC59" s="474">
        <v>0.0</v>
      </c>
      <c r="CD59" s="474">
        <v>0.0</v>
      </c>
      <c r="CE59" s="474">
        <v>0.0</v>
      </c>
      <c r="CF59" s="474">
        <v>0.0</v>
      </c>
      <c r="CG59" s="474">
        <v>0.0</v>
      </c>
      <c r="CH59" s="65">
        <v>0.0</v>
      </c>
      <c r="CI59" s="65">
        <v>0.0</v>
      </c>
      <c r="CJ59" s="65">
        <v>0.0</v>
      </c>
      <c r="CK59" s="65">
        <v>0.0</v>
      </c>
      <c r="CL59" s="65">
        <v>0.0</v>
      </c>
      <c r="CM59" s="65">
        <v>0.0</v>
      </c>
      <c r="CN59" s="65">
        <v>0.0</v>
      </c>
    </row>
    <row r="60" ht="15.75" customHeight="1">
      <c r="A60" s="462" t="s">
        <v>2346</v>
      </c>
      <c r="B60" s="43" t="s">
        <v>3134</v>
      </c>
      <c r="C60" s="141">
        <v>39943.0</v>
      </c>
      <c r="D60" s="63" t="s">
        <v>120</v>
      </c>
      <c r="E60" s="63" t="s">
        <v>91</v>
      </c>
      <c r="F60" s="66" t="s">
        <v>193</v>
      </c>
      <c r="G60" s="47" t="str">
        <f t="shared" si="1"/>
        <v>Breno</v>
      </c>
      <c r="H60" s="142" t="s">
        <v>295</v>
      </c>
      <c r="I60" s="49" t="s">
        <v>382</v>
      </c>
      <c r="J60" s="63" t="str">
        <f t="shared" si="2"/>
        <v>Não</v>
      </c>
      <c r="K60" s="194">
        <v>44364.0</v>
      </c>
      <c r="L60" s="81"/>
      <c r="M60" s="81" t="s">
        <v>209</v>
      </c>
      <c r="N60" s="464">
        <v>0.015</v>
      </c>
      <c r="O60" s="63" t="s">
        <v>35</v>
      </c>
      <c r="P60" s="145">
        <v>0.1</v>
      </c>
      <c r="Q60" s="70"/>
      <c r="R60" s="70"/>
      <c r="S60" s="62" t="s">
        <v>194</v>
      </c>
      <c r="T60" s="22" t="s">
        <v>3155</v>
      </c>
      <c r="U60" s="95" t="s">
        <v>221</v>
      </c>
      <c r="V60" s="49" t="str">
        <f t="shared" si="3"/>
        <v>Inativo</v>
      </c>
      <c r="W60" s="150"/>
      <c r="X60" s="150"/>
      <c r="Y60" s="30" t="s">
        <v>244</v>
      </c>
      <c r="Z60" s="81"/>
      <c r="AA60" s="467">
        <v>44364.0</v>
      </c>
      <c r="AB60" s="30">
        <v>4.907510000327E13</v>
      </c>
      <c r="AC60" s="476"/>
      <c r="AD60" s="476"/>
      <c r="AE60" s="476"/>
      <c r="AF60" s="476"/>
      <c r="AG60" s="476"/>
      <c r="AH60" s="476"/>
      <c r="AI60" s="476"/>
      <c r="AJ60" s="476"/>
      <c r="AK60" s="476"/>
      <c r="AL60" s="476"/>
      <c r="AM60" s="476"/>
      <c r="AN60" s="476"/>
      <c r="AO60" s="476"/>
      <c r="AP60" s="471"/>
      <c r="AQ60" s="471"/>
      <c r="AR60" s="471"/>
      <c r="AS60" s="471"/>
      <c r="AT60" s="471"/>
      <c r="AU60" s="476"/>
      <c r="AV60" s="96">
        <v>135270.22</v>
      </c>
      <c r="AW60" s="96">
        <v>134432.86</v>
      </c>
      <c r="AX60" s="96">
        <v>145717.99</v>
      </c>
      <c r="AY60" s="96">
        <v>129260.32</v>
      </c>
      <c r="AZ60" s="96">
        <v>200209.04</v>
      </c>
      <c r="BA60" s="96">
        <v>200642.53</v>
      </c>
      <c r="BB60" s="96">
        <v>201656.21</v>
      </c>
      <c r="BC60" s="96">
        <v>205839.28</v>
      </c>
      <c r="BD60" s="96">
        <v>207156.88</v>
      </c>
      <c r="BE60" s="96">
        <v>215650.24</v>
      </c>
      <c r="BF60" s="96">
        <v>211986.53</v>
      </c>
      <c r="BG60" s="472">
        <v>211358.16</v>
      </c>
      <c r="BH60" s="472">
        <v>209808.04</v>
      </c>
      <c r="BI60" s="472">
        <v>212713.99</v>
      </c>
      <c r="BJ60" s="472">
        <v>215632.82</v>
      </c>
      <c r="BK60" s="472">
        <v>217683.15</v>
      </c>
      <c r="BL60" s="472">
        <v>224496.98</v>
      </c>
      <c r="BM60" s="472">
        <v>222334.43</v>
      </c>
      <c r="BN60" s="472">
        <v>224113.22</v>
      </c>
      <c r="BO60" s="472">
        <v>226906.28</v>
      </c>
      <c r="BP60" s="472">
        <v>228592.36</v>
      </c>
      <c r="BQ60" s="472">
        <v>231466.74</v>
      </c>
      <c r="BR60" s="472">
        <v>232044.68</v>
      </c>
      <c r="BS60" s="472">
        <v>238202.87</v>
      </c>
      <c r="BT60" s="472">
        <v>241215.38</v>
      </c>
      <c r="BU60" s="472">
        <v>241411.72</v>
      </c>
      <c r="BV60" s="472">
        <v>46.37</v>
      </c>
      <c r="BW60" s="472">
        <v>0.0</v>
      </c>
      <c r="BX60" s="472">
        <v>7.64</v>
      </c>
      <c r="BY60" s="472">
        <v>7.54</v>
      </c>
      <c r="BZ60" s="472">
        <v>7.54</v>
      </c>
      <c r="CA60" s="474">
        <v>0.0</v>
      </c>
      <c r="CB60" s="474">
        <v>0.0</v>
      </c>
      <c r="CC60" s="474">
        <v>0.0</v>
      </c>
      <c r="CD60" s="474">
        <v>0.0</v>
      </c>
      <c r="CE60" s="474">
        <v>0.0</v>
      </c>
      <c r="CF60" s="474">
        <v>0.0</v>
      </c>
      <c r="CG60" s="474">
        <v>0.0</v>
      </c>
      <c r="CH60" s="65">
        <v>0.0</v>
      </c>
      <c r="CI60" s="65">
        <v>0.0</v>
      </c>
      <c r="CJ60" s="65">
        <v>0.0</v>
      </c>
      <c r="CK60" s="65">
        <v>0.0</v>
      </c>
      <c r="CL60" s="65">
        <v>0.0</v>
      </c>
      <c r="CM60" s="65">
        <v>0.0</v>
      </c>
      <c r="CN60" s="65">
        <v>0.0</v>
      </c>
    </row>
    <row r="61" ht="15.75" customHeight="1">
      <c r="A61" s="462" t="s">
        <v>2346</v>
      </c>
      <c r="B61" s="477" t="s">
        <v>3852</v>
      </c>
      <c r="C61" s="141">
        <v>31792.0</v>
      </c>
      <c r="D61" s="63" t="s">
        <v>120</v>
      </c>
      <c r="E61" s="63" t="s">
        <v>91</v>
      </c>
      <c r="F61" s="81" t="s">
        <v>699</v>
      </c>
      <c r="G61" s="47" t="str">
        <f t="shared" si="1"/>
        <v>Breno</v>
      </c>
      <c r="H61" s="152" t="s">
        <v>224</v>
      </c>
      <c r="I61" s="74" t="s">
        <v>66</v>
      </c>
      <c r="J61" s="63" t="str">
        <f t="shared" si="2"/>
        <v>Não</v>
      </c>
      <c r="K61" s="467">
        <v>44260.0</v>
      </c>
      <c r="L61" s="467">
        <v>44470.0</v>
      </c>
      <c r="M61" s="81" t="s">
        <v>209</v>
      </c>
      <c r="N61" s="478">
        <v>0.015</v>
      </c>
      <c r="O61" s="63" t="s">
        <v>35</v>
      </c>
      <c r="P61" s="145">
        <v>0.1</v>
      </c>
      <c r="Q61" s="190"/>
      <c r="R61" s="158"/>
      <c r="S61" s="62" t="s">
        <v>194</v>
      </c>
      <c r="T61" s="30" t="s">
        <v>3856</v>
      </c>
      <c r="U61" s="30" t="s">
        <v>475</v>
      </c>
      <c r="V61" s="49" t="str">
        <f t="shared" si="3"/>
        <v>Encerrado</v>
      </c>
      <c r="W61" s="150"/>
      <c r="X61" s="150"/>
      <c r="Y61" s="81"/>
      <c r="Z61" s="81"/>
      <c r="AA61" s="81"/>
      <c r="AB61" s="30"/>
      <c r="AC61" s="482"/>
      <c r="AD61" s="482"/>
      <c r="AE61" s="482"/>
      <c r="AF61" s="482"/>
      <c r="AG61" s="482"/>
      <c r="AH61" s="482"/>
      <c r="AI61" s="482"/>
      <c r="AJ61" s="482"/>
      <c r="AK61" s="482"/>
      <c r="AL61" s="482"/>
      <c r="AM61" s="482"/>
      <c r="AN61" s="482"/>
      <c r="AO61" s="482"/>
      <c r="AP61" s="96"/>
      <c r="AQ61" s="96">
        <v>308886.23</v>
      </c>
      <c r="AR61" s="96">
        <v>257314.32</v>
      </c>
      <c r="AS61" s="96"/>
      <c r="AT61" s="96">
        <v>260062.48</v>
      </c>
      <c r="AU61" s="96">
        <v>212402.23</v>
      </c>
      <c r="AV61" s="96">
        <v>211760.66</v>
      </c>
      <c r="AW61" s="482">
        <v>200247.13</v>
      </c>
      <c r="AX61" s="482">
        <v>150641.92</v>
      </c>
      <c r="AY61" s="96">
        <v>151371.24</v>
      </c>
      <c r="AZ61" s="96"/>
      <c r="BA61" s="96"/>
      <c r="BB61" s="96"/>
      <c r="BC61" s="96"/>
      <c r="BD61" s="96">
        <v>0.0</v>
      </c>
      <c r="BE61" s="96">
        <v>0.0</v>
      </c>
      <c r="BF61" s="96">
        <v>0.0</v>
      </c>
      <c r="BG61" s="96" t="s">
        <v>377</v>
      </c>
      <c r="BH61" s="96">
        <v>0.0</v>
      </c>
      <c r="BI61" s="96">
        <v>0.0</v>
      </c>
      <c r="BJ61" s="96">
        <v>0.0</v>
      </c>
      <c r="BK61" s="472">
        <v>0.0</v>
      </c>
      <c r="BL61" s="472">
        <v>0.0</v>
      </c>
      <c r="BM61" s="472">
        <v>0.0</v>
      </c>
      <c r="BN61" s="472">
        <v>0.0</v>
      </c>
      <c r="BO61" s="472">
        <v>0.0</v>
      </c>
      <c r="BP61" s="472">
        <v>0.0</v>
      </c>
      <c r="BQ61" s="472">
        <v>0.0</v>
      </c>
      <c r="BR61" s="472">
        <v>0.0</v>
      </c>
      <c r="BS61" s="472">
        <v>0.0</v>
      </c>
      <c r="BT61" s="472">
        <v>0.0</v>
      </c>
      <c r="BU61" s="472">
        <v>0.0</v>
      </c>
      <c r="BV61" s="472">
        <v>0.0</v>
      </c>
      <c r="BW61" s="472">
        <v>0.0</v>
      </c>
      <c r="BX61" s="472">
        <v>0.0</v>
      </c>
      <c r="BY61" s="472">
        <v>0.0</v>
      </c>
      <c r="BZ61" s="472">
        <v>0.0</v>
      </c>
      <c r="CA61" s="474">
        <v>0.0</v>
      </c>
      <c r="CB61" s="474">
        <v>0.0</v>
      </c>
      <c r="CC61" s="474">
        <v>0.0</v>
      </c>
      <c r="CD61" s="474">
        <v>0.0</v>
      </c>
      <c r="CE61" s="474">
        <v>0.0</v>
      </c>
      <c r="CF61" s="474">
        <v>0.0</v>
      </c>
      <c r="CG61" s="474">
        <v>0.0</v>
      </c>
      <c r="CH61" s="65">
        <v>0.0</v>
      </c>
      <c r="CI61" s="65">
        <v>0.0</v>
      </c>
      <c r="CJ61" s="65">
        <v>0.0</v>
      </c>
      <c r="CK61" s="65">
        <v>0.0</v>
      </c>
      <c r="CL61" s="65">
        <v>0.0</v>
      </c>
      <c r="CM61" s="65">
        <v>0.0</v>
      </c>
      <c r="CN61" s="65">
        <v>0.0</v>
      </c>
    </row>
    <row r="62" ht="15.75" customHeight="1">
      <c r="A62" s="462" t="s">
        <v>2346</v>
      </c>
      <c r="B62" s="477" t="s">
        <v>3868</v>
      </c>
      <c r="C62" s="141">
        <v>434978.0</v>
      </c>
      <c r="D62" s="63" t="s">
        <v>669</v>
      </c>
      <c r="E62" s="63" t="s">
        <v>199</v>
      </c>
      <c r="F62" s="81" t="s">
        <v>1228</v>
      </c>
      <c r="G62" s="47" t="str">
        <f t="shared" si="1"/>
        <v>Breno</v>
      </c>
      <c r="H62" s="152" t="s">
        <v>224</v>
      </c>
      <c r="I62" s="74" t="s">
        <v>66</v>
      </c>
      <c r="J62" s="63" t="str">
        <f t="shared" si="2"/>
        <v>Não</v>
      </c>
      <c r="K62" s="467">
        <v>43707.0</v>
      </c>
      <c r="L62" s="467">
        <v>44734.0</v>
      </c>
      <c r="M62" s="81" t="s">
        <v>231</v>
      </c>
      <c r="N62" s="478">
        <v>0.01</v>
      </c>
      <c r="O62" s="141" t="s">
        <v>233</v>
      </c>
      <c r="P62" s="145">
        <v>0.2</v>
      </c>
      <c r="Q62" s="190"/>
      <c r="R62" s="158" t="s">
        <v>3871</v>
      </c>
      <c r="S62" s="62" t="s">
        <v>194</v>
      </c>
      <c r="T62" s="30" t="s">
        <v>3872</v>
      </c>
      <c r="U62" s="81" t="s">
        <v>199</v>
      </c>
      <c r="V62" s="49" t="str">
        <f t="shared" si="3"/>
        <v>Encerrado</v>
      </c>
      <c r="W62" s="150"/>
      <c r="X62" s="150"/>
      <c r="Y62" s="30" t="s">
        <v>244</v>
      </c>
      <c r="Z62" s="81"/>
      <c r="AA62" s="81"/>
      <c r="AB62" s="30"/>
      <c r="AC62" s="96">
        <v>1026624.14</v>
      </c>
      <c r="AD62" s="96">
        <v>1013728.74</v>
      </c>
      <c r="AE62" s="96">
        <v>963371.85</v>
      </c>
      <c r="AF62" s="96">
        <v>978378.98</v>
      </c>
      <c r="AG62" s="96">
        <v>984641.89</v>
      </c>
      <c r="AH62" s="96">
        <v>991449.21</v>
      </c>
      <c r="AI62" s="96">
        <v>1003715.61</v>
      </c>
      <c r="AJ62" s="96">
        <v>992349.02</v>
      </c>
      <c r="AK62" s="96">
        <v>981481.29</v>
      </c>
      <c r="AL62" s="96">
        <v>371231.76</v>
      </c>
      <c r="AM62" s="96">
        <v>307551.04</v>
      </c>
      <c r="AN62" s="96">
        <v>323350.6</v>
      </c>
      <c r="AO62" s="96">
        <v>313686.51</v>
      </c>
      <c r="AP62" s="96">
        <v>296522.17</v>
      </c>
      <c r="AQ62" s="96">
        <v>291772.28</v>
      </c>
      <c r="AR62" s="96">
        <v>310581.28</v>
      </c>
      <c r="AS62" s="96">
        <v>311376.54</v>
      </c>
      <c r="AT62" s="96">
        <v>312526.51</v>
      </c>
      <c r="AU62" s="96">
        <v>323116.44</v>
      </c>
      <c r="AV62" s="96">
        <v>319489.85</v>
      </c>
      <c r="AW62" s="96">
        <v>312938.42</v>
      </c>
      <c r="AX62" s="96">
        <v>302352.69</v>
      </c>
      <c r="AY62" s="96">
        <v>293334.1</v>
      </c>
      <c r="AZ62" s="96">
        <v>281161.18</v>
      </c>
      <c r="BA62" s="96">
        <v>130224.46</v>
      </c>
      <c r="BB62" s="96">
        <v>117831.72</v>
      </c>
      <c r="BC62" s="96">
        <v>128746.73</v>
      </c>
      <c r="BD62" s="96">
        <v>107180.17</v>
      </c>
      <c r="BE62" s="96">
        <v>113411.48</v>
      </c>
      <c r="BF62" s="96">
        <v>103014.67</v>
      </c>
      <c r="BG62" s="96">
        <v>101529.01</v>
      </c>
      <c r="BH62" s="96">
        <v>0.0</v>
      </c>
      <c r="BI62" s="96">
        <v>0.0</v>
      </c>
      <c r="BJ62" s="96">
        <v>0.0</v>
      </c>
      <c r="BK62" s="472">
        <v>0.0</v>
      </c>
      <c r="BL62" s="472">
        <v>0.0</v>
      </c>
      <c r="BM62" s="472">
        <v>0.0</v>
      </c>
      <c r="BN62" s="472">
        <v>0.0</v>
      </c>
      <c r="BO62" s="472">
        <v>0.0</v>
      </c>
      <c r="BP62" s="472">
        <v>0.0</v>
      </c>
      <c r="BQ62" s="472">
        <v>0.0</v>
      </c>
      <c r="BR62" s="472">
        <v>0.0</v>
      </c>
      <c r="BS62" s="472">
        <v>0.0</v>
      </c>
      <c r="BT62" s="472">
        <v>0.0</v>
      </c>
      <c r="BU62" s="472">
        <v>0.0</v>
      </c>
      <c r="BV62" s="472">
        <v>0.0</v>
      </c>
      <c r="BW62" s="472">
        <v>0.0</v>
      </c>
      <c r="BX62" s="472">
        <v>0.0</v>
      </c>
      <c r="BY62" s="472">
        <v>0.0</v>
      </c>
      <c r="BZ62" s="472">
        <v>0.0</v>
      </c>
      <c r="CA62" s="474">
        <v>0.0</v>
      </c>
      <c r="CB62" s="474">
        <v>0.0</v>
      </c>
      <c r="CC62" s="474">
        <v>0.0</v>
      </c>
      <c r="CD62" s="474">
        <v>0.0</v>
      </c>
      <c r="CE62" s="474">
        <v>0.0</v>
      </c>
      <c r="CF62" s="474">
        <v>0.0</v>
      </c>
      <c r="CG62" s="474">
        <v>0.0</v>
      </c>
      <c r="CH62" s="65">
        <v>0.0</v>
      </c>
      <c r="CI62" s="65">
        <v>0.0</v>
      </c>
      <c r="CJ62" s="65">
        <v>0.0</v>
      </c>
      <c r="CK62" s="65">
        <v>0.0</v>
      </c>
      <c r="CL62" s="65">
        <v>0.0</v>
      </c>
      <c r="CM62" s="65">
        <v>0.0</v>
      </c>
      <c r="CN62" s="65">
        <v>0.0</v>
      </c>
    </row>
    <row r="63" ht="15.75" customHeight="1">
      <c r="A63" s="462" t="s">
        <v>2346</v>
      </c>
      <c r="B63" s="477" t="s">
        <v>3880</v>
      </c>
      <c r="C63" s="141">
        <v>33280.0</v>
      </c>
      <c r="D63" s="63" t="s">
        <v>120</v>
      </c>
      <c r="E63" s="63" t="s">
        <v>91</v>
      </c>
      <c r="F63" s="81" t="s">
        <v>699</v>
      </c>
      <c r="G63" s="47" t="str">
        <f t="shared" si="1"/>
        <v>Breno</v>
      </c>
      <c r="H63" s="152" t="s">
        <v>224</v>
      </c>
      <c r="I63" s="74" t="s">
        <v>66</v>
      </c>
      <c r="J63" s="63" t="str">
        <f t="shared" si="2"/>
        <v>Não</v>
      </c>
      <c r="K63" s="467">
        <v>44273.0</v>
      </c>
      <c r="L63" s="467">
        <v>44435.0</v>
      </c>
      <c r="M63" s="81" t="s">
        <v>209</v>
      </c>
      <c r="N63" s="478">
        <v>0.015</v>
      </c>
      <c r="O63" s="63" t="s">
        <v>35</v>
      </c>
      <c r="P63" s="145">
        <v>0.1</v>
      </c>
      <c r="Q63" s="190"/>
      <c r="R63" s="158"/>
      <c r="S63" s="62" t="s">
        <v>194</v>
      </c>
      <c r="T63" s="30" t="s">
        <v>3881</v>
      </c>
      <c r="U63" s="95" t="s">
        <v>221</v>
      </c>
      <c r="V63" s="49" t="str">
        <f t="shared" si="3"/>
        <v>Encerrado</v>
      </c>
      <c r="W63" s="150"/>
      <c r="X63" s="150"/>
      <c r="Y63" s="81"/>
      <c r="Z63" s="81"/>
      <c r="AA63" s="81"/>
      <c r="AB63" s="30"/>
      <c r="AC63" s="482"/>
      <c r="AD63" s="482"/>
      <c r="AE63" s="482"/>
      <c r="AF63" s="482"/>
      <c r="AG63" s="482"/>
      <c r="AH63" s="482"/>
      <c r="AI63" s="482"/>
      <c r="AJ63" s="482"/>
      <c r="AK63" s="482"/>
      <c r="AL63" s="482"/>
      <c r="AM63" s="482"/>
      <c r="AN63" s="482"/>
      <c r="AO63" s="482"/>
      <c r="AP63" s="96"/>
      <c r="AQ63" s="96">
        <v>437384.63</v>
      </c>
      <c r="AR63" s="96"/>
      <c r="AS63" s="96"/>
      <c r="AT63" s="96"/>
      <c r="AU63" s="96">
        <v>204511.42</v>
      </c>
      <c r="AV63" s="96">
        <v>154716.4</v>
      </c>
      <c r="AW63" s="96">
        <v>104633.35</v>
      </c>
      <c r="AX63" s="96">
        <v>32707.52</v>
      </c>
      <c r="AY63" s="96">
        <v>14398.24</v>
      </c>
      <c r="AZ63" s="96"/>
      <c r="BA63" s="96"/>
      <c r="BB63" s="96"/>
      <c r="BC63" s="96"/>
      <c r="BD63" s="96">
        <v>0.0</v>
      </c>
      <c r="BE63" s="96">
        <v>0.0</v>
      </c>
      <c r="BF63" s="96">
        <v>0.0</v>
      </c>
      <c r="BG63" s="96" t="s">
        <v>377</v>
      </c>
      <c r="BH63" s="96">
        <v>0.0</v>
      </c>
      <c r="BI63" s="96">
        <v>0.0</v>
      </c>
      <c r="BJ63" s="96">
        <v>0.0</v>
      </c>
      <c r="BK63" s="472">
        <v>0.0</v>
      </c>
      <c r="BL63" s="472">
        <v>0.0</v>
      </c>
      <c r="BM63" s="472">
        <v>0.0</v>
      </c>
      <c r="BN63" s="472">
        <v>0.0</v>
      </c>
      <c r="BO63" s="472">
        <v>0.0</v>
      </c>
      <c r="BP63" s="472">
        <v>0.0</v>
      </c>
      <c r="BQ63" s="472">
        <v>0.0</v>
      </c>
      <c r="BR63" s="472">
        <v>0.0</v>
      </c>
      <c r="BS63" s="472">
        <v>0.0</v>
      </c>
      <c r="BT63" s="472">
        <v>0.0</v>
      </c>
      <c r="BU63" s="472">
        <v>0.0</v>
      </c>
      <c r="BV63" s="472">
        <v>0.0</v>
      </c>
      <c r="BW63" s="472">
        <v>0.0</v>
      </c>
      <c r="BX63" s="472">
        <v>0.0</v>
      </c>
      <c r="BY63" s="472">
        <v>0.0</v>
      </c>
      <c r="BZ63" s="472">
        <v>0.0</v>
      </c>
      <c r="CA63" s="474">
        <v>0.0</v>
      </c>
      <c r="CB63" s="474">
        <v>0.0</v>
      </c>
      <c r="CC63" s="474">
        <v>0.0</v>
      </c>
      <c r="CD63" s="474">
        <v>0.0</v>
      </c>
      <c r="CE63" s="474">
        <v>0.0</v>
      </c>
      <c r="CF63" s="474">
        <v>0.0</v>
      </c>
      <c r="CG63" s="474">
        <v>0.0</v>
      </c>
      <c r="CH63" s="65">
        <v>0.0</v>
      </c>
      <c r="CI63" s="65">
        <v>0.0</v>
      </c>
      <c r="CJ63" s="65">
        <v>0.0</v>
      </c>
      <c r="CK63" s="65">
        <v>0.0</v>
      </c>
      <c r="CL63" s="65">
        <v>0.0</v>
      </c>
      <c r="CM63" s="65">
        <v>0.0</v>
      </c>
      <c r="CN63" s="65">
        <v>0.0</v>
      </c>
    </row>
    <row r="64" ht="15.75" customHeight="1">
      <c r="A64" s="462" t="s">
        <v>2346</v>
      </c>
      <c r="B64" s="462" t="s">
        <v>3784</v>
      </c>
      <c r="C64" s="141">
        <v>32049.0</v>
      </c>
      <c r="D64" s="521" t="s">
        <v>1096</v>
      </c>
      <c r="E64" s="521" t="s">
        <v>199</v>
      </c>
      <c r="F64" s="521" t="s">
        <v>1096</v>
      </c>
      <c r="G64" s="47" t="str">
        <f t="shared" si="1"/>
        <v>Breno</v>
      </c>
      <c r="H64" s="239" t="s">
        <v>295</v>
      </c>
      <c r="I64" s="49" t="s">
        <v>382</v>
      </c>
      <c r="J64" s="63" t="str">
        <f t="shared" si="2"/>
        <v>Não</v>
      </c>
      <c r="K64" s="523">
        <v>43370.0</v>
      </c>
      <c r="L64" s="524"/>
      <c r="M64" s="524" t="s">
        <v>231</v>
      </c>
      <c r="N64" s="539">
        <v>0.01</v>
      </c>
      <c r="O64" s="539"/>
      <c r="P64" s="560"/>
      <c r="Q64" s="146"/>
      <c r="R64" s="153" t="s">
        <v>3897</v>
      </c>
      <c r="S64" s="62" t="s">
        <v>194</v>
      </c>
      <c r="T64" s="141" t="s">
        <v>3783</v>
      </c>
      <c r="U64" s="81" t="s">
        <v>199</v>
      </c>
      <c r="V64" s="49" t="str">
        <f t="shared" si="3"/>
        <v>Ativo</v>
      </c>
      <c r="W64" s="150"/>
      <c r="X64" s="150"/>
      <c r="Y64" s="30" t="s">
        <v>244</v>
      </c>
      <c r="Z64" s="81"/>
      <c r="AA64" s="467">
        <v>43370.0</v>
      </c>
      <c r="AB64" s="30">
        <v>4.9075100003289E13</v>
      </c>
      <c r="AC64" s="96">
        <v>689191.58</v>
      </c>
      <c r="AD64" s="96">
        <v>659065.0</v>
      </c>
      <c r="AE64" s="96">
        <v>488148.27</v>
      </c>
      <c r="AF64" s="96">
        <v>521003.16</v>
      </c>
      <c r="AG64" s="96">
        <v>542638.99</v>
      </c>
      <c r="AH64" s="96">
        <v>587398.51</v>
      </c>
      <c r="AI64" s="96">
        <v>635980.4</v>
      </c>
      <c r="AJ64" s="96">
        <v>601738.59</v>
      </c>
      <c r="AK64" s="96">
        <v>566308.81</v>
      </c>
      <c r="AL64" s="96">
        <v>577726.55</v>
      </c>
      <c r="AM64" s="96">
        <v>653969.08</v>
      </c>
      <c r="AN64" s="96">
        <v>686566.31</v>
      </c>
      <c r="AO64" s="96">
        <v>678974.48</v>
      </c>
      <c r="AP64" s="96">
        <v>627474.91</v>
      </c>
      <c r="AQ64" s="471">
        <v>609849.23</v>
      </c>
      <c r="AR64" s="471">
        <v>645153.95</v>
      </c>
      <c r="AS64" s="471">
        <v>669200.34</v>
      </c>
      <c r="AT64" s="471">
        <v>673639.75</v>
      </c>
      <c r="AU64" s="471">
        <v>704389.3</v>
      </c>
      <c r="AV64" s="96">
        <v>695498.62</v>
      </c>
      <c r="AW64" s="96">
        <v>676011.75</v>
      </c>
      <c r="AX64" s="96">
        <v>644708.64</v>
      </c>
      <c r="AY64" s="96">
        <v>614415.29</v>
      </c>
      <c r="AZ64" s="96">
        <v>578004.06</v>
      </c>
      <c r="BA64" s="96">
        <v>561341.31</v>
      </c>
      <c r="BB64" s="96">
        <v>567936.93</v>
      </c>
      <c r="BC64" s="96">
        <v>600192.68</v>
      </c>
      <c r="BD64" s="96">
        <v>608135.57</v>
      </c>
      <c r="BE64" s="96">
        <v>651086.85</v>
      </c>
      <c r="BF64" s="96">
        <v>626120.44</v>
      </c>
      <c r="BG64" s="472">
        <v>615896.94</v>
      </c>
      <c r="BH64" s="472">
        <v>588220.42</v>
      </c>
      <c r="BI64" s="472">
        <v>616702.14</v>
      </c>
      <c r="BJ64" s="472">
        <v>623564.19</v>
      </c>
      <c r="BK64" s="472">
        <v>629180.67</v>
      </c>
      <c r="BL64" s="472">
        <v>676541.15</v>
      </c>
      <c r="BM64" s="472">
        <v>655267.91</v>
      </c>
      <c r="BN64" s="472">
        <v>651979.65</v>
      </c>
      <c r="BO64" s="472">
        <v>671934.78</v>
      </c>
      <c r="BP64" s="472">
        <v>648400.77</v>
      </c>
      <c r="BQ64" s="472">
        <v>647739.45</v>
      </c>
      <c r="BR64" s="472">
        <v>633577.78</v>
      </c>
      <c r="BS64" s="472">
        <v>647121.23</v>
      </c>
      <c r="BT64" s="472">
        <v>661489.15</v>
      </c>
      <c r="BU64" s="472">
        <v>674359.9</v>
      </c>
      <c r="BV64" s="472">
        <v>684790.06</v>
      </c>
      <c r="BW64" s="472">
        <v>683855.75</v>
      </c>
      <c r="BX64" s="472">
        <v>694748.76</v>
      </c>
      <c r="BY64" s="472">
        <v>697442.58</v>
      </c>
      <c r="BZ64" s="472">
        <v>703568.6</v>
      </c>
      <c r="CA64" s="474">
        <v>439547.58</v>
      </c>
      <c r="CB64" s="474">
        <v>442280.61</v>
      </c>
      <c r="CC64" s="474">
        <v>420.42</v>
      </c>
      <c r="CD64" s="474">
        <v>420.42</v>
      </c>
      <c r="CE64" s="474">
        <v>0.0</v>
      </c>
      <c r="CF64" s="474">
        <v>0.0</v>
      </c>
      <c r="CG64" s="474">
        <v>0.0</v>
      </c>
      <c r="CH64" s="65">
        <v>0.0</v>
      </c>
      <c r="CI64" s="65">
        <v>0.0</v>
      </c>
      <c r="CJ64" s="65">
        <v>0.0</v>
      </c>
      <c r="CK64" s="65">
        <v>0.0</v>
      </c>
      <c r="CL64" s="65">
        <v>0.0</v>
      </c>
      <c r="CM64" s="65">
        <v>0.0</v>
      </c>
      <c r="CN64" s="65">
        <v>0.0</v>
      </c>
    </row>
    <row r="65" ht="15.75" customHeight="1">
      <c r="A65" s="462" t="s">
        <v>2346</v>
      </c>
      <c r="B65" s="176" t="s">
        <v>3912</v>
      </c>
      <c r="C65" s="141">
        <v>35069.0</v>
      </c>
      <c r="D65" s="63" t="s">
        <v>120</v>
      </c>
      <c r="E65" s="63" t="s">
        <v>91</v>
      </c>
      <c r="F65" s="66" t="s">
        <v>193</v>
      </c>
      <c r="G65" s="47" t="str">
        <f t="shared" si="1"/>
        <v>Breno</v>
      </c>
      <c r="H65" s="142" t="s">
        <v>295</v>
      </c>
      <c r="I65" s="49" t="s">
        <v>382</v>
      </c>
      <c r="J65" s="63" t="str">
        <f t="shared" si="2"/>
        <v>Não</v>
      </c>
      <c r="K65" s="194">
        <v>44438.0</v>
      </c>
      <c r="L65" s="515"/>
      <c r="M65" s="81" t="s">
        <v>209</v>
      </c>
      <c r="N65" s="478">
        <v>0.01</v>
      </c>
      <c r="O65" s="63" t="s">
        <v>35</v>
      </c>
      <c r="P65" s="145">
        <v>0.1</v>
      </c>
      <c r="Q65" s="146"/>
      <c r="R65" s="58" t="s">
        <v>3917</v>
      </c>
      <c r="S65" s="62" t="s">
        <v>194</v>
      </c>
      <c r="T65" s="22" t="s">
        <v>3918</v>
      </c>
      <c r="U65" s="95" t="s">
        <v>221</v>
      </c>
      <c r="V65" s="49" t="str">
        <f t="shared" si="3"/>
        <v>Inativo</v>
      </c>
      <c r="W65" s="150"/>
      <c r="X65" s="150"/>
      <c r="Y65" s="30" t="s">
        <v>244</v>
      </c>
      <c r="Z65" s="81"/>
      <c r="AA65" s="467">
        <v>44438.0</v>
      </c>
      <c r="AB65" s="30">
        <v>4.9075100003297E13</v>
      </c>
      <c r="AC65" s="246"/>
      <c r="AD65" s="246"/>
      <c r="AE65" s="246"/>
      <c r="AF65" s="246"/>
      <c r="AG65" s="246"/>
      <c r="AH65" s="246"/>
      <c r="AI65" s="246"/>
      <c r="AJ65" s="246"/>
      <c r="AK65" s="246"/>
      <c r="AL65" s="246"/>
      <c r="AM65" s="246"/>
      <c r="AN65" s="476"/>
      <c r="AO65" s="96"/>
      <c r="AP65" s="471"/>
      <c r="AQ65" s="471"/>
      <c r="AR65" s="471"/>
      <c r="AS65" s="471"/>
      <c r="AT65" s="471"/>
      <c r="AU65" s="96"/>
      <c r="AV65" s="96"/>
      <c r="AW65" s="476"/>
      <c r="AX65" s="476">
        <v>100099.16</v>
      </c>
      <c r="AY65" s="96">
        <v>233674.42</v>
      </c>
      <c r="AZ65" s="96">
        <v>242373.49</v>
      </c>
      <c r="BA65" s="96">
        <v>240873.86</v>
      </c>
      <c r="BB65" s="96">
        <v>241574.55</v>
      </c>
      <c r="BC65" s="96">
        <v>245453.44</v>
      </c>
      <c r="BD65" s="96">
        <v>246927.04</v>
      </c>
      <c r="BE65" s="96">
        <v>256606.9</v>
      </c>
      <c r="BF65" s="96">
        <v>252030.03</v>
      </c>
      <c r="BG65" s="472">
        <v>149833.97</v>
      </c>
      <c r="BH65" s="472">
        <v>148119.02</v>
      </c>
      <c r="BI65" s="472">
        <v>150978.18</v>
      </c>
      <c r="BJ65" s="472">
        <v>152632.04</v>
      </c>
      <c r="BK65" s="472">
        <v>154404.7</v>
      </c>
      <c r="BL65" s="472">
        <v>159990.49</v>
      </c>
      <c r="BM65" s="472">
        <v>158901.19</v>
      </c>
      <c r="BN65" s="472">
        <v>160267.43</v>
      </c>
      <c r="BO65" s="472">
        <v>162421.29</v>
      </c>
      <c r="BP65" s="472">
        <v>163197.64</v>
      </c>
      <c r="BQ65" s="472">
        <v>165048.3</v>
      </c>
      <c r="BR65" s="472">
        <v>6103.08</v>
      </c>
      <c r="BS65" s="472">
        <v>0.0</v>
      </c>
      <c r="BT65" s="472">
        <v>0.0</v>
      </c>
      <c r="BU65" s="472">
        <v>0.0</v>
      </c>
      <c r="BV65" s="472">
        <v>0.0</v>
      </c>
      <c r="BW65" s="472">
        <v>0.0</v>
      </c>
      <c r="BX65" s="472">
        <v>0.0</v>
      </c>
      <c r="BY65" s="472">
        <v>0.0</v>
      </c>
      <c r="BZ65" s="472">
        <v>0.0</v>
      </c>
      <c r="CA65" s="474">
        <v>0.0</v>
      </c>
      <c r="CB65" s="474">
        <v>0.0</v>
      </c>
      <c r="CC65" s="474">
        <v>0.0</v>
      </c>
      <c r="CD65" s="474">
        <v>0.0</v>
      </c>
      <c r="CE65" s="474">
        <v>0.0</v>
      </c>
      <c r="CF65" s="474">
        <v>0.0</v>
      </c>
      <c r="CG65" s="474">
        <v>0.0</v>
      </c>
      <c r="CH65" s="65">
        <v>0.0</v>
      </c>
      <c r="CI65" s="65">
        <v>0.0</v>
      </c>
      <c r="CJ65" s="65">
        <v>0.0</v>
      </c>
      <c r="CK65" s="65">
        <v>0.0</v>
      </c>
      <c r="CL65" s="65">
        <v>0.0</v>
      </c>
      <c r="CM65" s="65">
        <v>0.0</v>
      </c>
      <c r="CN65" s="65">
        <v>0.0</v>
      </c>
    </row>
    <row r="66" ht="15.75" customHeight="1">
      <c r="A66" s="462" t="s">
        <v>2346</v>
      </c>
      <c r="B66" s="43" t="s">
        <v>3922</v>
      </c>
      <c r="C66" s="141">
        <v>32441.0</v>
      </c>
      <c r="D66" s="63" t="s">
        <v>120</v>
      </c>
      <c r="E66" s="63" t="s">
        <v>91</v>
      </c>
      <c r="F66" s="63" t="s">
        <v>193</v>
      </c>
      <c r="G66" s="47" t="str">
        <f t="shared" si="1"/>
        <v>Breno</v>
      </c>
      <c r="H66" s="142" t="s">
        <v>295</v>
      </c>
      <c r="I66" s="49" t="s">
        <v>382</v>
      </c>
      <c r="J66" s="63" t="str">
        <f t="shared" si="2"/>
        <v>Não</v>
      </c>
      <c r="K66" s="143">
        <v>44319.0</v>
      </c>
      <c r="L66" s="81"/>
      <c r="M66" s="81" t="s">
        <v>209</v>
      </c>
      <c r="N66" s="478">
        <v>0.01</v>
      </c>
      <c r="O66" s="63" t="s">
        <v>35</v>
      </c>
      <c r="P66" s="145">
        <v>0.1</v>
      </c>
      <c r="Q66" s="190"/>
      <c r="R66" s="70" t="s">
        <v>3926</v>
      </c>
      <c r="S66" s="62" t="s">
        <v>194</v>
      </c>
      <c r="T66" s="22" t="s">
        <v>3927</v>
      </c>
      <c r="U66" s="95" t="s">
        <v>221</v>
      </c>
      <c r="V66" s="49" t="str">
        <f t="shared" si="3"/>
        <v>Inativo</v>
      </c>
      <c r="W66" s="150"/>
      <c r="X66" s="150"/>
      <c r="Y66" s="30" t="s">
        <v>269</v>
      </c>
      <c r="Z66" s="81"/>
      <c r="AA66" s="467">
        <v>44319.0</v>
      </c>
      <c r="AB66" s="30">
        <v>4.9075100005338E13</v>
      </c>
      <c r="AC66" s="476"/>
      <c r="AD66" s="476"/>
      <c r="AE66" s="476"/>
      <c r="AF66" s="476"/>
      <c r="AG66" s="476"/>
      <c r="AH66" s="476"/>
      <c r="AI66" s="476"/>
      <c r="AJ66" s="476"/>
      <c r="AK66" s="476"/>
      <c r="AL66" s="476"/>
      <c r="AM66" s="476"/>
      <c r="AN66" s="476"/>
      <c r="AO66" s="476"/>
      <c r="AP66" s="96"/>
      <c r="AQ66" s="471"/>
      <c r="AR66" s="471"/>
      <c r="AS66" s="471"/>
      <c r="AT66" s="471"/>
      <c r="AU66" s="471">
        <v>1188131.99</v>
      </c>
      <c r="AV66" s="96">
        <v>1181785.11</v>
      </c>
      <c r="AW66" s="96">
        <v>1170353.72</v>
      </c>
      <c r="AX66" s="96">
        <v>1149324.14</v>
      </c>
      <c r="AY66" s="96">
        <v>1131813.73</v>
      </c>
      <c r="AZ66" s="96">
        <v>1102931.38</v>
      </c>
      <c r="BA66" s="96">
        <v>1082660.99</v>
      </c>
      <c r="BB66" s="96">
        <v>1098424.04</v>
      </c>
      <c r="BC66" s="96">
        <v>1126681.93</v>
      </c>
      <c r="BD66" s="96">
        <v>1133803.8</v>
      </c>
      <c r="BE66" s="96">
        <v>1181269.9</v>
      </c>
      <c r="BF66" s="96">
        <v>1162926.95</v>
      </c>
      <c r="BG66" s="562">
        <v>150882.57</v>
      </c>
      <c r="BH66" s="472">
        <v>149745.05</v>
      </c>
      <c r="BI66" s="472">
        <v>365.85</v>
      </c>
      <c r="BJ66" s="472">
        <v>1050.13</v>
      </c>
      <c r="BK66" s="472">
        <v>307.02</v>
      </c>
      <c r="BL66" s="472">
        <v>309.51</v>
      </c>
      <c r="BM66" s="472">
        <v>311.93</v>
      </c>
      <c r="BN66" s="472">
        <v>314.4</v>
      </c>
      <c r="BO66" s="472">
        <v>585.41</v>
      </c>
      <c r="BP66" s="472">
        <v>587.72</v>
      </c>
      <c r="BQ66" s="472">
        <v>590.73</v>
      </c>
      <c r="BR66" s="472">
        <v>592.86</v>
      </c>
      <c r="BS66" s="472">
        <v>328.54</v>
      </c>
      <c r="BT66" s="472">
        <v>0.0</v>
      </c>
      <c r="BU66" s="472">
        <v>0.0</v>
      </c>
      <c r="BV66" s="472">
        <v>0.0</v>
      </c>
      <c r="BW66" s="472">
        <v>0.0</v>
      </c>
      <c r="BX66" s="472">
        <v>0.0</v>
      </c>
      <c r="BY66" s="472">
        <v>0.0</v>
      </c>
      <c r="BZ66" s="472">
        <v>0.0</v>
      </c>
      <c r="CA66" s="474">
        <v>0.0</v>
      </c>
      <c r="CB66" s="474">
        <v>0.0</v>
      </c>
      <c r="CC66" s="474">
        <v>0.0</v>
      </c>
      <c r="CD66" s="474">
        <v>0.0</v>
      </c>
      <c r="CE66" s="474">
        <v>0.0</v>
      </c>
      <c r="CF66" s="474">
        <v>0.0</v>
      </c>
      <c r="CG66" s="474">
        <v>0.0</v>
      </c>
      <c r="CH66" s="65">
        <v>0.0</v>
      </c>
      <c r="CI66" s="65">
        <v>0.0</v>
      </c>
      <c r="CJ66" s="65">
        <v>0.0</v>
      </c>
      <c r="CK66" s="65">
        <v>0.0</v>
      </c>
      <c r="CL66" s="65">
        <v>0.0</v>
      </c>
      <c r="CM66" s="65">
        <v>0.0</v>
      </c>
      <c r="CN66" s="65">
        <v>0.0</v>
      </c>
    </row>
    <row r="67" ht="15.75" customHeight="1">
      <c r="A67" s="462" t="s">
        <v>2346</v>
      </c>
      <c r="B67" s="477" t="s">
        <v>3939</v>
      </c>
      <c r="C67" s="141">
        <v>447493.0</v>
      </c>
      <c r="D67" s="63" t="s">
        <v>669</v>
      </c>
      <c r="E67" s="63" t="s">
        <v>199</v>
      </c>
      <c r="F67" s="81" t="s">
        <v>1228</v>
      </c>
      <c r="G67" s="47" t="str">
        <f t="shared" si="1"/>
        <v>Breno</v>
      </c>
      <c r="H67" s="152" t="s">
        <v>224</v>
      </c>
      <c r="I67" s="74" t="s">
        <v>66</v>
      </c>
      <c r="J67" s="63" t="str">
        <f t="shared" si="2"/>
        <v>Não</v>
      </c>
      <c r="K67" s="467">
        <v>43865.0</v>
      </c>
      <c r="L67" s="467">
        <v>44473.0</v>
      </c>
      <c r="M67" s="81" t="s">
        <v>209</v>
      </c>
      <c r="N67" s="478">
        <v>0.015</v>
      </c>
      <c r="O67" s="63" t="s">
        <v>35</v>
      </c>
      <c r="P67" s="145">
        <v>0.1</v>
      </c>
      <c r="Q67" s="190"/>
      <c r="R67" s="158"/>
      <c r="S67" s="62" t="s">
        <v>194</v>
      </c>
      <c r="T67" s="30" t="s">
        <v>3942</v>
      </c>
      <c r="U67" s="81" t="s">
        <v>199</v>
      </c>
      <c r="V67" s="49" t="str">
        <f t="shared" si="3"/>
        <v>Encerrado</v>
      </c>
      <c r="W67" s="150"/>
      <c r="X67" s="150"/>
      <c r="Y67" s="81"/>
      <c r="Z67" s="81"/>
      <c r="AA67" s="81"/>
      <c r="AB67" s="30"/>
      <c r="AC67" s="96">
        <v>0.0</v>
      </c>
      <c r="AD67" s="96">
        <v>217836.28</v>
      </c>
      <c r="AE67" s="96">
        <v>199709.09</v>
      </c>
      <c r="AF67" s="96">
        <v>204655.32</v>
      </c>
      <c r="AG67" s="96">
        <v>207528.13</v>
      </c>
      <c r="AH67" s="96">
        <v>211010.91</v>
      </c>
      <c r="AI67" s="96">
        <v>217321.41</v>
      </c>
      <c r="AJ67" s="96">
        <v>209516.3</v>
      </c>
      <c r="AK67" s="96">
        <v>206424.62</v>
      </c>
      <c r="AL67" s="96">
        <v>208277.95</v>
      </c>
      <c r="AM67" s="96">
        <v>217627.73</v>
      </c>
      <c r="AN67" s="96">
        <v>221769.74</v>
      </c>
      <c r="AO67" s="96">
        <v>218485.48</v>
      </c>
      <c r="AP67" s="96">
        <v>211683.39</v>
      </c>
      <c r="AQ67" s="96">
        <v>209854.13</v>
      </c>
      <c r="AR67" s="96">
        <v>213853.81</v>
      </c>
      <c r="AS67" s="96">
        <v>217234.28</v>
      </c>
      <c r="AT67" s="96">
        <v>217317.63</v>
      </c>
      <c r="AU67" s="96">
        <v>211300.44</v>
      </c>
      <c r="AV67" s="96">
        <v>210145.39</v>
      </c>
      <c r="AW67" s="96">
        <v>208286.07</v>
      </c>
      <c r="AX67" s="96">
        <v>204481.03</v>
      </c>
      <c r="AY67" s="96">
        <v>172836.33</v>
      </c>
      <c r="AZ67" s="96">
        <v>195477.75</v>
      </c>
      <c r="BA67" s="96"/>
      <c r="BB67" s="96"/>
      <c r="BC67" s="96"/>
      <c r="BD67" s="96">
        <v>0.0</v>
      </c>
      <c r="BE67" s="96">
        <v>0.0</v>
      </c>
      <c r="BF67" s="96">
        <v>0.0</v>
      </c>
      <c r="BG67" s="96" t="s">
        <v>377</v>
      </c>
      <c r="BH67" s="96">
        <v>0.0</v>
      </c>
      <c r="BI67" s="96">
        <v>0.0</v>
      </c>
      <c r="BJ67" s="96">
        <v>0.0</v>
      </c>
      <c r="BK67" s="472">
        <v>0.0</v>
      </c>
      <c r="BL67" s="472">
        <v>0.0</v>
      </c>
      <c r="BM67" s="472">
        <v>0.0</v>
      </c>
      <c r="BN67" s="472">
        <v>0.0</v>
      </c>
      <c r="BO67" s="472">
        <v>0.0</v>
      </c>
      <c r="BP67" s="472">
        <v>0.0</v>
      </c>
      <c r="BQ67" s="472">
        <v>0.0</v>
      </c>
      <c r="BR67" s="472">
        <v>0.0</v>
      </c>
      <c r="BS67" s="472">
        <v>0.0</v>
      </c>
      <c r="BT67" s="472">
        <v>0.0</v>
      </c>
      <c r="BU67" s="472">
        <v>0.0</v>
      </c>
      <c r="BV67" s="472">
        <v>0.0</v>
      </c>
      <c r="BW67" s="472">
        <v>0.0</v>
      </c>
      <c r="BX67" s="472">
        <v>0.0</v>
      </c>
      <c r="BY67" s="472">
        <v>0.0</v>
      </c>
      <c r="BZ67" s="472">
        <v>0.0</v>
      </c>
      <c r="CA67" s="474">
        <v>0.0</v>
      </c>
      <c r="CB67" s="474">
        <v>0.0</v>
      </c>
      <c r="CC67" s="474">
        <v>0.0</v>
      </c>
      <c r="CD67" s="474">
        <v>0.0</v>
      </c>
      <c r="CE67" s="474">
        <v>0.0</v>
      </c>
      <c r="CF67" s="474">
        <v>0.0</v>
      </c>
      <c r="CG67" s="474">
        <v>0.0</v>
      </c>
      <c r="CH67" s="65">
        <v>0.0</v>
      </c>
      <c r="CI67" s="65">
        <v>0.0</v>
      </c>
      <c r="CJ67" s="65">
        <v>0.0</v>
      </c>
      <c r="CK67" s="65">
        <v>0.0</v>
      </c>
      <c r="CL67" s="65">
        <v>0.0</v>
      </c>
      <c r="CM67" s="65">
        <v>0.0</v>
      </c>
      <c r="CN67" s="65">
        <v>0.0</v>
      </c>
    </row>
    <row r="68" ht="15.75" customHeight="1">
      <c r="A68" s="462" t="s">
        <v>2346</v>
      </c>
      <c r="B68" s="50" t="s">
        <v>3731</v>
      </c>
      <c r="C68" s="141">
        <v>484477.0</v>
      </c>
      <c r="D68" s="63" t="s">
        <v>120</v>
      </c>
      <c r="E68" s="63" t="s">
        <v>91</v>
      </c>
      <c r="F68" s="81" t="s">
        <v>884</v>
      </c>
      <c r="G68" s="47" t="str">
        <f t="shared" si="1"/>
        <v>Breno</v>
      </c>
      <c r="H68" s="152" t="s">
        <v>224</v>
      </c>
      <c r="I68" s="74" t="s">
        <v>66</v>
      </c>
      <c r="J68" s="63" t="str">
        <f t="shared" si="2"/>
        <v>Não</v>
      </c>
      <c r="K68" s="55">
        <v>44680.0</v>
      </c>
      <c r="L68" s="467">
        <v>44638.0</v>
      </c>
      <c r="M68" s="81" t="s">
        <v>61</v>
      </c>
      <c r="N68" s="478">
        <v>0.007</v>
      </c>
      <c r="O68" s="141" t="s">
        <v>66</v>
      </c>
      <c r="P68" s="145">
        <v>0.0</v>
      </c>
      <c r="Q68" s="190"/>
      <c r="R68" s="158"/>
      <c r="S68" s="62" t="s">
        <v>194</v>
      </c>
      <c r="T68" s="22" t="s">
        <v>3732</v>
      </c>
      <c r="U68" s="95" t="s">
        <v>475</v>
      </c>
      <c r="V68" s="49" t="str">
        <f t="shared" si="3"/>
        <v>Encerrado</v>
      </c>
      <c r="W68" s="150"/>
      <c r="X68" s="150"/>
      <c r="Y68" s="81"/>
      <c r="Z68" s="81"/>
      <c r="AA68" s="81"/>
      <c r="AB68" s="30"/>
      <c r="AC68" s="476"/>
      <c r="AD68" s="476"/>
      <c r="AE68" s="476"/>
      <c r="AF68" s="476"/>
      <c r="AG68" s="476"/>
      <c r="AH68" s="476"/>
      <c r="AI68" s="476"/>
      <c r="AJ68" s="476"/>
      <c r="AK68" s="476"/>
      <c r="AL68" s="476"/>
      <c r="AM68" s="476"/>
      <c r="AN68" s="476"/>
      <c r="AO68" s="47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>
        <v>0.0</v>
      </c>
      <c r="BE68" s="96">
        <v>0.0</v>
      </c>
      <c r="BF68" s="96">
        <v>0.0</v>
      </c>
      <c r="BG68" s="96" t="s">
        <v>377</v>
      </c>
      <c r="BH68" s="96">
        <v>0.0</v>
      </c>
      <c r="BI68" s="96">
        <v>0.0</v>
      </c>
      <c r="BJ68" s="96">
        <v>0.0</v>
      </c>
      <c r="BK68" s="472">
        <v>0.0</v>
      </c>
      <c r="BL68" s="472">
        <v>0.0</v>
      </c>
      <c r="BM68" s="472">
        <v>0.0</v>
      </c>
      <c r="BN68" s="472">
        <v>0.0</v>
      </c>
      <c r="BO68" s="472">
        <v>0.0</v>
      </c>
      <c r="BP68" s="472">
        <v>0.0</v>
      </c>
      <c r="BQ68" s="472">
        <v>0.0</v>
      </c>
      <c r="BR68" s="472">
        <v>0.0</v>
      </c>
      <c r="BS68" s="472">
        <v>0.0</v>
      </c>
      <c r="BT68" s="472">
        <v>0.0</v>
      </c>
      <c r="BU68" s="472">
        <v>0.0</v>
      </c>
      <c r="BV68" s="472">
        <v>0.0</v>
      </c>
      <c r="BW68" s="472">
        <v>0.0</v>
      </c>
      <c r="BX68" s="472">
        <v>0.0</v>
      </c>
      <c r="BY68" s="472">
        <v>0.0</v>
      </c>
      <c r="BZ68" s="472">
        <v>0.0</v>
      </c>
      <c r="CA68" s="474">
        <v>0.0</v>
      </c>
      <c r="CB68" s="474">
        <v>0.0</v>
      </c>
      <c r="CC68" s="474">
        <v>0.0</v>
      </c>
      <c r="CD68" s="474">
        <v>0.0</v>
      </c>
      <c r="CE68" s="474">
        <v>0.0</v>
      </c>
      <c r="CF68" s="474">
        <v>0.0</v>
      </c>
      <c r="CG68" s="474">
        <v>0.0</v>
      </c>
      <c r="CH68" s="65">
        <v>0.0</v>
      </c>
      <c r="CI68" s="65">
        <v>0.0</v>
      </c>
      <c r="CJ68" s="65">
        <v>0.0</v>
      </c>
      <c r="CK68" s="65">
        <v>0.0</v>
      </c>
      <c r="CL68" s="65">
        <v>0.0</v>
      </c>
      <c r="CM68" s="65">
        <v>0.0</v>
      </c>
      <c r="CN68" s="65">
        <v>0.0</v>
      </c>
    </row>
    <row r="69" ht="15.75" customHeight="1">
      <c r="A69" s="462" t="s">
        <v>2346</v>
      </c>
      <c r="B69" s="176" t="s">
        <v>3731</v>
      </c>
      <c r="C69" s="141">
        <v>37718.0</v>
      </c>
      <c r="D69" s="63" t="s">
        <v>120</v>
      </c>
      <c r="E69" s="63" t="s">
        <v>91</v>
      </c>
      <c r="F69" s="66" t="s">
        <v>884</v>
      </c>
      <c r="G69" s="47" t="str">
        <f t="shared" si="1"/>
        <v>Breno</v>
      </c>
      <c r="H69" s="142" t="s">
        <v>295</v>
      </c>
      <c r="I69" s="49" t="s">
        <v>382</v>
      </c>
      <c r="J69" s="63" t="str">
        <f t="shared" si="2"/>
        <v>Não</v>
      </c>
      <c r="K69" s="467">
        <v>44680.0</v>
      </c>
      <c r="L69" s="515"/>
      <c r="M69" s="81" t="s">
        <v>61</v>
      </c>
      <c r="N69" s="478">
        <v>0.007</v>
      </c>
      <c r="O69" s="141" t="s">
        <v>66</v>
      </c>
      <c r="P69" s="145">
        <v>0.0</v>
      </c>
      <c r="Q69" s="146"/>
      <c r="R69" s="163" t="s">
        <v>3917</v>
      </c>
      <c r="S69" s="62" t="s">
        <v>194</v>
      </c>
      <c r="T69" s="22" t="s">
        <v>3732</v>
      </c>
      <c r="U69" s="95" t="s">
        <v>475</v>
      </c>
      <c r="V69" s="49" t="str">
        <f t="shared" si="3"/>
        <v>Inativo</v>
      </c>
      <c r="W69" s="150"/>
      <c r="X69" s="150"/>
      <c r="Y69" s="30" t="s">
        <v>269</v>
      </c>
      <c r="Z69" s="81"/>
      <c r="AA69" s="467">
        <v>44680.0</v>
      </c>
      <c r="AB69" s="30">
        <v>4.9075100014256E13</v>
      </c>
      <c r="AC69" s="471"/>
      <c r="AD69" s="471"/>
      <c r="AE69" s="471"/>
      <c r="AF69" s="471"/>
      <c r="AG69" s="471"/>
      <c r="AH69" s="471"/>
      <c r="AI69" s="471"/>
      <c r="AJ69" s="471"/>
      <c r="AK69" s="471"/>
      <c r="AL69" s="471"/>
      <c r="AM69" s="471"/>
      <c r="AN69" s="471"/>
      <c r="AO69" s="471"/>
      <c r="AP69" s="471"/>
      <c r="AQ69" s="471"/>
      <c r="AR69" s="471"/>
      <c r="AS69" s="471"/>
      <c r="AT69" s="471"/>
      <c r="AU69" s="471"/>
      <c r="AV69" s="563"/>
      <c r="AW69" s="563"/>
      <c r="AX69" s="563"/>
      <c r="AY69" s="96"/>
      <c r="AZ69" s="96"/>
      <c r="BA69" s="96"/>
      <c r="BB69" s="96"/>
      <c r="BC69" s="96"/>
      <c r="BD69" s="96"/>
      <c r="BE69" s="96"/>
      <c r="BF69" s="96">
        <v>1578132.64</v>
      </c>
      <c r="BG69" s="472">
        <v>1548270.63</v>
      </c>
      <c r="BH69" s="472">
        <v>1556970.08</v>
      </c>
      <c r="BI69" s="472">
        <v>1562866.84</v>
      </c>
      <c r="BJ69" s="472">
        <v>1581131.39</v>
      </c>
      <c r="BK69" s="472">
        <v>1591984.16</v>
      </c>
      <c r="BL69" s="472">
        <v>1606118.6</v>
      </c>
      <c r="BM69" s="472">
        <v>1609014.78</v>
      </c>
      <c r="BN69" s="472">
        <v>1624901.86</v>
      </c>
      <c r="BO69" s="472">
        <v>1644063.68</v>
      </c>
      <c r="BP69" s="472">
        <v>1660647.22</v>
      </c>
      <c r="BQ69" s="472">
        <v>1683086.65</v>
      </c>
      <c r="BR69" s="472">
        <v>68717.22</v>
      </c>
      <c r="BS69" s="472">
        <v>0.72</v>
      </c>
      <c r="BT69" s="472">
        <v>0.0</v>
      </c>
      <c r="BU69" s="472">
        <v>0.0</v>
      </c>
      <c r="BV69" s="472">
        <v>0.0</v>
      </c>
      <c r="BW69" s="472">
        <v>0.0</v>
      </c>
      <c r="BX69" s="472">
        <v>0.0</v>
      </c>
      <c r="BY69" s="472">
        <v>0.0</v>
      </c>
      <c r="BZ69" s="472">
        <v>0.0</v>
      </c>
      <c r="CA69" s="474">
        <v>0.0</v>
      </c>
      <c r="CB69" s="474">
        <v>0.0</v>
      </c>
      <c r="CC69" s="474">
        <v>0.0</v>
      </c>
      <c r="CD69" s="474">
        <v>0.0</v>
      </c>
      <c r="CE69" s="474">
        <v>0.0</v>
      </c>
      <c r="CF69" s="474">
        <v>0.0</v>
      </c>
      <c r="CG69" s="474">
        <v>0.0</v>
      </c>
      <c r="CH69" s="65">
        <v>0.0</v>
      </c>
      <c r="CI69" s="65">
        <v>0.0</v>
      </c>
      <c r="CJ69" s="65">
        <v>0.0</v>
      </c>
      <c r="CK69" s="65">
        <v>0.0</v>
      </c>
      <c r="CL69" s="65">
        <v>0.0</v>
      </c>
      <c r="CM69" s="65">
        <v>0.0</v>
      </c>
      <c r="CN69" s="65">
        <v>0.0</v>
      </c>
    </row>
    <row r="70" ht="15.75" customHeight="1">
      <c r="A70" s="462" t="s">
        <v>2346</v>
      </c>
      <c r="B70" s="510" t="s">
        <v>3960</v>
      </c>
      <c r="C70" s="141">
        <v>318729.0</v>
      </c>
      <c r="D70" s="63" t="s">
        <v>669</v>
      </c>
      <c r="E70" s="63" t="s">
        <v>199</v>
      </c>
      <c r="F70" s="81" t="s">
        <v>1228</v>
      </c>
      <c r="G70" s="47" t="str">
        <f t="shared" si="1"/>
        <v>Breno</v>
      </c>
      <c r="H70" s="152" t="s">
        <v>224</v>
      </c>
      <c r="I70" s="74" t="s">
        <v>66</v>
      </c>
      <c r="J70" s="63" t="str">
        <f t="shared" si="2"/>
        <v>Não</v>
      </c>
      <c r="K70" s="467">
        <v>43613.0</v>
      </c>
      <c r="L70" s="480">
        <v>44847.0</v>
      </c>
      <c r="M70" s="81" t="s">
        <v>209</v>
      </c>
      <c r="N70" s="478">
        <v>0.01</v>
      </c>
      <c r="O70" s="63" t="s">
        <v>35</v>
      </c>
      <c r="P70" s="145">
        <v>0.1</v>
      </c>
      <c r="Q70" s="158"/>
      <c r="R70" s="158"/>
      <c r="S70" s="62" t="s">
        <v>194</v>
      </c>
      <c r="T70" s="30" t="s">
        <v>3964</v>
      </c>
      <c r="U70" s="81" t="s">
        <v>199</v>
      </c>
      <c r="V70" s="49" t="str">
        <f t="shared" si="3"/>
        <v>Encerrado</v>
      </c>
      <c r="W70" s="150"/>
      <c r="X70" s="150"/>
      <c r="Y70" s="81"/>
      <c r="Z70" s="81"/>
      <c r="AA70" s="81"/>
      <c r="AB70" s="30"/>
      <c r="AC70" s="96">
        <v>0.0</v>
      </c>
      <c r="AD70" s="96">
        <v>0.0</v>
      </c>
      <c r="AE70" s="96">
        <v>0.0</v>
      </c>
      <c r="AF70" s="96">
        <v>0.0</v>
      </c>
      <c r="AG70" s="96">
        <v>62.16</v>
      </c>
      <c r="AH70" s="96">
        <v>0.0</v>
      </c>
      <c r="AI70" s="96">
        <v>0.0</v>
      </c>
      <c r="AJ70" s="96"/>
      <c r="AK70" s="96"/>
      <c r="AL70" s="96">
        <v>112.43</v>
      </c>
      <c r="AM70" s="96">
        <v>112.43</v>
      </c>
      <c r="AN70" s="96">
        <v>112.43</v>
      </c>
      <c r="AO70" s="96">
        <v>112.43</v>
      </c>
      <c r="AP70" s="96">
        <v>112.43</v>
      </c>
      <c r="AQ70" s="96">
        <v>112.43</v>
      </c>
      <c r="AR70" s="96">
        <v>112.43</v>
      </c>
      <c r="AS70" s="96">
        <v>112.43</v>
      </c>
      <c r="AT70" s="96">
        <v>112.43</v>
      </c>
      <c r="AU70" s="96"/>
      <c r="AV70" s="482"/>
      <c r="AW70" s="482"/>
      <c r="AX70" s="482"/>
      <c r="AY70" s="96"/>
      <c r="AZ70" s="96"/>
      <c r="BA70" s="96"/>
      <c r="BB70" s="96"/>
      <c r="BC70" s="96"/>
      <c r="BD70" s="96"/>
      <c r="BE70" s="96"/>
      <c r="BF70" s="96">
        <v>0.0</v>
      </c>
      <c r="BG70" s="96" t="s">
        <v>377</v>
      </c>
      <c r="BH70" s="96">
        <v>0.0</v>
      </c>
      <c r="BI70" s="96">
        <v>0.0</v>
      </c>
      <c r="BJ70" s="96">
        <v>0.0</v>
      </c>
      <c r="BK70" s="472">
        <v>0.0</v>
      </c>
      <c r="BL70" s="472">
        <v>0.0</v>
      </c>
      <c r="BM70" s="472">
        <v>0.0</v>
      </c>
      <c r="BN70" s="472">
        <v>0.0</v>
      </c>
      <c r="BO70" s="472">
        <v>0.0</v>
      </c>
      <c r="BP70" s="472">
        <v>0.0</v>
      </c>
      <c r="BQ70" s="472">
        <v>0.0</v>
      </c>
      <c r="BR70" s="472">
        <v>0.0</v>
      </c>
      <c r="BS70" s="472">
        <v>0.0</v>
      </c>
      <c r="BT70" s="472">
        <v>0.0</v>
      </c>
      <c r="BU70" s="472">
        <v>0.0</v>
      </c>
      <c r="BV70" s="472">
        <v>0.0</v>
      </c>
      <c r="BW70" s="472">
        <v>0.0</v>
      </c>
      <c r="BX70" s="472">
        <v>0.0</v>
      </c>
      <c r="BY70" s="472">
        <v>0.0</v>
      </c>
      <c r="BZ70" s="472">
        <v>0.0</v>
      </c>
      <c r="CA70" s="474">
        <v>0.0</v>
      </c>
      <c r="CB70" s="474">
        <v>0.0</v>
      </c>
      <c r="CC70" s="474">
        <v>0.0</v>
      </c>
      <c r="CD70" s="474">
        <v>0.0</v>
      </c>
      <c r="CE70" s="474">
        <v>0.0</v>
      </c>
      <c r="CF70" s="474">
        <v>0.0</v>
      </c>
      <c r="CG70" s="474">
        <v>0.0</v>
      </c>
      <c r="CH70" s="65">
        <v>0.0</v>
      </c>
      <c r="CI70" s="65">
        <v>0.0</v>
      </c>
      <c r="CJ70" s="65">
        <v>0.0</v>
      </c>
      <c r="CK70" s="65">
        <v>0.0</v>
      </c>
      <c r="CL70" s="65">
        <v>0.0</v>
      </c>
      <c r="CM70" s="65">
        <v>0.0</v>
      </c>
      <c r="CN70" s="65">
        <v>0.0</v>
      </c>
    </row>
    <row r="71" ht="15.75" customHeight="1">
      <c r="A71" s="462" t="s">
        <v>2346</v>
      </c>
      <c r="B71" s="518" t="s">
        <v>3805</v>
      </c>
      <c r="C71" s="141">
        <v>33153.0</v>
      </c>
      <c r="D71" s="63" t="s">
        <v>120</v>
      </c>
      <c r="E71" s="63" t="s">
        <v>91</v>
      </c>
      <c r="F71" s="63" t="s">
        <v>699</v>
      </c>
      <c r="G71" s="47" t="str">
        <f t="shared" si="1"/>
        <v>Breno</v>
      </c>
      <c r="H71" s="152" t="s">
        <v>295</v>
      </c>
      <c r="I71" s="49" t="s">
        <v>382</v>
      </c>
      <c r="J71" s="63" t="str">
        <f t="shared" si="2"/>
        <v>Sim</v>
      </c>
      <c r="K71" s="467">
        <v>44260.0</v>
      </c>
      <c r="L71" s="81"/>
      <c r="M71" s="81" t="s">
        <v>34</v>
      </c>
      <c r="N71" s="478">
        <v>0.012</v>
      </c>
      <c r="O71" s="141" t="s">
        <v>66</v>
      </c>
      <c r="P71" s="145">
        <v>0.0</v>
      </c>
      <c r="Q71" s="158" t="s">
        <v>3972</v>
      </c>
      <c r="R71" s="158"/>
      <c r="S71" s="62" t="s">
        <v>194</v>
      </c>
      <c r="T71" s="141" t="s">
        <v>3807</v>
      </c>
      <c r="U71" s="95" t="s">
        <v>221</v>
      </c>
      <c r="V71" s="49" t="str">
        <f t="shared" si="3"/>
        <v>Inativo</v>
      </c>
      <c r="W71" s="150"/>
      <c r="X71" s="150"/>
      <c r="Y71" s="30" t="s">
        <v>244</v>
      </c>
      <c r="Z71" s="81"/>
      <c r="AA71" s="467">
        <v>44260.0</v>
      </c>
      <c r="AB71" s="30">
        <v>4.9075100004293E13</v>
      </c>
      <c r="AC71" s="482"/>
      <c r="AD71" s="482"/>
      <c r="AE71" s="482"/>
      <c r="AF71" s="482"/>
      <c r="AG71" s="482"/>
      <c r="AH71" s="482"/>
      <c r="AI71" s="482"/>
      <c r="AJ71" s="482"/>
      <c r="AK71" s="482"/>
      <c r="AL71" s="482"/>
      <c r="AM71" s="482"/>
      <c r="AN71" s="96"/>
      <c r="AO71" s="96"/>
      <c r="AP71" s="96"/>
      <c r="AQ71" s="471">
        <v>414083.79</v>
      </c>
      <c r="AR71" s="471">
        <v>414559.25</v>
      </c>
      <c r="AS71" s="471"/>
      <c r="AT71" s="471">
        <v>407509.47</v>
      </c>
      <c r="AU71" s="471">
        <v>423308.45</v>
      </c>
      <c r="AV71" s="96">
        <v>503282.47</v>
      </c>
      <c r="AW71" s="96">
        <v>501908.68</v>
      </c>
      <c r="AX71" s="96">
        <v>498949.97</v>
      </c>
      <c r="AY71" s="96">
        <v>466913.04</v>
      </c>
      <c r="AZ71" s="96">
        <v>491273.83</v>
      </c>
      <c r="BA71" s="96">
        <v>490067.87</v>
      </c>
      <c r="BB71" s="96">
        <v>491669.09</v>
      </c>
      <c r="BC71" s="96">
        <v>497242.3</v>
      </c>
      <c r="BD71" s="96">
        <v>520260.93</v>
      </c>
      <c r="BE71" s="96">
        <v>535280.6</v>
      </c>
      <c r="BF71" s="96">
        <v>547481.73</v>
      </c>
      <c r="BG71" s="472">
        <v>549384.91</v>
      </c>
      <c r="BH71" s="472">
        <v>549662.67</v>
      </c>
      <c r="BI71" s="472">
        <v>601028.85</v>
      </c>
      <c r="BJ71" s="472">
        <v>608165.91</v>
      </c>
      <c r="BK71" s="472">
        <v>612635.25</v>
      </c>
      <c r="BL71" s="472">
        <v>622966.13</v>
      </c>
      <c r="BM71" s="472">
        <v>620822.77</v>
      </c>
      <c r="BN71" s="472">
        <v>548675.86</v>
      </c>
      <c r="BO71" s="472">
        <v>632642.87</v>
      </c>
      <c r="BP71" s="472">
        <v>638477.88</v>
      </c>
      <c r="BQ71" s="472">
        <v>0.0</v>
      </c>
      <c r="BR71" s="472">
        <v>652085.51</v>
      </c>
      <c r="BS71" s="472">
        <v>659448.62</v>
      </c>
      <c r="BT71" s="472">
        <v>388874.51</v>
      </c>
      <c r="BU71" s="472">
        <v>303844.41</v>
      </c>
      <c r="BV71" s="472">
        <v>307858.73</v>
      </c>
      <c r="BW71" s="472">
        <v>54.41</v>
      </c>
      <c r="BX71" s="472">
        <v>204.07</v>
      </c>
      <c r="BY71" s="472">
        <v>10.35</v>
      </c>
      <c r="BZ71" s="472">
        <v>10.35</v>
      </c>
      <c r="CA71" s="474">
        <v>0.0</v>
      </c>
      <c r="CB71" s="474">
        <v>0.0</v>
      </c>
      <c r="CC71" s="474">
        <v>0.0</v>
      </c>
      <c r="CD71" s="474">
        <v>0.0</v>
      </c>
      <c r="CE71" s="474">
        <v>0.0</v>
      </c>
      <c r="CF71" s="474">
        <v>0.0</v>
      </c>
      <c r="CG71" s="474">
        <v>0.0</v>
      </c>
      <c r="CH71" s="65">
        <v>0.0</v>
      </c>
      <c r="CI71" s="65">
        <v>0.0</v>
      </c>
      <c r="CJ71" s="65">
        <v>0.0</v>
      </c>
      <c r="CK71" s="65">
        <v>0.0</v>
      </c>
      <c r="CL71" s="65">
        <v>0.0</v>
      </c>
      <c r="CM71" s="65">
        <v>0.0</v>
      </c>
      <c r="CN71" s="65">
        <v>0.0</v>
      </c>
    </row>
    <row r="72" ht="15.75" customHeight="1">
      <c r="A72" s="462" t="s">
        <v>2346</v>
      </c>
      <c r="B72" s="50" t="s">
        <v>3811</v>
      </c>
      <c r="C72" s="141">
        <v>474439.0</v>
      </c>
      <c r="D72" s="63" t="s">
        <v>120</v>
      </c>
      <c r="E72" s="63" t="s">
        <v>91</v>
      </c>
      <c r="F72" s="81" t="s">
        <v>521</v>
      </c>
      <c r="G72" s="47" t="str">
        <f t="shared" si="1"/>
        <v>Breno</v>
      </c>
      <c r="H72" s="142" t="s">
        <v>295</v>
      </c>
      <c r="I72" s="49" t="s">
        <v>382</v>
      </c>
      <c r="J72" s="63" t="str">
        <f t="shared" si="2"/>
        <v>Sim</v>
      </c>
      <c r="K72" s="143">
        <v>44615.0</v>
      </c>
      <c r="L72" s="81"/>
      <c r="M72" s="81" t="s">
        <v>61</v>
      </c>
      <c r="N72" s="464">
        <v>0.007</v>
      </c>
      <c r="O72" s="141" t="s">
        <v>66</v>
      </c>
      <c r="P72" s="145">
        <v>0.0</v>
      </c>
      <c r="Q72" s="70" t="s">
        <v>3980</v>
      </c>
      <c r="R72" s="70"/>
      <c r="S72" s="62" t="s">
        <v>194</v>
      </c>
      <c r="T72" s="22" t="s">
        <v>3814</v>
      </c>
      <c r="U72" s="62" t="s">
        <v>221</v>
      </c>
      <c r="V72" s="49" t="str">
        <f t="shared" si="3"/>
        <v>Inativo</v>
      </c>
      <c r="W72" s="150"/>
      <c r="X72" s="150"/>
      <c r="Y72" s="30" t="s">
        <v>244</v>
      </c>
      <c r="Z72" s="81"/>
      <c r="AA72" s="467">
        <v>44615.0</v>
      </c>
      <c r="AB72" s="30">
        <v>4.9075100010498E13</v>
      </c>
      <c r="AC72" s="379"/>
      <c r="AD72" s="379"/>
      <c r="AE72" s="379"/>
      <c r="AF72" s="379"/>
      <c r="AG72" s="379"/>
      <c r="AH72" s="379"/>
      <c r="AI72" s="379"/>
      <c r="AJ72" s="379"/>
      <c r="AK72" s="379"/>
      <c r="AL72" s="379"/>
      <c r="AM72" s="379"/>
      <c r="AN72" s="379"/>
      <c r="AO72" s="96"/>
      <c r="AP72" s="471"/>
      <c r="AQ72" s="471"/>
      <c r="AR72" s="471"/>
      <c r="AS72" s="471"/>
      <c r="AT72" s="471"/>
      <c r="AU72" s="96"/>
      <c r="AV72" s="96"/>
      <c r="AW72" s="96"/>
      <c r="AX72" s="96"/>
      <c r="AY72" s="96"/>
      <c r="AZ72" s="96"/>
      <c r="BA72" s="96"/>
      <c r="BB72" s="379"/>
      <c r="BC72" s="96"/>
      <c r="BD72" s="96">
        <v>82004.92</v>
      </c>
      <c r="BE72" s="96">
        <v>82885.53</v>
      </c>
      <c r="BF72" s="96">
        <v>422585.88</v>
      </c>
      <c r="BG72" s="472">
        <v>265984.24</v>
      </c>
      <c r="BH72" s="472">
        <v>267998.78</v>
      </c>
      <c r="BI72" s="472">
        <v>269760.1</v>
      </c>
      <c r="BJ72" s="472">
        <v>271367.57</v>
      </c>
      <c r="BK72" s="472">
        <v>272879.39</v>
      </c>
      <c r="BL72" s="472">
        <v>259665.28</v>
      </c>
      <c r="BM72" s="472">
        <v>261606.68</v>
      </c>
      <c r="BN72" s="472">
        <v>263543.95</v>
      </c>
      <c r="BO72" s="472">
        <v>365968.69</v>
      </c>
      <c r="BP72" s="472">
        <v>368843.57</v>
      </c>
      <c r="BQ72" s="472">
        <v>372410.75</v>
      </c>
      <c r="BR72" s="472">
        <v>374980.62</v>
      </c>
      <c r="BS72" s="472">
        <v>378646.46</v>
      </c>
      <c r="BT72" s="472">
        <v>381719.47</v>
      </c>
      <c r="BU72" s="472">
        <v>384351.72</v>
      </c>
      <c r="BV72" s="472">
        <v>27.53</v>
      </c>
      <c r="BW72" s="472">
        <v>0.0</v>
      </c>
      <c r="BX72" s="472">
        <v>27.53</v>
      </c>
      <c r="BY72" s="472">
        <v>0.0</v>
      </c>
      <c r="BZ72" s="472">
        <v>0.0</v>
      </c>
      <c r="CA72" s="474">
        <v>0.0</v>
      </c>
      <c r="CB72" s="474">
        <v>0.0</v>
      </c>
      <c r="CC72" s="474">
        <v>0.0</v>
      </c>
      <c r="CD72" s="474">
        <v>0.0</v>
      </c>
      <c r="CE72" s="474">
        <v>0.0</v>
      </c>
      <c r="CF72" s="474">
        <v>0.0</v>
      </c>
      <c r="CG72" s="474">
        <v>0.0</v>
      </c>
      <c r="CH72" s="65">
        <v>0.0</v>
      </c>
      <c r="CI72" s="65">
        <v>0.0</v>
      </c>
      <c r="CJ72" s="65">
        <v>0.0</v>
      </c>
      <c r="CK72" s="65">
        <v>0.0</v>
      </c>
      <c r="CL72" s="65">
        <v>0.0</v>
      </c>
      <c r="CM72" s="65">
        <v>0.0</v>
      </c>
      <c r="CN72" s="65">
        <v>0.0</v>
      </c>
    </row>
    <row r="73" ht="15.75" customHeight="1">
      <c r="A73" s="462" t="s">
        <v>2346</v>
      </c>
      <c r="B73" s="50" t="s">
        <v>649</v>
      </c>
      <c r="C73" s="141">
        <v>424833.0</v>
      </c>
      <c r="D73" s="63" t="s">
        <v>120</v>
      </c>
      <c r="E73" s="63" t="s">
        <v>91</v>
      </c>
      <c r="F73" s="63" t="s">
        <v>521</v>
      </c>
      <c r="G73" s="47" t="str">
        <f t="shared" si="1"/>
        <v>Breno</v>
      </c>
      <c r="H73" s="142" t="s">
        <v>183</v>
      </c>
      <c r="I73" s="74" t="s">
        <v>66</v>
      </c>
      <c r="J73" s="63" t="str">
        <f t="shared" si="2"/>
        <v>Não</v>
      </c>
      <c r="K73" s="143">
        <v>44321.0</v>
      </c>
      <c r="L73" s="81"/>
      <c r="M73" s="81" t="s">
        <v>209</v>
      </c>
      <c r="N73" s="464">
        <v>0.015</v>
      </c>
      <c r="O73" s="63" t="s">
        <v>35</v>
      </c>
      <c r="P73" s="145">
        <v>0.1</v>
      </c>
      <c r="Q73" s="70"/>
      <c r="R73" s="70"/>
      <c r="S73" s="62" t="s">
        <v>194</v>
      </c>
      <c r="T73" s="22" t="s">
        <v>653</v>
      </c>
      <c r="U73" s="95" t="s">
        <v>221</v>
      </c>
      <c r="V73" s="49" t="str">
        <f t="shared" si="3"/>
        <v>Ativo</v>
      </c>
      <c r="W73" s="150"/>
      <c r="X73" s="150"/>
      <c r="Y73" s="30" t="s">
        <v>244</v>
      </c>
      <c r="Z73" s="81"/>
      <c r="AA73" s="467">
        <v>44321.0</v>
      </c>
      <c r="AB73" s="30">
        <v>4.9075100009864E13</v>
      </c>
      <c r="AC73" s="476"/>
      <c r="AD73" s="476"/>
      <c r="AE73" s="476"/>
      <c r="AF73" s="476"/>
      <c r="AG73" s="476"/>
      <c r="AH73" s="476"/>
      <c r="AI73" s="476"/>
      <c r="AJ73" s="476"/>
      <c r="AK73" s="476"/>
      <c r="AL73" s="476"/>
      <c r="AM73" s="476"/>
      <c r="AN73" s="476"/>
      <c r="AO73" s="476"/>
      <c r="AP73" s="96"/>
      <c r="AQ73" s="471"/>
      <c r="AR73" s="471"/>
      <c r="AS73" s="471"/>
      <c r="AT73" s="471"/>
      <c r="AU73" s="471">
        <v>154549.98</v>
      </c>
      <c r="AV73" s="96">
        <v>154520.2</v>
      </c>
      <c r="AW73" s="96">
        <v>153405.98</v>
      </c>
      <c r="AX73" s="96">
        <v>150839.82</v>
      </c>
      <c r="AY73" s="96">
        <v>149081.38</v>
      </c>
      <c r="AZ73" s="96">
        <v>144569.38</v>
      </c>
      <c r="BA73" s="96">
        <v>142178.02</v>
      </c>
      <c r="BB73" s="96">
        <v>141821.25</v>
      </c>
      <c r="BC73" s="96">
        <v>143513.96</v>
      </c>
      <c r="BD73" s="96">
        <v>144419.3</v>
      </c>
      <c r="BE73" s="96">
        <v>150530.18</v>
      </c>
      <c r="BF73" s="96">
        <v>147846.77</v>
      </c>
      <c r="BG73" s="472">
        <v>147330.72</v>
      </c>
      <c r="BH73" s="472">
        <v>145923.99</v>
      </c>
      <c r="BI73" s="472">
        <v>148356.18</v>
      </c>
      <c r="BJ73" s="472">
        <v>150278.72</v>
      </c>
      <c r="BK73" s="472">
        <v>151844.94</v>
      </c>
      <c r="BL73" s="472">
        <v>157743.17</v>
      </c>
      <c r="BM73" s="472">
        <v>155921.76</v>
      </c>
      <c r="BN73" s="472">
        <v>157144.25</v>
      </c>
      <c r="BO73" s="472">
        <v>158993.94</v>
      </c>
      <c r="BP73" s="472">
        <v>159946.22</v>
      </c>
      <c r="BQ73" s="472">
        <v>161873.38</v>
      </c>
      <c r="BR73" s="472">
        <v>162419.46</v>
      </c>
      <c r="BS73" s="472">
        <v>166627.71</v>
      </c>
      <c r="BT73" s="472">
        <v>163669.97</v>
      </c>
      <c r="BU73" s="472">
        <v>118849.53</v>
      </c>
      <c r="BV73" s="472">
        <v>166360.45</v>
      </c>
      <c r="BW73" s="472">
        <v>167799.63</v>
      </c>
      <c r="BX73" s="472">
        <v>168930.89</v>
      </c>
      <c r="BY73" s="472">
        <v>171772.42</v>
      </c>
      <c r="BZ73" s="472">
        <v>174814.04</v>
      </c>
      <c r="CA73" s="474">
        <v>133129.24</v>
      </c>
      <c r="CB73" s="474">
        <v>174127.59</v>
      </c>
      <c r="CC73" s="474">
        <v>137212.7</v>
      </c>
      <c r="CD73" s="474">
        <v>172937.01</v>
      </c>
      <c r="CE73" s="474">
        <v>168969.58</v>
      </c>
      <c r="CF73" s="474">
        <v>173590.88</v>
      </c>
      <c r="CG73" s="474">
        <v>176021.53</v>
      </c>
      <c r="CH73" s="65">
        <v>176284.41</v>
      </c>
      <c r="CI73" s="65">
        <v>176360.11</v>
      </c>
      <c r="CJ73" s="65">
        <v>175131.73</v>
      </c>
      <c r="CK73" s="65">
        <v>174166.26</v>
      </c>
      <c r="CL73" s="65">
        <v>172636.67</v>
      </c>
      <c r="CM73" s="65">
        <v>177395.71</v>
      </c>
      <c r="CN73" s="65">
        <v>176802.35</v>
      </c>
    </row>
    <row r="74" ht="15.75" customHeight="1">
      <c r="A74" s="462" t="s">
        <v>2346</v>
      </c>
      <c r="B74" s="176" t="s">
        <v>3866</v>
      </c>
      <c r="C74" s="141">
        <v>253798.0</v>
      </c>
      <c r="D74" s="63" t="s">
        <v>120</v>
      </c>
      <c r="E74" s="63" t="s">
        <v>91</v>
      </c>
      <c r="F74" s="63" t="s">
        <v>193</v>
      </c>
      <c r="G74" s="47" t="str">
        <f t="shared" si="1"/>
        <v>Breno</v>
      </c>
      <c r="H74" s="142" t="s">
        <v>295</v>
      </c>
      <c r="I74" s="49" t="s">
        <v>382</v>
      </c>
      <c r="J74" s="63" t="str">
        <f t="shared" si="2"/>
        <v>Não</v>
      </c>
      <c r="K74" s="467">
        <v>44614.0</v>
      </c>
      <c r="L74" s="62"/>
      <c r="M74" s="81" t="s">
        <v>34</v>
      </c>
      <c r="N74" s="478">
        <v>0.012</v>
      </c>
      <c r="O74" s="141" t="s">
        <v>66</v>
      </c>
      <c r="P74" s="145">
        <v>0.0</v>
      </c>
      <c r="Q74" s="158"/>
      <c r="R74" s="158"/>
      <c r="S74" s="62" t="s">
        <v>194</v>
      </c>
      <c r="T74" s="22" t="s">
        <v>3870</v>
      </c>
      <c r="U74" s="95" t="s">
        <v>221</v>
      </c>
      <c r="V74" s="49" t="str">
        <f t="shared" si="3"/>
        <v>Inativo</v>
      </c>
      <c r="W74" s="150"/>
      <c r="X74" s="150"/>
      <c r="Y74" s="30" t="s">
        <v>244</v>
      </c>
      <c r="Z74" s="81"/>
      <c r="AA74" s="467">
        <v>44614.0</v>
      </c>
      <c r="AB74" s="30">
        <v>4.9075100003351E13</v>
      </c>
      <c r="AC74" s="482"/>
      <c r="AD74" s="482"/>
      <c r="AE74" s="482"/>
      <c r="AF74" s="482"/>
      <c r="AG74" s="482"/>
      <c r="AH74" s="482"/>
      <c r="AI74" s="482"/>
      <c r="AJ74" s="482"/>
      <c r="AK74" s="482"/>
      <c r="AL74" s="482"/>
      <c r="AM74" s="482"/>
      <c r="AN74" s="96"/>
      <c r="AO74" s="96"/>
      <c r="AP74" s="96"/>
      <c r="AQ74" s="471"/>
      <c r="AR74" s="471"/>
      <c r="AS74" s="471"/>
      <c r="AT74" s="471"/>
      <c r="AU74" s="471"/>
      <c r="AV74" s="96"/>
      <c r="AW74" s="96"/>
      <c r="AX74" s="96"/>
      <c r="AY74" s="96"/>
      <c r="AZ74" s="96"/>
      <c r="BA74" s="96"/>
      <c r="BB74" s="96"/>
      <c r="BC74" s="96"/>
      <c r="BD74" s="96">
        <v>191071.54</v>
      </c>
      <c r="BE74" s="96">
        <v>185843.26</v>
      </c>
      <c r="BF74" s="96">
        <v>185877.58</v>
      </c>
      <c r="BG74" s="472">
        <v>186670.76</v>
      </c>
      <c r="BH74" s="472">
        <v>186279.36</v>
      </c>
      <c r="BI74" s="472">
        <v>188184.67</v>
      </c>
      <c r="BJ74" s="472">
        <v>190295.39</v>
      </c>
      <c r="BK74" s="472">
        <v>201987.54</v>
      </c>
      <c r="BL74" s="472">
        <v>205917.8</v>
      </c>
      <c r="BM74" s="472">
        <v>205648.38</v>
      </c>
      <c r="BN74" s="472">
        <v>207534.56</v>
      </c>
      <c r="BO74" s="472">
        <v>194628.35</v>
      </c>
      <c r="BP74" s="472">
        <v>161569.13</v>
      </c>
      <c r="BQ74" s="472">
        <v>185400.0</v>
      </c>
      <c r="BR74" s="472">
        <v>186775.67</v>
      </c>
      <c r="BS74" s="472">
        <v>188810.93</v>
      </c>
      <c r="BT74" s="472">
        <v>191874.03</v>
      </c>
      <c r="BU74" s="472">
        <v>210293.42</v>
      </c>
      <c r="BV74" s="472">
        <v>115403.94</v>
      </c>
      <c r="BW74" s="472">
        <v>19.51</v>
      </c>
      <c r="BX74" s="472">
        <v>0.7</v>
      </c>
      <c r="BY74" s="472">
        <v>0.0</v>
      </c>
      <c r="BZ74" s="472">
        <v>0.0</v>
      </c>
      <c r="CA74" s="474">
        <v>0.0</v>
      </c>
      <c r="CB74" s="474">
        <v>0.0</v>
      </c>
      <c r="CC74" s="474">
        <v>0.0</v>
      </c>
      <c r="CD74" s="474">
        <v>0.0</v>
      </c>
      <c r="CE74" s="474">
        <v>0.0</v>
      </c>
      <c r="CF74" s="474">
        <v>0.0</v>
      </c>
      <c r="CG74" s="474">
        <v>0.0</v>
      </c>
      <c r="CH74" s="65">
        <v>0.0</v>
      </c>
      <c r="CI74" s="65">
        <v>0.0</v>
      </c>
      <c r="CJ74" s="65">
        <v>0.0</v>
      </c>
      <c r="CK74" s="65">
        <v>0.0</v>
      </c>
      <c r="CL74" s="65">
        <v>0.0</v>
      </c>
      <c r="CM74" s="65">
        <v>0.0</v>
      </c>
      <c r="CN74" s="65">
        <v>0.0</v>
      </c>
    </row>
    <row r="75" ht="15.75" customHeight="1">
      <c r="A75" s="462" t="s">
        <v>2346</v>
      </c>
      <c r="B75" s="477" t="s">
        <v>3882</v>
      </c>
      <c r="C75" s="141">
        <v>32208.0</v>
      </c>
      <c r="D75" s="63" t="s">
        <v>120</v>
      </c>
      <c r="E75" s="63" t="s">
        <v>91</v>
      </c>
      <c r="F75" s="63" t="s">
        <v>521</v>
      </c>
      <c r="G75" s="47" t="str">
        <f t="shared" si="1"/>
        <v>Breno</v>
      </c>
      <c r="H75" s="152" t="s">
        <v>295</v>
      </c>
      <c r="I75" s="49" t="s">
        <v>382</v>
      </c>
      <c r="J75" s="63" t="str">
        <f t="shared" si="2"/>
        <v>Não</v>
      </c>
      <c r="K75" s="467">
        <v>44273.0</v>
      </c>
      <c r="L75" s="62"/>
      <c r="M75" s="81" t="s">
        <v>209</v>
      </c>
      <c r="N75" s="478">
        <v>0.015</v>
      </c>
      <c r="O75" s="63" t="s">
        <v>35</v>
      </c>
      <c r="P75" s="145">
        <v>0.1</v>
      </c>
      <c r="Q75" s="158"/>
      <c r="R75" s="158"/>
      <c r="S75" s="62" t="s">
        <v>194</v>
      </c>
      <c r="T75" s="30" t="s">
        <v>3886</v>
      </c>
      <c r="U75" s="95" t="s">
        <v>221</v>
      </c>
      <c r="V75" s="49" t="str">
        <f t="shared" si="3"/>
        <v>Inativo</v>
      </c>
      <c r="W75" s="150"/>
      <c r="X75" s="150"/>
      <c r="Y75" s="30" t="s">
        <v>244</v>
      </c>
      <c r="Z75" s="81"/>
      <c r="AA75" s="467">
        <v>44273.0</v>
      </c>
      <c r="AB75" s="30">
        <v>4.9075100003361E13</v>
      </c>
      <c r="AC75" s="482"/>
      <c r="AD75" s="482"/>
      <c r="AE75" s="482"/>
      <c r="AF75" s="482"/>
      <c r="AG75" s="482"/>
      <c r="AH75" s="482"/>
      <c r="AI75" s="482"/>
      <c r="AJ75" s="482"/>
      <c r="AK75" s="482"/>
      <c r="AL75" s="482"/>
      <c r="AM75" s="482"/>
      <c r="AN75" s="96"/>
      <c r="AO75" s="96"/>
      <c r="AP75" s="96"/>
      <c r="AQ75" s="471">
        <v>119340.97</v>
      </c>
      <c r="AR75" s="471">
        <v>125216.26</v>
      </c>
      <c r="AS75" s="471"/>
      <c r="AT75" s="471">
        <v>128207.62</v>
      </c>
      <c r="AU75" s="471">
        <v>135631.98</v>
      </c>
      <c r="AV75" s="96">
        <v>139758.99</v>
      </c>
      <c r="AW75" s="96">
        <v>145201.91</v>
      </c>
      <c r="AX75" s="96">
        <v>149388.22</v>
      </c>
      <c r="AY75" s="96">
        <v>153836.46</v>
      </c>
      <c r="AZ75" s="96">
        <v>153108.17</v>
      </c>
      <c r="BA75" s="96">
        <v>154429.94</v>
      </c>
      <c r="BB75" s="96">
        <v>148147.8</v>
      </c>
      <c r="BC75" s="96">
        <v>166773.48</v>
      </c>
      <c r="BD75" s="96">
        <v>170552.42</v>
      </c>
      <c r="BE75" s="96">
        <v>200380.55</v>
      </c>
      <c r="BF75" s="96">
        <v>198830.47</v>
      </c>
      <c r="BG75" s="472">
        <v>201548.7</v>
      </c>
      <c r="BH75" s="472">
        <v>199788.74</v>
      </c>
      <c r="BI75" s="472">
        <v>229883.69</v>
      </c>
      <c r="BJ75" s="472">
        <v>232566.65</v>
      </c>
      <c r="BK75" s="472">
        <v>305700.86</v>
      </c>
      <c r="BL75" s="472">
        <v>334312.36</v>
      </c>
      <c r="BM75" s="472">
        <v>348256.62</v>
      </c>
      <c r="BN75" s="472">
        <v>388534.61</v>
      </c>
      <c r="BO75" s="472">
        <v>395425.27</v>
      </c>
      <c r="BP75" s="472">
        <v>402692.22</v>
      </c>
      <c r="BQ75" s="472">
        <v>418587.79</v>
      </c>
      <c r="BR75" s="472">
        <v>427573.29</v>
      </c>
      <c r="BS75" s="472">
        <v>447505.34</v>
      </c>
      <c r="BT75" s="472">
        <v>387534.36</v>
      </c>
      <c r="BU75" s="472">
        <v>402158.11</v>
      </c>
      <c r="BV75" s="472">
        <v>14170.67</v>
      </c>
      <c r="BW75" s="472">
        <v>14128.73</v>
      </c>
      <c r="BX75" s="472">
        <v>163.58</v>
      </c>
      <c r="BY75" s="472">
        <v>15.85</v>
      </c>
      <c r="BZ75" s="472">
        <v>15.85</v>
      </c>
      <c r="CA75" s="474">
        <v>0.0</v>
      </c>
      <c r="CB75" s="474">
        <v>0.0</v>
      </c>
      <c r="CC75" s="474">
        <v>0.0</v>
      </c>
      <c r="CD75" s="474">
        <v>0.0</v>
      </c>
      <c r="CE75" s="474">
        <v>0.0</v>
      </c>
      <c r="CF75" s="474">
        <v>0.0</v>
      </c>
      <c r="CG75" s="474">
        <v>0.0</v>
      </c>
      <c r="CH75" s="65">
        <v>0.0</v>
      </c>
      <c r="CI75" s="65">
        <v>0.0</v>
      </c>
      <c r="CJ75" s="65">
        <v>0.0</v>
      </c>
      <c r="CK75" s="65">
        <v>0.0</v>
      </c>
      <c r="CL75" s="65">
        <v>0.0</v>
      </c>
      <c r="CM75" s="65">
        <v>0.0</v>
      </c>
      <c r="CN75" s="65">
        <v>0.0</v>
      </c>
    </row>
    <row r="76" ht="15.75" customHeight="1">
      <c r="A76" s="462" t="s">
        <v>2346</v>
      </c>
      <c r="B76" s="510" t="s">
        <v>4017</v>
      </c>
      <c r="C76" s="141">
        <v>578989.0</v>
      </c>
      <c r="D76" s="63" t="s">
        <v>669</v>
      </c>
      <c r="E76" s="63" t="s">
        <v>199</v>
      </c>
      <c r="F76" s="81" t="s">
        <v>2388</v>
      </c>
      <c r="G76" s="47" t="str">
        <f t="shared" si="1"/>
        <v>Breno</v>
      </c>
      <c r="H76" s="152" t="s">
        <v>224</v>
      </c>
      <c r="I76" s="74" t="s">
        <v>66</v>
      </c>
      <c r="J76" s="63" t="str">
        <f t="shared" si="2"/>
        <v>Não</v>
      </c>
      <c r="K76" s="467">
        <v>43609.0</v>
      </c>
      <c r="L76" s="480">
        <v>44847.0</v>
      </c>
      <c r="M76" s="81" t="s">
        <v>231</v>
      </c>
      <c r="N76" s="478">
        <v>0.02</v>
      </c>
      <c r="O76" s="141" t="s">
        <v>233</v>
      </c>
      <c r="P76" s="145">
        <v>0.2</v>
      </c>
      <c r="Q76" s="158"/>
      <c r="R76" s="158"/>
      <c r="S76" s="62" t="s">
        <v>194</v>
      </c>
      <c r="T76" s="30" t="s">
        <v>4019</v>
      </c>
      <c r="U76" s="81" t="s">
        <v>199</v>
      </c>
      <c r="V76" s="49" t="str">
        <f t="shared" si="3"/>
        <v>Encerrado</v>
      </c>
      <c r="W76" s="150"/>
      <c r="X76" s="150"/>
      <c r="Y76" s="81"/>
      <c r="Z76" s="81"/>
      <c r="AA76" s="81"/>
      <c r="AB76" s="30"/>
      <c r="AC76" s="96">
        <v>0.0</v>
      </c>
      <c r="AD76" s="96">
        <v>0.0</v>
      </c>
      <c r="AE76" s="96">
        <v>0.0</v>
      </c>
      <c r="AF76" s="96">
        <v>0.0</v>
      </c>
      <c r="AG76" s="96">
        <v>0.0</v>
      </c>
      <c r="AH76" s="96">
        <v>0.0</v>
      </c>
      <c r="AI76" s="96">
        <v>0.0</v>
      </c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482"/>
      <c r="AW76" s="482"/>
      <c r="AX76" s="482"/>
      <c r="AY76" s="96"/>
      <c r="AZ76" s="96"/>
      <c r="BA76" s="96"/>
      <c r="BB76" s="96"/>
      <c r="BC76" s="96"/>
      <c r="BD76" s="96">
        <v>0.0</v>
      </c>
      <c r="BE76" s="96">
        <v>0.0</v>
      </c>
      <c r="BF76" s="96">
        <v>0.0</v>
      </c>
      <c r="BG76" s="96" t="s">
        <v>377</v>
      </c>
      <c r="BH76" s="96">
        <v>0.0</v>
      </c>
      <c r="BI76" s="96" t="s">
        <v>377</v>
      </c>
      <c r="BJ76" s="96">
        <v>0.0</v>
      </c>
      <c r="BK76" s="472">
        <v>0.0</v>
      </c>
      <c r="BL76" s="472">
        <v>0.0</v>
      </c>
      <c r="BM76" s="472">
        <v>0.0</v>
      </c>
      <c r="BN76" s="472">
        <v>0.0</v>
      </c>
      <c r="BO76" s="472">
        <v>0.0</v>
      </c>
      <c r="BP76" s="472">
        <v>0.0</v>
      </c>
      <c r="BQ76" s="472">
        <v>0.0</v>
      </c>
      <c r="BR76" s="472">
        <v>0.0</v>
      </c>
      <c r="BS76" s="472">
        <v>0.0</v>
      </c>
      <c r="BT76" s="472">
        <v>0.0</v>
      </c>
      <c r="BU76" s="472">
        <v>0.0</v>
      </c>
      <c r="BV76" s="472">
        <v>0.0</v>
      </c>
      <c r="BW76" s="472">
        <v>0.0</v>
      </c>
      <c r="BX76" s="472">
        <v>0.0</v>
      </c>
      <c r="BY76" s="472">
        <v>0.0</v>
      </c>
      <c r="BZ76" s="472">
        <v>0.0</v>
      </c>
      <c r="CA76" s="474">
        <v>0.0</v>
      </c>
      <c r="CB76" s="474">
        <v>0.0</v>
      </c>
      <c r="CC76" s="474">
        <v>0.0</v>
      </c>
      <c r="CD76" s="474">
        <v>0.0</v>
      </c>
      <c r="CE76" s="474">
        <v>0.0</v>
      </c>
      <c r="CF76" s="474">
        <v>0.0</v>
      </c>
      <c r="CG76" s="474">
        <v>0.0</v>
      </c>
      <c r="CH76" s="65">
        <v>0.0</v>
      </c>
      <c r="CI76" s="65">
        <v>0.0</v>
      </c>
      <c r="CJ76" s="65">
        <v>0.0</v>
      </c>
      <c r="CK76" s="65">
        <v>0.0</v>
      </c>
      <c r="CL76" s="65">
        <v>0.0</v>
      </c>
      <c r="CM76" s="65">
        <v>0.0</v>
      </c>
      <c r="CN76" s="65">
        <v>0.0</v>
      </c>
    </row>
    <row r="77" ht="15.75" customHeight="1">
      <c r="A77" s="462" t="s">
        <v>2346</v>
      </c>
      <c r="B77" s="510" t="s">
        <v>4017</v>
      </c>
      <c r="C77" s="141">
        <v>80764.0</v>
      </c>
      <c r="D77" s="63" t="s">
        <v>669</v>
      </c>
      <c r="E77" s="63" t="s">
        <v>199</v>
      </c>
      <c r="F77" s="81" t="s">
        <v>2388</v>
      </c>
      <c r="G77" s="47" t="str">
        <f t="shared" si="1"/>
        <v>Breno</v>
      </c>
      <c r="H77" s="152" t="s">
        <v>224</v>
      </c>
      <c r="I77" s="74" t="s">
        <v>66</v>
      </c>
      <c r="J77" s="63" t="str">
        <f t="shared" si="2"/>
        <v>Não</v>
      </c>
      <c r="K77" s="467">
        <v>43609.0</v>
      </c>
      <c r="L77" s="480">
        <v>44482.0</v>
      </c>
      <c r="M77" s="81" t="s">
        <v>34</v>
      </c>
      <c r="N77" s="478">
        <v>0.005</v>
      </c>
      <c r="O77" s="141" t="s">
        <v>66</v>
      </c>
      <c r="P77" s="145">
        <v>0.0</v>
      </c>
      <c r="Q77" s="158"/>
      <c r="R77" s="158"/>
      <c r="S77" s="62" t="s">
        <v>194</v>
      </c>
      <c r="T77" s="30" t="s">
        <v>4019</v>
      </c>
      <c r="U77" s="81" t="s">
        <v>199</v>
      </c>
      <c r="V77" s="49" t="str">
        <f t="shared" si="3"/>
        <v>Encerrado</v>
      </c>
      <c r="W77" s="150"/>
      <c r="X77" s="150"/>
      <c r="Y77" s="81"/>
      <c r="Z77" s="81"/>
      <c r="AA77" s="81"/>
      <c r="AB77" s="30"/>
      <c r="AC77" s="96">
        <v>55295.03</v>
      </c>
      <c r="AD77" s="96">
        <v>0.0</v>
      </c>
      <c r="AE77" s="96">
        <v>0.0</v>
      </c>
      <c r="AF77" s="96">
        <v>0.0</v>
      </c>
      <c r="AG77" s="96">
        <v>0.68</v>
      </c>
      <c r="AH77" s="96">
        <v>0.0</v>
      </c>
      <c r="AI77" s="96">
        <v>0.0</v>
      </c>
      <c r="AJ77" s="96"/>
      <c r="AK77" s="96"/>
      <c r="AL77" s="96">
        <v>0.68</v>
      </c>
      <c r="AM77" s="96">
        <v>0.68</v>
      </c>
      <c r="AN77" s="96">
        <v>0.68</v>
      </c>
      <c r="AO77" s="96">
        <v>0.68</v>
      </c>
      <c r="AP77" s="96">
        <v>0.68</v>
      </c>
      <c r="AQ77" s="96">
        <v>0.68</v>
      </c>
      <c r="AR77" s="96">
        <v>0.68</v>
      </c>
      <c r="AS77" s="96">
        <v>0.68</v>
      </c>
      <c r="AT77" s="96">
        <v>0.68</v>
      </c>
      <c r="AU77" s="96"/>
      <c r="AV77" s="482"/>
      <c r="AW77" s="482"/>
      <c r="AX77" s="482"/>
      <c r="AY77" s="96"/>
      <c r="AZ77" s="96"/>
      <c r="BA77" s="96"/>
      <c r="BB77" s="96"/>
      <c r="BC77" s="96"/>
      <c r="BD77" s="96">
        <v>0.0</v>
      </c>
      <c r="BE77" s="96">
        <v>0.0</v>
      </c>
      <c r="BF77" s="96">
        <v>0.0</v>
      </c>
      <c r="BG77" s="96" t="s">
        <v>377</v>
      </c>
      <c r="BH77" s="96">
        <v>0.0</v>
      </c>
      <c r="BI77" s="96" t="s">
        <v>377</v>
      </c>
      <c r="BJ77" s="96">
        <v>0.0</v>
      </c>
      <c r="BK77" s="472">
        <v>0.0</v>
      </c>
      <c r="BL77" s="472">
        <v>0.0</v>
      </c>
      <c r="BM77" s="472">
        <v>0.0</v>
      </c>
      <c r="BN77" s="472">
        <v>0.0</v>
      </c>
      <c r="BO77" s="472">
        <v>0.0</v>
      </c>
      <c r="BP77" s="472">
        <v>0.0</v>
      </c>
      <c r="BQ77" s="472">
        <v>0.0</v>
      </c>
      <c r="BR77" s="472">
        <v>0.0</v>
      </c>
      <c r="BS77" s="472">
        <v>0.0</v>
      </c>
      <c r="BT77" s="472">
        <v>0.0</v>
      </c>
      <c r="BU77" s="472">
        <v>0.0</v>
      </c>
      <c r="BV77" s="472">
        <v>0.0</v>
      </c>
      <c r="BW77" s="472">
        <v>0.0</v>
      </c>
      <c r="BX77" s="472">
        <v>0.0</v>
      </c>
      <c r="BY77" s="472">
        <v>0.0</v>
      </c>
      <c r="BZ77" s="472">
        <v>0.0</v>
      </c>
      <c r="CA77" s="474">
        <v>0.0</v>
      </c>
      <c r="CB77" s="474">
        <v>0.0</v>
      </c>
      <c r="CC77" s="474">
        <v>0.0</v>
      </c>
      <c r="CD77" s="474">
        <v>0.0</v>
      </c>
      <c r="CE77" s="474">
        <v>0.0</v>
      </c>
      <c r="CF77" s="474">
        <v>0.0</v>
      </c>
      <c r="CG77" s="474">
        <v>0.0</v>
      </c>
      <c r="CH77" s="65">
        <v>0.0</v>
      </c>
      <c r="CI77" s="65">
        <v>0.0</v>
      </c>
      <c r="CJ77" s="65">
        <v>0.0</v>
      </c>
      <c r="CK77" s="65">
        <v>0.0</v>
      </c>
      <c r="CL77" s="65">
        <v>0.0</v>
      </c>
      <c r="CM77" s="65">
        <v>0.0</v>
      </c>
      <c r="CN77" s="65">
        <v>0.0</v>
      </c>
    </row>
    <row r="78" ht="15.75" customHeight="1">
      <c r="A78" s="462" t="s">
        <v>2346</v>
      </c>
      <c r="B78" s="50" t="s">
        <v>660</v>
      </c>
      <c r="C78" s="141">
        <v>48783.0</v>
      </c>
      <c r="D78" s="63" t="s">
        <v>120</v>
      </c>
      <c r="E78" s="63" t="s">
        <v>91</v>
      </c>
      <c r="F78" s="81" t="s">
        <v>193</v>
      </c>
      <c r="G78" s="47" t="str">
        <f t="shared" si="1"/>
        <v>Breno</v>
      </c>
      <c r="H78" s="152" t="s">
        <v>295</v>
      </c>
      <c r="I78" s="49" t="s">
        <v>382</v>
      </c>
      <c r="J78" s="63" t="str">
        <f t="shared" si="2"/>
        <v>Não</v>
      </c>
      <c r="K78" s="194">
        <v>44364.0</v>
      </c>
      <c r="L78" s="81"/>
      <c r="M78" s="81" t="s">
        <v>34</v>
      </c>
      <c r="N78" s="478">
        <v>0.012</v>
      </c>
      <c r="O78" s="141" t="s">
        <v>66</v>
      </c>
      <c r="P78" s="145">
        <v>0.0</v>
      </c>
      <c r="Q78" s="70"/>
      <c r="R78" s="70"/>
      <c r="S78" s="62" t="s">
        <v>194</v>
      </c>
      <c r="T78" s="22" t="s">
        <v>664</v>
      </c>
      <c r="U78" s="95" t="s">
        <v>221</v>
      </c>
      <c r="V78" s="49" t="str">
        <f t="shared" si="3"/>
        <v>Ativo</v>
      </c>
      <c r="W78" s="150"/>
      <c r="X78" s="150"/>
      <c r="Y78" s="30" t="s">
        <v>244</v>
      </c>
      <c r="Z78" s="81"/>
      <c r="AA78" s="467">
        <v>44364.0</v>
      </c>
      <c r="AB78" s="30">
        <v>4.9075100003378E13</v>
      </c>
      <c r="AC78" s="476"/>
      <c r="AD78" s="476"/>
      <c r="AE78" s="476"/>
      <c r="AF78" s="476"/>
      <c r="AG78" s="476"/>
      <c r="AH78" s="476"/>
      <c r="AI78" s="476"/>
      <c r="AJ78" s="476"/>
      <c r="AK78" s="476"/>
      <c r="AL78" s="476"/>
      <c r="AM78" s="476"/>
      <c r="AN78" s="476"/>
      <c r="AO78" s="476"/>
      <c r="AP78" s="96"/>
      <c r="AQ78" s="96"/>
      <c r="AR78" s="96"/>
      <c r="AS78" s="96"/>
      <c r="AT78" s="96"/>
      <c r="AU78" s="476"/>
      <c r="AV78" s="96">
        <v>206169.8</v>
      </c>
      <c r="AW78" s="96">
        <v>206583.34</v>
      </c>
      <c r="AX78" s="96">
        <v>206861.97</v>
      </c>
      <c r="AY78" s="96">
        <v>207683.07</v>
      </c>
      <c r="AZ78" s="96">
        <v>207851.19</v>
      </c>
      <c r="BA78" s="96">
        <v>208075.33</v>
      </c>
      <c r="BB78" s="96">
        <v>208651.07</v>
      </c>
      <c r="BC78" s="96">
        <v>210859.65</v>
      </c>
      <c r="BD78" s="96">
        <v>212442.36</v>
      </c>
      <c r="BE78" s="96">
        <v>216901.68</v>
      </c>
      <c r="BF78" s="96">
        <v>231112.74</v>
      </c>
      <c r="BG78" s="472">
        <v>232022.08</v>
      </c>
      <c r="BH78" s="472">
        <v>233407.92</v>
      </c>
      <c r="BI78" s="472">
        <v>236220.3</v>
      </c>
      <c r="BJ78" s="472">
        <v>273293.1</v>
      </c>
      <c r="BK78" s="472">
        <v>275593.86</v>
      </c>
      <c r="BL78" s="472">
        <v>279727.7</v>
      </c>
      <c r="BM78" s="472">
        <v>280746.18</v>
      </c>
      <c r="BN78" s="472">
        <v>283005.13</v>
      </c>
      <c r="BO78" s="472">
        <v>295297.97</v>
      </c>
      <c r="BP78" s="472">
        <v>297650.78</v>
      </c>
      <c r="BQ78" s="472">
        <v>300618.93</v>
      </c>
      <c r="BR78" s="472">
        <v>302626.27</v>
      </c>
      <c r="BS78" s="472">
        <v>305696.15</v>
      </c>
      <c r="BT78" s="472">
        <v>309893.1</v>
      </c>
      <c r="BU78" s="472">
        <v>310029.62</v>
      </c>
      <c r="BV78" s="472">
        <v>312850.79</v>
      </c>
      <c r="BW78" s="472">
        <v>20.23</v>
      </c>
      <c r="BX78" s="472">
        <v>268.4</v>
      </c>
      <c r="BY78" s="472">
        <v>0.0</v>
      </c>
      <c r="BZ78" s="472">
        <v>0.0</v>
      </c>
      <c r="CA78" s="474">
        <v>0.0</v>
      </c>
      <c r="CB78" s="474">
        <v>0.0</v>
      </c>
      <c r="CC78" s="474">
        <v>0.0</v>
      </c>
      <c r="CD78" s="474">
        <v>0.0</v>
      </c>
      <c r="CE78" s="474">
        <v>0.0</v>
      </c>
      <c r="CF78" s="474">
        <v>0.0</v>
      </c>
      <c r="CG78" s="474">
        <v>0.0</v>
      </c>
      <c r="CH78" s="65">
        <v>0.0</v>
      </c>
      <c r="CI78" s="65">
        <v>0.0</v>
      </c>
      <c r="CJ78" s="65">
        <v>0.0</v>
      </c>
      <c r="CK78" s="65">
        <v>0.0</v>
      </c>
      <c r="CL78" s="65">
        <v>268.4</v>
      </c>
      <c r="CM78" s="65">
        <v>268.4</v>
      </c>
      <c r="CN78" s="65">
        <v>268.4</v>
      </c>
    </row>
    <row r="79" ht="15.75" customHeight="1">
      <c r="A79" s="462" t="s">
        <v>2346</v>
      </c>
      <c r="B79" s="510" t="s">
        <v>4048</v>
      </c>
      <c r="C79" s="141">
        <v>325711.0</v>
      </c>
      <c r="D79" s="63" t="s">
        <v>669</v>
      </c>
      <c r="E79" s="63" t="s">
        <v>199</v>
      </c>
      <c r="F79" s="81" t="s">
        <v>1228</v>
      </c>
      <c r="G79" s="47" t="str">
        <f t="shared" si="1"/>
        <v>Breno</v>
      </c>
      <c r="H79" s="152" t="s">
        <v>224</v>
      </c>
      <c r="I79" s="74" t="s">
        <v>66</v>
      </c>
      <c r="J79" s="63" t="str">
        <f t="shared" si="2"/>
        <v>Não</v>
      </c>
      <c r="K79" s="480">
        <v>43453.0</v>
      </c>
      <c r="L79" s="467">
        <v>43997.0</v>
      </c>
      <c r="M79" s="81" t="s">
        <v>231</v>
      </c>
      <c r="N79" s="478">
        <v>0.025</v>
      </c>
      <c r="O79" s="141" t="s">
        <v>233</v>
      </c>
      <c r="P79" s="145">
        <v>0.2</v>
      </c>
      <c r="Q79" s="158"/>
      <c r="R79" s="158"/>
      <c r="S79" s="62" t="s">
        <v>194</v>
      </c>
      <c r="T79" s="30" t="s">
        <v>4053</v>
      </c>
      <c r="U79" s="81" t="s">
        <v>199</v>
      </c>
      <c r="V79" s="49" t="str">
        <f t="shared" si="3"/>
        <v>Encerrado</v>
      </c>
      <c r="W79" s="150"/>
      <c r="X79" s="150"/>
      <c r="Y79" s="81"/>
      <c r="Z79" s="81"/>
      <c r="AA79" s="81"/>
      <c r="AB79" s="30"/>
      <c r="AC79" s="96">
        <v>0.0</v>
      </c>
      <c r="AD79" s="96">
        <v>0.0</v>
      </c>
      <c r="AE79" s="96">
        <v>0.0</v>
      </c>
      <c r="AF79" s="96">
        <v>0.0</v>
      </c>
      <c r="AG79" s="96">
        <v>0.0</v>
      </c>
      <c r="AH79" s="96">
        <v>0.0</v>
      </c>
      <c r="AI79" s="96">
        <v>0.0</v>
      </c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482"/>
      <c r="AW79" s="482"/>
      <c r="AX79" s="482"/>
      <c r="AY79" s="96"/>
      <c r="AZ79" s="96"/>
      <c r="BA79" s="96"/>
      <c r="BB79" s="96"/>
      <c r="BC79" s="96"/>
      <c r="BD79" s="96">
        <v>0.0</v>
      </c>
      <c r="BE79" s="96">
        <v>0.0</v>
      </c>
      <c r="BF79" s="96">
        <v>0.0</v>
      </c>
      <c r="BG79" s="96" t="s">
        <v>377</v>
      </c>
      <c r="BH79" s="96">
        <v>0.0</v>
      </c>
      <c r="BI79" s="96" t="s">
        <v>377</v>
      </c>
      <c r="BJ79" s="96">
        <v>0.0</v>
      </c>
      <c r="BK79" s="472">
        <v>0.0</v>
      </c>
      <c r="BL79" s="472">
        <v>0.0</v>
      </c>
      <c r="BM79" s="472">
        <v>0.0</v>
      </c>
      <c r="BN79" s="472">
        <v>0.0</v>
      </c>
      <c r="BO79" s="472">
        <v>0.0</v>
      </c>
      <c r="BP79" s="472">
        <v>0.0</v>
      </c>
      <c r="BQ79" s="472">
        <v>0.0</v>
      </c>
      <c r="BR79" s="472">
        <v>0.0</v>
      </c>
      <c r="BS79" s="472">
        <v>0.0</v>
      </c>
      <c r="BT79" s="472">
        <v>0.0</v>
      </c>
      <c r="BU79" s="472">
        <v>0.0</v>
      </c>
      <c r="BV79" s="472">
        <v>0.0</v>
      </c>
      <c r="BW79" s="472">
        <v>0.0</v>
      </c>
      <c r="BX79" s="472">
        <v>0.0</v>
      </c>
      <c r="BY79" s="472">
        <v>0.0</v>
      </c>
      <c r="BZ79" s="472">
        <v>0.0</v>
      </c>
      <c r="CA79" s="474">
        <v>0.0</v>
      </c>
      <c r="CB79" s="474">
        <v>0.0</v>
      </c>
      <c r="CC79" s="474">
        <v>0.0</v>
      </c>
      <c r="CD79" s="474">
        <v>0.0</v>
      </c>
      <c r="CE79" s="474">
        <v>0.0</v>
      </c>
      <c r="CF79" s="474">
        <v>0.0</v>
      </c>
      <c r="CG79" s="474">
        <v>0.0</v>
      </c>
      <c r="CH79" s="65">
        <v>0.0</v>
      </c>
      <c r="CI79" s="65">
        <v>0.0</v>
      </c>
      <c r="CJ79" s="65">
        <v>0.0</v>
      </c>
      <c r="CK79" s="65">
        <v>0.0</v>
      </c>
      <c r="CL79" s="65">
        <v>0.0</v>
      </c>
      <c r="CM79" s="65">
        <v>0.0</v>
      </c>
      <c r="CN79" s="65">
        <v>0.0</v>
      </c>
    </row>
    <row r="80" ht="15.75" customHeight="1">
      <c r="A80" s="462" t="s">
        <v>2346</v>
      </c>
      <c r="B80" s="510" t="s">
        <v>4048</v>
      </c>
      <c r="C80" s="141">
        <v>33186.0</v>
      </c>
      <c r="D80" s="63" t="s">
        <v>669</v>
      </c>
      <c r="E80" s="63" t="s">
        <v>199</v>
      </c>
      <c r="F80" s="81" t="s">
        <v>1228</v>
      </c>
      <c r="G80" s="47" t="str">
        <f t="shared" si="1"/>
        <v>Breno</v>
      </c>
      <c r="H80" s="152" t="s">
        <v>224</v>
      </c>
      <c r="I80" s="74" t="s">
        <v>66</v>
      </c>
      <c r="J80" s="63" t="str">
        <f t="shared" si="2"/>
        <v>Não</v>
      </c>
      <c r="K80" s="467">
        <v>43997.0</v>
      </c>
      <c r="L80" s="467">
        <v>43997.0</v>
      </c>
      <c r="M80" s="81" t="s">
        <v>209</v>
      </c>
      <c r="N80" s="478">
        <v>0.01</v>
      </c>
      <c r="O80" s="63" t="s">
        <v>35</v>
      </c>
      <c r="P80" s="145">
        <v>0.1</v>
      </c>
      <c r="Q80" s="158"/>
      <c r="R80" s="158"/>
      <c r="S80" s="62" t="s">
        <v>194</v>
      </c>
      <c r="T80" s="30" t="s">
        <v>4053</v>
      </c>
      <c r="U80" s="81" t="s">
        <v>199</v>
      </c>
      <c r="V80" s="49" t="str">
        <f t="shared" si="3"/>
        <v>Encerrado</v>
      </c>
      <c r="W80" s="150"/>
      <c r="X80" s="150"/>
      <c r="Y80" s="81"/>
      <c r="Z80" s="81"/>
      <c r="AA80" s="81"/>
      <c r="AB80" s="30"/>
      <c r="AC80" s="96">
        <v>64330.07</v>
      </c>
      <c r="AD80" s="96">
        <v>44235.94</v>
      </c>
      <c r="AE80" s="96">
        <v>42030.24</v>
      </c>
      <c r="AF80" s="96">
        <v>36239.38</v>
      </c>
      <c r="AG80" s="96">
        <v>36013.41</v>
      </c>
      <c r="AH80" s="96">
        <v>0.0</v>
      </c>
      <c r="AI80" s="96">
        <v>0.0</v>
      </c>
      <c r="AJ80" s="96"/>
      <c r="AK80" s="96"/>
      <c r="AL80" s="96"/>
      <c r="AM80" s="96">
        <v>35900.32</v>
      </c>
      <c r="AN80" s="96">
        <v>36072.15</v>
      </c>
      <c r="AO80" s="96">
        <v>36109.92</v>
      </c>
      <c r="AP80" s="96">
        <v>36113.05</v>
      </c>
      <c r="AQ80" s="96">
        <v>36127.36</v>
      </c>
      <c r="AR80" s="96">
        <v>37124.81</v>
      </c>
      <c r="AS80" s="96">
        <v>37195.19</v>
      </c>
      <c r="AT80" s="96">
        <v>37253.46</v>
      </c>
      <c r="AU80" s="96">
        <v>37640.97</v>
      </c>
      <c r="AV80" s="96">
        <v>37852.49</v>
      </c>
      <c r="AW80" s="96">
        <v>37777.95</v>
      </c>
      <c r="AX80" s="96">
        <v>37700.87</v>
      </c>
      <c r="AY80" s="96">
        <v>37637.01</v>
      </c>
      <c r="AZ80" s="96">
        <v>37437.55</v>
      </c>
      <c r="BA80" s="96"/>
      <c r="BB80" s="96"/>
      <c r="BC80" s="96"/>
      <c r="BD80" s="96">
        <v>0.0</v>
      </c>
      <c r="BE80" s="96">
        <v>0.0</v>
      </c>
      <c r="BF80" s="96">
        <v>0.0</v>
      </c>
      <c r="BG80" s="96" t="s">
        <v>377</v>
      </c>
      <c r="BH80" s="96">
        <v>0.0</v>
      </c>
      <c r="BI80" s="96" t="s">
        <v>377</v>
      </c>
      <c r="BJ80" s="96">
        <v>0.0</v>
      </c>
      <c r="BK80" s="472">
        <v>0.0</v>
      </c>
      <c r="BL80" s="472">
        <v>0.0</v>
      </c>
      <c r="BM80" s="472">
        <v>0.0</v>
      </c>
      <c r="BN80" s="472">
        <v>0.0</v>
      </c>
      <c r="BO80" s="472">
        <v>0.0</v>
      </c>
      <c r="BP80" s="472">
        <v>0.0</v>
      </c>
      <c r="BQ80" s="472">
        <v>0.0</v>
      </c>
      <c r="BR80" s="472">
        <v>0.0</v>
      </c>
      <c r="BS80" s="472">
        <v>0.0</v>
      </c>
      <c r="BT80" s="472">
        <v>0.0</v>
      </c>
      <c r="BU80" s="472">
        <v>0.0</v>
      </c>
      <c r="BV80" s="472">
        <v>0.0</v>
      </c>
      <c r="BW80" s="472">
        <v>0.0</v>
      </c>
      <c r="BX80" s="472">
        <v>0.0</v>
      </c>
      <c r="BY80" s="472">
        <v>0.0</v>
      </c>
      <c r="BZ80" s="472">
        <v>0.0</v>
      </c>
      <c r="CA80" s="474">
        <v>0.0</v>
      </c>
      <c r="CB80" s="474">
        <v>0.0</v>
      </c>
      <c r="CC80" s="474">
        <v>0.0</v>
      </c>
      <c r="CD80" s="474">
        <v>0.0</v>
      </c>
      <c r="CE80" s="474">
        <v>0.0</v>
      </c>
      <c r="CF80" s="474">
        <v>0.0</v>
      </c>
      <c r="CG80" s="474">
        <v>0.0</v>
      </c>
      <c r="CH80" s="65">
        <v>0.0</v>
      </c>
      <c r="CI80" s="65">
        <v>0.0</v>
      </c>
      <c r="CJ80" s="65">
        <v>0.0</v>
      </c>
      <c r="CK80" s="65">
        <v>0.0</v>
      </c>
      <c r="CL80" s="65">
        <v>0.0</v>
      </c>
      <c r="CM80" s="65">
        <v>0.0</v>
      </c>
      <c r="CN80" s="65">
        <v>0.0</v>
      </c>
    </row>
    <row r="81" ht="15.75" customHeight="1">
      <c r="A81" s="462" t="s">
        <v>2346</v>
      </c>
      <c r="B81" s="50" t="s">
        <v>671</v>
      </c>
      <c r="C81" s="141">
        <v>441042.0</v>
      </c>
      <c r="D81" s="63" t="s">
        <v>120</v>
      </c>
      <c r="E81" s="63" t="s">
        <v>91</v>
      </c>
      <c r="F81" s="81" t="s">
        <v>521</v>
      </c>
      <c r="G81" s="47" t="str">
        <f t="shared" si="1"/>
        <v>Breno</v>
      </c>
      <c r="H81" s="152" t="s">
        <v>295</v>
      </c>
      <c r="I81" s="74" t="s">
        <v>66</v>
      </c>
      <c r="J81" s="63" t="str">
        <f t="shared" si="2"/>
        <v>Não</v>
      </c>
      <c r="K81" s="194">
        <v>44593.0</v>
      </c>
      <c r="L81" s="62"/>
      <c r="M81" s="81" t="s">
        <v>61</v>
      </c>
      <c r="N81" s="478">
        <v>0.007</v>
      </c>
      <c r="O81" s="141" t="s">
        <v>66</v>
      </c>
      <c r="P81" s="145">
        <v>0.0</v>
      </c>
      <c r="Q81" s="70"/>
      <c r="R81" s="58" t="s">
        <v>678</v>
      </c>
      <c r="S81" s="62" t="s">
        <v>194</v>
      </c>
      <c r="T81" s="22" t="s">
        <v>680</v>
      </c>
      <c r="U81" s="95" t="s">
        <v>221</v>
      </c>
      <c r="V81" s="49" t="str">
        <f t="shared" si="3"/>
        <v>Ativo</v>
      </c>
      <c r="W81" s="150"/>
      <c r="X81" s="150"/>
      <c r="Y81" s="30" t="s">
        <v>244</v>
      </c>
      <c r="Z81" s="81"/>
      <c r="AA81" s="467">
        <v>44593.0</v>
      </c>
      <c r="AB81" s="30">
        <v>4.9075100010293E13</v>
      </c>
      <c r="AC81" s="379"/>
      <c r="AD81" s="379"/>
      <c r="AE81" s="379"/>
      <c r="AF81" s="379"/>
      <c r="AG81" s="379"/>
      <c r="AH81" s="379"/>
      <c r="AI81" s="379"/>
      <c r="AJ81" s="379"/>
      <c r="AK81" s="379"/>
      <c r="AL81" s="379"/>
      <c r="AM81" s="379"/>
      <c r="AN81" s="379"/>
      <c r="AO81" s="96"/>
      <c r="AP81" s="471"/>
      <c r="AQ81" s="471"/>
      <c r="AR81" s="471"/>
      <c r="AS81" s="471"/>
      <c r="AT81" s="471"/>
      <c r="AU81" s="96"/>
      <c r="AV81" s="96"/>
      <c r="AW81" s="96"/>
      <c r="AX81" s="96"/>
      <c r="AY81" s="96"/>
      <c r="AZ81" s="96"/>
      <c r="BA81" s="96"/>
      <c r="BB81" s="379"/>
      <c r="BC81" s="96">
        <v>118748.73</v>
      </c>
      <c r="BD81" s="96">
        <v>119592.31</v>
      </c>
      <c r="BE81" s="96">
        <v>120851.41</v>
      </c>
      <c r="BF81" s="96">
        <v>121403.99</v>
      </c>
      <c r="BG81" s="472">
        <v>122481.43</v>
      </c>
      <c r="BH81" s="472">
        <v>123280.12</v>
      </c>
      <c r="BI81" s="472">
        <v>124127.96</v>
      </c>
      <c r="BJ81" s="472">
        <v>125540.83</v>
      </c>
      <c r="BK81" s="472">
        <v>126637.98</v>
      </c>
      <c r="BL81" s="472">
        <v>127711.77</v>
      </c>
      <c r="BM81" s="472">
        <v>128251.47</v>
      </c>
      <c r="BN81" s="472">
        <v>129510.51</v>
      </c>
      <c r="BO81" s="472">
        <v>130939.73</v>
      </c>
      <c r="BP81" s="472">
        <v>132039.64</v>
      </c>
      <c r="BQ81" s="472">
        <v>133656.87</v>
      </c>
      <c r="BR81" s="472">
        <v>134677.67</v>
      </c>
      <c r="BS81" s="472">
        <v>136177.23</v>
      </c>
      <c r="BT81" s="472">
        <v>138113.14</v>
      </c>
      <c r="BU81" s="472">
        <v>138996.31</v>
      </c>
      <c r="BV81" s="472">
        <v>141042.13</v>
      </c>
      <c r="BW81" s="472">
        <v>142132.89</v>
      </c>
      <c r="BX81" s="472">
        <v>143477.56</v>
      </c>
      <c r="BY81" s="472">
        <v>144648.14</v>
      </c>
      <c r="BZ81" s="472">
        <v>145936.43</v>
      </c>
      <c r="CA81" s="474">
        <v>122841.65</v>
      </c>
      <c r="CB81" s="474">
        <v>144887.83</v>
      </c>
      <c r="CC81" s="474">
        <v>146215.2</v>
      </c>
      <c r="CD81" s="474">
        <v>147428.85</v>
      </c>
      <c r="CE81" s="474">
        <v>148678.94</v>
      </c>
      <c r="CF81" s="474">
        <v>149880.62</v>
      </c>
      <c r="CG81" s="474">
        <v>128619.4</v>
      </c>
      <c r="CH81" s="65">
        <v>129662.51</v>
      </c>
      <c r="CI81" s="65">
        <v>115021.48</v>
      </c>
      <c r="CJ81" s="65">
        <v>0.0</v>
      </c>
      <c r="CK81" s="65">
        <v>0.0</v>
      </c>
      <c r="CL81" s="65">
        <v>0.04</v>
      </c>
      <c r="CM81" s="65">
        <v>0.04</v>
      </c>
      <c r="CN81" s="65">
        <v>0.04</v>
      </c>
    </row>
    <row r="82" ht="15.75" customHeight="1">
      <c r="A82" s="462" t="s">
        <v>2346</v>
      </c>
      <c r="B82" s="477" t="s">
        <v>4075</v>
      </c>
      <c r="C82" s="141">
        <v>37885.0</v>
      </c>
      <c r="D82" s="63" t="s">
        <v>669</v>
      </c>
      <c r="E82" s="63" t="s">
        <v>199</v>
      </c>
      <c r="F82" s="81" t="s">
        <v>1228</v>
      </c>
      <c r="G82" s="47" t="str">
        <f t="shared" si="1"/>
        <v>Breno</v>
      </c>
      <c r="H82" s="152" t="s">
        <v>224</v>
      </c>
      <c r="I82" s="74" t="s">
        <v>66</v>
      </c>
      <c r="J82" s="63" t="str">
        <f t="shared" si="2"/>
        <v>Não</v>
      </c>
      <c r="K82" s="578">
        <v>43796.0</v>
      </c>
      <c r="L82" s="467">
        <v>44312.0</v>
      </c>
      <c r="M82" s="81" t="s">
        <v>209</v>
      </c>
      <c r="N82" s="478">
        <v>0.015</v>
      </c>
      <c r="O82" s="63" t="s">
        <v>35</v>
      </c>
      <c r="P82" s="145">
        <v>0.1</v>
      </c>
      <c r="Q82" s="158"/>
      <c r="R82" s="158"/>
      <c r="S82" s="62" t="s">
        <v>194</v>
      </c>
      <c r="T82" s="30" t="s">
        <v>4082</v>
      </c>
      <c r="U82" s="30" t="s">
        <v>199</v>
      </c>
      <c r="V82" s="49" t="str">
        <f t="shared" si="3"/>
        <v>Encerrado</v>
      </c>
      <c r="W82" s="150"/>
      <c r="X82" s="150"/>
      <c r="Y82" s="81"/>
      <c r="Z82" s="81"/>
      <c r="AA82" s="81"/>
      <c r="AB82" s="30"/>
      <c r="AC82" s="482"/>
      <c r="AD82" s="482"/>
      <c r="AE82" s="482"/>
      <c r="AF82" s="96"/>
      <c r="AG82" s="96"/>
      <c r="AH82" s="482"/>
      <c r="AI82" s="482"/>
      <c r="AJ82" s="482"/>
      <c r="AK82" s="482"/>
      <c r="AL82" s="96">
        <v>6.32</v>
      </c>
      <c r="AM82" s="96">
        <v>6.32</v>
      </c>
      <c r="AN82" s="96">
        <v>6.32</v>
      </c>
      <c r="AO82" s="96">
        <v>6.32</v>
      </c>
      <c r="AP82" s="96">
        <v>6.32</v>
      </c>
      <c r="AQ82" s="96">
        <v>6.32</v>
      </c>
      <c r="AR82" s="96">
        <v>6.32</v>
      </c>
      <c r="AS82" s="96">
        <v>6.32</v>
      </c>
      <c r="AT82" s="96">
        <v>6.32</v>
      </c>
      <c r="AU82" s="96"/>
      <c r="AV82" s="482"/>
      <c r="AW82" s="482"/>
      <c r="AX82" s="482"/>
      <c r="AY82" s="96"/>
      <c r="AZ82" s="96"/>
      <c r="BA82" s="96"/>
      <c r="BB82" s="96"/>
      <c r="BC82" s="96"/>
      <c r="BD82" s="96">
        <v>0.0</v>
      </c>
      <c r="BE82" s="96">
        <v>0.0</v>
      </c>
      <c r="BF82" s="96">
        <v>0.0</v>
      </c>
      <c r="BG82" s="96" t="s">
        <v>377</v>
      </c>
      <c r="BH82" s="96">
        <v>0.0</v>
      </c>
      <c r="BI82" s="96" t="s">
        <v>377</v>
      </c>
      <c r="BJ82" s="96">
        <v>0.0</v>
      </c>
      <c r="BK82" s="472">
        <v>0.0</v>
      </c>
      <c r="BL82" s="472">
        <v>0.0</v>
      </c>
      <c r="BM82" s="472">
        <v>0.0</v>
      </c>
      <c r="BN82" s="472">
        <v>0.0</v>
      </c>
      <c r="BO82" s="472">
        <v>0.0</v>
      </c>
      <c r="BP82" s="472">
        <v>0.0</v>
      </c>
      <c r="BQ82" s="472">
        <v>0.0</v>
      </c>
      <c r="BR82" s="472">
        <v>0.0</v>
      </c>
      <c r="BS82" s="472">
        <v>0.0</v>
      </c>
      <c r="BT82" s="472">
        <v>0.0</v>
      </c>
      <c r="BU82" s="472">
        <v>0.0</v>
      </c>
      <c r="BV82" s="472">
        <v>0.0</v>
      </c>
      <c r="BW82" s="472">
        <v>0.0</v>
      </c>
      <c r="BX82" s="472">
        <v>0.0</v>
      </c>
      <c r="BY82" s="472">
        <v>0.0</v>
      </c>
      <c r="BZ82" s="472">
        <v>0.0</v>
      </c>
      <c r="CA82" s="474">
        <v>0.0</v>
      </c>
      <c r="CB82" s="474">
        <v>0.0</v>
      </c>
      <c r="CC82" s="474">
        <v>0.0</v>
      </c>
      <c r="CD82" s="474">
        <v>0.0</v>
      </c>
      <c r="CE82" s="474">
        <v>0.0</v>
      </c>
      <c r="CF82" s="474">
        <v>0.0</v>
      </c>
      <c r="CG82" s="474">
        <v>0.0</v>
      </c>
      <c r="CH82" s="65">
        <v>0.0</v>
      </c>
      <c r="CI82" s="65">
        <v>0.0</v>
      </c>
      <c r="CJ82" s="65">
        <v>0.0</v>
      </c>
      <c r="CK82" s="65">
        <v>0.0</v>
      </c>
      <c r="CL82" s="65">
        <v>0.0</v>
      </c>
      <c r="CM82" s="65">
        <v>0.0</v>
      </c>
      <c r="CN82" s="65">
        <v>0.0</v>
      </c>
    </row>
    <row r="83" ht="15.75" customHeight="1">
      <c r="A83" s="462" t="s">
        <v>2346</v>
      </c>
      <c r="B83" s="477" t="s">
        <v>4091</v>
      </c>
      <c r="C83" s="141">
        <v>32368.0</v>
      </c>
      <c r="D83" s="63" t="s">
        <v>669</v>
      </c>
      <c r="E83" s="63" t="s">
        <v>199</v>
      </c>
      <c r="F83" s="81" t="s">
        <v>1228</v>
      </c>
      <c r="G83" s="47" t="str">
        <f t="shared" si="1"/>
        <v>Breno</v>
      </c>
      <c r="H83" s="152" t="s">
        <v>224</v>
      </c>
      <c r="I83" s="74" t="s">
        <v>66</v>
      </c>
      <c r="J83" s="63" t="str">
        <f t="shared" si="2"/>
        <v>Não</v>
      </c>
      <c r="K83" s="480">
        <v>43822.0</v>
      </c>
      <c r="L83" s="480">
        <v>44545.0</v>
      </c>
      <c r="M83" s="81" t="s">
        <v>34</v>
      </c>
      <c r="N83" s="478">
        <v>0.012</v>
      </c>
      <c r="O83" s="141" t="s">
        <v>66</v>
      </c>
      <c r="P83" s="145">
        <v>0.0</v>
      </c>
      <c r="Q83" s="158"/>
      <c r="R83" s="158"/>
      <c r="S83" s="62" t="s">
        <v>194</v>
      </c>
      <c r="T83" s="30" t="s">
        <v>4095</v>
      </c>
      <c r="U83" s="81" t="s">
        <v>199</v>
      </c>
      <c r="V83" s="49" t="str">
        <f t="shared" si="3"/>
        <v>Encerrado</v>
      </c>
      <c r="W83" s="150"/>
      <c r="X83" s="150"/>
      <c r="Y83" s="81"/>
      <c r="Z83" s="81"/>
      <c r="AA83" s="81"/>
      <c r="AB83" s="30"/>
      <c r="AC83" s="96">
        <v>282028.35</v>
      </c>
      <c r="AD83" s="96">
        <v>287314.96</v>
      </c>
      <c r="AE83" s="96">
        <v>275831.46</v>
      </c>
      <c r="AF83" s="96">
        <v>279662.76</v>
      </c>
      <c r="AG83" s="96">
        <v>282313.01</v>
      </c>
      <c r="AH83" s="96">
        <v>284893.12</v>
      </c>
      <c r="AI83" s="96">
        <v>299366.31</v>
      </c>
      <c r="AJ83" s="96">
        <v>295299.15</v>
      </c>
      <c r="AK83" s="96">
        <v>291681.4</v>
      </c>
      <c r="AL83" s="96">
        <v>290995.0</v>
      </c>
      <c r="AM83" s="96">
        <v>300059.87</v>
      </c>
      <c r="AN83" s="96">
        <v>303602.97</v>
      </c>
      <c r="AO83" s="96">
        <v>307182.04</v>
      </c>
      <c r="AP83" s="96">
        <v>301826.28</v>
      </c>
      <c r="AQ83" s="96">
        <v>220055.19</v>
      </c>
      <c r="AR83" s="96">
        <v>200867.89</v>
      </c>
      <c r="AS83" s="96">
        <v>204418.82</v>
      </c>
      <c r="AT83" s="96">
        <v>204403.81</v>
      </c>
      <c r="AU83" s="96">
        <v>206721.94</v>
      </c>
      <c r="AV83" s="96">
        <v>206280.99</v>
      </c>
      <c r="AW83" s="96">
        <v>205836.87</v>
      </c>
      <c r="AX83" s="96">
        <v>220220.71</v>
      </c>
      <c r="AY83" s="96">
        <v>202279.47</v>
      </c>
      <c r="AZ83" s="96">
        <v>198874.55</v>
      </c>
      <c r="BA83" s="96">
        <v>236487.19</v>
      </c>
      <c r="BB83" s="96">
        <v>238899.17</v>
      </c>
      <c r="BC83" s="96">
        <v>237350.81</v>
      </c>
      <c r="BD83" s="96">
        <v>0.0</v>
      </c>
      <c r="BE83" s="96">
        <v>0.0</v>
      </c>
      <c r="BF83" s="96">
        <v>0.0</v>
      </c>
      <c r="BG83" s="96" t="s">
        <v>377</v>
      </c>
      <c r="BH83" s="96">
        <v>0.0</v>
      </c>
      <c r="BI83" s="96" t="s">
        <v>377</v>
      </c>
      <c r="BJ83" s="96">
        <v>0.0</v>
      </c>
      <c r="BK83" s="472">
        <v>0.0</v>
      </c>
      <c r="BL83" s="472">
        <v>0.0</v>
      </c>
      <c r="BM83" s="472">
        <v>0.0</v>
      </c>
      <c r="BN83" s="472">
        <v>0.0</v>
      </c>
      <c r="BO83" s="472">
        <v>0.0</v>
      </c>
      <c r="BP83" s="472">
        <v>0.0</v>
      </c>
      <c r="BQ83" s="472">
        <v>0.0</v>
      </c>
      <c r="BR83" s="472">
        <v>0.0</v>
      </c>
      <c r="BS83" s="472">
        <v>0.0</v>
      </c>
      <c r="BT83" s="472">
        <v>0.0</v>
      </c>
      <c r="BU83" s="472">
        <v>0.0</v>
      </c>
      <c r="BV83" s="472">
        <v>0.0</v>
      </c>
      <c r="BW83" s="472">
        <v>0.0</v>
      </c>
      <c r="BX83" s="472">
        <v>0.0</v>
      </c>
      <c r="BY83" s="472">
        <v>0.0</v>
      </c>
      <c r="BZ83" s="472">
        <v>0.0</v>
      </c>
      <c r="CA83" s="474">
        <v>0.0</v>
      </c>
      <c r="CB83" s="474">
        <v>0.0</v>
      </c>
      <c r="CC83" s="474">
        <v>0.0</v>
      </c>
      <c r="CD83" s="474">
        <v>0.0</v>
      </c>
      <c r="CE83" s="474">
        <v>0.0</v>
      </c>
      <c r="CF83" s="474">
        <v>0.0</v>
      </c>
      <c r="CG83" s="474">
        <v>0.0</v>
      </c>
      <c r="CH83" s="65">
        <v>0.0</v>
      </c>
      <c r="CI83" s="65">
        <v>0.0</v>
      </c>
      <c r="CJ83" s="65">
        <v>0.0</v>
      </c>
      <c r="CK83" s="65">
        <v>0.0</v>
      </c>
      <c r="CL83" s="65">
        <v>0.0</v>
      </c>
      <c r="CM83" s="65">
        <v>0.0</v>
      </c>
      <c r="CN83" s="65">
        <v>0.0</v>
      </c>
    </row>
    <row r="84" ht="15.75" customHeight="1">
      <c r="A84" s="462" t="s">
        <v>2346</v>
      </c>
      <c r="B84" s="584" t="s">
        <v>4111</v>
      </c>
      <c r="C84" s="141">
        <v>455761.0</v>
      </c>
      <c r="D84" s="63" t="s">
        <v>120</v>
      </c>
      <c r="E84" s="63" t="s">
        <v>91</v>
      </c>
      <c r="F84" s="81" t="s">
        <v>521</v>
      </c>
      <c r="G84" s="47" t="str">
        <f t="shared" si="1"/>
        <v>Breno</v>
      </c>
      <c r="H84" s="142" t="s">
        <v>295</v>
      </c>
      <c r="I84" s="49" t="s">
        <v>382</v>
      </c>
      <c r="J84" s="63" t="str">
        <f t="shared" si="2"/>
        <v>Não</v>
      </c>
      <c r="K84" s="143">
        <v>44383.0</v>
      </c>
      <c r="L84" s="81"/>
      <c r="M84" s="81" t="s">
        <v>34</v>
      </c>
      <c r="N84" s="478">
        <v>0.012</v>
      </c>
      <c r="O84" s="141" t="s">
        <v>66</v>
      </c>
      <c r="P84" s="145">
        <v>0.0</v>
      </c>
      <c r="Q84" s="70"/>
      <c r="R84" s="70"/>
      <c r="S84" s="62" t="s">
        <v>194</v>
      </c>
      <c r="T84" s="22" t="s">
        <v>4115</v>
      </c>
      <c r="U84" s="95" t="s">
        <v>221</v>
      </c>
      <c r="V84" s="49" t="str">
        <f t="shared" si="3"/>
        <v>Inativo</v>
      </c>
      <c r="W84" s="150"/>
      <c r="X84" s="150"/>
      <c r="Y84" s="30" t="s">
        <v>244</v>
      </c>
      <c r="Z84" s="81"/>
      <c r="AA84" s="467">
        <v>44383.0</v>
      </c>
      <c r="AB84" s="30">
        <v>4.9075100014264E13</v>
      </c>
      <c r="AC84" s="476"/>
      <c r="AD84" s="476"/>
      <c r="AE84" s="476"/>
      <c r="AF84" s="476"/>
      <c r="AG84" s="476"/>
      <c r="AH84" s="476"/>
      <c r="AI84" s="476"/>
      <c r="AJ84" s="476"/>
      <c r="AK84" s="476"/>
      <c r="AL84" s="476"/>
      <c r="AM84" s="476"/>
      <c r="AN84" s="476"/>
      <c r="AO84" s="546"/>
      <c r="AP84" s="482"/>
      <c r="AQ84" s="96"/>
      <c r="AR84" s="96"/>
      <c r="AS84" s="96"/>
      <c r="AT84" s="96"/>
      <c r="AU84" s="96"/>
      <c r="AV84" s="476"/>
      <c r="AW84" s="96">
        <v>269535.97</v>
      </c>
      <c r="AX84" s="96">
        <v>288725.21</v>
      </c>
      <c r="AY84" s="96">
        <v>287494.64</v>
      </c>
      <c r="AZ84" s="96">
        <v>249914.84</v>
      </c>
      <c r="BA84" s="96">
        <v>249764.3</v>
      </c>
      <c r="BB84" s="96">
        <v>316967.58</v>
      </c>
      <c r="BC84" s="96">
        <v>321677.63</v>
      </c>
      <c r="BD84" s="96"/>
      <c r="BE84" s="96">
        <v>331334.79</v>
      </c>
      <c r="BF84" s="96">
        <v>328992.2</v>
      </c>
      <c r="BG84" s="472">
        <v>330021.47</v>
      </c>
      <c r="BH84" s="472">
        <v>329497.11</v>
      </c>
      <c r="BI84" s="472">
        <v>331913.29</v>
      </c>
      <c r="BJ84" s="472">
        <v>336292.55</v>
      </c>
      <c r="BK84" s="472">
        <v>338901.85</v>
      </c>
      <c r="BL84" s="472">
        <v>305175.28</v>
      </c>
      <c r="BM84" s="472">
        <v>303761.73</v>
      </c>
      <c r="BN84" s="472">
        <v>306456.35</v>
      </c>
      <c r="BO84" s="472">
        <v>310310.33</v>
      </c>
      <c r="BP84" s="472">
        <v>302923.69</v>
      </c>
      <c r="BQ84" s="472">
        <v>260764.18</v>
      </c>
      <c r="BR84" s="472">
        <v>257539.32</v>
      </c>
      <c r="BS84" s="472">
        <v>260307.98</v>
      </c>
      <c r="BT84" s="472">
        <v>263279.98</v>
      </c>
      <c r="BU84" s="472">
        <v>0.0</v>
      </c>
      <c r="BV84" s="472">
        <v>0.0</v>
      </c>
      <c r="BW84" s="472">
        <v>0.0</v>
      </c>
      <c r="BX84" s="472">
        <v>38.28</v>
      </c>
      <c r="BY84" s="472">
        <v>4.09</v>
      </c>
      <c r="BZ84" s="472">
        <v>0.0</v>
      </c>
      <c r="CA84" s="474">
        <v>0.0</v>
      </c>
      <c r="CB84" s="474">
        <v>0.0</v>
      </c>
      <c r="CC84" s="474">
        <v>0.0</v>
      </c>
      <c r="CD84" s="474">
        <v>0.0</v>
      </c>
      <c r="CE84" s="474">
        <v>0.0</v>
      </c>
      <c r="CF84" s="474">
        <v>0.0</v>
      </c>
      <c r="CG84" s="474">
        <v>0.0</v>
      </c>
      <c r="CH84" s="65">
        <v>0.0</v>
      </c>
      <c r="CI84" s="65">
        <v>0.0</v>
      </c>
      <c r="CJ84" s="65">
        <v>0.0</v>
      </c>
      <c r="CK84" s="65">
        <v>0.0</v>
      </c>
      <c r="CL84" s="65">
        <v>0.0</v>
      </c>
      <c r="CM84" s="65">
        <v>0.0</v>
      </c>
      <c r="CN84" s="65">
        <v>0.0</v>
      </c>
    </row>
    <row r="85" ht="15.75" customHeight="1">
      <c r="A85" s="462" t="s">
        <v>2346</v>
      </c>
      <c r="B85" s="584" t="s">
        <v>4111</v>
      </c>
      <c r="C85" s="141">
        <v>362237.0</v>
      </c>
      <c r="D85" s="63" t="s">
        <v>120</v>
      </c>
      <c r="E85" s="63" t="s">
        <v>91</v>
      </c>
      <c r="F85" s="81" t="s">
        <v>521</v>
      </c>
      <c r="G85" s="47" t="str">
        <f t="shared" si="1"/>
        <v>Breno</v>
      </c>
      <c r="H85" s="142" t="s">
        <v>295</v>
      </c>
      <c r="I85" s="49" t="s">
        <v>382</v>
      </c>
      <c r="J85" s="63" t="str">
        <f t="shared" si="2"/>
        <v>Não</v>
      </c>
      <c r="K85" s="467">
        <v>44860.0</v>
      </c>
      <c r="L85" s="81"/>
      <c r="M85" s="81" t="s">
        <v>1142</v>
      </c>
      <c r="N85" s="478">
        <v>0.008</v>
      </c>
      <c r="O85" s="63" t="s">
        <v>1143</v>
      </c>
      <c r="P85" s="145">
        <v>0.1</v>
      </c>
      <c r="Q85" s="70"/>
      <c r="R85" s="594"/>
      <c r="S85" s="62" t="s">
        <v>194</v>
      </c>
      <c r="T85" s="30" t="s">
        <v>4132</v>
      </c>
      <c r="U85" s="22" t="s">
        <v>221</v>
      </c>
      <c r="V85" s="49" t="str">
        <f t="shared" si="3"/>
        <v>Inativo</v>
      </c>
      <c r="W85" s="150"/>
      <c r="X85" s="150"/>
      <c r="Y85" s="30" t="s">
        <v>244</v>
      </c>
      <c r="Z85" s="81"/>
      <c r="AA85" s="467">
        <v>44860.0</v>
      </c>
      <c r="AB85" s="30">
        <v>4.9075100007284E13</v>
      </c>
      <c r="AC85" s="482"/>
      <c r="AD85" s="482"/>
      <c r="AE85" s="482"/>
      <c r="AF85" s="482"/>
      <c r="AG85" s="482"/>
      <c r="AH85" s="482"/>
      <c r="AI85" s="482"/>
      <c r="AJ85" s="482"/>
      <c r="AK85" s="482"/>
      <c r="AL85" s="482"/>
      <c r="AM85" s="482"/>
      <c r="AN85" s="482"/>
      <c r="AO85" s="482"/>
      <c r="AP85" s="546"/>
      <c r="AQ85" s="482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472"/>
      <c r="BH85" s="472"/>
      <c r="BI85" s="472"/>
      <c r="BJ85" s="472"/>
      <c r="BK85" s="472">
        <v>0.0</v>
      </c>
      <c r="BL85" s="472">
        <v>0.0</v>
      </c>
      <c r="BM85" s="472">
        <v>39675.6</v>
      </c>
      <c r="BN85" s="472">
        <v>39958.76</v>
      </c>
      <c r="BO85" s="472">
        <v>40273.54</v>
      </c>
      <c r="BP85" s="472">
        <v>40397.0</v>
      </c>
      <c r="BQ85" s="472">
        <v>40259.79</v>
      </c>
      <c r="BR85" s="472">
        <v>40785.99</v>
      </c>
      <c r="BS85" s="472">
        <v>42323.58</v>
      </c>
      <c r="BT85" s="472">
        <v>43018.58</v>
      </c>
      <c r="BU85" s="472">
        <v>43618.87</v>
      </c>
      <c r="BV85" s="472">
        <v>34839.42</v>
      </c>
      <c r="BW85" s="472">
        <v>4076.08</v>
      </c>
      <c r="BX85" s="472">
        <v>311.05</v>
      </c>
      <c r="BY85" s="472">
        <v>0.0</v>
      </c>
      <c r="BZ85" s="472">
        <v>0.0</v>
      </c>
      <c r="CA85" s="474">
        <v>0.0</v>
      </c>
      <c r="CB85" s="474">
        <v>0.0</v>
      </c>
      <c r="CC85" s="474">
        <v>0.0</v>
      </c>
      <c r="CD85" s="474">
        <v>0.0</v>
      </c>
      <c r="CE85" s="474">
        <v>0.0</v>
      </c>
      <c r="CF85" s="474">
        <v>0.0</v>
      </c>
      <c r="CG85" s="474">
        <v>0.0</v>
      </c>
      <c r="CH85" s="65">
        <v>0.0</v>
      </c>
      <c r="CI85" s="65">
        <v>0.0</v>
      </c>
      <c r="CJ85" s="65">
        <v>0.0</v>
      </c>
      <c r="CK85" s="65">
        <v>0.0</v>
      </c>
      <c r="CL85" s="65">
        <v>0.0</v>
      </c>
      <c r="CM85" s="65">
        <v>0.0</v>
      </c>
      <c r="CN85" s="65">
        <v>0.0</v>
      </c>
    </row>
    <row r="86" ht="15.75" customHeight="1">
      <c r="A86" s="462" t="s">
        <v>2346</v>
      </c>
      <c r="B86" s="477" t="s">
        <v>4142</v>
      </c>
      <c r="C86" s="141">
        <v>36371.0</v>
      </c>
      <c r="D86" s="63" t="s">
        <v>120</v>
      </c>
      <c r="E86" s="63" t="s">
        <v>91</v>
      </c>
      <c r="F86" s="63" t="s">
        <v>521</v>
      </c>
      <c r="G86" s="47" t="str">
        <f t="shared" si="1"/>
        <v>Breno</v>
      </c>
      <c r="H86" s="152" t="s">
        <v>295</v>
      </c>
      <c r="I86" s="49" t="s">
        <v>382</v>
      </c>
      <c r="J86" s="63" t="str">
        <f t="shared" si="2"/>
        <v>Sim</v>
      </c>
      <c r="K86" s="467">
        <v>44280.0</v>
      </c>
      <c r="L86" s="81"/>
      <c r="M86" s="81" t="s">
        <v>209</v>
      </c>
      <c r="N86" s="478">
        <v>0.015</v>
      </c>
      <c r="O86" s="63" t="s">
        <v>35</v>
      </c>
      <c r="P86" s="145">
        <v>0.1</v>
      </c>
      <c r="Q86" s="70" t="s">
        <v>4145</v>
      </c>
      <c r="R86" s="594"/>
      <c r="S86" s="62" t="s">
        <v>194</v>
      </c>
      <c r="T86" s="30" t="s">
        <v>4147</v>
      </c>
      <c r="U86" s="95" t="s">
        <v>221</v>
      </c>
      <c r="V86" s="49" t="str">
        <f t="shared" si="3"/>
        <v>Inativo</v>
      </c>
      <c r="W86" s="150"/>
      <c r="X86" s="150"/>
      <c r="Y86" s="30" t="s">
        <v>244</v>
      </c>
      <c r="Z86" s="81"/>
      <c r="AA86" s="467">
        <v>44280.0</v>
      </c>
      <c r="AB86" s="30">
        <v>4.9075100003408E13</v>
      </c>
      <c r="AC86" s="482"/>
      <c r="AD86" s="482"/>
      <c r="AE86" s="482"/>
      <c r="AF86" s="482"/>
      <c r="AG86" s="482"/>
      <c r="AH86" s="482"/>
      <c r="AI86" s="482"/>
      <c r="AJ86" s="482"/>
      <c r="AK86" s="482"/>
      <c r="AL86" s="482"/>
      <c r="AM86" s="482"/>
      <c r="AN86" s="482"/>
      <c r="AO86" s="482"/>
      <c r="AP86" s="546"/>
      <c r="AQ86" s="482"/>
      <c r="AR86" s="96">
        <v>512789.81</v>
      </c>
      <c r="AS86" s="96"/>
      <c r="AT86" s="96">
        <v>538868.86</v>
      </c>
      <c r="AU86" s="96">
        <v>543937.5</v>
      </c>
      <c r="AV86" s="96">
        <v>592485.14</v>
      </c>
      <c r="AW86" s="96">
        <v>602145.18</v>
      </c>
      <c r="AX86" s="96">
        <v>591402.11</v>
      </c>
      <c r="AY86" s="96">
        <v>446282.89</v>
      </c>
      <c r="AZ86" s="96">
        <v>468714.66</v>
      </c>
      <c r="BA86" s="96">
        <v>459506.17</v>
      </c>
      <c r="BB86" s="96">
        <v>426009.32</v>
      </c>
      <c r="BC86" s="96">
        <v>428946.08</v>
      </c>
      <c r="BD86" s="96">
        <v>419192.49</v>
      </c>
      <c r="BE86" s="96">
        <v>428070.28</v>
      </c>
      <c r="BF86" s="96">
        <v>423387.29</v>
      </c>
      <c r="BG86" s="472">
        <v>393028.39</v>
      </c>
      <c r="BH86" s="472">
        <v>381233.05</v>
      </c>
      <c r="BI86" s="472">
        <v>383182.09</v>
      </c>
      <c r="BJ86" s="472">
        <v>377398.37</v>
      </c>
      <c r="BK86" s="472">
        <v>379295.42</v>
      </c>
      <c r="BL86" s="472">
        <v>375972.35</v>
      </c>
      <c r="BM86" s="472">
        <v>370394.94</v>
      </c>
      <c r="BN86" s="472">
        <v>371623.42</v>
      </c>
      <c r="BO86" s="472">
        <v>374827.14</v>
      </c>
      <c r="BP86" s="472">
        <v>375505.34</v>
      </c>
      <c r="BQ86" s="472">
        <v>376390.88</v>
      </c>
      <c r="BR86" s="472">
        <v>379887.68</v>
      </c>
      <c r="BS86" s="472">
        <v>398999.22</v>
      </c>
      <c r="BT86" s="472">
        <v>406978.93</v>
      </c>
      <c r="BU86" s="472">
        <v>410930.95</v>
      </c>
      <c r="BV86" s="472">
        <v>416003.51</v>
      </c>
      <c r="BW86" s="472">
        <v>415253.36</v>
      </c>
      <c r="BX86" s="472">
        <v>19997.31</v>
      </c>
      <c r="BY86" s="472">
        <v>7.67</v>
      </c>
      <c r="BZ86" s="472">
        <v>7.67</v>
      </c>
      <c r="CA86" s="474">
        <v>0.0</v>
      </c>
      <c r="CB86" s="474">
        <v>0.0</v>
      </c>
      <c r="CC86" s="474">
        <v>0.0</v>
      </c>
      <c r="CD86" s="474">
        <v>0.0</v>
      </c>
      <c r="CE86" s="474">
        <v>0.0</v>
      </c>
      <c r="CF86" s="474">
        <v>0.0</v>
      </c>
      <c r="CG86" s="474">
        <v>0.0</v>
      </c>
      <c r="CH86" s="65">
        <v>0.0</v>
      </c>
      <c r="CI86" s="65">
        <v>0.0</v>
      </c>
      <c r="CJ86" s="65">
        <v>0.0</v>
      </c>
      <c r="CK86" s="65">
        <v>0.0</v>
      </c>
      <c r="CL86" s="65">
        <v>0.0</v>
      </c>
      <c r="CM86" s="65">
        <v>0.0</v>
      </c>
      <c r="CN86" s="65">
        <v>0.0</v>
      </c>
    </row>
    <row r="87" ht="15.75" customHeight="1">
      <c r="A87" s="462" t="s">
        <v>2346</v>
      </c>
      <c r="B87" s="176" t="s">
        <v>4142</v>
      </c>
      <c r="C87" s="141">
        <v>560488.0</v>
      </c>
      <c r="D87" s="63" t="s">
        <v>120</v>
      </c>
      <c r="E87" s="63" t="s">
        <v>91</v>
      </c>
      <c r="F87" s="63" t="s">
        <v>521</v>
      </c>
      <c r="G87" s="47" t="str">
        <f t="shared" si="1"/>
        <v>Breno</v>
      </c>
      <c r="H87" s="142" t="s">
        <v>295</v>
      </c>
      <c r="I87" s="49" t="s">
        <v>382</v>
      </c>
      <c r="J87" s="63" t="str">
        <f t="shared" si="2"/>
        <v>Não</v>
      </c>
      <c r="K87" s="194">
        <v>44607.0</v>
      </c>
      <c r="L87" s="81"/>
      <c r="M87" s="81" t="s">
        <v>61</v>
      </c>
      <c r="N87" s="478">
        <v>0.007</v>
      </c>
      <c r="O87" s="141" t="s">
        <v>66</v>
      </c>
      <c r="P87" s="145">
        <v>0.0</v>
      </c>
      <c r="Q87" s="158"/>
      <c r="R87" s="158"/>
      <c r="S87" s="62" t="s">
        <v>194</v>
      </c>
      <c r="T87" s="22" t="s">
        <v>4147</v>
      </c>
      <c r="U87" s="95" t="s">
        <v>221</v>
      </c>
      <c r="V87" s="49" t="str">
        <f t="shared" si="3"/>
        <v>Inativo</v>
      </c>
      <c r="W87" s="150"/>
      <c r="X87" s="150"/>
      <c r="Y87" s="30" t="s">
        <v>244</v>
      </c>
      <c r="Z87" s="81"/>
      <c r="AA87" s="467">
        <v>44607.0</v>
      </c>
      <c r="AB87" s="30">
        <v>4.9075100010501E13</v>
      </c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546"/>
      <c r="AP87" s="546"/>
      <c r="AQ87" s="96"/>
      <c r="AR87" s="96"/>
      <c r="AS87" s="96"/>
      <c r="AT87" s="96"/>
      <c r="AU87" s="96"/>
      <c r="AV87" s="482"/>
      <c r="AW87" s="482"/>
      <c r="AX87" s="482"/>
      <c r="AY87" s="96"/>
      <c r="AZ87" s="96"/>
      <c r="BA87" s="96"/>
      <c r="BB87" s="96"/>
      <c r="BC87" s="96"/>
      <c r="BD87" s="96">
        <v>20017.61</v>
      </c>
      <c r="BE87" s="96">
        <v>10139.37</v>
      </c>
      <c r="BF87" s="96">
        <v>10179.95</v>
      </c>
      <c r="BG87" s="472">
        <v>10257.32</v>
      </c>
      <c r="BH87" s="472">
        <v>10331.93</v>
      </c>
      <c r="BI87" s="472">
        <v>10415.53</v>
      </c>
      <c r="BJ87" s="472">
        <v>10523.57</v>
      </c>
      <c r="BK87" s="472">
        <v>10617.92</v>
      </c>
      <c r="BL87" s="472">
        <v>375972.35</v>
      </c>
      <c r="BM87" s="472">
        <v>10793.59</v>
      </c>
      <c r="BN87" s="472">
        <v>10882.8</v>
      </c>
      <c r="BO87" s="472">
        <v>10989.37</v>
      </c>
      <c r="BP87" s="472">
        <v>11095.4</v>
      </c>
      <c r="BQ87" s="472">
        <v>11208.33</v>
      </c>
      <c r="BR87" s="472">
        <v>11284.42</v>
      </c>
      <c r="BS87" s="472">
        <v>54.0</v>
      </c>
      <c r="BT87" s="472">
        <v>0.0</v>
      </c>
      <c r="BU87" s="472">
        <v>0.0</v>
      </c>
      <c r="BV87" s="472">
        <v>0.0</v>
      </c>
      <c r="BW87" s="472">
        <v>0.0</v>
      </c>
      <c r="BX87" s="472">
        <v>0.0</v>
      </c>
      <c r="BY87" s="472">
        <v>0.0</v>
      </c>
      <c r="BZ87" s="472">
        <v>0.0</v>
      </c>
      <c r="CA87" s="474">
        <v>0.0</v>
      </c>
      <c r="CB87" s="474">
        <v>0.0</v>
      </c>
      <c r="CC87" s="474">
        <v>0.0</v>
      </c>
      <c r="CD87" s="474">
        <v>0.0</v>
      </c>
      <c r="CE87" s="474">
        <v>0.0</v>
      </c>
      <c r="CF87" s="474">
        <v>0.0</v>
      </c>
      <c r="CG87" s="474">
        <v>0.0</v>
      </c>
      <c r="CH87" s="65">
        <v>0.0</v>
      </c>
      <c r="CI87" s="65">
        <v>0.0</v>
      </c>
      <c r="CJ87" s="65">
        <v>0.0</v>
      </c>
      <c r="CK87" s="65">
        <v>0.0</v>
      </c>
      <c r="CL87" s="65">
        <v>0.0</v>
      </c>
      <c r="CM87" s="65">
        <v>0.0</v>
      </c>
      <c r="CN87" s="65">
        <v>0.0</v>
      </c>
    </row>
    <row r="88" ht="15.75" customHeight="1">
      <c r="A88" s="462" t="s">
        <v>2346</v>
      </c>
      <c r="B88" s="462" t="s">
        <v>4161</v>
      </c>
      <c r="C88" s="141">
        <v>266130.0</v>
      </c>
      <c r="D88" s="63" t="s">
        <v>120</v>
      </c>
      <c r="E88" s="63" t="s">
        <v>199</v>
      </c>
      <c r="F88" s="63" t="s">
        <v>439</v>
      </c>
      <c r="G88" s="47" t="str">
        <f t="shared" si="1"/>
        <v>Breno</v>
      </c>
      <c r="H88" s="142" t="s">
        <v>295</v>
      </c>
      <c r="I88" s="49" t="s">
        <v>382</v>
      </c>
      <c r="J88" s="63" t="str">
        <f t="shared" si="2"/>
        <v>Não</v>
      </c>
      <c r="K88" s="479">
        <v>43416.0</v>
      </c>
      <c r="L88" s="81"/>
      <c r="M88" s="81" t="s">
        <v>231</v>
      </c>
      <c r="N88" s="464">
        <v>0.03</v>
      </c>
      <c r="O88" s="141" t="s">
        <v>233</v>
      </c>
      <c r="P88" s="145">
        <v>0.2</v>
      </c>
      <c r="Q88" s="158"/>
      <c r="R88" s="158"/>
      <c r="S88" s="62" t="s">
        <v>234</v>
      </c>
      <c r="T88" s="141" t="s">
        <v>4164</v>
      </c>
      <c r="U88" s="30" t="s">
        <v>475</v>
      </c>
      <c r="V88" s="49" t="str">
        <f t="shared" si="3"/>
        <v>Inativo</v>
      </c>
      <c r="W88" s="150"/>
      <c r="X88" s="150"/>
      <c r="Y88" s="30" t="s">
        <v>244</v>
      </c>
      <c r="Z88" s="81"/>
      <c r="AA88" s="480">
        <v>43416.0</v>
      </c>
      <c r="AB88" s="30">
        <v>4.9075100010511E13</v>
      </c>
      <c r="AC88" s="96">
        <v>1138641.22</v>
      </c>
      <c r="AD88" s="96">
        <v>1094686.42</v>
      </c>
      <c r="AE88" s="96">
        <v>818793.98</v>
      </c>
      <c r="AF88" s="96">
        <v>870567.24</v>
      </c>
      <c r="AG88" s="96">
        <v>907502.14</v>
      </c>
      <c r="AH88" s="96">
        <v>966283.14</v>
      </c>
      <c r="AI88" s="96">
        <v>1014990.17</v>
      </c>
      <c r="AJ88" s="96">
        <v>950118.82</v>
      </c>
      <c r="AK88" s="96">
        <v>895770.18</v>
      </c>
      <c r="AL88" s="96">
        <v>903602.37</v>
      </c>
      <c r="AM88" s="96">
        <v>1040533.67</v>
      </c>
      <c r="AN88" s="96">
        <v>1105232.33</v>
      </c>
      <c r="AO88" s="546">
        <v>387296.5</v>
      </c>
      <c r="AP88" s="546">
        <v>359512.5</v>
      </c>
      <c r="AQ88" s="96">
        <v>351795.85</v>
      </c>
      <c r="AR88" s="96">
        <v>5567.24</v>
      </c>
      <c r="AS88" s="96"/>
      <c r="AT88" s="96"/>
      <c r="AU88" s="96"/>
      <c r="AV88" s="482"/>
      <c r="AW88" s="482"/>
      <c r="AX88" s="482"/>
      <c r="AY88" s="96"/>
      <c r="AZ88" s="96"/>
      <c r="BA88" s="96"/>
      <c r="BB88" s="96"/>
      <c r="BC88" s="96"/>
      <c r="BD88" s="96">
        <v>0.0</v>
      </c>
      <c r="BE88" s="96">
        <v>0.0</v>
      </c>
      <c r="BF88" s="96">
        <v>0.0</v>
      </c>
      <c r="BG88" s="472" t="s">
        <v>377</v>
      </c>
      <c r="BH88" s="472">
        <v>0.0</v>
      </c>
      <c r="BI88" s="472" t="s">
        <v>377</v>
      </c>
      <c r="BJ88" s="472">
        <v>0.0</v>
      </c>
      <c r="BK88" s="472">
        <v>0.0</v>
      </c>
      <c r="BL88" s="472">
        <v>0.0</v>
      </c>
      <c r="BM88" s="472">
        <v>0.0</v>
      </c>
      <c r="BN88" s="472">
        <v>0.0</v>
      </c>
      <c r="BO88" s="472">
        <v>0.0</v>
      </c>
      <c r="BP88" s="472">
        <v>0.0</v>
      </c>
      <c r="BQ88" s="472">
        <v>0.0</v>
      </c>
      <c r="BR88" s="472">
        <v>0.0</v>
      </c>
      <c r="BS88" s="472">
        <v>0.0</v>
      </c>
      <c r="BT88" s="472">
        <v>0.0</v>
      </c>
      <c r="BU88" s="472">
        <v>0.0</v>
      </c>
      <c r="BV88" s="472">
        <v>0.0</v>
      </c>
      <c r="BW88" s="472">
        <v>0.0</v>
      </c>
      <c r="BX88" s="472">
        <v>0.0</v>
      </c>
      <c r="BY88" s="472">
        <v>0.0</v>
      </c>
      <c r="BZ88" s="472">
        <v>0.0</v>
      </c>
      <c r="CA88" s="474">
        <v>0.0</v>
      </c>
      <c r="CB88" s="474">
        <v>0.0</v>
      </c>
      <c r="CC88" s="474">
        <v>0.0</v>
      </c>
      <c r="CD88" s="474">
        <v>0.0</v>
      </c>
      <c r="CE88" s="474">
        <v>0.0</v>
      </c>
      <c r="CF88" s="474">
        <v>0.0</v>
      </c>
      <c r="CG88" s="474">
        <v>0.0</v>
      </c>
      <c r="CH88" s="65">
        <v>0.0</v>
      </c>
      <c r="CI88" s="65">
        <v>0.0</v>
      </c>
      <c r="CJ88" s="65">
        <v>0.0</v>
      </c>
      <c r="CK88" s="65">
        <v>0.0</v>
      </c>
      <c r="CL88" s="65">
        <v>0.0</v>
      </c>
      <c r="CM88" s="65">
        <v>0.0</v>
      </c>
      <c r="CN88" s="65">
        <v>0.0</v>
      </c>
    </row>
    <row r="89" ht="15.75" customHeight="1">
      <c r="A89" s="462" t="s">
        <v>2346</v>
      </c>
      <c r="B89" s="477" t="s">
        <v>4170</v>
      </c>
      <c r="C89" s="141">
        <v>452899.0</v>
      </c>
      <c r="D89" s="63" t="s">
        <v>120</v>
      </c>
      <c r="E89" s="63" t="s">
        <v>91</v>
      </c>
      <c r="F89" s="81" t="s">
        <v>521</v>
      </c>
      <c r="G89" s="47" t="str">
        <f t="shared" si="1"/>
        <v>Breno</v>
      </c>
      <c r="H89" s="152" t="s">
        <v>224</v>
      </c>
      <c r="I89" s="74" t="s">
        <v>66</v>
      </c>
      <c r="J89" s="63" t="str">
        <f t="shared" si="2"/>
        <v>Não</v>
      </c>
      <c r="K89" s="467">
        <v>44263.0</v>
      </c>
      <c r="L89" s="467">
        <v>44676.0</v>
      </c>
      <c r="M89" s="81" t="s">
        <v>231</v>
      </c>
      <c r="N89" s="478">
        <v>0.025</v>
      </c>
      <c r="O89" s="141" t="s">
        <v>233</v>
      </c>
      <c r="P89" s="145">
        <v>0.2</v>
      </c>
      <c r="Q89" s="158"/>
      <c r="R89" s="158"/>
      <c r="S89" s="62" t="s">
        <v>194</v>
      </c>
      <c r="T89" s="30" t="s">
        <v>4172</v>
      </c>
      <c r="U89" s="95" t="s">
        <v>221</v>
      </c>
      <c r="V89" s="49" t="str">
        <f t="shared" si="3"/>
        <v>Encerrado</v>
      </c>
      <c r="W89" s="150"/>
      <c r="X89" s="150"/>
      <c r="Y89" s="30" t="s">
        <v>244</v>
      </c>
      <c r="Z89" s="81"/>
      <c r="AA89" s="81"/>
      <c r="AB89" s="30"/>
      <c r="AC89" s="482"/>
      <c r="AD89" s="482"/>
      <c r="AE89" s="482"/>
      <c r="AF89" s="482"/>
      <c r="AG89" s="482"/>
      <c r="AH89" s="482"/>
      <c r="AI89" s="482"/>
      <c r="AJ89" s="482"/>
      <c r="AK89" s="482"/>
      <c r="AL89" s="482"/>
      <c r="AM89" s="482"/>
      <c r="AN89" s="482"/>
      <c r="AO89" s="482"/>
      <c r="AP89" s="96"/>
      <c r="AQ89" s="96">
        <v>1038443.86</v>
      </c>
      <c r="AR89" s="96">
        <v>1092368.37</v>
      </c>
      <c r="AS89" s="96"/>
      <c r="AT89" s="96">
        <v>1105735.12</v>
      </c>
      <c r="AU89" s="96">
        <v>1154870.76</v>
      </c>
      <c r="AV89" s="96">
        <v>1139672.54</v>
      </c>
      <c r="AW89" s="96">
        <v>1107838.97</v>
      </c>
      <c r="AX89" s="96">
        <v>1054657.53</v>
      </c>
      <c r="AY89" s="96">
        <v>1010483.47</v>
      </c>
      <c r="AZ89" s="96">
        <v>952448.24</v>
      </c>
      <c r="BA89" s="96">
        <v>927353.75</v>
      </c>
      <c r="BB89" s="96">
        <v>926457.6</v>
      </c>
      <c r="BC89" s="96">
        <v>978740.3</v>
      </c>
      <c r="BD89" s="96">
        <v>988383.63</v>
      </c>
      <c r="BE89" s="96">
        <v>1056989.49</v>
      </c>
      <c r="BF89" s="96">
        <v>2200.0</v>
      </c>
      <c r="BG89" s="505" t="s">
        <v>377</v>
      </c>
      <c r="BH89" s="96">
        <v>0.0</v>
      </c>
      <c r="BI89" s="96" t="s">
        <v>377</v>
      </c>
      <c r="BJ89" s="96">
        <v>0.0</v>
      </c>
      <c r="BK89" s="472">
        <v>0.0</v>
      </c>
      <c r="BL89" s="472">
        <v>0.0</v>
      </c>
      <c r="BM89" s="472">
        <v>0.0</v>
      </c>
      <c r="BN89" s="472">
        <v>0.0</v>
      </c>
      <c r="BO89" s="472">
        <v>0.0</v>
      </c>
      <c r="BP89" s="472">
        <v>0.0</v>
      </c>
      <c r="BQ89" s="472">
        <v>0.0</v>
      </c>
      <c r="BR89" s="472">
        <v>0.0</v>
      </c>
      <c r="BS89" s="472">
        <v>0.0</v>
      </c>
      <c r="BT89" s="472">
        <v>0.0</v>
      </c>
      <c r="BU89" s="472">
        <v>0.0</v>
      </c>
      <c r="BV89" s="472">
        <v>0.0</v>
      </c>
      <c r="BW89" s="472">
        <v>0.0</v>
      </c>
      <c r="BX89" s="472">
        <v>0.0</v>
      </c>
      <c r="BY89" s="472">
        <v>0.0</v>
      </c>
      <c r="BZ89" s="472">
        <v>0.0</v>
      </c>
      <c r="CA89" s="474">
        <v>0.0</v>
      </c>
      <c r="CB89" s="474">
        <v>0.0</v>
      </c>
      <c r="CC89" s="474">
        <v>0.0</v>
      </c>
      <c r="CD89" s="474">
        <v>0.0</v>
      </c>
      <c r="CE89" s="474">
        <v>0.0</v>
      </c>
      <c r="CF89" s="474">
        <v>0.0</v>
      </c>
      <c r="CG89" s="474">
        <v>0.0</v>
      </c>
      <c r="CH89" s="65">
        <v>0.0</v>
      </c>
      <c r="CI89" s="65">
        <v>0.0</v>
      </c>
      <c r="CJ89" s="65">
        <v>0.0</v>
      </c>
      <c r="CK89" s="65">
        <v>0.0</v>
      </c>
      <c r="CL89" s="65">
        <v>0.0</v>
      </c>
      <c r="CM89" s="65">
        <v>0.0</v>
      </c>
      <c r="CN89" s="65">
        <v>0.0</v>
      </c>
    </row>
    <row r="90" ht="15.75" customHeight="1">
      <c r="A90" s="462" t="s">
        <v>2346</v>
      </c>
      <c r="B90" s="510" t="s">
        <v>4185</v>
      </c>
      <c r="C90" s="141">
        <v>467488.0</v>
      </c>
      <c r="D90" s="63" t="s">
        <v>669</v>
      </c>
      <c r="E90" s="63" t="s">
        <v>199</v>
      </c>
      <c r="F90" s="81" t="s">
        <v>669</v>
      </c>
      <c r="G90" s="47" t="str">
        <f t="shared" si="1"/>
        <v>Breno</v>
      </c>
      <c r="H90" s="152" t="s">
        <v>224</v>
      </c>
      <c r="I90" s="74" t="s">
        <v>66</v>
      </c>
      <c r="J90" s="63" t="str">
        <f t="shared" si="2"/>
        <v>Não</v>
      </c>
      <c r="K90" s="480">
        <v>44124.0</v>
      </c>
      <c r="L90" s="480">
        <v>44482.0</v>
      </c>
      <c r="M90" s="81" t="s">
        <v>209</v>
      </c>
      <c r="N90" s="478">
        <v>0.015</v>
      </c>
      <c r="O90" s="63" t="s">
        <v>35</v>
      </c>
      <c r="P90" s="145">
        <v>0.1</v>
      </c>
      <c r="Q90" s="158"/>
      <c r="R90" s="158"/>
      <c r="S90" s="62" t="s">
        <v>234</v>
      </c>
      <c r="T90" s="30" t="s">
        <v>4188</v>
      </c>
      <c r="U90" s="81" t="s">
        <v>199</v>
      </c>
      <c r="V90" s="49" t="str">
        <f t="shared" si="3"/>
        <v>Encerrado</v>
      </c>
      <c r="W90" s="150"/>
      <c r="X90" s="150"/>
      <c r="Y90" s="30" t="s">
        <v>244</v>
      </c>
      <c r="Z90" s="81"/>
      <c r="AA90" s="81"/>
      <c r="AB90" s="30"/>
      <c r="AC90" s="482"/>
      <c r="AD90" s="482"/>
      <c r="AE90" s="482"/>
      <c r="AF90" s="96"/>
      <c r="AG90" s="96"/>
      <c r="AH90" s="482"/>
      <c r="AI90" s="482"/>
      <c r="AJ90" s="482"/>
      <c r="AK90" s="96">
        <v>0.0</v>
      </c>
      <c r="AL90" s="96">
        <v>98242.31</v>
      </c>
      <c r="AM90" s="96">
        <v>105864.77</v>
      </c>
      <c r="AN90" s="96">
        <v>109243.45</v>
      </c>
      <c r="AO90" s="96">
        <v>106839.47</v>
      </c>
      <c r="AP90" s="96">
        <v>393554.66</v>
      </c>
      <c r="AQ90" s="96">
        <v>389651.18</v>
      </c>
      <c r="AR90" s="96">
        <v>402036.27</v>
      </c>
      <c r="AS90" s="96">
        <v>403878.26</v>
      </c>
      <c r="AT90" s="96">
        <v>405479.42</v>
      </c>
      <c r="AU90" s="96">
        <v>102940.98</v>
      </c>
      <c r="AV90" s="96">
        <v>2965.97</v>
      </c>
      <c r="AW90" s="96">
        <v>2983.82</v>
      </c>
      <c r="AX90" s="96">
        <v>3048.9</v>
      </c>
      <c r="AY90" s="96">
        <v>3049.18</v>
      </c>
      <c r="AZ90" s="96">
        <v>-0.56</v>
      </c>
      <c r="BA90" s="96">
        <v>54.93</v>
      </c>
      <c r="BB90" s="96">
        <v>538.77</v>
      </c>
      <c r="BC90" s="96">
        <v>602.03</v>
      </c>
      <c r="BD90" s="96">
        <v>602.03</v>
      </c>
      <c r="BE90" s="96">
        <v>602.03</v>
      </c>
      <c r="BF90" s="96">
        <v>602.03</v>
      </c>
      <c r="BG90" s="505" t="s">
        <v>377</v>
      </c>
      <c r="BH90" s="96">
        <v>0.0</v>
      </c>
      <c r="BI90" s="96" t="s">
        <v>377</v>
      </c>
      <c r="BJ90" s="96">
        <v>0.0</v>
      </c>
      <c r="BK90" s="472">
        <v>0.0</v>
      </c>
      <c r="BL90" s="472">
        <v>0.0</v>
      </c>
      <c r="BM90" s="472">
        <v>0.0</v>
      </c>
      <c r="BN90" s="472">
        <v>0.0</v>
      </c>
      <c r="BO90" s="472">
        <v>0.0</v>
      </c>
      <c r="BP90" s="472">
        <v>0.0</v>
      </c>
      <c r="BQ90" s="472">
        <v>0.0</v>
      </c>
      <c r="BR90" s="472">
        <v>0.0</v>
      </c>
      <c r="BS90" s="472">
        <v>0.0</v>
      </c>
      <c r="BT90" s="472">
        <v>0.0</v>
      </c>
      <c r="BU90" s="472">
        <v>0.0</v>
      </c>
      <c r="BV90" s="472">
        <v>0.0</v>
      </c>
      <c r="BW90" s="472">
        <v>0.0</v>
      </c>
      <c r="BX90" s="472">
        <v>0.0</v>
      </c>
      <c r="BY90" s="472">
        <v>0.0</v>
      </c>
      <c r="BZ90" s="472">
        <v>0.0</v>
      </c>
      <c r="CA90" s="474">
        <v>0.0</v>
      </c>
      <c r="CB90" s="474">
        <v>0.0</v>
      </c>
      <c r="CC90" s="474">
        <v>0.0</v>
      </c>
      <c r="CD90" s="474">
        <v>0.0</v>
      </c>
      <c r="CE90" s="474">
        <v>0.0</v>
      </c>
      <c r="CF90" s="474">
        <v>0.0</v>
      </c>
      <c r="CG90" s="474">
        <v>0.0</v>
      </c>
      <c r="CH90" s="65">
        <v>0.0</v>
      </c>
      <c r="CI90" s="65">
        <v>0.0</v>
      </c>
      <c r="CJ90" s="65">
        <v>0.0</v>
      </c>
      <c r="CK90" s="65">
        <v>0.0</v>
      </c>
      <c r="CL90" s="65">
        <v>0.0</v>
      </c>
      <c r="CM90" s="65">
        <v>0.0</v>
      </c>
      <c r="CN90" s="65">
        <v>0.0</v>
      </c>
    </row>
    <row r="91" ht="15.75" customHeight="1">
      <c r="A91" s="462" t="s">
        <v>2346</v>
      </c>
      <c r="B91" s="510" t="s">
        <v>4195</v>
      </c>
      <c r="C91" s="141">
        <v>467483.0</v>
      </c>
      <c r="D91" s="63" t="s">
        <v>669</v>
      </c>
      <c r="E91" s="63" t="s">
        <v>199</v>
      </c>
      <c r="F91" s="81" t="s">
        <v>669</v>
      </c>
      <c r="G91" s="47" t="str">
        <f t="shared" si="1"/>
        <v>Breno</v>
      </c>
      <c r="H91" s="152" t="s">
        <v>224</v>
      </c>
      <c r="I91" s="74" t="s">
        <v>66</v>
      </c>
      <c r="J91" s="63" t="str">
        <f t="shared" si="2"/>
        <v>Não</v>
      </c>
      <c r="K91" s="480">
        <v>44118.0</v>
      </c>
      <c r="L91" s="480">
        <v>44482.0</v>
      </c>
      <c r="M91" s="81" t="s">
        <v>209</v>
      </c>
      <c r="N91" s="478">
        <v>0.015</v>
      </c>
      <c r="O91" s="63" t="s">
        <v>35</v>
      </c>
      <c r="P91" s="145">
        <v>0.1</v>
      </c>
      <c r="Q91" s="158"/>
      <c r="R91" s="158"/>
      <c r="S91" s="62" t="s">
        <v>234</v>
      </c>
      <c r="T91" s="30" t="s">
        <v>1739</v>
      </c>
      <c r="U91" s="81" t="s">
        <v>199</v>
      </c>
      <c r="V91" s="49" t="str">
        <f t="shared" si="3"/>
        <v>Encerrado</v>
      </c>
      <c r="W91" s="150"/>
      <c r="X91" s="150"/>
      <c r="Y91" s="30" t="s">
        <v>244</v>
      </c>
      <c r="Z91" s="81"/>
      <c r="AA91" s="81"/>
      <c r="AB91" s="30"/>
      <c r="AC91" s="482"/>
      <c r="AD91" s="482"/>
      <c r="AE91" s="482"/>
      <c r="AF91" s="96"/>
      <c r="AG91" s="96"/>
      <c r="AH91" s="482"/>
      <c r="AI91" s="482"/>
      <c r="AJ91" s="482"/>
      <c r="AK91" s="96">
        <v>0.0</v>
      </c>
      <c r="AL91" s="96">
        <v>98847.86</v>
      </c>
      <c r="AM91" s="96">
        <v>102801.87</v>
      </c>
      <c r="AN91" s="96">
        <v>104422.97</v>
      </c>
      <c r="AO91" s="96">
        <v>103605.01</v>
      </c>
      <c r="AP91" s="96">
        <v>100627.67</v>
      </c>
      <c r="AQ91" s="96">
        <v>99788.99</v>
      </c>
      <c r="AR91" s="96">
        <v>103024.54</v>
      </c>
      <c r="AS91" s="96">
        <v>103360.58</v>
      </c>
      <c r="AT91" s="96">
        <v>103664.69</v>
      </c>
      <c r="AU91" s="96">
        <v>870.26</v>
      </c>
      <c r="AV91" s="96">
        <v>670.03</v>
      </c>
      <c r="AW91" s="96">
        <v>670.03</v>
      </c>
      <c r="AX91" s="96">
        <v>693.98</v>
      </c>
      <c r="AY91" s="96">
        <v>693.98</v>
      </c>
      <c r="AZ91" s="96"/>
      <c r="BA91" s="96">
        <v>13.53</v>
      </c>
      <c r="BB91" s="96">
        <v>133.77</v>
      </c>
      <c r="BC91" s="96">
        <v>146.9</v>
      </c>
      <c r="BD91" s="96">
        <v>146.9</v>
      </c>
      <c r="BE91" s="96">
        <v>146.9</v>
      </c>
      <c r="BF91" s="96">
        <v>146.9</v>
      </c>
      <c r="BG91" s="505" t="s">
        <v>377</v>
      </c>
      <c r="BH91" s="96">
        <v>0.0</v>
      </c>
      <c r="BI91" s="96" t="s">
        <v>377</v>
      </c>
      <c r="BJ91" s="96">
        <v>0.0</v>
      </c>
      <c r="BK91" s="472">
        <v>0.0</v>
      </c>
      <c r="BL91" s="472">
        <v>0.0</v>
      </c>
      <c r="BM91" s="472">
        <v>0.0</v>
      </c>
      <c r="BN91" s="472">
        <v>0.0</v>
      </c>
      <c r="BO91" s="472">
        <v>0.0</v>
      </c>
      <c r="BP91" s="472">
        <v>0.0</v>
      </c>
      <c r="BQ91" s="472">
        <v>0.0</v>
      </c>
      <c r="BR91" s="472">
        <v>0.0</v>
      </c>
      <c r="BS91" s="472">
        <v>0.0</v>
      </c>
      <c r="BT91" s="472">
        <v>0.0</v>
      </c>
      <c r="BU91" s="472">
        <v>0.0</v>
      </c>
      <c r="BV91" s="472">
        <v>0.0</v>
      </c>
      <c r="BW91" s="472">
        <v>0.0</v>
      </c>
      <c r="BX91" s="472">
        <v>0.0</v>
      </c>
      <c r="BY91" s="472">
        <v>0.0</v>
      </c>
      <c r="BZ91" s="472">
        <v>0.0</v>
      </c>
      <c r="CA91" s="474">
        <v>0.0</v>
      </c>
      <c r="CB91" s="474">
        <v>0.0</v>
      </c>
      <c r="CC91" s="474">
        <v>0.0</v>
      </c>
      <c r="CD91" s="474">
        <v>0.0</v>
      </c>
      <c r="CE91" s="474">
        <v>0.0</v>
      </c>
      <c r="CF91" s="474">
        <v>0.0</v>
      </c>
      <c r="CG91" s="474">
        <v>0.0</v>
      </c>
      <c r="CH91" s="65">
        <v>0.0</v>
      </c>
      <c r="CI91" s="65">
        <v>0.0</v>
      </c>
      <c r="CJ91" s="65">
        <v>0.0</v>
      </c>
      <c r="CK91" s="65">
        <v>0.0</v>
      </c>
      <c r="CL91" s="65">
        <v>0.0</v>
      </c>
      <c r="CM91" s="65">
        <v>0.0</v>
      </c>
      <c r="CN91" s="65">
        <v>0.0</v>
      </c>
    </row>
    <row r="92" ht="15.75" customHeight="1">
      <c r="A92" s="462" t="s">
        <v>2346</v>
      </c>
      <c r="B92" s="510" t="s">
        <v>4207</v>
      </c>
      <c r="C92" s="141">
        <v>32091.0</v>
      </c>
      <c r="D92" s="63" t="s">
        <v>120</v>
      </c>
      <c r="E92" s="63" t="s">
        <v>91</v>
      </c>
      <c r="F92" s="81" t="s">
        <v>521</v>
      </c>
      <c r="G92" s="47" t="str">
        <f t="shared" si="1"/>
        <v>Breno</v>
      </c>
      <c r="H92" s="152" t="s">
        <v>224</v>
      </c>
      <c r="I92" s="74" t="s">
        <v>66</v>
      </c>
      <c r="J92" s="63" t="str">
        <f t="shared" si="2"/>
        <v>Não</v>
      </c>
      <c r="K92" s="480">
        <v>44328.0</v>
      </c>
      <c r="L92" s="480">
        <v>44701.0</v>
      </c>
      <c r="M92" s="81" t="s">
        <v>209</v>
      </c>
      <c r="N92" s="478">
        <v>0.015</v>
      </c>
      <c r="O92" s="63" t="s">
        <v>35</v>
      </c>
      <c r="P92" s="145">
        <v>0.1</v>
      </c>
      <c r="Q92" s="70"/>
      <c r="R92" s="70"/>
      <c r="S92" s="62" t="s">
        <v>194</v>
      </c>
      <c r="T92" s="30" t="s">
        <v>4212</v>
      </c>
      <c r="U92" s="95" t="s">
        <v>221</v>
      </c>
      <c r="V92" s="49" t="str">
        <f t="shared" si="3"/>
        <v>Encerrado</v>
      </c>
      <c r="W92" s="150"/>
      <c r="X92" s="150"/>
      <c r="Y92" s="30" t="s">
        <v>244</v>
      </c>
      <c r="Z92" s="81"/>
      <c r="AA92" s="81"/>
      <c r="AB92" s="30"/>
      <c r="AC92" s="476"/>
      <c r="AD92" s="476"/>
      <c r="AE92" s="476"/>
      <c r="AF92" s="476"/>
      <c r="AG92" s="476"/>
      <c r="AH92" s="476"/>
      <c r="AI92" s="476"/>
      <c r="AJ92" s="476"/>
      <c r="AK92" s="476"/>
      <c r="AL92" s="476"/>
      <c r="AM92" s="476"/>
      <c r="AN92" s="476"/>
      <c r="AO92" s="476"/>
      <c r="AP92" s="96"/>
      <c r="AQ92" s="96"/>
      <c r="AR92" s="96"/>
      <c r="AS92" s="96"/>
      <c r="AT92" s="96"/>
      <c r="AU92" s="96">
        <v>601379.44</v>
      </c>
      <c r="AV92" s="96">
        <v>320167.31</v>
      </c>
      <c r="AW92" s="96">
        <v>316991.36</v>
      </c>
      <c r="AX92" s="96">
        <v>240895.03</v>
      </c>
      <c r="AY92" s="96">
        <v>145454.98</v>
      </c>
      <c r="AZ92" s="96">
        <v>142365.03</v>
      </c>
      <c r="BA92" s="96">
        <v>95266.49</v>
      </c>
      <c r="BB92" s="96">
        <v>73406.35</v>
      </c>
      <c r="BC92" s="96">
        <v>76523.59</v>
      </c>
      <c r="BD92" s="96">
        <v>73024.67</v>
      </c>
      <c r="BE92" s="96">
        <v>58334.69</v>
      </c>
      <c r="BF92" s="96">
        <v>55977.49</v>
      </c>
      <c r="BG92" s="96" t="s">
        <v>377</v>
      </c>
      <c r="BH92" s="96">
        <v>0.0</v>
      </c>
      <c r="BI92" s="96" t="s">
        <v>377</v>
      </c>
      <c r="BJ92" s="96">
        <v>0.0</v>
      </c>
      <c r="BK92" s="472">
        <v>0.0</v>
      </c>
      <c r="BL92" s="472">
        <v>0.0</v>
      </c>
      <c r="BM92" s="472">
        <v>0.0</v>
      </c>
      <c r="BN92" s="472">
        <v>0.0</v>
      </c>
      <c r="BO92" s="472">
        <v>0.0</v>
      </c>
      <c r="BP92" s="472">
        <v>0.0</v>
      </c>
      <c r="BQ92" s="472">
        <v>0.0</v>
      </c>
      <c r="BR92" s="472">
        <v>0.0</v>
      </c>
      <c r="BS92" s="472">
        <v>0.0</v>
      </c>
      <c r="BT92" s="472">
        <v>0.0</v>
      </c>
      <c r="BU92" s="472">
        <v>0.0</v>
      </c>
      <c r="BV92" s="472">
        <v>0.0</v>
      </c>
      <c r="BW92" s="472">
        <v>0.0</v>
      </c>
      <c r="BX92" s="472">
        <v>0.0</v>
      </c>
      <c r="BY92" s="472">
        <v>0.0</v>
      </c>
      <c r="BZ92" s="472">
        <v>0.0</v>
      </c>
      <c r="CA92" s="474">
        <v>0.0</v>
      </c>
      <c r="CB92" s="474">
        <v>0.0</v>
      </c>
      <c r="CC92" s="474">
        <v>0.0</v>
      </c>
      <c r="CD92" s="474">
        <v>0.0</v>
      </c>
      <c r="CE92" s="474">
        <v>0.0</v>
      </c>
      <c r="CF92" s="474">
        <v>0.0</v>
      </c>
      <c r="CG92" s="474">
        <v>0.0</v>
      </c>
      <c r="CH92" s="65">
        <v>0.0</v>
      </c>
      <c r="CI92" s="65">
        <v>0.0</v>
      </c>
      <c r="CJ92" s="65">
        <v>0.0</v>
      </c>
      <c r="CK92" s="65">
        <v>0.0</v>
      </c>
      <c r="CL92" s="65">
        <v>0.0</v>
      </c>
      <c r="CM92" s="65">
        <v>0.0</v>
      </c>
      <c r="CN92" s="65">
        <v>0.0</v>
      </c>
    </row>
    <row r="93" ht="15.75" customHeight="1">
      <c r="A93" s="462" t="s">
        <v>2346</v>
      </c>
      <c r="B93" s="510" t="s">
        <v>4222</v>
      </c>
      <c r="C93" s="141">
        <v>86633.0</v>
      </c>
      <c r="D93" s="63" t="s">
        <v>1096</v>
      </c>
      <c r="E93" s="63" t="s">
        <v>199</v>
      </c>
      <c r="F93" s="81" t="s">
        <v>1096</v>
      </c>
      <c r="G93" s="47" t="str">
        <f t="shared" si="1"/>
        <v>Breno</v>
      </c>
      <c r="H93" s="152" t="s">
        <v>224</v>
      </c>
      <c r="I93" s="74" t="s">
        <v>66</v>
      </c>
      <c r="J93" s="63" t="str">
        <f>IF(R93=0,"Não","Sim")</f>
        <v>Sim</v>
      </c>
      <c r="K93" s="480">
        <v>43384.0</v>
      </c>
      <c r="L93" s="151">
        <v>45495.0</v>
      </c>
      <c r="M93" s="81" t="s">
        <v>231</v>
      </c>
      <c r="N93" s="478">
        <v>0.01</v>
      </c>
      <c r="O93" s="141" t="s">
        <v>66</v>
      </c>
      <c r="P93" s="145">
        <v>0.0</v>
      </c>
      <c r="R93" s="153" t="s">
        <v>4226</v>
      </c>
      <c r="S93" s="62" t="s">
        <v>194</v>
      </c>
      <c r="T93" s="30" t="s">
        <v>4229</v>
      </c>
      <c r="U93" s="81" t="s">
        <v>199</v>
      </c>
      <c r="V93" s="49" t="str">
        <f t="shared" si="3"/>
        <v>Encerrado</v>
      </c>
      <c r="W93" s="150"/>
      <c r="X93" s="150"/>
      <c r="Y93" s="30" t="s">
        <v>244</v>
      </c>
      <c r="Z93" s="81"/>
      <c r="AA93" s="480">
        <v>43384.0</v>
      </c>
      <c r="AB93" s="30">
        <v>4.9075100013081E13</v>
      </c>
      <c r="AC93" s="96">
        <v>205068.75</v>
      </c>
      <c r="AD93" s="96">
        <v>194637.58</v>
      </c>
      <c r="AE93" s="96">
        <v>149672.14</v>
      </c>
      <c r="AF93" s="96">
        <v>173036.8</v>
      </c>
      <c r="AG93" s="96">
        <v>181072.38</v>
      </c>
      <c r="AH93" s="96">
        <v>191574.28</v>
      </c>
      <c r="AI93" s="96">
        <v>206479.45</v>
      </c>
      <c r="AJ93" s="96">
        <v>196276.75</v>
      </c>
      <c r="AK93" s="96">
        <v>188459.12</v>
      </c>
      <c r="AL93" s="96">
        <v>195882.41</v>
      </c>
      <c r="AM93" s="96">
        <v>223676.02</v>
      </c>
      <c r="AN93" s="96">
        <v>235669.93</v>
      </c>
      <c r="AO93" s="96">
        <v>232670.34</v>
      </c>
      <c r="AP93" s="96">
        <v>219967.46</v>
      </c>
      <c r="AQ93" s="96">
        <v>213179.34</v>
      </c>
      <c r="AR93" s="96">
        <v>225469.26</v>
      </c>
      <c r="AS93" s="96">
        <v>234844.84</v>
      </c>
      <c r="AT93" s="96">
        <v>236584.69</v>
      </c>
      <c r="AU93" s="96">
        <v>246589.27</v>
      </c>
      <c r="AV93" s="96">
        <v>243281.18</v>
      </c>
      <c r="AW93" s="96">
        <v>236355.29</v>
      </c>
      <c r="AX93" s="96">
        <v>226144.2</v>
      </c>
      <c r="AY93" s="96">
        <v>215176.48</v>
      </c>
      <c r="AZ93" s="96">
        <v>202879.39</v>
      </c>
      <c r="BA93" s="96">
        <v>197165.96</v>
      </c>
      <c r="BB93" s="96">
        <v>199309.59</v>
      </c>
      <c r="BC93" s="96">
        <v>210785.69</v>
      </c>
      <c r="BD93" s="96">
        <v>213489.51</v>
      </c>
      <c r="BE93" s="96">
        <v>229383.99</v>
      </c>
      <c r="BF93" s="96">
        <v>219018.86</v>
      </c>
      <c r="BG93" s="96">
        <v>214069.43</v>
      </c>
      <c r="BH93" s="96">
        <v>204305.98</v>
      </c>
      <c r="BI93" s="96">
        <v>214189.2</v>
      </c>
      <c r="BJ93" s="96">
        <v>216549.67</v>
      </c>
      <c r="BK93" s="472">
        <v>218523.72</v>
      </c>
      <c r="BL93" s="472">
        <v>235226.26</v>
      </c>
      <c r="BM93" s="472">
        <v>230876.66</v>
      </c>
      <c r="BN93" s="472">
        <v>229696.37</v>
      </c>
      <c r="BO93" s="472">
        <v>236598.76</v>
      </c>
      <c r="BP93" s="472">
        <v>228306.25</v>
      </c>
      <c r="BQ93" s="472">
        <v>227543.52</v>
      </c>
      <c r="BR93" s="472">
        <v>222547.35</v>
      </c>
      <c r="BS93" s="472">
        <v>233484.73</v>
      </c>
      <c r="BT93" s="472">
        <v>252838.75</v>
      </c>
      <c r="BU93" s="472">
        <v>266028.87</v>
      </c>
      <c r="BV93" s="472">
        <v>263108.74</v>
      </c>
      <c r="BW93" s="472">
        <v>254010.76</v>
      </c>
      <c r="BX93" s="472">
        <v>241434.66</v>
      </c>
      <c r="BY93" s="472">
        <v>260343.85</v>
      </c>
      <c r="BZ93" s="472">
        <v>271707.39</v>
      </c>
      <c r="CA93" s="474">
        <v>253589.78</v>
      </c>
      <c r="CB93" s="474">
        <v>258916.97</v>
      </c>
      <c r="CC93" s="474">
        <v>176514.87</v>
      </c>
      <c r="CD93" s="474">
        <v>217762.4</v>
      </c>
      <c r="CE93" s="474">
        <v>192049.0</v>
      </c>
      <c r="CF93" s="474">
        <v>210296.32</v>
      </c>
      <c r="CG93" s="474">
        <v>0.0</v>
      </c>
      <c r="CH93" s="65">
        <v>0.0</v>
      </c>
      <c r="CI93" s="65">
        <v>0.0</v>
      </c>
      <c r="CJ93" s="65">
        <v>0.0</v>
      </c>
      <c r="CK93" s="65">
        <v>0.0</v>
      </c>
      <c r="CL93" s="65">
        <v>0.0</v>
      </c>
      <c r="CM93" s="65">
        <v>0.0</v>
      </c>
      <c r="CN93" s="65">
        <v>0.0</v>
      </c>
    </row>
    <row r="94" ht="15.75" customHeight="1">
      <c r="A94" s="462" t="s">
        <v>2346</v>
      </c>
      <c r="B94" s="50" t="s">
        <v>4241</v>
      </c>
      <c r="C94" s="141">
        <v>43175.0</v>
      </c>
      <c r="D94" s="63" t="s">
        <v>120</v>
      </c>
      <c r="E94" s="63" t="s">
        <v>91</v>
      </c>
      <c r="F94" s="95" t="s">
        <v>193</v>
      </c>
      <c r="G94" s="47" t="str">
        <f t="shared" si="1"/>
        <v>Breno</v>
      </c>
      <c r="H94" s="152" t="s">
        <v>224</v>
      </c>
      <c r="I94" s="74" t="s">
        <v>66</v>
      </c>
      <c r="J94" s="63" t="str">
        <f t="shared" ref="J94:J395" si="4">IF(Q94=0,"Não","Sim")</f>
        <v>Não</v>
      </c>
      <c r="K94" s="194">
        <v>44393.0</v>
      </c>
      <c r="L94" s="194">
        <v>44701.0</v>
      </c>
      <c r="M94" s="62" t="s">
        <v>213</v>
      </c>
      <c r="N94" s="478">
        <v>0.003</v>
      </c>
      <c r="O94" s="141" t="s">
        <v>66</v>
      </c>
      <c r="P94" s="145">
        <v>0.0</v>
      </c>
      <c r="Q94" s="70"/>
      <c r="R94" s="70"/>
      <c r="S94" s="62" t="s">
        <v>234</v>
      </c>
      <c r="T94" s="22" t="s">
        <v>4243</v>
      </c>
      <c r="U94" s="95" t="s">
        <v>221</v>
      </c>
      <c r="V94" s="49" t="str">
        <f t="shared" si="3"/>
        <v>Encerrado</v>
      </c>
      <c r="W94" s="150"/>
      <c r="X94" s="150"/>
      <c r="Y94" s="81"/>
      <c r="Z94" s="81"/>
      <c r="AA94" s="81"/>
      <c r="AB94" s="30"/>
      <c r="AC94" s="476"/>
      <c r="AD94" s="476"/>
      <c r="AE94" s="476"/>
      <c r="AF94" s="476"/>
      <c r="AG94" s="476"/>
      <c r="AH94" s="476"/>
      <c r="AI94" s="476"/>
      <c r="AJ94" s="476"/>
      <c r="AK94" s="476"/>
      <c r="AL94" s="476"/>
      <c r="AM94" s="476"/>
      <c r="AN94" s="476"/>
      <c r="AO94" s="96"/>
      <c r="AP94" s="96"/>
      <c r="AQ94" s="96"/>
      <c r="AR94" s="96"/>
      <c r="AS94" s="96"/>
      <c r="AT94" s="96"/>
      <c r="AU94" s="96"/>
      <c r="AV94" s="476"/>
      <c r="AW94" s="96">
        <v>689777.47</v>
      </c>
      <c r="AX94" s="96">
        <v>579324.72</v>
      </c>
      <c r="AY94" s="96">
        <v>537118.57</v>
      </c>
      <c r="AZ94" s="96">
        <v>285605.32</v>
      </c>
      <c r="BA94" s="96"/>
      <c r="BB94" s="96"/>
      <c r="BC94" s="96"/>
      <c r="BD94" s="96">
        <v>0.0</v>
      </c>
      <c r="BE94" s="96">
        <v>0.0</v>
      </c>
      <c r="BF94" s="96">
        <v>0.0</v>
      </c>
      <c r="BG94" s="96" t="s">
        <v>377</v>
      </c>
      <c r="BH94" s="96">
        <v>0.0</v>
      </c>
      <c r="BI94" s="96" t="s">
        <v>377</v>
      </c>
      <c r="BJ94" s="96">
        <v>0.0</v>
      </c>
      <c r="BK94" s="472">
        <v>0.0</v>
      </c>
      <c r="BL94" s="472">
        <v>0.0</v>
      </c>
      <c r="BM94" s="472">
        <v>0.0</v>
      </c>
      <c r="BN94" s="472">
        <v>0.0</v>
      </c>
      <c r="BO94" s="472">
        <v>0.0</v>
      </c>
      <c r="BP94" s="472">
        <v>0.0</v>
      </c>
      <c r="BQ94" s="472">
        <v>0.0</v>
      </c>
      <c r="BR94" s="472">
        <v>0.0</v>
      </c>
      <c r="BS94" s="472">
        <v>0.0</v>
      </c>
      <c r="BT94" s="472">
        <v>0.0</v>
      </c>
      <c r="BU94" s="472">
        <v>0.0</v>
      </c>
      <c r="BV94" s="472">
        <v>0.0</v>
      </c>
      <c r="BW94" s="472">
        <v>0.0</v>
      </c>
      <c r="BX94" s="472">
        <v>0.0</v>
      </c>
      <c r="BY94" s="472">
        <v>0.0</v>
      </c>
      <c r="BZ94" s="472">
        <v>0.0</v>
      </c>
      <c r="CA94" s="474">
        <v>0.0</v>
      </c>
      <c r="CB94" s="474">
        <v>0.0</v>
      </c>
      <c r="CC94" s="474">
        <v>0.0</v>
      </c>
      <c r="CD94" s="474">
        <v>0.0</v>
      </c>
      <c r="CE94" s="474">
        <v>0.0</v>
      </c>
      <c r="CF94" s="474">
        <v>0.0</v>
      </c>
      <c r="CG94" s="474">
        <v>0.0</v>
      </c>
      <c r="CH94" s="65">
        <v>0.0</v>
      </c>
      <c r="CI94" s="65">
        <v>0.0</v>
      </c>
      <c r="CJ94" s="65">
        <v>0.0</v>
      </c>
      <c r="CK94" s="65">
        <v>0.0</v>
      </c>
      <c r="CL94" s="65">
        <v>0.0</v>
      </c>
      <c r="CM94" s="65">
        <v>0.0</v>
      </c>
      <c r="CN94" s="65">
        <v>0.0</v>
      </c>
    </row>
    <row r="95" ht="15.75" customHeight="1">
      <c r="A95" s="462" t="s">
        <v>2346</v>
      </c>
      <c r="B95" s="477" t="s">
        <v>686</v>
      </c>
      <c r="C95" s="141">
        <v>435801.0</v>
      </c>
      <c r="D95" s="63" t="s">
        <v>120</v>
      </c>
      <c r="E95" s="63" t="s">
        <v>199</v>
      </c>
      <c r="F95" s="141" t="s">
        <v>431</v>
      </c>
      <c r="G95" s="47" t="str">
        <f t="shared" si="1"/>
        <v>Bruno</v>
      </c>
      <c r="H95" s="152" t="s">
        <v>183</v>
      </c>
      <c r="I95" s="74" t="s">
        <v>66</v>
      </c>
      <c r="J95" s="63" t="str">
        <f t="shared" si="4"/>
        <v>Sim</v>
      </c>
      <c r="K95" s="143">
        <v>43713.0</v>
      </c>
      <c r="L95" s="467"/>
      <c r="M95" s="81" t="s">
        <v>34</v>
      </c>
      <c r="N95" s="464">
        <v>0.01</v>
      </c>
      <c r="O95" s="141" t="s">
        <v>66</v>
      </c>
      <c r="P95" s="145">
        <v>0.0</v>
      </c>
      <c r="Q95" s="153" t="s">
        <v>688</v>
      </c>
      <c r="R95" s="153" t="s">
        <v>689</v>
      </c>
      <c r="S95" s="62" t="s">
        <v>194</v>
      </c>
      <c r="T95" s="30" t="s">
        <v>690</v>
      </c>
      <c r="U95" s="81" t="s">
        <v>199</v>
      </c>
      <c r="V95" s="49" t="str">
        <f t="shared" si="3"/>
        <v>Ativo</v>
      </c>
      <c r="W95" s="150"/>
      <c r="X95" s="150"/>
      <c r="Y95" s="30" t="s">
        <v>244</v>
      </c>
      <c r="Z95" s="81"/>
      <c r="AA95" s="467">
        <v>43713.0</v>
      </c>
      <c r="AB95" s="30">
        <v>4.9075100014647E13</v>
      </c>
      <c r="AC95" s="96">
        <v>164108.33</v>
      </c>
      <c r="AD95" s="96">
        <v>161984.91</v>
      </c>
      <c r="AE95" s="96">
        <v>157060.91</v>
      </c>
      <c r="AF95" s="96">
        <v>158131.67</v>
      </c>
      <c r="AG95" s="96">
        <v>159250.76</v>
      </c>
      <c r="AH95" s="96">
        <v>209349.19</v>
      </c>
      <c r="AI95" s="96">
        <v>212035.4</v>
      </c>
      <c r="AJ95" s="96">
        <v>209328.36</v>
      </c>
      <c r="AK95" s="96">
        <v>206677.93</v>
      </c>
      <c r="AL95" s="96">
        <v>206164.36</v>
      </c>
      <c r="AM95" s="96">
        <v>212425.61</v>
      </c>
      <c r="AN95" s="96">
        <v>214945.96</v>
      </c>
      <c r="AO95" s="96">
        <v>213292.15</v>
      </c>
      <c r="AP95" s="96">
        <v>209064.21</v>
      </c>
      <c r="AQ95" s="471">
        <v>207574.85</v>
      </c>
      <c r="AR95" s="471">
        <v>211397.39</v>
      </c>
      <c r="AS95" s="471">
        <v>211372.39</v>
      </c>
      <c r="AT95" s="471">
        <v>211518.89</v>
      </c>
      <c r="AU95" s="471">
        <v>213694.81</v>
      </c>
      <c r="AV95" s="96">
        <v>213358.23</v>
      </c>
      <c r="AW95" s="96">
        <v>212709.41</v>
      </c>
      <c r="AX95" s="96">
        <v>211090.65</v>
      </c>
      <c r="AY95" s="96">
        <v>185184.42</v>
      </c>
      <c r="AZ95" s="96">
        <v>207080.61</v>
      </c>
      <c r="BA95" s="96">
        <v>207069.91</v>
      </c>
      <c r="BB95" s="96">
        <v>208926.35</v>
      </c>
      <c r="BC95" s="96">
        <v>211790.32</v>
      </c>
      <c r="BD95" s="96">
        <v>213724.62</v>
      </c>
      <c r="BE95" s="96">
        <v>218766.97</v>
      </c>
      <c r="BF95" s="96">
        <v>218546.05</v>
      </c>
      <c r="BG95" s="472">
        <v>220274.03</v>
      </c>
      <c r="BH95" s="472">
        <v>219831.59</v>
      </c>
      <c r="BI95" s="472">
        <v>221956.32</v>
      </c>
      <c r="BJ95" s="472">
        <v>224426.11</v>
      </c>
      <c r="BK95" s="472">
        <v>226155.84</v>
      </c>
      <c r="BL95" s="472">
        <v>231065.62</v>
      </c>
      <c r="BM95" s="472">
        <v>230564.61</v>
      </c>
      <c r="BN95" s="472">
        <v>232232.54</v>
      </c>
      <c r="BO95" s="472">
        <v>234983.09</v>
      </c>
      <c r="BP95" s="472">
        <v>237015.07</v>
      </c>
      <c r="BQ95" s="472">
        <v>239772.97</v>
      </c>
      <c r="BR95" s="472">
        <v>241598.76</v>
      </c>
      <c r="BS95" s="472">
        <v>244187.01</v>
      </c>
      <c r="BT95" s="472">
        <v>246902.4</v>
      </c>
      <c r="BU95" s="472">
        <v>248519.04</v>
      </c>
      <c r="BV95" s="472">
        <v>225532.24</v>
      </c>
      <c r="BW95" s="472">
        <v>227295.55</v>
      </c>
      <c r="BX95" s="472">
        <v>229225.69</v>
      </c>
      <c r="BY95" s="472">
        <v>216170.76</v>
      </c>
      <c r="BZ95" s="472">
        <v>201282.36</v>
      </c>
      <c r="CA95" s="474">
        <v>203301.82</v>
      </c>
      <c r="CB95" s="474">
        <v>204838.21</v>
      </c>
      <c r="CC95" s="474">
        <v>206635.41</v>
      </c>
      <c r="CD95" s="474">
        <v>208302.5</v>
      </c>
      <c r="CE95" s="474">
        <v>217359.37</v>
      </c>
      <c r="CF95" s="474">
        <v>242370.34</v>
      </c>
      <c r="CG95" s="474">
        <v>244347.63</v>
      </c>
      <c r="CH95" s="65">
        <v>245344.12</v>
      </c>
      <c r="CI95" s="65">
        <v>240760.11</v>
      </c>
      <c r="CJ95" s="65">
        <v>243426.61</v>
      </c>
      <c r="CK95" s="65">
        <v>244813.17</v>
      </c>
      <c r="CL95" s="65">
        <v>210215.07</v>
      </c>
      <c r="CM95" s="65">
        <v>250245.54</v>
      </c>
      <c r="CN95" s="65">
        <v>252224.54</v>
      </c>
    </row>
    <row r="96" ht="15.75" customHeight="1">
      <c r="A96" s="462" t="s">
        <v>2346</v>
      </c>
      <c r="B96" s="477" t="s">
        <v>4260</v>
      </c>
      <c r="C96" s="141">
        <v>363494.0</v>
      </c>
      <c r="D96" s="63" t="s">
        <v>120</v>
      </c>
      <c r="E96" s="63" t="s">
        <v>91</v>
      </c>
      <c r="F96" s="81" t="s">
        <v>521</v>
      </c>
      <c r="G96" s="47" t="str">
        <f t="shared" si="1"/>
        <v>Breno</v>
      </c>
      <c r="H96" s="142" t="s">
        <v>295</v>
      </c>
      <c r="I96" s="49" t="s">
        <v>382</v>
      </c>
      <c r="J96" s="63" t="str">
        <f t="shared" si="4"/>
        <v>Não</v>
      </c>
      <c r="K96" s="143">
        <v>44838.0</v>
      </c>
      <c r="L96" s="81"/>
      <c r="M96" s="81" t="s">
        <v>61</v>
      </c>
      <c r="N96" s="478">
        <v>0.01</v>
      </c>
      <c r="O96" s="141" t="s">
        <v>66</v>
      </c>
      <c r="P96" s="145">
        <v>0.0</v>
      </c>
      <c r="Q96" s="190"/>
      <c r="R96" s="158" t="s">
        <v>4264</v>
      </c>
      <c r="S96" s="62" t="s">
        <v>194</v>
      </c>
      <c r="T96" s="30" t="s">
        <v>4265</v>
      </c>
      <c r="U96" s="22" t="s">
        <v>221</v>
      </c>
      <c r="V96" s="49" t="str">
        <f t="shared" si="3"/>
        <v>Inativo</v>
      </c>
      <c r="W96" s="150"/>
      <c r="X96" s="150"/>
      <c r="Y96" s="30" t="s">
        <v>244</v>
      </c>
      <c r="Z96" s="81"/>
      <c r="AA96" s="467">
        <v>44838.0</v>
      </c>
      <c r="AB96" s="30">
        <v>4.9075100010528E13</v>
      </c>
      <c r="AC96" s="482"/>
      <c r="AD96" s="482"/>
      <c r="AE96" s="482"/>
      <c r="AF96" s="482"/>
      <c r="AG96" s="482"/>
      <c r="AH96" s="482"/>
      <c r="AI96" s="482"/>
      <c r="AJ96" s="482"/>
      <c r="AK96" s="482"/>
      <c r="AL96" s="482"/>
      <c r="AM96" s="482"/>
      <c r="AN96" s="482"/>
      <c r="AO96" s="482"/>
      <c r="AP96" s="96"/>
      <c r="AQ96" s="471"/>
      <c r="AR96" s="471"/>
      <c r="AS96" s="471"/>
      <c r="AT96" s="471"/>
      <c r="AU96" s="471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472"/>
      <c r="BH96" s="472"/>
      <c r="BI96" s="472"/>
      <c r="BJ96" s="472"/>
      <c r="BK96" s="472">
        <v>0.0</v>
      </c>
      <c r="BL96" s="472">
        <v>110493.93</v>
      </c>
      <c r="BM96" s="472">
        <v>111149.03</v>
      </c>
      <c r="BN96" s="472">
        <v>137.41</v>
      </c>
      <c r="BO96" s="472">
        <v>78.81</v>
      </c>
      <c r="BP96" s="472">
        <v>78.87</v>
      </c>
      <c r="BQ96" s="472">
        <v>78.87</v>
      </c>
      <c r="BR96" s="472">
        <v>78.87</v>
      </c>
      <c r="BS96" s="472">
        <v>78.87</v>
      </c>
      <c r="BT96" s="472">
        <v>0.0</v>
      </c>
      <c r="BU96" s="472">
        <v>0.0</v>
      </c>
      <c r="BV96" s="472">
        <v>0.0</v>
      </c>
      <c r="BW96" s="472">
        <v>0.0</v>
      </c>
      <c r="BX96" s="472">
        <v>0.0</v>
      </c>
      <c r="BY96" s="472">
        <v>0.0</v>
      </c>
      <c r="BZ96" s="472">
        <v>0.0</v>
      </c>
      <c r="CA96" s="474">
        <v>0.0</v>
      </c>
      <c r="CB96" s="474">
        <v>0.0</v>
      </c>
      <c r="CC96" s="474">
        <v>0.0</v>
      </c>
      <c r="CD96" s="474">
        <v>0.0</v>
      </c>
      <c r="CE96" s="474">
        <v>0.0</v>
      </c>
      <c r="CF96" s="474">
        <v>0.0</v>
      </c>
      <c r="CG96" s="474">
        <v>0.0</v>
      </c>
      <c r="CH96" s="65">
        <v>0.0</v>
      </c>
      <c r="CI96" s="65">
        <v>0.0</v>
      </c>
      <c r="CJ96" s="65">
        <v>0.0</v>
      </c>
      <c r="CK96" s="65">
        <v>0.0</v>
      </c>
      <c r="CL96" s="65">
        <v>0.0</v>
      </c>
      <c r="CM96" s="65">
        <v>0.0</v>
      </c>
      <c r="CN96" s="65">
        <v>0.0</v>
      </c>
    </row>
    <row r="97" ht="15.75" customHeight="1">
      <c r="A97" s="462" t="s">
        <v>2346</v>
      </c>
      <c r="B97" s="477" t="s">
        <v>698</v>
      </c>
      <c r="C97" s="141">
        <v>79850.0</v>
      </c>
      <c r="D97" s="63" t="s">
        <v>120</v>
      </c>
      <c r="E97" s="63" t="s">
        <v>91</v>
      </c>
      <c r="F97" s="63" t="s">
        <v>699</v>
      </c>
      <c r="G97" s="47" t="str">
        <f t="shared" si="1"/>
        <v>Breno</v>
      </c>
      <c r="H97" s="142" t="s">
        <v>295</v>
      </c>
      <c r="I97" s="49" t="s">
        <v>382</v>
      </c>
      <c r="J97" s="63" t="str">
        <f t="shared" si="4"/>
        <v>Não</v>
      </c>
      <c r="K97" s="143">
        <v>44299.0</v>
      </c>
      <c r="L97" s="81"/>
      <c r="M97" s="81" t="s">
        <v>209</v>
      </c>
      <c r="N97" s="478">
        <v>0.015</v>
      </c>
      <c r="O97" s="63" t="s">
        <v>35</v>
      </c>
      <c r="P97" s="145">
        <v>0.1</v>
      </c>
      <c r="Q97" s="190"/>
      <c r="R97" s="158" t="s">
        <v>700</v>
      </c>
      <c r="S97" s="62" t="s">
        <v>194</v>
      </c>
      <c r="T97" s="30" t="s">
        <v>701</v>
      </c>
      <c r="U97" s="95" t="s">
        <v>221</v>
      </c>
      <c r="V97" s="49" t="str">
        <f t="shared" si="3"/>
        <v>Inativo</v>
      </c>
      <c r="W97" s="150"/>
      <c r="X97" s="150"/>
      <c r="Y97" s="30" t="s">
        <v>244</v>
      </c>
      <c r="Z97" s="81"/>
      <c r="AA97" s="467">
        <v>44299.0</v>
      </c>
      <c r="AB97" s="30">
        <v>4.9075100003459E13</v>
      </c>
      <c r="AC97" s="482"/>
      <c r="AD97" s="482"/>
      <c r="AE97" s="482"/>
      <c r="AF97" s="482"/>
      <c r="AG97" s="482"/>
      <c r="AH97" s="482"/>
      <c r="AI97" s="482"/>
      <c r="AJ97" s="482"/>
      <c r="AK97" s="482"/>
      <c r="AL97" s="482"/>
      <c r="AM97" s="482"/>
      <c r="AN97" s="482"/>
      <c r="AO97" s="482"/>
      <c r="AP97" s="96"/>
      <c r="AQ97" s="471">
        <v>20.27</v>
      </c>
      <c r="AR97" s="471">
        <v>354778.98</v>
      </c>
      <c r="AS97" s="471"/>
      <c r="AT97" s="471">
        <v>360513.21</v>
      </c>
      <c r="AU97" s="471">
        <v>364268.02</v>
      </c>
      <c r="AV97" s="96">
        <v>365882.77</v>
      </c>
      <c r="AW97" s="96">
        <v>363978.78</v>
      </c>
      <c r="AX97" s="96">
        <v>358346.73</v>
      </c>
      <c r="AY97" s="96">
        <v>320440.45</v>
      </c>
      <c r="AZ97" s="96">
        <v>293354.03</v>
      </c>
      <c r="BA97" s="96">
        <v>241357.78</v>
      </c>
      <c r="BB97" s="96">
        <v>242344.82</v>
      </c>
      <c r="BC97" s="96">
        <v>245494.33</v>
      </c>
      <c r="BD97" s="96">
        <v>247016.97</v>
      </c>
      <c r="BE97" s="96">
        <v>256557.7</v>
      </c>
      <c r="BF97" s="96">
        <v>252830.18</v>
      </c>
      <c r="BG97" s="472">
        <v>237763.94</v>
      </c>
      <c r="BH97" s="472">
        <v>235842.33</v>
      </c>
      <c r="BI97" s="472">
        <v>238342.08</v>
      </c>
      <c r="BJ97" s="472">
        <v>241093.14</v>
      </c>
      <c r="BK97" s="472">
        <v>243412.74</v>
      </c>
      <c r="BL97" s="472">
        <v>250716.06</v>
      </c>
      <c r="BM97" s="472">
        <v>233894.89</v>
      </c>
      <c r="BN97" s="472">
        <v>250934.03</v>
      </c>
      <c r="BO97" s="472">
        <v>254056.72</v>
      </c>
      <c r="BP97" s="472">
        <v>255993.96</v>
      </c>
      <c r="BQ97" s="472">
        <v>258603.69</v>
      </c>
      <c r="BR97" s="472">
        <v>258664.0</v>
      </c>
      <c r="BS97" s="472">
        <v>266459.75</v>
      </c>
      <c r="BT97" s="472">
        <v>9634.03</v>
      </c>
      <c r="BU97" s="472">
        <v>51.47</v>
      </c>
      <c r="BV97" s="472">
        <v>146.15</v>
      </c>
      <c r="BW97" s="472">
        <v>0.0</v>
      </c>
      <c r="BX97" s="472">
        <v>104.71</v>
      </c>
      <c r="BY97" s="472">
        <v>9.97</v>
      </c>
      <c r="BZ97" s="472">
        <v>9.97</v>
      </c>
      <c r="CA97" s="474">
        <v>0.0</v>
      </c>
      <c r="CB97" s="474">
        <v>0.0</v>
      </c>
      <c r="CC97" s="474">
        <v>0.0</v>
      </c>
      <c r="CD97" s="474">
        <v>0.0</v>
      </c>
      <c r="CE97" s="474">
        <v>0.0</v>
      </c>
      <c r="CF97" s="474">
        <v>0.0</v>
      </c>
      <c r="CG97" s="474">
        <v>0.0</v>
      </c>
      <c r="CH97" s="65">
        <v>0.0</v>
      </c>
      <c r="CI97" s="65">
        <v>0.0</v>
      </c>
      <c r="CJ97" s="65">
        <v>0.0</v>
      </c>
      <c r="CK97" s="65">
        <v>0.0</v>
      </c>
      <c r="CL97" s="65">
        <v>0.0</v>
      </c>
      <c r="CM97" s="65">
        <v>20.27</v>
      </c>
      <c r="CN97" s="65">
        <v>20.27</v>
      </c>
    </row>
    <row r="98" ht="15.75" customHeight="1">
      <c r="A98" s="462" t="s">
        <v>2346</v>
      </c>
      <c r="B98" s="477" t="s">
        <v>4304</v>
      </c>
      <c r="C98" s="141">
        <v>449049.0</v>
      </c>
      <c r="D98" s="63" t="s">
        <v>669</v>
      </c>
      <c r="E98" s="63" t="s">
        <v>199</v>
      </c>
      <c r="F98" s="63" t="s">
        <v>1228</v>
      </c>
      <c r="G98" s="47" t="str">
        <f t="shared" si="1"/>
        <v>Breno</v>
      </c>
      <c r="H98" s="142" t="s">
        <v>295</v>
      </c>
      <c r="I98" s="49" t="s">
        <v>382</v>
      </c>
      <c r="J98" s="63" t="str">
        <f t="shared" si="4"/>
        <v>Não</v>
      </c>
      <c r="K98" s="143">
        <v>43895.0</v>
      </c>
      <c r="L98" s="81"/>
      <c r="M98" s="81" t="s">
        <v>34</v>
      </c>
      <c r="N98" s="478">
        <v>0.012</v>
      </c>
      <c r="O98" s="141" t="s">
        <v>66</v>
      </c>
      <c r="P98" s="145">
        <v>0.0</v>
      </c>
      <c r="Q98" s="158"/>
      <c r="R98" s="158" t="s">
        <v>4312</v>
      </c>
      <c r="S98" s="62" t="s">
        <v>194</v>
      </c>
      <c r="T98" s="30" t="s">
        <v>4314</v>
      </c>
      <c r="U98" s="81" t="s">
        <v>199</v>
      </c>
      <c r="V98" s="49" t="str">
        <f t="shared" si="3"/>
        <v>Inativo</v>
      </c>
      <c r="W98" s="150"/>
      <c r="X98" s="150"/>
      <c r="Y98" s="30" t="s">
        <v>244</v>
      </c>
      <c r="Z98" s="81"/>
      <c r="AA98" s="467">
        <v>43895.0</v>
      </c>
      <c r="AB98" s="30">
        <v>4.9075100004579E13</v>
      </c>
      <c r="AC98" s="96">
        <v>0.0</v>
      </c>
      <c r="AD98" s="96">
        <v>0.0</v>
      </c>
      <c r="AE98" s="96">
        <v>94729.27</v>
      </c>
      <c r="AF98" s="96">
        <v>96106.67</v>
      </c>
      <c r="AG98" s="96">
        <v>97058.93</v>
      </c>
      <c r="AH98" s="96">
        <v>97294.82</v>
      </c>
      <c r="AI98" s="96">
        <v>98132.87</v>
      </c>
      <c r="AJ98" s="96">
        <v>97107.15</v>
      </c>
      <c r="AK98" s="96">
        <v>95774.77</v>
      </c>
      <c r="AL98" s="96">
        <v>95565.18</v>
      </c>
      <c r="AM98" s="96">
        <v>98272.39</v>
      </c>
      <c r="AN98" s="96">
        <v>98872.88</v>
      </c>
      <c r="AO98" s="96">
        <v>97974.71</v>
      </c>
      <c r="AP98" s="96">
        <v>96059.29</v>
      </c>
      <c r="AQ98" s="471">
        <v>95244.11</v>
      </c>
      <c r="AR98" s="471">
        <v>96676.99</v>
      </c>
      <c r="AS98" s="471">
        <v>96388.52</v>
      </c>
      <c r="AT98" s="471">
        <v>96324.71</v>
      </c>
      <c r="AU98" s="471">
        <v>97026.94</v>
      </c>
      <c r="AV98" s="96">
        <v>96897.84</v>
      </c>
      <c r="AW98" s="96">
        <v>96742.59</v>
      </c>
      <c r="AX98" s="96">
        <v>95967.92</v>
      </c>
      <c r="AY98" s="96">
        <v>95292.46</v>
      </c>
      <c r="AZ98" s="96">
        <v>94239.23</v>
      </c>
      <c r="BA98" s="96">
        <v>94098.53</v>
      </c>
      <c r="BB98" s="96">
        <v>94532.12</v>
      </c>
      <c r="BC98" s="96">
        <v>96062.78</v>
      </c>
      <c r="BD98" s="96">
        <v>96727.4</v>
      </c>
      <c r="BE98" s="96">
        <v>98642.63</v>
      </c>
      <c r="BF98" s="96">
        <v>98577.54</v>
      </c>
      <c r="BG98" s="472">
        <v>99210.61</v>
      </c>
      <c r="BH98" s="472">
        <v>77651.62</v>
      </c>
      <c r="BI98" s="472">
        <v>160.3</v>
      </c>
      <c r="BJ98" s="472">
        <v>23.2</v>
      </c>
      <c r="BK98" s="472">
        <v>23.2</v>
      </c>
      <c r="BL98" s="472">
        <v>23.2</v>
      </c>
      <c r="BM98" s="472">
        <v>0.0</v>
      </c>
      <c r="BN98" s="472">
        <v>0.0</v>
      </c>
      <c r="BO98" s="472">
        <v>76.87</v>
      </c>
      <c r="BP98" s="472">
        <v>76.87</v>
      </c>
      <c r="BQ98" s="472">
        <v>0.0</v>
      </c>
      <c r="BR98" s="472">
        <v>76.87</v>
      </c>
      <c r="BS98" s="472">
        <v>0.0</v>
      </c>
      <c r="BT98" s="472">
        <v>0.0</v>
      </c>
      <c r="BU98" s="472">
        <v>0.0</v>
      </c>
      <c r="BV98" s="472">
        <v>0.0</v>
      </c>
      <c r="BW98" s="472">
        <v>0.0</v>
      </c>
      <c r="BX98" s="472">
        <v>0.0</v>
      </c>
      <c r="BY98" s="472">
        <v>0.0</v>
      </c>
      <c r="BZ98" s="472">
        <v>0.0</v>
      </c>
      <c r="CA98" s="474">
        <v>0.0</v>
      </c>
      <c r="CB98" s="474">
        <v>0.0</v>
      </c>
      <c r="CC98" s="474">
        <v>0.0</v>
      </c>
      <c r="CD98" s="474">
        <v>0.0</v>
      </c>
      <c r="CE98" s="474">
        <v>0.0</v>
      </c>
      <c r="CF98" s="474">
        <v>0.0</v>
      </c>
      <c r="CG98" s="474">
        <v>0.0</v>
      </c>
      <c r="CH98" s="65">
        <v>0.0</v>
      </c>
      <c r="CI98" s="65">
        <v>0.0</v>
      </c>
      <c r="CJ98" s="65">
        <v>0.0</v>
      </c>
      <c r="CK98" s="65">
        <v>0.0</v>
      </c>
      <c r="CL98" s="65">
        <v>0.0</v>
      </c>
      <c r="CM98" s="65">
        <v>0.0</v>
      </c>
      <c r="CN98" s="65">
        <v>0.0</v>
      </c>
    </row>
    <row r="99" ht="15.75" customHeight="1">
      <c r="A99" s="462" t="s">
        <v>2346</v>
      </c>
      <c r="B99" s="477" t="s">
        <v>4333</v>
      </c>
      <c r="C99" s="141">
        <v>438733.0</v>
      </c>
      <c r="D99" s="63" t="s">
        <v>669</v>
      </c>
      <c r="E99" s="63" t="s">
        <v>199</v>
      </c>
      <c r="F99" s="81" t="s">
        <v>2388</v>
      </c>
      <c r="G99" s="47" t="str">
        <f t="shared" si="1"/>
        <v>Breno</v>
      </c>
      <c r="H99" s="152" t="s">
        <v>224</v>
      </c>
      <c r="I99" s="74" t="s">
        <v>66</v>
      </c>
      <c r="J99" s="63" t="str">
        <f t="shared" si="4"/>
        <v>Não</v>
      </c>
      <c r="K99" s="467">
        <v>43913.0</v>
      </c>
      <c r="L99" s="467">
        <v>44086.0</v>
      </c>
      <c r="M99" s="81" t="s">
        <v>209</v>
      </c>
      <c r="N99" s="478">
        <v>0.015</v>
      </c>
      <c r="O99" s="63" t="s">
        <v>35</v>
      </c>
      <c r="P99" s="145">
        <v>0.1</v>
      </c>
      <c r="Q99" s="158"/>
      <c r="R99" s="158"/>
      <c r="S99" s="62" t="s">
        <v>194</v>
      </c>
      <c r="T99" s="30" t="s">
        <v>4341</v>
      </c>
      <c r="U99" s="81" t="s">
        <v>54</v>
      </c>
      <c r="V99" s="49" t="str">
        <f t="shared" si="3"/>
        <v>Encerrado</v>
      </c>
      <c r="W99" s="150"/>
      <c r="X99" s="150"/>
      <c r="Y99" s="81"/>
      <c r="Z99" s="81"/>
      <c r="AA99" s="81"/>
      <c r="AB99" s="30"/>
      <c r="AC99" s="96">
        <v>0.0</v>
      </c>
      <c r="AD99" s="96">
        <v>0.0</v>
      </c>
      <c r="AE99" s="96">
        <v>140065.04</v>
      </c>
      <c r="AF99" s="96">
        <v>140445.03</v>
      </c>
      <c r="AG99" s="96">
        <v>40501.2</v>
      </c>
      <c r="AH99" s="96">
        <v>40078.02</v>
      </c>
      <c r="AI99" s="96">
        <v>40024.08</v>
      </c>
      <c r="AJ99" s="96">
        <v>0.0</v>
      </c>
      <c r="AK99" s="482"/>
      <c r="AL99" s="482"/>
      <c r="AM99" s="482"/>
      <c r="AN99" s="482"/>
      <c r="AO99" s="482"/>
      <c r="AP99" s="96"/>
      <c r="AQ99" s="96"/>
      <c r="AR99" s="96"/>
      <c r="AS99" s="96"/>
      <c r="AT99" s="96"/>
      <c r="AU99" s="96"/>
      <c r="AV99" s="482"/>
      <c r="AW99" s="482"/>
      <c r="AX99" s="482"/>
      <c r="AY99" s="96"/>
      <c r="AZ99" s="96"/>
      <c r="BA99" s="96"/>
      <c r="BB99" s="96"/>
      <c r="BC99" s="96"/>
      <c r="BD99" s="96">
        <v>0.0</v>
      </c>
      <c r="BE99" s="96">
        <v>0.0</v>
      </c>
      <c r="BF99" s="96">
        <v>0.0</v>
      </c>
      <c r="BG99" s="96" t="s">
        <v>377</v>
      </c>
      <c r="BH99" s="96">
        <v>0.0</v>
      </c>
      <c r="BI99" s="96" t="s">
        <v>377</v>
      </c>
      <c r="BJ99" s="96">
        <v>0.0</v>
      </c>
      <c r="BK99" s="472">
        <v>0.0</v>
      </c>
      <c r="BL99" s="472">
        <v>0.0</v>
      </c>
      <c r="BM99" s="472">
        <v>0.0</v>
      </c>
      <c r="BN99" s="472">
        <v>0.0</v>
      </c>
      <c r="BO99" s="472">
        <v>0.0</v>
      </c>
      <c r="BP99" s="472">
        <v>0.0</v>
      </c>
      <c r="BQ99" s="472">
        <v>0.0</v>
      </c>
      <c r="BR99" s="472">
        <v>0.0</v>
      </c>
      <c r="BS99" s="472">
        <v>0.0</v>
      </c>
      <c r="BT99" s="472">
        <v>0.0</v>
      </c>
      <c r="BU99" s="472">
        <v>0.0</v>
      </c>
      <c r="BV99" s="472">
        <v>0.0</v>
      </c>
      <c r="BW99" s="472">
        <v>0.0</v>
      </c>
      <c r="BX99" s="472">
        <v>0.0</v>
      </c>
      <c r="BY99" s="472">
        <v>0.0</v>
      </c>
      <c r="BZ99" s="472">
        <v>0.0</v>
      </c>
      <c r="CA99" s="474">
        <v>0.0</v>
      </c>
      <c r="CB99" s="474">
        <v>0.0</v>
      </c>
      <c r="CC99" s="474">
        <v>0.0</v>
      </c>
      <c r="CD99" s="474">
        <v>0.0</v>
      </c>
      <c r="CE99" s="474">
        <v>0.0</v>
      </c>
      <c r="CF99" s="474">
        <v>0.0</v>
      </c>
      <c r="CG99" s="474">
        <v>0.0</v>
      </c>
      <c r="CH99" s="65">
        <v>0.0</v>
      </c>
      <c r="CI99" s="65">
        <v>0.0</v>
      </c>
      <c r="CJ99" s="65">
        <v>0.0</v>
      </c>
      <c r="CK99" s="65">
        <v>0.0</v>
      </c>
      <c r="CL99" s="65">
        <v>0.0</v>
      </c>
      <c r="CM99" s="65">
        <v>0.0</v>
      </c>
      <c r="CN99" s="65">
        <v>0.0</v>
      </c>
    </row>
    <row r="100" ht="15.75" customHeight="1">
      <c r="A100" s="462" t="s">
        <v>2346</v>
      </c>
      <c r="B100" s="477" t="s">
        <v>4360</v>
      </c>
      <c r="C100" s="141">
        <v>338439.0</v>
      </c>
      <c r="D100" s="63" t="s">
        <v>120</v>
      </c>
      <c r="E100" s="63" t="s">
        <v>199</v>
      </c>
      <c r="F100" s="63" t="s">
        <v>212</v>
      </c>
      <c r="G100" s="47" t="str">
        <f t="shared" si="1"/>
        <v>Breno</v>
      </c>
      <c r="H100" s="142" t="s">
        <v>295</v>
      </c>
      <c r="I100" s="49" t="s">
        <v>382</v>
      </c>
      <c r="J100" s="63" t="str">
        <f t="shared" si="4"/>
        <v>Não</v>
      </c>
      <c r="K100" s="143">
        <v>43860.0</v>
      </c>
      <c r="L100" s="81"/>
      <c r="M100" s="81" t="s">
        <v>209</v>
      </c>
      <c r="N100" s="478">
        <v>0.015</v>
      </c>
      <c r="O100" s="141" t="s">
        <v>66</v>
      </c>
      <c r="P100" s="145">
        <v>0.0</v>
      </c>
      <c r="Q100" s="146"/>
      <c r="R100" s="153" t="s">
        <v>4367</v>
      </c>
      <c r="S100" s="62" t="s">
        <v>194</v>
      </c>
      <c r="T100" s="30" t="s">
        <v>4369</v>
      </c>
      <c r="U100" s="81" t="s">
        <v>199</v>
      </c>
      <c r="V100" s="49" t="str">
        <f t="shared" si="3"/>
        <v>Inativo</v>
      </c>
      <c r="W100" s="150"/>
      <c r="X100" s="150"/>
      <c r="Y100" s="30" t="s">
        <v>269</v>
      </c>
      <c r="Z100" s="81"/>
      <c r="AA100" s="467">
        <v>43860.0</v>
      </c>
      <c r="AB100" s="30">
        <v>4.9075100003475E13</v>
      </c>
      <c r="AC100" s="96">
        <v>477655.85</v>
      </c>
      <c r="AD100" s="96">
        <v>901999.65</v>
      </c>
      <c r="AE100" s="96">
        <v>1084083.46</v>
      </c>
      <c r="AF100" s="96">
        <v>1123493.82</v>
      </c>
      <c r="AG100" s="96">
        <v>1167852.25</v>
      </c>
      <c r="AH100" s="96">
        <v>1191560.46</v>
      </c>
      <c r="AI100" s="96">
        <v>1224465.15</v>
      </c>
      <c r="AJ100" s="96">
        <v>1239269.07</v>
      </c>
      <c r="AK100" s="96">
        <v>1216818.31</v>
      </c>
      <c r="AL100" s="96">
        <v>1222115.06</v>
      </c>
      <c r="AM100" s="96">
        <v>1309981.9</v>
      </c>
      <c r="AN100" s="96">
        <v>1330814.63</v>
      </c>
      <c r="AO100" s="96">
        <v>1316285.25</v>
      </c>
      <c r="AP100" s="96">
        <v>1391075.79</v>
      </c>
      <c r="AQ100" s="471">
        <v>1372554.72</v>
      </c>
      <c r="AR100" s="471">
        <v>1433891.5</v>
      </c>
      <c r="AS100" s="471">
        <v>1439806.49</v>
      </c>
      <c r="AT100" s="471">
        <v>1443026.05</v>
      </c>
      <c r="AU100" s="471">
        <v>1471637.22</v>
      </c>
      <c r="AV100" s="96">
        <v>1464236.69</v>
      </c>
      <c r="AW100" s="96">
        <v>1450358.97</v>
      </c>
      <c r="AX100" s="96">
        <v>1423457.63</v>
      </c>
      <c r="AY100" s="96">
        <v>1401137.76</v>
      </c>
      <c r="AZ100" s="96">
        <v>1369200.63</v>
      </c>
      <c r="BA100" s="96">
        <v>1356644.13</v>
      </c>
      <c r="BB100" s="96">
        <v>1357575.43</v>
      </c>
      <c r="BC100" s="96">
        <v>1397558.87</v>
      </c>
      <c r="BD100" s="96">
        <v>1406596.64</v>
      </c>
      <c r="BE100" s="96">
        <v>1458843.57</v>
      </c>
      <c r="BF100" s="96">
        <v>1433947.98</v>
      </c>
      <c r="BG100" s="472">
        <v>1426669.67</v>
      </c>
      <c r="BH100" s="472">
        <v>1415008.16</v>
      </c>
      <c r="BI100" s="472">
        <v>1442841.61</v>
      </c>
      <c r="BJ100" s="472">
        <v>1456433.18</v>
      </c>
      <c r="BK100" s="472">
        <v>1470545.53</v>
      </c>
      <c r="BL100" s="472">
        <v>1523827.01</v>
      </c>
      <c r="BM100" s="472">
        <v>1514477.32</v>
      </c>
      <c r="BN100" s="472">
        <v>1526158.39</v>
      </c>
      <c r="BO100" s="472">
        <v>1543469.78</v>
      </c>
      <c r="BP100" s="472">
        <v>1548949.08</v>
      </c>
      <c r="BQ100" s="472">
        <v>1564009.8</v>
      </c>
      <c r="BR100" s="472">
        <v>1567394.37</v>
      </c>
      <c r="BS100" s="472">
        <v>1606612.37</v>
      </c>
      <c r="BT100" s="472">
        <v>1641578.02</v>
      </c>
      <c r="BU100" s="472">
        <v>1646606.86</v>
      </c>
      <c r="BV100" s="472">
        <v>1614894.96</v>
      </c>
      <c r="BW100" s="472">
        <v>1656470.27</v>
      </c>
      <c r="BX100" s="472">
        <v>330426.36</v>
      </c>
      <c r="BY100" s="472">
        <v>472.76</v>
      </c>
      <c r="BZ100" s="472">
        <v>472.76</v>
      </c>
      <c r="CA100" s="474">
        <v>0.0</v>
      </c>
      <c r="CB100" s="474">
        <v>0.0</v>
      </c>
      <c r="CC100" s="474">
        <v>0.0</v>
      </c>
      <c r="CD100" s="474">
        <v>0.0</v>
      </c>
      <c r="CE100" s="474">
        <v>0.0</v>
      </c>
      <c r="CF100" s="474">
        <v>0.0</v>
      </c>
      <c r="CG100" s="474">
        <v>0.0</v>
      </c>
      <c r="CH100" s="65">
        <v>0.0</v>
      </c>
      <c r="CI100" s="65">
        <v>0.0</v>
      </c>
      <c r="CJ100" s="65">
        <v>0.0</v>
      </c>
      <c r="CK100" s="65">
        <v>0.0</v>
      </c>
      <c r="CL100" s="65">
        <v>0.0</v>
      </c>
      <c r="CM100" s="65">
        <v>0.0</v>
      </c>
      <c r="CN100" s="65">
        <v>0.0</v>
      </c>
    </row>
    <row r="101" ht="15.75" customHeight="1">
      <c r="A101" s="462" t="s">
        <v>2346</v>
      </c>
      <c r="B101" s="249" t="s">
        <v>4401</v>
      </c>
      <c r="C101" s="141">
        <v>36791.0</v>
      </c>
      <c r="D101" s="63" t="s">
        <v>120</v>
      </c>
      <c r="E101" s="63" t="s">
        <v>91</v>
      </c>
      <c r="F101" s="63" t="s">
        <v>521</v>
      </c>
      <c r="G101" s="47" t="str">
        <f t="shared" si="1"/>
        <v>Breno</v>
      </c>
      <c r="H101" s="142" t="s">
        <v>295</v>
      </c>
      <c r="I101" s="49" t="s">
        <v>382</v>
      </c>
      <c r="J101" s="63" t="str">
        <f t="shared" si="4"/>
        <v>Não</v>
      </c>
      <c r="K101" s="143">
        <v>44321.0</v>
      </c>
      <c r="L101" s="81"/>
      <c r="M101" s="81" t="s">
        <v>209</v>
      </c>
      <c r="N101" s="144">
        <v>0.015</v>
      </c>
      <c r="O101" s="63" t="s">
        <v>35</v>
      </c>
      <c r="P101" s="145">
        <v>0.1</v>
      </c>
      <c r="Q101" s="70"/>
      <c r="R101" s="70"/>
      <c r="S101" s="62" t="s">
        <v>194</v>
      </c>
      <c r="T101" s="27" t="s">
        <v>4405</v>
      </c>
      <c r="U101" s="95" t="s">
        <v>221</v>
      </c>
      <c r="V101" s="49" t="str">
        <f t="shared" si="3"/>
        <v>Inativo</v>
      </c>
      <c r="W101" s="150"/>
      <c r="X101" s="150"/>
      <c r="Y101" s="30" t="s">
        <v>269</v>
      </c>
      <c r="Z101" s="81"/>
      <c r="AA101" s="467">
        <v>44321.0</v>
      </c>
      <c r="AB101" s="30">
        <v>4.9075100006601E13</v>
      </c>
      <c r="AC101" s="476"/>
      <c r="AD101" s="476"/>
      <c r="AE101" s="476"/>
      <c r="AF101" s="476"/>
      <c r="AG101" s="476"/>
      <c r="AH101" s="476"/>
      <c r="AI101" s="476"/>
      <c r="AJ101" s="476"/>
      <c r="AK101" s="476"/>
      <c r="AL101" s="476"/>
      <c r="AM101" s="476"/>
      <c r="AN101" s="476"/>
      <c r="AO101" s="476"/>
      <c r="AP101" s="96"/>
      <c r="AQ101" s="96"/>
      <c r="AR101" s="96"/>
      <c r="AS101" s="96"/>
      <c r="AT101" s="96"/>
      <c r="AU101" s="96">
        <v>3181234.05</v>
      </c>
      <c r="AV101" s="96">
        <v>4116558.03</v>
      </c>
      <c r="AW101" s="96">
        <v>4037929.14</v>
      </c>
      <c r="AX101" s="96">
        <v>3926907.13</v>
      </c>
      <c r="AY101" s="96">
        <v>3771191.19</v>
      </c>
      <c r="AZ101" s="96">
        <v>3673324.69</v>
      </c>
      <c r="BA101" s="96">
        <v>3593906.28</v>
      </c>
      <c r="BB101" s="96">
        <v>3568909.81</v>
      </c>
      <c r="BC101" s="96">
        <v>3614577.1</v>
      </c>
      <c r="BD101" s="96">
        <v>3600045.46</v>
      </c>
      <c r="BE101" s="96">
        <v>3719991.01</v>
      </c>
      <c r="BF101" s="96">
        <v>4699584.15</v>
      </c>
      <c r="BG101" s="472">
        <v>4640169.96</v>
      </c>
      <c r="BH101" s="472">
        <v>4560950.66</v>
      </c>
      <c r="BI101" s="472">
        <v>4587874.02</v>
      </c>
      <c r="BJ101" s="472">
        <v>4600285.85</v>
      </c>
      <c r="BK101" s="472">
        <v>4588221.37</v>
      </c>
      <c r="BL101" s="472">
        <v>4719722.07</v>
      </c>
      <c r="BM101" s="472">
        <v>4554692.67</v>
      </c>
      <c r="BN101" s="472">
        <v>4553935.58</v>
      </c>
      <c r="BO101" s="472">
        <v>4567455.87</v>
      </c>
      <c r="BP101" s="472">
        <v>4560378.46</v>
      </c>
      <c r="BQ101" s="472">
        <v>4569018.78</v>
      </c>
      <c r="BR101" s="472">
        <v>4541379.72</v>
      </c>
      <c r="BS101" s="472">
        <v>218413.97</v>
      </c>
      <c r="BT101" s="472">
        <v>180079.79</v>
      </c>
      <c r="BU101" s="472">
        <v>131156.49</v>
      </c>
      <c r="BV101" s="472">
        <v>1309.99</v>
      </c>
      <c r="BW101" s="472">
        <v>0.0</v>
      </c>
      <c r="BX101" s="472">
        <v>311.85</v>
      </c>
      <c r="BY101" s="472">
        <v>304.42</v>
      </c>
      <c r="BZ101" s="472">
        <v>304.42</v>
      </c>
      <c r="CA101" s="474">
        <v>0.0</v>
      </c>
      <c r="CB101" s="474">
        <v>0.0</v>
      </c>
      <c r="CC101" s="474">
        <v>0.0</v>
      </c>
      <c r="CD101" s="474">
        <v>0.0</v>
      </c>
      <c r="CE101" s="474">
        <v>0.0</v>
      </c>
      <c r="CF101" s="474">
        <v>0.0</v>
      </c>
      <c r="CG101" s="474">
        <v>0.0</v>
      </c>
      <c r="CH101" s="65">
        <v>0.0</v>
      </c>
      <c r="CI101" s="65">
        <v>0.0</v>
      </c>
      <c r="CJ101" s="65">
        <v>0.0</v>
      </c>
      <c r="CK101" s="65">
        <v>0.0</v>
      </c>
      <c r="CL101" s="65">
        <v>0.0</v>
      </c>
      <c r="CM101" s="65">
        <v>0.0</v>
      </c>
      <c r="CN101" s="65">
        <v>0.0</v>
      </c>
    </row>
    <row r="102" ht="15.0" customHeight="1">
      <c r="A102" s="462" t="s">
        <v>2346</v>
      </c>
      <c r="B102" s="50" t="s">
        <v>710</v>
      </c>
      <c r="C102" s="141">
        <v>32374.0</v>
      </c>
      <c r="D102" s="63" t="s">
        <v>120</v>
      </c>
      <c r="E102" s="63" t="s">
        <v>91</v>
      </c>
      <c r="F102" s="81" t="s">
        <v>193</v>
      </c>
      <c r="G102" s="47" t="str">
        <f t="shared" si="1"/>
        <v>Breno</v>
      </c>
      <c r="H102" s="152" t="s">
        <v>295</v>
      </c>
      <c r="I102" s="49" t="s">
        <v>382</v>
      </c>
      <c r="J102" s="63" t="str">
        <f t="shared" si="4"/>
        <v>Não</v>
      </c>
      <c r="K102" s="143">
        <v>44586.0</v>
      </c>
      <c r="L102" s="81"/>
      <c r="M102" s="81" t="s">
        <v>61</v>
      </c>
      <c r="N102" s="478">
        <v>0.007</v>
      </c>
      <c r="O102" s="141" t="s">
        <v>66</v>
      </c>
      <c r="P102" s="145">
        <v>0.0</v>
      </c>
      <c r="Q102" s="171"/>
      <c r="R102" s="171"/>
      <c r="S102" s="62" t="s">
        <v>194</v>
      </c>
      <c r="T102" s="22" t="s">
        <v>717</v>
      </c>
      <c r="U102" s="95" t="s">
        <v>221</v>
      </c>
      <c r="V102" s="49" t="str">
        <f t="shared" si="3"/>
        <v>Ativo</v>
      </c>
      <c r="W102" s="150"/>
      <c r="X102" s="150"/>
      <c r="Y102" s="30" t="s">
        <v>244</v>
      </c>
      <c r="Z102" s="81"/>
      <c r="AA102" s="467">
        <v>44586.0</v>
      </c>
      <c r="AB102" s="30">
        <v>4.9075100003491E13</v>
      </c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96"/>
      <c r="AQ102" s="96"/>
      <c r="AR102" s="96"/>
      <c r="AS102" s="96"/>
      <c r="AT102" s="96"/>
      <c r="AU102" s="482"/>
      <c r="AV102" s="482"/>
      <c r="AW102" s="482"/>
      <c r="AX102" s="96"/>
      <c r="AY102" s="96"/>
      <c r="AZ102" s="96"/>
      <c r="BA102" s="96"/>
      <c r="BB102" s="379"/>
      <c r="BC102" s="96">
        <v>153835.81</v>
      </c>
      <c r="BD102" s="96">
        <v>154743.82</v>
      </c>
      <c r="BE102" s="96">
        <v>157483.16</v>
      </c>
      <c r="BF102" s="96">
        <v>158294.95</v>
      </c>
      <c r="BG102" s="472">
        <v>159744.82</v>
      </c>
      <c r="BH102" s="472">
        <v>160584.04</v>
      </c>
      <c r="BI102" s="472">
        <v>160854.33</v>
      </c>
      <c r="BJ102" s="472">
        <v>162604.58</v>
      </c>
      <c r="BK102" s="472">
        <v>163479.05</v>
      </c>
      <c r="BL102" s="472">
        <v>164857.05</v>
      </c>
      <c r="BM102" s="472">
        <v>164805.0</v>
      </c>
      <c r="BN102" s="472">
        <v>166324.31</v>
      </c>
      <c r="BO102" s="472">
        <v>148414.75</v>
      </c>
      <c r="BP102" s="472">
        <v>169930.19</v>
      </c>
      <c r="BQ102" s="472">
        <v>172150.93</v>
      </c>
      <c r="BR102" s="472">
        <v>173566.34</v>
      </c>
      <c r="BS102" s="472">
        <v>175575.6</v>
      </c>
      <c r="BT102" s="472">
        <v>177312.17</v>
      </c>
      <c r="BU102" s="472">
        <v>178605.67</v>
      </c>
      <c r="BV102" s="472">
        <v>174803.39</v>
      </c>
      <c r="BW102" s="472">
        <v>181863.57</v>
      </c>
      <c r="BX102" s="472">
        <v>183441.39</v>
      </c>
      <c r="BY102" s="472">
        <v>184790.43</v>
      </c>
      <c r="BZ102" s="472">
        <v>186593.69</v>
      </c>
      <c r="CA102" s="474">
        <v>188422.53</v>
      </c>
      <c r="CB102" s="474">
        <v>189690.65</v>
      </c>
      <c r="CC102" s="474">
        <v>42652.33</v>
      </c>
      <c r="CD102" s="474">
        <v>187785.65</v>
      </c>
      <c r="CE102" s="474">
        <v>189454.57</v>
      </c>
      <c r="CF102" s="474">
        <v>191071.03</v>
      </c>
      <c r="CG102" s="474">
        <v>27701.73</v>
      </c>
      <c r="CH102" s="65">
        <v>0.0</v>
      </c>
      <c r="CI102" s="65">
        <v>0.0</v>
      </c>
      <c r="CJ102" s="65">
        <v>0.0</v>
      </c>
      <c r="CK102" s="65">
        <v>0.0</v>
      </c>
      <c r="CL102" s="65">
        <v>0.02</v>
      </c>
      <c r="CM102" s="65">
        <v>0.02</v>
      </c>
      <c r="CN102" s="65">
        <v>0.02</v>
      </c>
    </row>
    <row r="103" ht="15.75" customHeight="1">
      <c r="A103" s="462" t="s">
        <v>2346</v>
      </c>
      <c r="B103" s="176" t="s">
        <v>4438</v>
      </c>
      <c r="C103" s="141">
        <v>649661.0</v>
      </c>
      <c r="D103" s="63" t="s">
        <v>120</v>
      </c>
      <c r="E103" s="63" t="s">
        <v>91</v>
      </c>
      <c r="F103" s="66" t="s">
        <v>521</v>
      </c>
      <c r="G103" s="47" t="str">
        <f t="shared" si="1"/>
        <v>Breno</v>
      </c>
      <c r="H103" s="152" t="s">
        <v>224</v>
      </c>
      <c r="I103" s="74" t="s">
        <v>66</v>
      </c>
      <c r="J103" s="63" t="str">
        <f t="shared" si="4"/>
        <v>Não</v>
      </c>
      <c r="K103" s="467">
        <v>44715.0</v>
      </c>
      <c r="L103" s="467">
        <v>45061.0</v>
      </c>
      <c r="M103" s="81" t="s">
        <v>34</v>
      </c>
      <c r="N103" s="478">
        <v>0.012</v>
      </c>
      <c r="O103" s="141" t="s">
        <v>66</v>
      </c>
      <c r="P103" s="145">
        <v>0.0</v>
      </c>
      <c r="Q103" s="158"/>
      <c r="R103" s="158"/>
      <c r="S103" s="62" t="s">
        <v>194</v>
      </c>
      <c r="T103" s="22" t="s">
        <v>4445</v>
      </c>
      <c r="U103" s="62" t="s">
        <v>221</v>
      </c>
      <c r="V103" s="49" t="str">
        <f t="shared" si="3"/>
        <v>Encerrado</v>
      </c>
      <c r="W103" s="150"/>
      <c r="X103" s="150"/>
      <c r="Y103" s="81"/>
      <c r="Z103" s="81"/>
      <c r="AA103" s="81"/>
      <c r="AB103" s="30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96"/>
      <c r="AQ103" s="96"/>
      <c r="AR103" s="96"/>
      <c r="AS103" s="96"/>
      <c r="AT103" s="96"/>
      <c r="AU103" s="482"/>
      <c r="AV103" s="482"/>
      <c r="AW103" s="482"/>
      <c r="AX103" s="96"/>
      <c r="AY103" s="96"/>
      <c r="AZ103" s="96"/>
      <c r="BA103" s="96"/>
      <c r="BB103" s="379"/>
      <c r="BC103" s="96"/>
      <c r="BD103" s="96"/>
      <c r="BE103" s="96"/>
      <c r="BF103" s="96"/>
      <c r="BG103" s="562">
        <v>100000.0</v>
      </c>
      <c r="BH103" s="472">
        <v>99586.89</v>
      </c>
      <c r="BI103" s="472">
        <v>100518.74</v>
      </c>
      <c r="BJ103" s="472">
        <v>101774.65</v>
      </c>
      <c r="BK103" s="472">
        <v>322018.84</v>
      </c>
      <c r="BL103" s="472">
        <v>327982.67</v>
      </c>
      <c r="BM103" s="472">
        <v>327911.77</v>
      </c>
      <c r="BN103" s="472">
        <v>331139.08</v>
      </c>
      <c r="BO103" s="472">
        <v>334636.9</v>
      </c>
      <c r="BP103" s="472">
        <v>337342.66</v>
      </c>
      <c r="BQ103" s="472">
        <v>371659.01</v>
      </c>
      <c r="BR103" s="472">
        <v>374321.38</v>
      </c>
      <c r="BS103" s="472">
        <v>364218.67</v>
      </c>
      <c r="BT103" s="472">
        <v>0.0</v>
      </c>
      <c r="BU103" s="472">
        <v>0.0</v>
      </c>
      <c r="BV103" s="472">
        <v>0.0</v>
      </c>
      <c r="BW103" s="472">
        <v>0.0</v>
      </c>
      <c r="BX103" s="472">
        <v>0.0</v>
      </c>
      <c r="BY103" s="472">
        <v>0.0</v>
      </c>
      <c r="BZ103" s="472">
        <v>0.0</v>
      </c>
      <c r="CA103" s="474">
        <v>0.0</v>
      </c>
      <c r="CB103" s="474">
        <v>0.0</v>
      </c>
      <c r="CC103" s="474">
        <v>0.0</v>
      </c>
      <c r="CD103" s="474">
        <v>0.0</v>
      </c>
      <c r="CE103" s="474">
        <v>0.0</v>
      </c>
      <c r="CF103" s="474">
        <v>0.0</v>
      </c>
      <c r="CG103" s="474">
        <v>0.0</v>
      </c>
      <c r="CH103" s="65">
        <v>0.0</v>
      </c>
      <c r="CI103" s="65">
        <v>0.0</v>
      </c>
      <c r="CJ103" s="65">
        <v>0.0</v>
      </c>
      <c r="CK103" s="65">
        <v>0.0</v>
      </c>
      <c r="CL103" s="65">
        <v>0.0</v>
      </c>
      <c r="CM103" s="65">
        <v>0.0</v>
      </c>
      <c r="CN103" s="65">
        <v>0.0</v>
      </c>
    </row>
    <row r="104" ht="15.75" customHeight="1">
      <c r="A104" s="462" t="s">
        <v>2346</v>
      </c>
      <c r="B104" s="176" t="s">
        <v>4438</v>
      </c>
      <c r="C104" s="141">
        <v>377958.0</v>
      </c>
      <c r="D104" s="63" t="s">
        <v>120</v>
      </c>
      <c r="E104" s="63" t="s">
        <v>91</v>
      </c>
      <c r="F104" s="81" t="s">
        <v>4461</v>
      </c>
      <c r="G104" s="47" t="str">
        <f t="shared" si="1"/>
        <v>Breno</v>
      </c>
      <c r="H104" s="152" t="s">
        <v>224</v>
      </c>
      <c r="I104" s="74" t="s">
        <v>66</v>
      </c>
      <c r="J104" s="63" t="str">
        <f t="shared" si="4"/>
        <v>Não</v>
      </c>
      <c r="K104" s="143">
        <v>44999.0</v>
      </c>
      <c r="L104" s="467">
        <v>43966.0</v>
      </c>
      <c r="M104" s="81" t="s">
        <v>4465</v>
      </c>
      <c r="N104" s="478">
        <v>0.02</v>
      </c>
      <c r="O104" s="141" t="s">
        <v>233</v>
      </c>
      <c r="P104" s="145">
        <v>0.2</v>
      </c>
      <c r="Q104" s="158"/>
      <c r="R104" s="158"/>
      <c r="S104" s="62" t="s">
        <v>194</v>
      </c>
      <c r="T104" s="22" t="s">
        <v>4445</v>
      </c>
      <c r="U104" s="30" t="s">
        <v>221</v>
      </c>
      <c r="V104" s="49" t="str">
        <f t="shared" si="3"/>
        <v>Encerrado</v>
      </c>
      <c r="W104" s="150"/>
      <c r="X104" s="150"/>
      <c r="Y104" s="81"/>
      <c r="Z104" s="81"/>
      <c r="AA104" s="81"/>
      <c r="AB104" s="30"/>
      <c r="AC104" s="482"/>
      <c r="AD104" s="482"/>
      <c r="AE104" s="482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482"/>
      <c r="AW104" s="482"/>
      <c r="AX104" s="482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472"/>
      <c r="BL104" s="472"/>
      <c r="BM104" s="472"/>
      <c r="BN104" s="472"/>
      <c r="BO104" s="472"/>
      <c r="BP104" s="472"/>
      <c r="BQ104" s="472">
        <v>49584.54</v>
      </c>
      <c r="BR104" s="472">
        <v>50539.09</v>
      </c>
      <c r="BS104" s="472">
        <v>43341.95</v>
      </c>
      <c r="BT104" s="472">
        <v>0.0</v>
      </c>
      <c r="BU104" s="472">
        <v>0.0</v>
      </c>
      <c r="BV104" s="472">
        <v>0.0</v>
      </c>
      <c r="BW104" s="472">
        <v>0.0</v>
      </c>
      <c r="BX104" s="472">
        <v>0.0</v>
      </c>
      <c r="BY104" s="472">
        <v>0.0</v>
      </c>
      <c r="BZ104" s="472">
        <v>0.0</v>
      </c>
      <c r="CA104" s="474">
        <v>0.0</v>
      </c>
      <c r="CB104" s="474">
        <v>0.0</v>
      </c>
      <c r="CC104" s="474">
        <v>0.0</v>
      </c>
      <c r="CD104" s="474">
        <v>0.0</v>
      </c>
      <c r="CE104" s="474">
        <v>0.0</v>
      </c>
      <c r="CF104" s="474">
        <v>0.0</v>
      </c>
      <c r="CG104" s="474">
        <v>0.0</v>
      </c>
      <c r="CH104" s="65">
        <v>0.0</v>
      </c>
      <c r="CI104" s="65">
        <v>0.0</v>
      </c>
      <c r="CJ104" s="65">
        <v>0.0</v>
      </c>
      <c r="CK104" s="65">
        <v>0.0</v>
      </c>
      <c r="CL104" s="65">
        <v>0.0</v>
      </c>
      <c r="CM104" s="65">
        <v>0.0</v>
      </c>
      <c r="CN104" s="65">
        <v>0.0</v>
      </c>
    </row>
    <row r="105" ht="15.75" customHeight="1">
      <c r="A105" s="462" t="s">
        <v>2346</v>
      </c>
      <c r="B105" s="477" t="s">
        <v>4492</v>
      </c>
      <c r="C105" s="141">
        <v>453416.0</v>
      </c>
      <c r="D105" s="63" t="s">
        <v>669</v>
      </c>
      <c r="E105" s="63" t="s">
        <v>199</v>
      </c>
      <c r="F105" s="81" t="s">
        <v>669</v>
      </c>
      <c r="G105" s="47" t="str">
        <f t="shared" si="1"/>
        <v>Breno</v>
      </c>
      <c r="H105" s="152" t="s">
        <v>224</v>
      </c>
      <c r="I105" s="74" t="s">
        <v>66</v>
      </c>
      <c r="J105" s="63" t="str">
        <f t="shared" si="4"/>
        <v>Não</v>
      </c>
      <c r="K105" s="151">
        <v>43924.0</v>
      </c>
      <c r="L105" s="480">
        <v>44482.0</v>
      </c>
      <c r="M105" s="81" t="s">
        <v>209</v>
      </c>
      <c r="N105" s="478">
        <v>0.015</v>
      </c>
      <c r="O105" s="63" t="s">
        <v>35</v>
      </c>
      <c r="P105" s="145">
        <v>0.1</v>
      </c>
      <c r="Q105" s="158"/>
      <c r="R105" s="158"/>
      <c r="S105" s="62" t="s">
        <v>194</v>
      </c>
      <c r="T105" s="30" t="s">
        <v>4497</v>
      </c>
      <c r="U105" s="81" t="s">
        <v>199</v>
      </c>
      <c r="V105" s="49" t="str">
        <f t="shared" si="3"/>
        <v>Encerrado</v>
      </c>
      <c r="W105" s="150"/>
      <c r="X105" s="150"/>
      <c r="Y105" s="81"/>
      <c r="Z105" s="81"/>
      <c r="AA105" s="81"/>
      <c r="AB105" s="30"/>
      <c r="AC105" s="482"/>
      <c r="AD105" s="482"/>
      <c r="AE105" s="482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482"/>
      <c r="AW105" s="482"/>
      <c r="AX105" s="482"/>
      <c r="AY105" s="96"/>
      <c r="AZ105" s="96"/>
      <c r="BA105" s="96"/>
      <c r="BB105" s="96"/>
      <c r="BC105" s="96"/>
      <c r="BD105" s="96">
        <v>0.0</v>
      </c>
      <c r="BE105" s="96">
        <v>0.0</v>
      </c>
      <c r="BF105" s="96">
        <v>0.0</v>
      </c>
      <c r="BG105" s="96" t="s">
        <v>377</v>
      </c>
      <c r="BH105" s="96">
        <v>0.0</v>
      </c>
      <c r="BI105" s="96" t="s">
        <v>377</v>
      </c>
      <c r="BJ105" s="96">
        <v>0.0</v>
      </c>
      <c r="BK105" s="472">
        <v>0.0</v>
      </c>
      <c r="BL105" s="472">
        <v>0.0</v>
      </c>
      <c r="BM105" s="472">
        <v>0.0</v>
      </c>
      <c r="BN105" s="472">
        <v>0.0</v>
      </c>
      <c r="BO105" s="472">
        <v>0.0</v>
      </c>
      <c r="BP105" s="472">
        <v>0.0</v>
      </c>
      <c r="BQ105" s="472">
        <v>0.0</v>
      </c>
      <c r="BR105" s="472">
        <v>0.0</v>
      </c>
      <c r="BS105" s="472">
        <v>0.0</v>
      </c>
      <c r="BT105" s="472">
        <v>0.0</v>
      </c>
      <c r="BU105" s="472">
        <v>0.0</v>
      </c>
      <c r="BV105" s="472">
        <v>0.0</v>
      </c>
      <c r="BW105" s="472">
        <v>0.0</v>
      </c>
      <c r="BX105" s="472">
        <v>0.0</v>
      </c>
      <c r="BY105" s="472">
        <v>0.0</v>
      </c>
      <c r="BZ105" s="472">
        <v>0.0</v>
      </c>
      <c r="CA105" s="474">
        <v>0.0</v>
      </c>
      <c r="CB105" s="474">
        <v>0.0</v>
      </c>
      <c r="CC105" s="474">
        <v>0.0</v>
      </c>
      <c r="CD105" s="474">
        <v>0.0</v>
      </c>
      <c r="CE105" s="474">
        <v>0.0</v>
      </c>
      <c r="CF105" s="474">
        <v>0.0</v>
      </c>
      <c r="CG105" s="474">
        <v>0.0</v>
      </c>
      <c r="CH105" s="65">
        <v>0.0</v>
      </c>
      <c r="CI105" s="65">
        <v>0.0</v>
      </c>
      <c r="CJ105" s="65">
        <v>0.0</v>
      </c>
      <c r="CK105" s="65">
        <v>0.0</v>
      </c>
      <c r="CL105" s="65">
        <v>0.0</v>
      </c>
      <c r="CM105" s="65">
        <v>0.0</v>
      </c>
      <c r="CN105" s="65">
        <v>0.0</v>
      </c>
    </row>
    <row r="106" ht="15.75" customHeight="1">
      <c r="A106" s="462" t="s">
        <v>2346</v>
      </c>
      <c r="B106" s="462" t="s">
        <v>4507</v>
      </c>
      <c r="C106" s="141">
        <v>362767.0</v>
      </c>
      <c r="D106" s="63" t="s">
        <v>120</v>
      </c>
      <c r="E106" s="63" t="s">
        <v>91</v>
      </c>
      <c r="F106" s="66" t="s">
        <v>521</v>
      </c>
      <c r="G106" s="47" t="str">
        <f t="shared" si="1"/>
        <v>Breno</v>
      </c>
      <c r="H106" s="142" t="s">
        <v>295</v>
      </c>
      <c r="I106" s="49" t="s">
        <v>382</v>
      </c>
      <c r="J106" s="63" t="str">
        <f t="shared" si="4"/>
        <v>Não</v>
      </c>
      <c r="K106" s="479">
        <v>44844.0</v>
      </c>
      <c r="L106" s="81"/>
      <c r="M106" s="81" t="s">
        <v>61</v>
      </c>
      <c r="N106" s="464">
        <v>0.01</v>
      </c>
      <c r="O106" s="141" t="s">
        <v>66</v>
      </c>
      <c r="P106" s="145">
        <v>0.0</v>
      </c>
      <c r="Q106" s="158"/>
      <c r="R106" s="158"/>
      <c r="S106" s="62" t="s">
        <v>194</v>
      </c>
      <c r="T106" s="141" t="s">
        <v>4510</v>
      </c>
      <c r="U106" s="30" t="s">
        <v>221</v>
      </c>
      <c r="V106" s="49" t="str">
        <f t="shared" si="3"/>
        <v>Inativo</v>
      </c>
      <c r="W106" s="150"/>
      <c r="X106" s="150"/>
      <c r="Y106" s="30" t="s">
        <v>244</v>
      </c>
      <c r="Z106" s="81"/>
      <c r="AA106" s="480">
        <v>44844.0</v>
      </c>
      <c r="AB106" s="30">
        <v>4.9075100010536E13</v>
      </c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471"/>
      <c r="AR106" s="471"/>
      <c r="AS106" s="471"/>
      <c r="AT106" s="471"/>
      <c r="AU106" s="471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472"/>
      <c r="BH106" s="472"/>
      <c r="BI106" s="472"/>
      <c r="BJ106" s="472"/>
      <c r="BK106" s="472">
        <v>0.0</v>
      </c>
      <c r="BL106" s="472">
        <v>23558.51</v>
      </c>
      <c r="BM106" s="472">
        <v>23648.02</v>
      </c>
      <c r="BN106" s="472">
        <v>27890.64</v>
      </c>
      <c r="BO106" s="472">
        <v>28242.25</v>
      </c>
      <c r="BP106" s="472">
        <v>36446.98</v>
      </c>
      <c r="BQ106" s="472">
        <v>40875.6</v>
      </c>
      <c r="BR106" s="472">
        <v>41178.79</v>
      </c>
      <c r="BS106" s="472">
        <v>41639.2</v>
      </c>
      <c r="BT106" s="472">
        <v>0.0</v>
      </c>
      <c r="BU106" s="472">
        <v>0.0</v>
      </c>
      <c r="BV106" s="472">
        <v>0.0</v>
      </c>
      <c r="BW106" s="472">
        <v>0.0</v>
      </c>
      <c r="BX106" s="472">
        <v>0.0</v>
      </c>
      <c r="BY106" s="472">
        <v>0.0</v>
      </c>
      <c r="BZ106" s="472">
        <v>0.0</v>
      </c>
      <c r="CA106" s="474">
        <v>0.0</v>
      </c>
      <c r="CB106" s="474">
        <v>0.0</v>
      </c>
      <c r="CC106" s="474">
        <v>0.0</v>
      </c>
      <c r="CD106" s="474">
        <v>0.0</v>
      </c>
      <c r="CE106" s="474">
        <v>0.0</v>
      </c>
      <c r="CF106" s="474">
        <v>0.0</v>
      </c>
      <c r="CG106" s="474">
        <v>0.0</v>
      </c>
      <c r="CH106" s="65">
        <v>0.0</v>
      </c>
      <c r="CI106" s="65">
        <v>0.0</v>
      </c>
      <c r="CJ106" s="65">
        <v>0.0</v>
      </c>
      <c r="CK106" s="65">
        <v>0.0</v>
      </c>
      <c r="CL106" s="65">
        <v>0.0</v>
      </c>
      <c r="CM106" s="65">
        <v>0.0</v>
      </c>
      <c r="CN106" s="65">
        <v>0.0</v>
      </c>
    </row>
    <row r="107" ht="15.75" customHeight="1">
      <c r="A107" s="462" t="s">
        <v>2346</v>
      </c>
      <c r="B107" s="176" t="s">
        <v>4520</v>
      </c>
      <c r="C107" s="141">
        <v>38407.0</v>
      </c>
      <c r="D107" s="63" t="s">
        <v>120</v>
      </c>
      <c r="E107" s="63" t="s">
        <v>91</v>
      </c>
      <c r="F107" s="66" t="s">
        <v>193</v>
      </c>
      <c r="G107" s="47" t="str">
        <f t="shared" si="1"/>
        <v>Breno</v>
      </c>
      <c r="H107" s="142" t="s">
        <v>295</v>
      </c>
      <c r="I107" s="49" t="s">
        <v>382</v>
      </c>
      <c r="J107" s="63" t="str">
        <f t="shared" si="4"/>
        <v>Não</v>
      </c>
      <c r="K107" s="143">
        <v>44328.0</v>
      </c>
      <c r="L107" s="62"/>
      <c r="M107" s="81" t="s">
        <v>361</v>
      </c>
      <c r="N107" s="478">
        <v>0.02</v>
      </c>
      <c r="O107" s="63" t="s">
        <v>35</v>
      </c>
      <c r="P107" s="145">
        <v>0.2</v>
      </c>
      <c r="Q107" s="190"/>
      <c r="R107" s="70" t="s">
        <v>4522</v>
      </c>
      <c r="S107" s="62" t="s">
        <v>194</v>
      </c>
      <c r="T107" s="22" t="s">
        <v>4524</v>
      </c>
      <c r="U107" s="95" t="s">
        <v>221</v>
      </c>
      <c r="V107" s="49" t="str">
        <f t="shared" si="3"/>
        <v>Inativo</v>
      </c>
      <c r="W107" s="150"/>
      <c r="X107" s="150"/>
      <c r="Y107" s="30" t="s">
        <v>269</v>
      </c>
      <c r="Z107" s="81"/>
      <c r="AA107" s="467">
        <v>44328.0</v>
      </c>
      <c r="AB107" s="30">
        <v>4.9075100003513E13</v>
      </c>
      <c r="AC107" s="476"/>
      <c r="AD107" s="476"/>
      <c r="AE107" s="476"/>
      <c r="AF107" s="476"/>
      <c r="AG107" s="476"/>
      <c r="AH107" s="476"/>
      <c r="AI107" s="476"/>
      <c r="AJ107" s="476"/>
      <c r="AK107" s="476"/>
      <c r="AL107" s="476"/>
      <c r="AM107" s="476"/>
      <c r="AN107" s="476"/>
      <c r="AO107" s="476"/>
      <c r="AP107" s="476"/>
      <c r="AQ107" s="96"/>
      <c r="AR107" s="96"/>
      <c r="AS107" s="96"/>
      <c r="AT107" s="476"/>
      <c r="AU107" s="476">
        <v>1177660.82</v>
      </c>
      <c r="AV107" s="96">
        <v>1173871.7</v>
      </c>
      <c r="AW107" s="96">
        <v>1156923.57</v>
      </c>
      <c r="AX107" s="96">
        <v>1111457.52</v>
      </c>
      <c r="AY107" s="96">
        <v>1053312.32</v>
      </c>
      <c r="AZ107" s="96">
        <v>1035451.03</v>
      </c>
      <c r="BA107" s="96">
        <v>1013952.29</v>
      </c>
      <c r="BB107" s="96">
        <v>1020123.94</v>
      </c>
      <c r="BC107" s="96">
        <v>1050556.69</v>
      </c>
      <c r="BD107" s="96">
        <v>1057285.97</v>
      </c>
      <c r="BE107" s="96">
        <v>1120291.52</v>
      </c>
      <c r="BF107" s="96">
        <v>1088310.95</v>
      </c>
      <c r="BG107" s="472">
        <v>1061984.96</v>
      </c>
      <c r="BH107" s="472">
        <v>1024991.07</v>
      </c>
      <c r="BI107" s="472">
        <v>1049233.51</v>
      </c>
      <c r="BJ107" s="472">
        <v>1074699.35</v>
      </c>
      <c r="BK107" s="472">
        <v>1081669.3</v>
      </c>
      <c r="BL107" s="472">
        <v>1126458.36</v>
      </c>
      <c r="BM107" s="472">
        <v>1116842.39</v>
      </c>
      <c r="BN107" s="472">
        <v>1121409.05</v>
      </c>
      <c r="BO107" s="472">
        <v>1136767.01</v>
      </c>
      <c r="BP107" s="472">
        <v>1129380.32</v>
      </c>
      <c r="BQ107" s="472">
        <v>1139300.37</v>
      </c>
      <c r="BR107" s="472">
        <v>134100.62</v>
      </c>
      <c r="BS107" s="472">
        <v>98137.73</v>
      </c>
      <c r="BT107" s="472">
        <v>104414.87</v>
      </c>
      <c r="BU107" s="472">
        <v>1473.31</v>
      </c>
      <c r="BV107" s="472">
        <v>1443.5</v>
      </c>
      <c r="BW107" s="472">
        <v>0.0</v>
      </c>
      <c r="BX107" s="472">
        <v>0.0</v>
      </c>
      <c r="BY107" s="472">
        <v>0.0</v>
      </c>
      <c r="BZ107" s="472">
        <v>0.0</v>
      </c>
      <c r="CA107" s="474">
        <v>0.0</v>
      </c>
      <c r="CB107" s="474">
        <v>0.0</v>
      </c>
      <c r="CC107" s="474">
        <v>0.0</v>
      </c>
      <c r="CD107" s="474">
        <v>0.0</v>
      </c>
      <c r="CE107" s="474">
        <v>0.0</v>
      </c>
      <c r="CF107" s="474">
        <v>0.0</v>
      </c>
      <c r="CG107" s="474">
        <v>0.0</v>
      </c>
      <c r="CH107" s="65">
        <v>0.0</v>
      </c>
      <c r="CI107" s="65">
        <v>0.0</v>
      </c>
      <c r="CJ107" s="65">
        <v>0.0</v>
      </c>
      <c r="CK107" s="65">
        <v>0.0</v>
      </c>
      <c r="CL107" s="65">
        <v>0.0</v>
      </c>
      <c r="CM107" s="65">
        <v>0.0</v>
      </c>
      <c r="CN107" s="65">
        <v>0.0</v>
      </c>
    </row>
    <row r="108" ht="15.75" customHeight="1">
      <c r="A108" s="462" t="s">
        <v>2346</v>
      </c>
      <c r="B108" s="176" t="s">
        <v>4531</v>
      </c>
      <c r="C108" s="141">
        <v>35124.0</v>
      </c>
      <c r="D108" s="63" t="s">
        <v>120</v>
      </c>
      <c r="E108" s="63" t="s">
        <v>91</v>
      </c>
      <c r="F108" s="63" t="s">
        <v>521</v>
      </c>
      <c r="G108" s="47" t="str">
        <f t="shared" si="1"/>
        <v>Breno</v>
      </c>
      <c r="H108" s="152" t="s">
        <v>224</v>
      </c>
      <c r="I108" s="74" t="s">
        <v>66</v>
      </c>
      <c r="J108" s="63" t="str">
        <f t="shared" si="4"/>
        <v>Não</v>
      </c>
      <c r="K108" s="467">
        <v>44594.0</v>
      </c>
      <c r="L108" s="194">
        <v>44937.0</v>
      </c>
      <c r="M108" s="81" t="s">
        <v>209</v>
      </c>
      <c r="N108" s="478">
        <v>0.015</v>
      </c>
      <c r="O108" s="63" t="s">
        <v>35</v>
      </c>
      <c r="P108" s="145">
        <v>0.1</v>
      </c>
      <c r="Q108" s="190"/>
      <c r="R108" s="160"/>
      <c r="S108" s="62" t="s">
        <v>194</v>
      </c>
      <c r="T108" s="22" t="s">
        <v>4533</v>
      </c>
      <c r="U108" s="95" t="s">
        <v>221</v>
      </c>
      <c r="V108" s="49" t="str">
        <f t="shared" si="3"/>
        <v>Encerrado</v>
      </c>
      <c r="W108" s="150"/>
      <c r="X108" s="150"/>
      <c r="Y108" s="30" t="s">
        <v>244</v>
      </c>
      <c r="Z108" s="81"/>
      <c r="AA108" s="81"/>
      <c r="AB108" s="30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471"/>
      <c r="AR108" s="471"/>
      <c r="AS108" s="471"/>
      <c r="AT108" s="471"/>
      <c r="AU108" s="471"/>
      <c r="AV108" s="96"/>
      <c r="AW108" s="96"/>
      <c r="AX108" s="96"/>
      <c r="AY108" s="96"/>
      <c r="AZ108" s="96"/>
      <c r="BA108" s="96"/>
      <c r="BB108" s="96"/>
      <c r="BC108" s="96"/>
      <c r="BD108" s="96">
        <v>47584.6</v>
      </c>
      <c r="BE108" s="96">
        <v>49321.57</v>
      </c>
      <c r="BF108" s="96">
        <v>48854.82</v>
      </c>
      <c r="BG108" s="472">
        <v>48877.72</v>
      </c>
      <c r="BH108" s="472">
        <v>48673.64</v>
      </c>
      <c r="BI108" s="472">
        <v>49278.23</v>
      </c>
      <c r="BJ108" s="472">
        <v>49791.56</v>
      </c>
      <c r="BK108" s="472">
        <v>50136.61</v>
      </c>
      <c r="BL108" s="472">
        <v>51402.78</v>
      </c>
      <c r="BM108" s="472">
        <v>14897.18</v>
      </c>
      <c r="BN108" s="472">
        <v>108.22</v>
      </c>
      <c r="BO108" s="472">
        <v>176.14</v>
      </c>
      <c r="BP108" s="472">
        <v>0.0</v>
      </c>
      <c r="BQ108" s="472">
        <v>1.65</v>
      </c>
      <c r="BR108" s="472">
        <v>1.65</v>
      </c>
      <c r="BS108" s="472">
        <v>1.65</v>
      </c>
      <c r="BT108" s="472">
        <v>0.0</v>
      </c>
      <c r="BU108" s="472">
        <v>0.0</v>
      </c>
      <c r="BV108" s="472">
        <v>0.0</v>
      </c>
      <c r="BW108" s="472">
        <v>0.0</v>
      </c>
      <c r="BX108" s="472">
        <v>0.0</v>
      </c>
      <c r="BY108" s="472">
        <v>0.0</v>
      </c>
      <c r="BZ108" s="472">
        <v>0.0</v>
      </c>
      <c r="CA108" s="474">
        <v>0.0</v>
      </c>
      <c r="CB108" s="474">
        <v>0.0</v>
      </c>
      <c r="CC108" s="474">
        <v>0.0</v>
      </c>
      <c r="CD108" s="474">
        <v>0.0</v>
      </c>
      <c r="CE108" s="474">
        <v>0.0</v>
      </c>
      <c r="CF108" s="474">
        <v>0.0</v>
      </c>
      <c r="CG108" s="474">
        <v>0.0</v>
      </c>
      <c r="CH108" s="65">
        <v>0.0</v>
      </c>
      <c r="CI108" s="65">
        <v>0.0</v>
      </c>
      <c r="CJ108" s="65">
        <v>0.0</v>
      </c>
      <c r="CK108" s="65">
        <v>0.0</v>
      </c>
      <c r="CL108" s="65">
        <v>0.0</v>
      </c>
      <c r="CM108" s="65">
        <v>0.0</v>
      </c>
      <c r="CN108" s="65">
        <v>0.0</v>
      </c>
    </row>
    <row r="109" ht="15.75" customHeight="1">
      <c r="A109" s="462" t="s">
        <v>2346</v>
      </c>
      <c r="B109" s="462" t="s">
        <v>4545</v>
      </c>
      <c r="C109" s="141">
        <v>446581.0</v>
      </c>
      <c r="D109" s="63" t="s">
        <v>120</v>
      </c>
      <c r="E109" s="63" t="s">
        <v>199</v>
      </c>
      <c r="F109" s="141" t="s">
        <v>290</v>
      </c>
      <c r="G109" s="47" t="str">
        <f t="shared" si="1"/>
        <v>Breno</v>
      </c>
      <c r="H109" s="152" t="s">
        <v>224</v>
      </c>
      <c r="I109" s="49" t="s">
        <v>66</v>
      </c>
      <c r="J109" s="63" t="str">
        <f t="shared" si="4"/>
        <v>Sim</v>
      </c>
      <c r="K109" s="143">
        <v>43888.0</v>
      </c>
      <c r="L109" s="151">
        <v>45602.0</v>
      </c>
      <c r="M109" s="81" t="s">
        <v>34</v>
      </c>
      <c r="N109" s="478">
        <v>0.012</v>
      </c>
      <c r="O109" s="141" t="s">
        <v>66</v>
      </c>
      <c r="P109" s="145">
        <v>0.0</v>
      </c>
      <c r="Q109" s="158" t="s">
        <v>4546</v>
      </c>
      <c r="R109" s="153" t="s">
        <v>4547</v>
      </c>
      <c r="S109" s="62" t="s">
        <v>194</v>
      </c>
      <c r="T109" s="141" t="s">
        <v>4548</v>
      </c>
      <c r="U109" s="63" t="s">
        <v>199</v>
      </c>
      <c r="V109" s="49" t="str">
        <f t="shared" si="3"/>
        <v>Encerrado</v>
      </c>
      <c r="W109" s="150"/>
      <c r="X109" s="150"/>
      <c r="Y109" s="30" t="s">
        <v>244</v>
      </c>
      <c r="Z109" s="81"/>
      <c r="AA109" s="467">
        <v>43888.0</v>
      </c>
      <c r="AB109" s="30">
        <v>4.9075100003531E13</v>
      </c>
      <c r="AC109" s="96">
        <v>0.0</v>
      </c>
      <c r="AD109" s="96">
        <v>210400.38</v>
      </c>
      <c r="AE109" s="96">
        <v>217537.66</v>
      </c>
      <c r="AF109" s="96">
        <v>249728.8</v>
      </c>
      <c r="AG109" s="96">
        <v>277118.75</v>
      </c>
      <c r="AH109" s="96">
        <v>299494.14</v>
      </c>
      <c r="AI109" s="96">
        <v>323571.35</v>
      </c>
      <c r="AJ109" s="96">
        <v>344286.6</v>
      </c>
      <c r="AK109" s="96">
        <v>359317.68</v>
      </c>
      <c r="AL109" s="96">
        <v>379151.05</v>
      </c>
      <c r="AM109" s="96">
        <v>407924.05</v>
      </c>
      <c r="AN109" s="96">
        <v>422219.3</v>
      </c>
      <c r="AO109" s="96">
        <v>439150.77</v>
      </c>
      <c r="AP109" s="96">
        <v>429584.67</v>
      </c>
      <c r="AQ109" s="471">
        <v>426457.31</v>
      </c>
      <c r="AR109" s="471">
        <v>455338.65</v>
      </c>
      <c r="AS109" s="471">
        <v>465971.13</v>
      </c>
      <c r="AT109" s="471">
        <v>466403.01</v>
      </c>
      <c r="AU109" s="471">
        <v>486198.89</v>
      </c>
      <c r="AV109" s="96">
        <v>495584.15</v>
      </c>
      <c r="AW109" s="96">
        <v>553906.92</v>
      </c>
      <c r="AX109" s="96">
        <v>579837.71</v>
      </c>
      <c r="AY109" s="96">
        <v>610455.91</v>
      </c>
      <c r="AZ109" s="96">
        <v>617582.86</v>
      </c>
      <c r="BA109" s="96">
        <v>626347.32</v>
      </c>
      <c r="BB109" s="96">
        <v>641991.9</v>
      </c>
      <c r="BC109" s="96">
        <v>649911.37</v>
      </c>
      <c r="BD109" s="96">
        <v>681637.59</v>
      </c>
      <c r="BE109" s="96">
        <v>717139.63</v>
      </c>
      <c r="BF109" s="96">
        <v>732718.91</v>
      </c>
      <c r="BG109" s="472">
        <v>754811.04</v>
      </c>
      <c r="BH109" s="472">
        <v>778566.21</v>
      </c>
      <c r="BI109" s="472">
        <v>784532.41</v>
      </c>
      <c r="BJ109" s="472">
        <v>794687.47</v>
      </c>
      <c r="BK109" s="472">
        <v>801054.97</v>
      </c>
      <c r="BL109" s="472">
        <v>819054.75</v>
      </c>
      <c r="BM109" s="472">
        <v>815004.14</v>
      </c>
      <c r="BN109" s="472">
        <v>822514.96</v>
      </c>
      <c r="BO109" s="472">
        <v>832926.55</v>
      </c>
      <c r="BP109" s="472">
        <v>770434.61</v>
      </c>
      <c r="BQ109" s="472">
        <v>852375.88</v>
      </c>
      <c r="BR109" s="472">
        <v>859318.81</v>
      </c>
      <c r="BS109" s="472">
        <v>868808.02</v>
      </c>
      <c r="BT109" s="472">
        <v>877665.15</v>
      </c>
      <c r="BU109" s="472">
        <v>883878.37</v>
      </c>
      <c r="BV109" s="472">
        <v>895996.57</v>
      </c>
      <c r="BW109" s="472">
        <v>899543.32</v>
      </c>
      <c r="BX109" s="472">
        <v>906046.77</v>
      </c>
      <c r="BY109" s="472">
        <v>914888.44</v>
      </c>
      <c r="BZ109" s="472">
        <v>923420.55</v>
      </c>
      <c r="CA109" s="474">
        <v>930389.3</v>
      </c>
      <c r="CB109" s="474">
        <v>936580.8</v>
      </c>
      <c r="CC109" s="474">
        <v>911170.25</v>
      </c>
      <c r="CD109" s="474">
        <v>947648.35</v>
      </c>
      <c r="CE109" s="474">
        <v>940545.61</v>
      </c>
      <c r="CF109" s="474">
        <v>946306.62</v>
      </c>
      <c r="CG109" s="474">
        <v>950817.92</v>
      </c>
      <c r="CH109" s="65">
        <v>956788.03</v>
      </c>
      <c r="CI109" s="65">
        <v>961401.03</v>
      </c>
      <c r="CJ109" s="65">
        <v>969724.74</v>
      </c>
      <c r="CK109" s="65">
        <v>530868.87</v>
      </c>
      <c r="CL109" s="65">
        <v>0.0</v>
      </c>
      <c r="CM109" s="65">
        <v>0.0</v>
      </c>
      <c r="CN109" s="65">
        <v>0.0</v>
      </c>
    </row>
    <row r="110" ht="15.75" customHeight="1">
      <c r="A110" s="462" t="s">
        <v>2346</v>
      </c>
      <c r="B110" s="462" t="s">
        <v>4558</v>
      </c>
      <c r="C110" s="141">
        <v>295437.0</v>
      </c>
      <c r="D110" s="63" t="s">
        <v>120</v>
      </c>
      <c r="E110" s="63" t="s">
        <v>199</v>
      </c>
      <c r="F110" s="63" t="s">
        <v>290</v>
      </c>
      <c r="G110" s="47" t="str">
        <f t="shared" si="1"/>
        <v>Breno</v>
      </c>
      <c r="H110" s="142" t="s">
        <v>295</v>
      </c>
      <c r="I110" s="49" t="s">
        <v>382</v>
      </c>
      <c r="J110" s="63" t="str">
        <f t="shared" si="4"/>
        <v>Não</v>
      </c>
      <c r="K110" s="479">
        <v>43398.0</v>
      </c>
      <c r="L110" s="81"/>
      <c r="M110" s="81" t="s">
        <v>231</v>
      </c>
      <c r="N110" s="464">
        <v>0.018</v>
      </c>
      <c r="O110" s="141" t="s">
        <v>233</v>
      </c>
      <c r="P110" s="145">
        <v>0.2</v>
      </c>
      <c r="Q110" s="158"/>
      <c r="R110" s="158"/>
      <c r="S110" s="62" t="s">
        <v>194</v>
      </c>
      <c r="T110" s="141" t="s">
        <v>4563</v>
      </c>
      <c r="U110" s="81" t="s">
        <v>199</v>
      </c>
      <c r="V110" s="49" t="str">
        <f t="shared" si="3"/>
        <v>Inativo</v>
      </c>
      <c r="W110" s="150"/>
      <c r="X110" s="150"/>
      <c r="Y110" s="30" t="s">
        <v>244</v>
      </c>
      <c r="Z110" s="81"/>
      <c r="AA110" s="480">
        <v>43398.0</v>
      </c>
      <c r="AB110" s="30">
        <v>4.9075100010544E13</v>
      </c>
      <c r="AC110" s="96">
        <v>190526.58</v>
      </c>
      <c r="AD110" s="96">
        <v>190363.44</v>
      </c>
      <c r="AE110" s="96">
        <v>142434.56</v>
      </c>
      <c r="AF110" s="96">
        <v>152346.03</v>
      </c>
      <c r="AG110" s="96">
        <v>158359.09</v>
      </c>
      <c r="AH110" s="96">
        <v>169377.55</v>
      </c>
      <c r="AI110" s="96">
        <v>185081.26</v>
      </c>
      <c r="AJ110" s="96">
        <v>172369.15</v>
      </c>
      <c r="AK110" s="96">
        <v>164563.19</v>
      </c>
      <c r="AL110" s="96">
        <v>171355.7</v>
      </c>
      <c r="AM110" s="96">
        <v>190011.51</v>
      </c>
      <c r="AN110" s="96">
        <v>196843.64</v>
      </c>
      <c r="AO110" s="96">
        <v>190897.04</v>
      </c>
      <c r="AP110" s="96">
        <v>175709.02</v>
      </c>
      <c r="AQ110" s="471">
        <v>169008.31</v>
      </c>
      <c r="AR110" s="471">
        <v>181927.66</v>
      </c>
      <c r="AS110" s="471">
        <v>183143.2</v>
      </c>
      <c r="AT110" s="471">
        <v>184337.44</v>
      </c>
      <c r="AU110" s="471">
        <v>192538.32</v>
      </c>
      <c r="AV110" s="96">
        <v>190021.02</v>
      </c>
      <c r="AW110" s="96">
        <v>184765.32</v>
      </c>
      <c r="AX110" s="96">
        <v>176851.26</v>
      </c>
      <c r="AY110" s="96">
        <v>169799.21</v>
      </c>
      <c r="AZ110" s="96">
        <v>159701.86</v>
      </c>
      <c r="BA110" s="96">
        <v>157605.91</v>
      </c>
      <c r="BB110" s="96">
        <v>160237.03</v>
      </c>
      <c r="BC110" s="96">
        <v>174203.55</v>
      </c>
      <c r="BD110" s="96">
        <v>179887.94</v>
      </c>
      <c r="BE110" s="96">
        <v>7177.72</v>
      </c>
      <c r="BF110" s="96">
        <v>0.0</v>
      </c>
      <c r="BG110" s="472" t="s">
        <v>377</v>
      </c>
      <c r="BH110" s="472">
        <v>0.0</v>
      </c>
      <c r="BI110" s="472" t="s">
        <v>377</v>
      </c>
      <c r="BJ110" s="472">
        <v>0.0</v>
      </c>
      <c r="BK110" s="472">
        <v>0.0</v>
      </c>
      <c r="BL110" s="472">
        <v>0.0</v>
      </c>
      <c r="BM110" s="472">
        <v>0.0</v>
      </c>
      <c r="BN110" s="472">
        <v>0.0</v>
      </c>
      <c r="BO110" s="472">
        <v>0.0</v>
      </c>
      <c r="BP110" s="472">
        <v>0.0</v>
      </c>
      <c r="BQ110" s="472">
        <v>0.0</v>
      </c>
      <c r="BR110" s="472">
        <v>0.0</v>
      </c>
      <c r="BS110" s="472">
        <v>0.0</v>
      </c>
      <c r="BT110" s="472">
        <v>0.0</v>
      </c>
      <c r="BU110" s="472">
        <v>0.0</v>
      </c>
      <c r="BV110" s="472">
        <v>0.0</v>
      </c>
      <c r="BW110" s="472">
        <v>0.0</v>
      </c>
      <c r="BX110" s="472">
        <v>0.0</v>
      </c>
      <c r="BY110" s="472">
        <v>0.0</v>
      </c>
      <c r="BZ110" s="472">
        <v>0.0</v>
      </c>
      <c r="CA110" s="474">
        <v>0.0</v>
      </c>
      <c r="CB110" s="474">
        <v>0.0</v>
      </c>
      <c r="CC110" s="474">
        <v>0.0</v>
      </c>
      <c r="CD110" s="474">
        <v>0.0</v>
      </c>
      <c r="CE110" s="474">
        <v>0.0</v>
      </c>
      <c r="CF110" s="474">
        <v>0.0</v>
      </c>
      <c r="CG110" s="474">
        <v>0.0</v>
      </c>
      <c r="CH110" s="65">
        <v>0.0</v>
      </c>
      <c r="CI110" s="65">
        <v>0.0</v>
      </c>
      <c r="CJ110" s="65">
        <v>0.0</v>
      </c>
      <c r="CK110" s="65">
        <v>0.0</v>
      </c>
      <c r="CL110" s="65">
        <v>0.0</v>
      </c>
      <c r="CM110" s="65">
        <v>0.0</v>
      </c>
      <c r="CN110" s="65">
        <v>0.0</v>
      </c>
    </row>
    <row r="111" ht="15.75" customHeight="1">
      <c r="A111" s="462" t="s">
        <v>2346</v>
      </c>
      <c r="B111" s="176" t="s">
        <v>725</v>
      </c>
      <c r="C111" s="141">
        <v>254180.0</v>
      </c>
      <c r="D111" s="63" t="s">
        <v>120</v>
      </c>
      <c r="E111" s="63" t="s">
        <v>91</v>
      </c>
      <c r="F111" s="63" t="s">
        <v>521</v>
      </c>
      <c r="G111" s="47" t="str">
        <f t="shared" si="1"/>
        <v>Breno</v>
      </c>
      <c r="H111" s="142" t="s">
        <v>183</v>
      </c>
      <c r="I111" s="74" t="s">
        <v>66</v>
      </c>
      <c r="J111" s="63" t="str">
        <f t="shared" si="4"/>
        <v>Sim</v>
      </c>
      <c r="K111" s="557">
        <v>44524.0</v>
      </c>
      <c r="L111" s="62"/>
      <c r="M111" s="81" t="s">
        <v>61</v>
      </c>
      <c r="N111" s="464">
        <v>0.007</v>
      </c>
      <c r="O111" s="141" t="s">
        <v>66</v>
      </c>
      <c r="P111" s="145">
        <v>0.0</v>
      </c>
      <c r="Q111" s="70" t="s">
        <v>726</v>
      </c>
      <c r="R111" s="70"/>
      <c r="S111" s="62" t="s">
        <v>194</v>
      </c>
      <c r="T111" s="22" t="s">
        <v>729</v>
      </c>
      <c r="U111" s="95" t="s">
        <v>221</v>
      </c>
      <c r="V111" s="49" t="str">
        <f t="shared" si="3"/>
        <v>Ativo</v>
      </c>
      <c r="W111" s="150"/>
      <c r="X111" s="150"/>
      <c r="Y111" s="30" t="s">
        <v>244</v>
      </c>
      <c r="Z111" s="81"/>
      <c r="AA111" s="480">
        <v>44524.0</v>
      </c>
      <c r="AB111" s="30">
        <v>4.9075100003548E13</v>
      </c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96"/>
      <c r="AN111" s="96"/>
      <c r="AO111" s="96"/>
      <c r="AP111" s="471"/>
      <c r="AQ111" s="471"/>
      <c r="AR111" s="471"/>
      <c r="AS111" s="471"/>
      <c r="AT111" s="471"/>
      <c r="AU111" s="96"/>
      <c r="AV111" s="96"/>
      <c r="AW111" s="96"/>
      <c r="AX111" s="96"/>
      <c r="AY111" s="96"/>
      <c r="AZ111" s="379"/>
      <c r="BA111" s="476">
        <v>229043.46</v>
      </c>
      <c r="BB111" s="476">
        <v>232348.43</v>
      </c>
      <c r="BC111" s="96">
        <v>232935.9</v>
      </c>
      <c r="BD111" s="96">
        <v>284187.59</v>
      </c>
      <c r="BE111" s="96">
        <v>289383.96</v>
      </c>
      <c r="BF111" s="96">
        <v>290744.64</v>
      </c>
      <c r="BG111" s="472">
        <v>293277.74</v>
      </c>
      <c r="BH111" s="472">
        <v>295123.04</v>
      </c>
      <c r="BI111" s="472">
        <v>274339.08</v>
      </c>
      <c r="BJ111" s="472">
        <v>262192.99</v>
      </c>
      <c r="BK111" s="472">
        <v>258661.31</v>
      </c>
      <c r="BL111" s="472">
        <v>253744.99</v>
      </c>
      <c r="BM111" s="472">
        <v>253604.87</v>
      </c>
      <c r="BN111" s="472">
        <v>255370.22</v>
      </c>
      <c r="BO111" s="472">
        <v>247651.98</v>
      </c>
      <c r="BP111" s="472">
        <v>239602.49</v>
      </c>
      <c r="BQ111" s="472">
        <v>242585.09</v>
      </c>
      <c r="BR111" s="472">
        <v>244054.02</v>
      </c>
      <c r="BS111" s="472">
        <v>246894.62</v>
      </c>
      <c r="BT111" s="472">
        <v>237137.67</v>
      </c>
      <c r="BU111" s="472">
        <v>223931.8</v>
      </c>
      <c r="BV111" s="472">
        <v>196437.45</v>
      </c>
      <c r="BW111" s="472">
        <v>197421.16</v>
      </c>
      <c r="BX111" s="472">
        <v>196259.97</v>
      </c>
      <c r="BY111" s="472">
        <v>172276.81</v>
      </c>
      <c r="BZ111" s="472">
        <v>199564.95</v>
      </c>
      <c r="CA111" s="474">
        <v>193033.34</v>
      </c>
      <c r="CB111" s="474">
        <v>178904.74</v>
      </c>
      <c r="CC111" s="474">
        <v>60942.67</v>
      </c>
      <c r="CD111" s="474">
        <v>189779.27</v>
      </c>
      <c r="CE111" s="474">
        <v>184105.71</v>
      </c>
      <c r="CF111" s="474">
        <v>185689.03</v>
      </c>
      <c r="CG111" s="474">
        <v>187447.73</v>
      </c>
      <c r="CH111" s="65">
        <v>184529.64</v>
      </c>
      <c r="CI111" s="65">
        <v>185061.85</v>
      </c>
      <c r="CJ111" s="65">
        <v>186801.22</v>
      </c>
      <c r="CK111" s="65">
        <v>187769.52</v>
      </c>
      <c r="CL111" s="65">
        <v>162494.34</v>
      </c>
      <c r="CM111" s="65">
        <v>186147.04</v>
      </c>
      <c r="CN111" s="65">
        <v>187612.82</v>
      </c>
    </row>
    <row r="112" ht="15.75" customHeight="1">
      <c r="A112" s="462" t="s">
        <v>2346</v>
      </c>
      <c r="B112" s="462" t="s">
        <v>735</v>
      </c>
      <c r="C112" s="141">
        <v>578866.0</v>
      </c>
      <c r="D112" s="63" t="s">
        <v>120</v>
      </c>
      <c r="E112" s="63" t="s">
        <v>199</v>
      </c>
      <c r="F112" s="63" t="s">
        <v>290</v>
      </c>
      <c r="G112" s="47" t="str">
        <f t="shared" si="1"/>
        <v>Bruno</v>
      </c>
      <c r="H112" s="142" t="s">
        <v>183</v>
      </c>
      <c r="I112" s="74" t="s">
        <v>66</v>
      </c>
      <c r="J112" s="63" t="str">
        <f t="shared" si="4"/>
        <v>Não</v>
      </c>
      <c r="K112" s="143">
        <v>43564.0</v>
      </c>
      <c r="L112" s="81"/>
      <c r="M112" s="81" t="s">
        <v>61</v>
      </c>
      <c r="N112" s="464">
        <v>0.01</v>
      </c>
      <c r="O112" s="141" t="s">
        <v>66</v>
      </c>
      <c r="P112" s="145">
        <v>0.0</v>
      </c>
      <c r="Q112" s="158"/>
      <c r="R112" s="158"/>
      <c r="S112" s="62" t="s">
        <v>194</v>
      </c>
      <c r="T112" s="141" t="s">
        <v>739</v>
      </c>
      <c r="U112" s="81" t="s">
        <v>199</v>
      </c>
      <c r="V112" s="49" t="str">
        <f t="shared" si="3"/>
        <v>Ativo</v>
      </c>
      <c r="W112" s="150"/>
      <c r="X112" s="150"/>
      <c r="Y112" s="30" t="s">
        <v>244</v>
      </c>
      <c r="Z112" s="81"/>
      <c r="AA112" s="467">
        <v>43564.0</v>
      </c>
      <c r="AB112" s="30">
        <v>4.9075100009309E13</v>
      </c>
      <c r="AC112" s="96">
        <v>219150.83</v>
      </c>
      <c r="AD112" s="96">
        <v>219584.26</v>
      </c>
      <c r="AE112" s="96">
        <v>220264.41</v>
      </c>
      <c r="AF112" s="96">
        <v>219703.53</v>
      </c>
      <c r="AG112" s="96">
        <v>219973.24</v>
      </c>
      <c r="AH112" s="96">
        <v>220250.78</v>
      </c>
      <c r="AI112" s="96">
        <v>220572.31</v>
      </c>
      <c r="AJ112" s="96">
        <v>221062.45</v>
      </c>
      <c r="AK112" s="96">
        <v>220356.76</v>
      </c>
      <c r="AL112" s="96">
        <v>219680.43</v>
      </c>
      <c r="AM112" s="96">
        <v>219600.06</v>
      </c>
      <c r="AN112" s="96">
        <v>219782.51</v>
      </c>
      <c r="AO112" s="96">
        <v>220111.87</v>
      </c>
      <c r="AP112" s="96">
        <v>219965.22</v>
      </c>
      <c r="AQ112" s="471">
        <v>219906.62</v>
      </c>
      <c r="AR112" s="471">
        <v>220055.54</v>
      </c>
      <c r="AS112" s="471">
        <v>219851.36</v>
      </c>
      <c r="AT112" s="471">
        <v>219560.38</v>
      </c>
      <c r="AU112" s="471">
        <v>219855.34</v>
      </c>
      <c r="AV112" s="96">
        <v>220342.97</v>
      </c>
      <c r="AW112" s="96">
        <v>221212.58</v>
      </c>
      <c r="AX112" s="96">
        <v>221794.61</v>
      </c>
      <c r="AY112" s="96">
        <v>222191.4</v>
      </c>
      <c r="AZ112" s="96">
        <v>218959.19</v>
      </c>
      <c r="BA112" s="96">
        <v>218100.59</v>
      </c>
      <c r="BB112" s="96">
        <v>219591.83</v>
      </c>
      <c r="BC112" s="96">
        <v>222705.35</v>
      </c>
      <c r="BD112" s="96">
        <v>223811.91</v>
      </c>
      <c r="BE112" s="96">
        <v>230503.12</v>
      </c>
      <c r="BF112" s="96">
        <v>229127.08</v>
      </c>
      <c r="BG112" s="472">
        <v>230042.14</v>
      </c>
      <c r="BH112" s="472">
        <v>231494.95</v>
      </c>
      <c r="BI112" s="472">
        <v>232087.76</v>
      </c>
      <c r="BJ112" s="472">
        <v>234428.97</v>
      </c>
      <c r="BK112" s="472">
        <v>235743.67</v>
      </c>
      <c r="BL112" s="472">
        <v>237567.76</v>
      </c>
      <c r="BM112" s="472">
        <v>237777.36</v>
      </c>
      <c r="BN112" s="472">
        <v>240038.76</v>
      </c>
      <c r="BO112" s="472">
        <v>242890.48</v>
      </c>
      <c r="BP112" s="472">
        <v>245375.08</v>
      </c>
      <c r="BQ112" s="472">
        <v>248756.44</v>
      </c>
      <c r="BR112" s="472">
        <v>265366.59</v>
      </c>
      <c r="BS112" s="472">
        <v>268432.88</v>
      </c>
      <c r="BT112" s="472">
        <v>270784.85</v>
      </c>
      <c r="BU112" s="472">
        <v>272125.74</v>
      </c>
      <c r="BV112" s="472">
        <v>276243.45</v>
      </c>
      <c r="BW112" s="472">
        <v>277218.77</v>
      </c>
      <c r="BX112" s="472">
        <v>279448.0</v>
      </c>
      <c r="BY112" s="472">
        <v>281520.37</v>
      </c>
      <c r="BZ112" s="472">
        <v>284318.26</v>
      </c>
      <c r="CA112" s="474">
        <v>271183.49</v>
      </c>
      <c r="CB112" s="474">
        <v>288153.68</v>
      </c>
      <c r="CC112" s="474">
        <v>290362.46</v>
      </c>
      <c r="CD112" s="474">
        <v>292351.17</v>
      </c>
      <c r="CE112" s="474">
        <v>293832.19</v>
      </c>
      <c r="CF112" s="474">
        <v>295904.36</v>
      </c>
      <c r="CG112" s="474">
        <v>290846.97</v>
      </c>
      <c r="CH112" s="65">
        <v>236456.75</v>
      </c>
      <c r="CI112" s="65">
        <v>293818.76</v>
      </c>
      <c r="CJ112" s="65">
        <v>296523.84</v>
      </c>
      <c r="CK112" s="65">
        <v>299032.21</v>
      </c>
      <c r="CL112" s="65">
        <v>263236.25</v>
      </c>
      <c r="CM112" s="65">
        <v>265318.11</v>
      </c>
      <c r="CN112" s="65">
        <v>267070.91</v>
      </c>
    </row>
    <row r="113" ht="15.75" customHeight="1">
      <c r="A113" s="462" t="s">
        <v>2346</v>
      </c>
      <c r="B113" s="462" t="s">
        <v>735</v>
      </c>
      <c r="C113" s="141">
        <v>579753.0</v>
      </c>
      <c r="D113" s="63" t="s">
        <v>120</v>
      </c>
      <c r="E113" s="63" t="s">
        <v>199</v>
      </c>
      <c r="F113" s="63" t="s">
        <v>290</v>
      </c>
      <c r="G113" s="47" t="str">
        <f t="shared" si="1"/>
        <v>Breno</v>
      </c>
      <c r="H113" s="152" t="s">
        <v>295</v>
      </c>
      <c r="I113" s="49" t="s">
        <v>296</v>
      </c>
      <c r="J113" s="63" t="str">
        <f t="shared" si="4"/>
        <v>Sim</v>
      </c>
      <c r="K113" s="143">
        <v>43564.0</v>
      </c>
      <c r="L113" s="81"/>
      <c r="M113" s="81" t="s">
        <v>231</v>
      </c>
      <c r="N113" s="464">
        <v>0.02</v>
      </c>
      <c r="O113" s="141" t="s">
        <v>233</v>
      </c>
      <c r="P113" s="145">
        <v>0.2</v>
      </c>
      <c r="Q113" s="158" t="s">
        <v>745</v>
      </c>
      <c r="R113" s="158"/>
      <c r="S113" s="62" t="s">
        <v>194</v>
      </c>
      <c r="T113" s="141" t="s">
        <v>739</v>
      </c>
      <c r="U113" s="81" t="s">
        <v>199</v>
      </c>
      <c r="V113" s="49" t="str">
        <f t="shared" si="3"/>
        <v>Ativo</v>
      </c>
      <c r="W113" s="150"/>
      <c r="X113" s="150"/>
      <c r="Y113" s="30" t="s">
        <v>244</v>
      </c>
      <c r="Z113" s="81"/>
      <c r="AA113" s="467">
        <v>43564.0</v>
      </c>
      <c r="AB113" s="30">
        <v>4.9075100009317E13</v>
      </c>
      <c r="AC113" s="96">
        <v>201777.06</v>
      </c>
      <c r="AD113" s="96">
        <v>191420.96</v>
      </c>
      <c r="AE113" s="96">
        <v>143787.26</v>
      </c>
      <c r="AF113" s="96">
        <v>153967.3</v>
      </c>
      <c r="AG113" s="96">
        <v>159503.41</v>
      </c>
      <c r="AH113" s="96">
        <v>168822.04</v>
      </c>
      <c r="AI113" s="96">
        <v>187175.46</v>
      </c>
      <c r="AJ113" s="96">
        <v>176953.82</v>
      </c>
      <c r="AK113" s="96">
        <v>165800.53</v>
      </c>
      <c r="AL113" s="96">
        <v>170847.63</v>
      </c>
      <c r="AM113" s="96">
        <v>191787.25</v>
      </c>
      <c r="AN113" s="96">
        <v>199160.83</v>
      </c>
      <c r="AO113" s="96">
        <v>197792.71</v>
      </c>
      <c r="AP113" s="96">
        <v>184179.23</v>
      </c>
      <c r="AQ113" s="471">
        <v>177836.88</v>
      </c>
      <c r="AR113" s="471">
        <v>191019.05</v>
      </c>
      <c r="AS113" s="471">
        <v>192119.93</v>
      </c>
      <c r="AT113" s="471">
        <v>193291.82</v>
      </c>
      <c r="AU113" s="471">
        <v>200849.2</v>
      </c>
      <c r="AV113" s="96">
        <v>197790.59</v>
      </c>
      <c r="AW113" s="96">
        <v>192538.48</v>
      </c>
      <c r="AX113" s="96">
        <v>183515.37</v>
      </c>
      <c r="AY113" s="96">
        <v>174839.93</v>
      </c>
      <c r="AZ113" s="96">
        <v>164309.12</v>
      </c>
      <c r="BA113" s="96">
        <v>159144.0</v>
      </c>
      <c r="BB113" s="96">
        <v>161145.0</v>
      </c>
      <c r="BC113" s="96">
        <v>169924.92</v>
      </c>
      <c r="BD113" s="96">
        <v>172089.91</v>
      </c>
      <c r="BE113" s="96">
        <v>183792.77</v>
      </c>
      <c r="BF113" s="96">
        <v>175360.5</v>
      </c>
      <c r="BG113" s="472">
        <v>171413.93</v>
      </c>
      <c r="BH113" s="472">
        <v>172594.68</v>
      </c>
      <c r="BI113" s="472">
        <v>173728.89</v>
      </c>
      <c r="BJ113" s="472">
        <v>174555.39</v>
      </c>
      <c r="BK113" s="472">
        <v>175504.72</v>
      </c>
      <c r="BL113" s="472">
        <v>176536.65</v>
      </c>
      <c r="BM113" s="472">
        <v>177843.84</v>
      </c>
      <c r="BN113" s="472">
        <v>179057.85</v>
      </c>
      <c r="BO113" s="472">
        <v>181308.28</v>
      </c>
      <c r="BP113" s="472">
        <v>182507.31</v>
      </c>
      <c r="BQ113" s="472">
        <v>184169.46</v>
      </c>
      <c r="BR113" s="472">
        <v>185147.09</v>
      </c>
      <c r="BS113" s="472">
        <v>187131.27</v>
      </c>
      <c r="BT113" s="472">
        <v>188397.92</v>
      </c>
      <c r="BU113" s="472">
        <v>189857.04</v>
      </c>
      <c r="BV113" s="472">
        <v>192064.4</v>
      </c>
      <c r="BW113" s="472">
        <v>193564.5</v>
      </c>
      <c r="BX113" s="472">
        <v>160238.5</v>
      </c>
      <c r="BY113" s="472">
        <v>195255.56</v>
      </c>
      <c r="BZ113" s="472">
        <v>196968.24</v>
      </c>
      <c r="CA113" s="474">
        <v>199092.65</v>
      </c>
      <c r="CB113" s="474">
        <v>200466.89</v>
      </c>
      <c r="CC113" s="474">
        <v>202112.71</v>
      </c>
      <c r="CD113" s="474">
        <v>203629.54</v>
      </c>
      <c r="CE113" s="474">
        <v>205046.33</v>
      </c>
      <c r="CF113" s="474">
        <v>206527.53</v>
      </c>
      <c r="CG113" s="474">
        <v>208165.83</v>
      </c>
      <c r="CH113" s="65">
        <v>208845.96</v>
      </c>
      <c r="CI113" s="65">
        <v>210539.66</v>
      </c>
      <c r="CJ113" s="65">
        <v>210171.9</v>
      </c>
      <c r="CK113" s="65">
        <v>167974.2</v>
      </c>
      <c r="CL113" s="65">
        <v>44273.72</v>
      </c>
      <c r="CM113" s="65">
        <v>185226.37</v>
      </c>
      <c r="CN113" s="65">
        <v>186731.34</v>
      </c>
    </row>
    <row r="114" ht="15.75" customHeight="1">
      <c r="A114" s="462" t="s">
        <v>2346</v>
      </c>
      <c r="B114" s="510" t="s">
        <v>749</v>
      </c>
      <c r="C114" s="141">
        <v>368767.0</v>
      </c>
      <c r="D114" s="63" t="s">
        <v>120</v>
      </c>
      <c r="E114" s="63" t="s">
        <v>199</v>
      </c>
      <c r="F114" s="81" t="s">
        <v>212</v>
      </c>
      <c r="G114" s="47" t="str">
        <f t="shared" si="1"/>
        <v>Breno</v>
      </c>
      <c r="H114" s="152" t="s">
        <v>183</v>
      </c>
      <c r="I114" s="74" t="s">
        <v>66</v>
      </c>
      <c r="J114" s="63" t="str">
        <f t="shared" si="4"/>
        <v>Não</v>
      </c>
      <c r="K114" s="467">
        <v>44888.0</v>
      </c>
      <c r="L114" s="480"/>
      <c r="M114" s="81" t="s">
        <v>61</v>
      </c>
      <c r="N114" s="478">
        <v>0.0</v>
      </c>
      <c r="O114" s="141" t="s">
        <v>66</v>
      </c>
      <c r="P114" s="145">
        <v>0.0</v>
      </c>
      <c r="Q114" s="158"/>
      <c r="R114" s="158"/>
      <c r="S114" s="62" t="s">
        <v>194</v>
      </c>
      <c r="T114" s="30" t="s">
        <v>752</v>
      </c>
      <c r="U114" s="30" t="s">
        <v>199</v>
      </c>
      <c r="V114" s="49" t="str">
        <f t="shared" si="3"/>
        <v>Ativo</v>
      </c>
      <c r="W114" s="150"/>
      <c r="X114" s="150"/>
      <c r="Y114" s="30" t="s">
        <v>244</v>
      </c>
      <c r="Z114" s="81"/>
      <c r="AA114" s="467">
        <v>44888.0</v>
      </c>
      <c r="AB114" s="30">
        <v>4.9075100007942E13</v>
      </c>
      <c r="AC114" s="96"/>
      <c r="AD114" s="96"/>
      <c r="AE114" s="96"/>
      <c r="AF114" s="96"/>
      <c r="AG114" s="96"/>
      <c r="AH114" s="96"/>
      <c r="AI114" s="96"/>
      <c r="AJ114" s="96"/>
      <c r="AK114" s="482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482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472"/>
      <c r="BL114" s="472"/>
      <c r="BM114" s="472">
        <v>0.0</v>
      </c>
      <c r="BN114" s="472">
        <v>70079.43</v>
      </c>
      <c r="BO114" s="472">
        <v>70406.09</v>
      </c>
      <c r="BP114" s="472">
        <v>117806.9</v>
      </c>
      <c r="BQ114" s="472">
        <v>74509.25</v>
      </c>
      <c r="BR114" s="472">
        <v>78976.4</v>
      </c>
      <c r="BS114" s="472">
        <v>80499.4</v>
      </c>
      <c r="BT114" s="472">
        <v>0.0</v>
      </c>
      <c r="BU114" s="472">
        <v>0.0</v>
      </c>
      <c r="BV114" s="472">
        <v>0.0</v>
      </c>
      <c r="BW114" s="472">
        <v>86547.71</v>
      </c>
      <c r="BX114" s="472">
        <v>88093.07</v>
      </c>
      <c r="BY114" s="472">
        <v>89470.16</v>
      </c>
      <c r="BZ114" s="472">
        <v>90798.93</v>
      </c>
      <c r="CA114" s="474">
        <v>92453.0</v>
      </c>
      <c r="CB114" s="474">
        <v>93754.04</v>
      </c>
      <c r="CC114" s="474">
        <v>95276.64</v>
      </c>
      <c r="CD114" s="474">
        <v>96604.22</v>
      </c>
      <c r="CE114" s="474">
        <v>96921.02</v>
      </c>
      <c r="CF114" s="474">
        <v>98492.94</v>
      </c>
      <c r="CG114" s="474">
        <v>99506.67</v>
      </c>
      <c r="CH114" s="65">
        <v>100396.88</v>
      </c>
      <c r="CI114" s="65">
        <v>100180.59</v>
      </c>
      <c r="CJ114" s="65">
        <v>102397.8</v>
      </c>
      <c r="CK114" s="65">
        <v>103252.7</v>
      </c>
      <c r="CL114" s="65">
        <v>101720.16</v>
      </c>
      <c r="CM114" s="65">
        <v>105488.21</v>
      </c>
      <c r="CN114" s="65">
        <v>106497.79</v>
      </c>
    </row>
    <row r="115" ht="15.75" customHeight="1">
      <c r="A115" s="462" t="s">
        <v>2346</v>
      </c>
      <c r="B115" s="510" t="s">
        <v>4606</v>
      </c>
      <c r="C115" s="141">
        <v>424734.0</v>
      </c>
      <c r="D115" s="63" t="s">
        <v>669</v>
      </c>
      <c r="E115" s="63" t="s">
        <v>199</v>
      </c>
      <c r="F115" s="81" t="s">
        <v>1228</v>
      </c>
      <c r="G115" s="47" t="str">
        <f t="shared" si="1"/>
        <v>Breno</v>
      </c>
      <c r="H115" s="152" t="s">
        <v>224</v>
      </c>
      <c r="I115" s="74" t="s">
        <v>66</v>
      </c>
      <c r="J115" s="63" t="str">
        <f t="shared" si="4"/>
        <v>Não</v>
      </c>
      <c r="K115" s="467">
        <v>43675.0</v>
      </c>
      <c r="L115" s="480">
        <v>44482.0</v>
      </c>
      <c r="M115" s="81" t="s">
        <v>209</v>
      </c>
      <c r="N115" s="478">
        <v>0.015</v>
      </c>
      <c r="O115" s="63" t="s">
        <v>35</v>
      </c>
      <c r="P115" s="145">
        <v>0.1</v>
      </c>
      <c r="Q115" s="158"/>
      <c r="R115" s="158"/>
      <c r="S115" s="62" t="s">
        <v>194</v>
      </c>
      <c r="T115" s="30" t="s">
        <v>4607</v>
      </c>
      <c r="U115" s="81" t="s">
        <v>199</v>
      </c>
      <c r="V115" s="49" t="str">
        <f t="shared" si="3"/>
        <v>Encerrado</v>
      </c>
      <c r="W115" s="150"/>
      <c r="X115" s="150"/>
      <c r="Y115" s="81"/>
      <c r="Z115" s="81"/>
      <c r="AA115" s="81"/>
      <c r="AB115" s="30"/>
      <c r="AC115" s="96">
        <v>91546.69</v>
      </c>
      <c r="AD115" s="96">
        <v>90736.74</v>
      </c>
      <c r="AE115" s="96">
        <v>88285.68</v>
      </c>
      <c r="AF115" s="96">
        <v>89254.77</v>
      </c>
      <c r="AG115" s="96">
        <v>99472.57</v>
      </c>
      <c r="AH115" s="96">
        <v>98922.55</v>
      </c>
      <c r="AI115" s="96">
        <v>99216.1</v>
      </c>
      <c r="AJ115" s="96">
        <v>96681.72</v>
      </c>
      <c r="AK115" s="482"/>
      <c r="AL115" s="96">
        <v>148.58</v>
      </c>
      <c r="AM115" s="96">
        <v>148.58</v>
      </c>
      <c r="AN115" s="96">
        <v>58.68</v>
      </c>
      <c r="AO115" s="96">
        <v>58.68</v>
      </c>
      <c r="AP115" s="96">
        <v>58.68</v>
      </c>
      <c r="AQ115" s="96">
        <v>58.68</v>
      </c>
      <c r="AR115" s="96">
        <v>58.68</v>
      </c>
      <c r="AS115" s="96">
        <v>58.68</v>
      </c>
      <c r="AT115" s="96">
        <v>58.68</v>
      </c>
      <c r="AU115" s="96"/>
      <c r="AV115" s="482"/>
      <c r="AW115" s="96">
        <v>13.08</v>
      </c>
      <c r="AX115" s="96">
        <v>13.08</v>
      </c>
      <c r="AY115" s="96">
        <v>13.08</v>
      </c>
      <c r="AZ115" s="96"/>
      <c r="BA115" s="96"/>
      <c r="BB115" s="96"/>
      <c r="BC115" s="96"/>
      <c r="BD115" s="96">
        <v>0.0</v>
      </c>
      <c r="BE115" s="96">
        <v>0.0</v>
      </c>
      <c r="BF115" s="96">
        <v>0.0</v>
      </c>
      <c r="BG115" s="96" t="s">
        <v>377</v>
      </c>
      <c r="BH115" s="96">
        <v>0.0</v>
      </c>
      <c r="BI115" s="96" t="s">
        <v>377</v>
      </c>
      <c r="BJ115" s="96">
        <v>0.0</v>
      </c>
      <c r="BK115" s="472">
        <v>0.0</v>
      </c>
      <c r="BL115" s="472">
        <v>0.0</v>
      </c>
      <c r="BM115" s="472">
        <v>0.0</v>
      </c>
      <c r="BN115" s="472">
        <v>0.0</v>
      </c>
      <c r="BO115" s="472">
        <v>0.0</v>
      </c>
      <c r="BP115" s="472">
        <v>0.0</v>
      </c>
      <c r="BQ115" s="472">
        <v>0.0</v>
      </c>
      <c r="BR115" s="472">
        <v>0.0</v>
      </c>
      <c r="BS115" s="472">
        <v>0.0</v>
      </c>
      <c r="BT115" s="472">
        <v>0.0</v>
      </c>
      <c r="BU115" s="472">
        <v>0.0</v>
      </c>
      <c r="BV115" s="472">
        <v>0.0</v>
      </c>
      <c r="BW115" s="472">
        <v>0.0</v>
      </c>
      <c r="BX115" s="472">
        <v>0.0</v>
      </c>
      <c r="BY115" s="472">
        <v>0.0</v>
      </c>
      <c r="BZ115" s="472">
        <v>0.0</v>
      </c>
      <c r="CA115" s="474">
        <v>0.0</v>
      </c>
      <c r="CB115" s="474">
        <v>0.0</v>
      </c>
      <c r="CC115" s="474">
        <v>0.0</v>
      </c>
      <c r="CD115" s="474">
        <v>0.0</v>
      </c>
      <c r="CE115" s="474">
        <v>0.0</v>
      </c>
      <c r="CF115" s="474">
        <v>0.0</v>
      </c>
      <c r="CG115" s="474">
        <v>0.0</v>
      </c>
      <c r="CH115" s="65">
        <v>0.0</v>
      </c>
      <c r="CI115" s="65">
        <v>0.0</v>
      </c>
      <c r="CJ115" s="65">
        <v>0.0</v>
      </c>
      <c r="CK115" s="65">
        <v>0.0</v>
      </c>
      <c r="CL115" s="65">
        <v>0.0</v>
      </c>
      <c r="CM115" s="65">
        <v>0.0</v>
      </c>
      <c r="CN115" s="65">
        <v>0.0</v>
      </c>
    </row>
    <row r="116" ht="15.75" customHeight="1">
      <c r="A116" s="462" t="s">
        <v>2346</v>
      </c>
      <c r="B116" s="50" t="s">
        <v>4616</v>
      </c>
      <c r="C116" s="141">
        <v>612955.0</v>
      </c>
      <c r="D116" s="63" t="s">
        <v>120</v>
      </c>
      <c r="E116" s="63" t="s">
        <v>91</v>
      </c>
      <c r="F116" s="95" t="s">
        <v>521</v>
      </c>
      <c r="G116" s="47" t="str">
        <f t="shared" si="1"/>
        <v>Breno</v>
      </c>
      <c r="H116" s="152" t="s">
        <v>224</v>
      </c>
      <c r="I116" s="74" t="s">
        <v>66</v>
      </c>
      <c r="J116" s="63" t="str">
        <f t="shared" si="4"/>
        <v>Não</v>
      </c>
      <c r="K116" s="194">
        <v>44365.0</v>
      </c>
      <c r="L116" s="467">
        <v>44781.0</v>
      </c>
      <c r="M116" s="81" t="s">
        <v>209</v>
      </c>
      <c r="N116" s="478">
        <v>0.015</v>
      </c>
      <c r="O116" s="63" t="s">
        <v>35</v>
      </c>
      <c r="P116" s="145">
        <v>0.1</v>
      </c>
      <c r="Q116" s="70"/>
      <c r="R116" s="70"/>
      <c r="S116" s="62" t="s">
        <v>194</v>
      </c>
      <c r="T116" s="22" t="s">
        <v>4619</v>
      </c>
      <c r="U116" s="95" t="s">
        <v>221</v>
      </c>
      <c r="V116" s="49" t="str">
        <f t="shared" si="3"/>
        <v>Encerrado</v>
      </c>
      <c r="W116" s="150"/>
      <c r="X116" s="150"/>
      <c r="Y116" s="30" t="s">
        <v>244</v>
      </c>
      <c r="Z116" s="81"/>
      <c r="AA116" s="81"/>
      <c r="AB116" s="30"/>
      <c r="AC116" s="476"/>
      <c r="AD116" s="476"/>
      <c r="AE116" s="476"/>
      <c r="AF116" s="476"/>
      <c r="AG116" s="476"/>
      <c r="AH116" s="476"/>
      <c r="AI116" s="476"/>
      <c r="AJ116" s="476"/>
      <c r="AK116" s="476"/>
      <c r="AL116" s="476"/>
      <c r="AM116" s="476"/>
      <c r="AN116" s="476"/>
      <c r="AO116" s="476"/>
      <c r="AP116" s="96"/>
      <c r="AQ116" s="96"/>
      <c r="AR116" s="96"/>
      <c r="AS116" s="96"/>
      <c r="AT116" s="96"/>
      <c r="AU116" s="476"/>
      <c r="AV116" s="96">
        <v>99132.52</v>
      </c>
      <c r="AW116" s="96">
        <v>100207.28</v>
      </c>
      <c r="AX116" s="96">
        <v>98346.03</v>
      </c>
      <c r="AY116" s="96">
        <v>86778.62</v>
      </c>
      <c r="AZ116" s="96">
        <v>94528.35</v>
      </c>
      <c r="BA116" s="96">
        <v>95810.92</v>
      </c>
      <c r="BB116" s="96">
        <v>95973.8</v>
      </c>
      <c r="BC116" s="96">
        <v>98603.26</v>
      </c>
      <c r="BD116" s="96">
        <v>99113.29</v>
      </c>
      <c r="BE116" s="96">
        <v>103152.56</v>
      </c>
      <c r="BF116" s="96">
        <v>101419.64</v>
      </c>
      <c r="BG116" s="96">
        <v>101224.86</v>
      </c>
      <c r="BH116" s="96">
        <v>100356.1</v>
      </c>
      <c r="BI116" s="96">
        <v>101893.24</v>
      </c>
      <c r="BJ116" s="96">
        <v>0.0</v>
      </c>
      <c r="BK116" s="472">
        <v>0.0</v>
      </c>
      <c r="BL116" s="472">
        <v>0.0</v>
      </c>
      <c r="BM116" s="472">
        <v>0.0</v>
      </c>
      <c r="BN116" s="472">
        <v>0.0</v>
      </c>
      <c r="BO116" s="472">
        <v>0.0</v>
      </c>
      <c r="BP116" s="472">
        <v>0.0</v>
      </c>
      <c r="BQ116" s="472">
        <v>0.0</v>
      </c>
      <c r="BR116" s="472">
        <v>0.0</v>
      </c>
      <c r="BS116" s="472">
        <v>0.0</v>
      </c>
      <c r="BT116" s="472">
        <v>0.0</v>
      </c>
      <c r="BU116" s="472">
        <v>0.0</v>
      </c>
      <c r="BV116" s="472">
        <v>0.0</v>
      </c>
      <c r="BW116" s="472">
        <v>0.0</v>
      </c>
      <c r="BX116" s="472">
        <v>0.0</v>
      </c>
      <c r="BY116" s="472">
        <v>0.0</v>
      </c>
      <c r="BZ116" s="472">
        <v>0.0</v>
      </c>
      <c r="CA116" s="474">
        <v>0.0</v>
      </c>
      <c r="CB116" s="474">
        <v>0.0</v>
      </c>
      <c r="CC116" s="474">
        <v>0.0</v>
      </c>
      <c r="CD116" s="474">
        <v>0.0</v>
      </c>
      <c r="CE116" s="474">
        <v>0.0</v>
      </c>
      <c r="CF116" s="474">
        <v>0.0</v>
      </c>
      <c r="CG116" s="474">
        <v>0.0</v>
      </c>
      <c r="CH116" s="65">
        <v>0.0</v>
      </c>
      <c r="CI116" s="65">
        <v>0.0</v>
      </c>
      <c r="CJ116" s="65">
        <v>0.0</v>
      </c>
      <c r="CK116" s="65">
        <v>0.0</v>
      </c>
      <c r="CL116" s="65">
        <v>0.0</v>
      </c>
      <c r="CM116" s="65">
        <v>0.0</v>
      </c>
      <c r="CN116" s="65">
        <v>0.0</v>
      </c>
    </row>
    <row r="117" ht="15.75" customHeight="1">
      <c r="A117" s="462" t="s">
        <v>2346</v>
      </c>
      <c r="B117" s="176" t="s">
        <v>762</v>
      </c>
      <c r="C117" s="141">
        <v>33434.0</v>
      </c>
      <c r="D117" s="63" t="s">
        <v>120</v>
      </c>
      <c r="E117" s="63" t="s">
        <v>91</v>
      </c>
      <c r="F117" s="81" t="s">
        <v>521</v>
      </c>
      <c r="G117" s="47" t="str">
        <f t="shared" si="1"/>
        <v>Breno</v>
      </c>
      <c r="H117" s="142" t="s">
        <v>183</v>
      </c>
      <c r="I117" s="74" t="s">
        <v>66</v>
      </c>
      <c r="J117" s="63" t="str">
        <f t="shared" si="4"/>
        <v>Não</v>
      </c>
      <c r="K117" s="467">
        <v>44733.0</v>
      </c>
      <c r="L117" s="467"/>
      <c r="M117" s="81" t="s">
        <v>61</v>
      </c>
      <c r="N117" s="478">
        <v>0.007</v>
      </c>
      <c r="O117" s="141" t="s">
        <v>66</v>
      </c>
      <c r="P117" s="145">
        <v>0.0</v>
      </c>
      <c r="Q117" s="158"/>
      <c r="R117" s="158"/>
      <c r="S117" s="62" t="s">
        <v>194</v>
      </c>
      <c r="T117" s="22" t="s">
        <v>764</v>
      </c>
      <c r="U117" s="95" t="s">
        <v>221</v>
      </c>
      <c r="V117" s="49" t="str">
        <f t="shared" si="3"/>
        <v>Ativo</v>
      </c>
      <c r="W117" s="150"/>
      <c r="X117" s="150"/>
      <c r="Y117" s="30" t="s">
        <v>244</v>
      </c>
      <c r="Z117" s="81"/>
      <c r="AA117" s="467">
        <v>44733.0</v>
      </c>
      <c r="AB117" s="30">
        <v>4.9075100003572E13</v>
      </c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482"/>
      <c r="AW117" s="482"/>
      <c r="AX117" s="482"/>
      <c r="AY117" s="96"/>
      <c r="AZ117" s="96"/>
      <c r="BA117" s="96"/>
      <c r="BB117" s="96"/>
      <c r="BC117" s="96"/>
      <c r="BD117" s="96"/>
      <c r="BE117" s="96"/>
      <c r="BF117" s="96"/>
      <c r="BG117" s="96"/>
      <c r="BH117" s="472">
        <v>94686.55</v>
      </c>
      <c r="BI117" s="472">
        <v>100116.58</v>
      </c>
      <c r="BJ117" s="472">
        <v>109481.81</v>
      </c>
      <c r="BK117" s="472">
        <v>124377.24</v>
      </c>
      <c r="BL117" s="472">
        <v>125404.38</v>
      </c>
      <c r="BM117" s="472">
        <v>125442.7</v>
      </c>
      <c r="BN117" s="472">
        <v>126789.0</v>
      </c>
      <c r="BO117" s="472">
        <v>128263.11</v>
      </c>
      <c r="BP117" s="472">
        <v>129470.54</v>
      </c>
      <c r="BQ117" s="472">
        <v>131228.26</v>
      </c>
      <c r="BR117" s="472">
        <v>132319.74</v>
      </c>
      <c r="BS117" s="472">
        <v>165806.32</v>
      </c>
      <c r="BT117" s="472">
        <v>167191.77</v>
      </c>
      <c r="BU117" s="472">
        <v>168552.18</v>
      </c>
      <c r="BV117" s="472">
        <v>170838.81</v>
      </c>
      <c r="BW117" s="472">
        <v>171292.13</v>
      </c>
      <c r="BX117" s="472">
        <v>147153.2</v>
      </c>
      <c r="BY117" s="472">
        <v>173021.3</v>
      </c>
      <c r="BZ117" s="472">
        <v>174748.45</v>
      </c>
      <c r="CA117" s="474">
        <v>176479.41</v>
      </c>
      <c r="CB117" s="474">
        <v>178814.35</v>
      </c>
      <c r="CC117" s="474">
        <v>177201.05</v>
      </c>
      <c r="CD117" s="474">
        <v>178617.23</v>
      </c>
      <c r="CE117" s="474">
        <v>180266.45</v>
      </c>
      <c r="CF117" s="474">
        <v>181916.55</v>
      </c>
      <c r="CG117" s="474">
        <v>183690.32</v>
      </c>
      <c r="CH117" s="65">
        <v>185446.71</v>
      </c>
      <c r="CI117" s="65">
        <v>185769.33</v>
      </c>
      <c r="CJ117" s="65">
        <v>186556.24</v>
      </c>
      <c r="CK117" s="65">
        <v>0.0</v>
      </c>
      <c r="CL117" s="65">
        <v>178.03</v>
      </c>
      <c r="CM117" s="65">
        <v>178.03</v>
      </c>
      <c r="CN117" s="65">
        <v>178.03</v>
      </c>
    </row>
    <row r="118" ht="15.75" customHeight="1">
      <c r="A118" s="462" t="s">
        <v>2346</v>
      </c>
      <c r="B118" s="477" t="s">
        <v>4664</v>
      </c>
      <c r="C118" s="141">
        <v>47579.0</v>
      </c>
      <c r="D118" s="63" t="s">
        <v>669</v>
      </c>
      <c r="E118" s="63" t="s">
        <v>199</v>
      </c>
      <c r="F118" s="81" t="s">
        <v>2388</v>
      </c>
      <c r="G118" s="47" t="str">
        <f t="shared" si="1"/>
        <v>Breno</v>
      </c>
      <c r="H118" s="152" t="s">
        <v>224</v>
      </c>
      <c r="I118" s="74" t="s">
        <v>66</v>
      </c>
      <c r="J118" s="63" t="str">
        <f t="shared" si="4"/>
        <v>Não</v>
      </c>
      <c r="K118" s="467">
        <v>43699.0</v>
      </c>
      <c r="L118" s="467">
        <v>43910.0</v>
      </c>
      <c r="M118" s="81" t="s">
        <v>209</v>
      </c>
      <c r="N118" s="478">
        <v>0.01</v>
      </c>
      <c r="O118" s="63" t="s">
        <v>35</v>
      </c>
      <c r="P118" s="145">
        <v>0.1</v>
      </c>
      <c r="Q118" s="158"/>
      <c r="R118" s="158"/>
      <c r="S118" s="62" t="s">
        <v>194</v>
      </c>
      <c r="T118" s="30" t="s">
        <v>4667</v>
      </c>
      <c r="U118" s="81" t="s">
        <v>199</v>
      </c>
      <c r="V118" s="49" t="str">
        <f t="shared" si="3"/>
        <v>Encerrado</v>
      </c>
      <c r="W118" s="150"/>
      <c r="X118" s="150"/>
      <c r="Y118" s="81"/>
      <c r="Z118" s="81"/>
      <c r="AA118" s="81"/>
      <c r="AB118" s="30"/>
      <c r="AC118" s="96">
        <v>0.0</v>
      </c>
      <c r="AD118" s="96">
        <v>0.0</v>
      </c>
      <c r="AE118" s="96">
        <v>0.0</v>
      </c>
      <c r="AF118" s="96">
        <v>0.0</v>
      </c>
      <c r="AG118" s="96">
        <v>0.0</v>
      </c>
      <c r="AH118" s="96">
        <v>0.0</v>
      </c>
      <c r="AI118" s="96">
        <v>0.0</v>
      </c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482"/>
      <c r="AW118" s="482"/>
      <c r="AX118" s="482"/>
      <c r="AY118" s="96"/>
      <c r="AZ118" s="96"/>
      <c r="BA118" s="96"/>
      <c r="BB118" s="96"/>
      <c r="BC118" s="96"/>
      <c r="BD118" s="96">
        <v>0.0</v>
      </c>
      <c r="BE118" s="96">
        <v>0.0</v>
      </c>
      <c r="BF118" s="96">
        <v>0.0</v>
      </c>
      <c r="BG118" s="96" t="s">
        <v>377</v>
      </c>
      <c r="BH118" s="96">
        <v>0.0</v>
      </c>
      <c r="BI118" s="96" t="s">
        <v>377</v>
      </c>
      <c r="BJ118" s="96">
        <v>0.0</v>
      </c>
      <c r="BK118" s="472">
        <v>0.0</v>
      </c>
      <c r="BL118" s="472">
        <v>0.0</v>
      </c>
      <c r="BM118" s="472">
        <v>0.0</v>
      </c>
      <c r="BN118" s="472">
        <v>0.0</v>
      </c>
      <c r="BO118" s="472">
        <v>0.0</v>
      </c>
      <c r="BP118" s="472">
        <v>0.0</v>
      </c>
      <c r="BQ118" s="472">
        <v>0.0</v>
      </c>
      <c r="BR118" s="472">
        <v>0.0</v>
      </c>
      <c r="BS118" s="472">
        <v>0.0</v>
      </c>
      <c r="BT118" s="472">
        <v>0.0</v>
      </c>
      <c r="BU118" s="472">
        <v>0.0</v>
      </c>
      <c r="BV118" s="472">
        <v>0.0</v>
      </c>
      <c r="BW118" s="472">
        <v>0.0</v>
      </c>
      <c r="BX118" s="472">
        <v>0.0</v>
      </c>
      <c r="BY118" s="472">
        <v>0.0</v>
      </c>
      <c r="BZ118" s="472">
        <v>0.0</v>
      </c>
      <c r="CA118" s="474">
        <v>0.0</v>
      </c>
      <c r="CB118" s="474">
        <v>0.0</v>
      </c>
      <c r="CC118" s="474">
        <v>0.0</v>
      </c>
      <c r="CD118" s="474">
        <v>0.0</v>
      </c>
      <c r="CE118" s="474">
        <v>0.0</v>
      </c>
      <c r="CF118" s="474">
        <v>0.0</v>
      </c>
      <c r="CG118" s="474">
        <v>0.0</v>
      </c>
      <c r="CH118" s="65">
        <v>0.0</v>
      </c>
      <c r="CI118" s="65">
        <v>0.0</v>
      </c>
      <c r="CJ118" s="65">
        <v>0.0</v>
      </c>
      <c r="CK118" s="65">
        <v>0.0</v>
      </c>
      <c r="CL118" s="65">
        <v>0.0</v>
      </c>
      <c r="CM118" s="65">
        <v>0.0</v>
      </c>
      <c r="CN118" s="65">
        <v>0.0</v>
      </c>
    </row>
    <row r="119" ht="15.75" customHeight="1">
      <c r="A119" s="462" t="s">
        <v>2346</v>
      </c>
      <c r="B119" s="518" t="s">
        <v>790</v>
      </c>
      <c r="C119" s="141">
        <v>478599.0</v>
      </c>
      <c r="D119" s="63" t="s">
        <v>120</v>
      </c>
      <c r="E119" s="63" t="s">
        <v>91</v>
      </c>
      <c r="F119" s="63" t="s">
        <v>521</v>
      </c>
      <c r="G119" s="47" t="str">
        <f t="shared" si="1"/>
        <v>Breno</v>
      </c>
      <c r="H119" s="152" t="s">
        <v>295</v>
      </c>
      <c r="I119" s="49" t="s">
        <v>382</v>
      </c>
      <c r="J119" s="63" t="str">
        <f t="shared" si="4"/>
        <v>Não</v>
      </c>
      <c r="K119" s="143">
        <v>44263.0</v>
      </c>
      <c r="L119" s="62"/>
      <c r="M119" s="81" t="s">
        <v>361</v>
      </c>
      <c r="N119" s="478">
        <v>0.02</v>
      </c>
      <c r="O119" s="63" t="s">
        <v>35</v>
      </c>
      <c r="P119" s="145">
        <v>0.2</v>
      </c>
      <c r="Q119" s="457"/>
      <c r="R119" s="153" t="s">
        <v>797</v>
      </c>
      <c r="S119" s="62" t="s">
        <v>194</v>
      </c>
      <c r="T119" s="141" t="s">
        <v>798</v>
      </c>
      <c r="U119" s="95" t="s">
        <v>221</v>
      </c>
      <c r="V119" s="49" t="str">
        <f t="shared" si="3"/>
        <v>Ativo</v>
      </c>
      <c r="W119" s="150"/>
      <c r="X119" s="150"/>
      <c r="Y119" s="30" t="s">
        <v>269</v>
      </c>
      <c r="Z119" s="81"/>
      <c r="AA119" s="467">
        <v>44263.0</v>
      </c>
      <c r="AB119" s="30">
        <v>4.90751000096E13</v>
      </c>
      <c r="AC119" s="482"/>
      <c r="AD119" s="482"/>
      <c r="AE119" s="482"/>
      <c r="AF119" s="482"/>
      <c r="AG119" s="482"/>
      <c r="AH119" s="482"/>
      <c r="AI119" s="482"/>
      <c r="AJ119" s="482"/>
      <c r="AK119" s="482"/>
      <c r="AL119" s="482"/>
      <c r="AM119" s="482"/>
      <c r="AN119" s="482"/>
      <c r="AO119" s="482"/>
      <c r="AP119" s="96"/>
      <c r="AQ119" s="471">
        <v>1203907.06</v>
      </c>
      <c r="AR119" s="471">
        <v>1209921.01</v>
      </c>
      <c r="AS119" s="471"/>
      <c r="AT119" s="471">
        <v>1222751.68</v>
      </c>
      <c r="AU119" s="471">
        <v>1255494.52</v>
      </c>
      <c r="AV119" s="96">
        <v>1245456.72</v>
      </c>
      <c r="AW119" s="96">
        <v>1224255.65</v>
      </c>
      <c r="AX119" s="96">
        <v>1186871.02</v>
      </c>
      <c r="AY119" s="96">
        <v>1091954.56</v>
      </c>
      <c r="AZ119" s="96">
        <v>1102303.28</v>
      </c>
      <c r="BA119" s="96">
        <v>1085238.34</v>
      </c>
      <c r="BB119" s="96">
        <v>1097420.48</v>
      </c>
      <c r="BC119" s="96">
        <v>1132103.68</v>
      </c>
      <c r="BD119" s="96">
        <v>1141098.26</v>
      </c>
      <c r="BE119" s="96">
        <v>1203490.89</v>
      </c>
      <c r="BF119" s="96">
        <v>1169343.54</v>
      </c>
      <c r="BG119" s="562">
        <v>662859.07</v>
      </c>
      <c r="BH119" s="472">
        <v>646136.33</v>
      </c>
      <c r="BI119" s="472">
        <v>663304.22</v>
      </c>
      <c r="BJ119" s="472">
        <v>677873.45</v>
      </c>
      <c r="BK119" s="472">
        <v>681867.98</v>
      </c>
      <c r="BL119" s="472">
        <v>714225.58</v>
      </c>
      <c r="BM119" s="472">
        <v>706263.13</v>
      </c>
      <c r="BN119" s="472">
        <v>709507.97</v>
      </c>
      <c r="BO119" s="472">
        <v>719277.77</v>
      </c>
      <c r="BP119" s="472">
        <v>713615.27</v>
      </c>
      <c r="BQ119" s="472">
        <v>719793.14</v>
      </c>
      <c r="BR119" s="472">
        <v>716827.02</v>
      </c>
      <c r="BS119" s="472">
        <v>734424.77</v>
      </c>
      <c r="BT119" s="472">
        <v>753555.45</v>
      </c>
      <c r="BU119" s="472">
        <v>15764.5</v>
      </c>
      <c r="BV119" s="472">
        <v>15902.49</v>
      </c>
      <c r="BW119" s="472">
        <v>15449.22</v>
      </c>
      <c r="BX119" s="472">
        <v>15293.5</v>
      </c>
      <c r="BY119" s="472">
        <v>15295.79</v>
      </c>
      <c r="BZ119" s="472">
        <v>654.8</v>
      </c>
      <c r="CA119" s="474">
        <v>654.8</v>
      </c>
      <c r="CB119" s="474">
        <v>654.8</v>
      </c>
      <c r="CC119" s="474">
        <v>0.0</v>
      </c>
      <c r="CD119" s="474">
        <v>0.0</v>
      </c>
      <c r="CE119" s="474">
        <v>0.0</v>
      </c>
      <c r="CF119" s="474">
        <v>0.0</v>
      </c>
      <c r="CG119" s="474">
        <v>0.0</v>
      </c>
      <c r="CH119" s="65">
        <v>0.0</v>
      </c>
      <c r="CI119" s="65">
        <v>0.0</v>
      </c>
      <c r="CJ119" s="65">
        <v>0.0</v>
      </c>
      <c r="CK119" s="65">
        <v>0.0</v>
      </c>
      <c r="CL119" s="65">
        <v>0.0</v>
      </c>
      <c r="CM119" s="65">
        <v>0.0</v>
      </c>
      <c r="CN119" s="65">
        <v>0.0</v>
      </c>
    </row>
    <row r="120" ht="15.75" customHeight="1">
      <c r="A120" s="462" t="s">
        <v>2346</v>
      </c>
      <c r="B120" s="477" t="s">
        <v>810</v>
      </c>
      <c r="C120" s="141">
        <v>464575.0</v>
      </c>
      <c r="D120" s="63" t="s">
        <v>120</v>
      </c>
      <c r="E120" s="63" t="s">
        <v>91</v>
      </c>
      <c r="F120" s="63" t="s">
        <v>193</v>
      </c>
      <c r="G120" s="47" t="str">
        <f t="shared" si="1"/>
        <v>Breno</v>
      </c>
      <c r="H120" s="152" t="s">
        <v>295</v>
      </c>
      <c r="I120" s="49" t="s">
        <v>382</v>
      </c>
      <c r="J120" s="63" t="str">
        <f t="shared" si="4"/>
        <v>Sim</v>
      </c>
      <c r="K120" s="143">
        <v>44291.0</v>
      </c>
      <c r="L120" s="81"/>
      <c r="M120" s="81" t="s">
        <v>209</v>
      </c>
      <c r="N120" s="478">
        <v>0.015</v>
      </c>
      <c r="O120" s="63" t="s">
        <v>35</v>
      </c>
      <c r="P120" s="145">
        <v>0.1</v>
      </c>
      <c r="Q120" s="153" t="s">
        <v>818</v>
      </c>
      <c r="R120" s="153" t="s">
        <v>819</v>
      </c>
      <c r="S120" s="62" t="s">
        <v>194</v>
      </c>
      <c r="T120" s="30" t="s">
        <v>821</v>
      </c>
      <c r="U120" s="95" t="s">
        <v>221</v>
      </c>
      <c r="V120" s="49" t="str">
        <f t="shared" si="3"/>
        <v>Ativo</v>
      </c>
      <c r="W120" s="150"/>
      <c r="X120" s="150"/>
      <c r="Y120" s="30" t="s">
        <v>244</v>
      </c>
      <c r="Z120" s="81"/>
      <c r="AA120" s="467">
        <v>44291.0</v>
      </c>
      <c r="AB120" s="30">
        <v>4.9075100004791E13</v>
      </c>
      <c r="AC120" s="482"/>
      <c r="AD120" s="482"/>
      <c r="AE120" s="482"/>
      <c r="AF120" s="482"/>
      <c r="AG120" s="482"/>
      <c r="AH120" s="482"/>
      <c r="AI120" s="482"/>
      <c r="AJ120" s="482"/>
      <c r="AK120" s="482"/>
      <c r="AL120" s="482"/>
      <c r="AM120" s="482"/>
      <c r="AN120" s="482"/>
      <c r="AO120" s="482"/>
      <c r="AP120" s="96"/>
      <c r="AQ120" s="471"/>
      <c r="AR120" s="471">
        <v>1368818.19</v>
      </c>
      <c r="AS120" s="471"/>
      <c r="AT120" s="471">
        <v>1381407.91</v>
      </c>
      <c r="AU120" s="471">
        <v>1404432.71</v>
      </c>
      <c r="AV120" s="96">
        <v>1397359.3</v>
      </c>
      <c r="AW120" s="96">
        <v>1382895.07</v>
      </c>
      <c r="AX120" s="96">
        <v>1130330.72</v>
      </c>
      <c r="AY120" s="96">
        <v>1108698.66</v>
      </c>
      <c r="AZ120" s="96">
        <v>1070244.15</v>
      </c>
      <c r="BA120" s="96">
        <v>1060496.31</v>
      </c>
      <c r="BB120" s="96">
        <v>866917.0</v>
      </c>
      <c r="BC120" s="96">
        <v>534965.29</v>
      </c>
      <c r="BD120" s="96">
        <v>495302.66</v>
      </c>
      <c r="BE120" s="96">
        <v>515909.11</v>
      </c>
      <c r="BF120" s="96">
        <v>506637.33</v>
      </c>
      <c r="BG120" s="472">
        <v>504719.83</v>
      </c>
      <c r="BH120" s="472">
        <v>499982.13</v>
      </c>
      <c r="BI120" s="472">
        <v>506750.33</v>
      </c>
      <c r="BJ120" s="472">
        <v>513579.88</v>
      </c>
      <c r="BK120" s="472">
        <v>516291.57</v>
      </c>
      <c r="BL120" s="472">
        <v>532943.46</v>
      </c>
      <c r="BM120" s="472">
        <v>532558.62</v>
      </c>
      <c r="BN120" s="472">
        <v>537515.8</v>
      </c>
      <c r="BO120" s="472">
        <v>543938.43</v>
      </c>
      <c r="BP120" s="472">
        <v>535946.32</v>
      </c>
      <c r="BQ120" s="472">
        <v>551800.65</v>
      </c>
      <c r="BR120" s="472">
        <v>552928.61</v>
      </c>
      <c r="BS120" s="472">
        <v>567732.96</v>
      </c>
      <c r="BT120" s="472">
        <v>575900.22</v>
      </c>
      <c r="BU120" s="472">
        <v>579715.91</v>
      </c>
      <c r="BV120" s="472">
        <v>585486.53</v>
      </c>
      <c r="BW120" s="472">
        <v>590183.63</v>
      </c>
      <c r="BX120" s="472">
        <v>197728.52</v>
      </c>
      <c r="BY120" s="472">
        <v>158506.22</v>
      </c>
      <c r="BZ120" s="472">
        <v>159908.64</v>
      </c>
      <c r="CA120" s="474">
        <v>54843.67</v>
      </c>
      <c r="CB120" s="474">
        <v>54133.44</v>
      </c>
      <c r="CC120" s="474">
        <v>54721.67</v>
      </c>
      <c r="CD120" s="474">
        <v>55344.78</v>
      </c>
      <c r="CE120" s="474">
        <v>55840.12</v>
      </c>
      <c r="CF120" s="474">
        <v>56418.98</v>
      </c>
      <c r="CG120" s="474">
        <v>57092.11</v>
      </c>
      <c r="CH120" s="65">
        <v>38137.02</v>
      </c>
      <c r="CI120" s="65">
        <v>56848.58</v>
      </c>
      <c r="CJ120" s="65">
        <v>0.0</v>
      </c>
      <c r="CK120" s="65">
        <v>0.0</v>
      </c>
      <c r="CL120" s="65">
        <v>0.23</v>
      </c>
      <c r="CM120" s="65">
        <v>0.23</v>
      </c>
      <c r="CN120" s="65">
        <v>0.23</v>
      </c>
    </row>
    <row r="121" ht="15.75" customHeight="1">
      <c r="A121" s="462" t="s">
        <v>2346</v>
      </c>
      <c r="B121" s="477" t="s">
        <v>831</v>
      </c>
      <c r="C121" s="141">
        <v>82859.0</v>
      </c>
      <c r="D121" s="63" t="s">
        <v>120</v>
      </c>
      <c r="E121" s="63" t="s">
        <v>91</v>
      </c>
      <c r="F121" s="63" t="s">
        <v>521</v>
      </c>
      <c r="G121" s="47" t="str">
        <f t="shared" si="1"/>
        <v>Breno</v>
      </c>
      <c r="H121" s="142" t="s">
        <v>295</v>
      </c>
      <c r="I121" s="49" t="s">
        <v>382</v>
      </c>
      <c r="J121" s="63" t="str">
        <f t="shared" si="4"/>
        <v>Não</v>
      </c>
      <c r="K121" s="143">
        <v>44263.0</v>
      </c>
      <c r="L121" s="81"/>
      <c r="M121" s="81" t="s">
        <v>361</v>
      </c>
      <c r="N121" s="478">
        <v>0.025</v>
      </c>
      <c r="O121" s="63" t="s">
        <v>35</v>
      </c>
      <c r="P121" s="145">
        <v>0.2</v>
      </c>
      <c r="Q121" s="190"/>
      <c r="R121" s="158"/>
      <c r="S121" s="62" t="s">
        <v>194</v>
      </c>
      <c r="T121" s="30" t="s">
        <v>836</v>
      </c>
      <c r="U121" s="95" t="s">
        <v>221</v>
      </c>
      <c r="V121" s="49" t="str">
        <f t="shared" si="3"/>
        <v>Ativo</v>
      </c>
      <c r="W121" s="150"/>
      <c r="X121" s="150"/>
      <c r="Y121" s="30" t="s">
        <v>244</v>
      </c>
      <c r="Z121" s="81"/>
      <c r="AA121" s="467">
        <v>44263.0</v>
      </c>
      <c r="AB121" s="30">
        <v>4.9075100009619E13</v>
      </c>
      <c r="AC121" s="482"/>
      <c r="AD121" s="482"/>
      <c r="AE121" s="482"/>
      <c r="AF121" s="482"/>
      <c r="AG121" s="482"/>
      <c r="AH121" s="482"/>
      <c r="AI121" s="482"/>
      <c r="AJ121" s="482"/>
      <c r="AK121" s="482"/>
      <c r="AL121" s="482"/>
      <c r="AM121" s="482"/>
      <c r="AN121" s="482"/>
      <c r="AO121" s="482"/>
      <c r="AP121" s="96"/>
      <c r="AQ121" s="471">
        <v>709006.03</v>
      </c>
      <c r="AR121" s="471">
        <v>711263.99</v>
      </c>
      <c r="AS121" s="471"/>
      <c r="AT121" s="471">
        <v>723019.38</v>
      </c>
      <c r="AU121" s="471">
        <v>745340.12</v>
      </c>
      <c r="AV121" s="96">
        <v>740041.95</v>
      </c>
      <c r="AW121" s="96">
        <v>708683.5</v>
      </c>
      <c r="AX121" s="96">
        <v>675485.04</v>
      </c>
      <c r="AY121" s="96">
        <v>643794.06</v>
      </c>
      <c r="AZ121" s="96">
        <v>603275.9</v>
      </c>
      <c r="BA121" s="96">
        <v>584002.85</v>
      </c>
      <c r="BB121" s="96">
        <v>588555.89</v>
      </c>
      <c r="BC121" s="96">
        <v>621108.62</v>
      </c>
      <c r="BD121" s="96">
        <v>624968.56</v>
      </c>
      <c r="BE121" s="96">
        <v>535880.07</v>
      </c>
      <c r="BF121" s="96">
        <v>650790.17</v>
      </c>
      <c r="BG121" s="472">
        <v>644796.93</v>
      </c>
      <c r="BH121" s="472">
        <v>628493.61</v>
      </c>
      <c r="BI121" s="472">
        <v>647347.0</v>
      </c>
      <c r="BJ121" s="472">
        <v>148694.57</v>
      </c>
      <c r="BK121" s="472">
        <v>148584.82</v>
      </c>
      <c r="BL121" s="472">
        <v>151633.15</v>
      </c>
      <c r="BM121" s="472">
        <v>152301.67</v>
      </c>
      <c r="BN121" s="472">
        <v>154050.44</v>
      </c>
      <c r="BO121" s="472">
        <v>152709.98</v>
      </c>
      <c r="BP121" s="472">
        <v>148211.34</v>
      </c>
      <c r="BQ121" s="472">
        <v>106143.31</v>
      </c>
      <c r="BR121" s="472">
        <v>148203.67</v>
      </c>
      <c r="BS121" s="472">
        <v>151360.31</v>
      </c>
      <c r="BT121" s="472">
        <v>155357.18</v>
      </c>
      <c r="BU121" s="472">
        <v>113726.95</v>
      </c>
      <c r="BV121" s="472">
        <v>158293.93</v>
      </c>
      <c r="BW121" s="472">
        <v>6467.33</v>
      </c>
      <c r="BX121" s="472">
        <v>424.55</v>
      </c>
      <c r="BY121" s="472">
        <v>273.15</v>
      </c>
      <c r="BZ121" s="472">
        <v>217.94</v>
      </c>
      <c r="CA121" s="474">
        <v>217.94</v>
      </c>
      <c r="CB121" s="474">
        <v>217.94</v>
      </c>
      <c r="CC121" s="474">
        <v>213.33</v>
      </c>
      <c r="CD121" s="474">
        <v>165.59</v>
      </c>
      <c r="CE121" s="474">
        <v>48.65</v>
      </c>
      <c r="CF121" s="474">
        <v>33.26</v>
      </c>
      <c r="CG121" s="474">
        <v>33.26</v>
      </c>
      <c r="CH121" s="65">
        <v>33.26</v>
      </c>
      <c r="CI121" s="65">
        <v>33.26</v>
      </c>
      <c r="CJ121" s="65">
        <v>33.26</v>
      </c>
      <c r="CK121" s="65">
        <v>33.26</v>
      </c>
      <c r="CL121" s="65">
        <v>144.23</v>
      </c>
      <c r="CM121" s="65">
        <v>144.23</v>
      </c>
      <c r="CN121" s="65">
        <v>144.23</v>
      </c>
    </row>
    <row r="122" ht="15.75" customHeight="1">
      <c r="A122" s="462" t="s">
        <v>2346</v>
      </c>
      <c r="B122" s="477" t="s">
        <v>4757</v>
      </c>
      <c r="C122" s="141">
        <v>443867.0</v>
      </c>
      <c r="D122" s="63" t="s">
        <v>1096</v>
      </c>
      <c r="E122" s="63" t="s">
        <v>199</v>
      </c>
      <c r="F122" s="81" t="s">
        <v>1096</v>
      </c>
      <c r="G122" s="47" t="str">
        <f t="shared" si="1"/>
        <v>Breno</v>
      </c>
      <c r="H122" s="152" t="s">
        <v>224</v>
      </c>
      <c r="I122" s="74" t="s">
        <v>66</v>
      </c>
      <c r="J122" s="63" t="str">
        <f t="shared" si="4"/>
        <v>Não</v>
      </c>
      <c r="K122" s="480">
        <v>43829.0</v>
      </c>
      <c r="L122" s="467">
        <v>44375.0</v>
      </c>
      <c r="M122" s="81" t="s">
        <v>231</v>
      </c>
      <c r="N122" s="478">
        <v>0.025</v>
      </c>
      <c r="O122" s="141" t="s">
        <v>233</v>
      </c>
      <c r="P122" s="145">
        <v>0.2</v>
      </c>
      <c r="Q122" s="158"/>
      <c r="R122" s="158"/>
      <c r="S122" s="62" t="s">
        <v>194</v>
      </c>
      <c r="T122" s="30" t="s">
        <v>4760</v>
      </c>
      <c r="U122" s="81" t="s">
        <v>199</v>
      </c>
      <c r="V122" s="49" t="str">
        <f t="shared" si="3"/>
        <v>Encerrado</v>
      </c>
      <c r="W122" s="150"/>
      <c r="X122" s="150"/>
      <c r="Y122" s="81"/>
      <c r="Z122" s="81"/>
      <c r="AA122" s="81"/>
      <c r="AB122" s="30"/>
      <c r="AC122" s="96">
        <v>401894.13</v>
      </c>
      <c r="AD122" s="96">
        <v>379755.7</v>
      </c>
      <c r="AE122" s="96">
        <v>284039.57</v>
      </c>
      <c r="AF122" s="96">
        <v>300678.76</v>
      </c>
      <c r="AG122" s="96">
        <v>312336.75</v>
      </c>
      <c r="AH122" s="96">
        <v>331301.5</v>
      </c>
      <c r="AI122" s="96">
        <v>355682.71</v>
      </c>
      <c r="AJ122" s="96">
        <v>332861.06</v>
      </c>
      <c r="AK122" s="96">
        <v>316447.84</v>
      </c>
      <c r="AL122" s="96">
        <v>321440.48</v>
      </c>
      <c r="AM122" s="96">
        <v>365748.37</v>
      </c>
      <c r="AN122" s="96">
        <v>382843.69</v>
      </c>
      <c r="AO122" s="96">
        <v>367895.75</v>
      </c>
      <c r="AP122" s="96">
        <v>338322.05</v>
      </c>
      <c r="AQ122" s="96">
        <v>327804.7</v>
      </c>
      <c r="AR122" s="96">
        <v>356872.11</v>
      </c>
      <c r="AS122" s="96">
        <v>356938.37</v>
      </c>
      <c r="AT122" s="96">
        <v>358898.73</v>
      </c>
      <c r="AU122" s="96">
        <v>373842.57</v>
      </c>
      <c r="AV122" s="96">
        <v>368874.69</v>
      </c>
      <c r="AW122" s="96">
        <v>13800.5</v>
      </c>
      <c r="AX122" s="96">
        <v>13551.66</v>
      </c>
      <c r="AY122" s="96">
        <v>13585.85</v>
      </c>
      <c r="AZ122" s="96"/>
      <c r="BA122" s="96"/>
      <c r="BB122" s="96"/>
      <c r="BC122" s="96"/>
      <c r="BD122" s="96">
        <v>0.0</v>
      </c>
      <c r="BE122" s="96">
        <v>0.0</v>
      </c>
      <c r="BF122" s="96">
        <v>0.0</v>
      </c>
      <c r="BG122" s="96" t="s">
        <v>377</v>
      </c>
      <c r="BH122" s="96">
        <v>0.0</v>
      </c>
      <c r="BI122" s="96" t="s">
        <v>377</v>
      </c>
      <c r="BJ122" s="96">
        <v>0.0</v>
      </c>
      <c r="BK122" s="472">
        <v>0.0</v>
      </c>
      <c r="BL122" s="472">
        <v>0.0</v>
      </c>
      <c r="BM122" s="472">
        <v>0.0</v>
      </c>
      <c r="BN122" s="472">
        <v>0.0</v>
      </c>
      <c r="BO122" s="472">
        <v>0.0</v>
      </c>
      <c r="BP122" s="472">
        <v>0.0</v>
      </c>
      <c r="BQ122" s="472">
        <v>0.0</v>
      </c>
      <c r="BR122" s="472">
        <v>0.0</v>
      </c>
      <c r="BS122" s="472">
        <v>0.0</v>
      </c>
      <c r="BT122" s="472">
        <v>0.0</v>
      </c>
      <c r="BU122" s="472">
        <v>0.0</v>
      </c>
      <c r="BV122" s="472">
        <v>0.0</v>
      </c>
      <c r="BW122" s="472">
        <v>0.0</v>
      </c>
      <c r="BX122" s="472">
        <v>0.0</v>
      </c>
      <c r="BY122" s="472">
        <v>0.0</v>
      </c>
      <c r="BZ122" s="472">
        <v>0.0</v>
      </c>
      <c r="CA122" s="474">
        <v>0.0</v>
      </c>
      <c r="CB122" s="474">
        <v>0.0</v>
      </c>
      <c r="CC122" s="474">
        <v>0.0</v>
      </c>
      <c r="CD122" s="474">
        <v>0.0</v>
      </c>
      <c r="CE122" s="474">
        <v>0.0</v>
      </c>
      <c r="CF122" s="474">
        <v>0.0</v>
      </c>
      <c r="CG122" s="474">
        <v>0.0</v>
      </c>
      <c r="CH122" s="65">
        <v>0.0</v>
      </c>
      <c r="CI122" s="65">
        <v>0.0</v>
      </c>
      <c r="CJ122" s="65">
        <v>0.0</v>
      </c>
      <c r="CK122" s="65">
        <v>0.0</v>
      </c>
      <c r="CL122" s="65">
        <v>0.0</v>
      </c>
      <c r="CM122" s="65">
        <v>0.0</v>
      </c>
      <c r="CN122" s="65">
        <v>0.0</v>
      </c>
    </row>
    <row r="123" ht="15.75" customHeight="1">
      <c r="A123" s="462" t="s">
        <v>2346</v>
      </c>
      <c r="B123" s="176" t="s">
        <v>4779</v>
      </c>
      <c r="C123" s="141">
        <v>439818.0</v>
      </c>
      <c r="D123" s="63" t="s">
        <v>120</v>
      </c>
      <c r="E123" s="63" t="s">
        <v>91</v>
      </c>
      <c r="F123" s="63" t="s">
        <v>193</v>
      </c>
      <c r="G123" s="47" t="str">
        <f t="shared" si="1"/>
        <v>Breno</v>
      </c>
      <c r="H123" s="142" t="s">
        <v>295</v>
      </c>
      <c r="I123" s="49" t="s">
        <v>382</v>
      </c>
      <c r="J123" s="63" t="str">
        <f t="shared" si="4"/>
        <v>Não</v>
      </c>
      <c r="K123" s="467">
        <v>44602.0</v>
      </c>
      <c r="L123" s="62"/>
      <c r="M123" s="81" t="s">
        <v>209</v>
      </c>
      <c r="N123" s="478">
        <v>0.015</v>
      </c>
      <c r="O123" s="63" t="s">
        <v>35</v>
      </c>
      <c r="P123" s="145">
        <v>0.1</v>
      </c>
      <c r="Q123" s="190"/>
      <c r="R123" s="158" t="s">
        <v>4784</v>
      </c>
      <c r="S123" s="62" t="s">
        <v>194</v>
      </c>
      <c r="T123" s="22" t="s">
        <v>4785</v>
      </c>
      <c r="U123" s="95" t="s">
        <v>221</v>
      </c>
      <c r="V123" s="49" t="str">
        <f t="shared" si="3"/>
        <v>Inativo</v>
      </c>
      <c r="W123" s="150"/>
      <c r="X123" s="150"/>
      <c r="Y123" s="30" t="s">
        <v>244</v>
      </c>
      <c r="Z123" s="81"/>
      <c r="AA123" s="467">
        <v>44602.0</v>
      </c>
      <c r="AB123" s="30">
        <v>4.9075100010552E13</v>
      </c>
      <c r="AC123" s="482"/>
      <c r="AD123" s="482"/>
      <c r="AE123" s="482"/>
      <c r="AF123" s="482"/>
      <c r="AG123" s="482"/>
      <c r="AH123" s="482"/>
      <c r="AI123" s="482"/>
      <c r="AJ123" s="482"/>
      <c r="AK123" s="482"/>
      <c r="AL123" s="482"/>
      <c r="AM123" s="482"/>
      <c r="AN123" s="482"/>
      <c r="AO123" s="482"/>
      <c r="AP123" s="96"/>
      <c r="AQ123" s="471"/>
      <c r="AR123" s="471"/>
      <c r="AS123" s="471"/>
      <c r="AT123" s="471"/>
      <c r="AU123" s="471"/>
      <c r="AV123" s="96"/>
      <c r="AW123" s="96"/>
      <c r="AX123" s="96"/>
      <c r="AY123" s="96"/>
      <c r="AZ123" s="96"/>
      <c r="BA123" s="96"/>
      <c r="BB123" s="96"/>
      <c r="BC123" s="96"/>
      <c r="BD123" s="96">
        <v>212229.42</v>
      </c>
      <c r="BE123" s="96">
        <v>215008.49</v>
      </c>
      <c r="BF123" s="96">
        <v>198671.54</v>
      </c>
      <c r="BG123" s="472">
        <v>196729.94</v>
      </c>
      <c r="BH123" s="472">
        <v>10596.62</v>
      </c>
      <c r="BI123" s="472">
        <v>10180.0</v>
      </c>
      <c r="BJ123" s="472">
        <v>10393.4</v>
      </c>
      <c r="BK123" s="472">
        <v>10475.68</v>
      </c>
      <c r="BL123" s="472">
        <v>10554.58</v>
      </c>
      <c r="BM123" s="472">
        <v>10634.81</v>
      </c>
      <c r="BN123" s="472">
        <v>10715.75</v>
      </c>
      <c r="BO123" s="472">
        <v>11112.05</v>
      </c>
      <c r="BP123" s="472">
        <v>11183.37</v>
      </c>
      <c r="BQ123" s="472">
        <v>11282.02</v>
      </c>
      <c r="BR123" s="472">
        <v>0.0</v>
      </c>
      <c r="BS123" s="472">
        <v>0.0</v>
      </c>
      <c r="BT123" s="472">
        <v>0.0</v>
      </c>
      <c r="BU123" s="472">
        <v>0.0</v>
      </c>
      <c r="BV123" s="472">
        <v>0.0</v>
      </c>
      <c r="BW123" s="472">
        <v>0.0</v>
      </c>
      <c r="BX123" s="472">
        <v>0.0</v>
      </c>
      <c r="BY123" s="472">
        <v>0.0</v>
      </c>
      <c r="BZ123" s="472">
        <v>0.0</v>
      </c>
      <c r="CA123" s="474">
        <v>0.0</v>
      </c>
      <c r="CB123" s="474">
        <v>0.0</v>
      </c>
      <c r="CC123" s="474">
        <v>0.0</v>
      </c>
      <c r="CD123" s="474">
        <v>0.0</v>
      </c>
      <c r="CE123" s="474">
        <v>0.0</v>
      </c>
      <c r="CF123" s="474">
        <v>0.0</v>
      </c>
      <c r="CG123" s="474">
        <v>0.0</v>
      </c>
      <c r="CH123" s="65">
        <v>0.0</v>
      </c>
      <c r="CI123" s="65">
        <v>0.0</v>
      </c>
      <c r="CJ123" s="65">
        <v>0.0</v>
      </c>
      <c r="CK123" s="65">
        <v>0.0</v>
      </c>
      <c r="CL123" s="65">
        <v>0.0</v>
      </c>
      <c r="CM123" s="65">
        <v>0.0</v>
      </c>
      <c r="CN123" s="65">
        <v>0.0</v>
      </c>
    </row>
    <row r="124" ht="15.75" customHeight="1">
      <c r="A124" s="462" t="s">
        <v>2346</v>
      </c>
      <c r="B124" s="477" t="s">
        <v>4806</v>
      </c>
      <c r="C124" s="141">
        <v>473239.0</v>
      </c>
      <c r="D124" s="63" t="s">
        <v>120</v>
      </c>
      <c r="E124" s="63" t="s">
        <v>91</v>
      </c>
      <c r="F124" s="81" t="s">
        <v>193</v>
      </c>
      <c r="G124" s="47" t="str">
        <f t="shared" si="1"/>
        <v>Breno</v>
      </c>
      <c r="H124" s="152" t="s">
        <v>224</v>
      </c>
      <c r="I124" s="74" t="s">
        <v>66</v>
      </c>
      <c r="J124" s="63" t="str">
        <f t="shared" si="4"/>
        <v>Não</v>
      </c>
      <c r="K124" s="480">
        <v>44298.0</v>
      </c>
      <c r="L124" s="467">
        <v>44599.0</v>
      </c>
      <c r="M124" s="81" t="s">
        <v>209</v>
      </c>
      <c r="N124" s="478">
        <v>0.015</v>
      </c>
      <c r="O124" s="63" t="s">
        <v>35</v>
      </c>
      <c r="P124" s="145">
        <v>0.1</v>
      </c>
      <c r="Q124" s="158"/>
      <c r="R124" s="158"/>
      <c r="S124" s="62" t="s">
        <v>194</v>
      </c>
      <c r="T124" s="30" t="s">
        <v>857</v>
      </c>
      <c r="U124" s="81" t="s">
        <v>221</v>
      </c>
      <c r="V124" s="49" t="str">
        <f t="shared" si="3"/>
        <v>Encerrado</v>
      </c>
      <c r="W124" s="150"/>
      <c r="X124" s="150"/>
      <c r="Y124" s="30" t="s">
        <v>244</v>
      </c>
      <c r="Z124" s="81"/>
      <c r="AA124" s="81"/>
      <c r="AB124" s="30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>
        <v>336927.29</v>
      </c>
      <c r="AV124" s="96">
        <v>335477.07</v>
      </c>
      <c r="AW124" s="96">
        <v>300973.83</v>
      </c>
      <c r="AX124" s="96">
        <v>295162.0</v>
      </c>
      <c r="AY124" s="96">
        <v>290725.14</v>
      </c>
      <c r="AZ124" s="96">
        <v>283268.9</v>
      </c>
      <c r="BA124" s="96">
        <v>225505.95</v>
      </c>
      <c r="BB124" s="96">
        <v>184093.9</v>
      </c>
      <c r="BC124" s="96">
        <v>13893.64</v>
      </c>
      <c r="BD124" s="96">
        <v>-154.4</v>
      </c>
      <c r="BE124" s="96">
        <v>140.38</v>
      </c>
      <c r="BF124" s="96">
        <v>153.8</v>
      </c>
      <c r="BG124" s="96" t="s">
        <v>377</v>
      </c>
      <c r="BH124" s="96">
        <v>0.0</v>
      </c>
      <c r="BI124" s="96" t="s">
        <v>377</v>
      </c>
      <c r="BJ124" s="96">
        <v>0.0</v>
      </c>
      <c r="BK124" s="472">
        <v>0.0</v>
      </c>
      <c r="BL124" s="472">
        <v>0.0</v>
      </c>
      <c r="BM124" s="472">
        <v>0.0</v>
      </c>
      <c r="BN124" s="472">
        <v>0.0</v>
      </c>
      <c r="BO124" s="472">
        <v>0.0</v>
      </c>
      <c r="BP124" s="472">
        <v>0.0</v>
      </c>
      <c r="BQ124" s="472">
        <v>0.0</v>
      </c>
      <c r="BR124" s="472">
        <v>0.0</v>
      </c>
      <c r="BS124" s="472">
        <v>0.0</v>
      </c>
      <c r="BT124" s="472">
        <v>0.0</v>
      </c>
      <c r="BU124" s="472">
        <v>0.0</v>
      </c>
      <c r="BV124" s="472">
        <v>0.0</v>
      </c>
      <c r="BW124" s="472">
        <v>0.0</v>
      </c>
      <c r="BX124" s="472">
        <v>0.0</v>
      </c>
      <c r="BY124" s="472">
        <v>0.0</v>
      </c>
      <c r="BZ124" s="472">
        <v>0.0</v>
      </c>
      <c r="CA124" s="474">
        <v>0.0</v>
      </c>
      <c r="CB124" s="474">
        <v>0.0</v>
      </c>
      <c r="CC124" s="474">
        <v>0.0</v>
      </c>
      <c r="CD124" s="474">
        <v>0.0</v>
      </c>
      <c r="CE124" s="474">
        <v>0.0</v>
      </c>
      <c r="CF124" s="474">
        <v>0.0</v>
      </c>
      <c r="CG124" s="474">
        <v>0.0</v>
      </c>
      <c r="CH124" s="65">
        <v>0.0</v>
      </c>
      <c r="CI124" s="65">
        <v>0.0</v>
      </c>
      <c r="CJ124" s="65">
        <v>0.0</v>
      </c>
      <c r="CK124" s="65">
        <v>0.0</v>
      </c>
      <c r="CL124" s="65">
        <v>0.0</v>
      </c>
      <c r="CM124" s="65">
        <v>0.0</v>
      </c>
      <c r="CN124" s="65">
        <v>0.0</v>
      </c>
    </row>
    <row r="125" ht="15.75" customHeight="1">
      <c r="A125" s="462" t="s">
        <v>2346</v>
      </c>
      <c r="B125" s="50" t="s">
        <v>4806</v>
      </c>
      <c r="C125" s="141">
        <v>463648.0</v>
      </c>
      <c r="D125" s="63" t="s">
        <v>120</v>
      </c>
      <c r="E125" s="63" t="s">
        <v>91</v>
      </c>
      <c r="F125" s="66" t="s">
        <v>193</v>
      </c>
      <c r="G125" s="47" t="str">
        <f t="shared" si="1"/>
        <v>Breno</v>
      </c>
      <c r="H125" s="142" t="s">
        <v>295</v>
      </c>
      <c r="I125" s="49" t="s">
        <v>382</v>
      </c>
      <c r="J125" s="63" t="str">
        <f t="shared" si="4"/>
        <v>Não</v>
      </c>
      <c r="K125" s="143">
        <v>44383.0</v>
      </c>
      <c r="L125" s="62"/>
      <c r="M125" s="81" t="s">
        <v>231</v>
      </c>
      <c r="N125" s="478">
        <v>0.025</v>
      </c>
      <c r="O125" s="141" t="s">
        <v>233</v>
      </c>
      <c r="P125" s="145">
        <v>0.2</v>
      </c>
      <c r="Q125" s="70"/>
      <c r="R125" s="70"/>
      <c r="S125" s="62" t="s">
        <v>194</v>
      </c>
      <c r="T125" s="22" t="s">
        <v>857</v>
      </c>
      <c r="U125" s="95" t="s">
        <v>221</v>
      </c>
      <c r="V125" s="49" t="str">
        <f t="shared" si="3"/>
        <v>Inativo</v>
      </c>
      <c r="W125" s="150"/>
      <c r="X125" s="150"/>
      <c r="Y125" s="30" t="s">
        <v>244</v>
      </c>
      <c r="Z125" s="81"/>
      <c r="AA125" s="467">
        <v>44383.0</v>
      </c>
      <c r="AB125" s="30">
        <v>4.907510001056E13</v>
      </c>
      <c r="AC125" s="476"/>
      <c r="AD125" s="476"/>
      <c r="AE125" s="476"/>
      <c r="AF125" s="476"/>
      <c r="AG125" s="476"/>
      <c r="AH125" s="476"/>
      <c r="AI125" s="476"/>
      <c r="AJ125" s="476"/>
      <c r="AK125" s="476"/>
      <c r="AL125" s="476"/>
      <c r="AM125" s="476"/>
      <c r="AN125" s="476"/>
      <c r="AO125" s="96"/>
      <c r="AP125" s="471"/>
      <c r="AQ125" s="471"/>
      <c r="AR125" s="471"/>
      <c r="AS125" s="471"/>
      <c r="AT125" s="471"/>
      <c r="AU125" s="96"/>
      <c r="AV125" s="476"/>
      <c r="AW125" s="96">
        <v>91437.24</v>
      </c>
      <c r="AX125" s="96">
        <v>90420.2</v>
      </c>
      <c r="AY125" s="96">
        <v>87399.58</v>
      </c>
      <c r="AZ125" s="96">
        <v>81870.99</v>
      </c>
      <c r="BA125" s="96">
        <v>74529.29</v>
      </c>
      <c r="BB125" s="96">
        <v>72837.91</v>
      </c>
      <c r="BC125" s="96">
        <v>76866.11</v>
      </c>
      <c r="BD125" s="96">
        <v>77827.62</v>
      </c>
      <c r="BE125" s="96">
        <v>83664.45</v>
      </c>
      <c r="BF125" s="96">
        <v>79200.4</v>
      </c>
      <c r="BG125" s="562" t="s">
        <v>377</v>
      </c>
      <c r="BH125" s="472">
        <v>0.0</v>
      </c>
      <c r="BI125" s="472">
        <v>-118.87</v>
      </c>
      <c r="BJ125" s="472">
        <v>-118.87</v>
      </c>
      <c r="BK125" s="472">
        <v>-118.87</v>
      </c>
      <c r="BL125" s="472">
        <v>0.0</v>
      </c>
      <c r="BM125" s="472">
        <v>-118.87</v>
      </c>
      <c r="BN125" s="472">
        <v>-118.87</v>
      </c>
      <c r="BO125" s="472">
        <v>-118.87</v>
      </c>
      <c r="BP125" s="472">
        <v>-118.87</v>
      </c>
      <c r="BQ125" s="472">
        <v>-118.87</v>
      </c>
      <c r="BR125" s="472">
        <v>0.0</v>
      </c>
      <c r="BS125" s="472">
        <v>0.0</v>
      </c>
      <c r="BT125" s="472">
        <v>0.0</v>
      </c>
      <c r="BU125" s="472">
        <v>0.0</v>
      </c>
      <c r="BV125" s="472">
        <v>0.0</v>
      </c>
      <c r="BW125" s="472">
        <v>0.0</v>
      </c>
      <c r="BX125" s="472">
        <v>0.0</v>
      </c>
      <c r="BY125" s="472">
        <v>0.0</v>
      </c>
      <c r="BZ125" s="472">
        <v>0.0</v>
      </c>
      <c r="CA125" s="474">
        <v>0.0</v>
      </c>
      <c r="CB125" s="474">
        <v>0.0</v>
      </c>
      <c r="CC125" s="474">
        <v>0.0</v>
      </c>
      <c r="CD125" s="474">
        <v>0.0</v>
      </c>
      <c r="CE125" s="474">
        <v>0.0</v>
      </c>
      <c r="CF125" s="474">
        <v>0.0</v>
      </c>
      <c r="CG125" s="474">
        <v>0.0</v>
      </c>
      <c r="CH125" s="65">
        <v>0.0</v>
      </c>
      <c r="CI125" s="65">
        <v>0.0</v>
      </c>
      <c r="CJ125" s="65">
        <v>0.0</v>
      </c>
      <c r="CK125" s="65">
        <v>0.0</v>
      </c>
      <c r="CL125" s="65">
        <v>0.0</v>
      </c>
      <c r="CM125" s="65">
        <v>0.0</v>
      </c>
      <c r="CN125" s="65">
        <v>0.0</v>
      </c>
    </row>
    <row r="126" ht="15.75" customHeight="1">
      <c r="A126" s="462" t="s">
        <v>2346</v>
      </c>
      <c r="B126" s="50" t="s">
        <v>4848</v>
      </c>
      <c r="C126" s="141">
        <v>31956.0</v>
      </c>
      <c r="D126" s="63" t="s">
        <v>120</v>
      </c>
      <c r="E126" s="63" t="s">
        <v>91</v>
      </c>
      <c r="F126" s="63" t="s">
        <v>521</v>
      </c>
      <c r="G126" s="47" t="str">
        <f t="shared" si="1"/>
        <v>Breno</v>
      </c>
      <c r="H126" s="142" t="s">
        <v>295</v>
      </c>
      <c r="I126" s="49" t="s">
        <v>382</v>
      </c>
      <c r="J126" s="63" t="str">
        <f t="shared" si="4"/>
        <v>Não</v>
      </c>
      <c r="K126" s="143">
        <v>44322.0</v>
      </c>
      <c r="L126" s="81"/>
      <c r="M126" s="81" t="s">
        <v>209</v>
      </c>
      <c r="N126" s="478">
        <v>0.015</v>
      </c>
      <c r="O126" s="63" t="s">
        <v>35</v>
      </c>
      <c r="P126" s="145">
        <v>0.1</v>
      </c>
      <c r="Q126" s="70"/>
      <c r="R126" s="70"/>
      <c r="S126" s="62" t="s">
        <v>194</v>
      </c>
      <c r="T126" s="22" t="s">
        <v>4850</v>
      </c>
      <c r="U126" s="95" t="s">
        <v>221</v>
      </c>
      <c r="V126" s="49" t="str">
        <f t="shared" si="3"/>
        <v>Inativo</v>
      </c>
      <c r="W126" s="150"/>
      <c r="X126" s="150"/>
      <c r="Y126" s="30" t="s">
        <v>244</v>
      </c>
      <c r="Z126" s="81"/>
      <c r="AA126" s="467">
        <v>44322.0</v>
      </c>
      <c r="AB126" s="30">
        <v>4.9075100010579E13</v>
      </c>
      <c r="AC126" s="476"/>
      <c r="AD126" s="476"/>
      <c r="AE126" s="476"/>
      <c r="AF126" s="476"/>
      <c r="AG126" s="476"/>
      <c r="AH126" s="476"/>
      <c r="AI126" s="476"/>
      <c r="AJ126" s="476"/>
      <c r="AK126" s="476"/>
      <c r="AL126" s="476"/>
      <c r="AM126" s="476"/>
      <c r="AN126" s="476"/>
      <c r="AO126" s="476"/>
      <c r="AP126" s="96"/>
      <c r="AQ126" s="471"/>
      <c r="AR126" s="471"/>
      <c r="AS126" s="471"/>
      <c r="AT126" s="471"/>
      <c r="AU126" s="471">
        <v>90924.45</v>
      </c>
      <c r="AV126" s="96">
        <v>91857.52</v>
      </c>
      <c r="AW126" s="96">
        <v>79864.58</v>
      </c>
      <c r="AX126" s="96">
        <v>2424.12</v>
      </c>
      <c r="AY126" s="96"/>
      <c r="AZ126" s="96">
        <v>0.15</v>
      </c>
      <c r="BA126" s="96">
        <v>0.24</v>
      </c>
      <c r="BB126" s="96">
        <v>0.24</v>
      </c>
      <c r="BC126" s="96"/>
      <c r="BD126" s="96">
        <v>0.0</v>
      </c>
      <c r="BE126" s="96">
        <v>0.0</v>
      </c>
      <c r="BF126" s="96">
        <v>0.0</v>
      </c>
      <c r="BG126" s="472" t="s">
        <v>377</v>
      </c>
      <c r="BH126" s="472">
        <v>0.0</v>
      </c>
      <c r="BI126" s="472" t="s">
        <v>377</v>
      </c>
      <c r="BJ126" s="472">
        <v>0.0</v>
      </c>
      <c r="BK126" s="472">
        <v>0.0</v>
      </c>
      <c r="BL126" s="472">
        <v>0.0</v>
      </c>
      <c r="BM126" s="472">
        <v>0.0</v>
      </c>
      <c r="BN126" s="472">
        <v>0.0</v>
      </c>
      <c r="BO126" s="472">
        <v>0.0</v>
      </c>
      <c r="BP126" s="472">
        <v>0.0</v>
      </c>
      <c r="BQ126" s="472">
        <v>0.0</v>
      </c>
      <c r="BR126" s="472">
        <v>0.0</v>
      </c>
      <c r="BS126" s="472">
        <v>0.0</v>
      </c>
      <c r="BT126" s="472">
        <v>0.0</v>
      </c>
      <c r="BU126" s="472">
        <v>0.0</v>
      </c>
      <c r="BV126" s="472">
        <v>0.0</v>
      </c>
      <c r="BW126" s="472">
        <v>0.0</v>
      </c>
      <c r="BX126" s="472">
        <v>0.0</v>
      </c>
      <c r="BY126" s="472">
        <v>0.0</v>
      </c>
      <c r="BZ126" s="472">
        <v>0.0</v>
      </c>
      <c r="CA126" s="474">
        <v>0.0</v>
      </c>
      <c r="CB126" s="474">
        <v>0.0</v>
      </c>
      <c r="CC126" s="474">
        <v>0.0</v>
      </c>
      <c r="CD126" s="474">
        <v>0.0</v>
      </c>
      <c r="CE126" s="474">
        <v>0.0</v>
      </c>
      <c r="CF126" s="474">
        <v>0.0</v>
      </c>
      <c r="CG126" s="474">
        <v>0.0</v>
      </c>
      <c r="CH126" s="65">
        <v>0.0</v>
      </c>
      <c r="CI126" s="65">
        <v>0.0</v>
      </c>
      <c r="CJ126" s="65">
        <v>0.0</v>
      </c>
      <c r="CK126" s="65">
        <v>0.0</v>
      </c>
      <c r="CL126" s="65">
        <v>0.0</v>
      </c>
      <c r="CM126" s="65">
        <v>0.0</v>
      </c>
      <c r="CN126" s="65">
        <v>0.0</v>
      </c>
    </row>
    <row r="127" ht="15.75" customHeight="1">
      <c r="A127" s="462" t="s">
        <v>2346</v>
      </c>
      <c r="B127" s="50" t="s">
        <v>4859</v>
      </c>
      <c r="C127" s="141">
        <v>362768.0</v>
      </c>
      <c r="D127" s="63" t="s">
        <v>120</v>
      </c>
      <c r="E127" s="63" t="s">
        <v>91</v>
      </c>
      <c r="F127" s="63" t="s">
        <v>521</v>
      </c>
      <c r="G127" s="47" t="str">
        <f t="shared" si="1"/>
        <v>Breno</v>
      </c>
      <c r="H127" s="142" t="s">
        <v>295</v>
      </c>
      <c r="I127" s="49" t="s">
        <v>382</v>
      </c>
      <c r="J127" s="63" t="str">
        <f t="shared" si="4"/>
        <v>Não</v>
      </c>
      <c r="K127" s="143">
        <v>44844.0</v>
      </c>
      <c r="L127" s="81"/>
      <c r="M127" s="81" t="s">
        <v>61</v>
      </c>
      <c r="N127" s="478">
        <v>0.01</v>
      </c>
      <c r="O127" s="141" t="s">
        <v>66</v>
      </c>
      <c r="P127" s="145">
        <v>0.0</v>
      </c>
      <c r="Q127" s="146"/>
      <c r="R127" s="640" t="s">
        <v>4864</v>
      </c>
      <c r="S127" s="62" t="s">
        <v>194</v>
      </c>
      <c r="T127" s="22" t="s">
        <v>4865</v>
      </c>
      <c r="U127" s="22" t="s">
        <v>221</v>
      </c>
      <c r="V127" s="49" t="str">
        <f t="shared" si="3"/>
        <v>Inativo</v>
      </c>
      <c r="W127" s="150"/>
      <c r="X127" s="150"/>
      <c r="Y127" s="30" t="s">
        <v>244</v>
      </c>
      <c r="Z127" s="81"/>
      <c r="AA127" s="467">
        <v>44844.0</v>
      </c>
      <c r="AB127" s="30">
        <v>4.9075100010587E13</v>
      </c>
      <c r="AC127" s="476"/>
      <c r="AD127" s="476"/>
      <c r="AE127" s="476"/>
      <c r="AF127" s="476"/>
      <c r="AG127" s="476"/>
      <c r="AH127" s="476"/>
      <c r="AI127" s="476"/>
      <c r="AJ127" s="476"/>
      <c r="AK127" s="476"/>
      <c r="AL127" s="476"/>
      <c r="AM127" s="476"/>
      <c r="AN127" s="476"/>
      <c r="AO127" s="476"/>
      <c r="AP127" s="476"/>
      <c r="AQ127" s="471"/>
      <c r="AR127" s="471"/>
      <c r="AS127" s="471"/>
      <c r="AT127" s="476"/>
      <c r="AU127" s="47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472"/>
      <c r="BH127" s="472"/>
      <c r="BI127" s="472"/>
      <c r="BJ127" s="472"/>
      <c r="BK127" s="472">
        <v>0.0</v>
      </c>
      <c r="BL127" s="472">
        <v>23557.19</v>
      </c>
      <c r="BM127" s="472">
        <v>27156.99</v>
      </c>
      <c r="BN127" s="472">
        <v>31436.96</v>
      </c>
      <c r="BO127" s="472">
        <v>31830.09</v>
      </c>
      <c r="BP127" s="472">
        <v>40064.52</v>
      </c>
      <c r="BQ127" s="472">
        <v>44534.18</v>
      </c>
      <c r="BR127" s="472">
        <v>44864.88</v>
      </c>
      <c r="BS127" s="472">
        <v>45366.69</v>
      </c>
      <c r="BT127" s="472">
        <v>0.0</v>
      </c>
      <c r="BU127" s="472">
        <v>0.0</v>
      </c>
      <c r="BV127" s="472">
        <v>0.0</v>
      </c>
      <c r="BW127" s="472">
        <v>0.0</v>
      </c>
      <c r="BX127" s="472">
        <v>0.0</v>
      </c>
      <c r="BY127" s="472">
        <v>0.0</v>
      </c>
      <c r="BZ127" s="472">
        <v>0.0</v>
      </c>
      <c r="CA127" s="474">
        <v>0.0</v>
      </c>
      <c r="CB127" s="474">
        <v>0.0</v>
      </c>
      <c r="CC127" s="474">
        <v>0.0</v>
      </c>
      <c r="CD127" s="474">
        <v>0.0</v>
      </c>
      <c r="CE127" s="474">
        <v>0.0</v>
      </c>
      <c r="CF127" s="474">
        <v>0.0</v>
      </c>
      <c r="CG127" s="474">
        <v>0.0</v>
      </c>
      <c r="CH127" s="65">
        <v>0.0</v>
      </c>
      <c r="CI127" s="65">
        <v>0.0</v>
      </c>
      <c r="CJ127" s="65">
        <v>0.0</v>
      </c>
      <c r="CK127" s="65">
        <v>0.0</v>
      </c>
      <c r="CL127" s="65">
        <v>0.0</v>
      </c>
      <c r="CM127" s="65">
        <v>0.0</v>
      </c>
      <c r="CN127" s="65">
        <v>0.0</v>
      </c>
    </row>
    <row r="128" ht="15.75" customHeight="1">
      <c r="A128" s="462" t="s">
        <v>2346</v>
      </c>
      <c r="B128" s="50" t="s">
        <v>4873</v>
      </c>
      <c r="C128" s="141">
        <v>32131.0</v>
      </c>
      <c r="D128" s="63" t="s">
        <v>120</v>
      </c>
      <c r="E128" s="63" t="s">
        <v>91</v>
      </c>
      <c r="F128" s="66" t="s">
        <v>521</v>
      </c>
      <c r="G128" s="47" t="str">
        <f t="shared" si="1"/>
        <v>Breno</v>
      </c>
      <c r="H128" s="142" t="s">
        <v>295</v>
      </c>
      <c r="I128" s="49" t="s">
        <v>382</v>
      </c>
      <c r="J128" s="63" t="str">
        <f t="shared" si="4"/>
        <v>Não</v>
      </c>
      <c r="K128" s="143">
        <v>44340.0</v>
      </c>
      <c r="L128" s="81"/>
      <c r="M128" s="81" t="s">
        <v>34</v>
      </c>
      <c r="N128" s="478">
        <v>0.012</v>
      </c>
      <c r="O128" s="141" t="s">
        <v>66</v>
      </c>
      <c r="P128" s="145">
        <v>0.0</v>
      </c>
      <c r="Q128" s="70"/>
      <c r="R128" s="70"/>
      <c r="S128" s="62" t="s">
        <v>194</v>
      </c>
      <c r="T128" s="22" t="s">
        <v>4878</v>
      </c>
      <c r="U128" s="95" t="s">
        <v>221</v>
      </c>
      <c r="V128" s="49" t="str">
        <f t="shared" si="3"/>
        <v>Inativo</v>
      </c>
      <c r="W128" s="150"/>
      <c r="X128" s="150"/>
      <c r="Y128" s="30" t="s">
        <v>244</v>
      </c>
      <c r="Z128" s="81"/>
      <c r="AA128" s="467">
        <v>44340.0</v>
      </c>
      <c r="AB128" s="30">
        <v>4.9075100003645E13</v>
      </c>
      <c r="AC128" s="476"/>
      <c r="AD128" s="476"/>
      <c r="AE128" s="476"/>
      <c r="AF128" s="476"/>
      <c r="AG128" s="476"/>
      <c r="AH128" s="476"/>
      <c r="AI128" s="476"/>
      <c r="AJ128" s="476"/>
      <c r="AK128" s="476"/>
      <c r="AL128" s="476"/>
      <c r="AM128" s="476"/>
      <c r="AN128" s="476"/>
      <c r="AO128" s="476"/>
      <c r="AP128" s="476"/>
      <c r="AQ128" s="471"/>
      <c r="AR128" s="471"/>
      <c r="AS128" s="471"/>
      <c r="AT128" s="476"/>
      <c r="AU128" s="476">
        <v>489686.49</v>
      </c>
      <c r="AV128" s="96">
        <v>423617.47</v>
      </c>
      <c r="AW128" s="96">
        <v>466064.53</v>
      </c>
      <c r="AX128" s="96">
        <v>340350.57</v>
      </c>
      <c r="AY128" s="96">
        <v>309174.83</v>
      </c>
      <c r="AZ128" s="96">
        <v>304228.53</v>
      </c>
      <c r="BA128" s="96">
        <v>290378.93</v>
      </c>
      <c r="BB128" s="96">
        <v>304641.26</v>
      </c>
      <c r="BC128" s="96">
        <v>312031.24</v>
      </c>
      <c r="BD128" s="96">
        <v>316240.13</v>
      </c>
      <c r="BE128" s="96">
        <v>325797.56</v>
      </c>
      <c r="BF128" s="96">
        <v>322034.51</v>
      </c>
      <c r="BG128" s="472">
        <v>324599.27</v>
      </c>
      <c r="BH128" s="472">
        <v>321303.14</v>
      </c>
      <c r="BI128" s="472">
        <v>323441.73</v>
      </c>
      <c r="BJ128" s="472">
        <v>329386.04</v>
      </c>
      <c r="BK128" s="472">
        <v>333407.47</v>
      </c>
      <c r="BL128" s="472">
        <v>337837.09</v>
      </c>
      <c r="BM128" s="472">
        <v>334931.52</v>
      </c>
      <c r="BN128" s="472">
        <v>296176.6</v>
      </c>
      <c r="BO128" s="472">
        <v>337452.98</v>
      </c>
      <c r="BP128" s="472">
        <v>338372.21</v>
      </c>
      <c r="BQ128" s="472">
        <v>342161.93</v>
      </c>
      <c r="BR128" s="472">
        <v>344889.41</v>
      </c>
      <c r="BS128" s="472">
        <v>353398.47</v>
      </c>
      <c r="BT128" s="472">
        <v>359263.54</v>
      </c>
      <c r="BU128" s="472">
        <v>362818.99</v>
      </c>
      <c r="BV128" s="472">
        <v>366128.64</v>
      </c>
      <c r="BW128" s="472">
        <v>96528.19</v>
      </c>
      <c r="BX128" s="472">
        <v>47.48</v>
      </c>
      <c r="BY128" s="472">
        <v>16.61</v>
      </c>
      <c r="BZ128" s="472">
        <v>16.61</v>
      </c>
      <c r="CA128" s="474">
        <v>0.0</v>
      </c>
      <c r="CB128" s="474">
        <v>0.0</v>
      </c>
      <c r="CC128" s="474">
        <v>0.0</v>
      </c>
      <c r="CD128" s="474">
        <v>0.0</v>
      </c>
      <c r="CE128" s="474">
        <v>0.0</v>
      </c>
      <c r="CF128" s="474">
        <v>0.0</v>
      </c>
      <c r="CG128" s="474">
        <v>0.0</v>
      </c>
      <c r="CH128" s="65">
        <v>0.0</v>
      </c>
      <c r="CI128" s="65">
        <v>0.0</v>
      </c>
      <c r="CJ128" s="65">
        <v>0.0</v>
      </c>
      <c r="CK128" s="65">
        <v>0.0</v>
      </c>
      <c r="CL128" s="65">
        <v>0.0</v>
      </c>
      <c r="CM128" s="65">
        <v>0.0</v>
      </c>
      <c r="CN128" s="65">
        <v>0.0</v>
      </c>
    </row>
    <row r="129" ht="15.75" customHeight="1">
      <c r="A129" s="462" t="s">
        <v>2346</v>
      </c>
      <c r="B129" s="518" t="s">
        <v>4890</v>
      </c>
      <c r="C129" s="141">
        <v>476148.0</v>
      </c>
      <c r="D129" s="63" t="s">
        <v>120</v>
      </c>
      <c r="E129" s="63" t="s">
        <v>91</v>
      </c>
      <c r="F129" s="63" t="s">
        <v>193</v>
      </c>
      <c r="G129" s="47" t="str">
        <f t="shared" si="1"/>
        <v>Breno</v>
      </c>
      <c r="H129" s="142" t="s">
        <v>295</v>
      </c>
      <c r="I129" s="49" t="s">
        <v>382</v>
      </c>
      <c r="J129" s="63" t="str">
        <f t="shared" si="4"/>
        <v>Não</v>
      </c>
      <c r="K129" s="143">
        <v>44280.0</v>
      </c>
      <c r="L129" s="62"/>
      <c r="M129" s="81" t="s">
        <v>361</v>
      </c>
      <c r="N129" s="478">
        <v>0.02</v>
      </c>
      <c r="O129" s="63" t="s">
        <v>35</v>
      </c>
      <c r="P129" s="145">
        <v>0.2</v>
      </c>
      <c r="Q129" s="70"/>
      <c r="R129" s="158"/>
      <c r="S129" s="62" t="s">
        <v>194</v>
      </c>
      <c r="T129" s="141" t="s">
        <v>4893</v>
      </c>
      <c r="U129" s="30" t="s">
        <v>475</v>
      </c>
      <c r="V129" s="49" t="str">
        <f t="shared" si="3"/>
        <v>Ativo</v>
      </c>
      <c r="W129" s="150"/>
      <c r="X129" s="150"/>
      <c r="Y129" s="30" t="s">
        <v>244</v>
      </c>
      <c r="Z129" s="81"/>
      <c r="AA129" s="467">
        <v>44280.0</v>
      </c>
      <c r="AB129" s="30">
        <v>4.9075100003653E13</v>
      </c>
      <c r="AC129" s="482"/>
      <c r="AD129" s="482"/>
      <c r="AE129" s="482"/>
      <c r="AF129" s="482"/>
      <c r="AG129" s="482"/>
      <c r="AH129" s="482"/>
      <c r="AI129" s="482"/>
      <c r="AJ129" s="482"/>
      <c r="AK129" s="482"/>
      <c r="AL129" s="482"/>
      <c r="AM129" s="482"/>
      <c r="AN129" s="482"/>
      <c r="AO129" s="482"/>
      <c r="AP129" s="96"/>
      <c r="AQ129" s="471"/>
      <c r="AR129" s="471">
        <v>417059.31</v>
      </c>
      <c r="AS129" s="471"/>
      <c r="AT129" s="471">
        <v>421900.04</v>
      </c>
      <c r="AU129" s="471">
        <v>440578.46</v>
      </c>
      <c r="AV129" s="96">
        <v>447234.64</v>
      </c>
      <c r="AW129" s="96">
        <v>449690.22</v>
      </c>
      <c r="AX129" s="96">
        <v>490985.51</v>
      </c>
      <c r="AY129" s="96">
        <v>436358.5</v>
      </c>
      <c r="AZ129" s="96">
        <v>456135.79</v>
      </c>
      <c r="BA129" s="96">
        <v>448178.3</v>
      </c>
      <c r="BB129" s="96">
        <v>452319.23</v>
      </c>
      <c r="BC129" s="96">
        <v>406903.62</v>
      </c>
      <c r="BD129" s="96">
        <v>410212.95</v>
      </c>
      <c r="BE129" s="96">
        <v>422864.91</v>
      </c>
      <c r="BF129" s="96">
        <v>410415.1</v>
      </c>
      <c r="BG129" s="472">
        <v>406377.6</v>
      </c>
      <c r="BH129" s="472">
        <v>395471.59</v>
      </c>
      <c r="BI129" s="472">
        <v>406591.35</v>
      </c>
      <c r="BJ129" s="472">
        <v>410167.02</v>
      </c>
      <c r="BK129" s="472">
        <v>413285.53</v>
      </c>
      <c r="BL129" s="472">
        <v>432991.17</v>
      </c>
      <c r="BM129" s="472">
        <v>427690.69</v>
      </c>
      <c r="BN129" s="472">
        <v>429629.8</v>
      </c>
      <c r="BO129" s="472">
        <v>382820.89</v>
      </c>
      <c r="BP129" s="472">
        <v>378618.24</v>
      </c>
      <c r="BQ129" s="472">
        <v>381715.16</v>
      </c>
      <c r="BR129" s="472">
        <v>380503.0</v>
      </c>
      <c r="BS129" s="472">
        <v>388973.03</v>
      </c>
      <c r="BT129" s="472">
        <v>347172.89</v>
      </c>
      <c r="BU129" s="472">
        <v>303632.95</v>
      </c>
      <c r="BV129" s="472">
        <v>128973.16</v>
      </c>
      <c r="BW129" s="472">
        <v>728.85</v>
      </c>
      <c r="BX129" s="472">
        <v>0.0</v>
      </c>
      <c r="BY129" s="472">
        <v>0.0</v>
      </c>
      <c r="BZ129" s="472">
        <v>0.0</v>
      </c>
      <c r="CA129" s="474">
        <v>0.0</v>
      </c>
      <c r="CB129" s="474">
        <v>343.75</v>
      </c>
      <c r="CC129" s="474">
        <v>0.0</v>
      </c>
      <c r="CD129" s="474">
        <v>0.0</v>
      </c>
      <c r="CE129" s="474">
        <v>0.0</v>
      </c>
      <c r="CF129" s="474">
        <v>0.0</v>
      </c>
      <c r="CG129" s="474">
        <v>0.0</v>
      </c>
      <c r="CH129" s="65">
        <v>0.0</v>
      </c>
      <c r="CI129" s="65">
        <v>0.0</v>
      </c>
      <c r="CJ129" s="65">
        <v>0.0</v>
      </c>
      <c r="CK129" s="65">
        <v>0.0</v>
      </c>
      <c r="CL129" s="65">
        <v>0.0</v>
      </c>
      <c r="CM129" s="65">
        <v>0.0</v>
      </c>
      <c r="CN129" s="65">
        <v>0.0</v>
      </c>
    </row>
    <row r="130" ht="15.75" customHeight="1">
      <c r="A130" s="462" t="s">
        <v>2346</v>
      </c>
      <c r="B130" s="518" t="s">
        <v>4908</v>
      </c>
      <c r="C130" s="141">
        <v>468353.0</v>
      </c>
      <c r="D130" s="63" t="s">
        <v>120</v>
      </c>
      <c r="E130" s="63" t="s">
        <v>91</v>
      </c>
      <c r="F130" s="63" t="s">
        <v>521</v>
      </c>
      <c r="G130" s="47" t="str">
        <f t="shared" si="1"/>
        <v>Breno</v>
      </c>
      <c r="H130" s="152" t="s">
        <v>224</v>
      </c>
      <c r="I130" s="74" t="s">
        <v>66</v>
      </c>
      <c r="J130" s="63" t="str">
        <f t="shared" si="4"/>
        <v>Não</v>
      </c>
      <c r="K130" s="81" t="s">
        <v>3320</v>
      </c>
      <c r="L130" s="557">
        <v>44858.0</v>
      </c>
      <c r="M130" s="62" t="s">
        <v>4910</v>
      </c>
      <c r="N130" s="478">
        <v>0.01</v>
      </c>
      <c r="O130" s="141" t="s">
        <v>66</v>
      </c>
      <c r="P130" s="145">
        <v>0.0</v>
      </c>
      <c r="Q130" s="158"/>
      <c r="R130" s="158"/>
      <c r="S130" s="62" t="s">
        <v>194</v>
      </c>
      <c r="T130" s="141" t="s">
        <v>857</v>
      </c>
      <c r="U130" s="95" t="s">
        <v>221</v>
      </c>
      <c r="V130" s="49" t="str">
        <f t="shared" si="3"/>
        <v>Encerrado</v>
      </c>
      <c r="W130" s="150"/>
      <c r="X130" s="150"/>
      <c r="Y130" s="81"/>
      <c r="Z130" s="81"/>
      <c r="AA130" s="81"/>
      <c r="AB130" s="30"/>
      <c r="AC130" s="482"/>
      <c r="AD130" s="482"/>
      <c r="AE130" s="482"/>
      <c r="AF130" s="482"/>
      <c r="AG130" s="482"/>
      <c r="AH130" s="482"/>
      <c r="AI130" s="482"/>
      <c r="AJ130" s="482"/>
      <c r="AK130" s="482"/>
      <c r="AL130" s="482"/>
      <c r="AM130" s="482"/>
      <c r="AN130" s="482"/>
      <c r="AO130" s="482"/>
      <c r="AP130" s="96"/>
      <c r="AQ130" s="471"/>
      <c r="AR130" s="471"/>
      <c r="AS130" s="471"/>
      <c r="AT130" s="471"/>
      <c r="AU130" s="471"/>
      <c r="AV130" s="96"/>
      <c r="AW130" s="96"/>
      <c r="AX130" s="96"/>
      <c r="AY130" s="96"/>
      <c r="AZ130" s="96"/>
      <c r="BA130" s="96">
        <v>377128.2</v>
      </c>
      <c r="BB130" s="96">
        <v>379912.22</v>
      </c>
      <c r="BC130" s="96">
        <v>392174.66</v>
      </c>
      <c r="BD130" s="96">
        <v>0.0</v>
      </c>
      <c r="BE130" s="96">
        <v>0.0</v>
      </c>
      <c r="BF130" s="96">
        <v>0.0</v>
      </c>
      <c r="BG130" s="472" t="s">
        <v>377</v>
      </c>
      <c r="BH130" s="472">
        <v>0.0</v>
      </c>
      <c r="BI130" s="472" t="s">
        <v>377</v>
      </c>
      <c r="BJ130" s="472">
        <v>0.0</v>
      </c>
      <c r="BK130" s="472">
        <v>0.0</v>
      </c>
      <c r="BL130" s="472">
        <v>0.0</v>
      </c>
      <c r="BM130" s="472">
        <v>0.0</v>
      </c>
      <c r="BN130" s="472">
        <v>0.0</v>
      </c>
      <c r="BO130" s="472">
        <v>0.0</v>
      </c>
      <c r="BP130" s="472">
        <v>0.0</v>
      </c>
      <c r="BQ130" s="472">
        <v>0.0</v>
      </c>
      <c r="BR130" s="472">
        <v>0.0</v>
      </c>
      <c r="BS130" s="472">
        <v>0.0</v>
      </c>
      <c r="BT130" s="472">
        <v>0.0</v>
      </c>
      <c r="BU130" s="472">
        <v>0.0</v>
      </c>
      <c r="BV130" s="472">
        <v>0.0</v>
      </c>
      <c r="BW130" s="472">
        <v>0.0</v>
      </c>
      <c r="BX130" s="472">
        <v>0.0</v>
      </c>
      <c r="BY130" s="472">
        <v>0.0</v>
      </c>
      <c r="BZ130" s="472">
        <v>0.0</v>
      </c>
      <c r="CA130" s="474">
        <v>0.0</v>
      </c>
      <c r="CB130" s="474">
        <v>0.0</v>
      </c>
      <c r="CC130" s="474">
        <v>0.0</v>
      </c>
      <c r="CD130" s="474">
        <v>0.0</v>
      </c>
      <c r="CE130" s="474">
        <v>0.0</v>
      </c>
      <c r="CF130" s="474">
        <v>0.0</v>
      </c>
      <c r="CG130" s="474">
        <v>0.0</v>
      </c>
      <c r="CH130" s="65">
        <v>0.0</v>
      </c>
      <c r="CI130" s="65">
        <v>0.0</v>
      </c>
      <c r="CJ130" s="65">
        <v>0.0</v>
      </c>
      <c r="CK130" s="65">
        <v>0.0</v>
      </c>
      <c r="CL130" s="65">
        <v>0.0</v>
      </c>
      <c r="CM130" s="65">
        <v>0.0</v>
      </c>
      <c r="CN130" s="65">
        <v>0.0</v>
      </c>
    </row>
    <row r="131" ht="15.75" customHeight="1">
      <c r="A131" s="462" t="s">
        <v>2346</v>
      </c>
      <c r="B131" s="518" t="s">
        <v>849</v>
      </c>
      <c r="C131" s="141">
        <v>433634.0</v>
      </c>
      <c r="D131" s="63" t="s">
        <v>120</v>
      </c>
      <c r="E131" s="63" t="s">
        <v>91</v>
      </c>
      <c r="F131" s="63" t="s">
        <v>521</v>
      </c>
      <c r="G131" s="47" t="str">
        <f t="shared" si="1"/>
        <v>Breno</v>
      </c>
      <c r="H131" s="152" t="s">
        <v>295</v>
      </c>
      <c r="I131" s="49" t="s">
        <v>382</v>
      </c>
      <c r="J131" s="63" t="str">
        <f t="shared" si="4"/>
        <v>Não</v>
      </c>
      <c r="K131" s="143">
        <v>44266.0</v>
      </c>
      <c r="L131" s="62"/>
      <c r="M131" s="81" t="s">
        <v>361</v>
      </c>
      <c r="N131" s="478">
        <v>0.02</v>
      </c>
      <c r="O131" s="63" t="s">
        <v>35</v>
      </c>
      <c r="P131" s="145">
        <v>0.2</v>
      </c>
      <c r="Q131" s="146"/>
      <c r="R131" s="153" t="s">
        <v>856</v>
      </c>
      <c r="S131" s="62" t="s">
        <v>194</v>
      </c>
      <c r="T131" s="141" t="s">
        <v>857</v>
      </c>
      <c r="U131" s="95" t="s">
        <v>221</v>
      </c>
      <c r="V131" s="49" t="str">
        <f t="shared" si="3"/>
        <v>Ativo</v>
      </c>
      <c r="W131" s="150"/>
      <c r="X131" s="150"/>
      <c r="Y131" s="30" t="s">
        <v>244</v>
      </c>
      <c r="Z131" s="81"/>
      <c r="AA131" s="467">
        <v>44266.0</v>
      </c>
      <c r="AB131" s="30">
        <v>4.9075100009147E13</v>
      </c>
      <c r="AC131" s="482"/>
      <c r="AD131" s="482"/>
      <c r="AE131" s="482"/>
      <c r="AF131" s="482"/>
      <c r="AG131" s="482"/>
      <c r="AH131" s="482"/>
      <c r="AI131" s="482"/>
      <c r="AJ131" s="482"/>
      <c r="AK131" s="482"/>
      <c r="AL131" s="482"/>
      <c r="AM131" s="482"/>
      <c r="AN131" s="482"/>
      <c r="AO131" s="482"/>
      <c r="AP131" s="96"/>
      <c r="AQ131" s="471">
        <v>389024.03</v>
      </c>
      <c r="AR131" s="471">
        <v>423936.31</v>
      </c>
      <c r="AS131" s="471"/>
      <c r="AT131" s="471">
        <v>405943.95</v>
      </c>
      <c r="AU131" s="471">
        <v>422840.01</v>
      </c>
      <c r="AV131" s="96">
        <v>420138.16</v>
      </c>
      <c r="AW131" s="96">
        <v>413133.82</v>
      </c>
      <c r="AX131" s="96">
        <v>400513.29</v>
      </c>
      <c r="AY131" s="96">
        <v>355952.91</v>
      </c>
      <c r="AZ131" s="96">
        <v>383022.45</v>
      </c>
      <c r="BA131" s="96"/>
      <c r="BB131" s="96"/>
      <c r="BC131" s="96"/>
      <c r="BD131" s="96">
        <v>394896.75</v>
      </c>
      <c r="BE131" s="96">
        <v>416016.92</v>
      </c>
      <c r="BF131" s="96">
        <v>404955.22</v>
      </c>
      <c r="BG131" s="472">
        <v>401078.02</v>
      </c>
      <c r="BH131" s="472">
        <v>390859.5</v>
      </c>
      <c r="BI131" s="472">
        <v>402119.19</v>
      </c>
      <c r="BJ131" s="472">
        <v>410684.31</v>
      </c>
      <c r="BK131" s="472">
        <v>363226.46</v>
      </c>
      <c r="BL131" s="472">
        <v>382311.74</v>
      </c>
      <c r="BM131" s="472">
        <v>378042.02</v>
      </c>
      <c r="BN131" s="472">
        <v>379631.53</v>
      </c>
      <c r="BO131" s="472">
        <v>384648.54</v>
      </c>
      <c r="BP131" s="472">
        <v>381060.71</v>
      </c>
      <c r="BQ131" s="472">
        <v>384041.25</v>
      </c>
      <c r="BR131" s="472">
        <v>382427.63</v>
      </c>
      <c r="BS131" s="472">
        <v>390953.13</v>
      </c>
      <c r="BT131" s="472">
        <v>401627.63</v>
      </c>
      <c r="BU131" s="472">
        <v>290641.54</v>
      </c>
      <c r="BV131" s="472">
        <v>10971.07</v>
      </c>
      <c r="BW131" s="472">
        <v>10710.3</v>
      </c>
      <c r="BX131" s="472">
        <v>10628.06</v>
      </c>
      <c r="BY131" s="472">
        <v>10075.52</v>
      </c>
      <c r="BZ131" s="472">
        <v>332.87</v>
      </c>
      <c r="CA131" s="474">
        <v>332.87</v>
      </c>
      <c r="CB131" s="474">
        <v>332.87</v>
      </c>
      <c r="CC131" s="474">
        <v>320.44</v>
      </c>
      <c r="CD131" s="474">
        <v>0.0</v>
      </c>
      <c r="CE131" s="474">
        <v>0.0</v>
      </c>
      <c r="CF131" s="474">
        <v>0.0</v>
      </c>
      <c r="CG131" s="474">
        <v>0.0</v>
      </c>
      <c r="CH131" s="65">
        <v>0.0</v>
      </c>
      <c r="CI131" s="65">
        <v>0.0</v>
      </c>
      <c r="CJ131" s="65">
        <v>0.0</v>
      </c>
      <c r="CK131" s="65">
        <v>0.0</v>
      </c>
      <c r="CL131" s="65">
        <v>0.0</v>
      </c>
      <c r="CM131" s="65">
        <v>0.0</v>
      </c>
      <c r="CN131" s="65">
        <v>0.0</v>
      </c>
    </row>
    <row r="132" ht="15.75" customHeight="1">
      <c r="A132" s="462" t="s">
        <v>2346</v>
      </c>
      <c r="B132" s="477" t="s">
        <v>4923</v>
      </c>
      <c r="C132" s="141">
        <v>33481.0</v>
      </c>
      <c r="D132" s="63" t="s">
        <v>120</v>
      </c>
      <c r="E132" s="63" t="s">
        <v>91</v>
      </c>
      <c r="F132" s="81" t="s">
        <v>521</v>
      </c>
      <c r="G132" s="47" t="str">
        <f t="shared" si="1"/>
        <v>Breno</v>
      </c>
      <c r="H132" s="152" t="s">
        <v>224</v>
      </c>
      <c r="I132" s="74" t="s">
        <v>66</v>
      </c>
      <c r="J132" s="63" t="str">
        <f t="shared" si="4"/>
        <v>Não</v>
      </c>
      <c r="K132" s="467">
        <v>44280.0</v>
      </c>
      <c r="L132" s="194">
        <v>44580.0</v>
      </c>
      <c r="M132" s="81" t="s">
        <v>361</v>
      </c>
      <c r="N132" s="478">
        <v>0.02</v>
      </c>
      <c r="O132" s="63" t="s">
        <v>35</v>
      </c>
      <c r="P132" s="145">
        <v>0.2</v>
      </c>
      <c r="Q132" s="158"/>
      <c r="R132" s="158"/>
      <c r="S132" s="62" t="s">
        <v>194</v>
      </c>
      <c r="T132" s="30" t="s">
        <v>4926</v>
      </c>
      <c r="U132" s="81" t="s">
        <v>475</v>
      </c>
      <c r="V132" s="49" t="str">
        <f t="shared" si="3"/>
        <v>Encerrado</v>
      </c>
      <c r="W132" s="150"/>
      <c r="X132" s="150"/>
      <c r="Y132" s="81"/>
      <c r="Z132" s="81"/>
      <c r="AA132" s="81"/>
      <c r="AB132" s="30"/>
      <c r="AC132" s="482"/>
      <c r="AD132" s="482"/>
      <c r="AE132" s="482"/>
      <c r="AF132" s="482"/>
      <c r="AG132" s="482"/>
      <c r="AH132" s="482"/>
      <c r="AI132" s="482"/>
      <c r="AJ132" s="482"/>
      <c r="AK132" s="482"/>
      <c r="AL132" s="482"/>
      <c r="AM132" s="482"/>
      <c r="AN132" s="482"/>
      <c r="AO132" s="482"/>
      <c r="AP132" s="96"/>
      <c r="AQ132" s="96">
        <v>612189.27</v>
      </c>
      <c r="AR132" s="96">
        <v>620233.35</v>
      </c>
      <c r="AS132" s="96"/>
      <c r="AT132" s="96">
        <v>717347.06</v>
      </c>
      <c r="AU132" s="96">
        <v>738290.09</v>
      </c>
      <c r="AV132" s="96">
        <v>733323.3</v>
      </c>
      <c r="AW132" s="96">
        <v>721372.57</v>
      </c>
      <c r="AX132" s="96">
        <v>701552.22</v>
      </c>
      <c r="AY132" s="96">
        <v>649615.97</v>
      </c>
      <c r="AZ132" s="96">
        <v>652980.85</v>
      </c>
      <c r="BA132" s="96">
        <v>642210.98</v>
      </c>
      <c r="BB132" s="96">
        <v>648751.76</v>
      </c>
      <c r="BC132" s="96"/>
      <c r="BD132" s="96">
        <v>0.0</v>
      </c>
      <c r="BE132" s="96">
        <v>0.0</v>
      </c>
      <c r="BF132" s="96">
        <v>0.0</v>
      </c>
      <c r="BG132" s="96" t="s">
        <v>377</v>
      </c>
      <c r="BH132" s="96">
        <v>0.0</v>
      </c>
      <c r="BI132" s="96" t="s">
        <v>377</v>
      </c>
      <c r="BJ132" s="96">
        <v>0.0</v>
      </c>
      <c r="BK132" s="472">
        <v>0.0</v>
      </c>
      <c r="BL132" s="472">
        <v>0.0</v>
      </c>
      <c r="BM132" s="472">
        <v>0.0</v>
      </c>
      <c r="BN132" s="472">
        <v>0.0</v>
      </c>
      <c r="BO132" s="472">
        <v>0.0</v>
      </c>
      <c r="BP132" s="472">
        <v>0.0</v>
      </c>
      <c r="BQ132" s="472">
        <v>0.0</v>
      </c>
      <c r="BR132" s="472">
        <v>0.0</v>
      </c>
      <c r="BS132" s="472">
        <v>0.0</v>
      </c>
      <c r="BT132" s="472">
        <v>0.0</v>
      </c>
      <c r="BU132" s="472">
        <v>0.0</v>
      </c>
      <c r="BV132" s="472">
        <v>0.0</v>
      </c>
      <c r="BW132" s="472">
        <v>0.0</v>
      </c>
      <c r="BX132" s="472">
        <v>0.0</v>
      </c>
      <c r="BY132" s="472">
        <v>0.0</v>
      </c>
      <c r="BZ132" s="472">
        <v>0.0</v>
      </c>
      <c r="CA132" s="474">
        <v>0.0</v>
      </c>
      <c r="CB132" s="474">
        <v>0.0</v>
      </c>
      <c r="CC132" s="474">
        <v>0.0</v>
      </c>
      <c r="CD132" s="474">
        <v>0.0</v>
      </c>
      <c r="CE132" s="474">
        <v>0.0</v>
      </c>
      <c r="CF132" s="474">
        <v>0.0</v>
      </c>
      <c r="CG132" s="474">
        <v>0.0</v>
      </c>
      <c r="CH132" s="65">
        <v>0.0</v>
      </c>
      <c r="CI132" s="65">
        <v>0.0</v>
      </c>
      <c r="CJ132" s="65">
        <v>0.0</v>
      </c>
      <c r="CK132" s="65">
        <v>0.0</v>
      </c>
      <c r="CL132" s="65">
        <v>0.0</v>
      </c>
      <c r="CM132" s="65">
        <v>0.0</v>
      </c>
      <c r="CN132" s="65">
        <v>0.0</v>
      </c>
    </row>
    <row r="133" ht="15.75" customHeight="1">
      <c r="A133" s="462" t="s">
        <v>2346</v>
      </c>
      <c r="B133" s="584" t="s">
        <v>866</v>
      </c>
      <c r="C133" s="141">
        <v>376904.0</v>
      </c>
      <c r="D133" s="63" t="s">
        <v>120</v>
      </c>
      <c r="E133" s="63" t="s">
        <v>199</v>
      </c>
      <c r="F133" s="63" t="s">
        <v>1108</v>
      </c>
      <c r="G133" s="47" t="str">
        <f t="shared" si="1"/>
        <v>Breno</v>
      </c>
      <c r="H133" s="142" t="s">
        <v>183</v>
      </c>
      <c r="I133" s="74" t="s">
        <v>66</v>
      </c>
      <c r="J133" s="63" t="str">
        <f t="shared" si="4"/>
        <v>Não</v>
      </c>
      <c r="K133" s="467">
        <v>45013.0</v>
      </c>
      <c r="L133" s="62"/>
      <c r="M133" s="81" t="s">
        <v>61</v>
      </c>
      <c r="N133" s="478">
        <v>0.01</v>
      </c>
      <c r="O133" s="141" t="s">
        <v>66</v>
      </c>
      <c r="P133" s="145">
        <v>0.0</v>
      </c>
      <c r="Q133" s="158"/>
      <c r="R133" s="158"/>
      <c r="S133" s="62" t="s">
        <v>194</v>
      </c>
      <c r="T133" s="180" t="s">
        <v>873</v>
      </c>
      <c r="U133" s="22" t="s">
        <v>397</v>
      </c>
      <c r="V133" s="49" t="str">
        <f t="shared" si="3"/>
        <v>Ativo</v>
      </c>
      <c r="W133" s="150"/>
      <c r="X133" s="150"/>
      <c r="Y133" s="30" t="s">
        <v>244</v>
      </c>
      <c r="Z133" s="81"/>
      <c r="AA133" s="467">
        <v>45013.0</v>
      </c>
      <c r="AB133" s="30">
        <v>4.9075100010595E13</v>
      </c>
      <c r="AC133" s="482"/>
      <c r="AD133" s="482"/>
      <c r="AE133" s="482"/>
      <c r="AF133" s="482"/>
      <c r="AG133" s="482"/>
      <c r="AH133" s="482"/>
      <c r="AI133" s="482"/>
      <c r="AJ133" s="482"/>
      <c r="AK133" s="482"/>
      <c r="AL133" s="482"/>
      <c r="AM133" s="482"/>
      <c r="AN133" s="482"/>
      <c r="AO133" s="482"/>
      <c r="AP133" s="482"/>
      <c r="AQ133" s="482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472"/>
      <c r="BH133" s="472"/>
      <c r="BI133" s="472"/>
      <c r="BJ133" s="472"/>
      <c r="BK133" s="472"/>
      <c r="BL133" s="472"/>
      <c r="BM133" s="472"/>
      <c r="BN133" s="472"/>
      <c r="BO133" s="472"/>
      <c r="BP133" s="472">
        <v>0.0</v>
      </c>
      <c r="BQ133" s="472">
        <v>100372.01</v>
      </c>
      <c r="BR133" s="472">
        <v>93907.52</v>
      </c>
      <c r="BS133" s="472">
        <v>102101.83</v>
      </c>
      <c r="BT133" s="472">
        <v>103852.8</v>
      </c>
      <c r="BU133" s="472">
        <v>104680.73</v>
      </c>
      <c r="BV133" s="472">
        <v>105730.52</v>
      </c>
      <c r="BW133" s="472">
        <v>106130.37</v>
      </c>
      <c r="BX133" s="472">
        <v>107362.17</v>
      </c>
      <c r="BY133" s="472">
        <v>102639.57</v>
      </c>
      <c r="BZ133" s="472">
        <v>108574.68</v>
      </c>
      <c r="CA133" s="474">
        <v>108485.08</v>
      </c>
      <c r="CB133" s="474">
        <v>110547.12</v>
      </c>
      <c r="CC133" s="474">
        <v>109640.98</v>
      </c>
      <c r="CD133" s="474">
        <v>130163.26</v>
      </c>
      <c r="CE133" s="474">
        <v>131344.84</v>
      </c>
      <c r="CF133" s="474">
        <v>132512.99</v>
      </c>
      <c r="CG133" s="474">
        <v>133801.6</v>
      </c>
      <c r="CH133" s="65">
        <v>134241.7</v>
      </c>
      <c r="CI133" s="65">
        <v>148291.69</v>
      </c>
      <c r="CJ133" s="65">
        <v>173307.94</v>
      </c>
      <c r="CK133" s="65">
        <v>174722.67</v>
      </c>
      <c r="CL133" s="65">
        <v>151242.34</v>
      </c>
      <c r="CM133" s="65">
        <v>178909.08</v>
      </c>
      <c r="CN133" s="65">
        <v>180275.55</v>
      </c>
    </row>
    <row r="134" ht="15.75" customHeight="1">
      <c r="A134" s="462" t="s">
        <v>2346</v>
      </c>
      <c r="B134" s="477" t="s">
        <v>4944</v>
      </c>
      <c r="C134" s="141">
        <v>459543.0</v>
      </c>
      <c r="D134" s="63" t="s">
        <v>120</v>
      </c>
      <c r="E134" s="63" t="s">
        <v>91</v>
      </c>
      <c r="F134" s="63" t="s">
        <v>193</v>
      </c>
      <c r="G134" s="47" t="str">
        <f t="shared" si="1"/>
        <v>Breno</v>
      </c>
      <c r="H134" s="152" t="s">
        <v>224</v>
      </c>
      <c r="I134" s="74" t="s">
        <v>66</v>
      </c>
      <c r="J134" s="63" t="str">
        <f t="shared" si="4"/>
        <v>Não</v>
      </c>
      <c r="K134" s="467">
        <v>44272.0</v>
      </c>
      <c r="L134" s="55">
        <v>44970.0</v>
      </c>
      <c r="M134" s="81" t="s">
        <v>61</v>
      </c>
      <c r="N134" s="478">
        <v>0.007</v>
      </c>
      <c r="O134" s="141" t="s">
        <v>66</v>
      </c>
      <c r="P134" s="145">
        <v>0.0</v>
      </c>
      <c r="Q134" s="190"/>
      <c r="R134" s="158" t="s">
        <v>4947</v>
      </c>
      <c r="S134" s="62" t="s">
        <v>234</v>
      </c>
      <c r="T134" s="30" t="s">
        <v>4948</v>
      </c>
      <c r="U134" s="95" t="s">
        <v>221</v>
      </c>
      <c r="V134" s="49" t="str">
        <f t="shared" si="3"/>
        <v>Encerrado</v>
      </c>
      <c r="W134" s="150"/>
      <c r="X134" s="150"/>
      <c r="Y134" s="30" t="s">
        <v>244</v>
      </c>
      <c r="Z134" s="81"/>
      <c r="AA134" s="81"/>
      <c r="AB134" s="30"/>
      <c r="AC134" s="482"/>
      <c r="AD134" s="482"/>
      <c r="AE134" s="482"/>
      <c r="AF134" s="482"/>
      <c r="AG134" s="482"/>
      <c r="AH134" s="482"/>
      <c r="AI134" s="482"/>
      <c r="AJ134" s="482"/>
      <c r="AK134" s="482"/>
      <c r="AL134" s="482"/>
      <c r="AM134" s="482"/>
      <c r="AN134" s="482"/>
      <c r="AO134" s="482"/>
      <c r="AP134" s="482"/>
      <c r="AQ134" s="482"/>
      <c r="AR134" s="96">
        <v>374689.33</v>
      </c>
      <c r="AS134" s="96">
        <v>378079.68</v>
      </c>
      <c r="AT134" s="96">
        <v>379592.31</v>
      </c>
      <c r="AU134" s="96">
        <v>438169.9</v>
      </c>
      <c r="AV134" s="96">
        <v>485601.21</v>
      </c>
      <c r="AW134" s="96">
        <v>477651.54</v>
      </c>
      <c r="AX134" s="96">
        <v>462739.87</v>
      </c>
      <c r="AY134" s="96">
        <v>451256.16</v>
      </c>
      <c r="AZ134" s="96">
        <v>432672.5</v>
      </c>
      <c r="BA134" s="96">
        <v>423156.8</v>
      </c>
      <c r="BB134" s="96">
        <v>420992.09</v>
      </c>
      <c r="BC134" s="96">
        <v>433350.0</v>
      </c>
      <c r="BD134" s="96">
        <v>436157.85</v>
      </c>
      <c r="BE134" s="96">
        <v>457691.57</v>
      </c>
      <c r="BF134" s="96">
        <v>527932.4</v>
      </c>
      <c r="BG134" s="472">
        <v>525337.86</v>
      </c>
      <c r="BH134" s="472">
        <v>529833.84</v>
      </c>
      <c r="BI134" s="472">
        <v>533632.07</v>
      </c>
      <c r="BJ134" s="472">
        <v>535679.51</v>
      </c>
      <c r="BK134" s="472">
        <v>411811.85</v>
      </c>
      <c r="BL134" s="472">
        <v>411884.45</v>
      </c>
      <c r="BM134" s="472">
        <v>415516.61</v>
      </c>
      <c r="BN134" s="472">
        <v>125901.79</v>
      </c>
      <c r="BO134" s="472">
        <v>37.33</v>
      </c>
      <c r="BP134" s="472">
        <v>37.4</v>
      </c>
      <c r="BQ134" s="472">
        <v>37.42</v>
      </c>
      <c r="BR134" s="472">
        <v>0.0</v>
      </c>
      <c r="BS134" s="472">
        <v>0.0</v>
      </c>
      <c r="BT134" s="472">
        <v>0.0</v>
      </c>
      <c r="BU134" s="472">
        <v>0.0</v>
      </c>
      <c r="BV134" s="472">
        <v>0.0</v>
      </c>
      <c r="BW134" s="472">
        <v>0.0</v>
      </c>
      <c r="BX134" s="472">
        <v>0.0</v>
      </c>
      <c r="BY134" s="472">
        <v>0.0</v>
      </c>
      <c r="BZ134" s="472">
        <v>0.0</v>
      </c>
      <c r="CA134" s="474">
        <v>0.0</v>
      </c>
      <c r="CB134" s="474">
        <v>0.0</v>
      </c>
      <c r="CC134" s="474">
        <v>0.0</v>
      </c>
      <c r="CD134" s="474">
        <v>0.0</v>
      </c>
      <c r="CE134" s="474">
        <v>0.0</v>
      </c>
      <c r="CF134" s="474">
        <v>0.0</v>
      </c>
      <c r="CG134" s="474">
        <v>0.0</v>
      </c>
      <c r="CH134" s="65">
        <v>0.0</v>
      </c>
      <c r="CI134" s="65">
        <v>0.0</v>
      </c>
      <c r="CJ134" s="65">
        <v>0.0</v>
      </c>
      <c r="CK134" s="65">
        <v>0.0</v>
      </c>
      <c r="CL134" s="65">
        <v>0.0</v>
      </c>
      <c r="CM134" s="65">
        <v>0.0</v>
      </c>
      <c r="CN134" s="65">
        <v>0.0</v>
      </c>
    </row>
    <row r="135" ht="15.75" customHeight="1">
      <c r="A135" s="462" t="s">
        <v>2346</v>
      </c>
      <c r="B135" s="176" t="s">
        <v>4958</v>
      </c>
      <c r="C135" s="141">
        <v>379302.0</v>
      </c>
      <c r="D135" s="63" t="s">
        <v>120</v>
      </c>
      <c r="E135" s="63" t="s">
        <v>199</v>
      </c>
      <c r="F135" s="63" t="s">
        <v>1340</v>
      </c>
      <c r="G135" s="47" t="str">
        <f t="shared" si="1"/>
        <v>Breno</v>
      </c>
      <c r="H135" s="142" t="s">
        <v>295</v>
      </c>
      <c r="I135" s="49" t="s">
        <v>382</v>
      </c>
      <c r="J135" s="63" t="str">
        <f t="shared" si="4"/>
        <v>Não</v>
      </c>
      <c r="K135" s="467">
        <v>45021.0</v>
      </c>
      <c r="L135" s="81"/>
      <c r="M135" s="81" t="s">
        <v>209</v>
      </c>
      <c r="N135" s="464">
        <v>0.015</v>
      </c>
      <c r="O135" s="63" t="s">
        <v>35</v>
      </c>
      <c r="P135" s="145">
        <v>0.1</v>
      </c>
      <c r="Q135" s="70"/>
      <c r="R135" s="70"/>
      <c r="S135" s="62" t="s">
        <v>194</v>
      </c>
      <c r="T135" s="22" t="s">
        <v>4960</v>
      </c>
      <c r="U135" s="22" t="s">
        <v>618</v>
      </c>
      <c r="V135" s="49" t="str">
        <f t="shared" si="3"/>
        <v>Inativo</v>
      </c>
      <c r="W135" s="150"/>
      <c r="X135" s="150"/>
      <c r="Y135" s="30" t="s">
        <v>244</v>
      </c>
      <c r="Z135" s="81"/>
      <c r="AA135" s="467">
        <v>45021.0</v>
      </c>
      <c r="AB135" s="30">
        <v>4.9075100010617E13</v>
      </c>
      <c r="AC135" s="476"/>
      <c r="AD135" s="476"/>
      <c r="AE135" s="476"/>
      <c r="AF135" s="476"/>
      <c r="AG135" s="476"/>
      <c r="AH135" s="476"/>
      <c r="AI135" s="476"/>
      <c r="AJ135" s="476"/>
      <c r="AK135" s="476"/>
      <c r="AL135" s="476"/>
      <c r="AM135" s="476"/>
      <c r="AN135" s="476"/>
      <c r="AO135" s="476"/>
      <c r="AP135" s="482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472"/>
      <c r="BH135" s="472"/>
      <c r="BI135" s="472"/>
      <c r="BJ135" s="472"/>
      <c r="BK135" s="472"/>
      <c r="BL135" s="472"/>
      <c r="BM135" s="472"/>
      <c r="BN135" s="472"/>
      <c r="BO135" s="472"/>
      <c r="BP135" s="472"/>
      <c r="BQ135" s="472">
        <v>0.0</v>
      </c>
      <c r="BR135" s="472">
        <v>110557.23</v>
      </c>
      <c r="BS135" s="472">
        <v>65457.96</v>
      </c>
      <c r="BT135" s="472">
        <v>0.0</v>
      </c>
      <c r="BU135" s="472">
        <v>0.0</v>
      </c>
      <c r="BV135" s="472">
        <v>0.0</v>
      </c>
      <c r="BW135" s="472">
        <v>0.0</v>
      </c>
      <c r="BX135" s="472">
        <v>0.0</v>
      </c>
      <c r="BY135" s="472">
        <v>0.0</v>
      </c>
      <c r="BZ135" s="472">
        <v>0.0</v>
      </c>
      <c r="CA135" s="474">
        <v>0.0</v>
      </c>
      <c r="CB135" s="474">
        <v>0.0</v>
      </c>
      <c r="CC135" s="474">
        <v>0.0</v>
      </c>
      <c r="CD135" s="474">
        <v>0.0</v>
      </c>
      <c r="CE135" s="474">
        <v>0.0</v>
      </c>
      <c r="CF135" s="474">
        <v>0.0</v>
      </c>
      <c r="CG135" s="474">
        <v>0.0</v>
      </c>
      <c r="CH135" s="65">
        <v>0.0</v>
      </c>
      <c r="CI135" s="65">
        <v>0.0</v>
      </c>
      <c r="CJ135" s="65">
        <v>0.0</v>
      </c>
      <c r="CK135" s="65">
        <v>0.0</v>
      </c>
      <c r="CL135" s="65">
        <v>0.0</v>
      </c>
      <c r="CM135" s="65">
        <v>0.0</v>
      </c>
      <c r="CN135" s="65">
        <v>0.0</v>
      </c>
    </row>
    <row r="136" ht="15.75" customHeight="1">
      <c r="A136" s="462" t="s">
        <v>2346</v>
      </c>
      <c r="B136" s="477" t="s">
        <v>883</v>
      </c>
      <c r="C136" s="141">
        <v>33712.0</v>
      </c>
      <c r="D136" s="63" t="s">
        <v>120</v>
      </c>
      <c r="E136" s="63" t="s">
        <v>91</v>
      </c>
      <c r="F136" s="63" t="s">
        <v>884</v>
      </c>
      <c r="G136" s="47" t="str">
        <f t="shared" si="1"/>
        <v>Breno</v>
      </c>
      <c r="H136" s="152" t="s">
        <v>295</v>
      </c>
      <c r="I136" s="49" t="s">
        <v>296</v>
      </c>
      <c r="J136" s="63" t="str">
        <f t="shared" si="4"/>
        <v>Sim</v>
      </c>
      <c r="K136" s="467">
        <v>44677.0</v>
      </c>
      <c r="L136" s="62"/>
      <c r="M136" s="81" t="s">
        <v>61</v>
      </c>
      <c r="N136" s="478">
        <v>0.007</v>
      </c>
      <c r="O136" s="141" t="s">
        <v>66</v>
      </c>
      <c r="P136" s="145">
        <v>0.0</v>
      </c>
      <c r="Q136" s="153" t="s">
        <v>885</v>
      </c>
      <c r="R136" s="158"/>
      <c r="S136" s="62" t="s">
        <v>194</v>
      </c>
      <c r="T136" s="30" t="s">
        <v>886</v>
      </c>
      <c r="U136" s="95" t="s">
        <v>475</v>
      </c>
      <c r="V136" s="49" t="str">
        <f t="shared" si="3"/>
        <v>Ativo</v>
      </c>
      <c r="W136" s="150"/>
      <c r="X136" s="150"/>
      <c r="Y136" s="30" t="s">
        <v>269</v>
      </c>
      <c r="Z136" s="81"/>
      <c r="AA136" s="467">
        <v>44677.0</v>
      </c>
      <c r="AB136" s="30">
        <v>4.9075100010625E13</v>
      </c>
      <c r="AC136" s="482"/>
      <c r="AD136" s="482"/>
      <c r="AE136" s="482"/>
      <c r="AF136" s="482"/>
      <c r="AG136" s="482"/>
      <c r="AH136" s="482"/>
      <c r="AI136" s="482"/>
      <c r="AJ136" s="482"/>
      <c r="AK136" s="482"/>
      <c r="AL136" s="482"/>
      <c r="AM136" s="482"/>
      <c r="AN136" s="482"/>
      <c r="AO136" s="482"/>
      <c r="AP136" s="482"/>
      <c r="AQ136" s="482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>
        <v>2619844.9</v>
      </c>
      <c r="BG136" s="472">
        <v>2505864.86</v>
      </c>
      <c r="BH136" s="472">
        <v>2665567.94</v>
      </c>
      <c r="BI136" s="472">
        <v>2685565.21</v>
      </c>
      <c r="BJ136" s="472">
        <v>2714861.6</v>
      </c>
      <c r="BK136" s="472">
        <v>2737016.4</v>
      </c>
      <c r="BL136" s="647">
        <v>2757980.49</v>
      </c>
      <c r="BM136" s="472">
        <v>2628595.96</v>
      </c>
      <c r="BN136" s="472">
        <v>2797663.5</v>
      </c>
      <c r="BO136" s="472">
        <v>2827767.57</v>
      </c>
      <c r="BP136" s="472">
        <v>2901567.36</v>
      </c>
      <c r="BQ136" s="472">
        <v>2936979.95</v>
      </c>
      <c r="BR136" s="472">
        <v>2960063.26</v>
      </c>
      <c r="BS136" s="472">
        <v>2555461.63</v>
      </c>
      <c r="BT136" s="472">
        <v>3010359.18</v>
      </c>
      <c r="BU136" s="472">
        <v>2784669.98</v>
      </c>
      <c r="BV136" s="472">
        <v>3032053.63</v>
      </c>
      <c r="BW136" s="472">
        <v>3036143.25</v>
      </c>
      <c r="BX136" s="472">
        <v>3044054.82</v>
      </c>
      <c r="BY136" s="472">
        <v>3049880.85</v>
      </c>
      <c r="BZ136" s="472">
        <v>3036357.1</v>
      </c>
      <c r="CA136" s="474">
        <v>2962126.04</v>
      </c>
      <c r="CB136" s="474">
        <v>1864184.69</v>
      </c>
      <c r="CC136" s="474">
        <v>1860341.69</v>
      </c>
      <c r="CD136" s="474">
        <v>1853217.71</v>
      </c>
      <c r="CE136" s="474">
        <v>1792275.73</v>
      </c>
      <c r="CF136" s="474">
        <v>1764725.95</v>
      </c>
      <c r="CG136" s="474">
        <v>1748977.54</v>
      </c>
      <c r="CH136" s="65">
        <v>1571973.62</v>
      </c>
      <c r="CI136" s="65">
        <v>1712221.56</v>
      </c>
      <c r="CJ136" s="65">
        <v>1706615.68</v>
      </c>
      <c r="CK136" s="65">
        <v>0.0</v>
      </c>
      <c r="CL136" s="65">
        <v>56.8</v>
      </c>
      <c r="CM136" s="65">
        <v>56.8</v>
      </c>
      <c r="CN136" s="65">
        <v>56.8</v>
      </c>
    </row>
    <row r="137" ht="15.75" customHeight="1">
      <c r="A137" s="462" t="s">
        <v>2346</v>
      </c>
      <c r="B137" s="176" t="s">
        <v>883</v>
      </c>
      <c r="C137" s="141">
        <v>559558.0</v>
      </c>
      <c r="D137" s="63" t="s">
        <v>120</v>
      </c>
      <c r="E137" s="63" t="s">
        <v>91</v>
      </c>
      <c r="F137" s="81" t="s">
        <v>884</v>
      </c>
      <c r="G137" s="47" t="str">
        <f t="shared" si="1"/>
        <v>Breno</v>
      </c>
      <c r="H137" s="152" t="s">
        <v>224</v>
      </c>
      <c r="I137" s="74" t="s">
        <v>66</v>
      </c>
      <c r="J137" s="63" t="str">
        <f t="shared" si="4"/>
        <v>Não</v>
      </c>
      <c r="K137" s="467">
        <v>44603.0</v>
      </c>
      <c r="L137" s="194">
        <v>44638.0</v>
      </c>
      <c r="M137" s="81" t="s">
        <v>61</v>
      </c>
      <c r="N137" s="478">
        <v>0.007</v>
      </c>
      <c r="O137" s="141" t="s">
        <v>66</v>
      </c>
      <c r="P137" s="145">
        <v>0.0</v>
      </c>
      <c r="Q137" s="158"/>
      <c r="R137" s="158"/>
      <c r="S137" s="62" t="s">
        <v>194</v>
      </c>
      <c r="T137" s="22" t="s">
        <v>886</v>
      </c>
      <c r="U137" s="95" t="s">
        <v>475</v>
      </c>
      <c r="V137" s="49" t="str">
        <f t="shared" si="3"/>
        <v>Encerrado</v>
      </c>
      <c r="W137" s="150"/>
      <c r="X137" s="150"/>
      <c r="Y137" s="81"/>
      <c r="Z137" s="81"/>
      <c r="AA137" s="81"/>
      <c r="AB137" s="30"/>
      <c r="AC137" s="482"/>
      <c r="AD137" s="482"/>
      <c r="AE137" s="482"/>
      <c r="AF137" s="482"/>
      <c r="AG137" s="482"/>
      <c r="AH137" s="482"/>
      <c r="AI137" s="482"/>
      <c r="AJ137" s="482"/>
      <c r="AK137" s="482"/>
      <c r="AL137" s="482"/>
      <c r="AM137" s="482"/>
      <c r="AN137" s="482"/>
      <c r="AO137" s="482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>
        <v>150091.1</v>
      </c>
      <c r="BE137" s="96">
        <v>25161.36</v>
      </c>
      <c r="BF137" s="96">
        <v>0.0</v>
      </c>
      <c r="BG137" s="96" t="s">
        <v>377</v>
      </c>
      <c r="BH137" s="96">
        <v>0.0</v>
      </c>
      <c r="BI137" s="96">
        <v>0.0</v>
      </c>
      <c r="BJ137" s="96">
        <v>0.0</v>
      </c>
      <c r="BK137" s="472">
        <v>0.0</v>
      </c>
      <c r="BL137" s="472">
        <v>0.0</v>
      </c>
      <c r="BM137" s="472">
        <v>0.0</v>
      </c>
      <c r="BN137" s="472">
        <v>0.0</v>
      </c>
      <c r="BO137" s="472">
        <v>0.0</v>
      </c>
      <c r="BP137" s="472">
        <v>0.0</v>
      </c>
      <c r="BQ137" s="472">
        <v>27732.76</v>
      </c>
      <c r="BR137" s="472">
        <v>27905.96</v>
      </c>
      <c r="BS137" s="472">
        <v>0.0</v>
      </c>
      <c r="BT137" s="472">
        <v>0.0</v>
      </c>
      <c r="BU137" s="472">
        <v>0.0</v>
      </c>
      <c r="BV137" s="472">
        <v>0.0</v>
      </c>
      <c r="BW137" s="472">
        <v>0.0</v>
      </c>
      <c r="BX137" s="472">
        <v>0.0</v>
      </c>
      <c r="BY137" s="472">
        <v>0.0</v>
      </c>
      <c r="BZ137" s="472">
        <v>0.0</v>
      </c>
      <c r="CA137" s="474">
        <v>0.0</v>
      </c>
      <c r="CB137" s="474">
        <v>0.0</v>
      </c>
      <c r="CC137" s="474">
        <v>0.0</v>
      </c>
      <c r="CD137" s="474">
        <v>0.0</v>
      </c>
      <c r="CE137" s="474">
        <v>0.0</v>
      </c>
      <c r="CF137" s="474">
        <v>0.0</v>
      </c>
      <c r="CG137" s="474">
        <v>0.0</v>
      </c>
      <c r="CH137" s="65">
        <v>0.0</v>
      </c>
      <c r="CI137" s="65">
        <v>0.0</v>
      </c>
      <c r="CJ137" s="65">
        <v>0.0</v>
      </c>
      <c r="CK137" s="65">
        <v>0.0</v>
      </c>
      <c r="CL137" s="65">
        <v>0.0</v>
      </c>
      <c r="CM137" s="65">
        <v>0.0</v>
      </c>
      <c r="CN137" s="65">
        <v>0.0</v>
      </c>
    </row>
    <row r="138" ht="15.75" customHeight="1">
      <c r="A138" s="462" t="s">
        <v>2346</v>
      </c>
      <c r="B138" s="176" t="s">
        <v>883</v>
      </c>
      <c r="C138" s="141">
        <v>559559.0</v>
      </c>
      <c r="D138" s="63" t="s">
        <v>120</v>
      </c>
      <c r="E138" s="63" t="s">
        <v>91</v>
      </c>
      <c r="F138" s="81" t="s">
        <v>884</v>
      </c>
      <c r="G138" s="47" t="str">
        <f t="shared" si="1"/>
        <v>Breno</v>
      </c>
      <c r="H138" s="152" t="s">
        <v>224</v>
      </c>
      <c r="I138" s="74" t="s">
        <v>66</v>
      </c>
      <c r="J138" s="63" t="str">
        <f t="shared" si="4"/>
        <v>Não</v>
      </c>
      <c r="K138" s="467">
        <v>44603.0</v>
      </c>
      <c r="L138" s="194">
        <v>44638.0</v>
      </c>
      <c r="M138" s="62" t="s">
        <v>4910</v>
      </c>
      <c r="N138" s="478">
        <v>0.01</v>
      </c>
      <c r="O138" s="141" t="s">
        <v>66</v>
      </c>
      <c r="P138" s="145">
        <v>0.0</v>
      </c>
      <c r="Q138" s="158"/>
      <c r="R138" s="158"/>
      <c r="S138" s="62" t="s">
        <v>194</v>
      </c>
      <c r="T138" s="22" t="s">
        <v>886</v>
      </c>
      <c r="U138" s="95" t="s">
        <v>475</v>
      </c>
      <c r="V138" s="49" t="str">
        <f t="shared" si="3"/>
        <v>Encerrado</v>
      </c>
      <c r="W138" s="150"/>
      <c r="X138" s="150"/>
      <c r="Y138" s="81"/>
      <c r="Z138" s="81"/>
      <c r="AA138" s="81"/>
      <c r="AB138" s="30"/>
      <c r="AC138" s="482"/>
      <c r="AD138" s="482"/>
      <c r="AE138" s="482"/>
      <c r="AF138" s="482"/>
      <c r="AG138" s="482"/>
      <c r="AH138" s="482"/>
      <c r="AI138" s="482"/>
      <c r="AJ138" s="482"/>
      <c r="AK138" s="482"/>
      <c r="AL138" s="482"/>
      <c r="AM138" s="482"/>
      <c r="AN138" s="482"/>
      <c r="AO138" s="482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>
        <v>0.0</v>
      </c>
      <c r="BE138" s="96">
        <v>0.0</v>
      </c>
      <c r="BF138" s="96">
        <v>0.0</v>
      </c>
      <c r="BG138" s="96" t="s">
        <v>377</v>
      </c>
      <c r="BH138" s="96">
        <v>0.0</v>
      </c>
      <c r="BI138" s="96">
        <v>0.0</v>
      </c>
      <c r="BJ138" s="96">
        <v>0.0</v>
      </c>
      <c r="BK138" s="472">
        <v>0.0</v>
      </c>
      <c r="BL138" s="472">
        <v>0.0</v>
      </c>
      <c r="BM138" s="472">
        <v>0.0</v>
      </c>
      <c r="BN138" s="472">
        <v>0.0</v>
      </c>
      <c r="BO138" s="472">
        <v>0.0</v>
      </c>
      <c r="BP138" s="472">
        <v>0.0</v>
      </c>
      <c r="BQ138" s="472">
        <v>0.0</v>
      </c>
      <c r="BR138" s="472">
        <v>0.0</v>
      </c>
      <c r="BS138" s="472">
        <v>0.0</v>
      </c>
      <c r="BT138" s="472">
        <v>0.0</v>
      </c>
      <c r="BU138" s="472">
        <v>0.0</v>
      </c>
      <c r="BV138" s="472">
        <v>0.0</v>
      </c>
      <c r="BW138" s="472">
        <v>0.0</v>
      </c>
      <c r="BX138" s="472">
        <v>0.0</v>
      </c>
      <c r="BY138" s="472">
        <v>0.0</v>
      </c>
      <c r="BZ138" s="472">
        <v>0.0</v>
      </c>
      <c r="CA138" s="474">
        <v>0.0</v>
      </c>
      <c r="CB138" s="474">
        <v>0.0</v>
      </c>
      <c r="CC138" s="474">
        <v>0.0</v>
      </c>
      <c r="CD138" s="474">
        <v>0.0</v>
      </c>
      <c r="CE138" s="474">
        <v>0.0</v>
      </c>
      <c r="CF138" s="474">
        <v>0.0</v>
      </c>
      <c r="CG138" s="474">
        <v>0.0</v>
      </c>
      <c r="CH138" s="65">
        <v>0.0</v>
      </c>
      <c r="CI138" s="65">
        <v>0.0</v>
      </c>
      <c r="CJ138" s="65">
        <v>0.0</v>
      </c>
      <c r="CK138" s="65">
        <v>0.0</v>
      </c>
      <c r="CL138" s="65">
        <v>0.0</v>
      </c>
      <c r="CM138" s="65">
        <v>0.0</v>
      </c>
      <c r="CN138" s="65">
        <v>0.0</v>
      </c>
    </row>
    <row r="139" ht="15.75" customHeight="1">
      <c r="A139" s="462" t="s">
        <v>2346</v>
      </c>
      <c r="B139" s="518" t="s">
        <v>4990</v>
      </c>
      <c r="C139" s="141">
        <v>484473.0</v>
      </c>
      <c r="D139" s="63" t="s">
        <v>120</v>
      </c>
      <c r="E139" s="63" t="s">
        <v>91</v>
      </c>
      <c r="F139" s="63" t="s">
        <v>521</v>
      </c>
      <c r="G139" s="47" t="str">
        <f t="shared" si="1"/>
        <v>Breno</v>
      </c>
      <c r="H139" s="152" t="s">
        <v>224</v>
      </c>
      <c r="I139" s="74" t="s">
        <v>66</v>
      </c>
      <c r="J139" s="63" t="str">
        <f t="shared" si="4"/>
        <v>Não</v>
      </c>
      <c r="K139" s="143">
        <v>44263.0</v>
      </c>
      <c r="L139" s="557">
        <v>44911.0</v>
      </c>
      <c r="M139" s="81" t="s">
        <v>361</v>
      </c>
      <c r="N139" s="478">
        <v>0.02</v>
      </c>
      <c r="O139" s="63" t="s">
        <v>35</v>
      </c>
      <c r="P139" s="145">
        <v>0.2</v>
      </c>
      <c r="Q139" s="158"/>
      <c r="R139" s="158"/>
      <c r="S139" s="62" t="s">
        <v>194</v>
      </c>
      <c r="T139" s="141" t="s">
        <v>4994</v>
      </c>
      <c r="U139" s="95" t="s">
        <v>221</v>
      </c>
      <c r="V139" s="49" t="str">
        <f t="shared" si="3"/>
        <v>Encerrado</v>
      </c>
      <c r="W139" s="150"/>
      <c r="X139" s="150"/>
      <c r="Y139" s="30" t="s">
        <v>244</v>
      </c>
      <c r="Z139" s="81"/>
      <c r="AA139" s="81"/>
      <c r="AB139" s="30"/>
      <c r="AC139" s="482"/>
      <c r="AD139" s="482"/>
      <c r="AE139" s="482"/>
      <c r="AF139" s="482"/>
      <c r="AG139" s="482"/>
      <c r="AH139" s="482"/>
      <c r="AI139" s="482"/>
      <c r="AJ139" s="482"/>
      <c r="AK139" s="482"/>
      <c r="AL139" s="482"/>
      <c r="AM139" s="482"/>
      <c r="AN139" s="482"/>
      <c r="AO139" s="482"/>
      <c r="AP139" s="96"/>
      <c r="AQ139" s="471">
        <v>77076.69</v>
      </c>
      <c r="AR139" s="471">
        <v>91997.5</v>
      </c>
      <c r="AS139" s="471"/>
      <c r="AT139" s="471">
        <v>99212.96</v>
      </c>
      <c r="AU139" s="471">
        <v>106105.32</v>
      </c>
      <c r="AV139" s="96">
        <v>108183.27</v>
      </c>
      <c r="AW139" s="96">
        <v>109541.89</v>
      </c>
      <c r="AX139" s="96">
        <v>110394.27</v>
      </c>
      <c r="AY139" s="96">
        <v>108068.77</v>
      </c>
      <c r="AZ139" s="96">
        <v>104683.72</v>
      </c>
      <c r="BA139" s="96">
        <v>102641.09</v>
      </c>
      <c r="BB139" s="96">
        <v>103349.24</v>
      </c>
      <c r="BC139" s="96">
        <v>106456.74</v>
      </c>
      <c r="BD139" s="96">
        <v>6552.5</v>
      </c>
      <c r="BE139" s="96">
        <v>6271.24</v>
      </c>
      <c r="BF139" s="96">
        <v>6239.6</v>
      </c>
      <c r="BG139" s="472">
        <v>6495.5</v>
      </c>
      <c r="BH139" s="472">
        <v>6534.52</v>
      </c>
      <c r="BI139" s="472">
        <v>6601.83</v>
      </c>
      <c r="BJ139" s="472">
        <v>6566.5</v>
      </c>
      <c r="BK139" s="472">
        <v>6549.26</v>
      </c>
      <c r="BL139" s="472">
        <v>6543.8</v>
      </c>
      <c r="BM139" s="472">
        <v>-10.28</v>
      </c>
      <c r="BN139" s="472">
        <v>-16.98</v>
      </c>
      <c r="BO139" s="472">
        <v>-16.98</v>
      </c>
      <c r="BP139" s="472">
        <v>-16.98</v>
      </c>
      <c r="BQ139" s="472">
        <v>-16.98</v>
      </c>
      <c r="BR139" s="472">
        <v>0.0</v>
      </c>
      <c r="BS139" s="472">
        <v>0.0</v>
      </c>
      <c r="BT139" s="472">
        <v>0.0</v>
      </c>
      <c r="BU139" s="472">
        <v>0.0</v>
      </c>
      <c r="BV139" s="472">
        <v>0.0</v>
      </c>
      <c r="BW139" s="472">
        <v>0.0</v>
      </c>
      <c r="BX139" s="472">
        <v>0.0</v>
      </c>
      <c r="BY139" s="472">
        <v>0.0</v>
      </c>
      <c r="BZ139" s="472">
        <v>0.0</v>
      </c>
      <c r="CA139" s="474">
        <v>0.0</v>
      </c>
      <c r="CB139" s="474">
        <v>0.0</v>
      </c>
      <c r="CC139" s="474">
        <v>0.0</v>
      </c>
      <c r="CD139" s="474">
        <v>0.0</v>
      </c>
      <c r="CE139" s="474">
        <v>0.0</v>
      </c>
      <c r="CF139" s="474">
        <v>0.0</v>
      </c>
      <c r="CG139" s="474">
        <v>0.0</v>
      </c>
      <c r="CH139" s="65">
        <v>0.0</v>
      </c>
      <c r="CI139" s="65">
        <v>0.0</v>
      </c>
      <c r="CJ139" s="65">
        <v>0.0</v>
      </c>
      <c r="CK139" s="65">
        <v>0.0</v>
      </c>
      <c r="CL139" s="65">
        <v>0.0</v>
      </c>
      <c r="CM139" s="65">
        <v>0.0</v>
      </c>
      <c r="CN139" s="65">
        <v>0.0</v>
      </c>
    </row>
    <row r="140" ht="15.75" customHeight="1">
      <c r="A140" s="462" t="s">
        <v>2346</v>
      </c>
      <c r="B140" s="477" t="s">
        <v>5002</v>
      </c>
      <c r="C140" s="141">
        <v>448760.0</v>
      </c>
      <c r="D140" s="63" t="s">
        <v>669</v>
      </c>
      <c r="E140" s="63" t="s">
        <v>199</v>
      </c>
      <c r="F140" s="81" t="s">
        <v>1228</v>
      </c>
      <c r="G140" s="47" t="str">
        <f t="shared" si="1"/>
        <v>Breno</v>
      </c>
      <c r="H140" s="152" t="s">
        <v>224</v>
      </c>
      <c r="I140" s="74" t="s">
        <v>66</v>
      </c>
      <c r="J140" s="63" t="str">
        <f t="shared" si="4"/>
        <v>Não</v>
      </c>
      <c r="K140" s="467">
        <v>43888.0</v>
      </c>
      <c r="L140" s="467">
        <v>44264.0</v>
      </c>
      <c r="M140" s="81" t="s">
        <v>209</v>
      </c>
      <c r="N140" s="478">
        <v>0.012</v>
      </c>
      <c r="O140" s="63" t="s">
        <v>35</v>
      </c>
      <c r="P140" s="145">
        <v>0.1</v>
      </c>
      <c r="Q140" s="158"/>
      <c r="R140" s="158"/>
      <c r="S140" s="62" t="s">
        <v>194</v>
      </c>
      <c r="T140" s="30" t="s">
        <v>1739</v>
      </c>
      <c r="U140" s="81" t="s">
        <v>199</v>
      </c>
      <c r="V140" s="49" t="str">
        <f t="shared" si="3"/>
        <v>Encerrado</v>
      </c>
      <c r="W140" s="150"/>
      <c r="X140" s="150"/>
      <c r="Y140" s="81"/>
      <c r="Z140" s="81"/>
      <c r="AA140" s="81"/>
      <c r="AB140" s="30"/>
      <c r="AC140" s="96">
        <v>0.0</v>
      </c>
      <c r="AD140" s="96">
        <v>290359.18</v>
      </c>
      <c r="AE140" s="96">
        <v>263785.63</v>
      </c>
      <c r="AF140" s="96">
        <v>271975.02</v>
      </c>
      <c r="AG140" s="96">
        <v>277876.53</v>
      </c>
      <c r="AH140" s="96">
        <v>279452.43</v>
      </c>
      <c r="AI140" s="96">
        <v>264680.11</v>
      </c>
      <c r="AJ140" s="96">
        <v>218124.15</v>
      </c>
      <c r="AK140" s="96">
        <v>193392.94</v>
      </c>
      <c r="AL140" s="96">
        <v>193377.1</v>
      </c>
      <c r="AM140" s="96">
        <v>174906.55</v>
      </c>
      <c r="AN140" s="96">
        <v>147990.89</v>
      </c>
      <c r="AO140" s="96">
        <v>146065.84</v>
      </c>
      <c r="AP140" s="96">
        <v>111979.59</v>
      </c>
      <c r="AQ140" s="96">
        <v>110264.85</v>
      </c>
      <c r="AR140" s="96">
        <v>84379.64</v>
      </c>
      <c r="AS140" s="96">
        <v>84129.2</v>
      </c>
      <c r="AT140" s="96">
        <v>84445.35</v>
      </c>
      <c r="AU140" s="96">
        <v>10613.69</v>
      </c>
      <c r="AV140" s="96">
        <v>215.16</v>
      </c>
      <c r="AW140" s="482"/>
      <c r="AX140" s="482">
        <v>5.87</v>
      </c>
      <c r="AY140" s="96">
        <v>5.87</v>
      </c>
      <c r="AZ140" s="96"/>
      <c r="BA140" s="96"/>
      <c r="BB140" s="96"/>
      <c r="BC140" s="96"/>
      <c r="BD140" s="96">
        <v>0.0</v>
      </c>
      <c r="BE140" s="96">
        <v>0.0</v>
      </c>
      <c r="BF140" s="96">
        <v>0.0</v>
      </c>
      <c r="BG140" s="96" t="s">
        <v>377</v>
      </c>
      <c r="BH140" s="96">
        <v>0.0</v>
      </c>
      <c r="BI140" s="96" t="s">
        <v>377</v>
      </c>
      <c r="BJ140" s="96">
        <v>0.0</v>
      </c>
      <c r="BK140" s="472">
        <v>0.0</v>
      </c>
      <c r="BL140" s="472">
        <v>0.0</v>
      </c>
      <c r="BM140" s="472">
        <v>0.0</v>
      </c>
      <c r="BN140" s="472">
        <v>0.0</v>
      </c>
      <c r="BO140" s="472">
        <v>0.0</v>
      </c>
      <c r="BP140" s="472">
        <v>0.0</v>
      </c>
      <c r="BQ140" s="472">
        <v>0.0</v>
      </c>
      <c r="BR140" s="472">
        <v>0.0</v>
      </c>
      <c r="BS140" s="472">
        <v>0.0</v>
      </c>
      <c r="BT140" s="472">
        <v>0.0</v>
      </c>
      <c r="BU140" s="472">
        <v>0.0</v>
      </c>
      <c r="BV140" s="472">
        <v>0.0</v>
      </c>
      <c r="BW140" s="472">
        <v>0.0</v>
      </c>
      <c r="BX140" s="472">
        <v>0.0</v>
      </c>
      <c r="BY140" s="472">
        <v>0.0</v>
      </c>
      <c r="BZ140" s="472">
        <v>0.0</v>
      </c>
      <c r="CA140" s="474">
        <v>0.0</v>
      </c>
      <c r="CB140" s="474">
        <v>0.0</v>
      </c>
      <c r="CC140" s="474">
        <v>0.0</v>
      </c>
      <c r="CD140" s="474">
        <v>0.0</v>
      </c>
      <c r="CE140" s="474">
        <v>0.0</v>
      </c>
      <c r="CF140" s="474">
        <v>0.0</v>
      </c>
      <c r="CG140" s="474">
        <v>0.0</v>
      </c>
      <c r="CH140" s="65">
        <v>0.0</v>
      </c>
      <c r="CI140" s="65">
        <v>0.0</v>
      </c>
      <c r="CJ140" s="65">
        <v>0.0</v>
      </c>
      <c r="CK140" s="65">
        <v>0.0</v>
      </c>
      <c r="CL140" s="65">
        <v>0.0</v>
      </c>
      <c r="CM140" s="65">
        <v>0.0</v>
      </c>
      <c r="CN140" s="65">
        <v>0.0</v>
      </c>
    </row>
    <row r="141" ht="15.75" customHeight="1">
      <c r="A141" s="462" t="s">
        <v>2346</v>
      </c>
      <c r="B141" s="477" t="s">
        <v>5015</v>
      </c>
      <c r="C141" s="141">
        <v>80415.0</v>
      </c>
      <c r="D141" s="63" t="s">
        <v>120</v>
      </c>
      <c r="E141" s="63" t="s">
        <v>91</v>
      </c>
      <c r="F141" s="81" t="s">
        <v>521</v>
      </c>
      <c r="G141" s="47" t="str">
        <f t="shared" si="1"/>
        <v>Breno</v>
      </c>
      <c r="H141" s="152" t="s">
        <v>224</v>
      </c>
      <c r="I141" s="74" t="s">
        <v>66</v>
      </c>
      <c r="J141" s="63" t="str">
        <f t="shared" si="4"/>
        <v>Não</v>
      </c>
      <c r="K141" s="467">
        <v>44272.0</v>
      </c>
      <c r="L141" s="467">
        <v>44595.0</v>
      </c>
      <c r="M141" s="81" t="s">
        <v>5016</v>
      </c>
      <c r="N141" s="478">
        <v>0.02</v>
      </c>
      <c r="O141" s="63" t="s">
        <v>35</v>
      </c>
      <c r="P141" s="145">
        <v>0.2</v>
      </c>
      <c r="Q141" s="160"/>
      <c r="R141" s="158"/>
      <c r="S141" s="62" t="s">
        <v>194</v>
      </c>
      <c r="T141" s="30" t="s">
        <v>5017</v>
      </c>
      <c r="U141" s="81" t="s">
        <v>221</v>
      </c>
      <c r="V141" s="49" t="str">
        <f t="shared" si="3"/>
        <v>Encerrado</v>
      </c>
      <c r="W141" s="150"/>
      <c r="X141" s="150"/>
      <c r="Y141" s="81"/>
      <c r="Z141" s="81"/>
      <c r="AA141" s="81"/>
      <c r="AB141" s="30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>
        <v>4622546.27</v>
      </c>
      <c r="AR141" s="96">
        <v>4648976.67</v>
      </c>
      <c r="AS141" s="96"/>
      <c r="AT141" s="96">
        <v>4700009.87</v>
      </c>
      <c r="AU141" s="96">
        <v>4801393.77</v>
      </c>
      <c r="AV141" s="96">
        <v>4742514.73</v>
      </c>
      <c r="AW141" s="482">
        <v>3440319.83</v>
      </c>
      <c r="AX141" s="482">
        <v>1206147.81</v>
      </c>
      <c r="AY141" s="96">
        <v>505992.72</v>
      </c>
      <c r="AZ141" s="96">
        <v>496441.65</v>
      </c>
      <c r="BA141" s="96">
        <v>497295.23</v>
      </c>
      <c r="BB141" s="96">
        <v>458710.28</v>
      </c>
      <c r="BC141" s="96">
        <v>956.87</v>
      </c>
      <c r="BD141" s="96">
        <v>0.0</v>
      </c>
      <c r="BE141" s="96">
        <v>0.0</v>
      </c>
      <c r="BF141" s="96">
        <v>0.0</v>
      </c>
      <c r="BG141" s="96" t="s">
        <v>377</v>
      </c>
      <c r="BH141" s="96">
        <v>0.0</v>
      </c>
      <c r="BI141" s="96" t="s">
        <v>377</v>
      </c>
      <c r="BJ141" s="96">
        <v>0.0</v>
      </c>
      <c r="BK141" s="472">
        <v>0.0</v>
      </c>
      <c r="BL141" s="472">
        <v>0.0</v>
      </c>
      <c r="BM141" s="472">
        <v>0.0</v>
      </c>
      <c r="BN141" s="472">
        <v>0.0</v>
      </c>
      <c r="BO141" s="472">
        <v>0.0</v>
      </c>
      <c r="BP141" s="472">
        <v>0.0</v>
      </c>
      <c r="BQ141" s="472">
        <v>0.0</v>
      </c>
      <c r="BR141" s="472">
        <v>0.0</v>
      </c>
      <c r="BS141" s="472">
        <v>0.0</v>
      </c>
      <c r="BT141" s="472">
        <v>0.0</v>
      </c>
      <c r="BU141" s="472">
        <v>0.0</v>
      </c>
      <c r="BV141" s="472">
        <v>0.0</v>
      </c>
      <c r="BW141" s="472">
        <v>0.0</v>
      </c>
      <c r="BX141" s="472">
        <v>0.0</v>
      </c>
      <c r="BY141" s="472">
        <v>0.0</v>
      </c>
      <c r="BZ141" s="472">
        <v>0.0</v>
      </c>
      <c r="CA141" s="474">
        <v>0.0</v>
      </c>
      <c r="CB141" s="474">
        <v>0.0</v>
      </c>
      <c r="CC141" s="474">
        <v>0.0</v>
      </c>
      <c r="CD141" s="474">
        <v>0.0</v>
      </c>
      <c r="CE141" s="474">
        <v>0.0</v>
      </c>
      <c r="CF141" s="474">
        <v>0.0</v>
      </c>
      <c r="CG141" s="474">
        <v>0.0</v>
      </c>
      <c r="CH141" s="65">
        <v>0.0</v>
      </c>
      <c r="CI141" s="65">
        <v>0.0</v>
      </c>
      <c r="CJ141" s="65">
        <v>0.0</v>
      </c>
      <c r="CK141" s="65">
        <v>0.0</v>
      </c>
      <c r="CL141" s="65">
        <v>0.0</v>
      </c>
      <c r="CM141" s="65">
        <v>0.0</v>
      </c>
      <c r="CN141" s="65">
        <v>0.0</v>
      </c>
    </row>
    <row r="142" ht="15.75" customHeight="1">
      <c r="A142" s="462" t="s">
        <v>2346</v>
      </c>
      <c r="B142" s="510" t="s">
        <v>5034</v>
      </c>
      <c r="C142" s="141">
        <v>265807.0</v>
      </c>
      <c r="D142" s="63" t="s">
        <v>669</v>
      </c>
      <c r="E142" s="63" t="s">
        <v>199</v>
      </c>
      <c r="F142" s="81" t="s">
        <v>2388</v>
      </c>
      <c r="G142" s="47" t="str">
        <f t="shared" si="1"/>
        <v>Breno</v>
      </c>
      <c r="H142" s="152" t="s">
        <v>224</v>
      </c>
      <c r="I142" s="74" t="s">
        <v>66</v>
      </c>
      <c r="J142" s="63" t="str">
        <f t="shared" si="4"/>
        <v>Não</v>
      </c>
      <c r="K142" s="467">
        <v>43531.0</v>
      </c>
      <c r="L142" s="151">
        <v>43899.0</v>
      </c>
      <c r="M142" s="81" t="s">
        <v>231</v>
      </c>
      <c r="N142" s="478">
        <v>0.02</v>
      </c>
      <c r="O142" s="141" t="s">
        <v>233</v>
      </c>
      <c r="P142" s="145">
        <v>0.2</v>
      </c>
      <c r="Q142" s="158"/>
      <c r="R142" s="158"/>
      <c r="S142" s="62" t="s">
        <v>194</v>
      </c>
      <c r="T142" s="30" t="s">
        <v>5040</v>
      </c>
      <c r="U142" s="81" t="s">
        <v>199</v>
      </c>
      <c r="V142" s="49" t="str">
        <f t="shared" si="3"/>
        <v>Encerrado</v>
      </c>
      <c r="W142" s="150"/>
      <c r="X142" s="150"/>
      <c r="Y142" s="81"/>
      <c r="Z142" s="81"/>
      <c r="AA142" s="81"/>
      <c r="AB142" s="30"/>
      <c r="AC142" s="96">
        <v>498402.97</v>
      </c>
      <c r="AD142" s="96">
        <v>25240.54</v>
      </c>
      <c r="AE142" s="96">
        <v>0.0</v>
      </c>
      <c r="AF142" s="96">
        <v>0.0</v>
      </c>
      <c r="AG142" s="96">
        <v>1611.53</v>
      </c>
      <c r="AH142" s="96">
        <v>0.0</v>
      </c>
      <c r="AI142" s="96">
        <v>0.0</v>
      </c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482"/>
      <c r="AW142" s="482"/>
      <c r="AX142" s="482"/>
      <c r="AY142" s="96"/>
      <c r="AZ142" s="96"/>
      <c r="BA142" s="96"/>
      <c r="BB142" s="96"/>
      <c r="BC142" s="96"/>
      <c r="BD142" s="96">
        <v>0.0</v>
      </c>
      <c r="BE142" s="96">
        <v>0.0</v>
      </c>
      <c r="BF142" s="96">
        <v>0.0</v>
      </c>
      <c r="BG142" s="96" t="s">
        <v>377</v>
      </c>
      <c r="BH142" s="96">
        <v>0.0</v>
      </c>
      <c r="BI142" s="96" t="s">
        <v>377</v>
      </c>
      <c r="BJ142" s="96">
        <v>0.0</v>
      </c>
      <c r="BK142" s="472">
        <v>0.0</v>
      </c>
      <c r="BL142" s="472">
        <v>0.0</v>
      </c>
      <c r="BM142" s="472">
        <v>0.0</v>
      </c>
      <c r="BN142" s="472">
        <v>0.0</v>
      </c>
      <c r="BO142" s="472">
        <v>0.0</v>
      </c>
      <c r="BP142" s="472">
        <v>0.0</v>
      </c>
      <c r="BQ142" s="472">
        <v>0.0</v>
      </c>
      <c r="BR142" s="472">
        <v>0.0</v>
      </c>
      <c r="BS142" s="472">
        <v>0.0</v>
      </c>
      <c r="BT142" s="472">
        <v>0.0</v>
      </c>
      <c r="BU142" s="472">
        <v>0.0</v>
      </c>
      <c r="BV142" s="472">
        <v>0.0</v>
      </c>
      <c r="BW142" s="472">
        <v>0.0</v>
      </c>
      <c r="BX142" s="472">
        <v>0.0</v>
      </c>
      <c r="BY142" s="472">
        <v>0.0</v>
      </c>
      <c r="BZ142" s="472">
        <v>0.0</v>
      </c>
      <c r="CA142" s="474">
        <v>0.0</v>
      </c>
      <c r="CB142" s="474">
        <v>0.0</v>
      </c>
      <c r="CC142" s="474">
        <v>0.0</v>
      </c>
      <c r="CD142" s="474">
        <v>0.0</v>
      </c>
      <c r="CE142" s="474">
        <v>0.0</v>
      </c>
      <c r="CF142" s="474">
        <v>0.0</v>
      </c>
      <c r="CG142" s="474">
        <v>0.0</v>
      </c>
      <c r="CH142" s="65">
        <v>0.0</v>
      </c>
      <c r="CI142" s="65">
        <v>0.0</v>
      </c>
      <c r="CJ142" s="65">
        <v>0.0</v>
      </c>
      <c r="CK142" s="65">
        <v>0.0</v>
      </c>
      <c r="CL142" s="65">
        <v>0.0</v>
      </c>
      <c r="CM142" s="65">
        <v>0.0</v>
      </c>
      <c r="CN142" s="65">
        <v>0.0</v>
      </c>
    </row>
    <row r="143" ht="15.75" customHeight="1">
      <c r="A143" s="462" t="s">
        <v>2346</v>
      </c>
      <c r="B143" s="477" t="s">
        <v>5034</v>
      </c>
      <c r="C143" s="141">
        <v>320105.0</v>
      </c>
      <c r="D143" s="63" t="s">
        <v>669</v>
      </c>
      <c r="E143" s="63" t="s">
        <v>199</v>
      </c>
      <c r="F143" s="63" t="s">
        <v>2388</v>
      </c>
      <c r="G143" s="47" t="str">
        <f t="shared" si="1"/>
        <v>Breno</v>
      </c>
      <c r="H143" s="152" t="s">
        <v>295</v>
      </c>
      <c r="I143" s="49" t="s">
        <v>382</v>
      </c>
      <c r="J143" s="63" t="str">
        <f t="shared" si="4"/>
        <v>Sim</v>
      </c>
      <c r="K143" s="143">
        <v>43531.0</v>
      </c>
      <c r="L143" s="81"/>
      <c r="M143" s="30" t="s">
        <v>1678</v>
      </c>
      <c r="N143" s="478">
        <v>0.015</v>
      </c>
      <c r="O143" s="141" t="s">
        <v>66</v>
      </c>
      <c r="P143" s="145">
        <v>0.0</v>
      </c>
      <c r="Q143" s="153" t="s">
        <v>1068</v>
      </c>
      <c r="R143" s="163" t="s">
        <v>5057</v>
      </c>
      <c r="S143" s="62" t="s">
        <v>194</v>
      </c>
      <c r="T143" s="30" t="s">
        <v>5040</v>
      </c>
      <c r="U143" s="81" t="s">
        <v>199</v>
      </c>
      <c r="V143" s="49" t="str">
        <f t="shared" si="3"/>
        <v>Ativo</v>
      </c>
      <c r="W143" s="150"/>
      <c r="X143" s="150"/>
      <c r="Y143" s="30" t="s">
        <v>269</v>
      </c>
      <c r="Z143" s="81"/>
      <c r="AA143" s="467">
        <v>43531.0</v>
      </c>
      <c r="AB143" s="30">
        <v>4.9075100009694E13</v>
      </c>
      <c r="AC143" s="96">
        <v>1042709.73</v>
      </c>
      <c r="AD143" s="96">
        <v>1626891.95</v>
      </c>
      <c r="AE143" s="96">
        <v>1496871.83</v>
      </c>
      <c r="AF143" s="96">
        <v>1528776.6</v>
      </c>
      <c r="AG143" s="96">
        <v>1660113.58</v>
      </c>
      <c r="AH143" s="96">
        <v>1701005.2</v>
      </c>
      <c r="AI143" s="96">
        <v>1797945.15</v>
      </c>
      <c r="AJ143" s="96">
        <v>0.0</v>
      </c>
      <c r="AK143" s="96">
        <v>1776921.49</v>
      </c>
      <c r="AL143" s="96">
        <v>1777214.04</v>
      </c>
      <c r="AM143" s="96">
        <v>1871289.88</v>
      </c>
      <c r="AN143" s="96">
        <v>1770151.05</v>
      </c>
      <c r="AO143" s="96">
        <v>1750569.58</v>
      </c>
      <c r="AP143" s="96">
        <v>1717630.23</v>
      </c>
      <c r="AQ143" s="471">
        <v>1693495.92</v>
      </c>
      <c r="AR143" s="471">
        <v>1756320.39</v>
      </c>
      <c r="AS143" s="471">
        <v>1765322.08</v>
      </c>
      <c r="AT143" s="471">
        <v>1770516.63</v>
      </c>
      <c r="AU143" s="471">
        <v>1805763.82</v>
      </c>
      <c r="AV143" s="96">
        <v>1894223.28</v>
      </c>
      <c r="AW143" s="96">
        <v>1878301.26</v>
      </c>
      <c r="AX143" s="96">
        <v>1843300.7</v>
      </c>
      <c r="AY143" s="96">
        <v>1814447.0</v>
      </c>
      <c r="AZ143" s="96">
        <v>1771370.22</v>
      </c>
      <c r="BA143" s="96">
        <v>1755427.07</v>
      </c>
      <c r="BB143" s="96">
        <v>1757999.42</v>
      </c>
      <c r="BC143" s="96">
        <v>1801648.2</v>
      </c>
      <c r="BD143" s="96">
        <v>1849957.59</v>
      </c>
      <c r="BE143" s="96">
        <v>2162038.25</v>
      </c>
      <c r="BF143" s="96">
        <v>2127571.83</v>
      </c>
      <c r="BG143" s="472">
        <v>2119610.76</v>
      </c>
      <c r="BH143" s="472">
        <v>2100579.62</v>
      </c>
      <c r="BI143" s="472">
        <v>2140936.18</v>
      </c>
      <c r="BJ143" s="472">
        <v>2165491.11</v>
      </c>
      <c r="BK143" s="472">
        <v>2185248.36</v>
      </c>
      <c r="BL143" s="472">
        <v>2255524.45</v>
      </c>
      <c r="BM143" s="472">
        <v>2222819.63</v>
      </c>
      <c r="BN143" s="472">
        <v>2240967.58</v>
      </c>
      <c r="BO143" s="472">
        <v>2267305.74</v>
      </c>
      <c r="BP143" s="472">
        <v>2277736.23</v>
      </c>
      <c r="BQ143" s="472">
        <v>2296343.24</v>
      </c>
      <c r="BR143" s="472">
        <v>2308682.37</v>
      </c>
      <c r="BS143" s="472">
        <v>2336976.52</v>
      </c>
      <c r="BT143" s="472">
        <v>2345624.42</v>
      </c>
      <c r="BU143" s="472">
        <v>2199865.16</v>
      </c>
      <c r="BV143" s="472">
        <v>1453.13</v>
      </c>
      <c r="BW143" s="472">
        <v>0.0</v>
      </c>
      <c r="BX143" s="472">
        <v>327.54</v>
      </c>
      <c r="BY143" s="472">
        <v>144.67</v>
      </c>
      <c r="BZ143" s="472">
        <v>144.67</v>
      </c>
      <c r="CA143" s="474">
        <v>144.67</v>
      </c>
      <c r="CB143" s="474">
        <v>144.67</v>
      </c>
      <c r="CC143" s="474">
        <v>144.67</v>
      </c>
      <c r="CD143" s="474">
        <v>144.67</v>
      </c>
      <c r="CE143" s="474">
        <v>0.0</v>
      </c>
      <c r="CF143" s="474">
        <v>0.0</v>
      </c>
      <c r="CG143" s="474">
        <v>0.0</v>
      </c>
      <c r="CH143" s="65">
        <v>0.0</v>
      </c>
      <c r="CI143" s="65">
        <v>0.0</v>
      </c>
      <c r="CJ143" s="65">
        <v>0.0</v>
      </c>
      <c r="CK143" s="65">
        <v>0.0</v>
      </c>
      <c r="CL143" s="65">
        <v>0.0</v>
      </c>
      <c r="CM143" s="65">
        <v>0.0</v>
      </c>
      <c r="CN143" s="65">
        <v>0.0</v>
      </c>
    </row>
    <row r="144" ht="15.75" customHeight="1">
      <c r="A144" s="462" t="s">
        <v>2346</v>
      </c>
      <c r="B144" s="510" t="s">
        <v>5034</v>
      </c>
      <c r="C144" s="141">
        <v>577168.0</v>
      </c>
      <c r="D144" s="63" t="s">
        <v>669</v>
      </c>
      <c r="E144" s="63" t="s">
        <v>199</v>
      </c>
      <c r="F144" s="81" t="s">
        <v>2388</v>
      </c>
      <c r="G144" s="47" t="str">
        <f t="shared" si="1"/>
        <v>Breno</v>
      </c>
      <c r="H144" s="152" t="s">
        <v>224</v>
      </c>
      <c r="I144" s="74" t="s">
        <v>66</v>
      </c>
      <c r="J144" s="63" t="str">
        <f t="shared" si="4"/>
        <v>Não</v>
      </c>
      <c r="K144" s="467">
        <v>43550.0</v>
      </c>
      <c r="L144" s="151">
        <v>43899.0</v>
      </c>
      <c r="M144" s="81" t="s">
        <v>231</v>
      </c>
      <c r="N144" s="478">
        <v>0.025</v>
      </c>
      <c r="O144" s="141" t="s">
        <v>233</v>
      </c>
      <c r="P144" s="145">
        <v>0.2</v>
      </c>
      <c r="Q144" s="158"/>
      <c r="R144" s="158"/>
      <c r="S144" s="62" t="s">
        <v>194</v>
      </c>
      <c r="T144" s="30" t="s">
        <v>5040</v>
      </c>
      <c r="U144" s="81" t="s">
        <v>199</v>
      </c>
      <c r="V144" s="49" t="str">
        <f t="shared" si="3"/>
        <v>Encerrado</v>
      </c>
      <c r="W144" s="150"/>
      <c r="X144" s="150"/>
      <c r="Y144" s="81"/>
      <c r="Z144" s="81"/>
      <c r="AA144" s="81"/>
      <c r="AB144" s="30"/>
      <c r="AC144" s="96">
        <v>0.0</v>
      </c>
      <c r="AD144" s="96">
        <v>0.0</v>
      </c>
      <c r="AE144" s="96">
        <v>0.0</v>
      </c>
      <c r="AF144" s="96">
        <v>0.0</v>
      </c>
      <c r="AG144" s="96">
        <v>0.0</v>
      </c>
      <c r="AH144" s="96">
        <v>0.0</v>
      </c>
      <c r="AI144" s="96">
        <v>0.0</v>
      </c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482"/>
      <c r="AW144" s="482"/>
      <c r="AX144" s="482"/>
      <c r="AY144" s="96"/>
      <c r="AZ144" s="96"/>
      <c r="BA144" s="96"/>
      <c r="BB144" s="96"/>
      <c r="BC144" s="96"/>
      <c r="BD144" s="96">
        <v>0.0</v>
      </c>
      <c r="BE144" s="96">
        <v>0.0</v>
      </c>
      <c r="BF144" s="96">
        <v>0.0</v>
      </c>
      <c r="BG144" s="96" t="s">
        <v>377</v>
      </c>
      <c r="BH144" s="96">
        <v>0.0</v>
      </c>
      <c r="BI144" s="96" t="s">
        <v>377</v>
      </c>
      <c r="BJ144" s="96">
        <v>0.0</v>
      </c>
      <c r="BK144" s="472">
        <v>0.0</v>
      </c>
      <c r="BL144" s="472">
        <v>0.0</v>
      </c>
      <c r="BM144" s="472">
        <v>0.0</v>
      </c>
      <c r="BN144" s="472">
        <v>0.0</v>
      </c>
      <c r="BO144" s="472">
        <v>0.0</v>
      </c>
      <c r="BP144" s="472">
        <v>0.0</v>
      </c>
      <c r="BQ144" s="472">
        <v>0.0</v>
      </c>
      <c r="BR144" s="472">
        <v>0.0</v>
      </c>
      <c r="BS144" s="472">
        <v>0.0</v>
      </c>
      <c r="BT144" s="472">
        <v>0.0</v>
      </c>
      <c r="BU144" s="472">
        <v>0.0</v>
      </c>
      <c r="BV144" s="472">
        <v>0.0</v>
      </c>
      <c r="BW144" s="472">
        <v>0.0</v>
      </c>
      <c r="BX144" s="472">
        <v>0.0</v>
      </c>
      <c r="BY144" s="472">
        <v>0.0</v>
      </c>
      <c r="BZ144" s="472">
        <v>0.0</v>
      </c>
      <c r="CA144" s="474">
        <v>0.0</v>
      </c>
      <c r="CB144" s="474">
        <v>0.0</v>
      </c>
      <c r="CC144" s="474">
        <v>0.0</v>
      </c>
      <c r="CD144" s="474">
        <v>0.0</v>
      </c>
      <c r="CE144" s="474">
        <v>0.0</v>
      </c>
      <c r="CF144" s="474">
        <v>0.0</v>
      </c>
      <c r="CG144" s="474">
        <v>0.0</v>
      </c>
      <c r="CH144" s="65">
        <v>0.0</v>
      </c>
      <c r="CI144" s="65">
        <v>0.0</v>
      </c>
      <c r="CJ144" s="65">
        <v>0.0</v>
      </c>
      <c r="CK144" s="65">
        <v>0.0</v>
      </c>
      <c r="CL144" s="65">
        <v>0.0</v>
      </c>
      <c r="CM144" s="65">
        <v>0.0</v>
      </c>
      <c r="CN144" s="65">
        <v>0.0</v>
      </c>
    </row>
    <row r="145" ht="15.75" customHeight="1">
      <c r="A145" s="462" t="s">
        <v>2346</v>
      </c>
      <c r="B145" s="510" t="s">
        <v>5091</v>
      </c>
      <c r="C145" s="141">
        <v>443081.0</v>
      </c>
      <c r="D145" s="63" t="s">
        <v>1096</v>
      </c>
      <c r="E145" s="63" t="s">
        <v>199</v>
      </c>
      <c r="F145" s="81" t="s">
        <v>1096</v>
      </c>
      <c r="G145" s="47" t="str">
        <f t="shared" si="1"/>
        <v>Breno</v>
      </c>
      <c r="H145" s="152" t="s">
        <v>224</v>
      </c>
      <c r="I145" s="74" t="s">
        <v>66</v>
      </c>
      <c r="J145" s="63" t="str">
        <f t="shared" si="4"/>
        <v>Não</v>
      </c>
      <c r="K145" s="467">
        <v>43875.0</v>
      </c>
      <c r="L145" s="467">
        <v>44634.0</v>
      </c>
      <c r="M145" s="81" t="s">
        <v>231</v>
      </c>
      <c r="N145" s="478">
        <v>0.025</v>
      </c>
      <c r="O145" s="141" t="s">
        <v>233</v>
      </c>
      <c r="P145" s="145">
        <v>0.2</v>
      </c>
      <c r="Q145" s="158"/>
      <c r="R145" s="158"/>
      <c r="S145" s="62" t="s">
        <v>194</v>
      </c>
      <c r="T145" s="30" t="s">
        <v>5094</v>
      </c>
      <c r="U145" s="81" t="s">
        <v>199</v>
      </c>
      <c r="V145" s="49" t="str">
        <f t="shared" si="3"/>
        <v>Encerrado</v>
      </c>
      <c r="W145" s="150"/>
      <c r="X145" s="150"/>
      <c r="Y145" s="30" t="s">
        <v>244</v>
      </c>
      <c r="Z145" s="81"/>
      <c r="AA145" s="81"/>
      <c r="AB145" s="30"/>
      <c r="AC145" s="96">
        <v>0.0</v>
      </c>
      <c r="AD145" s="96">
        <v>124195.07</v>
      </c>
      <c r="AE145" s="96">
        <v>92319.58</v>
      </c>
      <c r="AF145" s="96">
        <v>96801.62</v>
      </c>
      <c r="AG145" s="96">
        <v>99787.73</v>
      </c>
      <c r="AH145" s="96">
        <v>153704.79</v>
      </c>
      <c r="AI145" s="96">
        <v>163680.66</v>
      </c>
      <c r="AJ145" s="96">
        <v>152284.07</v>
      </c>
      <c r="AK145" s="96">
        <v>144702.14</v>
      </c>
      <c r="AL145" s="96">
        <v>146569.41</v>
      </c>
      <c r="AM145" s="96">
        <v>165953.14</v>
      </c>
      <c r="AN145" s="96">
        <v>173816.32</v>
      </c>
      <c r="AO145" s="96">
        <v>168399.93</v>
      </c>
      <c r="AP145" s="96">
        <v>155567.35</v>
      </c>
      <c r="AQ145" s="96">
        <v>150718.01</v>
      </c>
      <c r="AR145" s="96">
        <v>164431.02</v>
      </c>
      <c r="AS145" s="96">
        <v>164783.28</v>
      </c>
      <c r="AT145" s="96">
        <v>165638.87</v>
      </c>
      <c r="AU145" s="96">
        <v>172765.77</v>
      </c>
      <c r="AV145" s="96">
        <v>170345.65</v>
      </c>
      <c r="AW145" s="96">
        <v>165717.96</v>
      </c>
      <c r="AX145" s="96">
        <v>158637.43</v>
      </c>
      <c r="AY145" s="96">
        <v>151121.37</v>
      </c>
      <c r="AZ145" s="96">
        <v>141299.37</v>
      </c>
      <c r="BA145" s="96">
        <v>137135.02</v>
      </c>
      <c r="BB145" s="96">
        <v>137110.57</v>
      </c>
      <c r="BC145" s="96">
        <v>143391.24</v>
      </c>
      <c r="BD145" s="96">
        <v>145638.46</v>
      </c>
      <c r="BE145" s="96">
        <v>156121.71</v>
      </c>
      <c r="BF145" s="96">
        <v>100685.29</v>
      </c>
      <c r="BG145" s="96" t="s">
        <v>377</v>
      </c>
      <c r="BH145" s="96">
        <v>0.0</v>
      </c>
      <c r="BI145" s="96" t="s">
        <v>377</v>
      </c>
      <c r="BJ145" s="96">
        <v>0.0</v>
      </c>
      <c r="BK145" s="472">
        <v>0.0</v>
      </c>
      <c r="BL145" s="472">
        <v>0.0</v>
      </c>
      <c r="BM145" s="472">
        <v>0.0</v>
      </c>
      <c r="BN145" s="472">
        <v>0.0</v>
      </c>
      <c r="BO145" s="472">
        <v>0.0</v>
      </c>
      <c r="BP145" s="472">
        <v>0.0</v>
      </c>
      <c r="BQ145" s="472">
        <v>0.0</v>
      </c>
      <c r="BR145" s="472">
        <v>0.0</v>
      </c>
      <c r="BS145" s="472">
        <v>0.0</v>
      </c>
      <c r="BT145" s="472">
        <v>0.0</v>
      </c>
      <c r="BU145" s="472">
        <v>0.0</v>
      </c>
      <c r="BV145" s="472">
        <v>0.0</v>
      </c>
      <c r="BW145" s="472">
        <v>0.0</v>
      </c>
      <c r="BX145" s="472">
        <v>0.0</v>
      </c>
      <c r="BY145" s="472">
        <v>0.0</v>
      </c>
      <c r="BZ145" s="472">
        <v>0.0</v>
      </c>
      <c r="CA145" s="474">
        <v>0.0</v>
      </c>
      <c r="CB145" s="474">
        <v>0.0</v>
      </c>
      <c r="CC145" s="474">
        <v>0.0</v>
      </c>
      <c r="CD145" s="474">
        <v>0.0</v>
      </c>
      <c r="CE145" s="474">
        <v>0.0</v>
      </c>
      <c r="CF145" s="474">
        <v>0.0</v>
      </c>
      <c r="CG145" s="474">
        <v>0.0</v>
      </c>
      <c r="CH145" s="65">
        <v>0.0</v>
      </c>
      <c r="CI145" s="65">
        <v>0.0</v>
      </c>
      <c r="CJ145" s="65">
        <v>0.0</v>
      </c>
      <c r="CK145" s="65">
        <v>0.0</v>
      </c>
      <c r="CL145" s="65">
        <v>0.0</v>
      </c>
      <c r="CM145" s="65">
        <v>0.0</v>
      </c>
      <c r="CN145" s="65">
        <v>0.0</v>
      </c>
    </row>
    <row r="146" ht="15.75" customHeight="1">
      <c r="A146" s="462" t="s">
        <v>2346</v>
      </c>
      <c r="B146" s="176" t="s">
        <v>5107</v>
      </c>
      <c r="C146" s="141">
        <v>436161.0</v>
      </c>
      <c r="D146" s="63" t="s">
        <v>120</v>
      </c>
      <c r="E146" s="63" t="s">
        <v>91</v>
      </c>
      <c r="F146" s="66" t="s">
        <v>193</v>
      </c>
      <c r="G146" s="47" t="str">
        <f t="shared" si="1"/>
        <v>Breno</v>
      </c>
      <c r="H146" s="142" t="s">
        <v>295</v>
      </c>
      <c r="I146" s="49" t="s">
        <v>382</v>
      </c>
      <c r="J146" s="63" t="str">
        <f t="shared" si="4"/>
        <v>Não</v>
      </c>
      <c r="K146" s="194">
        <v>44421.0</v>
      </c>
      <c r="L146" s="81"/>
      <c r="M146" s="81" t="s">
        <v>209</v>
      </c>
      <c r="N146" s="478">
        <v>0.015</v>
      </c>
      <c r="O146" s="63" t="s">
        <v>35</v>
      </c>
      <c r="P146" s="145">
        <v>0.1</v>
      </c>
      <c r="Q146" s="146"/>
      <c r="R146" s="58" t="s">
        <v>5109</v>
      </c>
      <c r="S146" s="62" t="s">
        <v>194</v>
      </c>
      <c r="T146" s="22" t="s">
        <v>5110</v>
      </c>
      <c r="U146" s="95" t="s">
        <v>221</v>
      </c>
      <c r="V146" s="49" t="str">
        <f t="shared" si="3"/>
        <v>Inativo</v>
      </c>
      <c r="W146" s="150"/>
      <c r="X146" s="150"/>
      <c r="Y146" s="30" t="s">
        <v>244</v>
      </c>
      <c r="Z146" s="81"/>
      <c r="AA146" s="467">
        <v>44421.0</v>
      </c>
      <c r="AB146" s="30">
        <v>4.9075100003718E13</v>
      </c>
      <c r="AC146" s="246"/>
      <c r="AD146" s="246"/>
      <c r="AE146" s="246"/>
      <c r="AF146" s="246"/>
      <c r="AG146" s="246"/>
      <c r="AH146" s="246"/>
      <c r="AI146" s="246"/>
      <c r="AJ146" s="246"/>
      <c r="AK146" s="246"/>
      <c r="AL146" s="246"/>
      <c r="AM146" s="246"/>
      <c r="AN146" s="476"/>
      <c r="AO146" s="476"/>
      <c r="AP146" s="471"/>
      <c r="AQ146" s="471"/>
      <c r="AR146" s="471"/>
      <c r="AS146" s="476"/>
      <c r="AT146" s="476"/>
      <c r="AU146" s="96"/>
      <c r="AV146" s="96"/>
      <c r="AW146" s="476"/>
      <c r="AX146" s="476">
        <v>124633.28</v>
      </c>
      <c r="AY146" s="96">
        <v>103731.2</v>
      </c>
      <c r="AZ146" s="96">
        <v>124342.32</v>
      </c>
      <c r="BA146" s="96">
        <v>123124.57</v>
      </c>
      <c r="BB146" s="96">
        <v>123902.45</v>
      </c>
      <c r="BC146" s="96">
        <v>126610.66</v>
      </c>
      <c r="BD146" s="96">
        <v>127388.77</v>
      </c>
      <c r="BE146" s="96">
        <v>133821.21</v>
      </c>
      <c r="BF146" s="96">
        <v>133907.17</v>
      </c>
      <c r="BG146" s="472">
        <v>137667.76</v>
      </c>
      <c r="BH146" s="472">
        <v>136844.41</v>
      </c>
      <c r="BI146" s="472">
        <v>139457.05</v>
      </c>
      <c r="BJ146" s="472">
        <v>142267.36</v>
      </c>
      <c r="BK146" s="472">
        <v>145506.72</v>
      </c>
      <c r="BL146" s="472">
        <v>154356.74</v>
      </c>
      <c r="BM146" s="472">
        <v>163447.23</v>
      </c>
      <c r="BN146" s="472">
        <v>174911.63</v>
      </c>
      <c r="BO146" s="472">
        <v>181842.6</v>
      </c>
      <c r="BP146" s="472">
        <v>193231.32</v>
      </c>
      <c r="BQ146" s="472">
        <v>201489.94</v>
      </c>
      <c r="BR146" s="472">
        <v>29188.58</v>
      </c>
      <c r="BS146" s="472">
        <v>0.0</v>
      </c>
      <c r="BT146" s="472">
        <v>0.0</v>
      </c>
      <c r="BU146" s="472">
        <v>0.0</v>
      </c>
      <c r="BV146" s="472">
        <v>0.0</v>
      </c>
      <c r="BW146" s="472">
        <v>0.0</v>
      </c>
      <c r="BX146" s="472">
        <v>0.0</v>
      </c>
      <c r="BY146" s="472">
        <v>0.0</v>
      </c>
      <c r="BZ146" s="472">
        <v>0.0</v>
      </c>
      <c r="CA146" s="474">
        <v>0.0</v>
      </c>
      <c r="CB146" s="474">
        <v>0.0</v>
      </c>
      <c r="CC146" s="474">
        <v>0.0</v>
      </c>
      <c r="CD146" s="474">
        <v>0.0</v>
      </c>
      <c r="CE146" s="474">
        <v>0.0</v>
      </c>
      <c r="CF146" s="474">
        <v>0.0</v>
      </c>
      <c r="CG146" s="474">
        <v>0.0</v>
      </c>
      <c r="CH146" s="65">
        <v>0.0</v>
      </c>
      <c r="CI146" s="65">
        <v>0.0</v>
      </c>
      <c r="CJ146" s="65">
        <v>0.0</v>
      </c>
      <c r="CK146" s="65">
        <v>0.0</v>
      </c>
      <c r="CL146" s="65">
        <v>0.0</v>
      </c>
      <c r="CM146" s="65">
        <v>0.0</v>
      </c>
      <c r="CN146" s="65">
        <v>0.0</v>
      </c>
    </row>
    <row r="147" ht="15.75" customHeight="1">
      <c r="A147" s="462" t="s">
        <v>2346</v>
      </c>
      <c r="B147" s="176" t="s">
        <v>5125</v>
      </c>
      <c r="C147" s="141">
        <v>457585.0</v>
      </c>
      <c r="D147" s="63" t="s">
        <v>120</v>
      </c>
      <c r="E147" s="63" t="s">
        <v>91</v>
      </c>
      <c r="F147" s="95" t="s">
        <v>193</v>
      </c>
      <c r="G147" s="47" t="str">
        <f t="shared" si="1"/>
        <v>Breno</v>
      </c>
      <c r="H147" s="152" t="s">
        <v>224</v>
      </c>
      <c r="I147" s="74" t="s">
        <v>66</v>
      </c>
      <c r="J147" s="63" t="str">
        <f t="shared" si="4"/>
        <v>Não</v>
      </c>
      <c r="K147" s="467">
        <v>44503.0</v>
      </c>
      <c r="L147" s="194">
        <v>44602.0</v>
      </c>
      <c r="M147" s="81" t="s">
        <v>209</v>
      </c>
      <c r="N147" s="478">
        <v>0.015</v>
      </c>
      <c r="O147" s="63" t="s">
        <v>35</v>
      </c>
      <c r="P147" s="145">
        <v>0.1</v>
      </c>
      <c r="Q147" s="158"/>
      <c r="R147" s="158"/>
      <c r="S147" s="62" t="s">
        <v>194</v>
      </c>
      <c r="T147" s="22" t="s">
        <v>5127</v>
      </c>
      <c r="U147" s="95" t="s">
        <v>221</v>
      </c>
      <c r="V147" s="49" t="str">
        <f t="shared" si="3"/>
        <v>Encerrado</v>
      </c>
      <c r="W147" s="150"/>
      <c r="X147" s="150"/>
      <c r="Y147" s="81"/>
      <c r="Z147" s="81"/>
      <c r="AA147" s="81"/>
      <c r="AB147" s="30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476"/>
      <c r="AN147" s="476"/>
      <c r="AO147" s="476"/>
      <c r="AP147" s="96"/>
      <c r="AQ147" s="96"/>
      <c r="AR147" s="96"/>
      <c r="AS147" s="476"/>
      <c r="AT147" s="476"/>
      <c r="AU147" s="96"/>
      <c r="AV147" s="96"/>
      <c r="AW147" s="96"/>
      <c r="AX147" s="96"/>
      <c r="AY147" s="96"/>
      <c r="AZ147" s="96">
        <v>363485.86</v>
      </c>
      <c r="BA147" s="96">
        <v>364044.73</v>
      </c>
      <c r="BB147" s="96">
        <v>360845.15</v>
      </c>
      <c r="BC147" s="96">
        <v>367301.76</v>
      </c>
      <c r="BD147" s="96">
        <v>0.0</v>
      </c>
      <c r="BE147" s="96">
        <v>0.0</v>
      </c>
      <c r="BF147" s="96">
        <v>0.0</v>
      </c>
      <c r="BG147" s="96" t="s">
        <v>377</v>
      </c>
      <c r="BH147" s="96">
        <v>0.0</v>
      </c>
      <c r="BI147" s="96">
        <v>0.0</v>
      </c>
      <c r="BJ147" s="96">
        <v>0.0</v>
      </c>
      <c r="BK147" s="472">
        <v>0.0</v>
      </c>
      <c r="BL147" s="472">
        <v>0.0</v>
      </c>
      <c r="BM147" s="472">
        <v>0.0</v>
      </c>
      <c r="BN147" s="472">
        <v>0.0</v>
      </c>
      <c r="BO147" s="472">
        <v>0.0</v>
      </c>
      <c r="BP147" s="472">
        <v>0.0</v>
      </c>
      <c r="BQ147" s="472">
        <v>0.0</v>
      </c>
      <c r="BR147" s="472">
        <v>0.0</v>
      </c>
      <c r="BS147" s="472">
        <v>0.0</v>
      </c>
      <c r="BT147" s="472">
        <v>0.0</v>
      </c>
      <c r="BU147" s="472">
        <v>0.0</v>
      </c>
      <c r="BV147" s="472">
        <v>0.0</v>
      </c>
      <c r="BW147" s="472">
        <v>0.0</v>
      </c>
      <c r="BX147" s="472">
        <v>0.0</v>
      </c>
      <c r="BY147" s="472">
        <v>0.0</v>
      </c>
      <c r="BZ147" s="472">
        <v>0.0</v>
      </c>
      <c r="CA147" s="474">
        <v>0.0</v>
      </c>
      <c r="CB147" s="474">
        <v>0.0</v>
      </c>
      <c r="CC147" s="474">
        <v>0.0</v>
      </c>
      <c r="CD147" s="474">
        <v>0.0</v>
      </c>
      <c r="CE147" s="474">
        <v>0.0</v>
      </c>
      <c r="CF147" s="474">
        <v>0.0</v>
      </c>
      <c r="CG147" s="474">
        <v>0.0</v>
      </c>
      <c r="CH147" s="65">
        <v>0.0</v>
      </c>
      <c r="CI147" s="65">
        <v>0.0</v>
      </c>
      <c r="CJ147" s="65">
        <v>0.0</v>
      </c>
      <c r="CK147" s="65">
        <v>0.0</v>
      </c>
      <c r="CL147" s="65">
        <v>0.0</v>
      </c>
      <c r="CM147" s="65">
        <v>0.0</v>
      </c>
      <c r="CN147" s="65">
        <v>0.0</v>
      </c>
    </row>
    <row r="148" ht="15.75" customHeight="1">
      <c r="A148" s="462" t="s">
        <v>2346</v>
      </c>
      <c r="B148" s="176" t="s">
        <v>5125</v>
      </c>
      <c r="C148" s="141">
        <v>457610.0</v>
      </c>
      <c r="D148" s="63" t="s">
        <v>120</v>
      </c>
      <c r="E148" s="63" t="s">
        <v>91</v>
      </c>
      <c r="F148" s="95" t="s">
        <v>193</v>
      </c>
      <c r="G148" s="47" t="str">
        <f t="shared" si="1"/>
        <v>Breno</v>
      </c>
      <c r="H148" s="152" t="s">
        <v>224</v>
      </c>
      <c r="I148" s="74" t="s">
        <v>66</v>
      </c>
      <c r="J148" s="63" t="str">
        <f t="shared" si="4"/>
        <v>Não</v>
      </c>
      <c r="K148" s="467">
        <v>44503.0</v>
      </c>
      <c r="L148" s="194">
        <v>44602.0</v>
      </c>
      <c r="M148" s="81" t="s">
        <v>209</v>
      </c>
      <c r="N148" s="478">
        <v>0.015</v>
      </c>
      <c r="O148" s="63" t="s">
        <v>35</v>
      </c>
      <c r="P148" s="145">
        <v>0.1</v>
      </c>
      <c r="Q148" s="158"/>
      <c r="R148" s="158"/>
      <c r="S148" s="62" t="s">
        <v>194</v>
      </c>
      <c r="T148" s="22" t="s">
        <v>5127</v>
      </c>
      <c r="U148" s="95" t="s">
        <v>221</v>
      </c>
      <c r="V148" s="49" t="str">
        <f t="shared" si="3"/>
        <v>Encerrado</v>
      </c>
      <c r="W148" s="150"/>
      <c r="X148" s="150"/>
      <c r="Y148" s="81"/>
      <c r="Z148" s="81"/>
      <c r="AA148" s="81"/>
      <c r="AB148" s="30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476"/>
      <c r="AN148" s="476"/>
      <c r="AO148" s="476"/>
      <c r="AP148" s="96"/>
      <c r="AQ148" s="96"/>
      <c r="AR148" s="96"/>
      <c r="AS148" s="476"/>
      <c r="AT148" s="476"/>
      <c r="AU148" s="96"/>
      <c r="AV148" s="96"/>
      <c r="AW148" s="96"/>
      <c r="AX148" s="96"/>
      <c r="AY148" s="96"/>
      <c r="AZ148" s="96">
        <v>108242.92</v>
      </c>
      <c r="BA148" s="96">
        <v>108027.55</v>
      </c>
      <c r="BB148" s="96">
        <v>107323.97</v>
      </c>
      <c r="BC148" s="96">
        <v>109316.32</v>
      </c>
      <c r="BD148" s="96">
        <v>0.0</v>
      </c>
      <c r="BE148" s="96">
        <v>0.0</v>
      </c>
      <c r="BF148" s="96">
        <v>0.0</v>
      </c>
      <c r="BG148" s="96" t="s">
        <v>377</v>
      </c>
      <c r="BH148" s="96">
        <v>0.0</v>
      </c>
      <c r="BI148" s="96">
        <v>0.0</v>
      </c>
      <c r="BJ148" s="96">
        <v>0.0</v>
      </c>
      <c r="BK148" s="472">
        <v>0.0</v>
      </c>
      <c r="BL148" s="472">
        <v>0.0</v>
      </c>
      <c r="BM148" s="472">
        <v>0.0</v>
      </c>
      <c r="BN148" s="472">
        <v>0.0</v>
      </c>
      <c r="BO148" s="472">
        <v>0.0</v>
      </c>
      <c r="BP148" s="472">
        <v>0.0</v>
      </c>
      <c r="BQ148" s="472">
        <v>0.0</v>
      </c>
      <c r="BR148" s="472">
        <v>0.0</v>
      </c>
      <c r="BS148" s="472">
        <v>0.0</v>
      </c>
      <c r="BT148" s="472">
        <v>0.0</v>
      </c>
      <c r="BU148" s="472">
        <v>0.0</v>
      </c>
      <c r="BV148" s="472">
        <v>0.0</v>
      </c>
      <c r="BW148" s="472">
        <v>0.0</v>
      </c>
      <c r="BX148" s="472">
        <v>0.0</v>
      </c>
      <c r="BY148" s="472">
        <v>0.0</v>
      </c>
      <c r="BZ148" s="472">
        <v>0.0</v>
      </c>
      <c r="CA148" s="474">
        <v>0.0</v>
      </c>
      <c r="CB148" s="474">
        <v>0.0</v>
      </c>
      <c r="CC148" s="474">
        <v>0.0</v>
      </c>
      <c r="CD148" s="474">
        <v>0.0</v>
      </c>
      <c r="CE148" s="474">
        <v>0.0</v>
      </c>
      <c r="CF148" s="474">
        <v>0.0</v>
      </c>
      <c r="CG148" s="474">
        <v>0.0</v>
      </c>
      <c r="CH148" s="65">
        <v>0.0</v>
      </c>
      <c r="CI148" s="65">
        <v>0.0</v>
      </c>
      <c r="CJ148" s="65">
        <v>0.0</v>
      </c>
      <c r="CK148" s="65">
        <v>0.0</v>
      </c>
      <c r="CL148" s="65">
        <v>0.0</v>
      </c>
      <c r="CM148" s="65">
        <v>0.0</v>
      </c>
      <c r="CN148" s="65">
        <v>0.0</v>
      </c>
    </row>
    <row r="149" ht="15.75" customHeight="1">
      <c r="A149" s="462" t="s">
        <v>2346</v>
      </c>
      <c r="B149" s="176" t="s">
        <v>5125</v>
      </c>
      <c r="C149" s="141">
        <v>457613.0</v>
      </c>
      <c r="D149" s="63" t="s">
        <v>120</v>
      </c>
      <c r="E149" s="63" t="s">
        <v>91</v>
      </c>
      <c r="F149" s="95" t="s">
        <v>193</v>
      </c>
      <c r="G149" s="47" t="str">
        <f t="shared" si="1"/>
        <v>Breno</v>
      </c>
      <c r="H149" s="152" t="s">
        <v>224</v>
      </c>
      <c r="I149" s="74" t="s">
        <v>66</v>
      </c>
      <c r="J149" s="63" t="str">
        <f t="shared" si="4"/>
        <v>Não</v>
      </c>
      <c r="K149" s="467">
        <v>44503.0</v>
      </c>
      <c r="L149" s="194">
        <v>44602.0</v>
      </c>
      <c r="M149" s="81" t="s">
        <v>209</v>
      </c>
      <c r="N149" s="478">
        <v>0.015</v>
      </c>
      <c r="O149" s="63" t="s">
        <v>35</v>
      </c>
      <c r="P149" s="145">
        <v>0.1</v>
      </c>
      <c r="Q149" s="158"/>
      <c r="R149" s="158"/>
      <c r="S149" s="62" t="s">
        <v>194</v>
      </c>
      <c r="T149" s="22" t="s">
        <v>5127</v>
      </c>
      <c r="U149" s="95" t="s">
        <v>221</v>
      </c>
      <c r="V149" s="49" t="str">
        <f t="shared" si="3"/>
        <v>Encerrado</v>
      </c>
      <c r="W149" s="150"/>
      <c r="X149" s="150"/>
      <c r="Y149" s="81"/>
      <c r="Z149" s="81"/>
      <c r="AA149" s="81"/>
      <c r="AB149" s="30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476"/>
      <c r="AN149" s="476"/>
      <c r="AO149" s="476"/>
      <c r="AP149" s="96"/>
      <c r="AQ149" s="96"/>
      <c r="AR149" s="96"/>
      <c r="AS149" s="476"/>
      <c r="AT149" s="476"/>
      <c r="AU149" s="96"/>
      <c r="AV149" s="96"/>
      <c r="AW149" s="96"/>
      <c r="AX149" s="96"/>
      <c r="AY149" s="96"/>
      <c r="AZ149" s="96">
        <v>108242.92</v>
      </c>
      <c r="BA149" s="96">
        <v>108022.7</v>
      </c>
      <c r="BB149" s="96">
        <v>107296.08</v>
      </c>
      <c r="BC149" s="96">
        <v>109194.05</v>
      </c>
      <c r="BD149" s="96">
        <v>0.0</v>
      </c>
      <c r="BE149" s="96">
        <v>0.0</v>
      </c>
      <c r="BF149" s="96">
        <v>0.0</v>
      </c>
      <c r="BG149" s="96" t="s">
        <v>377</v>
      </c>
      <c r="BH149" s="96">
        <v>0.0</v>
      </c>
      <c r="BI149" s="96">
        <v>0.0</v>
      </c>
      <c r="BJ149" s="96">
        <v>0.0</v>
      </c>
      <c r="BK149" s="472">
        <v>0.0</v>
      </c>
      <c r="BL149" s="472">
        <v>0.0</v>
      </c>
      <c r="BM149" s="472">
        <v>0.0</v>
      </c>
      <c r="BN149" s="472">
        <v>0.0</v>
      </c>
      <c r="BO149" s="472">
        <v>0.0</v>
      </c>
      <c r="BP149" s="472">
        <v>0.0</v>
      </c>
      <c r="BQ149" s="472">
        <v>0.0</v>
      </c>
      <c r="BR149" s="472">
        <v>0.0</v>
      </c>
      <c r="BS149" s="472">
        <v>0.0</v>
      </c>
      <c r="BT149" s="472">
        <v>0.0</v>
      </c>
      <c r="BU149" s="472">
        <v>0.0</v>
      </c>
      <c r="BV149" s="472">
        <v>0.0</v>
      </c>
      <c r="BW149" s="472">
        <v>0.0</v>
      </c>
      <c r="BX149" s="472">
        <v>0.0</v>
      </c>
      <c r="BY149" s="472">
        <v>0.0</v>
      </c>
      <c r="BZ149" s="472">
        <v>0.0</v>
      </c>
      <c r="CA149" s="474">
        <v>0.0</v>
      </c>
      <c r="CB149" s="474">
        <v>0.0</v>
      </c>
      <c r="CC149" s="474">
        <v>0.0</v>
      </c>
      <c r="CD149" s="474">
        <v>0.0</v>
      </c>
      <c r="CE149" s="474">
        <v>0.0</v>
      </c>
      <c r="CF149" s="474">
        <v>0.0</v>
      </c>
      <c r="CG149" s="474">
        <v>0.0</v>
      </c>
      <c r="CH149" s="65">
        <v>0.0</v>
      </c>
      <c r="CI149" s="65">
        <v>0.0</v>
      </c>
      <c r="CJ149" s="65">
        <v>0.0</v>
      </c>
      <c r="CK149" s="65">
        <v>0.0</v>
      </c>
      <c r="CL149" s="65">
        <v>0.0</v>
      </c>
      <c r="CM149" s="65">
        <v>0.0</v>
      </c>
      <c r="CN149" s="65">
        <v>0.0</v>
      </c>
    </row>
    <row r="150" ht="15.75" customHeight="1">
      <c r="A150" s="462" t="s">
        <v>2346</v>
      </c>
      <c r="B150" s="176" t="s">
        <v>5125</v>
      </c>
      <c r="C150" s="141">
        <v>457618.0</v>
      </c>
      <c r="D150" s="63" t="s">
        <v>120</v>
      </c>
      <c r="E150" s="63" t="s">
        <v>91</v>
      </c>
      <c r="F150" s="95" t="s">
        <v>193</v>
      </c>
      <c r="G150" s="47" t="str">
        <f t="shared" si="1"/>
        <v>Breno</v>
      </c>
      <c r="H150" s="152" t="s">
        <v>224</v>
      </c>
      <c r="I150" s="74" t="s">
        <v>66</v>
      </c>
      <c r="J150" s="63" t="str">
        <f t="shared" si="4"/>
        <v>Não</v>
      </c>
      <c r="K150" s="467">
        <v>44503.0</v>
      </c>
      <c r="L150" s="194">
        <v>44602.0</v>
      </c>
      <c r="M150" s="81" t="s">
        <v>209</v>
      </c>
      <c r="N150" s="478">
        <v>0.015</v>
      </c>
      <c r="O150" s="63" t="s">
        <v>35</v>
      </c>
      <c r="P150" s="145">
        <v>0.1</v>
      </c>
      <c r="Q150" s="158"/>
      <c r="R150" s="158"/>
      <c r="S150" s="62" t="s">
        <v>194</v>
      </c>
      <c r="T150" s="22" t="s">
        <v>5127</v>
      </c>
      <c r="U150" s="95" t="s">
        <v>221</v>
      </c>
      <c r="V150" s="49" t="str">
        <f t="shared" si="3"/>
        <v>Encerrado</v>
      </c>
      <c r="W150" s="150"/>
      <c r="X150" s="150"/>
      <c r="Y150" s="81"/>
      <c r="Z150" s="81"/>
      <c r="AA150" s="81"/>
      <c r="AB150" s="30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476"/>
      <c r="AN150" s="476"/>
      <c r="AO150" s="476"/>
      <c r="AP150" s="96"/>
      <c r="AQ150" s="96"/>
      <c r="AR150" s="96"/>
      <c r="AS150" s="476"/>
      <c r="AT150" s="476"/>
      <c r="AU150" s="96"/>
      <c r="AV150" s="96"/>
      <c r="AW150" s="96"/>
      <c r="AX150" s="96"/>
      <c r="AY150" s="96"/>
      <c r="AZ150" s="96">
        <v>108242.92</v>
      </c>
      <c r="BA150" s="96">
        <v>108022.7</v>
      </c>
      <c r="BB150" s="96">
        <v>107320.46</v>
      </c>
      <c r="BC150" s="96">
        <v>109250.07</v>
      </c>
      <c r="BD150" s="96">
        <v>0.0</v>
      </c>
      <c r="BE150" s="96">
        <v>0.0</v>
      </c>
      <c r="BF150" s="96">
        <v>0.0</v>
      </c>
      <c r="BG150" s="96" t="s">
        <v>377</v>
      </c>
      <c r="BH150" s="96">
        <v>0.0</v>
      </c>
      <c r="BI150" s="96">
        <v>0.0</v>
      </c>
      <c r="BJ150" s="96">
        <v>0.0</v>
      </c>
      <c r="BK150" s="472">
        <v>0.0</v>
      </c>
      <c r="BL150" s="472">
        <v>0.0</v>
      </c>
      <c r="BM150" s="472">
        <v>0.0</v>
      </c>
      <c r="BN150" s="472">
        <v>0.0</v>
      </c>
      <c r="BO150" s="472">
        <v>0.0</v>
      </c>
      <c r="BP150" s="472">
        <v>0.0</v>
      </c>
      <c r="BQ150" s="472">
        <v>0.0</v>
      </c>
      <c r="BR150" s="472">
        <v>0.0</v>
      </c>
      <c r="BS150" s="472">
        <v>0.0</v>
      </c>
      <c r="BT150" s="472">
        <v>0.0</v>
      </c>
      <c r="BU150" s="472">
        <v>0.0</v>
      </c>
      <c r="BV150" s="472">
        <v>0.0</v>
      </c>
      <c r="BW150" s="472">
        <v>0.0</v>
      </c>
      <c r="BX150" s="472">
        <v>0.0</v>
      </c>
      <c r="BY150" s="472">
        <v>0.0</v>
      </c>
      <c r="BZ150" s="472">
        <v>0.0</v>
      </c>
      <c r="CA150" s="474">
        <v>0.0</v>
      </c>
      <c r="CB150" s="474">
        <v>0.0</v>
      </c>
      <c r="CC150" s="474">
        <v>0.0</v>
      </c>
      <c r="CD150" s="474">
        <v>0.0</v>
      </c>
      <c r="CE150" s="474">
        <v>0.0</v>
      </c>
      <c r="CF150" s="474">
        <v>0.0</v>
      </c>
      <c r="CG150" s="474">
        <v>0.0</v>
      </c>
      <c r="CH150" s="65">
        <v>0.0</v>
      </c>
      <c r="CI150" s="65">
        <v>0.0</v>
      </c>
      <c r="CJ150" s="65">
        <v>0.0</v>
      </c>
      <c r="CK150" s="65">
        <v>0.0</v>
      </c>
      <c r="CL150" s="65">
        <v>0.0</v>
      </c>
      <c r="CM150" s="65">
        <v>0.0</v>
      </c>
      <c r="CN150" s="65">
        <v>0.0</v>
      </c>
    </row>
    <row r="151" ht="15.75" customHeight="1">
      <c r="A151" s="462" t="s">
        <v>2346</v>
      </c>
      <c r="B151" s="50" t="s">
        <v>5187</v>
      </c>
      <c r="C151" s="141">
        <v>457618.0</v>
      </c>
      <c r="D151" s="63" t="s">
        <v>120</v>
      </c>
      <c r="E151" s="63" t="s">
        <v>91</v>
      </c>
      <c r="F151" s="62" t="s">
        <v>521</v>
      </c>
      <c r="G151" s="47" t="str">
        <f t="shared" si="1"/>
        <v>Breno</v>
      </c>
      <c r="H151" s="152" t="s">
        <v>224</v>
      </c>
      <c r="I151" s="74" t="s">
        <v>66</v>
      </c>
      <c r="J151" s="63" t="str">
        <f t="shared" si="4"/>
        <v>Não</v>
      </c>
      <c r="K151" s="194">
        <v>44333.0</v>
      </c>
      <c r="L151" s="557">
        <v>44512.0</v>
      </c>
      <c r="M151" s="81" t="s">
        <v>209</v>
      </c>
      <c r="N151" s="144">
        <v>0.015</v>
      </c>
      <c r="O151" s="63" t="s">
        <v>35</v>
      </c>
      <c r="P151" s="145">
        <v>0.1</v>
      </c>
      <c r="Q151" s="190"/>
      <c r="R151" s="190"/>
      <c r="S151" s="62" t="s">
        <v>194</v>
      </c>
      <c r="T151" s="22" t="s">
        <v>5192</v>
      </c>
      <c r="U151" s="62" t="s">
        <v>221</v>
      </c>
      <c r="V151" s="49" t="str">
        <f t="shared" si="3"/>
        <v>Encerrado</v>
      </c>
      <c r="W151" s="150"/>
      <c r="X151" s="150"/>
      <c r="Y151" s="81"/>
      <c r="Z151" s="81"/>
      <c r="AA151" s="81"/>
      <c r="AB151" s="30"/>
      <c r="AC151" s="476"/>
      <c r="AD151" s="476"/>
      <c r="AE151" s="476"/>
      <c r="AF151" s="476"/>
      <c r="AG151" s="476"/>
      <c r="AH151" s="476"/>
      <c r="AI151" s="476"/>
      <c r="AJ151" s="476"/>
      <c r="AK151" s="476"/>
      <c r="AL151" s="476"/>
      <c r="AM151" s="476"/>
      <c r="AN151" s="476"/>
      <c r="AO151" s="476"/>
      <c r="AP151" s="476"/>
      <c r="AQ151" s="476"/>
      <c r="AR151" s="476"/>
      <c r="AS151" s="476"/>
      <c r="AT151" s="476"/>
      <c r="AU151" s="93">
        <v>126233.28</v>
      </c>
      <c r="AV151" s="476">
        <v>126977.97</v>
      </c>
      <c r="AW151" s="476">
        <v>126214.79</v>
      </c>
      <c r="AX151" s="476">
        <v>124244.61</v>
      </c>
      <c r="AY151" s="476">
        <v>123200.24</v>
      </c>
      <c r="AZ151" s="476">
        <v>78769.12</v>
      </c>
      <c r="BA151" s="476">
        <v>3928.79</v>
      </c>
      <c r="BB151" s="476"/>
      <c r="BC151" s="476"/>
      <c r="BD151" s="476">
        <v>0.0</v>
      </c>
      <c r="BE151" s="476">
        <v>0.0</v>
      </c>
      <c r="BF151" s="476">
        <v>0.0</v>
      </c>
      <c r="BG151" s="476" t="s">
        <v>377</v>
      </c>
      <c r="BH151" s="476">
        <v>0.0</v>
      </c>
      <c r="BI151" s="476" t="s">
        <v>377</v>
      </c>
      <c r="BJ151" s="476">
        <v>0.0</v>
      </c>
      <c r="BK151" s="680">
        <v>0.0</v>
      </c>
      <c r="BL151" s="680">
        <v>0.0</v>
      </c>
      <c r="BM151" s="680">
        <v>0.0</v>
      </c>
      <c r="BN151" s="680">
        <v>0.0</v>
      </c>
      <c r="BO151" s="680">
        <v>0.0</v>
      </c>
      <c r="BP151" s="680">
        <v>0.0</v>
      </c>
      <c r="BQ151" s="680">
        <v>0.0</v>
      </c>
      <c r="BR151" s="680">
        <v>0.0</v>
      </c>
      <c r="BS151" s="472">
        <v>0.0</v>
      </c>
      <c r="BT151" s="472">
        <v>0.0</v>
      </c>
      <c r="BU151" s="472">
        <v>0.0</v>
      </c>
      <c r="BV151" s="472">
        <v>0.0</v>
      </c>
      <c r="BW151" s="472">
        <v>0.0</v>
      </c>
      <c r="BX151" s="472">
        <v>0.0</v>
      </c>
      <c r="BY151" s="472">
        <v>0.0</v>
      </c>
      <c r="BZ151" s="472">
        <v>0.0</v>
      </c>
      <c r="CA151" s="474">
        <v>0.0</v>
      </c>
      <c r="CB151" s="474">
        <v>0.0</v>
      </c>
      <c r="CC151" s="474">
        <v>0.0</v>
      </c>
      <c r="CD151" s="474">
        <v>0.0</v>
      </c>
      <c r="CE151" s="474">
        <v>0.0</v>
      </c>
      <c r="CF151" s="474">
        <v>0.0</v>
      </c>
      <c r="CG151" s="474">
        <v>0.0</v>
      </c>
      <c r="CH151" s="65">
        <v>0.0</v>
      </c>
      <c r="CI151" s="65">
        <v>0.0</v>
      </c>
      <c r="CJ151" s="65">
        <v>0.0</v>
      </c>
      <c r="CK151" s="65">
        <v>0.0</v>
      </c>
      <c r="CL151" s="65">
        <v>0.0</v>
      </c>
      <c r="CM151" s="65">
        <v>0.0</v>
      </c>
      <c r="CN151" s="65">
        <v>0.0</v>
      </c>
    </row>
    <row r="152" ht="15.75" customHeight="1">
      <c r="A152" s="462" t="s">
        <v>2346</v>
      </c>
      <c r="B152" s="477" t="s">
        <v>5208</v>
      </c>
      <c r="C152" s="141">
        <v>446642.0</v>
      </c>
      <c r="D152" s="63" t="s">
        <v>669</v>
      </c>
      <c r="E152" s="63" t="s">
        <v>199</v>
      </c>
      <c r="F152" s="81" t="s">
        <v>1228</v>
      </c>
      <c r="G152" s="47" t="str">
        <f t="shared" si="1"/>
        <v>Breno</v>
      </c>
      <c r="H152" s="152" t="s">
        <v>224</v>
      </c>
      <c r="I152" s="74" t="s">
        <v>66</v>
      </c>
      <c r="J152" s="63" t="str">
        <f t="shared" si="4"/>
        <v>Não</v>
      </c>
      <c r="K152" s="467">
        <v>43859.0</v>
      </c>
      <c r="L152" s="467">
        <v>44418.0</v>
      </c>
      <c r="M152" s="81" t="s">
        <v>34</v>
      </c>
      <c r="N152" s="478">
        <v>0.012</v>
      </c>
      <c r="O152" s="141" t="s">
        <v>66</v>
      </c>
      <c r="P152" s="145">
        <v>0.0</v>
      </c>
      <c r="Q152" s="158"/>
      <c r="R152" s="158"/>
      <c r="S152" s="62" t="s">
        <v>194</v>
      </c>
      <c r="T152" s="30" t="s">
        <v>5212</v>
      </c>
      <c r="U152" s="81" t="s">
        <v>199</v>
      </c>
      <c r="V152" s="49" t="str">
        <f t="shared" si="3"/>
        <v>Encerrado</v>
      </c>
      <c r="W152" s="150"/>
      <c r="X152" s="150"/>
      <c r="Y152" s="81"/>
      <c r="Z152" s="81"/>
      <c r="AA152" s="81"/>
      <c r="AB152" s="30"/>
      <c r="AC152" s="96">
        <v>298537.83</v>
      </c>
      <c r="AD152" s="96">
        <v>295829.91</v>
      </c>
      <c r="AE152" s="96">
        <v>444392.84</v>
      </c>
      <c r="AF152" s="96">
        <v>447603.67</v>
      </c>
      <c r="AG152" s="96">
        <v>452429.96</v>
      </c>
      <c r="AH152" s="96">
        <v>457308.16</v>
      </c>
      <c r="AI152" s="96">
        <v>461039.38</v>
      </c>
      <c r="AJ152" s="96">
        <v>455980.92</v>
      </c>
      <c r="AK152" s="96">
        <v>450328.11</v>
      </c>
      <c r="AL152" s="96">
        <v>449812.92</v>
      </c>
      <c r="AM152" s="96">
        <v>465430.02</v>
      </c>
      <c r="AN152" s="96">
        <v>470101.02</v>
      </c>
      <c r="AO152" s="96">
        <v>467671.67</v>
      </c>
      <c r="AP152" s="96">
        <v>460128.81</v>
      </c>
      <c r="AQ152" s="96">
        <v>456835.51</v>
      </c>
      <c r="AR152" s="96">
        <v>460257.45</v>
      </c>
      <c r="AS152" s="96">
        <v>464158.34</v>
      </c>
      <c r="AT152" s="96">
        <v>464393.07</v>
      </c>
      <c r="AU152" s="96">
        <v>468957.11</v>
      </c>
      <c r="AV152" s="96">
        <v>468601.48</v>
      </c>
      <c r="AW152" s="96">
        <v>467689.84</v>
      </c>
      <c r="AX152" s="96">
        <v>467802.98</v>
      </c>
      <c r="AY152" s="96">
        <v>281479.77</v>
      </c>
      <c r="AZ152" s="96"/>
      <c r="BA152" s="96"/>
      <c r="BB152" s="96"/>
      <c r="BC152" s="96"/>
      <c r="BD152" s="96">
        <v>0.0</v>
      </c>
      <c r="BE152" s="96">
        <v>0.0</v>
      </c>
      <c r="BF152" s="96">
        <v>0.0</v>
      </c>
      <c r="BG152" s="96" t="s">
        <v>377</v>
      </c>
      <c r="BH152" s="96">
        <v>0.0</v>
      </c>
      <c r="BI152" s="96" t="s">
        <v>377</v>
      </c>
      <c r="BJ152" s="96">
        <v>0.0</v>
      </c>
      <c r="BK152" s="472">
        <v>0.0</v>
      </c>
      <c r="BL152" s="472">
        <v>0.0</v>
      </c>
      <c r="BM152" s="472">
        <v>0.0</v>
      </c>
      <c r="BN152" s="472">
        <v>0.0</v>
      </c>
      <c r="BO152" s="472">
        <v>0.0</v>
      </c>
      <c r="BP152" s="472">
        <v>0.0</v>
      </c>
      <c r="BQ152" s="472">
        <v>0.0</v>
      </c>
      <c r="BR152" s="472">
        <v>0.0</v>
      </c>
      <c r="BS152" s="472">
        <v>0.0</v>
      </c>
      <c r="BT152" s="472">
        <v>0.0</v>
      </c>
      <c r="BU152" s="472">
        <v>0.0</v>
      </c>
      <c r="BV152" s="472">
        <v>0.0</v>
      </c>
      <c r="BW152" s="472">
        <v>0.0</v>
      </c>
      <c r="BX152" s="472">
        <v>0.0</v>
      </c>
      <c r="BY152" s="472">
        <v>0.0</v>
      </c>
      <c r="BZ152" s="472">
        <v>0.0</v>
      </c>
      <c r="CA152" s="474">
        <v>0.0</v>
      </c>
      <c r="CB152" s="474">
        <v>0.0</v>
      </c>
      <c r="CC152" s="474">
        <v>0.0</v>
      </c>
      <c r="CD152" s="474">
        <v>0.0</v>
      </c>
      <c r="CE152" s="474">
        <v>0.0</v>
      </c>
      <c r="CF152" s="474">
        <v>0.0</v>
      </c>
      <c r="CG152" s="474">
        <v>0.0</v>
      </c>
      <c r="CH152" s="65">
        <v>0.0</v>
      </c>
      <c r="CI152" s="65">
        <v>0.0</v>
      </c>
      <c r="CJ152" s="65">
        <v>0.0</v>
      </c>
      <c r="CK152" s="65">
        <v>0.0</v>
      </c>
      <c r="CL152" s="65">
        <v>0.0</v>
      </c>
      <c r="CM152" s="65">
        <v>0.0</v>
      </c>
      <c r="CN152" s="65">
        <v>0.0</v>
      </c>
    </row>
    <row r="153" ht="15.75" customHeight="1">
      <c r="A153" s="462" t="s">
        <v>2346</v>
      </c>
      <c r="B153" s="510" t="s">
        <v>5150</v>
      </c>
      <c r="C153" s="141">
        <v>319476.0</v>
      </c>
      <c r="D153" s="63" t="s">
        <v>120</v>
      </c>
      <c r="E153" s="63" t="s">
        <v>199</v>
      </c>
      <c r="F153" s="81" t="s">
        <v>290</v>
      </c>
      <c r="G153" s="47" t="str">
        <f t="shared" si="1"/>
        <v>Breno</v>
      </c>
      <c r="H153" s="152" t="s">
        <v>224</v>
      </c>
      <c r="I153" s="74" t="s">
        <v>66</v>
      </c>
      <c r="J153" s="63" t="str">
        <f t="shared" si="4"/>
        <v>Não</v>
      </c>
      <c r="K153" s="480">
        <v>43420.0</v>
      </c>
      <c r="L153" s="467">
        <v>44309.0</v>
      </c>
      <c r="M153" s="81" t="s">
        <v>361</v>
      </c>
      <c r="N153" s="478">
        <v>0.01</v>
      </c>
      <c r="O153" s="63" t="s">
        <v>35</v>
      </c>
      <c r="P153" s="145">
        <v>0.2</v>
      </c>
      <c r="Q153" s="683"/>
      <c r="R153" s="158" t="s">
        <v>5235</v>
      </c>
      <c r="S153" s="62" t="s">
        <v>194</v>
      </c>
      <c r="T153" s="30" t="s">
        <v>5149</v>
      </c>
      <c r="U153" s="81" t="s">
        <v>199</v>
      </c>
      <c r="V153" s="49" t="str">
        <f t="shared" si="3"/>
        <v>Encerrado</v>
      </c>
      <c r="W153" s="150"/>
      <c r="X153" s="150"/>
      <c r="Y153" s="81"/>
      <c r="Z153" s="81"/>
      <c r="AA153" s="81"/>
      <c r="AB153" s="30"/>
      <c r="AC153" s="96">
        <v>184910.07</v>
      </c>
      <c r="AD153" s="96">
        <v>179564.56</v>
      </c>
      <c r="AE153" s="96">
        <v>164786.12</v>
      </c>
      <c r="AF153" s="96">
        <v>146437.91</v>
      </c>
      <c r="AG153" s="96">
        <v>148675.23</v>
      </c>
      <c r="AH153" s="96">
        <v>151484.65</v>
      </c>
      <c r="AI153" s="96">
        <v>154265.85</v>
      </c>
      <c r="AJ153" s="96">
        <v>150579.97</v>
      </c>
      <c r="AK153" s="96">
        <v>148239.73</v>
      </c>
      <c r="AL153" s="96">
        <v>147105.81</v>
      </c>
      <c r="AM153" s="96">
        <v>154348.13</v>
      </c>
      <c r="AN153" s="96">
        <v>158193.51</v>
      </c>
      <c r="AO153" s="96">
        <v>154063.5</v>
      </c>
      <c r="AP153" s="96">
        <v>149214.67</v>
      </c>
      <c r="AQ153" s="96">
        <v>147362.33</v>
      </c>
      <c r="AR153" s="96">
        <v>152841.38</v>
      </c>
      <c r="AS153" s="96">
        <v>79.42</v>
      </c>
      <c r="AT153" s="96">
        <v>79.42</v>
      </c>
      <c r="AU153" s="96"/>
      <c r="AV153" s="96">
        <v>28.09</v>
      </c>
      <c r="AW153" s="96">
        <v>28.09</v>
      </c>
      <c r="AX153" s="96">
        <v>28.09</v>
      </c>
      <c r="AY153" s="96">
        <v>28.09</v>
      </c>
      <c r="AZ153" s="96">
        <v>28.09</v>
      </c>
      <c r="BA153" s="96">
        <v>28.09</v>
      </c>
      <c r="BB153" s="96">
        <v>28.09</v>
      </c>
      <c r="BC153" s="96"/>
      <c r="BD153" s="96">
        <v>0.0</v>
      </c>
      <c r="BE153" s="96">
        <v>0.0</v>
      </c>
      <c r="BF153" s="96">
        <v>0.0</v>
      </c>
      <c r="BG153" s="96" t="s">
        <v>377</v>
      </c>
      <c r="BH153" s="96">
        <v>0.0</v>
      </c>
      <c r="BI153" s="96" t="s">
        <v>377</v>
      </c>
      <c r="BJ153" s="96">
        <v>0.0</v>
      </c>
      <c r="BK153" s="472">
        <v>0.0</v>
      </c>
      <c r="BL153" s="472">
        <v>0.0</v>
      </c>
      <c r="BM153" s="472">
        <v>0.0</v>
      </c>
      <c r="BN153" s="472">
        <v>0.0</v>
      </c>
      <c r="BO153" s="472">
        <v>0.0</v>
      </c>
      <c r="BP153" s="472">
        <v>0.0</v>
      </c>
      <c r="BQ153" s="472">
        <v>0.0</v>
      </c>
      <c r="BR153" s="472">
        <v>0.0</v>
      </c>
      <c r="BS153" s="472">
        <v>0.0</v>
      </c>
      <c r="BT153" s="472">
        <v>0.0</v>
      </c>
      <c r="BU153" s="472">
        <v>0.0</v>
      </c>
      <c r="BV153" s="472">
        <v>0.0</v>
      </c>
      <c r="BW153" s="472">
        <v>0.0</v>
      </c>
      <c r="BX153" s="472">
        <v>0.0</v>
      </c>
      <c r="BY153" s="472">
        <v>0.0</v>
      </c>
      <c r="BZ153" s="472">
        <v>0.0</v>
      </c>
      <c r="CA153" s="474">
        <v>0.0</v>
      </c>
      <c r="CB153" s="474">
        <v>0.0</v>
      </c>
      <c r="CC153" s="474">
        <v>0.0</v>
      </c>
      <c r="CD153" s="474">
        <v>0.0</v>
      </c>
      <c r="CE153" s="474">
        <v>0.0</v>
      </c>
      <c r="CF153" s="474">
        <v>0.0</v>
      </c>
      <c r="CG153" s="474">
        <v>0.0</v>
      </c>
      <c r="CH153" s="65">
        <v>0.0</v>
      </c>
      <c r="CI153" s="65">
        <v>0.0</v>
      </c>
      <c r="CJ153" s="65">
        <v>0.0</v>
      </c>
      <c r="CK153" s="65">
        <v>0.0</v>
      </c>
      <c r="CL153" s="65">
        <v>0.0</v>
      </c>
      <c r="CM153" s="65">
        <v>0.0</v>
      </c>
      <c r="CN153" s="65">
        <v>0.0</v>
      </c>
    </row>
    <row r="154" ht="15.75" customHeight="1">
      <c r="A154" s="462" t="s">
        <v>2346</v>
      </c>
      <c r="B154" s="50" t="s">
        <v>5251</v>
      </c>
      <c r="C154" s="141">
        <v>466570.0</v>
      </c>
      <c r="D154" s="63" t="s">
        <v>120</v>
      </c>
      <c r="E154" s="63" t="s">
        <v>91</v>
      </c>
      <c r="F154" s="63" t="s">
        <v>521</v>
      </c>
      <c r="G154" s="47" t="str">
        <f t="shared" si="1"/>
        <v>Breno</v>
      </c>
      <c r="H154" s="152" t="s">
        <v>224</v>
      </c>
      <c r="I154" s="74" t="s">
        <v>66</v>
      </c>
      <c r="J154" s="63" t="str">
        <f t="shared" si="4"/>
        <v>Não</v>
      </c>
      <c r="K154" s="143">
        <v>44321.0</v>
      </c>
      <c r="L154" s="467">
        <v>44950.0</v>
      </c>
      <c r="M154" s="81" t="s">
        <v>209</v>
      </c>
      <c r="N154" s="144">
        <v>0.015</v>
      </c>
      <c r="O154" s="63" t="s">
        <v>35</v>
      </c>
      <c r="P154" s="145">
        <v>0.1</v>
      </c>
      <c r="Q154" s="70"/>
      <c r="R154" s="70"/>
      <c r="S154" s="62" t="s">
        <v>194</v>
      </c>
      <c r="T154" s="22" t="s">
        <v>5257</v>
      </c>
      <c r="U154" s="95" t="s">
        <v>221</v>
      </c>
      <c r="V154" s="49" t="str">
        <f t="shared" si="3"/>
        <v>Encerrado</v>
      </c>
      <c r="W154" s="150"/>
      <c r="X154" s="150"/>
      <c r="Y154" s="30" t="s">
        <v>244</v>
      </c>
      <c r="Z154" s="81"/>
      <c r="AA154" s="81"/>
      <c r="AB154" s="30"/>
      <c r="AC154" s="476"/>
      <c r="AD154" s="476"/>
      <c r="AE154" s="476"/>
      <c r="AF154" s="476"/>
      <c r="AG154" s="476"/>
      <c r="AH154" s="476"/>
      <c r="AI154" s="476"/>
      <c r="AJ154" s="476"/>
      <c r="AK154" s="476"/>
      <c r="AL154" s="476"/>
      <c r="AM154" s="476"/>
      <c r="AN154" s="476"/>
      <c r="AO154" s="476"/>
      <c r="AP154" s="96"/>
      <c r="AQ154" s="471"/>
      <c r="AR154" s="471"/>
      <c r="AS154" s="471"/>
      <c r="AT154" s="471"/>
      <c r="AU154" s="471">
        <v>173074.87</v>
      </c>
      <c r="AV154" s="96">
        <v>176844.78</v>
      </c>
      <c r="AW154" s="96">
        <v>179531.08</v>
      </c>
      <c r="AX154" s="96">
        <v>181313.76</v>
      </c>
      <c r="AY154" s="96">
        <v>166132.23</v>
      </c>
      <c r="AZ154" s="96">
        <v>176615.85</v>
      </c>
      <c r="BA154" s="96">
        <v>175135.7</v>
      </c>
      <c r="BB154" s="96">
        <v>174838.5</v>
      </c>
      <c r="BC154" s="96">
        <v>178412.48</v>
      </c>
      <c r="BD154" s="96">
        <v>48891.78</v>
      </c>
      <c r="BE154" s="96">
        <v>39678.14</v>
      </c>
      <c r="BF154" s="96">
        <v>38372.31</v>
      </c>
      <c r="BG154" s="472">
        <v>37602.08</v>
      </c>
      <c r="BH154" s="472">
        <v>0.0</v>
      </c>
      <c r="BI154" s="472">
        <v>36710.99</v>
      </c>
      <c r="BJ154" s="472">
        <v>36794.17</v>
      </c>
      <c r="BK154" s="472">
        <v>37751.33</v>
      </c>
      <c r="BL154" s="472">
        <v>26846.27</v>
      </c>
      <c r="BM154" s="472">
        <v>27952.64</v>
      </c>
      <c r="BN154" s="472">
        <v>28384.11</v>
      </c>
      <c r="BO154" s="472">
        <v>-36.62</v>
      </c>
      <c r="BP154" s="472">
        <v>0.0</v>
      </c>
      <c r="BQ154" s="472">
        <v>22.34</v>
      </c>
      <c r="BR154" s="472">
        <v>22.34</v>
      </c>
      <c r="BS154" s="472">
        <v>22.34</v>
      </c>
      <c r="BT154" s="472">
        <v>0.0</v>
      </c>
      <c r="BU154" s="472">
        <v>0.0</v>
      </c>
      <c r="BV154" s="472">
        <v>0.0</v>
      </c>
      <c r="BW154" s="472">
        <v>0.0</v>
      </c>
      <c r="BX154" s="472">
        <v>0.0</v>
      </c>
      <c r="BY154" s="472">
        <v>0.0</v>
      </c>
      <c r="BZ154" s="472">
        <v>0.0</v>
      </c>
      <c r="CA154" s="474">
        <v>0.0</v>
      </c>
      <c r="CB154" s="474">
        <v>0.0</v>
      </c>
      <c r="CC154" s="474">
        <v>0.0</v>
      </c>
      <c r="CD154" s="474">
        <v>0.0</v>
      </c>
      <c r="CE154" s="474">
        <v>0.0</v>
      </c>
      <c r="CF154" s="474">
        <v>0.0</v>
      </c>
      <c r="CG154" s="474">
        <v>0.0</v>
      </c>
      <c r="CH154" s="65">
        <v>0.0</v>
      </c>
      <c r="CI154" s="65">
        <v>0.0</v>
      </c>
      <c r="CJ154" s="65">
        <v>0.0</v>
      </c>
      <c r="CK154" s="65">
        <v>0.0</v>
      </c>
      <c r="CL154" s="65">
        <v>0.0</v>
      </c>
      <c r="CM154" s="65">
        <v>0.0</v>
      </c>
      <c r="CN154" s="65">
        <v>0.0</v>
      </c>
    </row>
    <row r="155" ht="15.75" customHeight="1">
      <c r="A155" s="462" t="s">
        <v>2346</v>
      </c>
      <c r="B155" s="50" t="s">
        <v>5274</v>
      </c>
      <c r="C155" s="141">
        <v>457787.0</v>
      </c>
      <c r="D155" s="63" t="s">
        <v>120</v>
      </c>
      <c r="E155" s="63" t="s">
        <v>91</v>
      </c>
      <c r="F155" s="81" t="s">
        <v>193</v>
      </c>
      <c r="G155" s="47" t="str">
        <f t="shared" si="1"/>
        <v>Breno</v>
      </c>
      <c r="H155" s="152" t="s">
        <v>224</v>
      </c>
      <c r="I155" s="74" t="s">
        <v>66</v>
      </c>
      <c r="J155" s="63" t="str">
        <f t="shared" si="4"/>
        <v>Não</v>
      </c>
      <c r="K155" s="467">
        <v>44319.0</v>
      </c>
      <c r="L155" s="557">
        <v>44487.0</v>
      </c>
      <c r="M155" s="81" t="s">
        <v>361</v>
      </c>
      <c r="N155" s="478">
        <v>0.02</v>
      </c>
      <c r="O155" s="63" t="s">
        <v>35</v>
      </c>
      <c r="P155" s="145">
        <v>0.2</v>
      </c>
      <c r="Q155" s="158"/>
      <c r="R155" s="158"/>
      <c r="S155" s="62" t="s">
        <v>194</v>
      </c>
      <c r="T155" s="22" t="s">
        <v>5281</v>
      </c>
      <c r="U155" s="95" t="s">
        <v>221</v>
      </c>
      <c r="V155" s="49" t="str">
        <f t="shared" si="3"/>
        <v>Encerrado</v>
      </c>
      <c r="W155" s="150"/>
      <c r="X155" s="150"/>
      <c r="Y155" s="81"/>
      <c r="Z155" s="81"/>
      <c r="AA155" s="81"/>
      <c r="AB155" s="30"/>
      <c r="AC155" s="476"/>
      <c r="AD155" s="476"/>
      <c r="AE155" s="476"/>
      <c r="AF155" s="476"/>
      <c r="AG155" s="476"/>
      <c r="AH155" s="476"/>
      <c r="AI155" s="476"/>
      <c r="AJ155" s="476"/>
      <c r="AK155" s="476"/>
      <c r="AL155" s="476"/>
      <c r="AM155" s="476"/>
      <c r="AN155" s="476"/>
      <c r="AO155" s="476"/>
      <c r="AP155" s="96"/>
      <c r="AQ155" s="96"/>
      <c r="AR155" s="96"/>
      <c r="AS155" s="96"/>
      <c r="AT155" s="96"/>
      <c r="AU155" s="96">
        <v>184854.58</v>
      </c>
      <c r="AV155" s="96">
        <v>183521.13</v>
      </c>
      <c r="AW155" s="96">
        <v>180756.61</v>
      </c>
      <c r="AX155" s="96">
        <v>187906.7</v>
      </c>
      <c r="AY155" s="96">
        <v>168203.81</v>
      </c>
      <c r="AZ155" s="96"/>
      <c r="BA155" s="96"/>
      <c r="BB155" s="96"/>
      <c r="BC155" s="96"/>
      <c r="BD155" s="96">
        <v>0.0</v>
      </c>
      <c r="BE155" s="96">
        <v>0.0</v>
      </c>
      <c r="BF155" s="96">
        <v>0.0</v>
      </c>
      <c r="BG155" s="96" t="s">
        <v>377</v>
      </c>
      <c r="BH155" s="96">
        <v>0.0</v>
      </c>
      <c r="BI155" s="96" t="s">
        <v>377</v>
      </c>
      <c r="BJ155" s="96">
        <v>0.0</v>
      </c>
      <c r="BK155" s="472">
        <v>0.0</v>
      </c>
      <c r="BL155" s="472">
        <v>0.0</v>
      </c>
      <c r="BM155" s="472">
        <v>0.0</v>
      </c>
      <c r="BN155" s="472">
        <v>0.0</v>
      </c>
      <c r="BO155" s="472">
        <v>0.0</v>
      </c>
      <c r="BP155" s="472">
        <v>0.0</v>
      </c>
      <c r="BQ155" s="472">
        <v>0.0</v>
      </c>
      <c r="BR155" s="472">
        <v>0.0</v>
      </c>
      <c r="BS155" s="472">
        <v>0.0</v>
      </c>
      <c r="BT155" s="472">
        <v>0.0</v>
      </c>
      <c r="BU155" s="472">
        <v>0.0</v>
      </c>
      <c r="BV155" s="472">
        <v>0.0</v>
      </c>
      <c r="BW155" s="472">
        <v>0.0</v>
      </c>
      <c r="BX155" s="472">
        <v>0.0</v>
      </c>
      <c r="BY155" s="472">
        <v>0.0</v>
      </c>
      <c r="BZ155" s="472">
        <v>0.0</v>
      </c>
      <c r="CA155" s="474">
        <v>0.0</v>
      </c>
      <c r="CB155" s="474">
        <v>0.0</v>
      </c>
      <c r="CC155" s="474">
        <v>0.0</v>
      </c>
      <c r="CD155" s="474">
        <v>0.0</v>
      </c>
      <c r="CE155" s="474">
        <v>0.0</v>
      </c>
      <c r="CF155" s="474">
        <v>0.0</v>
      </c>
      <c r="CG155" s="474">
        <v>0.0</v>
      </c>
      <c r="CH155" s="65">
        <v>0.0</v>
      </c>
      <c r="CI155" s="65">
        <v>0.0</v>
      </c>
      <c r="CJ155" s="65">
        <v>0.0</v>
      </c>
      <c r="CK155" s="65">
        <v>0.0</v>
      </c>
      <c r="CL155" s="65">
        <v>0.0</v>
      </c>
      <c r="CM155" s="65">
        <v>0.0</v>
      </c>
      <c r="CN155" s="65">
        <v>0.0</v>
      </c>
    </row>
    <row r="156" ht="15.75" customHeight="1">
      <c r="A156" s="462" t="s">
        <v>2346</v>
      </c>
      <c r="B156" s="462" t="s">
        <v>894</v>
      </c>
      <c r="C156" s="141">
        <v>47285.0</v>
      </c>
      <c r="D156" s="63" t="s">
        <v>120</v>
      </c>
      <c r="E156" s="63" t="s">
        <v>91</v>
      </c>
      <c r="F156" s="81" t="s">
        <v>193</v>
      </c>
      <c r="G156" s="47" t="str">
        <f t="shared" si="1"/>
        <v>Breno</v>
      </c>
      <c r="H156" s="152" t="s">
        <v>295</v>
      </c>
      <c r="I156" s="49" t="s">
        <v>382</v>
      </c>
      <c r="J156" s="63" t="str">
        <f t="shared" si="4"/>
        <v>Sim</v>
      </c>
      <c r="K156" s="143">
        <v>44665.0</v>
      </c>
      <c r="L156" s="81"/>
      <c r="M156" s="81" t="s">
        <v>361</v>
      </c>
      <c r="N156" s="464">
        <v>0.02</v>
      </c>
      <c r="O156" s="63" t="s">
        <v>35</v>
      </c>
      <c r="P156" s="145">
        <v>0.2</v>
      </c>
      <c r="Q156" s="153" t="s">
        <v>899</v>
      </c>
      <c r="R156" s="158"/>
      <c r="S156" s="62" t="s">
        <v>194</v>
      </c>
      <c r="T156" s="141" t="s">
        <v>900</v>
      </c>
      <c r="U156" s="81" t="s">
        <v>221</v>
      </c>
      <c r="V156" s="49" t="str">
        <f t="shared" si="3"/>
        <v>Ativo</v>
      </c>
      <c r="W156" s="150"/>
      <c r="X156" s="150"/>
      <c r="Y156" s="30" t="s">
        <v>244</v>
      </c>
      <c r="Z156" s="81"/>
      <c r="AA156" s="467">
        <v>44665.0</v>
      </c>
      <c r="AB156" s="30">
        <v>4.9075100003734E13</v>
      </c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471"/>
      <c r="AR156" s="471"/>
      <c r="AS156" s="471"/>
      <c r="AT156" s="471"/>
      <c r="AU156" s="471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>
        <v>100590.39</v>
      </c>
      <c r="BF156" s="96">
        <v>97218.47</v>
      </c>
      <c r="BG156" s="472">
        <v>96479.49</v>
      </c>
      <c r="BH156" s="472">
        <v>77324.62</v>
      </c>
      <c r="BI156" s="472">
        <v>79143.88</v>
      </c>
      <c r="BJ156" s="472">
        <v>80219.34</v>
      </c>
      <c r="BK156" s="472">
        <v>70988.98</v>
      </c>
      <c r="BL156" s="472">
        <v>70740.02</v>
      </c>
      <c r="BM156" s="472">
        <v>73438.32</v>
      </c>
      <c r="BN156" s="472">
        <v>73783.43</v>
      </c>
      <c r="BO156" s="472">
        <v>174792.84</v>
      </c>
      <c r="BP156" s="472">
        <v>174692.91</v>
      </c>
      <c r="BQ156" s="472">
        <v>115281.75</v>
      </c>
      <c r="BR156" s="472">
        <v>114876.34</v>
      </c>
      <c r="BS156" s="472">
        <v>96957.85</v>
      </c>
      <c r="BT156" s="472">
        <v>100492.71</v>
      </c>
      <c r="BU156" s="472">
        <v>90120.23</v>
      </c>
      <c r="BV156" s="472">
        <v>89785.03</v>
      </c>
      <c r="BW156" s="472">
        <v>77146.36</v>
      </c>
      <c r="BX156" s="472">
        <v>32046.63</v>
      </c>
      <c r="BY156" s="472">
        <v>32051.94</v>
      </c>
      <c r="BZ156" s="472">
        <v>32567.94</v>
      </c>
      <c r="CA156" s="474">
        <v>12346.71</v>
      </c>
      <c r="CB156" s="474">
        <v>6382.66</v>
      </c>
      <c r="CC156" s="474">
        <v>6454.34</v>
      </c>
      <c r="CD156" s="474">
        <v>90.89</v>
      </c>
      <c r="CE156" s="474">
        <v>0.0</v>
      </c>
      <c r="CF156" s="474">
        <v>76.5</v>
      </c>
      <c r="CG156" s="474">
        <v>76.5</v>
      </c>
      <c r="CH156" s="65">
        <v>76.5</v>
      </c>
      <c r="CI156" s="65">
        <v>68.46</v>
      </c>
      <c r="CJ156" s="65">
        <v>68.46</v>
      </c>
      <c r="CK156" s="65">
        <v>53.88</v>
      </c>
      <c r="CL156" s="65">
        <v>77.28</v>
      </c>
      <c r="CM156" s="65">
        <v>77.28</v>
      </c>
      <c r="CN156" s="65">
        <v>77.28</v>
      </c>
    </row>
    <row r="157" ht="15.75" customHeight="1">
      <c r="A157" s="462" t="s">
        <v>2346</v>
      </c>
      <c r="B157" s="462" t="s">
        <v>5066</v>
      </c>
      <c r="C157" s="141">
        <v>434550.0</v>
      </c>
      <c r="D157" s="63" t="s">
        <v>669</v>
      </c>
      <c r="E157" s="63" t="s">
        <v>199</v>
      </c>
      <c r="F157" s="63" t="s">
        <v>1228</v>
      </c>
      <c r="G157" s="47" t="str">
        <f t="shared" si="1"/>
        <v>Breno</v>
      </c>
      <c r="H157" s="142" t="s">
        <v>295</v>
      </c>
      <c r="I157" s="49" t="s">
        <v>382</v>
      </c>
      <c r="J157" s="63" t="str">
        <f t="shared" si="4"/>
        <v>Sim</v>
      </c>
      <c r="K157" s="143">
        <v>43703.0</v>
      </c>
      <c r="L157" s="81"/>
      <c r="M157" s="81" t="s">
        <v>209</v>
      </c>
      <c r="N157" s="464">
        <v>0.01</v>
      </c>
      <c r="O157" s="63" t="s">
        <v>35</v>
      </c>
      <c r="P157" s="145">
        <v>0.1</v>
      </c>
      <c r="Q157" s="158" t="s">
        <v>492</v>
      </c>
      <c r="R157" s="160" t="s">
        <v>5315</v>
      </c>
      <c r="S157" s="62" t="s">
        <v>194</v>
      </c>
      <c r="T157" s="141" t="s">
        <v>5318</v>
      </c>
      <c r="U157" s="81" t="s">
        <v>54</v>
      </c>
      <c r="V157" s="49" t="str">
        <f t="shared" si="3"/>
        <v>Inativo</v>
      </c>
      <c r="W157" s="150"/>
      <c r="X157" s="150"/>
      <c r="Y157" s="30" t="s">
        <v>244</v>
      </c>
      <c r="Z157" s="81"/>
      <c r="AA157" s="467">
        <v>43703.0</v>
      </c>
      <c r="AB157" s="30">
        <v>4.9075100003742E13</v>
      </c>
      <c r="AC157" s="96">
        <v>1230285.87</v>
      </c>
      <c r="AD157" s="96">
        <v>1196668.03</v>
      </c>
      <c r="AE157" s="96">
        <v>1123936.0</v>
      </c>
      <c r="AF157" s="96">
        <v>1019910.22</v>
      </c>
      <c r="AG157" s="96">
        <v>1018782.82</v>
      </c>
      <c r="AH157" s="96">
        <v>924214.59</v>
      </c>
      <c r="AI157" s="96">
        <v>941268.72</v>
      </c>
      <c r="AJ157" s="96">
        <v>708730.57</v>
      </c>
      <c r="AK157" s="96">
        <v>701627.31</v>
      </c>
      <c r="AL157" s="96">
        <v>689579.16</v>
      </c>
      <c r="AM157" s="96">
        <v>693113.96</v>
      </c>
      <c r="AN157" s="96">
        <v>688903.98</v>
      </c>
      <c r="AO157" s="96">
        <v>467672.88</v>
      </c>
      <c r="AP157" s="96">
        <v>461203.04</v>
      </c>
      <c r="AQ157" s="471">
        <v>459132.37</v>
      </c>
      <c r="AR157" s="471">
        <v>443380.61</v>
      </c>
      <c r="AS157" s="471">
        <v>428822.88</v>
      </c>
      <c r="AT157" s="471">
        <v>428241.5</v>
      </c>
      <c r="AU157" s="471">
        <v>305448.17</v>
      </c>
      <c r="AV157" s="96">
        <v>312990.56</v>
      </c>
      <c r="AW157" s="96">
        <v>288181.64</v>
      </c>
      <c r="AX157" s="96">
        <v>270133.05</v>
      </c>
      <c r="AY157" s="96">
        <v>243979.55</v>
      </c>
      <c r="AZ157" s="96">
        <v>233001.21</v>
      </c>
      <c r="BA157" s="96">
        <v>226795.52</v>
      </c>
      <c r="BB157" s="96">
        <v>203065.1</v>
      </c>
      <c r="BC157" s="96">
        <v>205481.9</v>
      </c>
      <c r="BD157" s="96">
        <v>202842.3</v>
      </c>
      <c r="BE157" s="96">
        <v>196857.42</v>
      </c>
      <c r="BF157" s="96">
        <v>189865.69</v>
      </c>
      <c r="BG157" s="472">
        <v>156461.71</v>
      </c>
      <c r="BH157" s="472">
        <v>9233.27</v>
      </c>
      <c r="BI157" s="472">
        <v>9708.43</v>
      </c>
      <c r="BJ157" s="472">
        <v>10329.35</v>
      </c>
      <c r="BK157" s="472">
        <v>10303.25</v>
      </c>
      <c r="BL157" s="472">
        <v>10693.02</v>
      </c>
      <c r="BM157" s="472">
        <v>998.28</v>
      </c>
      <c r="BN157" s="472">
        <v>1053.19</v>
      </c>
      <c r="BO157" s="472">
        <v>1067.82</v>
      </c>
      <c r="BP157" s="472">
        <v>1070.13</v>
      </c>
      <c r="BQ157" s="472">
        <v>1073.15</v>
      </c>
      <c r="BR157" s="472">
        <v>1075.28</v>
      </c>
      <c r="BS157" s="472">
        <v>378.45</v>
      </c>
      <c r="BT157" s="472">
        <v>0.0</v>
      </c>
      <c r="BU157" s="472">
        <v>0.0</v>
      </c>
      <c r="BV157" s="472">
        <v>0.0</v>
      </c>
      <c r="BW157" s="472">
        <v>0.0</v>
      </c>
      <c r="BX157" s="472">
        <v>0.0</v>
      </c>
      <c r="BY157" s="472">
        <v>0.0</v>
      </c>
      <c r="BZ157" s="472">
        <v>0.0</v>
      </c>
      <c r="CA157" s="474">
        <v>0.0</v>
      </c>
      <c r="CB157" s="474">
        <v>0.0</v>
      </c>
      <c r="CC157" s="474">
        <v>0.0</v>
      </c>
      <c r="CD157" s="474">
        <v>0.0</v>
      </c>
      <c r="CE157" s="474">
        <v>0.0</v>
      </c>
      <c r="CF157" s="474">
        <v>0.0</v>
      </c>
      <c r="CG157" s="474">
        <v>0.0</v>
      </c>
      <c r="CH157" s="65">
        <v>0.0</v>
      </c>
      <c r="CI157" s="65">
        <v>0.0</v>
      </c>
      <c r="CJ157" s="65">
        <v>0.0</v>
      </c>
      <c r="CK157" s="65">
        <v>0.0</v>
      </c>
      <c r="CL157" s="65">
        <v>0.0</v>
      </c>
      <c r="CM157" s="65">
        <v>0.0</v>
      </c>
      <c r="CN157" s="65">
        <v>0.0</v>
      </c>
    </row>
    <row r="158" ht="15.75" customHeight="1">
      <c r="A158" s="462" t="s">
        <v>2346</v>
      </c>
      <c r="B158" s="462" t="s">
        <v>5066</v>
      </c>
      <c r="C158" s="141">
        <v>463906.0</v>
      </c>
      <c r="D158" s="63" t="s">
        <v>669</v>
      </c>
      <c r="E158" s="63" t="s">
        <v>199</v>
      </c>
      <c r="F158" s="63" t="s">
        <v>1228</v>
      </c>
      <c r="G158" s="47" t="str">
        <f t="shared" si="1"/>
        <v>Breno</v>
      </c>
      <c r="H158" s="142" t="s">
        <v>295</v>
      </c>
      <c r="I158" s="49" t="s">
        <v>382</v>
      </c>
      <c r="J158" s="63" t="str">
        <f t="shared" si="4"/>
        <v>Não</v>
      </c>
      <c r="K158" s="143">
        <v>43704.0</v>
      </c>
      <c r="L158" s="81"/>
      <c r="M158" s="81" t="s">
        <v>34</v>
      </c>
      <c r="N158" s="464">
        <v>0.012</v>
      </c>
      <c r="O158" s="141" t="s">
        <v>66</v>
      </c>
      <c r="P158" s="145">
        <v>0.0</v>
      </c>
      <c r="Q158" s="190"/>
      <c r="R158" s="158" t="s">
        <v>5343</v>
      </c>
      <c r="S158" s="62" t="s">
        <v>194</v>
      </c>
      <c r="T158" s="141" t="s">
        <v>5318</v>
      </c>
      <c r="U158" s="81" t="s">
        <v>54</v>
      </c>
      <c r="V158" s="49" t="str">
        <f t="shared" si="3"/>
        <v>Inativo</v>
      </c>
      <c r="W158" s="150"/>
      <c r="X158" s="150"/>
      <c r="Y158" s="30" t="s">
        <v>244</v>
      </c>
      <c r="Z158" s="81"/>
      <c r="AA158" s="467">
        <v>43704.0</v>
      </c>
      <c r="AB158" s="30">
        <v>4.9075100010633E13</v>
      </c>
      <c r="AC158" s="482"/>
      <c r="AD158" s="482"/>
      <c r="AE158" s="482"/>
      <c r="AF158" s="96"/>
      <c r="AG158" s="96"/>
      <c r="AH158" s="482"/>
      <c r="AI158" s="482"/>
      <c r="AJ158" s="96">
        <v>118778.82</v>
      </c>
      <c r="AK158" s="96">
        <v>117492.1</v>
      </c>
      <c r="AL158" s="96">
        <v>97244.24</v>
      </c>
      <c r="AM158" s="96">
        <v>89971.79</v>
      </c>
      <c r="AN158" s="96">
        <v>85276.84</v>
      </c>
      <c r="AO158" s="96">
        <v>78236.16</v>
      </c>
      <c r="AP158" s="96">
        <v>77425.88</v>
      </c>
      <c r="AQ158" s="471">
        <v>77232.39</v>
      </c>
      <c r="AR158" s="471">
        <v>77999.6</v>
      </c>
      <c r="AS158" s="471">
        <v>78185.96</v>
      </c>
      <c r="AT158" s="471">
        <v>78162.61</v>
      </c>
      <c r="AU158" s="471">
        <v>78810.84</v>
      </c>
      <c r="AV158" s="96">
        <v>78535.89</v>
      </c>
      <c r="AW158" s="96">
        <v>48081.3</v>
      </c>
      <c r="AX158" s="96">
        <v>46118.35</v>
      </c>
      <c r="AY158" s="96">
        <v>37873.34</v>
      </c>
      <c r="AZ158" s="96">
        <v>37398.31</v>
      </c>
      <c r="BA158" s="96">
        <v>7085.46</v>
      </c>
      <c r="BB158" s="96">
        <v>7107.7</v>
      </c>
      <c r="BC158" s="96">
        <v>7487.68</v>
      </c>
      <c r="BD158" s="96">
        <v>7724.06</v>
      </c>
      <c r="BE158" s="96">
        <v>7974.85</v>
      </c>
      <c r="BF158" s="96">
        <v>7658.95</v>
      </c>
      <c r="BG158" s="472">
        <v>7645.63</v>
      </c>
      <c r="BH158" s="472">
        <v>1866.27</v>
      </c>
      <c r="BI158" s="472">
        <v>1998.89</v>
      </c>
      <c r="BJ158" s="472">
        <v>2128.29</v>
      </c>
      <c r="BK158" s="472">
        <v>2184.59</v>
      </c>
      <c r="BL158" s="472">
        <v>10693.02</v>
      </c>
      <c r="BM158" s="472">
        <v>355.71</v>
      </c>
      <c r="BN158" s="472">
        <v>355.71</v>
      </c>
      <c r="BO158" s="472">
        <v>356.16</v>
      </c>
      <c r="BP158" s="472">
        <v>357.76</v>
      </c>
      <c r="BQ158" s="472">
        <v>362.96</v>
      </c>
      <c r="BR158" s="472">
        <v>361.32</v>
      </c>
      <c r="BS158" s="472">
        <v>0.0</v>
      </c>
      <c r="BT158" s="472">
        <v>0.0</v>
      </c>
      <c r="BU158" s="472">
        <v>0.0</v>
      </c>
      <c r="BV158" s="472">
        <v>0.0</v>
      </c>
      <c r="BW158" s="472">
        <v>0.0</v>
      </c>
      <c r="BX158" s="472">
        <v>0.0</v>
      </c>
      <c r="BY158" s="472">
        <v>0.0</v>
      </c>
      <c r="BZ158" s="472">
        <v>0.0</v>
      </c>
      <c r="CA158" s="474">
        <v>0.0</v>
      </c>
      <c r="CB158" s="474">
        <v>0.0</v>
      </c>
      <c r="CC158" s="474">
        <v>0.0</v>
      </c>
      <c r="CD158" s="474">
        <v>0.0</v>
      </c>
      <c r="CE158" s="474">
        <v>0.0</v>
      </c>
      <c r="CF158" s="474">
        <v>0.0</v>
      </c>
      <c r="CG158" s="474">
        <v>0.0</v>
      </c>
      <c r="CH158" s="65">
        <v>0.0</v>
      </c>
      <c r="CI158" s="65">
        <v>0.0</v>
      </c>
      <c r="CJ158" s="65">
        <v>0.0</v>
      </c>
      <c r="CK158" s="65">
        <v>0.0</v>
      </c>
      <c r="CL158" s="65">
        <v>0.0</v>
      </c>
      <c r="CM158" s="65">
        <v>0.0</v>
      </c>
      <c r="CN158" s="65">
        <v>0.0</v>
      </c>
    </row>
    <row r="159" ht="15.75" customHeight="1">
      <c r="A159" s="462" t="s">
        <v>2346</v>
      </c>
      <c r="B159" s="477" t="s">
        <v>5355</v>
      </c>
      <c r="C159" s="141">
        <v>433089.0</v>
      </c>
      <c r="D159" s="63" t="s">
        <v>669</v>
      </c>
      <c r="E159" s="63" t="s">
        <v>199</v>
      </c>
      <c r="F159" s="81" t="s">
        <v>1228</v>
      </c>
      <c r="G159" s="47" t="str">
        <f t="shared" si="1"/>
        <v>Breno</v>
      </c>
      <c r="H159" s="152" t="s">
        <v>224</v>
      </c>
      <c r="I159" s="74" t="s">
        <v>66</v>
      </c>
      <c r="J159" s="63" t="str">
        <f t="shared" si="4"/>
        <v>Não</v>
      </c>
      <c r="K159" s="467">
        <v>43692.0</v>
      </c>
      <c r="L159" s="467">
        <v>44505.0</v>
      </c>
      <c r="M159" s="81" t="s">
        <v>209</v>
      </c>
      <c r="N159" s="478">
        <v>0.01</v>
      </c>
      <c r="O159" s="63" t="s">
        <v>35</v>
      </c>
      <c r="P159" s="145">
        <v>0.1</v>
      </c>
      <c r="Q159" s="158"/>
      <c r="R159" s="190"/>
      <c r="S159" s="62" t="s">
        <v>194</v>
      </c>
      <c r="T159" s="30" t="s">
        <v>5363</v>
      </c>
      <c r="U159" s="81" t="s">
        <v>199</v>
      </c>
      <c r="V159" s="49" t="str">
        <f t="shared" si="3"/>
        <v>Encerrado</v>
      </c>
      <c r="W159" s="150"/>
      <c r="X159" s="150"/>
      <c r="Y159" s="81"/>
      <c r="Z159" s="81"/>
      <c r="AA159" s="81"/>
      <c r="AB159" s="30"/>
      <c r="AC159" s="96">
        <v>400422.77</v>
      </c>
      <c r="AD159" s="96">
        <v>395290.18</v>
      </c>
      <c r="AE159" s="96">
        <v>377285.2</v>
      </c>
      <c r="AF159" s="96">
        <v>382929.98</v>
      </c>
      <c r="AG159" s="96">
        <v>385405.56</v>
      </c>
      <c r="AH159" s="96">
        <v>388895.31</v>
      </c>
      <c r="AI159" s="96">
        <v>394635.52</v>
      </c>
      <c r="AJ159" s="96">
        <v>389383.38</v>
      </c>
      <c r="AK159" s="96">
        <v>385268.07</v>
      </c>
      <c r="AL159" s="96">
        <v>386552.02</v>
      </c>
      <c r="AM159" s="96">
        <v>396042.79</v>
      </c>
      <c r="AN159" s="96">
        <v>399685.9</v>
      </c>
      <c r="AO159" s="96">
        <v>397933.91</v>
      </c>
      <c r="AP159" s="96">
        <v>391473.88</v>
      </c>
      <c r="AQ159" s="96">
        <v>388722.82</v>
      </c>
      <c r="AR159" s="96">
        <v>395369.79</v>
      </c>
      <c r="AS159" s="96">
        <v>395606.78</v>
      </c>
      <c r="AT159" s="96">
        <v>395762.39</v>
      </c>
      <c r="AU159" s="96">
        <v>399867.24</v>
      </c>
      <c r="AV159" s="96">
        <v>399432.69</v>
      </c>
      <c r="AW159" s="96">
        <v>398303.09</v>
      </c>
      <c r="AX159" s="96">
        <v>395608.53</v>
      </c>
      <c r="AY159" s="96">
        <v>391042.04</v>
      </c>
      <c r="AZ159" s="96">
        <v>385086.87</v>
      </c>
      <c r="BA159" s="96"/>
      <c r="BB159" s="96"/>
      <c r="BC159" s="96"/>
      <c r="BD159" s="96">
        <v>0.0</v>
      </c>
      <c r="BE159" s="96">
        <v>0.0</v>
      </c>
      <c r="BF159" s="96">
        <v>0.0</v>
      </c>
      <c r="BG159" s="96" t="s">
        <v>377</v>
      </c>
      <c r="BH159" s="96">
        <v>0.0</v>
      </c>
      <c r="BI159" s="96" t="s">
        <v>377</v>
      </c>
      <c r="BJ159" s="96">
        <v>0.0</v>
      </c>
      <c r="BK159" s="472">
        <v>0.0</v>
      </c>
      <c r="BL159" s="472">
        <v>0.0</v>
      </c>
      <c r="BM159" s="472">
        <v>0.0</v>
      </c>
      <c r="BN159" s="472">
        <v>0.0</v>
      </c>
      <c r="BO159" s="472">
        <v>0.0</v>
      </c>
      <c r="BP159" s="472">
        <v>0.0</v>
      </c>
      <c r="BQ159" s="472">
        <v>0.0</v>
      </c>
      <c r="BR159" s="472">
        <v>0.0</v>
      </c>
      <c r="BS159" s="472">
        <v>0.0</v>
      </c>
      <c r="BT159" s="472">
        <v>0.0</v>
      </c>
      <c r="BU159" s="472">
        <v>0.0</v>
      </c>
      <c r="BV159" s="472">
        <v>0.0</v>
      </c>
      <c r="BW159" s="472">
        <v>0.0</v>
      </c>
      <c r="BX159" s="472">
        <v>0.0</v>
      </c>
      <c r="BY159" s="472">
        <v>0.0</v>
      </c>
      <c r="BZ159" s="472">
        <v>0.0</v>
      </c>
      <c r="CA159" s="474">
        <v>0.0</v>
      </c>
      <c r="CB159" s="474">
        <v>0.0</v>
      </c>
      <c r="CC159" s="474">
        <v>0.0</v>
      </c>
      <c r="CD159" s="474">
        <v>0.0</v>
      </c>
      <c r="CE159" s="474">
        <v>0.0</v>
      </c>
      <c r="CF159" s="474">
        <v>0.0</v>
      </c>
      <c r="CG159" s="474">
        <v>0.0</v>
      </c>
      <c r="CH159" s="65">
        <v>0.0</v>
      </c>
      <c r="CI159" s="65">
        <v>0.0</v>
      </c>
      <c r="CJ159" s="65">
        <v>0.0</v>
      </c>
      <c r="CK159" s="65">
        <v>0.0</v>
      </c>
      <c r="CL159" s="65">
        <v>0.0</v>
      </c>
      <c r="CM159" s="65">
        <v>0.0</v>
      </c>
      <c r="CN159" s="65">
        <v>0.0</v>
      </c>
    </row>
    <row r="160" ht="15.75" customHeight="1">
      <c r="A160" s="462" t="s">
        <v>2346</v>
      </c>
      <c r="B160" s="477" t="s">
        <v>5380</v>
      </c>
      <c r="C160" s="141">
        <v>446028.0</v>
      </c>
      <c r="D160" s="63" t="s">
        <v>669</v>
      </c>
      <c r="E160" s="63" t="s">
        <v>199</v>
      </c>
      <c r="F160" s="63" t="s">
        <v>1228</v>
      </c>
      <c r="G160" s="47" t="str">
        <f t="shared" si="1"/>
        <v>Breno</v>
      </c>
      <c r="H160" s="142" t="s">
        <v>295</v>
      </c>
      <c r="I160" s="49" t="s">
        <v>382</v>
      </c>
      <c r="J160" s="63" t="str">
        <f t="shared" si="4"/>
        <v>Não</v>
      </c>
      <c r="K160" s="143">
        <v>43875.0</v>
      </c>
      <c r="L160" s="81"/>
      <c r="M160" s="81" t="s">
        <v>34</v>
      </c>
      <c r="N160" s="464">
        <v>0.012</v>
      </c>
      <c r="O160" s="141" t="s">
        <v>66</v>
      </c>
      <c r="P160" s="145">
        <v>0.0</v>
      </c>
      <c r="Q160" s="158"/>
      <c r="R160" s="158" t="s">
        <v>5386</v>
      </c>
      <c r="S160" s="62" t="s">
        <v>194</v>
      </c>
      <c r="T160" s="30" t="s">
        <v>5387</v>
      </c>
      <c r="U160" s="81" t="s">
        <v>199</v>
      </c>
      <c r="V160" s="49" t="str">
        <f t="shared" si="3"/>
        <v>Inativo</v>
      </c>
      <c r="W160" s="150"/>
      <c r="X160" s="150"/>
      <c r="Y160" s="30" t="s">
        <v>244</v>
      </c>
      <c r="Z160" s="81"/>
      <c r="AA160" s="467">
        <v>43875.0</v>
      </c>
      <c r="AB160" s="30">
        <v>4.9075100003777E13</v>
      </c>
      <c r="AC160" s="96">
        <v>0.0</v>
      </c>
      <c r="AD160" s="96">
        <v>198314.93</v>
      </c>
      <c r="AE160" s="96">
        <v>189268.2</v>
      </c>
      <c r="AF160" s="96">
        <v>191716.18</v>
      </c>
      <c r="AG160" s="96">
        <v>193158.44</v>
      </c>
      <c r="AH160" s="96">
        <v>193944.31</v>
      </c>
      <c r="AI160" s="96">
        <v>196266.39</v>
      </c>
      <c r="AJ160" s="96">
        <v>193737.65</v>
      </c>
      <c r="AK160" s="96">
        <v>195722.03</v>
      </c>
      <c r="AL160" s="96">
        <v>191505.9</v>
      </c>
      <c r="AM160" s="96">
        <v>94491.15</v>
      </c>
      <c r="AN160" s="96">
        <v>95218.97</v>
      </c>
      <c r="AO160" s="96">
        <v>94481.67</v>
      </c>
      <c r="AP160" s="96">
        <v>92342.64</v>
      </c>
      <c r="AQ160" s="471">
        <v>91322.39</v>
      </c>
      <c r="AR160" s="471">
        <v>93069.37</v>
      </c>
      <c r="AS160" s="471">
        <v>92930.22</v>
      </c>
      <c r="AT160" s="471">
        <v>92696.75</v>
      </c>
      <c r="AU160" s="471">
        <v>93620.89</v>
      </c>
      <c r="AV160" s="96">
        <v>93418.22</v>
      </c>
      <c r="AW160" s="96">
        <v>93231.42</v>
      </c>
      <c r="AX160" s="96">
        <v>92455.72</v>
      </c>
      <c r="AY160" s="96">
        <v>73572.75</v>
      </c>
      <c r="AZ160" s="96">
        <v>47612.14</v>
      </c>
      <c r="BA160" s="96">
        <v>47913.17</v>
      </c>
      <c r="BB160" s="96">
        <v>48144.27</v>
      </c>
      <c r="BC160" s="96">
        <v>49186.79</v>
      </c>
      <c r="BD160" s="96">
        <v>8201.67</v>
      </c>
      <c r="BE160" s="96">
        <v>8719.92</v>
      </c>
      <c r="BF160" s="96">
        <v>7918.76</v>
      </c>
      <c r="BG160" s="472">
        <v>7810.3</v>
      </c>
      <c r="BH160" s="472">
        <v>0.0</v>
      </c>
      <c r="BI160" s="472">
        <v>7400.85</v>
      </c>
      <c r="BJ160" s="472">
        <v>7734.41</v>
      </c>
      <c r="BK160" s="472">
        <v>7857.57</v>
      </c>
      <c r="BL160" s="472">
        <v>8180.74</v>
      </c>
      <c r="BM160" s="472">
        <v>7592.97</v>
      </c>
      <c r="BN160" s="472">
        <v>7411.28</v>
      </c>
      <c r="BO160" s="472">
        <v>7604.92</v>
      </c>
      <c r="BP160" s="472">
        <v>7317.3</v>
      </c>
      <c r="BQ160" s="472">
        <v>7118.13</v>
      </c>
      <c r="BR160" s="472">
        <v>7149.56</v>
      </c>
      <c r="BS160" s="472">
        <v>4725.23</v>
      </c>
      <c r="BT160" s="472">
        <v>0.0</v>
      </c>
      <c r="BU160" s="472">
        <v>0.0</v>
      </c>
      <c r="BV160" s="472">
        <v>0.0</v>
      </c>
      <c r="BW160" s="472">
        <v>0.0</v>
      </c>
      <c r="BX160" s="472">
        <v>0.0</v>
      </c>
      <c r="BY160" s="472">
        <v>0.0</v>
      </c>
      <c r="BZ160" s="472">
        <v>0.0</v>
      </c>
      <c r="CA160" s="474">
        <v>0.0</v>
      </c>
      <c r="CB160" s="474">
        <v>0.0</v>
      </c>
      <c r="CC160" s="474">
        <v>0.0</v>
      </c>
      <c r="CD160" s="474">
        <v>0.0</v>
      </c>
      <c r="CE160" s="474">
        <v>0.0</v>
      </c>
      <c r="CF160" s="474">
        <v>0.0</v>
      </c>
      <c r="CG160" s="474">
        <v>0.0</v>
      </c>
      <c r="CH160" s="65">
        <v>0.0</v>
      </c>
      <c r="CI160" s="65">
        <v>0.0</v>
      </c>
      <c r="CJ160" s="65">
        <v>0.0</v>
      </c>
      <c r="CK160" s="65">
        <v>0.0</v>
      </c>
      <c r="CL160" s="65">
        <v>0.0</v>
      </c>
      <c r="CM160" s="65">
        <v>0.0</v>
      </c>
      <c r="CN160" s="65">
        <v>0.0</v>
      </c>
    </row>
    <row r="161" ht="15.75" customHeight="1">
      <c r="A161" s="462" t="s">
        <v>2346</v>
      </c>
      <c r="B161" s="477" t="s">
        <v>5399</v>
      </c>
      <c r="C161" s="141">
        <v>582831.0</v>
      </c>
      <c r="D161" s="63" t="s">
        <v>669</v>
      </c>
      <c r="E161" s="63" t="s">
        <v>199</v>
      </c>
      <c r="F161" s="81" t="s">
        <v>2388</v>
      </c>
      <c r="G161" s="47" t="str">
        <f t="shared" si="1"/>
        <v>Breno</v>
      </c>
      <c r="H161" s="152" t="s">
        <v>224</v>
      </c>
      <c r="I161" s="74" t="s">
        <v>66</v>
      </c>
      <c r="J161" s="63" t="str">
        <f t="shared" si="4"/>
        <v>Não</v>
      </c>
      <c r="K161" s="480">
        <v>43752.0</v>
      </c>
      <c r="L161" s="480">
        <v>44517.0</v>
      </c>
      <c r="M161" s="81" t="s">
        <v>209</v>
      </c>
      <c r="N161" s="478">
        <v>0.015</v>
      </c>
      <c r="O161" s="63" t="s">
        <v>35</v>
      </c>
      <c r="P161" s="145">
        <v>0.1</v>
      </c>
      <c r="Q161" s="158"/>
      <c r="R161" s="190"/>
      <c r="S161" s="62" t="s">
        <v>194</v>
      </c>
      <c r="T161" s="30" t="s">
        <v>5402</v>
      </c>
      <c r="U161" s="81" t="s">
        <v>975</v>
      </c>
      <c r="V161" s="49" t="str">
        <f t="shared" si="3"/>
        <v>Encerrado</v>
      </c>
      <c r="W161" s="150"/>
      <c r="X161" s="150"/>
      <c r="Y161" s="81"/>
      <c r="Z161" s="81"/>
      <c r="AA161" s="81"/>
      <c r="AB161" s="30"/>
      <c r="AC161" s="96">
        <v>134446.18</v>
      </c>
      <c r="AD161" s="96">
        <v>234449.26</v>
      </c>
      <c r="AE161" s="96">
        <v>225422.57</v>
      </c>
      <c r="AF161" s="96">
        <v>228620.88</v>
      </c>
      <c r="AG161" s="96">
        <v>230534.3</v>
      </c>
      <c r="AH161" s="96">
        <v>233220.57</v>
      </c>
      <c r="AI161" s="96">
        <v>237295.46</v>
      </c>
      <c r="AJ161" s="96">
        <v>234410.05</v>
      </c>
      <c r="AK161" s="96">
        <v>232049.99</v>
      </c>
      <c r="AL161" s="96">
        <v>352485.42</v>
      </c>
      <c r="AM161" s="96">
        <v>371923.48</v>
      </c>
      <c r="AN161" s="96">
        <v>378615.1</v>
      </c>
      <c r="AO161" s="96">
        <v>373674.05</v>
      </c>
      <c r="AP161" s="96">
        <v>359951.74</v>
      </c>
      <c r="AQ161" s="96">
        <v>354514.66</v>
      </c>
      <c r="AR161" s="96">
        <v>367915.57</v>
      </c>
      <c r="AS161" s="96">
        <v>368447.7</v>
      </c>
      <c r="AT161" s="96">
        <v>368835.97</v>
      </c>
      <c r="AU161" s="96">
        <v>482967.81</v>
      </c>
      <c r="AV161" s="96">
        <v>430458.15</v>
      </c>
      <c r="AW161" s="96">
        <v>395446.0</v>
      </c>
      <c r="AX161" s="96">
        <v>386977.41</v>
      </c>
      <c r="AY161" s="96">
        <v>357514.68</v>
      </c>
      <c r="AZ161" s="96">
        <v>333758.21</v>
      </c>
      <c r="BA161" s="96"/>
      <c r="BB161" s="96"/>
      <c r="BC161" s="96"/>
      <c r="BD161" s="96">
        <v>0.0</v>
      </c>
      <c r="BE161" s="96">
        <v>0.0</v>
      </c>
      <c r="BF161" s="96">
        <v>0.0</v>
      </c>
      <c r="BG161" s="96" t="s">
        <v>377</v>
      </c>
      <c r="BH161" s="96">
        <v>0.0</v>
      </c>
      <c r="BI161" s="96" t="s">
        <v>377</v>
      </c>
      <c r="BJ161" s="96">
        <v>0.0</v>
      </c>
      <c r="BK161" s="472">
        <v>0.0</v>
      </c>
      <c r="BL161" s="472">
        <v>0.0</v>
      </c>
      <c r="BM161" s="472">
        <v>0.0</v>
      </c>
      <c r="BN161" s="472">
        <v>0.0</v>
      </c>
      <c r="BO161" s="472">
        <v>0.0</v>
      </c>
      <c r="BP161" s="472">
        <v>0.0</v>
      </c>
      <c r="BQ161" s="472">
        <v>0.0</v>
      </c>
      <c r="BR161" s="472">
        <v>0.0</v>
      </c>
      <c r="BS161" s="472">
        <v>0.0</v>
      </c>
      <c r="BT161" s="472">
        <v>0.0</v>
      </c>
      <c r="BU161" s="472">
        <v>0.0</v>
      </c>
      <c r="BV161" s="472">
        <v>0.0</v>
      </c>
      <c r="BW161" s="472">
        <v>0.0</v>
      </c>
      <c r="BX161" s="472">
        <v>0.0</v>
      </c>
      <c r="BY161" s="472">
        <v>0.0</v>
      </c>
      <c r="BZ161" s="472">
        <v>0.0</v>
      </c>
      <c r="CA161" s="474">
        <v>0.0</v>
      </c>
      <c r="CB161" s="474">
        <v>0.0</v>
      </c>
      <c r="CC161" s="474">
        <v>0.0</v>
      </c>
      <c r="CD161" s="474">
        <v>0.0</v>
      </c>
      <c r="CE161" s="474">
        <v>0.0</v>
      </c>
      <c r="CF161" s="474">
        <v>0.0</v>
      </c>
      <c r="CG161" s="474">
        <v>0.0</v>
      </c>
      <c r="CH161" s="65">
        <v>0.0</v>
      </c>
      <c r="CI161" s="65">
        <v>0.0</v>
      </c>
      <c r="CJ161" s="65">
        <v>0.0</v>
      </c>
      <c r="CK161" s="65">
        <v>0.0</v>
      </c>
      <c r="CL161" s="65">
        <v>0.0</v>
      </c>
      <c r="CM161" s="65">
        <v>0.0</v>
      </c>
      <c r="CN161" s="65">
        <v>0.0</v>
      </c>
    </row>
    <row r="162" ht="15.75" customHeight="1">
      <c r="A162" s="462" t="s">
        <v>2346</v>
      </c>
      <c r="B162" s="518" t="s">
        <v>5415</v>
      </c>
      <c r="C162" s="141">
        <v>34388.0</v>
      </c>
      <c r="D162" s="63" t="s">
        <v>120</v>
      </c>
      <c r="E162" s="63" t="s">
        <v>91</v>
      </c>
      <c r="F162" s="63" t="s">
        <v>521</v>
      </c>
      <c r="G162" s="47" t="str">
        <f t="shared" si="1"/>
        <v>Breno</v>
      </c>
      <c r="H162" s="152" t="s">
        <v>295</v>
      </c>
      <c r="I162" s="49" t="s">
        <v>382</v>
      </c>
      <c r="J162" s="63" t="str">
        <f t="shared" si="4"/>
        <v>Sim</v>
      </c>
      <c r="K162" s="143">
        <v>44263.0</v>
      </c>
      <c r="L162" s="81"/>
      <c r="M162" s="81" t="s">
        <v>361</v>
      </c>
      <c r="N162" s="464">
        <v>0.02</v>
      </c>
      <c r="O162" s="63" t="s">
        <v>35</v>
      </c>
      <c r="P162" s="145">
        <v>0.2</v>
      </c>
      <c r="Q162" s="153" t="s">
        <v>5418</v>
      </c>
      <c r="R162" s="163" t="s">
        <v>5420</v>
      </c>
      <c r="S162" s="62" t="s">
        <v>194</v>
      </c>
      <c r="T162" s="141" t="s">
        <v>5421</v>
      </c>
      <c r="U162" s="95" t="s">
        <v>221</v>
      </c>
      <c r="V162" s="49" t="str">
        <f t="shared" si="3"/>
        <v>Ativo</v>
      </c>
      <c r="W162" s="150"/>
      <c r="X162" s="150"/>
      <c r="Y162" s="30" t="s">
        <v>244</v>
      </c>
      <c r="Z162" s="81"/>
      <c r="AA162" s="467">
        <v>44263.0</v>
      </c>
      <c r="AB162" s="30">
        <v>4.9075100009627E13</v>
      </c>
      <c r="AC162" s="482"/>
      <c r="AD162" s="482"/>
      <c r="AE162" s="482"/>
      <c r="AF162" s="482"/>
      <c r="AG162" s="482"/>
      <c r="AH162" s="482"/>
      <c r="AI162" s="482"/>
      <c r="AJ162" s="482"/>
      <c r="AK162" s="482"/>
      <c r="AL162" s="482"/>
      <c r="AM162" s="482"/>
      <c r="AN162" s="482"/>
      <c r="AO162" s="482"/>
      <c r="AP162" s="96"/>
      <c r="AQ162" s="471">
        <v>87436.9</v>
      </c>
      <c r="AR162" s="471">
        <v>89362.1</v>
      </c>
      <c r="AS162" s="471"/>
      <c r="AT162" s="471">
        <v>109646.27</v>
      </c>
      <c r="AU162" s="471">
        <v>127590.02</v>
      </c>
      <c r="AV162" s="96">
        <v>141209.45</v>
      </c>
      <c r="AW162" s="96">
        <v>470827.25</v>
      </c>
      <c r="AX162" s="96">
        <v>464321.95</v>
      </c>
      <c r="AY162" s="96">
        <v>452777.06</v>
      </c>
      <c r="AZ162" s="96">
        <v>487963.45</v>
      </c>
      <c r="BA162" s="96">
        <v>505843.55</v>
      </c>
      <c r="BB162" s="96">
        <v>529557.28</v>
      </c>
      <c r="BC162" s="96">
        <v>599849.83</v>
      </c>
      <c r="BD162" s="96">
        <v>643812.22</v>
      </c>
      <c r="BE162" s="96">
        <v>705176.49</v>
      </c>
      <c r="BF162" s="96">
        <v>711512.55</v>
      </c>
      <c r="BG162" s="472">
        <v>735677.37</v>
      </c>
      <c r="BH162" s="472">
        <v>706672.29</v>
      </c>
      <c r="BI162" s="472">
        <v>31381.91</v>
      </c>
      <c r="BJ162" s="472">
        <v>32218.33</v>
      </c>
      <c r="BK162" s="472">
        <v>32243.9</v>
      </c>
      <c r="BL162" s="472">
        <v>32392.05</v>
      </c>
      <c r="BM162" s="472">
        <v>32567.67</v>
      </c>
      <c r="BN162" s="472">
        <v>32755.07</v>
      </c>
      <c r="BO162" s="472">
        <v>35565.98</v>
      </c>
      <c r="BP162" s="472">
        <v>35809.81</v>
      </c>
      <c r="BQ162" s="472">
        <v>106377.4</v>
      </c>
      <c r="BR162" s="472">
        <v>126463.32</v>
      </c>
      <c r="BS162" s="472">
        <v>128787.27</v>
      </c>
      <c r="BT162" s="472">
        <v>101470.28</v>
      </c>
      <c r="BU162" s="472">
        <v>104837.52</v>
      </c>
      <c r="BV162" s="472">
        <v>106212.7</v>
      </c>
      <c r="BW162" s="472">
        <v>106876.05</v>
      </c>
      <c r="BX162" s="472">
        <v>27863.78</v>
      </c>
      <c r="BY162" s="472">
        <v>27268.0</v>
      </c>
      <c r="BZ162" s="472">
        <v>27485.55</v>
      </c>
      <c r="CA162" s="474">
        <v>27745.66</v>
      </c>
      <c r="CB162" s="474">
        <v>27943.02</v>
      </c>
      <c r="CC162" s="474">
        <v>103.7</v>
      </c>
      <c r="CD162" s="474">
        <v>0.0</v>
      </c>
      <c r="CE162" s="474">
        <v>0.0</v>
      </c>
      <c r="CF162" s="474">
        <v>0.0</v>
      </c>
      <c r="CG162" s="474">
        <v>0.0</v>
      </c>
      <c r="CH162" s="65">
        <v>0.0</v>
      </c>
      <c r="CI162" s="65">
        <v>0.0</v>
      </c>
      <c r="CJ162" s="65">
        <v>0.0</v>
      </c>
      <c r="CK162" s="65">
        <v>0.0</v>
      </c>
      <c r="CL162" s="65">
        <v>0.0</v>
      </c>
      <c r="CM162" s="65">
        <v>0.0</v>
      </c>
      <c r="CN162" s="65">
        <v>0.0</v>
      </c>
    </row>
    <row r="163" ht="15.75" customHeight="1">
      <c r="A163" s="462" t="s">
        <v>2346</v>
      </c>
      <c r="B163" s="518" t="s">
        <v>5415</v>
      </c>
      <c r="C163" s="141">
        <v>34321.0</v>
      </c>
      <c r="D163" s="63" t="s">
        <v>120</v>
      </c>
      <c r="E163" s="63" t="s">
        <v>91</v>
      </c>
      <c r="F163" s="66" t="s">
        <v>521</v>
      </c>
      <c r="G163" s="47" t="str">
        <f t="shared" si="1"/>
        <v>Breno</v>
      </c>
      <c r="H163" s="142" t="s">
        <v>295</v>
      </c>
      <c r="I163" s="49" t="s">
        <v>382</v>
      </c>
      <c r="J163" s="63" t="str">
        <f t="shared" si="4"/>
        <v>Não</v>
      </c>
      <c r="K163" s="143">
        <v>44396.0</v>
      </c>
      <c r="L163" s="81"/>
      <c r="M163" s="81" t="s">
        <v>209</v>
      </c>
      <c r="N163" s="464">
        <v>0.015</v>
      </c>
      <c r="O163" s="63" t="s">
        <v>35</v>
      </c>
      <c r="P163" s="145">
        <v>0.1</v>
      </c>
      <c r="Q163" s="70"/>
      <c r="R163" s="70"/>
      <c r="S163" s="62" t="s">
        <v>194</v>
      </c>
      <c r="T163" s="141" t="s">
        <v>5421</v>
      </c>
      <c r="U163" s="95" t="s">
        <v>221</v>
      </c>
      <c r="V163" s="49" t="str">
        <f t="shared" si="3"/>
        <v>Inativo</v>
      </c>
      <c r="W163" s="150"/>
      <c r="X163" s="150"/>
      <c r="Y163" s="30" t="s">
        <v>244</v>
      </c>
      <c r="Z163" s="81"/>
      <c r="AA163" s="467">
        <v>44396.0</v>
      </c>
      <c r="AB163" s="30">
        <v>4.9075100010641E13</v>
      </c>
      <c r="AC163" s="476"/>
      <c r="AD163" s="476"/>
      <c r="AE163" s="476"/>
      <c r="AF163" s="476"/>
      <c r="AG163" s="476"/>
      <c r="AH163" s="476"/>
      <c r="AI163" s="476"/>
      <c r="AJ163" s="476"/>
      <c r="AK163" s="476"/>
      <c r="AL163" s="476"/>
      <c r="AM163" s="476"/>
      <c r="AN163" s="476"/>
      <c r="AO163" s="96"/>
      <c r="AP163" s="471"/>
      <c r="AQ163" s="471"/>
      <c r="AR163" s="471"/>
      <c r="AS163" s="471"/>
      <c r="AT163" s="471"/>
      <c r="AU163" s="96"/>
      <c r="AV163" s="476"/>
      <c r="AW163" s="96">
        <v>5007.52</v>
      </c>
      <c r="AX163" s="96">
        <v>5029.95</v>
      </c>
      <c r="AY163" s="96">
        <v>5039.69</v>
      </c>
      <c r="AZ163" s="96">
        <v>12056.26</v>
      </c>
      <c r="BA163" s="96">
        <v>18130.58</v>
      </c>
      <c r="BB163" s="96">
        <v>18245.94</v>
      </c>
      <c r="BC163" s="96">
        <v>18377.9</v>
      </c>
      <c r="BD163" s="96">
        <v>22533.02</v>
      </c>
      <c r="BE163" s="96">
        <v>28760.13</v>
      </c>
      <c r="BF163" s="96">
        <v>31884.96</v>
      </c>
      <c r="BG163" s="472">
        <v>36744.12</v>
      </c>
      <c r="BH163" s="472">
        <v>36665.99</v>
      </c>
      <c r="BI163" s="472">
        <v>620.27</v>
      </c>
      <c r="BJ163" s="472">
        <v>620.27</v>
      </c>
      <c r="BK163" s="472">
        <v>620.27</v>
      </c>
      <c r="BL163" s="472">
        <v>32392.05</v>
      </c>
      <c r="BM163" s="472">
        <v>620.27</v>
      </c>
      <c r="BN163" s="472">
        <v>620.27</v>
      </c>
      <c r="BO163" s="472">
        <v>0.0</v>
      </c>
      <c r="BP163" s="472">
        <v>0.0</v>
      </c>
      <c r="BQ163" s="472">
        <v>0.0</v>
      </c>
      <c r="BR163" s="472">
        <v>0.0</v>
      </c>
      <c r="BS163" s="472">
        <v>0.0</v>
      </c>
      <c r="BT163" s="472">
        <v>0.0</v>
      </c>
      <c r="BU163" s="472">
        <v>0.0</v>
      </c>
      <c r="BV163" s="472">
        <v>0.0</v>
      </c>
      <c r="BW163" s="472">
        <v>0.0</v>
      </c>
      <c r="BX163" s="472">
        <v>0.0</v>
      </c>
      <c r="BY163" s="472">
        <v>0.0</v>
      </c>
      <c r="BZ163" s="472">
        <v>0.0</v>
      </c>
      <c r="CA163" s="474">
        <v>0.0</v>
      </c>
      <c r="CB163" s="474">
        <v>0.0</v>
      </c>
      <c r="CC163" s="474">
        <v>0.0</v>
      </c>
      <c r="CD163" s="474">
        <v>0.0</v>
      </c>
      <c r="CE163" s="474">
        <v>0.0</v>
      </c>
      <c r="CF163" s="474">
        <v>0.0</v>
      </c>
      <c r="CG163" s="474">
        <v>0.0</v>
      </c>
      <c r="CH163" s="65">
        <v>0.0</v>
      </c>
      <c r="CI163" s="65">
        <v>0.0</v>
      </c>
      <c r="CJ163" s="65">
        <v>0.0</v>
      </c>
      <c r="CK163" s="65">
        <v>0.0</v>
      </c>
      <c r="CL163" s="65">
        <v>0.0</v>
      </c>
      <c r="CM163" s="65">
        <v>0.0</v>
      </c>
      <c r="CN163" s="65">
        <v>0.0</v>
      </c>
    </row>
    <row r="164" ht="15.75" customHeight="1">
      <c r="A164" s="462" t="s">
        <v>2346</v>
      </c>
      <c r="B164" s="477" t="s">
        <v>5445</v>
      </c>
      <c r="C164" s="141">
        <v>39937.0</v>
      </c>
      <c r="D164" s="63" t="s">
        <v>120</v>
      </c>
      <c r="E164" s="63" t="s">
        <v>91</v>
      </c>
      <c r="F164" s="63" t="s">
        <v>699</v>
      </c>
      <c r="G164" s="47" t="str">
        <f t="shared" si="1"/>
        <v>Breno</v>
      </c>
      <c r="H164" s="142" t="s">
        <v>295</v>
      </c>
      <c r="I164" s="49" t="s">
        <v>382</v>
      </c>
      <c r="J164" s="63" t="str">
        <f t="shared" si="4"/>
        <v>Não</v>
      </c>
      <c r="K164" s="143">
        <v>44671.0</v>
      </c>
      <c r="L164" s="81"/>
      <c r="M164" s="81" t="s">
        <v>34</v>
      </c>
      <c r="N164" s="464">
        <v>0.012</v>
      </c>
      <c r="O164" s="141" t="s">
        <v>66</v>
      </c>
      <c r="P164" s="145">
        <v>0.0</v>
      </c>
      <c r="Q164" s="158"/>
      <c r="R164" s="158"/>
      <c r="S164" s="62" t="s">
        <v>194</v>
      </c>
      <c r="T164" s="30" t="s">
        <v>5446</v>
      </c>
      <c r="U164" s="95" t="s">
        <v>221</v>
      </c>
      <c r="V164" s="49" t="str">
        <f t="shared" si="3"/>
        <v>Inativo</v>
      </c>
      <c r="W164" s="150"/>
      <c r="X164" s="150"/>
      <c r="Y164" s="30" t="s">
        <v>244</v>
      </c>
      <c r="Z164" s="81"/>
      <c r="AA164" s="467">
        <v>44671.0</v>
      </c>
      <c r="AB164" s="30">
        <v>4.9075100003815E13</v>
      </c>
      <c r="AC164" s="482"/>
      <c r="AD164" s="482"/>
      <c r="AE164" s="482"/>
      <c r="AF164" s="482"/>
      <c r="AG164" s="482"/>
      <c r="AH164" s="482"/>
      <c r="AI164" s="482"/>
      <c r="AJ164" s="482"/>
      <c r="AK164" s="482"/>
      <c r="AL164" s="482"/>
      <c r="AM164" s="482"/>
      <c r="AN164" s="482"/>
      <c r="AO164" s="482"/>
      <c r="AP164" s="96"/>
      <c r="AQ164" s="471"/>
      <c r="AR164" s="471"/>
      <c r="AS164" s="471"/>
      <c r="AT164" s="471"/>
      <c r="AU164" s="471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>
        <v>325961.62</v>
      </c>
      <c r="BG164" s="472">
        <v>327066.62</v>
      </c>
      <c r="BH164" s="472">
        <v>326731.72</v>
      </c>
      <c r="BI164" s="472">
        <v>330374.73</v>
      </c>
      <c r="BJ164" s="472">
        <v>333647.5</v>
      </c>
      <c r="BK164" s="472">
        <v>336777.09</v>
      </c>
      <c r="BL164" s="472">
        <v>343457.72</v>
      </c>
      <c r="BM164" s="472">
        <v>343276.71</v>
      </c>
      <c r="BN164" s="472">
        <v>346038.71</v>
      </c>
      <c r="BO164" s="472">
        <v>350025.28</v>
      </c>
      <c r="BP164" s="472">
        <v>352837.16</v>
      </c>
      <c r="BQ164" s="472">
        <v>356907.43</v>
      </c>
      <c r="BR164" s="472">
        <v>359548.51</v>
      </c>
      <c r="BS164" s="472">
        <v>655.49</v>
      </c>
      <c r="BT164" s="472">
        <v>0.0</v>
      </c>
      <c r="BU164" s="472">
        <v>0.0</v>
      </c>
      <c r="BV164" s="472">
        <v>0.0</v>
      </c>
      <c r="BW164" s="472">
        <v>0.0</v>
      </c>
      <c r="BX164" s="472">
        <v>0.0</v>
      </c>
      <c r="BY164" s="472">
        <v>0.0</v>
      </c>
      <c r="BZ164" s="472">
        <v>0.0</v>
      </c>
      <c r="CA164" s="474">
        <v>0.0</v>
      </c>
      <c r="CB164" s="474">
        <v>0.0</v>
      </c>
      <c r="CC164" s="474">
        <v>0.0</v>
      </c>
      <c r="CD164" s="474">
        <v>0.0</v>
      </c>
      <c r="CE164" s="474">
        <v>0.0</v>
      </c>
      <c r="CF164" s="474">
        <v>0.0</v>
      </c>
      <c r="CG164" s="474">
        <v>0.0</v>
      </c>
      <c r="CH164" s="65">
        <v>0.0</v>
      </c>
      <c r="CI164" s="65">
        <v>0.0</v>
      </c>
      <c r="CJ164" s="65">
        <v>0.0</v>
      </c>
      <c r="CK164" s="65">
        <v>0.0</v>
      </c>
      <c r="CL164" s="65">
        <v>0.0</v>
      </c>
      <c r="CM164" s="65">
        <v>0.0</v>
      </c>
      <c r="CN164" s="65">
        <v>0.0</v>
      </c>
    </row>
    <row r="165" ht="15.75" customHeight="1">
      <c r="A165" s="462" t="s">
        <v>2346</v>
      </c>
      <c r="B165" s="477" t="s">
        <v>906</v>
      </c>
      <c r="C165" s="141">
        <v>35673.0</v>
      </c>
      <c r="D165" s="63" t="s">
        <v>120</v>
      </c>
      <c r="E165" s="63" t="s">
        <v>91</v>
      </c>
      <c r="F165" s="81" t="s">
        <v>521</v>
      </c>
      <c r="G165" s="47" t="str">
        <f t="shared" si="1"/>
        <v>Breno</v>
      </c>
      <c r="H165" s="152" t="s">
        <v>295</v>
      </c>
      <c r="I165" s="49" t="s">
        <v>382</v>
      </c>
      <c r="J165" s="63" t="str">
        <f t="shared" si="4"/>
        <v>Não</v>
      </c>
      <c r="K165" s="143">
        <v>44291.0</v>
      </c>
      <c r="L165" s="81"/>
      <c r="M165" s="81" t="s">
        <v>34</v>
      </c>
      <c r="N165" s="464">
        <v>0.012</v>
      </c>
      <c r="O165" s="141" t="s">
        <v>66</v>
      </c>
      <c r="P165" s="145">
        <v>0.0</v>
      </c>
      <c r="Q165" s="146"/>
      <c r="R165" s="158" t="s">
        <v>909</v>
      </c>
      <c r="S165" s="62" t="s">
        <v>194</v>
      </c>
      <c r="T165" s="30" t="s">
        <v>910</v>
      </c>
      <c r="U165" s="95" t="s">
        <v>221</v>
      </c>
      <c r="V165" s="49" t="str">
        <f t="shared" si="3"/>
        <v>Ativo</v>
      </c>
      <c r="W165" s="150"/>
      <c r="X165" s="150"/>
      <c r="Y165" s="30" t="s">
        <v>244</v>
      </c>
      <c r="Z165" s="81"/>
      <c r="AA165" s="467">
        <v>44291.0</v>
      </c>
      <c r="AB165" s="30">
        <v>4.9075100013098E13</v>
      </c>
      <c r="AC165" s="482"/>
      <c r="AD165" s="482"/>
      <c r="AE165" s="482"/>
      <c r="AF165" s="482"/>
      <c r="AG165" s="482"/>
      <c r="AH165" s="482"/>
      <c r="AI165" s="482"/>
      <c r="AJ165" s="482"/>
      <c r="AK165" s="482"/>
      <c r="AL165" s="482"/>
      <c r="AM165" s="482"/>
      <c r="AN165" s="482"/>
      <c r="AO165" s="482"/>
      <c r="AP165" s="96"/>
      <c r="AQ165" s="471"/>
      <c r="AR165" s="471">
        <v>335990.77</v>
      </c>
      <c r="AS165" s="471"/>
      <c r="AT165" s="471">
        <v>339283.25</v>
      </c>
      <c r="AU165" s="471">
        <v>342343.33</v>
      </c>
      <c r="AV165" s="96">
        <v>343939.81</v>
      </c>
      <c r="AW165" s="96">
        <v>342416.43</v>
      </c>
      <c r="AX165" s="96">
        <v>339698.21</v>
      </c>
      <c r="AY165" s="96">
        <v>295130.66</v>
      </c>
      <c r="AZ165" s="96">
        <v>330877.88</v>
      </c>
      <c r="BA165" s="96">
        <v>329048.32</v>
      </c>
      <c r="BB165" s="96">
        <v>329635.42</v>
      </c>
      <c r="BC165" s="96">
        <v>332448.68</v>
      </c>
      <c r="BD165" s="96">
        <v>334600.71</v>
      </c>
      <c r="BE165" s="96">
        <v>344066.72</v>
      </c>
      <c r="BF165" s="96">
        <v>342164.35</v>
      </c>
      <c r="BG165" s="472">
        <v>343254.06</v>
      </c>
      <c r="BH165" s="472">
        <v>343597.48</v>
      </c>
      <c r="BI165" s="472">
        <v>345596.18</v>
      </c>
      <c r="BJ165" s="472">
        <v>349653.32</v>
      </c>
      <c r="BK165" s="472">
        <v>352006.98</v>
      </c>
      <c r="BL165" s="472">
        <v>358545.17</v>
      </c>
      <c r="BM165" s="472">
        <v>356728.94</v>
      </c>
      <c r="BN165" s="472">
        <v>359808.79</v>
      </c>
      <c r="BO165" s="472">
        <v>363162.37</v>
      </c>
      <c r="BP165" s="472">
        <v>366744.32</v>
      </c>
      <c r="BQ165" s="472">
        <v>371464.76</v>
      </c>
      <c r="BR165" s="472">
        <v>374411.66</v>
      </c>
      <c r="BS165" s="472">
        <v>378553.66</v>
      </c>
      <c r="BT165" s="472">
        <v>382097.77</v>
      </c>
      <c r="BU165" s="472">
        <v>383754.29</v>
      </c>
      <c r="BV165" s="472">
        <v>28546.74</v>
      </c>
      <c r="BW165" s="472">
        <v>28808.11</v>
      </c>
      <c r="BX165" s="472">
        <v>29110.84</v>
      </c>
      <c r="BY165" s="472">
        <v>28598.53</v>
      </c>
      <c r="BZ165" s="472">
        <v>28848.89</v>
      </c>
      <c r="CA165" s="474">
        <v>29152.87</v>
      </c>
      <c r="CB165" s="474">
        <v>29382.33</v>
      </c>
      <c r="CC165" s="474">
        <v>3.58</v>
      </c>
      <c r="CD165" s="474">
        <v>3.58</v>
      </c>
      <c r="CE165" s="474">
        <v>0.0</v>
      </c>
      <c r="CF165" s="474">
        <v>0.0</v>
      </c>
      <c r="CG165" s="474">
        <v>0.0</v>
      </c>
      <c r="CH165" s="65">
        <v>0.0</v>
      </c>
      <c r="CI165" s="65">
        <v>0.0</v>
      </c>
      <c r="CJ165" s="65">
        <v>0.0</v>
      </c>
      <c r="CK165" s="65">
        <v>0.0</v>
      </c>
      <c r="CL165" s="65">
        <v>0.16</v>
      </c>
      <c r="CM165" s="65">
        <v>0.16</v>
      </c>
      <c r="CN165" s="65">
        <v>0.16</v>
      </c>
    </row>
    <row r="166" ht="15.75" customHeight="1">
      <c r="A166" s="462" t="s">
        <v>2346</v>
      </c>
      <c r="B166" s="477" t="s">
        <v>5473</v>
      </c>
      <c r="C166" s="141">
        <v>480861.0</v>
      </c>
      <c r="D166" s="63" t="s">
        <v>120</v>
      </c>
      <c r="E166" s="63" t="s">
        <v>91</v>
      </c>
      <c r="F166" s="63" t="s">
        <v>193</v>
      </c>
      <c r="G166" s="47" t="str">
        <f t="shared" si="1"/>
        <v>Breno</v>
      </c>
      <c r="H166" s="142" t="s">
        <v>295</v>
      </c>
      <c r="I166" s="49" t="s">
        <v>382</v>
      </c>
      <c r="J166" s="63" t="str">
        <f t="shared" si="4"/>
        <v>Não</v>
      </c>
      <c r="K166" s="143">
        <v>44265.0</v>
      </c>
      <c r="L166" s="81"/>
      <c r="M166" s="81" t="s">
        <v>209</v>
      </c>
      <c r="N166" s="464">
        <v>0.015</v>
      </c>
      <c r="O166" s="63" t="s">
        <v>35</v>
      </c>
      <c r="P166" s="145">
        <v>0.1</v>
      </c>
      <c r="Q166" s="146"/>
      <c r="R166" s="153" t="s">
        <v>5475</v>
      </c>
      <c r="S166" s="62" t="s">
        <v>194</v>
      </c>
      <c r="T166" s="30" t="s">
        <v>5476</v>
      </c>
      <c r="U166" s="81" t="s">
        <v>199</v>
      </c>
      <c r="V166" s="49" t="str">
        <f t="shared" si="3"/>
        <v>Inativo</v>
      </c>
      <c r="W166" s="150"/>
      <c r="X166" s="150"/>
      <c r="Y166" s="30" t="s">
        <v>269</v>
      </c>
      <c r="Z166" s="81"/>
      <c r="AA166" s="467">
        <v>44265.0</v>
      </c>
      <c r="AB166" s="30">
        <v>4.9075100009201E13</v>
      </c>
      <c r="AC166" s="482"/>
      <c r="AD166" s="482"/>
      <c r="AE166" s="482"/>
      <c r="AF166" s="482"/>
      <c r="AG166" s="482"/>
      <c r="AH166" s="482"/>
      <c r="AI166" s="482"/>
      <c r="AJ166" s="482"/>
      <c r="AK166" s="482"/>
      <c r="AL166" s="482"/>
      <c r="AM166" s="482"/>
      <c r="AN166" s="482"/>
      <c r="AO166" s="482"/>
      <c r="AP166" s="96"/>
      <c r="AQ166" s="471">
        <v>1169911.08</v>
      </c>
      <c r="AR166" s="471">
        <v>1204760.53</v>
      </c>
      <c r="AS166" s="471"/>
      <c r="AT166" s="471">
        <v>1212488.96</v>
      </c>
      <c r="AU166" s="471">
        <v>1237326.78</v>
      </c>
      <c r="AV166" s="96">
        <v>1232501.24</v>
      </c>
      <c r="AW166" s="96">
        <v>1219835.27</v>
      </c>
      <c r="AX166" s="96">
        <v>1195873.98</v>
      </c>
      <c r="AY166" s="96">
        <v>1157176.72</v>
      </c>
      <c r="AZ166" s="96">
        <v>1141724.87</v>
      </c>
      <c r="BA166" s="96">
        <v>1130173.04</v>
      </c>
      <c r="BB166" s="96">
        <v>1142763.69</v>
      </c>
      <c r="BC166" s="96">
        <v>1167571.64</v>
      </c>
      <c r="BD166" s="96">
        <v>1174433.86</v>
      </c>
      <c r="BE166" s="96">
        <v>1226346.39</v>
      </c>
      <c r="BF166" s="96">
        <v>1204987.63</v>
      </c>
      <c r="BG166" s="472">
        <v>1201812.53</v>
      </c>
      <c r="BH166" s="472">
        <v>1188837.7</v>
      </c>
      <c r="BI166" s="472">
        <v>1206147.91</v>
      </c>
      <c r="BJ166" s="472">
        <v>1163587.22</v>
      </c>
      <c r="BK166" s="472">
        <v>1155138.69</v>
      </c>
      <c r="BL166" s="472">
        <v>1221154.68</v>
      </c>
      <c r="BM166" s="472">
        <v>1206819.33</v>
      </c>
      <c r="BN166" s="472">
        <v>1217028.72</v>
      </c>
      <c r="BO166" s="472">
        <v>1232229.6</v>
      </c>
      <c r="BP166" s="472">
        <v>1240675.09</v>
      </c>
      <c r="BQ166" s="472">
        <v>1255856.71</v>
      </c>
      <c r="BR166" s="472">
        <v>0.91</v>
      </c>
      <c r="BS166" s="472">
        <v>6.63</v>
      </c>
      <c r="BT166" s="472">
        <v>0.0</v>
      </c>
      <c r="BU166" s="472">
        <v>0.0</v>
      </c>
      <c r="BV166" s="472">
        <v>0.0</v>
      </c>
      <c r="BW166" s="472">
        <v>0.0</v>
      </c>
      <c r="BX166" s="472">
        <v>0.0</v>
      </c>
      <c r="BY166" s="472">
        <v>0.0</v>
      </c>
      <c r="BZ166" s="472">
        <v>0.0</v>
      </c>
      <c r="CA166" s="474">
        <v>0.0</v>
      </c>
      <c r="CB166" s="474">
        <v>0.0</v>
      </c>
      <c r="CC166" s="474">
        <v>0.0</v>
      </c>
      <c r="CD166" s="474">
        <v>0.0</v>
      </c>
      <c r="CE166" s="474">
        <v>0.0</v>
      </c>
      <c r="CF166" s="474">
        <v>0.0</v>
      </c>
      <c r="CG166" s="474">
        <v>0.0</v>
      </c>
      <c r="CH166" s="65">
        <v>0.0</v>
      </c>
      <c r="CI166" s="65">
        <v>0.0</v>
      </c>
      <c r="CJ166" s="65">
        <v>0.0</v>
      </c>
      <c r="CK166" s="65">
        <v>0.0</v>
      </c>
      <c r="CL166" s="65">
        <v>0.0</v>
      </c>
      <c r="CM166" s="65">
        <v>0.0</v>
      </c>
      <c r="CN166" s="65">
        <v>0.0</v>
      </c>
    </row>
    <row r="167" ht="15.75" customHeight="1">
      <c r="A167" s="462" t="s">
        <v>2346</v>
      </c>
      <c r="B167" s="462" t="s">
        <v>5482</v>
      </c>
      <c r="C167" s="141">
        <v>85554.0</v>
      </c>
      <c r="D167" s="63" t="s">
        <v>1096</v>
      </c>
      <c r="E167" s="63" t="s">
        <v>199</v>
      </c>
      <c r="F167" s="63" t="s">
        <v>1096</v>
      </c>
      <c r="G167" s="47" t="str">
        <f t="shared" si="1"/>
        <v>Breno</v>
      </c>
      <c r="H167" s="152" t="s">
        <v>224</v>
      </c>
      <c r="I167" s="74" t="s">
        <v>66</v>
      </c>
      <c r="J167" s="63" t="str">
        <f t="shared" si="4"/>
        <v>Não</v>
      </c>
      <c r="K167" s="143">
        <v>43375.0</v>
      </c>
      <c r="L167" s="151">
        <v>44952.0</v>
      </c>
      <c r="M167" s="81" t="s">
        <v>231</v>
      </c>
      <c r="N167" s="464">
        <v>0.01</v>
      </c>
      <c r="O167" s="141" t="s">
        <v>233</v>
      </c>
      <c r="P167" s="145">
        <v>0.2</v>
      </c>
      <c r="Q167" s="158"/>
      <c r="R167" s="158"/>
      <c r="S167" s="62" t="s">
        <v>194</v>
      </c>
      <c r="T167" s="141" t="s">
        <v>5485</v>
      </c>
      <c r="U167" s="81" t="s">
        <v>199</v>
      </c>
      <c r="V167" s="49" t="str">
        <f t="shared" si="3"/>
        <v>Encerrado</v>
      </c>
      <c r="W167" s="150"/>
      <c r="X167" s="150"/>
      <c r="Y167" s="30" t="s">
        <v>244</v>
      </c>
      <c r="Z167" s="81"/>
      <c r="AA167" s="81"/>
      <c r="AB167" s="30"/>
      <c r="AC167" s="96">
        <v>411209.91</v>
      </c>
      <c r="AD167" s="96">
        <v>394780.2</v>
      </c>
      <c r="AE167" s="96">
        <v>286785.23</v>
      </c>
      <c r="AF167" s="96">
        <v>301761.68</v>
      </c>
      <c r="AG167" s="96">
        <v>362220.34</v>
      </c>
      <c r="AH167" s="96">
        <v>431644.7</v>
      </c>
      <c r="AI167" s="96">
        <v>473003.48</v>
      </c>
      <c r="AJ167" s="96">
        <v>438718.4</v>
      </c>
      <c r="AK167" s="96">
        <v>414649.49</v>
      </c>
      <c r="AL167" s="96">
        <v>426964.58</v>
      </c>
      <c r="AM167" s="96">
        <v>480173.03</v>
      </c>
      <c r="AN167" s="96">
        <v>605615.55</v>
      </c>
      <c r="AO167" s="96">
        <v>588350.95</v>
      </c>
      <c r="AP167" s="96">
        <v>542514.7</v>
      </c>
      <c r="AQ167" s="471">
        <v>524855.12</v>
      </c>
      <c r="AR167" s="471">
        <v>550060.45</v>
      </c>
      <c r="AS167" s="471">
        <v>570490.01</v>
      </c>
      <c r="AT167" s="471">
        <v>574334.21</v>
      </c>
      <c r="AU167" s="471">
        <v>600929.93</v>
      </c>
      <c r="AV167" s="96">
        <v>592451.27</v>
      </c>
      <c r="AW167" s="96">
        <v>575709.57</v>
      </c>
      <c r="AX167" s="96">
        <v>550708.68</v>
      </c>
      <c r="AY167" s="96">
        <v>523915.92</v>
      </c>
      <c r="AZ167" s="96">
        <v>493376.84</v>
      </c>
      <c r="BA167" s="96">
        <v>478811.61</v>
      </c>
      <c r="BB167" s="96">
        <v>481188.72</v>
      </c>
      <c r="BC167" s="96">
        <v>523465.58</v>
      </c>
      <c r="BD167" s="96">
        <v>542667.54</v>
      </c>
      <c r="BE167" s="96">
        <v>577803.59</v>
      </c>
      <c r="BF167" s="96">
        <v>526865.24</v>
      </c>
      <c r="BG167" s="472">
        <v>462021.27</v>
      </c>
      <c r="BH167" s="472">
        <v>437632.15</v>
      </c>
      <c r="BI167" s="472">
        <v>455268.9</v>
      </c>
      <c r="BJ167" s="472">
        <v>464304.71</v>
      </c>
      <c r="BK167" s="472">
        <v>466237.03</v>
      </c>
      <c r="BL167" s="472">
        <v>492271.77</v>
      </c>
      <c r="BM167" s="472">
        <v>334249.85</v>
      </c>
      <c r="BN167" s="472">
        <v>190896.24</v>
      </c>
      <c r="BO167" s="472">
        <v>0.0</v>
      </c>
      <c r="BP167" s="472">
        <v>0.0</v>
      </c>
      <c r="BQ167" s="472">
        <v>0.0</v>
      </c>
      <c r="BR167" s="472">
        <v>0.0</v>
      </c>
      <c r="BS167" s="472">
        <v>0.0</v>
      </c>
      <c r="BT167" s="472">
        <v>0.0</v>
      </c>
      <c r="BU167" s="472">
        <v>0.0</v>
      </c>
      <c r="BV167" s="472">
        <v>0.0</v>
      </c>
      <c r="BW167" s="472">
        <v>0.0</v>
      </c>
      <c r="BX167" s="472">
        <v>0.0</v>
      </c>
      <c r="BY167" s="472">
        <v>0.0</v>
      </c>
      <c r="BZ167" s="472">
        <v>0.0</v>
      </c>
      <c r="CA167" s="474">
        <v>0.0</v>
      </c>
      <c r="CB167" s="474">
        <v>0.0</v>
      </c>
      <c r="CC167" s="474">
        <v>0.0</v>
      </c>
      <c r="CD167" s="474">
        <v>0.0</v>
      </c>
      <c r="CE167" s="474">
        <v>0.0</v>
      </c>
      <c r="CF167" s="474">
        <v>0.0</v>
      </c>
      <c r="CG167" s="474">
        <v>0.0</v>
      </c>
      <c r="CH167" s="65">
        <v>0.0</v>
      </c>
      <c r="CI167" s="65">
        <v>0.0</v>
      </c>
      <c r="CJ167" s="65">
        <v>0.0</v>
      </c>
      <c r="CK167" s="65">
        <v>0.0</v>
      </c>
      <c r="CL167" s="65">
        <v>0.0</v>
      </c>
      <c r="CM167" s="65">
        <v>0.0</v>
      </c>
      <c r="CN167" s="65">
        <v>0.0</v>
      </c>
    </row>
    <row r="168" ht="15.75" customHeight="1">
      <c r="A168" s="462" t="s">
        <v>2346</v>
      </c>
      <c r="B168" s="50" t="s">
        <v>922</v>
      </c>
      <c r="C168" s="141">
        <v>86513.0</v>
      </c>
      <c r="D168" s="63" t="s">
        <v>120</v>
      </c>
      <c r="E168" s="63" t="s">
        <v>91</v>
      </c>
      <c r="F168" s="63" t="s">
        <v>521</v>
      </c>
      <c r="G168" s="47" t="str">
        <f t="shared" si="1"/>
        <v>Breno</v>
      </c>
      <c r="H168" s="142" t="s">
        <v>295</v>
      </c>
      <c r="I168" s="49" t="s">
        <v>382</v>
      </c>
      <c r="J168" s="63" t="str">
        <f t="shared" si="4"/>
        <v>Não</v>
      </c>
      <c r="K168" s="143">
        <v>44319.0</v>
      </c>
      <c r="L168" s="81"/>
      <c r="M168" s="81" t="s">
        <v>209</v>
      </c>
      <c r="N168" s="464">
        <v>0.015</v>
      </c>
      <c r="O168" s="63" t="s">
        <v>35</v>
      </c>
      <c r="P168" s="145">
        <v>0.1</v>
      </c>
      <c r="Q168" s="146"/>
      <c r="R168" s="58" t="s">
        <v>926</v>
      </c>
      <c r="S168" s="62" t="s">
        <v>194</v>
      </c>
      <c r="T168" s="22" t="s">
        <v>927</v>
      </c>
      <c r="U168" s="95" t="s">
        <v>221</v>
      </c>
      <c r="V168" s="49" t="str">
        <f t="shared" si="3"/>
        <v>Inativo</v>
      </c>
      <c r="W168" s="150"/>
      <c r="X168" s="150"/>
      <c r="Y168" s="30" t="s">
        <v>244</v>
      </c>
      <c r="Z168" s="81"/>
      <c r="AA168" s="467">
        <v>44319.0</v>
      </c>
      <c r="AB168" s="30">
        <v>4.9075100010021E13</v>
      </c>
      <c r="AC168" s="476"/>
      <c r="AD168" s="476"/>
      <c r="AE168" s="476"/>
      <c r="AF168" s="476"/>
      <c r="AG168" s="476"/>
      <c r="AH168" s="476"/>
      <c r="AI168" s="476"/>
      <c r="AJ168" s="476"/>
      <c r="AK168" s="476"/>
      <c r="AL168" s="476"/>
      <c r="AM168" s="476"/>
      <c r="AN168" s="476"/>
      <c r="AO168" s="476"/>
      <c r="AP168" s="96"/>
      <c r="AQ168" s="96"/>
      <c r="AR168" s="96"/>
      <c r="AS168" s="96"/>
      <c r="AT168" s="96"/>
      <c r="AU168" s="96">
        <v>777093.28</v>
      </c>
      <c r="AV168" s="96">
        <v>744414.54</v>
      </c>
      <c r="AW168" s="96">
        <v>738530.97</v>
      </c>
      <c r="AX168" s="96">
        <v>724815.86</v>
      </c>
      <c r="AY168" s="96">
        <v>712604.42</v>
      </c>
      <c r="AZ168" s="96">
        <v>659555.67</v>
      </c>
      <c r="BA168" s="96">
        <v>650852.57</v>
      </c>
      <c r="BB168" s="96">
        <v>654900.89</v>
      </c>
      <c r="BC168" s="96">
        <v>669858.31</v>
      </c>
      <c r="BD168" s="96">
        <v>675958.05</v>
      </c>
      <c r="BE168" s="96">
        <v>665383.99</v>
      </c>
      <c r="BF168" s="96">
        <v>623729.88</v>
      </c>
      <c r="BG168" s="472">
        <v>620949.58</v>
      </c>
      <c r="BH168" s="472">
        <v>614432.34</v>
      </c>
      <c r="BI168" s="472">
        <v>624563.63</v>
      </c>
      <c r="BJ168" s="472">
        <v>592565.7</v>
      </c>
      <c r="BK168" s="472">
        <v>598552.72</v>
      </c>
      <c r="BL168" s="472">
        <v>591973.44</v>
      </c>
      <c r="BM168" s="472">
        <v>585925.42</v>
      </c>
      <c r="BN168" s="472">
        <v>590865.62</v>
      </c>
      <c r="BO168" s="472">
        <v>598413.43</v>
      </c>
      <c r="BP168" s="472">
        <v>601746.38</v>
      </c>
      <c r="BQ168" s="472">
        <v>371602.67</v>
      </c>
      <c r="BR168" s="472">
        <v>20051.69</v>
      </c>
      <c r="BS168" s="472">
        <v>20169.84</v>
      </c>
      <c r="BT168" s="472">
        <v>191.36</v>
      </c>
      <c r="BU168" s="472">
        <v>0.0</v>
      </c>
      <c r="BV168" s="472">
        <v>0.0</v>
      </c>
      <c r="BW168" s="472">
        <v>0.0</v>
      </c>
      <c r="BX168" s="472">
        <v>0.0</v>
      </c>
      <c r="BY168" s="472">
        <v>0.0</v>
      </c>
      <c r="BZ168" s="472">
        <v>0.0</v>
      </c>
      <c r="CA168" s="474">
        <v>0.0</v>
      </c>
      <c r="CB168" s="474">
        <v>0.0</v>
      </c>
      <c r="CC168" s="474">
        <v>0.0</v>
      </c>
      <c r="CD168" s="474">
        <v>0.0</v>
      </c>
      <c r="CE168" s="474">
        <v>0.0</v>
      </c>
      <c r="CF168" s="474">
        <v>0.0</v>
      </c>
      <c r="CG168" s="474">
        <v>0.0</v>
      </c>
      <c r="CH168" s="65">
        <v>0.0</v>
      </c>
      <c r="CI168" s="65">
        <v>0.0</v>
      </c>
      <c r="CJ168" s="65">
        <v>0.0</v>
      </c>
      <c r="CK168" s="65">
        <v>0.0</v>
      </c>
      <c r="CL168" s="65">
        <v>0.0</v>
      </c>
      <c r="CM168" s="65">
        <v>3.93</v>
      </c>
      <c r="CN168" s="65">
        <v>3.93</v>
      </c>
    </row>
    <row r="169" ht="15.75" customHeight="1">
      <c r="A169" s="462" t="s">
        <v>2346</v>
      </c>
      <c r="B169" s="50" t="s">
        <v>935</v>
      </c>
      <c r="C169" s="141">
        <v>32187.0</v>
      </c>
      <c r="D169" s="63" t="s">
        <v>120</v>
      </c>
      <c r="E169" s="63" t="s">
        <v>91</v>
      </c>
      <c r="F169" s="63" t="s">
        <v>521</v>
      </c>
      <c r="G169" s="47" t="str">
        <f t="shared" si="1"/>
        <v>Breno</v>
      </c>
      <c r="H169" s="142" t="s">
        <v>295</v>
      </c>
      <c r="I169" s="49" t="s">
        <v>382</v>
      </c>
      <c r="J169" s="63" t="str">
        <f t="shared" si="4"/>
        <v>Sim</v>
      </c>
      <c r="K169" s="143">
        <v>44319.0</v>
      </c>
      <c r="L169" s="81"/>
      <c r="M169" s="81" t="s">
        <v>231</v>
      </c>
      <c r="N169" s="464">
        <v>0.015</v>
      </c>
      <c r="O169" s="141" t="s">
        <v>233</v>
      </c>
      <c r="P169" s="145">
        <v>0.2</v>
      </c>
      <c r="Q169" s="58" t="s">
        <v>936</v>
      </c>
      <c r="R169" s="160" t="s">
        <v>937</v>
      </c>
      <c r="S169" s="62" t="s">
        <v>194</v>
      </c>
      <c r="T169" s="22" t="s">
        <v>938</v>
      </c>
      <c r="U169" s="95" t="s">
        <v>221</v>
      </c>
      <c r="V169" s="49" t="str">
        <f t="shared" si="3"/>
        <v>Ativo</v>
      </c>
      <c r="W169" s="150"/>
      <c r="X169" s="150"/>
      <c r="Y169" s="30" t="s">
        <v>244</v>
      </c>
      <c r="Z169" s="81"/>
      <c r="AA169" s="467">
        <v>44319.0</v>
      </c>
      <c r="AB169" s="30">
        <v>4.9075100010031E13</v>
      </c>
      <c r="AC169" s="476"/>
      <c r="AD169" s="476"/>
      <c r="AE169" s="476"/>
      <c r="AF169" s="476"/>
      <c r="AG169" s="476"/>
      <c r="AH169" s="476"/>
      <c r="AI169" s="476"/>
      <c r="AJ169" s="476"/>
      <c r="AK169" s="476"/>
      <c r="AL169" s="476"/>
      <c r="AM169" s="476"/>
      <c r="AN169" s="476"/>
      <c r="AO169" s="476"/>
      <c r="AP169" s="96"/>
      <c r="AQ169" s="96"/>
      <c r="AR169" s="96"/>
      <c r="AS169" s="96"/>
      <c r="AT169" s="96"/>
      <c r="AU169" s="96">
        <v>308695.87</v>
      </c>
      <c r="AV169" s="96">
        <v>305913.61</v>
      </c>
      <c r="AW169" s="96">
        <v>298653.95</v>
      </c>
      <c r="AX169" s="96">
        <v>283996.83</v>
      </c>
      <c r="AY169" s="96">
        <v>270279.89</v>
      </c>
      <c r="AZ169" s="96">
        <v>252892.06</v>
      </c>
      <c r="BA169" s="96">
        <v>244738.56</v>
      </c>
      <c r="BB169" s="96">
        <v>246351.2</v>
      </c>
      <c r="BC169" s="96">
        <v>261284.29</v>
      </c>
      <c r="BD169" s="96">
        <v>263910.69</v>
      </c>
      <c r="BE169" s="96">
        <v>281887.28</v>
      </c>
      <c r="BF169" s="96">
        <v>267974.46</v>
      </c>
      <c r="BG169" s="472">
        <v>261258.73</v>
      </c>
      <c r="BH169" s="472">
        <v>248948.68</v>
      </c>
      <c r="BI169" s="472">
        <v>562654.79</v>
      </c>
      <c r="BJ169" s="472">
        <v>569804.49</v>
      </c>
      <c r="BK169" s="472">
        <v>575511.18</v>
      </c>
      <c r="BL169" s="472">
        <v>651690.48</v>
      </c>
      <c r="BM169" s="472">
        <v>651526.69</v>
      </c>
      <c r="BN169" s="472">
        <v>715972.7</v>
      </c>
      <c r="BO169" s="472">
        <v>731603.28</v>
      </c>
      <c r="BP169" s="472">
        <v>723959.45</v>
      </c>
      <c r="BQ169" s="472">
        <v>723694.57</v>
      </c>
      <c r="BR169" s="472">
        <v>719332.58</v>
      </c>
      <c r="BS169" s="472">
        <v>25137.54</v>
      </c>
      <c r="BT169" s="472">
        <v>26398.0</v>
      </c>
      <c r="BU169" s="472">
        <v>1594.29</v>
      </c>
      <c r="BV169" s="472">
        <v>1591.07</v>
      </c>
      <c r="BW169" s="472">
        <v>0.0</v>
      </c>
      <c r="BX169" s="472">
        <v>425.67</v>
      </c>
      <c r="BY169" s="472">
        <v>344.57</v>
      </c>
      <c r="BZ169" s="472">
        <v>254.87</v>
      </c>
      <c r="CA169" s="474">
        <v>254.87</v>
      </c>
      <c r="CB169" s="474">
        <v>254.87</v>
      </c>
      <c r="CC169" s="474">
        <v>210.28</v>
      </c>
      <c r="CD169" s="474">
        <v>210.28</v>
      </c>
      <c r="CE169" s="474">
        <v>0.0</v>
      </c>
      <c r="CF169" s="474">
        <v>0.0</v>
      </c>
      <c r="CG169" s="474">
        <v>0.0</v>
      </c>
      <c r="CH169" s="65">
        <v>0.0</v>
      </c>
      <c r="CI169" s="65">
        <v>0.0</v>
      </c>
      <c r="CJ169" s="65">
        <v>0.0</v>
      </c>
      <c r="CK169" s="65">
        <v>0.0</v>
      </c>
      <c r="CL169" s="65">
        <v>133.22</v>
      </c>
      <c r="CM169" s="65">
        <v>133.22</v>
      </c>
      <c r="CN169" s="65">
        <v>133.22</v>
      </c>
    </row>
    <row r="170" ht="15.75" customHeight="1">
      <c r="A170" s="462" t="s">
        <v>2346</v>
      </c>
      <c r="B170" s="510" t="s">
        <v>5312</v>
      </c>
      <c r="C170" s="141">
        <v>289414.0</v>
      </c>
      <c r="D170" s="63" t="s">
        <v>669</v>
      </c>
      <c r="E170" s="63" t="s">
        <v>199</v>
      </c>
      <c r="F170" s="81" t="s">
        <v>2388</v>
      </c>
      <c r="G170" s="47" t="str">
        <f t="shared" si="1"/>
        <v>Breno</v>
      </c>
      <c r="H170" s="152" t="s">
        <v>224</v>
      </c>
      <c r="I170" s="74" t="s">
        <v>66</v>
      </c>
      <c r="J170" s="63" t="str">
        <f t="shared" si="4"/>
        <v>Não</v>
      </c>
      <c r="K170" s="480">
        <v>43822.0</v>
      </c>
      <c r="L170" s="467">
        <v>44007.0</v>
      </c>
      <c r="M170" s="81" t="s">
        <v>209</v>
      </c>
      <c r="N170" s="478">
        <v>0.015</v>
      </c>
      <c r="O170" s="63" t="s">
        <v>35</v>
      </c>
      <c r="P170" s="145">
        <v>0.1</v>
      </c>
      <c r="Q170" s="158"/>
      <c r="R170" s="158"/>
      <c r="S170" s="62" t="s">
        <v>194</v>
      </c>
      <c r="T170" s="30" t="s">
        <v>5507</v>
      </c>
      <c r="U170" s="81" t="s">
        <v>199</v>
      </c>
      <c r="V170" s="49" t="str">
        <f t="shared" si="3"/>
        <v>Encerrado</v>
      </c>
      <c r="W170" s="150"/>
      <c r="X170" s="150"/>
      <c r="Y170" s="81"/>
      <c r="Z170" s="81"/>
      <c r="AA170" s="81"/>
      <c r="AB170" s="30"/>
      <c r="AC170" s="96">
        <v>121315.32</v>
      </c>
      <c r="AD170" s="96">
        <v>118087.92</v>
      </c>
      <c r="AE170" s="96">
        <v>116174.16</v>
      </c>
      <c r="AF170" s="96">
        <v>117664.22</v>
      </c>
      <c r="AG170" s="96">
        <v>120144.24</v>
      </c>
      <c r="AH170" s="96">
        <v>0.0</v>
      </c>
      <c r="AI170" s="96">
        <v>0.0</v>
      </c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482"/>
      <c r="AW170" s="482"/>
      <c r="AX170" s="482"/>
      <c r="AY170" s="96"/>
      <c r="AZ170" s="96"/>
      <c r="BA170" s="96"/>
      <c r="BB170" s="96"/>
      <c r="BC170" s="96"/>
      <c r="BD170" s="96">
        <v>0.0</v>
      </c>
      <c r="BE170" s="96">
        <v>0.0</v>
      </c>
      <c r="BF170" s="96">
        <v>0.0</v>
      </c>
      <c r="BG170" s="96" t="s">
        <v>377</v>
      </c>
      <c r="BH170" s="96">
        <v>0.0</v>
      </c>
      <c r="BI170" s="96" t="s">
        <v>377</v>
      </c>
      <c r="BJ170" s="96">
        <v>0.0</v>
      </c>
      <c r="BK170" s="472">
        <v>0.0</v>
      </c>
      <c r="BL170" s="472">
        <v>0.0</v>
      </c>
      <c r="BM170" s="472">
        <v>0.0</v>
      </c>
      <c r="BN170" s="472">
        <v>0.0</v>
      </c>
      <c r="BO170" s="472">
        <v>0.0</v>
      </c>
      <c r="BP170" s="472">
        <v>0.0</v>
      </c>
      <c r="BQ170" s="472">
        <v>0.0</v>
      </c>
      <c r="BR170" s="472">
        <v>0.0</v>
      </c>
      <c r="BS170" s="472">
        <v>0.0</v>
      </c>
      <c r="BT170" s="472">
        <v>0.0</v>
      </c>
      <c r="BU170" s="472">
        <v>0.0</v>
      </c>
      <c r="BV170" s="472">
        <v>0.0</v>
      </c>
      <c r="BW170" s="472">
        <v>0.0</v>
      </c>
      <c r="BX170" s="472">
        <v>0.0</v>
      </c>
      <c r="BY170" s="472">
        <v>0.0</v>
      </c>
      <c r="BZ170" s="472">
        <v>0.0</v>
      </c>
      <c r="CA170" s="474">
        <v>0.0</v>
      </c>
      <c r="CB170" s="474">
        <v>0.0</v>
      </c>
      <c r="CC170" s="474">
        <v>0.0</v>
      </c>
      <c r="CD170" s="474">
        <v>0.0</v>
      </c>
      <c r="CE170" s="474">
        <v>0.0</v>
      </c>
      <c r="CF170" s="474">
        <v>0.0</v>
      </c>
      <c r="CG170" s="474">
        <v>0.0</v>
      </c>
      <c r="CH170" s="65">
        <v>0.0</v>
      </c>
      <c r="CI170" s="65">
        <v>0.0</v>
      </c>
      <c r="CJ170" s="65">
        <v>0.0</v>
      </c>
      <c r="CK170" s="65">
        <v>0.0</v>
      </c>
      <c r="CL170" s="65">
        <v>0.0</v>
      </c>
      <c r="CM170" s="65">
        <v>0.0</v>
      </c>
      <c r="CN170" s="65">
        <v>0.0</v>
      </c>
    </row>
    <row r="171" ht="15.75" customHeight="1">
      <c r="A171" s="462" t="s">
        <v>2346</v>
      </c>
      <c r="B171" s="176" t="s">
        <v>944</v>
      </c>
      <c r="C171" s="141">
        <v>445839.0</v>
      </c>
      <c r="D171" s="63" t="s">
        <v>120</v>
      </c>
      <c r="E171" s="63" t="s">
        <v>91</v>
      </c>
      <c r="F171" s="63" t="s">
        <v>193</v>
      </c>
      <c r="G171" s="47" t="str">
        <f t="shared" si="1"/>
        <v>Breno</v>
      </c>
      <c r="H171" s="152" t="s">
        <v>295</v>
      </c>
      <c r="I171" s="49" t="s">
        <v>382</v>
      </c>
      <c r="J171" s="63" t="str">
        <f t="shared" si="4"/>
        <v>Não</v>
      </c>
      <c r="K171" s="557">
        <v>44489.0</v>
      </c>
      <c r="L171" s="62"/>
      <c r="M171" s="81" t="s">
        <v>34</v>
      </c>
      <c r="N171" s="464">
        <v>0.012</v>
      </c>
      <c r="O171" s="141" t="s">
        <v>66</v>
      </c>
      <c r="P171" s="145">
        <v>0.0</v>
      </c>
      <c r="Q171" s="70"/>
      <c r="R171" s="70"/>
      <c r="S171" s="62" t="s">
        <v>194</v>
      </c>
      <c r="T171" s="22" t="s">
        <v>948</v>
      </c>
      <c r="U171" s="95" t="s">
        <v>221</v>
      </c>
      <c r="V171" s="49" t="str">
        <f t="shared" si="3"/>
        <v>Ativo</v>
      </c>
      <c r="W171" s="150"/>
      <c r="X171" s="150"/>
      <c r="Y171" s="30" t="s">
        <v>244</v>
      </c>
      <c r="Z171" s="81"/>
      <c r="AA171" s="480">
        <v>44489.0</v>
      </c>
      <c r="AB171" s="30">
        <v>4.9075100003866E13</v>
      </c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471"/>
      <c r="AN171" s="471"/>
      <c r="AO171" s="471"/>
      <c r="AP171" s="471"/>
      <c r="AQ171" s="471"/>
      <c r="AR171" s="471"/>
      <c r="AS171" s="471"/>
      <c r="AT171" s="471"/>
      <c r="AU171" s="563"/>
      <c r="AV171" s="471"/>
      <c r="AW171" s="471"/>
      <c r="AX171" s="471"/>
      <c r="AY171" s="96"/>
      <c r="AZ171" s="96">
        <v>208224.25</v>
      </c>
      <c r="BA171" s="96">
        <v>207172.41</v>
      </c>
      <c r="BB171" s="96">
        <v>207028.19</v>
      </c>
      <c r="BC171" s="96">
        <v>208219.71</v>
      </c>
      <c r="BD171" s="96">
        <v>209456.89</v>
      </c>
      <c r="BE171" s="96">
        <v>215636.62</v>
      </c>
      <c r="BF171" s="96">
        <v>214258.98</v>
      </c>
      <c r="BG171" s="472">
        <v>214904.56</v>
      </c>
      <c r="BH171" s="472">
        <v>214867.69</v>
      </c>
      <c r="BI171" s="472">
        <v>215647.97</v>
      </c>
      <c r="BJ171" s="472">
        <v>218084.5</v>
      </c>
      <c r="BK171" s="472">
        <v>219472.97</v>
      </c>
      <c r="BL171" s="472">
        <v>223017.33</v>
      </c>
      <c r="BM171" s="472">
        <v>222209.86</v>
      </c>
      <c r="BN171" s="472">
        <v>224151.22</v>
      </c>
      <c r="BO171" s="472">
        <v>226734.95</v>
      </c>
      <c r="BP171" s="472">
        <v>229079.54</v>
      </c>
      <c r="BQ171" s="472">
        <v>232143.49</v>
      </c>
      <c r="BR171" s="472">
        <v>234128.89</v>
      </c>
      <c r="BS171" s="472">
        <v>236535.35</v>
      </c>
      <c r="BT171" s="472">
        <v>239069.3</v>
      </c>
      <c r="BU171" s="472">
        <v>239291.53</v>
      </c>
      <c r="BV171" s="472">
        <v>243178.72</v>
      </c>
      <c r="BW171" s="472">
        <v>243389.28</v>
      </c>
      <c r="BX171" s="472">
        <v>245030.03</v>
      </c>
      <c r="BY171" s="472">
        <v>246581.04</v>
      </c>
      <c r="BZ171" s="472">
        <v>249173.25</v>
      </c>
      <c r="CA171" s="474">
        <v>250545.32</v>
      </c>
      <c r="CB171" s="474">
        <v>55746.29</v>
      </c>
      <c r="CC171" s="474">
        <v>0.0</v>
      </c>
      <c r="CD171" s="474">
        <v>0.0</v>
      </c>
      <c r="CE171" s="474">
        <v>0.0</v>
      </c>
      <c r="CF171" s="474">
        <v>0.0</v>
      </c>
      <c r="CG171" s="474">
        <v>0.0</v>
      </c>
      <c r="CH171" s="65">
        <v>0.0</v>
      </c>
      <c r="CI171" s="65">
        <v>0.0</v>
      </c>
      <c r="CJ171" s="65">
        <v>0.0</v>
      </c>
      <c r="CK171" s="65">
        <v>0.0</v>
      </c>
      <c r="CL171" s="65">
        <v>0.14</v>
      </c>
      <c r="CM171" s="65">
        <v>0.14</v>
      </c>
      <c r="CN171" s="65">
        <v>0.14</v>
      </c>
    </row>
    <row r="172" ht="15.75" customHeight="1">
      <c r="A172" s="462" t="s">
        <v>2346</v>
      </c>
      <c r="B172" s="510" t="s">
        <v>5352</v>
      </c>
      <c r="C172" s="141">
        <v>580880.0</v>
      </c>
      <c r="D172" s="63" t="s">
        <v>669</v>
      </c>
      <c r="E172" s="63" t="s">
        <v>199</v>
      </c>
      <c r="F172" s="81" t="s">
        <v>1228</v>
      </c>
      <c r="G172" s="47" t="str">
        <f t="shared" si="1"/>
        <v>Breno</v>
      </c>
      <c r="H172" s="152" t="s">
        <v>224</v>
      </c>
      <c r="I172" s="74" t="s">
        <v>66</v>
      </c>
      <c r="J172" s="63" t="str">
        <f t="shared" si="4"/>
        <v>Não</v>
      </c>
      <c r="K172" s="467">
        <v>43620.0</v>
      </c>
      <c r="L172" s="480">
        <v>44482.0</v>
      </c>
      <c r="M172" s="81" t="s">
        <v>231</v>
      </c>
      <c r="N172" s="478">
        <v>0.02</v>
      </c>
      <c r="O172" s="141" t="s">
        <v>233</v>
      </c>
      <c r="P172" s="145">
        <v>0.2</v>
      </c>
      <c r="Q172" s="158"/>
      <c r="R172" s="158"/>
      <c r="S172" s="62" t="s">
        <v>194</v>
      </c>
      <c r="T172" s="30" t="s">
        <v>5528</v>
      </c>
      <c r="U172" s="81" t="s">
        <v>199</v>
      </c>
      <c r="V172" s="49" t="str">
        <f t="shared" si="3"/>
        <v>Encerrado</v>
      </c>
      <c r="W172" s="150"/>
      <c r="X172" s="150"/>
      <c r="Y172" s="81"/>
      <c r="Z172" s="81"/>
      <c r="AA172" s="81"/>
      <c r="AB172" s="30"/>
      <c r="AC172" s="96">
        <v>218181.02</v>
      </c>
      <c r="AD172" s="96">
        <v>215493.89</v>
      </c>
      <c r="AE172" s="96">
        <v>206730.32</v>
      </c>
      <c r="AF172" s="96">
        <v>208832.87</v>
      </c>
      <c r="AG172" s="96">
        <v>210251.13</v>
      </c>
      <c r="AH172" s="96">
        <v>211079.19</v>
      </c>
      <c r="AI172" s="96">
        <v>51937.3</v>
      </c>
      <c r="AJ172" s="96">
        <v>0.0</v>
      </c>
      <c r="AK172" s="482"/>
      <c r="AL172" s="96">
        <v>168.77</v>
      </c>
      <c r="AM172" s="96">
        <v>168.77</v>
      </c>
      <c r="AN172" s="96">
        <v>264.0</v>
      </c>
      <c r="AO172" s="96">
        <v>264.0</v>
      </c>
      <c r="AP172" s="96">
        <v>264.0</v>
      </c>
      <c r="AQ172" s="96">
        <v>264.0</v>
      </c>
      <c r="AR172" s="96">
        <v>264.0</v>
      </c>
      <c r="AS172" s="96">
        <v>264.0</v>
      </c>
      <c r="AT172" s="96">
        <v>264.0</v>
      </c>
      <c r="AU172" s="96"/>
      <c r="AV172" s="482"/>
      <c r="AW172" s="96">
        <v>115.28</v>
      </c>
      <c r="AX172" s="96">
        <v>115.28</v>
      </c>
      <c r="AY172" s="96">
        <v>115.28</v>
      </c>
      <c r="AZ172" s="96"/>
      <c r="BA172" s="96"/>
      <c r="BB172" s="96"/>
      <c r="BC172" s="96"/>
      <c r="BD172" s="96">
        <v>0.0</v>
      </c>
      <c r="BE172" s="96">
        <v>0.0</v>
      </c>
      <c r="BF172" s="96">
        <v>0.0</v>
      </c>
      <c r="BG172" s="96" t="s">
        <v>377</v>
      </c>
      <c r="BH172" s="96">
        <v>0.0</v>
      </c>
      <c r="BI172" s="96" t="s">
        <v>377</v>
      </c>
      <c r="BJ172" s="96">
        <v>0.0</v>
      </c>
      <c r="BK172" s="472">
        <v>0.0</v>
      </c>
      <c r="BL172" s="472">
        <v>0.0</v>
      </c>
      <c r="BM172" s="472">
        <v>0.0</v>
      </c>
      <c r="BN172" s="472">
        <v>0.0</v>
      </c>
      <c r="BO172" s="472">
        <v>0.0</v>
      </c>
      <c r="BP172" s="472">
        <v>0.0</v>
      </c>
      <c r="BQ172" s="472">
        <v>0.0</v>
      </c>
      <c r="BR172" s="472">
        <v>0.0</v>
      </c>
      <c r="BS172" s="472">
        <v>0.0</v>
      </c>
      <c r="BT172" s="472">
        <v>0.0</v>
      </c>
      <c r="BU172" s="472">
        <v>0.0</v>
      </c>
      <c r="BV172" s="472">
        <v>0.0</v>
      </c>
      <c r="BW172" s="472">
        <v>0.0</v>
      </c>
      <c r="BX172" s="472">
        <v>0.0</v>
      </c>
      <c r="BY172" s="472">
        <v>0.0</v>
      </c>
      <c r="BZ172" s="472">
        <v>0.0</v>
      </c>
      <c r="CA172" s="474">
        <v>0.0</v>
      </c>
      <c r="CB172" s="474">
        <v>0.0</v>
      </c>
      <c r="CC172" s="474">
        <v>0.0</v>
      </c>
      <c r="CD172" s="474">
        <v>0.0</v>
      </c>
      <c r="CE172" s="474">
        <v>0.0</v>
      </c>
      <c r="CF172" s="474">
        <v>0.0</v>
      </c>
      <c r="CG172" s="474">
        <v>0.0</v>
      </c>
      <c r="CH172" s="65">
        <v>0.0</v>
      </c>
      <c r="CI172" s="65">
        <v>0.0</v>
      </c>
      <c r="CJ172" s="65">
        <v>0.0</v>
      </c>
      <c r="CK172" s="65">
        <v>0.0</v>
      </c>
      <c r="CL172" s="65">
        <v>0.0</v>
      </c>
      <c r="CM172" s="65">
        <v>0.0</v>
      </c>
      <c r="CN172" s="65">
        <v>0.0</v>
      </c>
    </row>
    <row r="173" ht="15.75" customHeight="1">
      <c r="A173" s="462" t="s">
        <v>2346</v>
      </c>
      <c r="B173" s="50" t="s">
        <v>5536</v>
      </c>
      <c r="C173" s="141">
        <v>424292.0</v>
      </c>
      <c r="D173" s="63" t="s">
        <v>120</v>
      </c>
      <c r="E173" s="63" t="s">
        <v>91</v>
      </c>
      <c r="F173" s="81" t="s">
        <v>521</v>
      </c>
      <c r="G173" s="47" t="str">
        <f t="shared" si="1"/>
        <v>Breno</v>
      </c>
      <c r="H173" s="152" t="s">
        <v>224</v>
      </c>
      <c r="I173" s="74" t="s">
        <v>66</v>
      </c>
      <c r="J173" s="63" t="str">
        <f t="shared" si="4"/>
        <v>Não</v>
      </c>
      <c r="K173" s="467">
        <v>44313.0</v>
      </c>
      <c r="L173" s="467">
        <v>44691.0</v>
      </c>
      <c r="M173" s="81" t="s">
        <v>209</v>
      </c>
      <c r="N173" s="478">
        <v>0.015</v>
      </c>
      <c r="O173" s="63" t="s">
        <v>35</v>
      </c>
      <c r="P173" s="145">
        <v>0.1</v>
      </c>
      <c r="Q173" s="70"/>
      <c r="R173" s="70"/>
      <c r="S173" s="62" t="s">
        <v>194</v>
      </c>
      <c r="T173" s="22" t="s">
        <v>5537</v>
      </c>
      <c r="U173" s="95" t="s">
        <v>221</v>
      </c>
      <c r="V173" s="49" t="str">
        <f t="shared" si="3"/>
        <v>Encerrado</v>
      </c>
      <c r="W173" s="150"/>
      <c r="X173" s="150"/>
      <c r="Y173" s="30" t="s">
        <v>244</v>
      </c>
      <c r="Z173" s="81"/>
      <c r="AA173" s="81"/>
      <c r="AB173" s="30"/>
      <c r="AC173" s="476"/>
      <c r="AD173" s="476"/>
      <c r="AE173" s="476"/>
      <c r="AF173" s="476"/>
      <c r="AG173" s="476"/>
      <c r="AH173" s="476"/>
      <c r="AI173" s="476"/>
      <c r="AJ173" s="476"/>
      <c r="AK173" s="476"/>
      <c r="AL173" s="476"/>
      <c r="AM173" s="476"/>
      <c r="AN173" s="476"/>
      <c r="AO173" s="476"/>
      <c r="AP173" s="96"/>
      <c r="AQ173" s="96"/>
      <c r="AR173" s="96"/>
      <c r="AS173" s="96"/>
      <c r="AT173" s="96"/>
      <c r="AU173" s="96">
        <v>728273.19</v>
      </c>
      <c r="AV173" s="96">
        <v>664968.23</v>
      </c>
      <c r="AW173" s="96">
        <v>460365.58</v>
      </c>
      <c r="AX173" s="96">
        <v>451079.12</v>
      </c>
      <c r="AY173" s="96">
        <v>317794.07</v>
      </c>
      <c r="AZ173" s="96"/>
      <c r="BA173" s="96"/>
      <c r="BB173" s="96">
        <v>215.41</v>
      </c>
      <c r="BC173" s="96">
        <v>0.05</v>
      </c>
      <c r="BD173" s="96">
        <v>0.05</v>
      </c>
      <c r="BE173" s="96">
        <v>-834.26</v>
      </c>
      <c r="BF173" s="96">
        <v>-834.26</v>
      </c>
      <c r="BG173" s="96" t="s">
        <v>377</v>
      </c>
      <c r="BH173" s="96">
        <v>0.0</v>
      </c>
      <c r="BI173" s="96" t="s">
        <v>377</v>
      </c>
      <c r="BJ173" s="96">
        <v>0.0</v>
      </c>
      <c r="BK173" s="472">
        <v>22.45</v>
      </c>
      <c r="BL173" s="472">
        <v>0.0</v>
      </c>
      <c r="BM173" s="472">
        <v>0.0</v>
      </c>
      <c r="BN173" s="472">
        <v>0.0</v>
      </c>
      <c r="BO173" s="472">
        <v>0.0</v>
      </c>
      <c r="BP173" s="472">
        <v>0.0</v>
      </c>
      <c r="BQ173" s="472">
        <v>0.0</v>
      </c>
      <c r="BR173" s="472">
        <v>0.0</v>
      </c>
      <c r="BS173" s="472">
        <v>0.0</v>
      </c>
      <c r="BT173" s="472">
        <v>0.0</v>
      </c>
      <c r="BU173" s="472">
        <v>0.0</v>
      </c>
      <c r="BV173" s="472">
        <v>0.0</v>
      </c>
      <c r="BW173" s="472">
        <v>0.0</v>
      </c>
      <c r="BX173" s="472">
        <v>0.0</v>
      </c>
      <c r="BY173" s="472">
        <v>0.0</v>
      </c>
      <c r="BZ173" s="472">
        <v>0.0</v>
      </c>
      <c r="CA173" s="474">
        <v>0.0</v>
      </c>
      <c r="CB173" s="474">
        <v>0.0</v>
      </c>
      <c r="CC173" s="474">
        <v>0.0</v>
      </c>
      <c r="CD173" s="474">
        <v>0.0</v>
      </c>
      <c r="CE173" s="474">
        <v>0.0</v>
      </c>
      <c r="CF173" s="474">
        <v>0.0</v>
      </c>
      <c r="CG173" s="474">
        <v>0.0</v>
      </c>
      <c r="CH173" s="65">
        <v>0.0</v>
      </c>
      <c r="CI173" s="65">
        <v>0.0</v>
      </c>
      <c r="CJ173" s="65">
        <v>0.0</v>
      </c>
      <c r="CK173" s="65">
        <v>0.0</v>
      </c>
      <c r="CL173" s="65">
        <v>0.0</v>
      </c>
      <c r="CM173" s="65">
        <v>0.0</v>
      </c>
      <c r="CN173" s="65">
        <v>0.0</v>
      </c>
    </row>
    <row r="174" ht="15.75" customHeight="1">
      <c r="A174" s="462" t="s">
        <v>2346</v>
      </c>
      <c r="B174" s="510" t="s">
        <v>5061</v>
      </c>
      <c r="C174" s="141">
        <v>43169.0</v>
      </c>
      <c r="D174" s="63" t="s">
        <v>120</v>
      </c>
      <c r="E174" s="63" t="s">
        <v>199</v>
      </c>
      <c r="F174" s="81" t="s">
        <v>439</v>
      </c>
      <c r="G174" s="47" t="str">
        <f t="shared" si="1"/>
        <v>Breno</v>
      </c>
      <c r="H174" s="152" t="s">
        <v>224</v>
      </c>
      <c r="I174" s="74" t="s">
        <v>66</v>
      </c>
      <c r="J174" s="63" t="str">
        <f t="shared" si="4"/>
        <v>Não</v>
      </c>
      <c r="K174" s="467">
        <v>43510.0</v>
      </c>
      <c r="L174" s="467">
        <v>44322.0</v>
      </c>
      <c r="M174" s="81" t="s">
        <v>361</v>
      </c>
      <c r="N174" s="478">
        <v>0.0075</v>
      </c>
      <c r="O174" s="63" t="s">
        <v>35</v>
      </c>
      <c r="P174" s="145">
        <v>0.2</v>
      </c>
      <c r="Q174" s="243"/>
      <c r="R174" s="158" t="s">
        <v>5545</v>
      </c>
      <c r="S174" s="62" t="s">
        <v>234</v>
      </c>
      <c r="T174" s="30" t="s">
        <v>5546</v>
      </c>
      <c r="U174" s="81" t="s">
        <v>199</v>
      </c>
      <c r="V174" s="49" t="str">
        <f t="shared" si="3"/>
        <v>Encerrado</v>
      </c>
      <c r="W174" s="150"/>
      <c r="X174" s="150"/>
      <c r="Y174" s="81"/>
      <c r="Z174" s="81"/>
      <c r="AA174" s="81"/>
      <c r="AB174" s="30"/>
      <c r="AC174" s="96">
        <v>872384.36</v>
      </c>
      <c r="AD174" s="96">
        <v>844095.88</v>
      </c>
      <c r="AE174" s="96">
        <v>730451.12</v>
      </c>
      <c r="AF174" s="96">
        <v>729844.11</v>
      </c>
      <c r="AG174" s="96">
        <v>723713.77</v>
      </c>
      <c r="AH174" s="96">
        <v>737248.91</v>
      </c>
      <c r="AI174" s="96">
        <v>769104.01</v>
      </c>
      <c r="AJ174" s="96">
        <v>745360.56</v>
      </c>
      <c r="AK174" s="96">
        <v>728142.56</v>
      </c>
      <c r="AL174" s="96">
        <v>737493.66</v>
      </c>
      <c r="AM174" s="96">
        <v>787952.19</v>
      </c>
      <c r="AN174" s="96">
        <v>805964.88</v>
      </c>
      <c r="AO174" s="96">
        <v>795251.09</v>
      </c>
      <c r="AP174" s="96">
        <v>766802.23</v>
      </c>
      <c r="AQ174" s="96">
        <v>853255.46</v>
      </c>
      <c r="AR174" s="96">
        <v>876169.3</v>
      </c>
      <c r="AS174" s="96">
        <v>416791.76</v>
      </c>
      <c r="AT174" s="96">
        <v>416280.74</v>
      </c>
      <c r="AU174" s="96"/>
      <c r="AV174" s="96">
        <v>7.66</v>
      </c>
      <c r="AW174" s="96">
        <v>7.66</v>
      </c>
      <c r="AX174" s="96">
        <v>7.66</v>
      </c>
      <c r="AY174" s="96">
        <v>7.66</v>
      </c>
      <c r="AZ174" s="96">
        <v>7.66</v>
      </c>
      <c r="BA174" s="96">
        <v>7.66</v>
      </c>
      <c r="BB174" s="96">
        <v>7.66</v>
      </c>
      <c r="BC174" s="96"/>
      <c r="BD174" s="96">
        <v>0.0</v>
      </c>
      <c r="BE174" s="96">
        <v>0.0</v>
      </c>
      <c r="BF174" s="96">
        <v>0.0</v>
      </c>
      <c r="BG174" s="96" t="s">
        <v>377</v>
      </c>
      <c r="BH174" s="96">
        <v>0.0</v>
      </c>
      <c r="BI174" s="96" t="s">
        <v>377</v>
      </c>
      <c r="BJ174" s="96">
        <v>0.0</v>
      </c>
      <c r="BK174" s="472">
        <v>0.0</v>
      </c>
      <c r="BL174" s="472">
        <v>0.0</v>
      </c>
      <c r="BM174" s="472">
        <v>0.0</v>
      </c>
      <c r="BN174" s="472">
        <v>0.0</v>
      </c>
      <c r="BO174" s="472">
        <v>0.0</v>
      </c>
      <c r="BP174" s="472">
        <v>0.0</v>
      </c>
      <c r="BQ174" s="472">
        <v>0.0</v>
      </c>
      <c r="BR174" s="472">
        <v>0.0</v>
      </c>
      <c r="BS174" s="472">
        <v>0.0</v>
      </c>
      <c r="BT174" s="472">
        <v>0.0</v>
      </c>
      <c r="BU174" s="472">
        <v>0.0</v>
      </c>
      <c r="BV174" s="472">
        <v>0.0</v>
      </c>
      <c r="BW174" s="472">
        <v>0.0</v>
      </c>
      <c r="BX174" s="472">
        <v>0.0</v>
      </c>
      <c r="BY174" s="472">
        <v>0.0</v>
      </c>
      <c r="BZ174" s="472">
        <v>0.0</v>
      </c>
      <c r="CA174" s="474">
        <v>0.0</v>
      </c>
      <c r="CB174" s="474">
        <v>0.0</v>
      </c>
      <c r="CC174" s="474">
        <v>0.0</v>
      </c>
      <c r="CD174" s="474">
        <v>0.0</v>
      </c>
      <c r="CE174" s="474">
        <v>0.0</v>
      </c>
      <c r="CF174" s="474">
        <v>0.0</v>
      </c>
      <c r="CG174" s="474">
        <v>0.0</v>
      </c>
      <c r="CH174" s="65">
        <v>0.0</v>
      </c>
      <c r="CI174" s="65">
        <v>0.0</v>
      </c>
      <c r="CJ174" s="65">
        <v>0.0</v>
      </c>
      <c r="CK174" s="65">
        <v>0.0</v>
      </c>
      <c r="CL174" s="65">
        <v>0.0</v>
      </c>
      <c r="CM174" s="65">
        <v>0.0</v>
      </c>
      <c r="CN174" s="65">
        <v>0.0</v>
      </c>
    </row>
    <row r="175" ht="15.75" customHeight="1">
      <c r="A175" s="462" t="s">
        <v>2346</v>
      </c>
      <c r="B175" s="510" t="s">
        <v>5549</v>
      </c>
      <c r="C175" s="141">
        <v>77294.0</v>
      </c>
      <c r="D175" s="63" t="s">
        <v>1096</v>
      </c>
      <c r="E175" s="63" t="s">
        <v>199</v>
      </c>
      <c r="F175" s="81" t="s">
        <v>1096</v>
      </c>
      <c r="G175" s="47" t="str">
        <f t="shared" si="1"/>
        <v>Breno</v>
      </c>
      <c r="H175" s="152" t="s">
        <v>224</v>
      </c>
      <c r="I175" s="74" t="s">
        <v>66</v>
      </c>
      <c r="J175" s="63" t="str">
        <f t="shared" si="4"/>
        <v>Não</v>
      </c>
      <c r="K175" s="467">
        <v>44021.0</v>
      </c>
      <c r="L175" s="467">
        <v>44680.0</v>
      </c>
      <c r="M175" s="81" t="s">
        <v>209</v>
      </c>
      <c r="N175" s="478">
        <v>0.015</v>
      </c>
      <c r="O175" s="63" t="s">
        <v>35</v>
      </c>
      <c r="P175" s="145">
        <v>0.1</v>
      </c>
      <c r="Q175" s="158"/>
      <c r="R175" s="190"/>
      <c r="S175" s="62" t="s">
        <v>194</v>
      </c>
      <c r="T175" s="30" t="s">
        <v>5552</v>
      </c>
      <c r="U175" s="81" t="s">
        <v>199</v>
      </c>
      <c r="V175" s="49" t="str">
        <f t="shared" si="3"/>
        <v>Encerrado</v>
      </c>
      <c r="W175" s="150"/>
      <c r="X175" s="150"/>
      <c r="Y175" s="30" t="s">
        <v>269</v>
      </c>
      <c r="Z175" s="81"/>
      <c r="AA175" s="81"/>
      <c r="AB175" s="30"/>
      <c r="AC175" s="482"/>
      <c r="AD175" s="482"/>
      <c r="AE175" s="482"/>
      <c r="AF175" s="96"/>
      <c r="AG175" s="96">
        <v>0.0</v>
      </c>
      <c r="AH175" s="96">
        <v>6841118.73</v>
      </c>
      <c r="AI175" s="96">
        <v>9096049.67</v>
      </c>
      <c r="AJ175" s="96">
        <v>8828518.9</v>
      </c>
      <c r="AK175" s="96">
        <v>8654606.47</v>
      </c>
      <c r="AL175" s="96">
        <v>8728628.99</v>
      </c>
      <c r="AM175" s="96">
        <v>9113779.66</v>
      </c>
      <c r="AN175" s="96">
        <v>9376070.28</v>
      </c>
      <c r="AO175" s="96">
        <v>9208066.83</v>
      </c>
      <c r="AP175" s="96">
        <v>8973257.1</v>
      </c>
      <c r="AQ175" s="96">
        <v>8908862.14</v>
      </c>
      <c r="AR175" s="96">
        <v>9070859.03</v>
      </c>
      <c r="AS175" s="96">
        <v>9178962.41</v>
      </c>
      <c r="AT175" s="96">
        <v>9207697.63</v>
      </c>
      <c r="AU175" s="96">
        <v>9371703.23</v>
      </c>
      <c r="AV175" s="96">
        <v>9330180.91</v>
      </c>
      <c r="AW175" s="96">
        <v>9075569.85</v>
      </c>
      <c r="AX175" s="96">
        <v>9089027.13</v>
      </c>
      <c r="AY175" s="96">
        <v>8346383.95</v>
      </c>
      <c r="AZ175" s="96">
        <v>7980306.03</v>
      </c>
      <c r="BA175" s="96">
        <v>7494326.6</v>
      </c>
      <c r="BB175" s="96">
        <v>7396697.65</v>
      </c>
      <c r="BC175" s="96">
        <v>7282762.4</v>
      </c>
      <c r="BD175" s="96">
        <v>7326007.18</v>
      </c>
      <c r="BE175" s="96">
        <v>7634416.94</v>
      </c>
      <c r="BF175" s="96">
        <v>7493755.94</v>
      </c>
      <c r="BG175" s="96" t="s">
        <v>377</v>
      </c>
      <c r="BH175" s="96">
        <v>0.0</v>
      </c>
      <c r="BI175" s="96" t="s">
        <v>377</v>
      </c>
      <c r="BJ175" s="96">
        <v>0.0</v>
      </c>
      <c r="BK175" s="472">
        <v>0.0</v>
      </c>
      <c r="BL175" s="472">
        <v>0.0</v>
      </c>
      <c r="BM175" s="472">
        <v>0.0</v>
      </c>
      <c r="BN175" s="472">
        <v>0.0</v>
      </c>
      <c r="BO175" s="472">
        <v>0.0</v>
      </c>
      <c r="BP175" s="472">
        <v>0.0</v>
      </c>
      <c r="BQ175" s="472">
        <v>0.0</v>
      </c>
      <c r="BR175" s="472">
        <v>0.0</v>
      </c>
      <c r="BS175" s="472">
        <v>0.0</v>
      </c>
      <c r="BT175" s="472">
        <v>0.0</v>
      </c>
      <c r="BU175" s="472">
        <v>0.0</v>
      </c>
      <c r="BV175" s="472">
        <v>0.0</v>
      </c>
      <c r="BW175" s="472">
        <v>0.0</v>
      </c>
      <c r="BX175" s="472">
        <v>0.0</v>
      </c>
      <c r="BY175" s="472">
        <v>0.0</v>
      </c>
      <c r="BZ175" s="472">
        <v>0.0</v>
      </c>
      <c r="CA175" s="474">
        <v>0.0</v>
      </c>
      <c r="CB175" s="474">
        <v>0.0</v>
      </c>
      <c r="CC175" s="474">
        <v>0.0</v>
      </c>
      <c r="CD175" s="474">
        <v>0.0</v>
      </c>
      <c r="CE175" s="474">
        <v>0.0</v>
      </c>
      <c r="CF175" s="474">
        <v>0.0</v>
      </c>
      <c r="CG175" s="474">
        <v>0.0</v>
      </c>
      <c r="CH175" s="65">
        <v>0.0</v>
      </c>
      <c r="CI175" s="65">
        <v>0.0</v>
      </c>
      <c r="CJ175" s="65">
        <v>0.0</v>
      </c>
      <c r="CK175" s="65">
        <v>0.0</v>
      </c>
      <c r="CL175" s="65">
        <v>0.0</v>
      </c>
      <c r="CM175" s="65">
        <v>0.0</v>
      </c>
      <c r="CN175" s="65">
        <v>0.0</v>
      </c>
    </row>
    <row r="176" ht="15.75" customHeight="1">
      <c r="A176" s="462" t="s">
        <v>2346</v>
      </c>
      <c r="B176" s="510" t="s">
        <v>5549</v>
      </c>
      <c r="C176" s="141">
        <v>88938.0</v>
      </c>
      <c r="D176" s="63" t="s">
        <v>1096</v>
      </c>
      <c r="E176" s="63" t="s">
        <v>199</v>
      </c>
      <c r="F176" s="81" t="s">
        <v>1096</v>
      </c>
      <c r="G176" s="47" t="str">
        <f t="shared" si="1"/>
        <v>Breno</v>
      </c>
      <c r="H176" s="152" t="s">
        <v>224</v>
      </c>
      <c r="I176" s="74" t="s">
        <v>66</v>
      </c>
      <c r="J176" s="63" t="str">
        <f t="shared" si="4"/>
        <v>Não</v>
      </c>
      <c r="K176" s="467">
        <v>44029.0</v>
      </c>
      <c r="L176" s="467">
        <v>44680.0</v>
      </c>
      <c r="M176" s="81" t="s">
        <v>231</v>
      </c>
      <c r="N176" s="478">
        <v>0.018</v>
      </c>
      <c r="O176" s="141" t="s">
        <v>233</v>
      </c>
      <c r="P176" s="145">
        <v>0.2</v>
      </c>
      <c r="Q176" s="160"/>
      <c r="R176" s="158"/>
      <c r="S176" s="62" t="s">
        <v>194</v>
      </c>
      <c r="T176" s="30" t="s">
        <v>5552</v>
      </c>
      <c r="U176" s="81" t="s">
        <v>199</v>
      </c>
      <c r="V176" s="49" t="str">
        <f t="shared" si="3"/>
        <v>Encerrado</v>
      </c>
      <c r="W176" s="150"/>
      <c r="X176" s="150"/>
      <c r="Y176" s="30" t="s">
        <v>269</v>
      </c>
      <c r="Z176" s="81"/>
      <c r="AA176" s="81"/>
      <c r="AB176" s="30"/>
      <c r="AC176" s="482"/>
      <c r="AD176" s="482"/>
      <c r="AE176" s="482"/>
      <c r="AF176" s="96"/>
      <c r="AG176" s="96">
        <v>0.0</v>
      </c>
      <c r="AH176" s="96">
        <v>0.0</v>
      </c>
      <c r="AI176" s="96">
        <v>7045080.13</v>
      </c>
      <c r="AJ176" s="96">
        <v>4786748.79</v>
      </c>
      <c r="AK176" s="96">
        <v>4595236.28</v>
      </c>
      <c r="AL176" s="96">
        <v>4681114.88</v>
      </c>
      <c r="AM176" s="96">
        <v>5212637.49</v>
      </c>
      <c r="AN176" s="96">
        <v>5523118.8</v>
      </c>
      <c r="AO176" s="96">
        <v>5332603.35</v>
      </c>
      <c r="AP176" s="96">
        <v>4963853.56</v>
      </c>
      <c r="AQ176" s="96">
        <v>4849615.33</v>
      </c>
      <c r="AR176" s="96">
        <v>5106264.26</v>
      </c>
      <c r="AS176" s="96">
        <v>5272190.91</v>
      </c>
      <c r="AT176" s="96">
        <v>5317202.86</v>
      </c>
      <c r="AU176" s="96">
        <v>5541725.21</v>
      </c>
      <c r="AV176" s="96">
        <v>5462678.28</v>
      </c>
      <c r="AW176" s="96">
        <v>5306252.61</v>
      </c>
      <c r="AX176" s="96">
        <v>5073945.41</v>
      </c>
      <c r="AY176" s="96">
        <v>4824950.52</v>
      </c>
      <c r="AZ176" s="96">
        <v>4527303.37</v>
      </c>
      <c r="BA176" s="96">
        <v>4368466.66</v>
      </c>
      <c r="BB176" s="96">
        <v>4404295.46</v>
      </c>
      <c r="BC176" s="96">
        <v>4694526.63</v>
      </c>
      <c r="BD176" s="96">
        <v>4732058.21</v>
      </c>
      <c r="BE176" s="96">
        <v>5110232.33</v>
      </c>
      <c r="BF176" s="96">
        <v>4878578.17</v>
      </c>
      <c r="BG176" s="96" t="s">
        <v>377</v>
      </c>
      <c r="BH176" s="96">
        <v>0.0</v>
      </c>
      <c r="BI176" s="96" t="s">
        <v>377</v>
      </c>
      <c r="BJ176" s="96">
        <v>0.0</v>
      </c>
      <c r="BK176" s="472">
        <v>0.0</v>
      </c>
      <c r="BL176" s="472">
        <v>0.0</v>
      </c>
      <c r="BM176" s="472">
        <v>0.0</v>
      </c>
      <c r="BN176" s="472">
        <v>0.0</v>
      </c>
      <c r="BO176" s="472">
        <v>0.0</v>
      </c>
      <c r="BP176" s="472">
        <v>0.0</v>
      </c>
      <c r="BQ176" s="472">
        <v>0.0</v>
      </c>
      <c r="BR176" s="472">
        <v>0.0</v>
      </c>
      <c r="BS176" s="472">
        <v>0.0</v>
      </c>
      <c r="BT176" s="472">
        <v>0.0</v>
      </c>
      <c r="BU176" s="472">
        <v>0.0</v>
      </c>
      <c r="BV176" s="472">
        <v>0.0</v>
      </c>
      <c r="BW176" s="472">
        <v>0.0</v>
      </c>
      <c r="BX176" s="472">
        <v>0.0</v>
      </c>
      <c r="BY176" s="472">
        <v>0.0</v>
      </c>
      <c r="BZ176" s="472">
        <v>0.0</v>
      </c>
      <c r="CA176" s="474">
        <v>0.0</v>
      </c>
      <c r="CB176" s="474">
        <v>0.0</v>
      </c>
      <c r="CC176" s="474">
        <v>0.0</v>
      </c>
      <c r="CD176" s="474">
        <v>0.0</v>
      </c>
      <c r="CE176" s="474">
        <v>0.0</v>
      </c>
      <c r="CF176" s="474">
        <v>0.0</v>
      </c>
      <c r="CG176" s="474">
        <v>0.0</v>
      </c>
      <c r="CH176" s="65">
        <v>0.0</v>
      </c>
      <c r="CI176" s="65">
        <v>0.0</v>
      </c>
      <c r="CJ176" s="65">
        <v>0.0</v>
      </c>
      <c r="CK176" s="65">
        <v>0.0</v>
      </c>
      <c r="CL176" s="65">
        <v>0.0</v>
      </c>
      <c r="CM176" s="65">
        <v>0.0</v>
      </c>
      <c r="CN176" s="65">
        <v>0.0</v>
      </c>
    </row>
    <row r="177" ht="15.75" customHeight="1">
      <c r="A177" s="462" t="s">
        <v>2346</v>
      </c>
      <c r="B177" s="477" t="s">
        <v>5578</v>
      </c>
      <c r="C177" s="141">
        <v>464995.0</v>
      </c>
      <c r="D177" s="63" t="s">
        <v>120</v>
      </c>
      <c r="E177" s="63" t="s">
        <v>91</v>
      </c>
      <c r="F177" s="63" t="s">
        <v>193</v>
      </c>
      <c r="G177" s="47" t="str">
        <f t="shared" si="1"/>
        <v>Breno</v>
      </c>
      <c r="H177" s="142" t="s">
        <v>295</v>
      </c>
      <c r="I177" s="49" t="s">
        <v>382</v>
      </c>
      <c r="J177" s="63" t="str">
        <f t="shared" si="4"/>
        <v>Não</v>
      </c>
      <c r="K177" s="143">
        <v>44291.0</v>
      </c>
      <c r="L177" s="81"/>
      <c r="M177" s="81" t="s">
        <v>209</v>
      </c>
      <c r="N177" s="464">
        <v>0.015</v>
      </c>
      <c r="O177" s="63" t="s">
        <v>35</v>
      </c>
      <c r="P177" s="145">
        <v>0.1</v>
      </c>
      <c r="Q177" s="190"/>
      <c r="R177" s="158" t="s">
        <v>4264</v>
      </c>
      <c r="S177" s="62" t="s">
        <v>234</v>
      </c>
      <c r="T177" s="30" t="s">
        <v>5581</v>
      </c>
      <c r="U177" s="95" t="s">
        <v>221</v>
      </c>
      <c r="V177" s="49" t="str">
        <f t="shared" si="3"/>
        <v>Inativo</v>
      </c>
      <c r="W177" s="150"/>
      <c r="X177" s="150"/>
      <c r="Y177" s="30" t="s">
        <v>244</v>
      </c>
      <c r="Z177" s="81"/>
      <c r="AA177" s="467">
        <v>44291.0</v>
      </c>
      <c r="AB177" s="30">
        <v>4.9075100009937E13</v>
      </c>
      <c r="AC177" s="482"/>
      <c r="AD177" s="482"/>
      <c r="AE177" s="482"/>
      <c r="AF177" s="482"/>
      <c r="AG177" s="482"/>
      <c r="AH177" s="482"/>
      <c r="AI177" s="482"/>
      <c r="AJ177" s="482"/>
      <c r="AK177" s="482"/>
      <c r="AL177" s="482"/>
      <c r="AM177" s="482"/>
      <c r="AN177" s="482"/>
      <c r="AO177" s="482"/>
      <c r="AP177" s="96"/>
      <c r="AQ177" s="471"/>
      <c r="AR177" s="471">
        <v>320760.11</v>
      </c>
      <c r="AS177" s="471">
        <v>321399.28</v>
      </c>
      <c r="AT177" s="471">
        <v>323438.33</v>
      </c>
      <c r="AU177" s="471">
        <v>329091.03</v>
      </c>
      <c r="AV177" s="96">
        <v>327465.8</v>
      </c>
      <c r="AW177" s="96">
        <v>323979.0</v>
      </c>
      <c r="AX177" s="96">
        <v>318108.39</v>
      </c>
      <c r="AY177" s="96">
        <v>313689.48</v>
      </c>
      <c r="AZ177" s="96">
        <v>306576.34</v>
      </c>
      <c r="BA177" s="96">
        <v>303835.54</v>
      </c>
      <c r="BB177" s="96">
        <v>304185.04</v>
      </c>
      <c r="BC177" s="96">
        <v>310974.42</v>
      </c>
      <c r="BD177" s="96">
        <v>313115.38</v>
      </c>
      <c r="BE177" s="96">
        <v>323213.95</v>
      </c>
      <c r="BF177" s="96">
        <v>318593.25</v>
      </c>
      <c r="BG177" s="472">
        <v>318296.57</v>
      </c>
      <c r="BH177" s="472">
        <v>316963.73</v>
      </c>
      <c r="BI177" s="472">
        <v>321774.89</v>
      </c>
      <c r="BJ177" s="472">
        <v>324858.77</v>
      </c>
      <c r="BK177" s="472">
        <v>327446.28</v>
      </c>
      <c r="BL177" s="472">
        <v>335555.2</v>
      </c>
      <c r="BM177" s="472">
        <v>330471.42</v>
      </c>
      <c r="BN177" s="472">
        <v>334100.36</v>
      </c>
      <c r="BO177" s="472">
        <v>335578.19</v>
      </c>
      <c r="BP177" s="472">
        <v>335701.57</v>
      </c>
      <c r="BQ177" s="472">
        <v>76390.43</v>
      </c>
      <c r="BR177" s="472">
        <v>296.7</v>
      </c>
      <c r="BS177" s="472">
        <v>595.7</v>
      </c>
      <c r="BT177" s="472">
        <v>0.0</v>
      </c>
      <c r="BU177" s="472">
        <v>0.0</v>
      </c>
      <c r="BV177" s="472">
        <v>0.0</v>
      </c>
      <c r="BW177" s="472">
        <v>0.0</v>
      </c>
      <c r="BX177" s="472">
        <v>0.0</v>
      </c>
      <c r="BY177" s="472">
        <v>0.0</v>
      </c>
      <c r="BZ177" s="472">
        <v>0.0</v>
      </c>
      <c r="CA177" s="474">
        <v>0.0</v>
      </c>
      <c r="CB177" s="474">
        <v>0.0</v>
      </c>
      <c r="CC177" s="474">
        <v>0.0</v>
      </c>
      <c r="CD177" s="474">
        <v>0.0</v>
      </c>
      <c r="CE177" s="474">
        <v>0.0</v>
      </c>
      <c r="CF177" s="474">
        <v>0.0</v>
      </c>
      <c r="CG177" s="474">
        <v>0.0</v>
      </c>
      <c r="CH177" s="65">
        <v>0.0</v>
      </c>
      <c r="CI177" s="65">
        <v>0.0</v>
      </c>
      <c r="CJ177" s="65">
        <v>0.0</v>
      </c>
      <c r="CK177" s="65">
        <v>0.0</v>
      </c>
      <c r="CL177" s="65">
        <v>0.0</v>
      </c>
      <c r="CM177" s="65">
        <v>0.0</v>
      </c>
      <c r="CN177" s="65">
        <v>0.0</v>
      </c>
    </row>
    <row r="178" ht="15.75" customHeight="1">
      <c r="A178" s="462" t="s">
        <v>2346</v>
      </c>
      <c r="B178" s="462" t="s">
        <v>956</v>
      </c>
      <c r="C178" s="141">
        <v>579208.0</v>
      </c>
      <c r="D178" s="63" t="s">
        <v>120</v>
      </c>
      <c r="E178" s="63" t="s">
        <v>199</v>
      </c>
      <c r="F178" s="141" t="s">
        <v>290</v>
      </c>
      <c r="G178" s="47" t="str">
        <f t="shared" si="1"/>
        <v>Breno</v>
      </c>
      <c r="H178" s="142" t="s">
        <v>183</v>
      </c>
      <c r="I178" s="74" t="s">
        <v>66</v>
      </c>
      <c r="J178" s="63" t="str">
        <f t="shared" si="4"/>
        <v>Não</v>
      </c>
      <c r="K178" s="143">
        <v>43605.0</v>
      </c>
      <c r="L178" s="81"/>
      <c r="M178" s="81" t="s">
        <v>34</v>
      </c>
      <c r="N178" s="464">
        <v>0.005</v>
      </c>
      <c r="O178" s="141" t="s">
        <v>66</v>
      </c>
      <c r="P178" s="145">
        <v>0.0</v>
      </c>
      <c r="Q178" s="158"/>
      <c r="R178" s="153" t="s">
        <v>959</v>
      </c>
      <c r="S178" s="62" t="s">
        <v>194</v>
      </c>
      <c r="T178" s="141" t="s">
        <v>960</v>
      </c>
      <c r="U178" s="81" t="s">
        <v>199</v>
      </c>
      <c r="V178" s="49" t="str">
        <f t="shared" si="3"/>
        <v>Ativo</v>
      </c>
      <c r="W178" s="150"/>
      <c r="X178" s="150"/>
      <c r="Y178" s="30" t="s">
        <v>244</v>
      </c>
      <c r="Z178" s="81"/>
      <c r="AA178" s="467">
        <v>43605.0</v>
      </c>
      <c r="AB178" s="30">
        <v>4.9075100003882E13</v>
      </c>
      <c r="AC178" s="96">
        <v>924787.49</v>
      </c>
      <c r="AD178" s="96">
        <v>916852.85</v>
      </c>
      <c r="AE178" s="96">
        <v>899633.62</v>
      </c>
      <c r="AF178" s="96">
        <v>847522.08</v>
      </c>
      <c r="AG178" s="96">
        <v>833539.3</v>
      </c>
      <c r="AH178" s="96">
        <v>871019.42</v>
      </c>
      <c r="AI178" s="96">
        <v>847214.95</v>
      </c>
      <c r="AJ178" s="96">
        <v>827306.87</v>
      </c>
      <c r="AK178" s="96">
        <v>805568.91</v>
      </c>
      <c r="AL178" s="96">
        <v>747391.23</v>
      </c>
      <c r="AM178" s="96">
        <v>689496.61</v>
      </c>
      <c r="AN178" s="96">
        <v>665441.54</v>
      </c>
      <c r="AO178" s="96">
        <v>628315.75</v>
      </c>
      <c r="AP178" s="96">
        <v>620614.92</v>
      </c>
      <c r="AQ178" s="471">
        <v>620543.15</v>
      </c>
      <c r="AR178" s="471">
        <v>608538.0</v>
      </c>
      <c r="AS178" s="471">
        <v>608592.02</v>
      </c>
      <c r="AT178" s="471">
        <v>608690.65</v>
      </c>
      <c r="AU178" s="471">
        <v>595608.23</v>
      </c>
      <c r="AV178" s="96">
        <v>589117.26</v>
      </c>
      <c r="AW178" s="96">
        <v>576105.44</v>
      </c>
      <c r="AX178" s="96">
        <v>560152.18</v>
      </c>
      <c r="AY178" s="96">
        <v>530122.17</v>
      </c>
      <c r="AZ178" s="96">
        <v>520943.84</v>
      </c>
      <c r="BA178" s="96">
        <v>518853.22</v>
      </c>
      <c r="BB178" s="96">
        <v>490304.02</v>
      </c>
      <c r="BC178" s="96">
        <v>493357.38</v>
      </c>
      <c r="BD178" s="96">
        <v>479384.81</v>
      </c>
      <c r="BE178" s="96">
        <v>478297.29</v>
      </c>
      <c r="BF178" s="96">
        <v>474427.36</v>
      </c>
      <c r="BG178" s="472">
        <v>458730.64</v>
      </c>
      <c r="BH178" s="472">
        <v>443120.69</v>
      </c>
      <c r="BI178" s="472">
        <v>445621.67</v>
      </c>
      <c r="BJ178" s="472">
        <v>432422.75</v>
      </c>
      <c r="BK178" s="472">
        <v>435663.09</v>
      </c>
      <c r="BL178" s="472">
        <v>429833.13</v>
      </c>
      <c r="BM178" s="472">
        <v>411496.36</v>
      </c>
      <c r="BN178" s="472">
        <v>415323.61</v>
      </c>
      <c r="BO178" s="472">
        <v>388598.37</v>
      </c>
      <c r="BP178" s="472">
        <v>391744.42</v>
      </c>
      <c r="BQ178" s="472">
        <v>364157.73</v>
      </c>
      <c r="BR178" s="472">
        <v>366751.04</v>
      </c>
      <c r="BS178" s="472">
        <v>355249.85</v>
      </c>
      <c r="BT178" s="472">
        <v>343128.75</v>
      </c>
      <c r="BU178" s="472">
        <v>330102.66</v>
      </c>
      <c r="BV178" s="472">
        <v>317659.63</v>
      </c>
      <c r="BW178" s="472">
        <v>301542.8</v>
      </c>
      <c r="BX178" s="472">
        <v>273397.78</v>
      </c>
      <c r="BY178" s="472">
        <v>261872.14</v>
      </c>
      <c r="BZ178" s="472">
        <v>266637.59</v>
      </c>
      <c r="CA178" s="474">
        <v>250558.1</v>
      </c>
      <c r="CB178" s="474">
        <v>252819.86</v>
      </c>
      <c r="CC178" s="474">
        <v>235020.56</v>
      </c>
      <c r="CD178" s="474">
        <v>219945.42</v>
      </c>
      <c r="CE178" s="474">
        <v>192467.75</v>
      </c>
      <c r="CF178" s="474">
        <v>194110.94</v>
      </c>
      <c r="CG178" s="474">
        <v>179382.09</v>
      </c>
      <c r="CH178" s="65">
        <v>165949.07</v>
      </c>
      <c r="CI178" s="65">
        <v>152189.39</v>
      </c>
      <c r="CJ178" s="65">
        <v>153767.44</v>
      </c>
      <c r="CK178" s="65">
        <v>140036.53</v>
      </c>
      <c r="CL178" s="65">
        <v>126025.11</v>
      </c>
      <c r="CM178" s="65">
        <v>127328.16</v>
      </c>
      <c r="CN178" s="65">
        <v>126934.83</v>
      </c>
    </row>
    <row r="179" ht="15.75" customHeight="1">
      <c r="A179" s="462" t="s">
        <v>2346</v>
      </c>
      <c r="B179" s="462" t="s">
        <v>956</v>
      </c>
      <c r="C179" s="141">
        <v>582180.0</v>
      </c>
      <c r="D179" s="63" t="s">
        <v>120</v>
      </c>
      <c r="E179" s="63" t="s">
        <v>199</v>
      </c>
      <c r="F179" s="141" t="s">
        <v>290</v>
      </c>
      <c r="G179" s="47" t="str">
        <f t="shared" si="1"/>
        <v>Breno</v>
      </c>
      <c r="H179" s="142" t="s">
        <v>183</v>
      </c>
      <c r="I179" s="74" t="s">
        <v>66</v>
      </c>
      <c r="J179" s="63" t="str">
        <f t="shared" si="4"/>
        <v>Não</v>
      </c>
      <c r="K179" s="143">
        <v>43605.0</v>
      </c>
      <c r="L179" s="81"/>
      <c r="M179" s="81" t="s">
        <v>231</v>
      </c>
      <c r="N179" s="464">
        <v>0.02</v>
      </c>
      <c r="O179" s="141" t="s">
        <v>233</v>
      </c>
      <c r="P179" s="145">
        <v>0.2</v>
      </c>
      <c r="Q179" s="158"/>
      <c r="R179" s="153" t="s">
        <v>959</v>
      </c>
      <c r="S179" s="62" t="s">
        <v>194</v>
      </c>
      <c r="T179" s="141" t="s">
        <v>960</v>
      </c>
      <c r="U179" s="81" t="s">
        <v>199</v>
      </c>
      <c r="V179" s="49" t="str">
        <f t="shared" si="3"/>
        <v>Ativo</v>
      </c>
      <c r="W179" s="150"/>
      <c r="X179" s="150"/>
      <c r="Y179" s="30" t="s">
        <v>244</v>
      </c>
      <c r="Z179" s="81"/>
      <c r="AA179" s="467">
        <v>43605.0</v>
      </c>
      <c r="AB179" s="30">
        <v>4.9075100010651E13</v>
      </c>
      <c r="AC179" s="96">
        <v>239636.26</v>
      </c>
      <c r="AD179" s="96">
        <v>221814.74</v>
      </c>
      <c r="AE179" s="96">
        <v>151809.22</v>
      </c>
      <c r="AF179" s="96">
        <v>153091.9</v>
      </c>
      <c r="AG179" s="96">
        <v>158665.67</v>
      </c>
      <c r="AH179" s="96">
        <v>168494.07</v>
      </c>
      <c r="AI179" s="96">
        <v>185312.46</v>
      </c>
      <c r="AJ179" s="96">
        <v>176858.19</v>
      </c>
      <c r="AK179" s="96">
        <v>167427.84</v>
      </c>
      <c r="AL179" s="96">
        <v>173465.16</v>
      </c>
      <c r="AM179" s="96">
        <v>196681.8</v>
      </c>
      <c r="AN179" s="96">
        <v>202419.98</v>
      </c>
      <c r="AO179" s="96">
        <v>196803.27</v>
      </c>
      <c r="AP179" s="96">
        <v>177757.37</v>
      </c>
      <c r="AQ179" s="471">
        <v>156062.74</v>
      </c>
      <c r="AR179" s="471">
        <v>169201.15</v>
      </c>
      <c r="AS179" s="471">
        <v>170836.69</v>
      </c>
      <c r="AT179" s="471">
        <v>172074.45</v>
      </c>
      <c r="AU179" s="471">
        <v>167254.8</v>
      </c>
      <c r="AV179" s="96">
        <v>163536.4</v>
      </c>
      <c r="AW179" s="96">
        <v>157843.12</v>
      </c>
      <c r="AX179" s="96">
        <v>150690.14</v>
      </c>
      <c r="AY179" s="96">
        <v>143321.14</v>
      </c>
      <c r="AZ179" s="96">
        <v>134959.45</v>
      </c>
      <c r="BA179" s="96">
        <v>131495.03</v>
      </c>
      <c r="BB179" s="96">
        <v>130695.68</v>
      </c>
      <c r="BC179" s="96">
        <v>136906.14</v>
      </c>
      <c r="BD179" s="96">
        <v>139503.54</v>
      </c>
      <c r="BE179" s="96">
        <v>135627.01</v>
      </c>
      <c r="BF179" s="96">
        <v>128069.36</v>
      </c>
      <c r="BG179" s="472">
        <v>109630.39</v>
      </c>
      <c r="BH179" s="472">
        <v>104167.39</v>
      </c>
      <c r="BI179" s="472">
        <v>109278.61</v>
      </c>
      <c r="BJ179" s="472">
        <v>110730.32</v>
      </c>
      <c r="BK179" s="472">
        <v>96415.48</v>
      </c>
      <c r="BL179" s="472">
        <v>103589.44</v>
      </c>
      <c r="BM179" s="472">
        <v>101431.2</v>
      </c>
      <c r="BN179" s="472">
        <v>85762.12</v>
      </c>
      <c r="BO179" s="472">
        <v>88792.9</v>
      </c>
      <c r="BP179" s="472">
        <v>85313.74</v>
      </c>
      <c r="BQ179" s="472">
        <v>84599.92</v>
      </c>
      <c r="BR179" s="472">
        <v>82867.64</v>
      </c>
      <c r="BS179" s="472">
        <v>86450.4</v>
      </c>
      <c r="BT179" s="472">
        <v>93006.33</v>
      </c>
      <c r="BU179" s="472">
        <v>97689.75</v>
      </c>
      <c r="BV179" s="472">
        <v>96845.3</v>
      </c>
      <c r="BW179" s="472">
        <v>93368.93</v>
      </c>
      <c r="BX179" s="472">
        <v>73713.06</v>
      </c>
      <c r="BY179" s="472">
        <v>95396.88</v>
      </c>
      <c r="BZ179" s="472">
        <v>100092.81</v>
      </c>
      <c r="CA179" s="474">
        <v>94194.37</v>
      </c>
      <c r="CB179" s="474">
        <v>95865.62</v>
      </c>
      <c r="CC179" s="474">
        <v>96390.44</v>
      </c>
      <c r="CD179" s="474">
        <v>92551.2</v>
      </c>
      <c r="CE179" s="474">
        <v>80708.02</v>
      </c>
      <c r="CF179" s="474">
        <v>88779.16</v>
      </c>
      <c r="CG179" s="474">
        <v>66535.82</v>
      </c>
      <c r="CH179" s="65">
        <v>77349.81</v>
      </c>
      <c r="CI179" s="65">
        <v>75752.47</v>
      </c>
      <c r="CJ179" s="65">
        <v>71892.1</v>
      </c>
      <c r="CK179" s="65">
        <v>68964.46</v>
      </c>
      <c r="CL179" s="65">
        <v>64076.16</v>
      </c>
      <c r="CM179" s="65">
        <v>54619.59</v>
      </c>
      <c r="CN179" s="65">
        <v>43577.18</v>
      </c>
    </row>
    <row r="180" ht="15.75" customHeight="1">
      <c r="A180" s="462" t="s">
        <v>2346</v>
      </c>
      <c r="B180" s="50" t="s">
        <v>5614</v>
      </c>
      <c r="C180" s="141">
        <v>32073.0</v>
      </c>
      <c r="D180" s="63" t="s">
        <v>120</v>
      </c>
      <c r="E180" s="63" t="s">
        <v>91</v>
      </c>
      <c r="F180" s="81" t="s">
        <v>521</v>
      </c>
      <c r="G180" s="47" t="str">
        <f t="shared" si="1"/>
        <v>Breno</v>
      </c>
      <c r="H180" s="152" t="s">
        <v>224</v>
      </c>
      <c r="I180" s="74" t="s">
        <v>66</v>
      </c>
      <c r="J180" s="63" t="str">
        <f t="shared" si="4"/>
        <v>Não</v>
      </c>
      <c r="K180" s="467">
        <v>44319.0</v>
      </c>
      <c r="L180" s="480">
        <v>44522.0</v>
      </c>
      <c r="M180" s="81" t="s">
        <v>209</v>
      </c>
      <c r="N180" s="478">
        <v>0.015</v>
      </c>
      <c r="O180" s="63" t="s">
        <v>35</v>
      </c>
      <c r="P180" s="145">
        <v>0.1</v>
      </c>
      <c r="Q180" s="158"/>
      <c r="R180" s="158"/>
      <c r="S180" s="62" t="s">
        <v>194</v>
      </c>
      <c r="T180" s="22" t="s">
        <v>5618</v>
      </c>
      <c r="U180" s="95" t="s">
        <v>221</v>
      </c>
      <c r="V180" s="49" t="str">
        <f t="shared" si="3"/>
        <v>Encerrado</v>
      </c>
      <c r="W180" s="150"/>
      <c r="X180" s="150"/>
      <c r="Y180" s="81"/>
      <c r="Z180" s="81"/>
      <c r="AA180" s="81"/>
      <c r="AB180" s="30"/>
      <c r="AC180" s="476"/>
      <c r="AD180" s="476"/>
      <c r="AE180" s="476"/>
      <c r="AF180" s="476"/>
      <c r="AG180" s="476"/>
      <c r="AH180" s="476"/>
      <c r="AI180" s="476"/>
      <c r="AJ180" s="476"/>
      <c r="AK180" s="476"/>
      <c r="AL180" s="476"/>
      <c r="AM180" s="476"/>
      <c r="AN180" s="476"/>
      <c r="AO180" s="476"/>
      <c r="AP180" s="96"/>
      <c r="AQ180" s="96"/>
      <c r="AR180" s="96"/>
      <c r="AS180" s="96"/>
      <c r="AT180" s="96"/>
      <c r="AU180" s="96">
        <v>1150674.42</v>
      </c>
      <c r="AV180" s="96">
        <v>1145387.21</v>
      </c>
      <c r="AW180" s="96">
        <v>1134616.15</v>
      </c>
      <c r="AX180" s="96">
        <v>1114258.79</v>
      </c>
      <c r="AY180" s="96">
        <v>1069254.12</v>
      </c>
      <c r="AZ180" s="96">
        <v>1042953.45</v>
      </c>
      <c r="BA180" s="96"/>
      <c r="BB180" s="96"/>
      <c r="BC180" s="96"/>
      <c r="BD180" s="96">
        <v>0.0</v>
      </c>
      <c r="BE180" s="96">
        <v>0.0</v>
      </c>
      <c r="BF180" s="96">
        <v>0.0</v>
      </c>
      <c r="BG180" s="96" t="s">
        <v>377</v>
      </c>
      <c r="BH180" s="96">
        <v>0.0</v>
      </c>
      <c r="BI180" s="96" t="s">
        <v>377</v>
      </c>
      <c r="BJ180" s="96">
        <v>0.0</v>
      </c>
      <c r="BK180" s="472">
        <v>0.0</v>
      </c>
      <c r="BL180" s="472">
        <v>0.0</v>
      </c>
      <c r="BM180" s="472">
        <v>0.0</v>
      </c>
      <c r="BN180" s="472">
        <v>0.0</v>
      </c>
      <c r="BO180" s="472">
        <v>0.0</v>
      </c>
      <c r="BP180" s="472">
        <v>0.0</v>
      </c>
      <c r="BQ180" s="472">
        <v>0.0</v>
      </c>
      <c r="BR180" s="472">
        <v>0.0</v>
      </c>
      <c r="BS180" s="472">
        <v>0.0</v>
      </c>
      <c r="BT180" s="472">
        <v>0.0</v>
      </c>
      <c r="BU180" s="472">
        <v>0.0</v>
      </c>
      <c r="BV180" s="472">
        <v>0.0</v>
      </c>
      <c r="BW180" s="472">
        <v>0.0</v>
      </c>
      <c r="BX180" s="472">
        <v>0.0</v>
      </c>
      <c r="BY180" s="472">
        <v>0.0</v>
      </c>
      <c r="BZ180" s="472">
        <v>0.0</v>
      </c>
      <c r="CA180" s="474">
        <v>0.0</v>
      </c>
      <c r="CB180" s="474">
        <v>0.0</v>
      </c>
      <c r="CC180" s="474">
        <v>0.0</v>
      </c>
      <c r="CD180" s="474">
        <v>0.0</v>
      </c>
      <c r="CE180" s="474">
        <v>0.0</v>
      </c>
      <c r="CF180" s="474">
        <v>0.0</v>
      </c>
      <c r="CG180" s="474">
        <v>0.0</v>
      </c>
      <c r="CH180" s="65">
        <v>0.0</v>
      </c>
      <c r="CI180" s="65">
        <v>0.0</v>
      </c>
      <c r="CJ180" s="65">
        <v>0.0</v>
      </c>
      <c r="CK180" s="65">
        <v>0.0</v>
      </c>
      <c r="CL180" s="65">
        <v>0.0</v>
      </c>
      <c r="CM180" s="65">
        <v>0.0</v>
      </c>
      <c r="CN180" s="65">
        <v>0.0</v>
      </c>
    </row>
    <row r="181" ht="15.75" customHeight="1">
      <c r="A181" s="462" t="s">
        <v>2346</v>
      </c>
      <c r="B181" s="477" t="s">
        <v>5624</v>
      </c>
      <c r="C181" s="141">
        <v>32115.0</v>
      </c>
      <c r="D181" s="63" t="s">
        <v>120</v>
      </c>
      <c r="E181" s="63" t="s">
        <v>91</v>
      </c>
      <c r="F181" s="63" t="s">
        <v>521</v>
      </c>
      <c r="G181" s="47" t="str">
        <f t="shared" si="1"/>
        <v>Breno</v>
      </c>
      <c r="H181" s="142" t="s">
        <v>295</v>
      </c>
      <c r="I181" s="49" t="s">
        <v>382</v>
      </c>
      <c r="J181" s="63" t="str">
        <f t="shared" si="4"/>
        <v>Não</v>
      </c>
      <c r="K181" s="143">
        <v>44280.0</v>
      </c>
      <c r="L181" s="81"/>
      <c r="M181" s="81" t="s">
        <v>61</v>
      </c>
      <c r="N181" s="478">
        <v>0.007</v>
      </c>
      <c r="O181" s="141" t="s">
        <v>66</v>
      </c>
      <c r="P181" s="145">
        <v>0.0</v>
      </c>
      <c r="Q181" s="146"/>
      <c r="R181" s="158"/>
      <c r="S181" s="62" t="s">
        <v>194</v>
      </c>
      <c r="T181" s="30" t="s">
        <v>5628</v>
      </c>
      <c r="U181" s="95" t="s">
        <v>221</v>
      </c>
      <c r="V181" s="49" t="str">
        <f t="shared" si="3"/>
        <v>Inativo</v>
      </c>
      <c r="W181" s="150"/>
      <c r="X181" s="150"/>
      <c r="Y181" s="30" t="s">
        <v>244</v>
      </c>
      <c r="Z181" s="81"/>
      <c r="AA181" s="467">
        <v>44280.0</v>
      </c>
      <c r="AB181" s="30">
        <v>4.9075100003904E13</v>
      </c>
      <c r="AC181" s="482"/>
      <c r="AD181" s="482"/>
      <c r="AE181" s="482"/>
      <c r="AF181" s="482"/>
      <c r="AG181" s="482"/>
      <c r="AH181" s="482"/>
      <c r="AI181" s="482"/>
      <c r="AJ181" s="482"/>
      <c r="AK181" s="482"/>
      <c r="AL181" s="482"/>
      <c r="AM181" s="482"/>
      <c r="AN181" s="482"/>
      <c r="AO181" s="482"/>
      <c r="AP181" s="96"/>
      <c r="AQ181" s="471"/>
      <c r="AR181" s="471">
        <v>605627.57</v>
      </c>
      <c r="AS181" s="471"/>
      <c r="AT181" s="471">
        <v>578392.64</v>
      </c>
      <c r="AU181" s="471">
        <v>618308.4</v>
      </c>
      <c r="AV181" s="96">
        <v>617708.5</v>
      </c>
      <c r="AW181" s="96">
        <v>552062.75</v>
      </c>
      <c r="AX181" s="96">
        <v>641248.39</v>
      </c>
      <c r="AY181" s="96">
        <v>586736.95</v>
      </c>
      <c r="AZ181" s="96">
        <v>562372.33</v>
      </c>
      <c r="BA181" s="96">
        <v>555717.45</v>
      </c>
      <c r="BB181" s="96">
        <v>554882.95</v>
      </c>
      <c r="BC181" s="96">
        <v>556263.38</v>
      </c>
      <c r="BD181" s="96">
        <v>560378.11</v>
      </c>
      <c r="BE181" s="96">
        <v>585650.72</v>
      </c>
      <c r="BF181" s="96">
        <v>576647.62</v>
      </c>
      <c r="BG181" s="472">
        <v>576133.53</v>
      </c>
      <c r="BH181" s="472">
        <v>571587.39</v>
      </c>
      <c r="BI181" s="472">
        <v>525727.72</v>
      </c>
      <c r="BJ181" s="472">
        <v>532425.18</v>
      </c>
      <c r="BK181" s="472">
        <v>526257.86</v>
      </c>
      <c r="BL181" s="472">
        <v>540090.3</v>
      </c>
      <c r="BM181" s="472">
        <v>540180.11</v>
      </c>
      <c r="BN181" s="472">
        <v>529351.12</v>
      </c>
      <c r="BO181" s="472">
        <v>474627.18</v>
      </c>
      <c r="BP181" s="472">
        <v>468370.47</v>
      </c>
      <c r="BQ181" s="472">
        <v>472782.56</v>
      </c>
      <c r="BR181" s="472">
        <v>68422.7</v>
      </c>
      <c r="BS181" s="472">
        <v>0.57</v>
      </c>
      <c r="BT181" s="472">
        <v>0.0</v>
      </c>
      <c r="BU181" s="472">
        <v>0.0</v>
      </c>
      <c r="BV181" s="472">
        <v>0.0</v>
      </c>
      <c r="BW181" s="472">
        <v>0.0</v>
      </c>
      <c r="BX181" s="472">
        <v>0.0</v>
      </c>
      <c r="BY181" s="472">
        <v>0.0</v>
      </c>
      <c r="BZ181" s="472">
        <v>0.0</v>
      </c>
      <c r="CA181" s="474">
        <v>0.0</v>
      </c>
      <c r="CB181" s="474">
        <v>0.0</v>
      </c>
      <c r="CC181" s="474">
        <v>0.0</v>
      </c>
      <c r="CD181" s="474">
        <v>0.0</v>
      </c>
      <c r="CE181" s="474">
        <v>0.0</v>
      </c>
      <c r="CF181" s="474">
        <v>0.0</v>
      </c>
      <c r="CG181" s="474">
        <v>0.0</v>
      </c>
      <c r="CH181" s="65">
        <v>0.0</v>
      </c>
      <c r="CI181" s="65">
        <v>0.0</v>
      </c>
      <c r="CJ181" s="65">
        <v>0.0</v>
      </c>
      <c r="CK181" s="65">
        <v>0.0</v>
      </c>
      <c r="CL181" s="65">
        <v>0.0</v>
      </c>
      <c r="CM181" s="65">
        <v>0.0</v>
      </c>
      <c r="CN181" s="65">
        <v>0.0</v>
      </c>
    </row>
    <row r="182" ht="15.75" customHeight="1">
      <c r="A182" s="462" t="s">
        <v>2346</v>
      </c>
      <c r="B182" s="176" t="s">
        <v>5624</v>
      </c>
      <c r="C182" s="141">
        <v>560590.0</v>
      </c>
      <c r="D182" s="63" t="s">
        <v>120</v>
      </c>
      <c r="E182" s="63" t="s">
        <v>91</v>
      </c>
      <c r="F182" s="63" t="s">
        <v>521</v>
      </c>
      <c r="G182" s="47" t="str">
        <f t="shared" si="1"/>
        <v>Breno</v>
      </c>
      <c r="H182" s="142" t="s">
        <v>295</v>
      </c>
      <c r="I182" s="49" t="s">
        <v>382</v>
      </c>
      <c r="J182" s="63" t="str">
        <f t="shared" si="4"/>
        <v>Sim</v>
      </c>
      <c r="K182" s="467">
        <v>44610.0</v>
      </c>
      <c r="L182" s="81"/>
      <c r="M182" s="81" t="s">
        <v>61</v>
      </c>
      <c r="N182" s="478">
        <v>0.007</v>
      </c>
      <c r="O182" s="141" t="s">
        <v>66</v>
      </c>
      <c r="P182" s="145">
        <v>0.0</v>
      </c>
      <c r="Q182" s="158" t="s">
        <v>5634</v>
      </c>
      <c r="R182" s="158"/>
      <c r="S182" s="62" t="s">
        <v>194</v>
      </c>
      <c r="T182" s="22" t="s">
        <v>5628</v>
      </c>
      <c r="U182" s="95" t="s">
        <v>221</v>
      </c>
      <c r="V182" s="49" t="str">
        <f t="shared" si="3"/>
        <v>Inativo</v>
      </c>
      <c r="W182" s="150"/>
      <c r="X182" s="150"/>
      <c r="Y182" s="30" t="s">
        <v>244</v>
      </c>
      <c r="Z182" s="81"/>
      <c r="AA182" s="467">
        <v>44610.0</v>
      </c>
      <c r="AB182" s="30">
        <v>4.9075100010668E13</v>
      </c>
      <c r="AC182" s="482"/>
      <c r="AD182" s="482"/>
      <c r="AE182" s="482"/>
      <c r="AF182" s="482"/>
      <c r="AG182" s="482"/>
      <c r="AH182" s="482"/>
      <c r="AI182" s="482"/>
      <c r="AJ182" s="482"/>
      <c r="AK182" s="482"/>
      <c r="AL182" s="482"/>
      <c r="AM182" s="482"/>
      <c r="AN182" s="482"/>
      <c r="AO182" s="482"/>
      <c r="AP182" s="96"/>
      <c r="AQ182" s="471"/>
      <c r="AR182" s="471"/>
      <c r="AS182" s="471"/>
      <c r="AT182" s="471"/>
      <c r="AU182" s="471"/>
      <c r="AV182" s="96"/>
      <c r="AW182" s="96"/>
      <c r="AX182" s="96"/>
      <c r="AY182" s="96"/>
      <c r="AZ182" s="96"/>
      <c r="BA182" s="96"/>
      <c r="BB182" s="96"/>
      <c r="BC182" s="96"/>
      <c r="BD182" s="96">
        <v>80025.17</v>
      </c>
      <c r="BE182" s="96">
        <v>80857.9</v>
      </c>
      <c r="BF182" s="96">
        <v>81564.6</v>
      </c>
      <c r="BG182" s="472">
        <v>82284.69</v>
      </c>
      <c r="BH182" s="472">
        <v>82896.41</v>
      </c>
      <c r="BI182" s="472">
        <v>83453.21</v>
      </c>
      <c r="BJ182" s="472">
        <v>83975.26</v>
      </c>
      <c r="BK182" s="472">
        <v>84516.31</v>
      </c>
      <c r="BL182" s="472">
        <v>85072.72</v>
      </c>
      <c r="BM182" s="472">
        <v>85756.15</v>
      </c>
      <c r="BN182" s="472">
        <v>86387.36</v>
      </c>
      <c r="BO182" s="472">
        <v>87216.11</v>
      </c>
      <c r="BP182" s="472">
        <v>87907.38</v>
      </c>
      <c r="BQ182" s="472">
        <v>88812.43</v>
      </c>
      <c r="BR182" s="472">
        <v>46303.63</v>
      </c>
      <c r="BS182" s="472">
        <v>46739.8</v>
      </c>
      <c r="BT182" s="472">
        <v>0.0</v>
      </c>
      <c r="BU182" s="472">
        <v>0.0</v>
      </c>
      <c r="BV182" s="472">
        <v>0.0</v>
      </c>
      <c r="BW182" s="472">
        <v>0.0</v>
      </c>
      <c r="BX182" s="472">
        <v>0.0</v>
      </c>
      <c r="BY182" s="472">
        <v>0.0</v>
      </c>
      <c r="BZ182" s="472">
        <v>0.0</v>
      </c>
      <c r="CA182" s="474">
        <v>0.0</v>
      </c>
      <c r="CB182" s="474">
        <v>0.0</v>
      </c>
      <c r="CC182" s="474">
        <v>0.0</v>
      </c>
      <c r="CD182" s="474">
        <v>0.0</v>
      </c>
      <c r="CE182" s="474">
        <v>0.0</v>
      </c>
      <c r="CF182" s="474">
        <v>0.0</v>
      </c>
      <c r="CG182" s="474">
        <v>0.0</v>
      </c>
      <c r="CH182" s="65">
        <v>0.0</v>
      </c>
      <c r="CI182" s="65">
        <v>0.0</v>
      </c>
      <c r="CJ182" s="65">
        <v>0.0</v>
      </c>
      <c r="CK182" s="65">
        <v>0.0</v>
      </c>
      <c r="CL182" s="65">
        <v>0.0</v>
      </c>
      <c r="CM182" s="65">
        <v>0.0</v>
      </c>
      <c r="CN182" s="65">
        <v>0.0</v>
      </c>
    </row>
    <row r="183" ht="15.75" customHeight="1">
      <c r="A183" s="462" t="s">
        <v>2346</v>
      </c>
      <c r="B183" s="477" t="s">
        <v>5639</v>
      </c>
      <c r="C183" s="141">
        <v>467227.0</v>
      </c>
      <c r="D183" s="63" t="s">
        <v>120</v>
      </c>
      <c r="E183" s="63" t="s">
        <v>91</v>
      </c>
      <c r="F183" s="81" t="s">
        <v>193</v>
      </c>
      <c r="G183" s="47" t="str">
        <f t="shared" si="1"/>
        <v>Breno</v>
      </c>
      <c r="H183" s="152" t="s">
        <v>224</v>
      </c>
      <c r="I183" s="74" t="s">
        <v>66</v>
      </c>
      <c r="J183" s="63" t="str">
        <f t="shared" si="4"/>
        <v>Não</v>
      </c>
      <c r="K183" s="467">
        <v>44280.0</v>
      </c>
      <c r="L183" s="467">
        <v>44393.0</v>
      </c>
      <c r="M183" s="81" t="s">
        <v>209</v>
      </c>
      <c r="N183" s="478">
        <v>0.015</v>
      </c>
      <c r="O183" s="63" t="s">
        <v>35</v>
      </c>
      <c r="P183" s="145">
        <v>0.1</v>
      </c>
      <c r="Q183" s="158"/>
      <c r="R183" s="158"/>
      <c r="S183" s="62" t="s">
        <v>194</v>
      </c>
      <c r="T183" s="30" t="s">
        <v>5642</v>
      </c>
      <c r="U183" s="30" t="s">
        <v>475</v>
      </c>
      <c r="V183" s="49" t="str">
        <f t="shared" si="3"/>
        <v>Encerrado</v>
      </c>
      <c r="W183" s="150"/>
      <c r="X183" s="150"/>
      <c r="Y183" s="81"/>
      <c r="Z183" s="81"/>
      <c r="AA183" s="81"/>
      <c r="AB183" s="30"/>
      <c r="AC183" s="482"/>
      <c r="AD183" s="482"/>
      <c r="AE183" s="482"/>
      <c r="AF183" s="482"/>
      <c r="AG183" s="482"/>
      <c r="AH183" s="482"/>
      <c r="AI183" s="482"/>
      <c r="AJ183" s="482"/>
      <c r="AK183" s="482"/>
      <c r="AL183" s="482"/>
      <c r="AM183" s="482"/>
      <c r="AN183" s="482"/>
      <c r="AO183" s="482"/>
      <c r="AP183" s="96"/>
      <c r="AQ183" s="96"/>
      <c r="AR183" s="96">
        <v>113735.9</v>
      </c>
      <c r="AS183" s="96"/>
      <c r="AT183" s="96">
        <v>114969.98</v>
      </c>
      <c r="AU183" s="96">
        <v>157199.93</v>
      </c>
      <c r="AV183" s="96">
        <v>156601.32</v>
      </c>
      <c r="AW183" s="482"/>
      <c r="AX183" s="482"/>
      <c r="AY183" s="96"/>
      <c r="AZ183" s="96"/>
      <c r="BA183" s="96"/>
      <c r="BB183" s="96"/>
      <c r="BC183" s="96"/>
      <c r="BD183" s="96">
        <v>0.0</v>
      </c>
      <c r="BE183" s="96">
        <v>0.0</v>
      </c>
      <c r="BF183" s="96">
        <v>0.0</v>
      </c>
      <c r="BG183" s="96" t="s">
        <v>377</v>
      </c>
      <c r="BH183" s="96">
        <v>0.0</v>
      </c>
      <c r="BI183" s="96" t="s">
        <v>377</v>
      </c>
      <c r="BJ183" s="96">
        <v>0.0</v>
      </c>
      <c r="BK183" s="472">
        <v>0.0</v>
      </c>
      <c r="BL183" s="472">
        <v>0.0</v>
      </c>
      <c r="BM183" s="472">
        <v>0.0</v>
      </c>
      <c r="BN183" s="472">
        <v>0.0</v>
      </c>
      <c r="BO183" s="472">
        <v>0.0</v>
      </c>
      <c r="BP183" s="472">
        <v>0.0</v>
      </c>
      <c r="BQ183" s="472">
        <v>0.0</v>
      </c>
      <c r="BR183" s="472">
        <v>0.0</v>
      </c>
      <c r="BS183" s="472">
        <v>0.0</v>
      </c>
      <c r="BT183" s="472">
        <v>0.0</v>
      </c>
      <c r="BU183" s="472">
        <v>0.0</v>
      </c>
      <c r="BV183" s="472">
        <v>0.0</v>
      </c>
      <c r="BW183" s="472">
        <v>0.0</v>
      </c>
      <c r="BX183" s="472">
        <v>0.0</v>
      </c>
      <c r="BY183" s="472">
        <v>0.0</v>
      </c>
      <c r="BZ183" s="472">
        <v>0.0</v>
      </c>
      <c r="CA183" s="474">
        <v>0.0</v>
      </c>
      <c r="CB183" s="474">
        <v>0.0</v>
      </c>
      <c r="CC183" s="474">
        <v>0.0</v>
      </c>
      <c r="CD183" s="474">
        <v>0.0</v>
      </c>
      <c r="CE183" s="474">
        <v>0.0</v>
      </c>
      <c r="CF183" s="474">
        <v>0.0</v>
      </c>
      <c r="CG183" s="474">
        <v>0.0</v>
      </c>
      <c r="CH183" s="65">
        <v>0.0</v>
      </c>
      <c r="CI183" s="65">
        <v>0.0</v>
      </c>
      <c r="CJ183" s="65">
        <v>0.0</v>
      </c>
      <c r="CK183" s="65">
        <v>0.0</v>
      </c>
      <c r="CL183" s="65">
        <v>0.0</v>
      </c>
      <c r="CM183" s="65">
        <v>0.0</v>
      </c>
      <c r="CN183" s="65">
        <v>0.0</v>
      </c>
    </row>
    <row r="184" ht="15.75" customHeight="1">
      <c r="A184" s="462" t="s">
        <v>2346</v>
      </c>
      <c r="B184" s="50" t="s">
        <v>976</v>
      </c>
      <c r="C184" s="141">
        <v>451702.0</v>
      </c>
      <c r="D184" s="63" t="s">
        <v>120</v>
      </c>
      <c r="E184" s="63" t="s">
        <v>91</v>
      </c>
      <c r="F184" s="81" t="s">
        <v>521</v>
      </c>
      <c r="G184" s="47" t="str">
        <f t="shared" si="1"/>
        <v>Breno</v>
      </c>
      <c r="H184" s="152" t="s">
        <v>295</v>
      </c>
      <c r="I184" s="49" t="s">
        <v>382</v>
      </c>
      <c r="J184" s="63" t="str">
        <f t="shared" si="4"/>
        <v>Não</v>
      </c>
      <c r="K184" s="143">
        <v>44340.0</v>
      </c>
      <c r="L184" s="81"/>
      <c r="M184" s="81" t="s">
        <v>34</v>
      </c>
      <c r="N184" s="464">
        <v>0.012</v>
      </c>
      <c r="O184" s="141" t="s">
        <v>66</v>
      </c>
      <c r="P184" s="145">
        <v>0.0</v>
      </c>
      <c r="Q184" s="70"/>
      <c r="R184" s="70"/>
      <c r="S184" s="62" t="s">
        <v>194</v>
      </c>
      <c r="T184" s="22" t="s">
        <v>979</v>
      </c>
      <c r="U184" s="95" t="s">
        <v>221</v>
      </c>
      <c r="V184" s="49" t="str">
        <f t="shared" si="3"/>
        <v>Ativo</v>
      </c>
      <c r="W184" s="150"/>
      <c r="X184" s="150"/>
      <c r="Y184" s="30" t="s">
        <v>244</v>
      </c>
      <c r="Z184" s="81"/>
      <c r="AA184" s="467">
        <v>44340.0</v>
      </c>
      <c r="AB184" s="30">
        <v>4.907510000392E13</v>
      </c>
      <c r="AC184" s="476"/>
      <c r="AD184" s="476"/>
      <c r="AE184" s="476"/>
      <c r="AF184" s="476"/>
      <c r="AG184" s="476"/>
      <c r="AH184" s="476"/>
      <c r="AI184" s="476"/>
      <c r="AJ184" s="476"/>
      <c r="AK184" s="476"/>
      <c r="AL184" s="476"/>
      <c r="AM184" s="476"/>
      <c r="AN184" s="476"/>
      <c r="AO184" s="476"/>
      <c r="AP184" s="476"/>
      <c r="AQ184" s="471"/>
      <c r="AR184" s="471"/>
      <c r="AS184" s="471"/>
      <c r="AT184" s="476"/>
      <c r="AU184" s="476">
        <v>110168.22</v>
      </c>
      <c r="AV184" s="96">
        <v>111019.02</v>
      </c>
      <c r="AW184" s="96">
        <v>123604.24</v>
      </c>
      <c r="AX184" s="96">
        <v>123716.17</v>
      </c>
      <c r="AY184" s="96">
        <v>102475.73</v>
      </c>
      <c r="AZ184" s="96">
        <v>120018.46</v>
      </c>
      <c r="BA184" s="96">
        <v>119650.49</v>
      </c>
      <c r="BB184" s="96">
        <v>120506.45</v>
      </c>
      <c r="BC184" s="96">
        <v>122243.31</v>
      </c>
      <c r="BD184" s="96">
        <v>122938.59</v>
      </c>
      <c r="BE184" s="96">
        <v>126227.97</v>
      </c>
      <c r="BF184" s="96">
        <v>125317.65</v>
      </c>
      <c r="BG184" s="472">
        <v>125519.74</v>
      </c>
      <c r="BH184" s="472">
        <v>125277.12</v>
      </c>
      <c r="BI184" s="472">
        <v>126214.37</v>
      </c>
      <c r="BJ184" s="472">
        <v>127605.58</v>
      </c>
      <c r="BK184" s="472">
        <v>128512.25</v>
      </c>
      <c r="BL184" s="472">
        <v>131050.0</v>
      </c>
      <c r="BM184" s="472">
        <v>130702.76</v>
      </c>
      <c r="BN184" s="472">
        <v>131878.42</v>
      </c>
      <c r="BO184" s="472">
        <v>133462.26</v>
      </c>
      <c r="BP184" s="472">
        <v>134665.38</v>
      </c>
      <c r="BQ184" s="472">
        <v>136282.59</v>
      </c>
      <c r="BR184" s="472">
        <v>137334.32</v>
      </c>
      <c r="BS184" s="472">
        <v>138801.42</v>
      </c>
      <c r="BT184" s="472">
        <v>140361.74</v>
      </c>
      <c r="BU184" s="472">
        <v>141460.76</v>
      </c>
      <c r="BV184" s="472">
        <v>142765.15</v>
      </c>
      <c r="BW184" s="472">
        <v>142016.52</v>
      </c>
      <c r="BX184" s="472">
        <v>143054.39</v>
      </c>
      <c r="BY184" s="472">
        <v>145054.63</v>
      </c>
      <c r="BZ184" s="472">
        <v>147261.26</v>
      </c>
      <c r="CA184" s="474">
        <v>147041.04</v>
      </c>
      <c r="CB184" s="474">
        <v>148303.49</v>
      </c>
      <c r="CC184" s="474">
        <v>137904.74</v>
      </c>
      <c r="CD184" s="474">
        <v>146588.5</v>
      </c>
      <c r="CE184" s="474">
        <v>143854.65</v>
      </c>
      <c r="CF184" s="474">
        <v>137166.12</v>
      </c>
      <c r="CG184" s="474">
        <v>146850.0</v>
      </c>
      <c r="CH184" s="65">
        <v>216.84</v>
      </c>
      <c r="CI184" s="65">
        <v>131.06</v>
      </c>
      <c r="CJ184" s="65">
        <v>115.71</v>
      </c>
      <c r="CK184" s="65">
        <v>108.13</v>
      </c>
      <c r="CL184" s="65">
        <v>0.01</v>
      </c>
      <c r="CM184" s="65">
        <v>0.01</v>
      </c>
      <c r="CN184" s="65">
        <v>0.01</v>
      </c>
    </row>
    <row r="185" ht="15.75" customHeight="1">
      <c r="A185" s="462" t="s">
        <v>2346</v>
      </c>
      <c r="B185" s="510" t="s">
        <v>5117</v>
      </c>
      <c r="C185" s="141">
        <v>577670.0</v>
      </c>
      <c r="D185" s="63" t="s">
        <v>669</v>
      </c>
      <c r="E185" s="63" t="s">
        <v>199</v>
      </c>
      <c r="F185" s="81" t="s">
        <v>2388</v>
      </c>
      <c r="G185" s="47" t="str">
        <f t="shared" si="1"/>
        <v>Breno</v>
      </c>
      <c r="H185" s="152" t="s">
        <v>224</v>
      </c>
      <c r="I185" s="74" t="s">
        <v>66</v>
      </c>
      <c r="J185" s="63" t="str">
        <f t="shared" si="4"/>
        <v>Não</v>
      </c>
      <c r="K185" s="467">
        <v>43559.0</v>
      </c>
      <c r="L185" s="480">
        <v>44482.0</v>
      </c>
      <c r="M185" s="81" t="s">
        <v>209</v>
      </c>
      <c r="N185" s="478">
        <v>0.01</v>
      </c>
      <c r="O185" s="63" t="s">
        <v>35</v>
      </c>
      <c r="P185" s="145">
        <v>0.1</v>
      </c>
      <c r="Q185" s="160"/>
      <c r="R185" s="160"/>
      <c r="S185" s="62" t="s">
        <v>194</v>
      </c>
      <c r="T185" s="30" t="s">
        <v>5668</v>
      </c>
      <c r="U185" s="81" t="s">
        <v>199</v>
      </c>
      <c r="V185" s="49" t="str">
        <f t="shared" si="3"/>
        <v>Encerrado</v>
      </c>
      <c r="W185" s="150"/>
      <c r="X185" s="150"/>
      <c r="Y185" s="81"/>
      <c r="Z185" s="81"/>
      <c r="AA185" s="81"/>
      <c r="AB185" s="30"/>
      <c r="AC185" s="96">
        <v>267466.45</v>
      </c>
      <c r="AD185" s="96">
        <v>255373.39</v>
      </c>
      <c r="AE185" s="96">
        <v>227465.22</v>
      </c>
      <c r="AF185" s="96">
        <v>224494.2</v>
      </c>
      <c r="AG185" s="96">
        <v>214906.93</v>
      </c>
      <c r="AH185" s="96">
        <v>202047.35</v>
      </c>
      <c r="AI185" s="96">
        <v>197946.98</v>
      </c>
      <c r="AJ185" s="96">
        <v>179946.75</v>
      </c>
      <c r="AK185" s="96">
        <v>180319.19</v>
      </c>
      <c r="AL185" s="96">
        <v>165181.51</v>
      </c>
      <c r="AM185" s="96">
        <v>160124.05</v>
      </c>
      <c r="AN185" s="96">
        <v>143317.8</v>
      </c>
      <c r="AO185" s="96">
        <v>128344.0</v>
      </c>
      <c r="AP185" s="96">
        <v>123587.07</v>
      </c>
      <c r="AQ185" s="96">
        <v>115316.15</v>
      </c>
      <c r="AR185" s="96">
        <v>112816.83</v>
      </c>
      <c r="AS185" s="96">
        <v>113905.61</v>
      </c>
      <c r="AT185" s="96">
        <v>98710.87</v>
      </c>
      <c r="AU185" s="96">
        <v>46052.26</v>
      </c>
      <c r="AV185" s="96">
        <v>499.8</v>
      </c>
      <c r="AW185" s="482"/>
      <c r="AX185" s="482">
        <v>15.64</v>
      </c>
      <c r="AY185" s="96">
        <v>15.64</v>
      </c>
      <c r="AZ185" s="96"/>
      <c r="BA185" s="96"/>
      <c r="BB185" s="96"/>
      <c r="BC185" s="96"/>
      <c r="BD185" s="96">
        <v>0.0</v>
      </c>
      <c r="BE185" s="96">
        <v>0.0</v>
      </c>
      <c r="BF185" s="96">
        <v>0.0</v>
      </c>
      <c r="BG185" s="96" t="s">
        <v>377</v>
      </c>
      <c r="BH185" s="96">
        <v>0.0</v>
      </c>
      <c r="BI185" s="96" t="s">
        <v>377</v>
      </c>
      <c r="BJ185" s="96">
        <v>0.0</v>
      </c>
      <c r="BK185" s="472">
        <v>0.0</v>
      </c>
      <c r="BL185" s="472">
        <v>0.0</v>
      </c>
      <c r="BM185" s="472">
        <v>0.0</v>
      </c>
      <c r="BN185" s="472">
        <v>0.0</v>
      </c>
      <c r="BO185" s="472">
        <v>0.0</v>
      </c>
      <c r="BP185" s="472">
        <v>0.0</v>
      </c>
      <c r="BQ185" s="472">
        <v>0.0</v>
      </c>
      <c r="BR185" s="472">
        <v>0.0</v>
      </c>
      <c r="BS185" s="472">
        <v>0.0</v>
      </c>
      <c r="BT185" s="472">
        <v>0.0</v>
      </c>
      <c r="BU185" s="472">
        <v>0.0</v>
      </c>
      <c r="BV185" s="472">
        <v>0.0</v>
      </c>
      <c r="BW185" s="472">
        <v>0.0</v>
      </c>
      <c r="BX185" s="472">
        <v>0.0</v>
      </c>
      <c r="BY185" s="472">
        <v>0.0</v>
      </c>
      <c r="BZ185" s="472">
        <v>0.0</v>
      </c>
      <c r="CA185" s="474">
        <v>0.0</v>
      </c>
      <c r="CB185" s="474">
        <v>0.0</v>
      </c>
      <c r="CC185" s="474">
        <v>0.0</v>
      </c>
      <c r="CD185" s="474">
        <v>0.0</v>
      </c>
      <c r="CE185" s="474">
        <v>0.0</v>
      </c>
      <c r="CF185" s="474">
        <v>0.0</v>
      </c>
      <c r="CG185" s="474">
        <v>0.0</v>
      </c>
      <c r="CH185" s="65">
        <v>0.0</v>
      </c>
      <c r="CI185" s="65">
        <v>0.0</v>
      </c>
      <c r="CJ185" s="65">
        <v>0.0</v>
      </c>
      <c r="CK185" s="65">
        <v>0.0</v>
      </c>
      <c r="CL185" s="65">
        <v>0.0</v>
      </c>
      <c r="CM185" s="65">
        <v>0.0</v>
      </c>
      <c r="CN185" s="65">
        <v>0.0</v>
      </c>
    </row>
    <row r="186" ht="15.75" customHeight="1">
      <c r="A186" s="462" t="s">
        <v>2346</v>
      </c>
      <c r="B186" s="477" t="s">
        <v>5675</v>
      </c>
      <c r="C186" s="141">
        <v>439727.0</v>
      </c>
      <c r="D186" s="63" t="s">
        <v>120</v>
      </c>
      <c r="E186" s="63" t="s">
        <v>91</v>
      </c>
      <c r="F186" s="63" t="s">
        <v>699</v>
      </c>
      <c r="G186" s="47" t="str">
        <f t="shared" si="1"/>
        <v>Breno</v>
      </c>
      <c r="H186" s="152" t="s">
        <v>224</v>
      </c>
      <c r="I186" s="74" t="s">
        <v>66</v>
      </c>
      <c r="J186" s="63" t="str">
        <f t="shared" si="4"/>
        <v>Não</v>
      </c>
      <c r="K186" s="143">
        <v>44266.0</v>
      </c>
      <c r="L186" s="467">
        <v>44831.0</v>
      </c>
      <c r="M186" s="81" t="s">
        <v>34</v>
      </c>
      <c r="N186" s="464">
        <v>0.012</v>
      </c>
      <c r="O186" s="141" t="s">
        <v>66</v>
      </c>
      <c r="P186" s="145">
        <v>0.0</v>
      </c>
      <c r="Q186" s="158"/>
      <c r="R186" s="158"/>
      <c r="S186" s="62" t="s">
        <v>194</v>
      </c>
      <c r="T186" s="30" t="s">
        <v>5679</v>
      </c>
      <c r="U186" s="95" t="s">
        <v>221</v>
      </c>
      <c r="V186" s="49" t="str">
        <f t="shared" si="3"/>
        <v>Encerrado</v>
      </c>
      <c r="W186" s="150"/>
      <c r="X186" s="150"/>
      <c r="Y186" s="30" t="s">
        <v>244</v>
      </c>
      <c r="Z186" s="81"/>
      <c r="AA186" s="81"/>
      <c r="AB186" s="30"/>
      <c r="AC186" s="482"/>
      <c r="AD186" s="482"/>
      <c r="AE186" s="482"/>
      <c r="AF186" s="482"/>
      <c r="AG186" s="482"/>
      <c r="AH186" s="482"/>
      <c r="AI186" s="482"/>
      <c r="AJ186" s="482"/>
      <c r="AK186" s="482"/>
      <c r="AL186" s="482"/>
      <c r="AM186" s="482"/>
      <c r="AN186" s="482"/>
      <c r="AO186" s="482"/>
      <c r="AP186" s="96"/>
      <c r="AQ186" s="471">
        <v>295497.44</v>
      </c>
      <c r="AR186" s="471">
        <v>297012.5</v>
      </c>
      <c r="AS186" s="471"/>
      <c r="AT186" s="471">
        <v>302627.9</v>
      </c>
      <c r="AU186" s="471">
        <v>290261.25</v>
      </c>
      <c r="AV186" s="96">
        <v>291115.1</v>
      </c>
      <c r="AW186" s="96">
        <v>290231.61</v>
      </c>
      <c r="AX186" s="96">
        <v>271726.55</v>
      </c>
      <c r="AY186" s="96">
        <v>192658.06</v>
      </c>
      <c r="AZ186" s="96">
        <v>202578.14</v>
      </c>
      <c r="BA186" s="96">
        <v>161973.11</v>
      </c>
      <c r="BB186" s="96">
        <v>151724.17</v>
      </c>
      <c r="BC186" s="96">
        <v>138621.23</v>
      </c>
      <c r="BD186" s="96">
        <v>126307.39</v>
      </c>
      <c r="BE186" s="96">
        <v>111262.06</v>
      </c>
      <c r="BF186" s="96">
        <v>112020.88</v>
      </c>
      <c r="BG186" s="472">
        <v>102112.65</v>
      </c>
      <c r="BH186" s="472">
        <v>59840.93</v>
      </c>
      <c r="BI186" s="472">
        <v>60457.77</v>
      </c>
      <c r="BJ186" s="472">
        <v>61148.26</v>
      </c>
      <c r="BK186" s="472">
        <v>0.0</v>
      </c>
      <c r="BL186" s="472">
        <v>0.0</v>
      </c>
      <c r="BM186" s="472">
        <v>0.0</v>
      </c>
      <c r="BN186" s="472">
        <v>0.0</v>
      </c>
      <c r="BO186" s="472">
        <v>0.0</v>
      </c>
      <c r="BP186" s="472">
        <v>0.0</v>
      </c>
      <c r="BQ186" s="472">
        <v>0.0</v>
      </c>
      <c r="BR186" s="472">
        <v>0.0</v>
      </c>
      <c r="BS186" s="472">
        <v>0.0</v>
      </c>
      <c r="BT186" s="472">
        <v>0.0</v>
      </c>
      <c r="BU186" s="472">
        <v>0.0</v>
      </c>
      <c r="BV186" s="472">
        <v>0.0</v>
      </c>
      <c r="BW186" s="472">
        <v>0.0</v>
      </c>
      <c r="BX186" s="472">
        <v>0.0</v>
      </c>
      <c r="BY186" s="472">
        <v>0.0</v>
      </c>
      <c r="BZ186" s="472">
        <v>0.0</v>
      </c>
      <c r="CA186" s="474">
        <v>0.0</v>
      </c>
      <c r="CB186" s="474">
        <v>0.0</v>
      </c>
      <c r="CC186" s="474">
        <v>0.0</v>
      </c>
      <c r="CD186" s="474">
        <v>0.0</v>
      </c>
      <c r="CE186" s="474">
        <v>0.0</v>
      </c>
      <c r="CF186" s="474">
        <v>0.0</v>
      </c>
      <c r="CG186" s="474">
        <v>0.0</v>
      </c>
      <c r="CH186" s="65">
        <v>0.0</v>
      </c>
      <c r="CI186" s="65">
        <v>0.0</v>
      </c>
      <c r="CJ186" s="65">
        <v>0.0</v>
      </c>
      <c r="CK186" s="65">
        <v>0.0</v>
      </c>
      <c r="CL186" s="65">
        <v>0.0</v>
      </c>
      <c r="CM186" s="65">
        <v>0.0</v>
      </c>
      <c r="CN186" s="65">
        <v>0.0</v>
      </c>
    </row>
    <row r="187" ht="15.75" customHeight="1">
      <c r="A187" s="462" t="s">
        <v>2346</v>
      </c>
      <c r="B187" s="477" t="s">
        <v>5684</v>
      </c>
      <c r="C187" s="141">
        <v>76952.0</v>
      </c>
      <c r="D187" s="63" t="s">
        <v>120</v>
      </c>
      <c r="E187" s="63" t="s">
        <v>91</v>
      </c>
      <c r="F187" s="63" t="s">
        <v>521</v>
      </c>
      <c r="G187" s="47" t="str">
        <f t="shared" si="1"/>
        <v>Breno</v>
      </c>
      <c r="H187" s="152" t="s">
        <v>295</v>
      </c>
      <c r="I187" s="49" t="s">
        <v>382</v>
      </c>
      <c r="J187" s="63" t="str">
        <f t="shared" si="4"/>
        <v>Não</v>
      </c>
      <c r="K187" s="143">
        <v>44276.0</v>
      </c>
      <c r="L187" s="81"/>
      <c r="M187" s="81" t="s">
        <v>209</v>
      </c>
      <c r="N187" s="478">
        <v>0.015</v>
      </c>
      <c r="O187" s="63" t="s">
        <v>35</v>
      </c>
      <c r="P187" s="145">
        <v>0.1</v>
      </c>
      <c r="Q187" s="146"/>
      <c r="R187" s="158"/>
      <c r="S187" s="62" t="s">
        <v>194</v>
      </c>
      <c r="T187" s="30" t="s">
        <v>5688</v>
      </c>
      <c r="U187" s="95" t="s">
        <v>221</v>
      </c>
      <c r="V187" s="49" t="str">
        <f t="shared" si="3"/>
        <v>Inativo</v>
      </c>
      <c r="W187" s="150"/>
      <c r="X187" s="150"/>
      <c r="Y187" s="30" t="s">
        <v>244</v>
      </c>
      <c r="Z187" s="81"/>
      <c r="AA187" s="467">
        <v>44276.0</v>
      </c>
      <c r="AB187" s="30">
        <v>4.9075100003947E13</v>
      </c>
      <c r="AC187" s="482"/>
      <c r="AD187" s="482"/>
      <c r="AE187" s="482"/>
      <c r="AF187" s="482"/>
      <c r="AG187" s="482"/>
      <c r="AH187" s="482"/>
      <c r="AI187" s="482"/>
      <c r="AJ187" s="482"/>
      <c r="AK187" s="482"/>
      <c r="AL187" s="482"/>
      <c r="AM187" s="482"/>
      <c r="AN187" s="482"/>
      <c r="AO187" s="482"/>
      <c r="AP187" s="96"/>
      <c r="AQ187" s="471"/>
      <c r="AR187" s="471">
        <v>419598.61</v>
      </c>
      <c r="AS187" s="471"/>
      <c r="AT187" s="471">
        <v>426548.85</v>
      </c>
      <c r="AU187" s="471">
        <v>433725.04</v>
      </c>
      <c r="AV187" s="96">
        <v>433632.81</v>
      </c>
      <c r="AW187" s="96">
        <v>429540.47</v>
      </c>
      <c r="AX187" s="96">
        <v>421269.23</v>
      </c>
      <c r="AY187" s="96">
        <v>390450.12</v>
      </c>
      <c r="AZ187" s="96">
        <v>402724.4</v>
      </c>
      <c r="BA187" s="96">
        <v>408499.11</v>
      </c>
      <c r="BB187" s="96">
        <v>409894.99</v>
      </c>
      <c r="BC187" s="96">
        <v>416191.12</v>
      </c>
      <c r="BD187" s="96">
        <v>418360.96</v>
      </c>
      <c r="BE187" s="96">
        <v>427072.36</v>
      </c>
      <c r="BF187" s="96">
        <v>420488.88</v>
      </c>
      <c r="BG187" s="472">
        <v>415684.46</v>
      </c>
      <c r="BH187" s="472">
        <v>401556.72</v>
      </c>
      <c r="BI187" s="472">
        <v>408787.34</v>
      </c>
      <c r="BJ187" s="472">
        <v>414541.19</v>
      </c>
      <c r="BK187" s="472">
        <v>418623.1</v>
      </c>
      <c r="BL187" s="472">
        <v>434792.67</v>
      </c>
      <c r="BM187" s="472">
        <v>431309.09</v>
      </c>
      <c r="BN187" s="472">
        <v>435080.54</v>
      </c>
      <c r="BO187" s="472">
        <v>440215.9</v>
      </c>
      <c r="BP187" s="472">
        <v>426937.33</v>
      </c>
      <c r="BQ187" s="472">
        <v>432143.35</v>
      </c>
      <c r="BR187" s="472">
        <v>433109.35</v>
      </c>
      <c r="BS187" s="472">
        <v>444423.21</v>
      </c>
      <c r="BT187" s="472">
        <v>450235.26</v>
      </c>
      <c r="BU187" s="472">
        <v>126124.96</v>
      </c>
      <c r="BV187" s="472">
        <v>131276.82</v>
      </c>
      <c r="BW187" s="472">
        <v>131578.21</v>
      </c>
      <c r="BX187" s="472">
        <v>133975.44</v>
      </c>
      <c r="BY187" s="472">
        <v>21.6</v>
      </c>
      <c r="BZ187" s="472">
        <v>0.0</v>
      </c>
      <c r="CA187" s="474">
        <v>0.0</v>
      </c>
      <c r="CB187" s="474">
        <v>0.0</v>
      </c>
      <c r="CC187" s="474">
        <v>0.0</v>
      </c>
      <c r="CD187" s="474">
        <v>0.0</v>
      </c>
      <c r="CE187" s="474">
        <v>0.0</v>
      </c>
      <c r="CF187" s="474">
        <v>0.0</v>
      </c>
      <c r="CG187" s="474">
        <v>0.0</v>
      </c>
      <c r="CH187" s="65">
        <v>0.0</v>
      </c>
      <c r="CI187" s="65">
        <v>0.0</v>
      </c>
      <c r="CJ187" s="65">
        <v>0.0</v>
      </c>
      <c r="CK187" s="65">
        <v>0.0</v>
      </c>
      <c r="CL187" s="65">
        <v>0.0</v>
      </c>
      <c r="CM187" s="65">
        <v>0.0</v>
      </c>
      <c r="CN187" s="65">
        <v>0.0</v>
      </c>
    </row>
    <row r="188" ht="15.75" customHeight="1">
      <c r="A188" s="462" t="s">
        <v>2346</v>
      </c>
      <c r="B188" s="249" t="s">
        <v>988</v>
      </c>
      <c r="C188" s="141">
        <v>381137.0</v>
      </c>
      <c r="D188" s="63" t="s">
        <v>120</v>
      </c>
      <c r="E188" s="63" t="s">
        <v>199</v>
      </c>
      <c r="F188" s="63" t="s">
        <v>1108</v>
      </c>
      <c r="G188" s="47" t="str">
        <f t="shared" si="1"/>
        <v>Breno</v>
      </c>
      <c r="H188" s="142" t="s">
        <v>183</v>
      </c>
      <c r="I188" s="74" t="s">
        <v>66</v>
      </c>
      <c r="J188" s="63" t="str">
        <f t="shared" si="4"/>
        <v>Sim</v>
      </c>
      <c r="K188" s="143">
        <v>45146.0</v>
      </c>
      <c r="L188" s="81"/>
      <c r="M188" s="81" t="s">
        <v>61</v>
      </c>
      <c r="N188" s="478">
        <v>0.012</v>
      </c>
      <c r="O188" s="141" t="s">
        <v>66</v>
      </c>
      <c r="P188" s="145">
        <v>0.0</v>
      </c>
      <c r="Q188" s="153" t="s">
        <v>994</v>
      </c>
      <c r="R188" s="158"/>
      <c r="S188" s="62" t="s">
        <v>194</v>
      </c>
      <c r="T188" s="27" t="s">
        <v>996</v>
      </c>
      <c r="U188" s="22" t="s">
        <v>397</v>
      </c>
      <c r="V188" s="49" t="str">
        <f t="shared" si="3"/>
        <v>Ativo</v>
      </c>
      <c r="W188" s="150"/>
      <c r="X188" s="150"/>
      <c r="Y188" s="30" t="s">
        <v>244</v>
      </c>
      <c r="Z188" s="81"/>
      <c r="AA188" s="467">
        <v>45146.0</v>
      </c>
      <c r="AB188" s="30">
        <v>4.9075100010676E13</v>
      </c>
      <c r="AC188" s="482"/>
      <c r="AD188" s="482"/>
      <c r="AE188" s="482"/>
      <c r="AF188" s="482"/>
      <c r="AG188" s="482"/>
      <c r="AH188" s="482"/>
      <c r="AI188" s="482"/>
      <c r="AJ188" s="482"/>
      <c r="AK188" s="482"/>
      <c r="AL188" s="482"/>
      <c r="AM188" s="482"/>
      <c r="AN188" s="482"/>
      <c r="AO188" s="482"/>
      <c r="AP188" s="96"/>
      <c r="AQ188" s="471"/>
      <c r="AR188" s="471"/>
      <c r="AS188" s="471"/>
      <c r="AT188" s="471"/>
      <c r="AU188" s="471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472"/>
      <c r="BH188" s="472"/>
      <c r="BI188" s="472"/>
      <c r="BJ188" s="472"/>
      <c r="BK188" s="472"/>
      <c r="BL188" s="472"/>
      <c r="BM188" s="472"/>
      <c r="BN188" s="472"/>
      <c r="BO188" s="472"/>
      <c r="BP188" s="472"/>
      <c r="BQ188" s="472"/>
      <c r="BR188" s="472"/>
      <c r="BS188" s="472"/>
      <c r="BT188" s="472">
        <v>0.0</v>
      </c>
      <c r="BU188" s="472">
        <v>0.0</v>
      </c>
      <c r="BV188" s="472">
        <v>0.0</v>
      </c>
      <c r="BW188" s="472">
        <v>0.0</v>
      </c>
      <c r="BX188" s="472">
        <v>0.0</v>
      </c>
      <c r="BY188" s="472">
        <v>0.0</v>
      </c>
      <c r="BZ188" s="472">
        <v>0.0</v>
      </c>
      <c r="CA188" s="474">
        <v>0.0</v>
      </c>
      <c r="CB188" s="474">
        <v>0.0</v>
      </c>
      <c r="CC188" s="474">
        <v>24872.33</v>
      </c>
      <c r="CD188" s="474">
        <v>25094.98</v>
      </c>
      <c r="CE188" s="474">
        <v>18159.86</v>
      </c>
      <c r="CF188" s="474">
        <v>18308.25</v>
      </c>
      <c r="CG188" s="474">
        <v>18475.51</v>
      </c>
      <c r="CH188" s="65">
        <v>48236.88</v>
      </c>
      <c r="CI188" s="65">
        <v>48578.23</v>
      </c>
      <c r="CJ188" s="65">
        <v>20920.06</v>
      </c>
      <c r="CK188" s="65">
        <v>21073.67</v>
      </c>
      <c r="CL188" s="65">
        <v>21258.73</v>
      </c>
      <c r="CM188" s="65">
        <v>21408.94</v>
      </c>
      <c r="CN188" s="65">
        <v>21553.71</v>
      </c>
    </row>
    <row r="189" ht="15.75" customHeight="1">
      <c r="A189" s="462" t="s">
        <v>2346</v>
      </c>
      <c r="B189" s="477" t="s">
        <v>1017</v>
      </c>
      <c r="C189" s="141">
        <v>31793.0</v>
      </c>
      <c r="D189" s="63" t="s">
        <v>120</v>
      </c>
      <c r="E189" s="63" t="s">
        <v>91</v>
      </c>
      <c r="F189" s="81" t="s">
        <v>884</v>
      </c>
      <c r="G189" s="47" t="str">
        <f t="shared" si="1"/>
        <v>Breno</v>
      </c>
      <c r="H189" s="142" t="s">
        <v>183</v>
      </c>
      <c r="I189" s="74" t="s">
        <v>66</v>
      </c>
      <c r="J189" s="63" t="str">
        <f t="shared" si="4"/>
        <v>Não</v>
      </c>
      <c r="K189" s="143">
        <v>44263.0</v>
      </c>
      <c r="L189" s="81"/>
      <c r="M189" s="81" t="s">
        <v>209</v>
      </c>
      <c r="N189" s="464">
        <v>0.015</v>
      </c>
      <c r="O189" s="63" t="s">
        <v>35</v>
      </c>
      <c r="P189" s="145">
        <v>0.1</v>
      </c>
      <c r="Q189" s="158"/>
      <c r="R189" s="158"/>
      <c r="S189" s="62" t="s">
        <v>194</v>
      </c>
      <c r="T189" s="30" t="s">
        <v>1032</v>
      </c>
      <c r="U189" s="30" t="s">
        <v>475</v>
      </c>
      <c r="V189" s="49" t="str">
        <f t="shared" si="3"/>
        <v>Ativo</v>
      </c>
      <c r="W189" s="150"/>
      <c r="X189" s="150"/>
      <c r="Y189" s="30" t="s">
        <v>244</v>
      </c>
      <c r="Z189" s="81"/>
      <c r="AA189" s="467">
        <v>44263.0</v>
      </c>
      <c r="AB189" s="30">
        <v>4.9075100009635E13</v>
      </c>
      <c r="AC189" s="482"/>
      <c r="AD189" s="482"/>
      <c r="AE189" s="482"/>
      <c r="AF189" s="482"/>
      <c r="AG189" s="482"/>
      <c r="AH189" s="482"/>
      <c r="AI189" s="482"/>
      <c r="AJ189" s="482"/>
      <c r="AK189" s="482"/>
      <c r="AL189" s="482"/>
      <c r="AM189" s="482"/>
      <c r="AN189" s="482"/>
      <c r="AO189" s="482"/>
      <c r="AP189" s="96"/>
      <c r="AQ189" s="471">
        <v>267972.83</v>
      </c>
      <c r="AR189" s="471">
        <v>270124.52</v>
      </c>
      <c r="AS189" s="471"/>
      <c r="AT189" s="471">
        <v>274430.49</v>
      </c>
      <c r="AU189" s="471">
        <v>277543.14</v>
      </c>
      <c r="AV189" s="96">
        <v>278326.46</v>
      </c>
      <c r="AW189" s="96">
        <v>277108.23</v>
      </c>
      <c r="AX189" s="96">
        <v>274162.65</v>
      </c>
      <c r="AY189" s="96">
        <v>272721.08</v>
      </c>
      <c r="AZ189" s="96">
        <v>266523.26</v>
      </c>
      <c r="BA189" s="96">
        <v>263741.11</v>
      </c>
      <c r="BB189" s="96">
        <v>263226.7</v>
      </c>
      <c r="BC189" s="96">
        <v>267711.96</v>
      </c>
      <c r="BD189" s="96">
        <v>269475.14</v>
      </c>
      <c r="BE189" s="96">
        <v>261888.7</v>
      </c>
      <c r="BF189" s="96">
        <v>257151.69</v>
      </c>
      <c r="BG189" s="472">
        <v>256060.19</v>
      </c>
      <c r="BH189" s="472">
        <v>254075.36</v>
      </c>
      <c r="BI189" s="472">
        <v>257345.7</v>
      </c>
      <c r="BJ189" s="472">
        <v>237463.64</v>
      </c>
      <c r="BK189" s="472">
        <v>239442.77</v>
      </c>
      <c r="BL189" s="472">
        <v>248130.37</v>
      </c>
      <c r="BM189" s="472">
        <v>245445.52</v>
      </c>
      <c r="BN189" s="472">
        <v>247359.46</v>
      </c>
      <c r="BO189" s="472">
        <v>249697.04</v>
      </c>
      <c r="BP189" s="472">
        <v>251467.26</v>
      </c>
      <c r="BQ189" s="472">
        <v>252262.59</v>
      </c>
      <c r="BR189" s="472">
        <v>252960.63</v>
      </c>
      <c r="BS189" s="472">
        <v>242972.76</v>
      </c>
      <c r="BT189" s="472">
        <v>239962.79</v>
      </c>
      <c r="BU189" s="472">
        <v>200813.38</v>
      </c>
      <c r="BV189" s="472">
        <v>241285.85</v>
      </c>
      <c r="BW189" s="472">
        <v>227869.87</v>
      </c>
      <c r="BX189" s="472">
        <v>228776.22</v>
      </c>
      <c r="BY189" s="472">
        <v>233514.09</v>
      </c>
      <c r="BZ189" s="472">
        <v>229154.65</v>
      </c>
      <c r="CA189" s="474">
        <v>188549.13</v>
      </c>
      <c r="CB189" s="474">
        <v>236654.54</v>
      </c>
      <c r="CC189" s="474">
        <v>189959.78</v>
      </c>
      <c r="CD189" s="474">
        <v>224656.52</v>
      </c>
      <c r="CE189" s="474">
        <v>219229.0</v>
      </c>
      <c r="CF189" s="474">
        <v>219695.45</v>
      </c>
      <c r="CG189" s="474">
        <v>214949.84</v>
      </c>
      <c r="CH189" s="65">
        <v>217918.32</v>
      </c>
      <c r="CI189" s="65">
        <v>218169.76</v>
      </c>
      <c r="CJ189" s="65">
        <v>196937.48</v>
      </c>
      <c r="CK189" s="65">
        <v>397.51</v>
      </c>
      <c r="CL189" s="65">
        <v>0.08</v>
      </c>
      <c r="CM189" s="65">
        <v>0.08</v>
      </c>
      <c r="CN189" s="65">
        <v>0.08</v>
      </c>
    </row>
    <row r="190" ht="15.75" customHeight="1">
      <c r="A190" s="462" t="s">
        <v>2346</v>
      </c>
      <c r="B190" s="50" t="s">
        <v>5730</v>
      </c>
      <c r="C190" s="141">
        <v>266389.0</v>
      </c>
      <c r="D190" s="63" t="s">
        <v>120</v>
      </c>
      <c r="E190" s="63" t="s">
        <v>91</v>
      </c>
      <c r="F190" s="66" t="s">
        <v>699</v>
      </c>
      <c r="G190" s="47" t="str">
        <f t="shared" si="1"/>
        <v>Breno</v>
      </c>
      <c r="H190" s="142" t="s">
        <v>295</v>
      </c>
      <c r="I190" s="49" t="s">
        <v>382</v>
      </c>
      <c r="J190" s="63" t="str">
        <f t="shared" si="4"/>
        <v>Não</v>
      </c>
      <c r="K190" s="194">
        <v>44358.0</v>
      </c>
      <c r="L190" s="81"/>
      <c r="M190" s="81" t="s">
        <v>34</v>
      </c>
      <c r="N190" s="464">
        <v>0.012</v>
      </c>
      <c r="O190" s="141" t="s">
        <v>66</v>
      </c>
      <c r="P190" s="145">
        <v>0.0</v>
      </c>
      <c r="Q190" s="70"/>
      <c r="R190" s="70"/>
      <c r="S190" s="62" t="s">
        <v>194</v>
      </c>
      <c r="T190" s="22" t="s">
        <v>5734</v>
      </c>
      <c r="U190" s="95" t="s">
        <v>221</v>
      </c>
      <c r="V190" s="49" t="str">
        <f t="shared" si="3"/>
        <v>Inativo</v>
      </c>
      <c r="W190" s="150"/>
      <c r="X190" s="150"/>
      <c r="Y190" s="30" t="s">
        <v>244</v>
      </c>
      <c r="Z190" s="81"/>
      <c r="AA190" s="467">
        <v>44358.0</v>
      </c>
      <c r="AB190" s="30">
        <v>4.9075100009031E13</v>
      </c>
      <c r="AC190" s="476"/>
      <c r="AD190" s="476"/>
      <c r="AE190" s="476"/>
      <c r="AF190" s="476"/>
      <c r="AG190" s="476"/>
      <c r="AH190" s="476"/>
      <c r="AI190" s="476"/>
      <c r="AJ190" s="476"/>
      <c r="AK190" s="476"/>
      <c r="AL190" s="476"/>
      <c r="AM190" s="476"/>
      <c r="AN190" s="476"/>
      <c r="AO190" s="476"/>
      <c r="AP190" s="476"/>
      <c r="AQ190" s="471"/>
      <c r="AR190" s="471"/>
      <c r="AS190" s="471"/>
      <c r="AT190" s="471"/>
      <c r="AU190" s="476"/>
      <c r="AV190" s="96">
        <v>192075.49</v>
      </c>
      <c r="AW190" s="96">
        <v>194695.76</v>
      </c>
      <c r="AX190" s="96">
        <v>193492.51</v>
      </c>
      <c r="AY190" s="96">
        <v>166107.48</v>
      </c>
      <c r="AZ190" s="96">
        <v>196009.18</v>
      </c>
      <c r="BA190" s="96">
        <v>196342.67</v>
      </c>
      <c r="BB190" s="96">
        <v>197950.9</v>
      </c>
      <c r="BC190" s="96">
        <v>200791.26</v>
      </c>
      <c r="BD190" s="96">
        <v>201905.43</v>
      </c>
      <c r="BE190" s="96">
        <v>206788.6</v>
      </c>
      <c r="BF190" s="96">
        <v>205724.41</v>
      </c>
      <c r="BG190" s="472">
        <v>206320.5</v>
      </c>
      <c r="BH190" s="472">
        <v>0.0</v>
      </c>
      <c r="BI190" s="472">
        <v>101846.67</v>
      </c>
      <c r="BJ190" s="472">
        <v>102838.77</v>
      </c>
      <c r="BK190" s="472">
        <v>103700.53</v>
      </c>
      <c r="BL190" s="472">
        <v>104529.81</v>
      </c>
      <c r="BM190" s="472">
        <v>105364.04</v>
      </c>
      <c r="BN190" s="472">
        <v>106205.09</v>
      </c>
      <c r="BO190" s="472">
        <v>107369.25</v>
      </c>
      <c r="BP190" s="472">
        <v>108138.84</v>
      </c>
      <c r="BQ190" s="472">
        <v>109130.64</v>
      </c>
      <c r="BR190" s="472">
        <v>109872.21</v>
      </c>
      <c r="BS190" s="472">
        <v>110884.01</v>
      </c>
      <c r="BT190" s="472">
        <v>0.0</v>
      </c>
      <c r="BU190" s="472">
        <v>0.0</v>
      </c>
      <c r="BV190" s="472">
        <v>0.0</v>
      </c>
      <c r="BW190" s="472">
        <v>0.0</v>
      </c>
      <c r="BX190" s="472">
        <v>0.0</v>
      </c>
      <c r="BY190" s="472">
        <v>0.0</v>
      </c>
      <c r="BZ190" s="472">
        <v>0.0</v>
      </c>
      <c r="CA190" s="474">
        <v>0.0</v>
      </c>
      <c r="CB190" s="474">
        <v>0.0</v>
      </c>
      <c r="CC190" s="474">
        <v>0.0</v>
      </c>
      <c r="CD190" s="474">
        <v>0.0</v>
      </c>
      <c r="CE190" s="474">
        <v>0.0</v>
      </c>
      <c r="CF190" s="474">
        <v>0.0</v>
      </c>
      <c r="CG190" s="474">
        <v>0.0</v>
      </c>
      <c r="CH190" s="65">
        <v>0.0</v>
      </c>
      <c r="CI190" s="65">
        <v>0.0</v>
      </c>
      <c r="CJ190" s="65">
        <v>0.0</v>
      </c>
      <c r="CK190" s="65">
        <v>0.0</v>
      </c>
      <c r="CL190" s="65">
        <v>0.0</v>
      </c>
      <c r="CM190" s="65">
        <v>0.0</v>
      </c>
      <c r="CN190" s="65">
        <v>0.0</v>
      </c>
    </row>
    <row r="191" ht="15.75" customHeight="1">
      <c r="A191" s="462" t="s">
        <v>2346</v>
      </c>
      <c r="B191" s="510" t="s">
        <v>5739</v>
      </c>
      <c r="C191" s="141">
        <v>327484.0</v>
      </c>
      <c r="D191" s="63" t="s">
        <v>120</v>
      </c>
      <c r="E191" s="63" t="s">
        <v>199</v>
      </c>
      <c r="F191" s="81" t="s">
        <v>439</v>
      </c>
      <c r="G191" s="47" t="str">
        <f t="shared" si="1"/>
        <v>Breno</v>
      </c>
      <c r="H191" s="152" t="s">
        <v>224</v>
      </c>
      <c r="I191" s="74" t="s">
        <v>66</v>
      </c>
      <c r="J191" s="63" t="str">
        <f t="shared" si="4"/>
        <v>Não</v>
      </c>
      <c r="K191" s="467">
        <v>43515.0</v>
      </c>
      <c r="L191" s="467">
        <v>44309.0</v>
      </c>
      <c r="M191" s="81" t="s">
        <v>231</v>
      </c>
      <c r="N191" s="478">
        <v>0.01</v>
      </c>
      <c r="O191" s="141" t="s">
        <v>233</v>
      </c>
      <c r="P191" s="145">
        <v>0.2</v>
      </c>
      <c r="Q191" s="158"/>
      <c r="R191" s="158"/>
      <c r="S191" s="62" t="s">
        <v>194</v>
      </c>
      <c r="T191" s="30" t="s">
        <v>5741</v>
      </c>
      <c r="U191" s="22" t="s">
        <v>199</v>
      </c>
      <c r="V191" s="49" t="str">
        <f t="shared" si="3"/>
        <v>Encerrado</v>
      </c>
      <c r="W191" s="150"/>
      <c r="X191" s="150"/>
      <c r="Y191" s="81"/>
      <c r="Z191" s="81"/>
      <c r="AA191" s="81"/>
      <c r="AB191" s="30"/>
      <c r="AC191" s="96">
        <v>412004.58</v>
      </c>
      <c r="AD191" s="96">
        <v>207440.21</v>
      </c>
      <c r="AE191" s="96">
        <v>188939.88</v>
      </c>
      <c r="AF191" s="96">
        <v>193448.81</v>
      </c>
      <c r="AG191" s="96">
        <v>196268.85</v>
      </c>
      <c r="AH191" s="96">
        <v>198080.33</v>
      </c>
      <c r="AI191" s="96">
        <v>204955.23</v>
      </c>
      <c r="AJ191" s="96">
        <v>201131.43</v>
      </c>
      <c r="AK191" s="96">
        <v>196984.98</v>
      </c>
      <c r="AL191" s="96">
        <v>199951.16</v>
      </c>
      <c r="AM191" s="96">
        <v>210833.83</v>
      </c>
      <c r="AN191" s="96">
        <v>215696.4</v>
      </c>
      <c r="AO191" s="96">
        <v>211993.4</v>
      </c>
      <c r="AP191" s="96"/>
      <c r="AQ191" s="96">
        <v>324.88</v>
      </c>
      <c r="AR191" s="96"/>
      <c r="AS191" s="96">
        <v>385.03</v>
      </c>
      <c r="AT191" s="96">
        <v>384.97</v>
      </c>
      <c r="AU191" s="96"/>
      <c r="AV191" s="482"/>
      <c r="AW191" s="482"/>
      <c r="AX191" s="482"/>
      <c r="AY191" s="96"/>
      <c r="AZ191" s="96"/>
      <c r="BA191" s="96"/>
      <c r="BB191" s="96"/>
      <c r="BC191" s="96"/>
      <c r="BD191" s="96">
        <v>0.0</v>
      </c>
      <c r="BE191" s="96">
        <v>0.0</v>
      </c>
      <c r="BF191" s="96">
        <v>0.0</v>
      </c>
      <c r="BG191" s="96" t="s">
        <v>377</v>
      </c>
      <c r="BH191" s="96">
        <v>0.0</v>
      </c>
      <c r="BI191" s="96" t="s">
        <v>377</v>
      </c>
      <c r="BJ191" s="96">
        <v>0.0</v>
      </c>
      <c r="BK191" s="472">
        <v>0.0</v>
      </c>
      <c r="BL191" s="472">
        <v>0.0</v>
      </c>
      <c r="BM191" s="472">
        <v>0.0</v>
      </c>
      <c r="BN191" s="472">
        <v>0.0</v>
      </c>
      <c r="BO191" s="472">
        <v>0.0</v>
      </c>
      <c r="BP191" s="472">
        <v>0.0</v>
      </c>
      <c r="BQ191" s="472">
        <v>0.0</v>
      </c>
      <c r="BR191" s="472">
        <v>0.0</v>
      </c>
      <c r="BS191" s="472">
        <v>0.0</v>
      </c>
      <c r="BT191" s="472">
        <v>0.0</v>
      </c>
      <c r="BU191" s="472">
        <v>0.0</v>
      </c>
      <c r="BV191" s="472">
        <v>0.0</v>
      </c>
      <c r="BW191" s="472">
        <v>0.0</v>
      </c>
      <c r="BX191" s="472">
        <v>0.0</v>
      </c>
      <c r="BY191" s="472">
        <v>0.0</v>
      </c>
      <c r="BZ191" s="472">
        <v>0.0</v>
      </c>
      <c r="CA191" s="474">
        <v>0.0</v>
      </c>
      <c r="CB191" s="474">
        <v>0.0</v>
      </c>
      <c r="CC191" s="474">
        <v>0.0</v>
      </c>
      <c r="CD191" s="474">
        <v>0.0</v>
      </c>
      <c r="CE191" s="474">
        <v>0.0</v>
      </c>
      <c r="CF191" s="474">
        <v>0.0</v>
      </c>
      <c r="CG191" s="474">
        <v>0.0</v>
      </c>
      <c r="CH191" s="65">
        <v>0.0</v>
      </c>
      <c r="CI191" s="65">
        <v>0.0</v>
      </c>
      <c r="CJ191" s="65">
        <v>0.0</v>
      </c>
      <c r="CK191" s="65">
        <v>0.0</v>
      </c>
      <c r="CL191" s="65">
        <v>0.0</v>
      </c>
      <c r="CM191" s="65">
        <v>0.0</v>
      </c>
      <c r="CN191" s="65">
        <v>0.0</v>
      </c>
    </row>
    <row r="192" ht="15.75" customHeight="1">
      <c r="A192" s="462" t="s">
        <v>2346</v>
      </c>
      <c r="B192" s="50" t="s">
        <v>5749</v>
      </c>
      <c r="C192" s="141">
        <v>31966.0</v>
      </c>
      <c r="D192" s="63" t="s">
        <v>120</v>
      </c>
      <c r="E192" s="63" t="s">
        <v>91</v>
      </c>
      <c r="F192" s="66" t="s">
        <v>193</v>
      </c>
      <c r="G192" s="47" t="str">
        <f t="shared" si="1"/>
        <v>Breno</v>
      </c>
      <c r="H192" s="142" t="s">
        <v>295</v>
      </c>
      <c r="I192" s="49" t="s">
        <v>382</v>
      </c>
      <c r="J192" s="63" t="str">
        <f t="shared" si="4"/>
        <v>Sim</v>
      </c>
      <c r="K192" s="143">
        <v>44656.0</v>
      </c>
      <c r="L192" s="81"/>
      <c r="M192" s="81" t="s">
        <v>231</v>
      </c>
      <c r="N192" s="464">
        <v>0.025</v>
      </c>
      <c r="O192" s="141" t="s">
        <v>233</v>
      </c>
      <c r="P192" s="145">
        <v>0.2</v>
      </c>
      <c r="Q192" s="58" t="s">
        <v>5753</v>
      </c>
      <c r="R192" s="70"/>
      <c r="S192" s="62" t="s">
        <v>194</v>
      </c>
      <c r="T192" s="22" t="s">
        <v>5754</v>
      </c>
      <c r="U192" s="95" t="s">
        <v>221</v>
      </c>
      <c r="V192" s="49" t="str">
        <f t="shared" si="3"/>
        <v>Inativo</v>
      </c>
      <c r="W192" s="150"/>
      <c r="X192" s="150"/>
      <c r="Y192" s="30" t="s">
        <v>244</v>
      </c>
      <c r="Z192" s="81"/>
      <c r="AA192" s="467">
        <v>44656.0</v>
      </c>
      <c r="AB192" s="30">
        <v>4.9075100006075E13</v>
      </c>
      <c r="AC192" s="476"/>
      <c r="AD192" s="476"/>
      <c r="AE192" s="476"/>
      <c r="AF192" s="476"/>
      <c r="AG192" s="476"/>
      <c r="AH192" s="476"/>
      <c r="AI192" s="476"/>
      <c r="AJ192" s="476"/>
      <c r="AK192" s="476"/>
      <c r="AL192" s="476"/>
      <c r="AM192" s="476"/>
      <c r="AN192" s="476"/>
      <c r="AO192" s="476"/>
      <c r="AP192" s="476"/>
      <c r="AQ192" s="471"/>
      <c r="AR192" s="471"/>
      <c r="AS192" s="471"/>
      <c r="AT192" s="471"/>
      <c r="AU192" s="47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>
        <v>35400.93</v>
      </c>
      <c r="BF192" s="96">
        <v>132891.49</v>
      </c>
      <c r="BG192" s="472">
        <v>130507.78</v>
      </c>
      <c r="BH192" s="472">
        <v>131510.25</v>
      </c>
      <c r="BI192" s="472">
        <v>133774.82</v>
      </c>
      <c r="BJ192" s="472">
        <v>133667.05</v>
      </c>
      <c r="BK192" s="472">
        <v>133138.21</v>
      </c>
      <c r="BL192" s="472">
        <v>134889.73</v>
      </c>
      <c r="BM192" s="472">
        <v>134605.93</v>
      </c>
      <c r="BN192" s="472">
        <v>134877.48</v>
      </c>
      <c r="BO192" s="472">
        <v>137436.26</v>
      </c>
      <c r="BP192" s="472">
        <v>112034.74</v>
      </c>
      <c r="BQ192" s="472">
        <v>112500.92</v>
      </c>
      <c r="BR192" s="472">
        <v>89854.86</v>
      </c>
      <c r="BS192" s="472">
        <v>24.6</v>
      </c>
      <c r="BT192" s="472">
        <v>0.0</v>
      </c>
      <c r="BU192" s="472">
        <v>0.0</v>
      </c>
      <c r="BV192" s="472">
        <v>0.0</v>
      </c>
      <c r="BW192" s="472">
        <v>0.0</v>
      </c>
      <c r="BX192" s="472">
        <v>0.0</v>
      </c>
      <c r="BY192" s="472">
        <v>0.0</v>
      </c>
      <c r="BZ192" s="472">
        <v>0.0</v>
      </c>
      <c r="CA192" s="474">
        <v>0.0</v>
      </c>
      <c r="CB192" s="474">
        <v>0.0</v>
      </c>
      <c r="CC192" s="474">
        <v>0.0</v>
      </c>
      <c r="CD192" s="474">
        <v>0.0</v>
      </c>
      <c r="CE192" s="474">
        <v>0.0</v>
      </c>
      <c r="CF192" s="474">
        <v>0.0</v>
      </c>
      <c r="CG192" s="474">
        <v>0.0</v>
      </c>
      <c r="CH192" s="65">
        <v>0.0</v>
      </c>
      <c r="CI192" s="65">
        <v>0.0</v>
      </c>
      <c r="CJ192" s="65">
        <v>0.0</v>
      </c>
      <c r="CK192" s="65">
        <v>0.0</v>
      </c>
      <c r="CL192" s="65">
        <v>0.0</v>
      </c>
      <c r="CM192" s="65">
        <v>0.0</v>
      </c>
      <c r="CN192" s="65">
        <v>0.0</v>
      </c>
    </row>
    <row r="193" ht="15.75" customHeight="1">
      <c r="A193" s="462" t="s">
        <v>2346</v>
      </c>
      <c r="B193" s="477" t="s">
        <v>5761</v>
      </c>
      <c r="C193" s="141">
        <v>377270.0</v>
      </c>
      <c r="D193" s="63" t="s">
        <v>120</v>
      </c>
      <c r="E193" s="63" t="s">
        <v>91</v>
      </c>
      <c r="F193" s="63" t="s">
        <v>193</v>
      </c>
      <c r="G193" s="47" t="str">
        <f t="shared" si="1"/>
        <v>Breno</v>
      </c>
      <c r="H193" s="152" t="s">
        <v>224</v>
      </c>
      <c r="I193" s="74" t="s">
        <v>66</v>
      </c>
      <c r="J193" s="63" t="str">
        <f t="shared" si="4"/>
        <v>Não</v>
      </c>
      <c r="K193" s="198">
        <v>44706.0</v>
      </c>
      <c r="L193" s="55">
        <v>45015.0</v>
      </c>
      <c r="M193" s="81" t="s">
        <v>4465</v>
      </c>
      <c r="N193" s="81" t="s">
        <v>5763</v>
      </c>
      <c r="O193" s="141" t="s">
        <v>233</v>
      </c>
      <c r="P193" s="145">
        <v>0.2</v>
      </c>
      <c r="Q193" s="160"/>
      <c r="R193" s="160"/>
      <c r="S193" s="62" t="s">
        <v>194</v>
      </c>
      <c r="T193" s="30" t="s">
        <v>5754</v>
      </c>
      <c r="U193" s="22" t="s">
        <v>221</v>
      </c>
      <c r="V193" s="49" t="str">
        <f t="shared" si="3"/>
        <v>Encerrado</v>
      </c>
      <c r="W193" s="150"/>
      <c r="X193" s="150"/>
      <c r="Y193" s="81"/>
      <c r="Z193" s="81"/>
      <c r="AA193" s="81"/>
      <c r="AB193" s="30"/>
      <c r="AC193" s="482"/>
      <c r="AD193" s="482"/>
      <c r="AE193" s="482"/>
      <c r="AF193" s="482"/>
      <c r="AG193" s="482"/>
      <c r="AH193" s="482"/>
      <c r="AI193" s="482"/>
      <c r="AJ193" s="482"/>
      <c r="AK193" s="482"/>
      <c r="AL193" s="482"/>
      <c r="AM193" s="482"/>
      <c r="AN193" s="482"/>
      <c r="AO193" s="482"/>
      <c r="AP193" s="96"/>
      <c r="AQ193" s="471"/>
      <c r="AR193" s="471"/>
      <c r="AS193" s="471"/>
      <c r="AT193" s="471"/>
      <c r="AU193" s="471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472"/>
      <c r="BH193" s="472"/>
      <c r="BI193" s="472"/>
      <c r="BJ193" s="472"/>
      <c r="BK193" s="472"/>
      <c r="BL193" s="472"/>
      <c r="BM193" s="472"/>
      <c r="BN193" s="472"/>
      <c r="BO193" s="472"/>
      <c r="BP193" s="472">
        <v>0.0</v>
      </c>
      <c r="BQ193" s="472">
        <v>0.0</v>
      </c>
      <c r="BR193" s="472">
        <v>0.0</v>
      </c>
      <c r="BS193" s="472">
        <v>0.0</v>
      </c>
      <c r="BT193" s="472">
        <v>0.0</v>
      </c>
      <c r="BU193" s="472">
        <v>0.0</v>
      </c>
      <c r="BV193" s="472">
        <v>0.0</v>
      </c>
      <c r="BW193" s="472">
        <v>0.0</v>
      </c>
      <c r="BX193" s="472">
        <v>0.0</v>
      </c>
      <c r="BY193" s="472">
        <v>0.0</v>
      </c>
      <c r="BZ193" s="472">
        <v>0.0</v>
      </c>
      <c r="CA193" s="474">
        <v>0.0</v>
      </c>
      <c r="CB193" s="474">
        <v>0.0</v>
      </c>
      <c r="CC193" s="474">
        <v>0.0</v>
      </c>
      <c r="CD193" s="474">
        <v>0.0</v>
      </c>
      <c r="CE193" s="474">
        <v>0.0</v>
      </c>
      <c r="CF193" s="474">
        <v>0.0</v>
      </c>
      <c r="CG193" s="474">
        <v>0.0</v>
      </c>
      <c r="CH193" s="65">
        <v>0.0</v>
      </c>
      <c r="CI193" s="65">
        <v>0.0</v>
      </c>
      <c r="CJ193" s="65">
        <v>0.0</v>
      </c>
      <c r="CK193" s="65">
        <v>0.0</v>
      </c>
      <c r="CL193" s="65">
        <v>0.0</v>
      </c>
      <c r="CM193" s="65">
        <v>0.0</v>
      </c>
      <c r="CN193" s="65">
        <v>0.0</v>
      </c>
    </row>
    <row r="194" ht="15.75" customHeight="1">
      <c r="A194" s="462" t="s">
        <v>2346</v>
      </c>
      <c r="B194" s="477" t="s">
        <v>1052</v>
      </c>
      <c r="C194" s="141">
        <v>32897.0</v>
      </c>
      <c r="D194" s="63" t="s">
        <v>120</v>
      </c>
      <c r="E194" s="63" t="s">
        <v>91</v>
      </c>
      <c r="F194" s="63" t="s">
        <v>193</v>
      </c>
      <c r="G194" s="47" t="str">
        <f t="shared" si="1"/>
        <v>Breno</v>
      </c>
      <c r="H194" s="142" t="s">
        <v>295</v>
      </c>
      <c r="I194" s="49" t="s">
        <v>382</v>
      </c>
      <c r="J194" s="63" t="str">
        <f t="shared" si="4"/>
        <v>Sim</v>
      </c>
      <c r="K194" s="143">
        <v>44278.0</v>
      </c>
      <c r="L194" s="62"/>
      <c r="M194" s="81" t="s">
        <v>361</v>
      </c>
      <c r="N194" s="478">
        <v>0.02</v>
      </c>
      <c r="O194" s="63" t="s">
        <v>35</v>
      </c>
      <c r="P194" s="145">
        <v>0.2</v>
      </c>
      <c r="Q194" s="153" t="s">
        <v>1068</v>
      </c>
      <c r="R194" s="158"/>
      <c r="S194" s="62" t="s">
        <v>194</v>
      </c>
      <c r="T194" s="30" t="s">
        <v>1070</v>
      </c>
      <c r="U194" s="95" t="s">
        <v>221</v>
      </c>
      <c r="V194" s="49" t="str">
        <f t="shared" si="3"/>
        <v>Ativo</v>
      </c>
      <c r="W194" s="150"/>
      <c r="X194" s="150"/>
      <c r="Y194" s="30" t="s">
        <v>244</v>
      </c>
      <c r="Z194" s="81"/>
      <c r="AA194" s="467">
        <v>44278.0</v>
      </c>
      <c r="AB194" s="30">
        <v>4.9075100003981E13</v>
      </c>
      <c r="AC194" s="482"/>
      <c r="AD194" s="482"/>
      <c r="AE194" s="482"/>
      <c r="AF194" s="482"/>
      <c r="AG194" s="482"/>
      <c r="AH194" s="482"/>
      <c r="AI194" s="482"/>
      <c r="AJ194" s="482"/>
      <c r="AK194" s="482"/>
      <c r="AL194" s="482"/>
      <c r="AM194" s="482"/>
      <c r="AN194" s="482"/>
      <c r="AO194" s="482"/>
      <c r="AP194" s="96"/>
      <c r="AQ194" s="471"/>
      <c r="AR194" s="471">
        <v>222951.17</v>
      </c>
      <c r="AS194" s="471"/>
      <c r="AT194" s="471">
        <v>227457.43</v>
      </c>
      <c r="AU194" s="471">
        <v>232086.74</v>
      </c>
      <c r="AV194" s="96">
        <v>231592.85</v>
      </c>
      <c r="AW194" s="96">
        <v>228445.54</v>
      </c>
      <c r="AX194" s="96">
        <v>221883.12</v>
      </c>
      <c r="AY194" s="96">
        <v>202077.7</v>
      </c>
      <c r="AZ194" s="96">
        <v>206795.73</v>
      </c>
      <c r="BA194" s="96">
        <v>202410.85</v>
      </c>
      <c r="BB194" s="96">
        <v>202774.52</v>
      </c>
      <c r="BC194" s="96">
        <v>207428.08</v>
      </c>
      <c r="BD194" s="96">
        <v>208706.19</v>
      </c>
      <c r="BE194" s="96">
        <v>109139.32</v>
      </c>
      <c r="BF194" s="96">
        <v>125409.47</v>
      </c>
      <c r="BG194" s="472">
        <v>156289.94</v>
      </c>
      <c r="BH194" s="472">
        <v>164410.95</v>
      </c>
      <c r="BI194" s="472">
        <v>195079.82</v>
      </c>
      <c r="BJ194" s="472">
        <v>243818.16</v>
      </c>
      <c r="BK194" s="472">
        <v>271547.72</v>
      </c>
      <c r="BL194" s="472">
        <v>290743.05</v>
      </c>
      <c r="BM194" s="472">
        <v>295910.36</v>
      </c>
      <c r="BN194" s="472">
        <v>297214.87</v>
      </c>
      <c r="BO194" s="472">
        <v>300562.41</v>
      </c>
      <c r="BP194" s="472">
        <v>297981.16</v>
      </c>
      <c r="BQ194" s="472">
        <v>300076.87</v>
      </c>
      <c r="BR194" s="472">
        <v>22572.2</v>
      </c>
      <c r="BS194" s="472">
        <v>22630.6</v>
      </c>
      <c r="BT194" s="472">
        <v>23036.47</v>
      </c>
      <c r="BU194" s="472">
        <v>228.15</v>
      </c>
      <c r="BV194" s="472">
        <v>224.0</v>
      </c>
      <c r="BW194" s="472">
        <v>0.0</v>
      </c>
      <c r="BX194" s="472">
        <v>114.69</v>
      </c>
      <c r="BY194" s="472">
        <v>72.49</v>
      </c>
      <c r="BZ194" s="472">
        <v>61.13</v>
      </c>
      <c r="CA194" s="474">
        <v>61.13</v>
      </c>
      <c r="CB194" s="474">
        <v>61.13</v>
      </c>
      <c r="CC194" s="474">
        <v>51.39</v>
      </c>
      <c r="CD194" s="474">
        <v>51.39</v>
      </c>
      <c r="CE194" s="474">
        <v>35.41</v>
      </c>
      <c r="CF194" s="474">
        <v>35.41</v>
      </c>
      <c r="CG194" s="474">
        <v>35.41</v>
      </c>
      <c r="CH194" s="65">
        <v>35.41</v>
      </c>
      <c r="CI194" s="65">
        <v>35.41</v>
      </c>
      <c r="CJ194" s="65">
        <v>35.41</v>
      </c>
      <c r="CK194" s="65">
        <v>35.41</v>
      </c>
      <c r="CL194" s="65">
        <v>0.0</v>
      </c>
      <c r="CM194" s="65">
        <v>0.0</v>
      </c>
      <c r="CN194" s="65">
        <v>0.0</v>
      </c>
    </row>
    <row r="195" ht="15.75" customHeight="1">
      <c r="A195" s="462" t="s">
        <v>2346</v>
      </c>
      <c r="B195" s="477" t="s">
        <v>1052</v>
      </c>
      <c r="C195" s="141">
        <v>39137.0</v>
      </c>
      <c r="D195" s="63" t="s">
        <v>120</v>
      </c>
      <c r="E195" s="63" t="s">
        <v>91</v>
      </c>
      <c r="F195" s="63" t="s">
        <v>193</v>
      </c>
      <c r="G195" s="47" t="str">
        <f t="shared" si="1"/>
        <v>Breno</v>
      </c>
      <c r="H195" s="142" t="s">
        <v>295</v>
      </c>
      <c r="I195" s="49" t="s">
        <v>382</v>
      </c>
      <c r="J195" s="63" t="str">
        <f t="shared" si="4"/>
        <v>Sim</v>
      </c>
      <c r="K195" s="143">
        <v>44278.0</v>
      </c>
      <c r="L195" s="81"/>
      <c r="M195" s="81" t="s">
        <v>231</v>
      </c>
      <c r="N195" s="464">
        <v>0.025</v>
      </c>
      <c r="O195" s="141" t="s">
        <v>233</v>
      </c>
      <c r="P195" s="145">
        <v>0.2</v>
      </c>
      <c r="Q195" s="153" t="s">
        <v>1068</v>
      </c>
      <c r="R195" s="158"/>
      <c r="S195" s="62" t="s">
        <v>194</v>
      </c>
      <c r="T195" s="30" t="s">
        <v>1070</v>
      </c>
      <c r="U195" s="95" t="s">
        <v>221</v>
      </c>
      <c r="V195" s="49" t="str">
        <f t="shared" si="3"/>
        <v>Ativo</v>
      </c>
      <c r="W195" s="150"/>
      <c r="X195" s="150"/>
      <c r="Y195" s="30" t="s">
        <v>244</v>
      </c>
      <c r="Z195" s="81"/>
      <c r="AA195" s="467">
        <v>44278.0</v>
      </c>
      <c r="AB195" s="30">
        <v>4.9075100010684E13</v>
      </c>
      <c r="AC195" s="482"/>
      <c r="AD195" s="482"/>
      <c r="AE195" s="482"/>
      <c r="AF195" s="482"/>
      <c r="AG195" s="482"/>
      <c r="AH195" s="482"/>
      <c r="AI195" s="482"/>
      <c r="AJ195" s="482"/>
      <c r="AK195" s="482"/>
      <c r="AL195" s="482"/>
      <c r="AM195" s="482"/>
      <c r="AN195" s="482"/>
      <c r="AO195" s="482"/>
      <c r="AP195" s="96"/>
      <c r="AQ195" s="471"/>
      <c r="AR195" s="471">
        <v>148864.29</v>
      </c>
      <c r="AS195" s="471">
        <v>150382.81</v>
      </c>
      <c r="AT195" s="471">
        <v>151173.3</v>
      </c>
      <c r="AU195" s="471">
        <v>101397.08</v>
      </c>
      <c r="AV195" s="96">
        <v>103071.69</v>
      </c>
      <c r="AW195" s="96">
        <v>127880.01</v>
      </c>
      <c r="AX195" s="96">
        <v>143694.55</v>
      </c>
      <c r="AY195" s="96">
        <v>158442.54</v>
      </c>
      <c r="AZ195" s="96">
        <v>176057.75</v>
      </c>
      <c r="BA195" s="96">
        <v>184277.53</v>
      </c>
      <c r="BB195" s="96">
        <v>202122.97</v>
      </c>
      <c r="BC195" s="96">
        <v>216555.46</v>
      </c>
      <c r="BD195" s="96">
        <v>220676.2</v>
      </c>
      <c r="BE195" s="96">
        <v>239851.16</v>
      </c>
      <c r="BF195" s="96">
        <v>231724.04</v>
      </c>
      <c r="BG195" s="472">
        <v>226737.5</v>
      </c>
      <c r="BH195" s="472">
        <v>169621.77</v>
      </c>
      <c r="BI195" s="472">
        <v>177375.96</v>
      </c>
      <c r="BJ195" s="472">
        <v>178618.83</v>
      </c>
      <c r="BK195" s="472">
        <v>179894.17</v>
      </c>
      <c r="BL195" s="472">
        <v>193370.18</v>
      </c>
      <c r="BM195" s="472">
        <v>189568.32</v>
      </c>
      <c r="BN195" s="472">
        <v>188331.67</v>
      </c>
      <c r="BO195" s="472">
        <v>194179.11</v>
      </c>
      <c r="BP195" s="472">
        <v>187202.55</v>
      </c>
      <c r="BQ195" s="472">
        <v>186378.77</v>
      </c>
      <c r="BR195" s="472">
        <v>38725.75</v>
      </c>
      <c r="BS195" s="472">
        <v>38948.96</v>
      </c>
      <c r="BT195" s="472">
        <v>39813.76</v>
      </c>
      <c r="BU195" s="472">
        <v>40150.11</v>
      </c>
      <c r="BV195" s="472">
        <v>522.69</v>
      </c>
      <c r="BW195" s="472">
        <v>0.0</v>
      </c>
      <c r="BX195" s="472">
        <v>251.12</v>
      </c>
      <c r="BY195" s="472">
        <v>195.75</v>
      </c>
      <c r="BZ195" s="472">
        <v>142.23</v>
      </c>
      <c r="CA195" s="474">
        <v>142.23</v>
      </c>
      <c r="CB195" s="474">
        <v>142.23</v>
      </c>
      <c r="CC195" s="474">
        <v>0.0</v>
      </c>
      <c r="CD195" s="474">
        <v>0.0</v>
      </c>
      <c r="CE195" s="474">
        <v>0.0</v>
      </c>
      <c r="CF195" s="474">
        <v>0.0</v>
      </c>
      <c r="CG195" s="474">
        <v>0.0</v>
      </c>
      <c r="CH195" s="65">
        <v>0.0</v>
      </c>
      <c r="CI195" s="65">
        <v>0.0</v>
      </c>
      <c r="CJ195" s="65">
        <v>0.0</v>
      </c>
      <c r="CK195" s="65">
        <v>0.0</v>
      </c>
      <c r="CL195" s="65">
        <v>0.0</v>
      </c>
      <c r="CM195" s="65">
        <v>0.07</v>
      </c>
      <c r="CN195" s="65">
        <v>0.07</v>
      </c>
    </row>
    <row r="196" ht="15.75" customHeight="1">
      <c r="A196" s="462" t="s">
        <v>2346</v>
      </c>
      <c r="B196" s="510" t="s">
        <v>5108</v>
      </c>
      <c r="C196" s="141">
        <v>320310.0</v>
      </c>
      <c r="D196" s="63" t="s">
        <v>669</v>
      </c>
      <c r="E196" s="63" t="s">
        <v>199</v>
      </c>
      <c r="F196" s="81" t="s">
        <v>2388</v>
      </c>
      <c r="G196" s="47" t="str">
        <f t="shared" si="1"/>
        <v>Breno</v>
      </c>
      <c r="H196" s="152" t="s">
        <v>224</v>
      </c>
      <c r="I196" s="74" t="s">
        <v>66</v>
      </c>
      <c r="J196" s="63" t="str">
        <f t="shared" si="4"/>
        <v>Não</v>
      </c>
      <c r="K196" s="467">
        <v>43664.0</v>
      </c>
      <c r="L196" s="467">
        <v>44309.0</v>
      </c>
      <c r="M196" s="81" t="s">
        <v>209</v>
      </c>
      <c r="N196" s="478">
        <v>0.01</v>
      </c>
      <c r="O196" s="63" t="s">
        <v>35</v>
      </c>
      <c r="P196" s="145">
        <v>0.1</v>
      </c>
      <c r="Q196" s="160"/>
      <c r="R196" s="160"/>
      <c r="S196" s="62" t="s">
        <v>194</v>
      </c>
      <c r="T196" s="30">
        <v>2.9540518E8</v>
      </c>
      <c r="U196" s="95" t="s">
        <v>199</v>
      </c>
      <c r="V196" s="49" t="str">
        <f t="shared" si="3"/>
        <v>Encerrado</v>
      </c>
      <c r="W196" s="150"/>
      <c r="X196" s="150"/>
      <c r="Y196" s="81"/>
      <c r="Z196" s="81"/>
      <c r="AA196" s="81"/>
      <c r="AB196" s="30"/>
      <c r="AC196" s="96">
        <v>85533.02</v>
      </c>
      <c r="AD196" s="96">
        <v>83215.51</v>
      </c>
      <c r="AE196" s="96">
        <v>58071.75</v>
      </c>
      <c r="AF196" s="96">
        <v>59448.05</v>
      </c>
      <c r="AG196" s="96">
        <v>49527.54</v>
      </c>
      <c r="AH196" s="96">
        <v>40444.27</v>
      </c>
      <c r="AI196" s="96">
        <v>35543.82</v>
      </c>
      <c r="AJ196" s="96">
        <v>29035.3</v>
      </c>
      <c r="AK196" s="96">
        <v>22461.66</v>
      </c>
      <c r="AL196" s="96">
        <v>15939.32</v>
      </c>
      <c r="AM196" s="96">
        <v>9419.68</v>
      </c>
      <c r="AN196" s="96">
        <v>9408.2</v>
      </c>
      <c r="AO196" s="96">
        <v>4401.6</v>
      </c>
      <c r="AP196" s="96">
        <v>4176.04</v>
      </c>
      <c r="AQ196" s="96">
        <v>4043.29</v>
      </c>
      <c r="AR196" s="96">
        <v>4170.42</v>
      </c>
      <c r="AS196" s="96">
        <v>4120.67</v>
      </c>
      <c r="AT196" s="96">
        <v>4022.3</v>
      </c>
      <c r="AU196" s="96"/>
      <c r="AV196" s="482"/>
      <c r="AW196" s="482"/>
      <c r="AX196" s="482"/>
      <c r="AY196" s="96"/>
      <c r="AZ196" s="96"/>
      <c r="BA196" s="96"/>
      <c r="BB196" s="96"/>
      <c r="BC196" s="96"/>
      <c r="BD196" s="96">
        <v>0.0</v>
      </c>
      <c r="BE196" s="96">
        <v>0.0</v>
      </c>
      <c r="BF196" s="96">
        <v>0.0</v>
      </c>
      <c r="BG196" s="96" t="s">
        <v>377</v>
      </c>
      <c r="BH196" s="96">
        <v>0.0</v>
      </c>
      <c r="BI196" s="96" t="s">
        <v>377</v>
      </c>
      <c r="BJ196" s="96">
        <v>0.0</v>
      </c>
      <c r="BK196" s="472">
        <v>0.0</v>
      </c>
      <c r="BL196" s="472">
        <v>0.0</v>
      </c>
      <c r="BM196" s="472">
        <v>0.0</v>
      </c>
      <c r="BN196" s="472">
        <v>0.0</v>
      </c>
      <c r="BO196" s="472">
        <v>0.0</v>
      </c>
      <c r="BP196" s="472">
        <v>0.0</v>
      </c>
      <c r="BQ196" s="472">
        <v>0.0</v>
      </c>
      <c r="BR196" s="472">
        <v>0.0</v>
      </c>
      <c r="BS196" s="472">
        <v>0.0</v>
      </c>
      <c r="BT196" s="472">
        <v>0.0</v>
      </c>
      <c r="BU196" s="472">
        <v>0.0</v>
      </c>
      <c r="BV196" s="472">
        <v>0.0</v>
      </c>
      <c r="BW196" s="472">
        <v>0.0</v>
      </c>
      <c r="BX196" s="472">
        <v>0.0</v>
      </c>
      <c r="BY196" s="472">
        <v>0.0</v>
      </c>
      <c r="BZ196" s="472">
        <v>0.0</v>
      </c>
      <c r="CA196" s="474">
        <v>0.0</v>
      </c>
      <c r="CB196" s="474">
        <v>0.0</v>
      </c>
      <c r="CC196" s="474">
        <v>0.0</v>
      </c>
      <c r="CD196" s="474">
        <v>0.0</v>
      </c>
      <c r="CE196" s="474">
        <v>0.0</v>
      </c>
      <c r="CF196" s="474">
        <v>0.0</v>
      </c>
      <c r="CG196" s="474">
        <v>0.0</v>
      </c>
      <c r="CH196" s="65">
        <v>0.0</v>
      </c>
      <c r="CI196" s="65">
        <v>0.0</v>
      </c>
      <c r="CJ196" s="65">
        <v>0.0</v>
      </c>
      <c r="CK196" s="65">
        <v>0.0</v>
      </c>
      <c r="CL196" s="65">
        <v>0.0</v>
      </c>
      <c r="CM196" s="65">
        <v>0.0</v>
      </c>
      <c r="CN196" s="65">
        <v>0.0</v>
      </c>
    </row>
    <row r="197" ht="15.75" customHeight="1">
      <c r="A197" s="462" t="s">
        <v>2346</v>
      </c>
      <c r="B197" s="510" t="s">
        <v>5541</v>
      </c>
      <c r="C197" s="141">
        <v>35930.0</v>
      </c>
      <c r="D197" s="63" t="s">
        <v>669</v>
      </c>
      <c r="E197" s="63" t="s">
        <v>199</v>
      </c>
      <c r="F197" s="81" t="s">
        <v>2388</v>
      </c>
      <c r="G197" s="47" t="str">
        <f t="shared" si="1"/>
        <v>Breno</v>
      </c>
      <c r="H197" s="152" t="s">
        <v>224</v>
      </c>
      <c r="I197" s="74" t="s">
        <v>66</v>
      </c>
      <c r="J197" s="63" t="str">
        <f t="shared" si="4"/>
        <v>Não</v>
      </c>
      <c r="K197" s="467">
        <v>43853.0</v>
      </c>
      <c r="L197" s="480">
        <v>44484.0</v>
      </c>
      <c r="M197" s="81" t="s">
        <v>209</v>
      </c>
      <c r="N197" s="478">
        <v>0.015</v>
      </c>
      <c r="O197" s="63" t="s">
        <v>35</v>
      </c>
      <c r="P197" s="145">
        <v>0.1</v>
      </c>
      <c r="Q197" s="158"/>
      <c r="R197" s="158"/>
      <c r="S197" s="62" t="s">
        <v>194</v>
      </c>
      <c r="T197" s="30" t="s">
        <v>5540</v>
      </c>
      <c r="U197" s="81" t="s">
        <v>199</v>
      </c>
      <c r="V197" s="49" t="str">
        <f t="shared" si="3"/>
        <v>Encerrado</v>
      </c>
      <c r="W197" s="150"/>
      <c r="X197" s="150"/>
      <c r="Y197" s="81"/>
      <c r="Z197" s="81"/>
      <c r="AA197" s="81"/>
      <c r="AB197" s="30"/>
      <c r="AC197" s="96">
        <v>118108.75</v>
      </c>
      <c r="AD197" s="96">
        <v>36450.62</v>
      </c>
      <c r="AE197" s="96">
        <v>37628.94</v>
      </c>
      <c r="AF197" s="96">
        <v>0.0</v>
      </c>
      <c r="AG197" s="96">
        <v>63.98</v>
      </c>
      <c r="AH197" s="96">
        <v>0.0</v>
      </c>
      <c r="AI197" s="96">
        <v>0.0</v>
      </c>
      <c r="AJ197" s="96">
        <v>0.0</v>
      </c>
      <c r="AK197" s="482"/>
      <c r="AL197" s="96">
        <v>63.98</v>
      </c>
      <c r="AM197" s="96">
        <v>63.98</v>
      </c>
      <c r="AN197" s="96">
        <v>25.92</v>
      </c>
      <c r="AO197" s="96">
        <v>63.98</v>
      </c>
      <c r="AP197" s="96">
        <v>63.98</v>
      </c>
      <c r="AQ197" s="96">
        <v>63.98</v>
      </c>
      <c r="AR197" s="96">
        <v>63.98</v>
      </c>
      <c r="AS197" s="96">
        <v>63.98</v>
      </c>
      <c r="AT197" s="96">
        <v>63.98</v>
      </c>
      <c r="AU197" s="96">
        <v>63.98</v>
      </c>
      <c r="AV197" s="96">
        <v>63.98</v>
      </c>
      <c r="AW197" s="96">
        <v>78.0</v>
      </c>
      <c r="AX197" s="96">
        <v>78.0</v>
      </c>
      <c r="AY197" s="96">
        <v>78.0</v>
      </c>
      <c r="AZ197" s="96">
        <v>78.0</v>
      </c>
      <c r="BA197" s="96"/>
      <c r="BB197" s="96"/>
      <c r="BC197" s="96"/>
      <c r="BD197" s="96">
        <v>0.0</v>
      </c>
      <c r="BE197" s="96">
        <v>0.0</v>
      </c>
      <c r="BF197" s="96">
        <v>0.0</v>
      </c>
      <c r="BG197" s="96" t="s">
        <v>377</v>
      </c>
      <c r="BH197" s="96">
        <v>0.0</v>
      </c>
      <c r="BI197" s="96" t="s">
        <v>377</v>
      </c>
      <c r="BJ197" s="96">
        <v>0.0</v>
      </c>
      <c r="BK197" s="472">
        <v>0.0</v>
      </c>
      <c r="BL197" s="472">
        <v>0.0</v>
      </c>
      <c r="BM197" s="472">
        <v>0.0</v>
      </c>
      <c r="BN197" s="472">
        <v>0.0</v>
      </c>
      <c r="BO197" s="472">
        <v>0.0</v>
      </c>
      <c r="BP197" s="472">
        <v>0.0</v>
      </c>
      <c r="BQ197" s="472">
        <v>0.0</v>
      </c>
      <c r="BR197" s="472">
        <v>0.0</v>
      </c>
      <c r="BS197" s="472">
        <v>0.0</v>
      </c>
      <c r="BT197" s="472">
        <v>0.0</v>
      </c>
      <c r="BU197" s="472">
        <v>0.0</v>
      </c>
      <c r="BV197" s="472">
        <v>0.0</v>
      </c>
      <c r="BW197" s="472">
        <v>0.0</v>
      </c>
      <c r="BX197" s="472">
        <v>0.0</v>
      </c>
      <c r="BY197" s="472">
        <v>0.0</v>
      </c>
      <c r="BZ197" s="472">
        <v>0.0</v>
      </c>
      <c r="CA197" s="474">
        <v>0.0</v>
      </c>
      <c r="CB197" s="474">
        <v>0.0</v>
      </c>
      <c r="CC197" s="474">
        <v>0.0</v>
      </c>
      <c r="CD197" s="474">
        <v>0.0</v>
      </c>
      <c r="CE197" s="474">
        <v>0.0</v>
      </c>
      <c r="CF197" s="474">
        <v>0.0</v>
      </c>
      <c r="CG197" s="474">
        <v>0.0</v>
      </c>
      <c r="CH197" s="65">
        <v>0.0</v>
      </c>
      <c r="CI197" s="65">
        <v>0.0</v>
      </c>
      <c r="CJ197" s="65">
        <v>0.0</v>
      </c>
      <c r="CK197" s="65">
        <v>0.0</v>
      </c>
      <c r="CL197" s="65">
        <v>0.0</v>
      </c>
      <c r="CM197" s="65">
        <v>0.0</v>
      </c>
      <c r="CN197" s="65">
        <v>0.0</v>
      </c>
    </row>
    <row r="198" ht="15.75" customHeight="1">
      <c r="A198" s="462" t="s">
        <v>2346</v>
      </c>
      <c r="B198" s="477" t="s">
        <v>1085</v>
      </c>
      <c r="C198" s="141">
        <v>32362.0</v>
      </c>
      <c r="D198" s="63" t="s">
        <v>120</v>
      </c>
      <c r="E198" s="63" t="s">
        <v>91</v>
      </c>
      <c r="F198" s="63" t="s">
        <v>521</v>
      </c>
      <c r="G198" s="47" t="str">
        <f t="shared" si="1"/>
        <v>Breno</v>
      </c>
      <c r="H198" s="142" t="s">
        <v>295</v>
      </c>
      <c r="I198" s="49" t="s">
        <v>382</v>
      </c>
      <c r="J198" s="63" t="str">
        <f t="shared" si="4"/>
        <v>Não</v>
      </c>
      <c r="K198" s="143">
        <v>44295.0</v>
      </c>
      <c r="L198" s="81"/>
      <c r="M198" s="81" t="s">
        <v>61</v>
      </c>
      <c r="N198" s="478">
        <v>0.007</v>
      </c>
      <c r="O198" s="141" t="s">
        <v>66</v>
      </c>
      <c r="P198" s="145">
        <v>0.0</v>
      </c>
      <c r="Q198" s="190"/>
      <c r="R198" s="190"/>
      <c r="S198" s="62" t="s">
        <v>194</v>
      </c>
      <c r="T198" s="30" t="s">
        <v>1090</v>
      </c>
      <c r="U198" s="95" t="s">
        <v>221</v>
      </c>
      <c r="V198" s="49" t="str">
        <f t="shared" si="3"/>
        <v>Ativo</v>
      </c>
      <c r="W198" s="150"/>
      <c r="X198" s="150"/>
      <c r="Y198" s="30" t="s">
        <v>244</v>
      </c>
      <c r="Z198" s="81"/>
      <c r="AA198" s="467">
        <v>44295.0</v>
      </c>
      <c r="AB198" s="30">
        <v>4.9075100009295E13</v>
      </c>
      <c r="AC198" s="482"/>
      <c r="AD198" s="482"/>
      <c r="AE198" s="482"/>
      <c r="AF198" s="482"/>
      <c r="AG198" s="482"/>
      <c r="AH198" s="482"/>
      <c r="AI198" s="482"/>
      <c r="AJ198" s="482"/>
      <c r="AK198" s="482"/>
      <c r="AL198" s="482"/>
      <c r="AM198" s="482"/>
      <c r="AN198" s="482"/>
      <c r="AO198" s="482"/>
      <c r="AP198" s="96"/>
      <c r="AQ198" s="471">
        <v>201873.52</v>
      </c>
      <c r="AR198" s="471">
        <v>203442.8</v>
      </c>
      <c r="AS198" s="471"/>
      <c r="AT198" s="471">
        <v>305641.04</v>
      </c>
      <c r="AU198" s="471">
        <v>310529.28</v>
      </c>
      <c r="AV198" s="96">
        <v>299479.81</v>
      </c>
      <c r="AW198" s="96">
        <v>278085.72</v>
      </c>
      <c r="AX198" s="96">
        <v>252585.03</v>
      </c>
      <c r="AY198" s="96">
        <v>228456.32</v>
      </c>
      <c r="AZ198" s="96">
        <v>201772.65</v>
      </c>
      <c r="BA198" s="96">
        <v>154051.11</v>
      </c>
      <c r="BB198" s="96">
        <v>139990.29</v>
      </c>
      <c r="BC198" s="96">
        <v>113250.99</v>
      </c>
      <c r="BD198" s="96">
        <v>115500.71</v>
      </c>
      <c r="BE198" s="96">
        <v>118139.67</v>
      </c>
      <c r="BF198" s="96">
        <v>118683.35</v>
      </c>
      <c r="BG198" s="472">
        <v>119927.59</v>
      </c>
      <c r="BH198" s="472">
        <v>120490.05</v>
      </c>
      <c r="BI198" s="472">
        <v>105403.04</v>
      </c>
      <c r="BJ198" s="472">
        <v>91288.2</v>
      </c>
      <c r="BK198" s="472">
        <v>76466.69</v>
      </c>
      <c r="BL198" s="472">
        <v>66749.81</v>
      </c>
      <c r="BM198" s="472">
        <v>61779.56</v>
      </c>
      <c r="BN198" s="472">
        <v>44018.1</v>
      </c>
      <c r="BO198" s="472">
        <v>44429.6</v>
      </c>
      <c r="BP198" s="472">
        <v>39678.18</v>
      </c>
      <c r="BQ198" s="472">
        <v>24963.5</v>
      </c>
      <c r="BR198" s="472">
        <v>22550.34</v>
      </c>
      <c r="BS198" s="472">
        <v>22733.26</v>
      </c>
      <c r="BT198" s="472">
        <v>21.47</v>
      </c>
      <c r="BU198" s="472">
        <v>0.0</v>
      </c>
      <c r="BV198" s="472">
        <v>0.0</v>
      </c>
      <c r="BW198" s="472">
        <v>0.0</v>
      </c>
      <c r="BX198" s="472">
        <v>0.0</v>
      </c>
      <c r="BY198" s="472">
        <v>0.0</v>
      </c>
      <c r="BZ198" s="472">
        <v>0.0</v>
      </c>
      <c r="CA198" s="474">
        <v>0.0</v>
      </c>
      <c r="CB198" s="474">
        <v>0.0</v>
      </c>
      <c r="CC198" s="474">
        <v>0.0</v>
      </c>
      <c r="CD198" s="474">
        <v>0.0</v>
      </c>
      <c r="CE198" s="474">
        <v>0.0</v>
      </c>
      <c r="CF198" s="474">
        <v>0.0</v>
      </c>
      <c r="CG198" s="474">
        <v>0.0</v>
      </c>
      <c r="CH198" s="65">
        <v>0.0</v>
      </c>
      <c r="CI198" s="65">
        <v>0.0</v>
      </c>
      <c r="CJ198" s="65">
        <v>0.0</v>
      </c>
      <c r="CK198" s="65">
        <v>0.0</v>
      </c>
      <c r="CL198" s="65">
        <v>0.02</v>
      </c>
      <c r="CM198" s="65">
        <v>0.02</v>
      </c>
      <c r="CN198" s="65">
        <v>0.02</v>
      </c>
    </row>
    <row r="199" ht="15.75" customHeight="1">
      <c r="A199" s="462" t="s">
        <v>2346</v>
      </c>
      <c r="B199" s="518" t="s">
        <v>5848</v>
      </c>
      <c r="C199" s="141">
        <v>32254.0</v>
      </c>
      <c r="D199" s="63" t="s">
        <v>120</v>
      </c>
      <c r="E199" s="63" t="s">
        <v>91</v>
      </c>
      <c r="F199" s="63" t="s">
        <v>521</v>
      </c>
      <c r="G199" s="47" t="str">
        <f t="shared" si="1"/>
        <v>Breno</v>
      </c>
      <c r="H199" s="142" t="s">
        <v>295</v>
      </c>
      <c r="I199" s="49" t="s">
        <v>382</v>
      </c>
      <c r="J199" s="63" t="str">
        <f t="shared" si="4"/>
        <v>Não</v>
      </c>
      <c r="K199" s="143">
        <v>44263.0</v>
      </c>
      <c r="L199" s="81"/>
      <c r="M199" s="81" t="s">
        <v>209</v>
      </c>
      <c r="N199" s="478">
        <v>0.015</v>
      </c>
      <c r="O199" s="63" t="s">
        <v>35</v>
      </c>
      <c r="P199" s="145">
        <v>0.1</v>
      </c>
      <c r="Q199" s="190"/>
      <c r="R199" s="190"/>
      <c r="S199" s="62" t="s">
        <v>194</v>
      </c>
      <c r="T199" s="141" t="s">
        <v>5852</v>
      </c>
      <c r="U199" s="95" t="s">
        <v>221</v>
      </c>
      <c r="V199" s="49" t="str">
        <f t="shared" si="3"/>
        <v>Inativo</v>
      </c>
      <c r="W199" s="150"/>
      <c r="X199" s="150"/>
      <c r="Y199" s="30" t="s">
        <v>269</v>
      </c>
      <c r="Z199" s="81"/>
      <c r="AA199" s="467">
        <v>44263.0</v>
      </c>
      <c r="AB199" s="30">
        <v>4.9075100009651E13</v>
      </c>
      <c r="AC199" s="482"/>
      <c r="AD199" s="482"/>
      <c r="AE199" s="482"/>
      <c r="AF199" s="482"/>
      <c r="AG199" s="482"/>
      <c r="AH199" s="482"/>
      <c r="AI199" s="482"/>
      <c r="AJ199" s="482"/>
      <c r="AK199" s="482"/>
      <c r="AL199" s="482"/>
      <c r="AM199" s="482"/>
      <c r="AN199" s="482"/>
      <c r="AO199" s="482"/>
      <c r="AP199" s="96"/>
      <c r="AQ199" s="471">
        <v>4599422.15</v>
      </c>
      <c r="AR199" s="471">
        <v>4600910.95</v>
      </c>
      <c r="AS199" s="471"/>
      <c r="AT199" s="471">
        <v>4699829.48</v>
      </c>
      <c r="AU199" s="471">
        <v>4790763.18</v>
      </c>
      <c r="AV199" s="96">
        <v>4759783.85</v>
      </c>
      <c r="AW199" s="96">
        <v>4711416.53</v>
      </c>
      <c r="AX199" s="96">
        <v>4626909.59</v>
      </c>
      <c r="AY199" s="96">
        <v>4552265.47</v>
      </c>
      <c r="AZ199" s="96">
        <v>4399846.51</v>
      </c>
      <c r="BA199" s="96">
        <v>4141748.2</v>
      </c>
      <c r="BB199" s="96">
        <v>4318686.8</v>
      </c>
      <c r="BC199" s="96">
        <v>4411857.61</v>
      </c>
      <c r="BD199" s="96">
        <v>4440223.88</v>
      </c>
      <c r="BE199" s="96">
        <v>4585980.05</v>
      </c>
      <c r="BF199" s="96">
        <v>4508435.5</v>
      </c>
      <c r="BG199" s="472">
        <v>4499095.24</v>
      </c>
      <c r="BH199" s="472">
        <v>4458914.27</v>
      </c>
      <c r="BI199" s="472">
        <v>4500794.91</v>
      </c>
      <c r="BJ199" s="472">
        <v>4562258.13</v>
      </c>
      <c r="BK199" s="472">
        <v>4596416.65</v>
      </c>
      <c r="BL199" s="472">
        <v>4738693.54</v>
      </c>
      <c r="BM199" s="472">
        <v>4686752.17</v>
      </c>
      <c r="BN199" s="472">
        <v>4726105.68</v>
      </c>
      <c r="BO199" s="472">
        <v>4722969.19</v>
      </c>
      <c r="BP199" s="472">
        <v>4768940.75</v>
      </c>
      <c r="BQ199" s="472">
        <v>4827338.17</v>
      </c>
      <c r="BR199" s="472">
        <v>117240.86</v>
      </c>
      <c r="BS199" s="472">
        <v>117338.69</v>
      </c>
      <c r="BT199" s="472">
        <v>0.0</v>
      </c>
      <c r="BU199" s="472">
        <v>0.0</v>
      </c>
      <c r="BV199" s="472">
        <v>0.0</v>
      </c>
      <c r="BW199" s="472">
        <v>0.0</v>
      </c>
      <c r="BX199" s="472">
        <v>0.0</v>
      </c>
      <c r="BY199" s="472">
        <v>0.0</v>
      </c>
      <c r="BZ199" s="472">
        <v>0.0</v>
      </c>
      <c r="CA199" s="474">
        <v>0.0</v>
      </c>
      <c r="CB199" s="474">
        <v>0.0</v>
      </c>
      <c r="CC199" s="474">
        <v>0.0</v>
      </c>
      <c r="CD199" s="474">
        <v>0.0</v>
      </c>
      <c r="CE199" s="474">
        <v>0.0</v>
      </c>
      <c r="CF199" s="474">
        <v>0.0</v>
      </c>
      <c r="CG199" s="474">
        <v>0.0</v>
      </c>
      <c r="CH199" s="65">
        <v>0.0</v>
      </c>
      <c r="CI199" s="65">
        <v>0.0</v>
      </c>
      <c r="CJ199" s="65">
        <v>0.0</v>
      </c>
      <c r="CK199" s="65">
        <v>0.0</v>
      </c>
      <c r="CL199" s="65">
        <v>0.0</v>
      </c>
      <c r="CM199" s="65">
        <v>0.0</v>
      </c>
      <c r="CN199" s="65">
        <v>0.0</v>
      </c>
    </row>
    <row r="200" ht="15.75" customHeight="1">
      <c r="A200" s="462" t="s">
        <v>2346</v>
      </c>
      <c r="B200" s="462" t="s">
        <v>5858</v>
      </c>
      <c r="C200" s="141">
        <v>577499.0</v>
      </c>
      <c r="D200" s="63" t="s">
        <v>669</v>
      </c>
      <c r="E200" s="63" t="s">
        <v>199</v>
      </c>
      <c r="F200" s="63" t="s">
        <v>1228</v>
      </c>
      <c r="G200" s="47" t="str">
        <f t="shared" si="1"/>
        <v>Breno</v>
      </c>
      <c r="H200" s="142" t="s">
        <v>295</v>
      </c>
      <c r="I200" s="49" t="s">
        <v>382</v>
      </c>
      <c r="J200" s="63" t="str">
        <f t="shared" si="4"/>
        <v>Sim</v>
      </c>
      <c r="K200" s="143">
        <v>43879.0</v>
      </c>
      <c r="L200" s="81"/>
      <c r="M200" s="81" t="s">
        <v>209</v>
      </c>
      <c r="N200" s="478">
        <v>0.015</v>
      </c>
      <c r="O200" s="141" t="s">
        <v>66</v>
      </c>
      <c r="P200" s="145">
        <v>0.0</v>
      </c>
      <c r="Q200" s="153" t="s">
        <v>1068</v>
      </c>
      <c r="R200" s="190"/>
      <c r="S200" s="62" t="s">
        <v>194</v>
      </c>
      <c r="T200" s="141" t="s">
        <v>5610</v>
      </c>
      <c r="U200" s="81" t="s">
        <v>199</v>
      </c>
      <c r="V200" s="49" t="str">
        <f t="shared" si="3"/>
        <v>Ativo</v>
      </c>
      <c r="W200" s="150"/>
      <c r="X200" s="150"/>
      <c r="Y200" s="30" t="s">
        <v>244</v>
      </c>
      <c r="Z200" s="81"/>
      <c r="AA200" s="467">
        <v>43879.0</v>
      </c>
      <c r="AB200" s="30">
        <v>4.9075100004021E13</v>
      </c>
      <c r="AC200" s="96">
        <v>0.0</v>
      </c>
      <c r="AD200" s="96">
        <v>535969.85</v>
      </c>
      <c r="AE200" s="96">
        <v>490382.84</v>
      </c>
      <c r="AF200" s="96">
        <v>499141.57</v>
      </c>
      <c r="AG200" s="96">
        <v>506758.08</v>
      </c>
      <c r="AH200" s="96">
        <v>510755.9</v>
      </c>
      <c r="AI200" s="96">
        <v>523238.48</v>
      </c>
      <c r="AJ200" s="96">
        <v>510383.91</v>
      </c>
      <c r="AK200" s="96">
        <v>499673.67</v>
      </c>
      <c r="AL200" s="96">
        <v>500390.23</v>
      </c>
      <c r="AM200" s="96">
        <v>533447.28</v>
      </c>
      <c r="AN200" s="96">
        <v>544300.97</v>
      </c>
      <c r="AO200" s="96">
        <v>539238.41</v>
      </c>
      <c r="AP200" s="96">
        <v>523493.34</v>
      </c>
      <c r="AQ200" s="471">
        <v>516332.5</v>
      </c>
      <c r="AR200" s="471">
        <v>532947.04</v>
      </c>
      <c r="AS200" s="471">
        <v>534028.62</v>
      </c>
      <c r="AT200" s="471">
        <v>549293.9</v>
      </c>
      <c r="AU200" s="471">
        <v>646270.39</v>
      </c>
      <c r="AV200" s="96">
        <v>642858.41</v>
      </c>
      <c r="AW200" s="96">
        <v>636845.93</v>
      </c>
      <c r="AX200" s="96">
        <v>632866.38</v>
      </c>
      <c r="AY200" s="96">
        <v>613246.33</v>
      </c>
      <c r="AZ200" s="96">
        <v>448321.42</v>
      </c>
      <c r="BA200" s="96">
        <v>442312.97</v>
      </c>
      <c r="BB200" s="96">
        <v>444262.98</v>
      </c>
      <c r="BC200" s="96">
        <v>457593.61</v>
      </c>
      <c r="BD200" s="96">
        <v>461900.61</v>
      </c>
      <c r="BE200" s="96">
        <v>479221.27</v>
      </c>
      <c r="BF200" s="96">
        <v>472386.21</v>
      </c>
      <c r="BG200" s="472">
        <v>471569.87</v>
      </c>
      <c r="BH200" s="472">
        <v>469811.91</v>
      </c>
      <c r="BI200" s="472">
        <v>477582.4</v>
      </c>
      <c r="BJ200" s="472">
        <v>472526.17</v>
      </c>
      <c r="BK200" s="472">
        <v>486187.5</v>
      </c>
      <c r="BL200" s="472">
        <v>500197.58</v>
      </c>
      <c r="BM200" s="472">
        <v>499161.69</v>
      </c>
      <c r="BN200" s="472">
        <v>503193.54</v>
      </c>
      <c r="BO200" s="472">
        <v>508402.59</v>
      </c>
      <c r="BP200" s="472">
        <v>508694.47</v>
      </c>
      <c r="BQ200" s="472">
        <v>513510.29</v>
      </c>
      <c r="BR200" s="472">
        <v>514557.24</v>
      </c>
      <c r="BS200" s="472">
        <v>527439.12</v>
      </c>
      <c r="BT200" s="472">
        <v>535157.0</v>
      </c>
      <c r="BU200" s="472">
        <v>537343.84</v>
      </c>
      <c r="BV200" s="472">
        <v>539704.11</v>
      </c>
      <c r="BW200" s="472">
        <v>539716.96</v>
      </c>
      <c r="BX200" s="472">
        <v>545555.34</v>
      </c>
      <c r="BY200" s="472">
        <v>51.63</v>
      </c>
      <c r="BZ200" s="472">
        <v>51.63</v>
      </c>
      <c r="CA200" s="474">
        <v>51.63</v>
      </c>
      <c r="CB200" s="474">
        <v>51.63</v>
      </c>
      <c r="CC200" s="474">
        <v>51.63</v>
      </c>
      <c r="CD200" s="474">
        <v>51.63</v>
      </c>
      <c r="CE200" s="474">
        <v>0.0</v>
      </c>
      <c r="CF200" s="474">
        <v>0.0</v>
      </c>
      <c r="CG200" s="474">
        <v>0.0</v>
      </c>
      <c r="CH200" s="65">
        <v>0.0</v>
      </c>
      <c r="CI200" s="65">
        <v>0.0</v>
      </c>
      <c r="CJ200" s="65">
        <v>0.0</v>
      </c>
      <c r="CK200" s="65">
        <v>0.0</v>
      </c>
      <c r="CL200" s="65">
        <v>0.0</v>
      </c>
      <c r="CM200" s="65">
        <v>0.0</v>
      </c>
      <c r="CN200" s="65">
        <v>0.0</v>
      </c>
    </row>
    <row r="201" ht="15.75" customHeight="1">
      <c r="A201" s="462" t="s">
        <v>2346</v>
      </c>
      <c r="B201" s="477" t="s">
        <v>5869</v>
      </c>
      <c r="C201" s="141">
        <v>32702.0</v>
      </c>
      <c r="D201" s="63" t="s">
        <v>120</v>
      </c>
      <c r="E201" s="63" t="s">
        <v>199</v>
      </c>
      <c r="F201" s="63" t="s">
        <v>677</v>
      </c>
      <c r="G201" s="47" t="str">
        <f t="shared" si="1"/>
        <v>Breno</v>
      </c>
      <c r="H201" s="152" t="s">
        <v>295</v>
      </c>
      <c r="I201" s="49" t="s">
        <v>382</v>
      </c>
      <c r="J201" s="63" t="str">
        <f t="shared" si="4"/>
        <v>Sim</v>
      </c>
      <c r="K201" s="143">
        <v>43851.0</v>
      </c>
      <c r="L201" s="81"/>
      <c r="M201" s="81" t="s">
        <v>34</v>
      </c>
      <c r="N201" s="478">
        <v>0.012</v>
      </c>
      <c r="O201" s="141" t="s">
        <v>66</v>
      </c>
      <c r="P201" s="145">
        <v>0.0</v>
      </c>
      <c r="Q201" s="153" t="s">
        <v>5872</v>
      </c>
      <c r="R201" s="153" t="s">
        <v>5873</v>
      </c>
      <c r="S201" s="62" t="s">
        <v>194</v>
      </c>
      <c r="T201" s="30" t="s">
        <v>5874</v>
      </c>
      <c r="U201" s="81" t="s">
        <v>199</v>
      </c>
      <c r="V201" s="49" t="str">
        <f t="shared" si="3"/>
        <v>Ativo</v>
      </c>
      <c r="W201" s="150"/>
      <c r="X201" s="150"/>
      <c r="Y201" s="30" t="s">
        <v>244</v>
      </c>
      <c r="Z201" s="81"/>
      <c r="AA201" s="467">
        <v>43851.0</v>
      </c>
      <c r="AB201" s="30">
        <v>4.9075100004031E13</v>
      </c>
      <c r="AC201" s="96">
        <v>123988.76</v>
      </c>
      <c r="AD201" s="96">
        <v>121612.37</v>
      </c>
      <c r="AE201" s="96">
        <v>118512.14</v>
      </c>
      <c r="AF201" s="96">
        <v>119673.14</v>
      </c>
      <c r="AG201" s="96">
        <v>120205.86</v>
      </c>
      <c r="AH201" s="96">
        <v>120917.9</v>
      </c>
      <c r="AI201" s="96">
        <v>122068.17</v>
      </c>
      <c r="AJ201" s="96">
        <v>120544.68</v>
      </c>
      <c r="AK201" s="96">
        <v>119139.42</v>
      </c>
      <c r="AL201" s="96">
        <v>119192.71</v>
      </c>
      <c r="AM201" s="96">
        <v>122516.59</v>
      </c>
      <c r="AN201" s="96">
        <v>123014.43</v>
      </c>
      <c r="AO201" s="96">
        <v>121625.12</v>
      </c>
      <c r="AP201" s="96">
        <v>118736.18</v>
      </c>
      <c r="AQ201" s="471">
        <v>117568.32</v>
      </c>
      <c r="AR201" s="471">
        <v>118378.73</v>
      </c>
      <c r="AS201" s="471">
        <v>120125.06</v>
      </c>
      <c r="AT201" s="471">
        <v>120036.7</v>
      </c>
      <c r="AU201" s="471">
        <v>122177.62</v>
      </c>
      <c r="AV201" s="96">
        <v>123306.7</v>
      </c>
      <c r="AW201" s="96">
        <v>122274.52</v>
      </c>
      <c r="AX201" s="96">
        <v>120941.88</v>
      </c>
      <c r="AY201" s="96">
        <v>120064.95</v>
      </c>
      <c r="AZ201" s="96">
        <v>118930.37</v>
      </c>
      <c r="BA201" s="96">
        <v>117479.22</v>
      </c>
      <c r="BB201" s="96">
        <v>117927.52</v>
      </c>
      <c r="BC201" s="96">
        <v>119508.84</v>
      </c>
      <c r="BD201" s="96">
        <v>118565.11</v>
      </c>
      <c r="BE201" s="96">
        <v>120173.61</v>
      </c>
      <c r="BF201" s="96">
        <v>120163.28</v>
      </c>
      <c r="BG201" s="472">
        <v>121054.15</v>
      </c>
      <c r="BH201" s="472">
        <v>121923.76</v>
      </c>
      <c r="BI201" s="472">
        <v>123154.99</v>
      </c>
      <c r="BJ201" s="472">
        <v>123822.12</v>
      </c>
      <c r="BK201" s="472">
        <v>124453.76</v>
      </c>
      <c r="BL201" s="472">
        <v>125069.11</v>
      </c>
      <c r="BM201" s="472">
        <v>125741.73</v>
      </c>
      <c r="BN201" s="472">
        <v>126422.51</v>
      </c>
      <c r="BO201" s="472">
        <v>127078.39</v>
      </c>
      <c r="BP201" s="472">
        <v>127709.26</v>
      </c>
      <c r="BQ201" s="472">
        <v>128615.38</v>
      </c>
      <c r="BR201" s="472">
        <v>129231.32</v>
      </c>
      <c r="BS201" s="472">
        <v>130133.27</v>
      </c>
      <c r="BT201" s="472">
        <v>131072.28</v>
      </c>
      <c r="BU201" s="472">
        <v>131754.54</v>
      </c>
      <c r="BV201" s="472">
        <v>132909.41</v>
      </c>
      <c r="BW201" s="472">
        <v>133483.39</v>
      </c>
      <c r="BX201" s="472">
        <v>120196.72</v>
      </c>
      <c r="BY201" s="472">
        <v>108282.28</v>
      </c>
      <c r="BZ201" s="472">
        <v>109201.7</v>
      </c>
      <c r="CA201" s="474">
        <v>78557.73</v>
      </c>
      <c r="CB201" s="474">
        <v>78173.1</v>
      </c>
      <c r="CC201" s="474">
        <v>78919.38</v>
      </c>
      <c r="CD201" s="474">
        <v>79662.44</v>
      </c>
      <c r="CE201" s="474">
        <v>80061.71</v>
      </c>
      <c r="CF201" s="474">
        <v>0.0</v>
      </c>
      <c r="CG201" s="474">
        <v>0.0</v>
      </c>
      <c r="CH201" s="65">
        <v>0.0</v>
      </c>
      <c r="CI201" s="65">
        <v>0.0</v>
      </c>
      <c r="CJ201" s="65">
        <v>0.0</v>
      </c>
      <c r="CK201" s="65">
        <v>0.0</v>
      </c>
      <c r="CL201" s="65">
        <v>0.0</v>
      </c>
      <c r="CM201" s="65">
        <v>0.0</v>
      </c>
      <c r="CN201" s="65">
        <v>0.0</v>
      </c>
    </row>
    <row r="202" ht="15.75" customHeight="1">
      <c r="A202" s="462" t="s">
        <v>2346</v>
      </c>
      <c r="B202" s="477" t="s">
        <v>5513</v>
      </c>
      <c r="C202" s="141">
        <v>435597.0</v>
      </c>
      <c r="D202" s="63" t="s">
        <v>669</v>
      </c>
      <c r="E202" s="63" t="s">
        <v>199</v>
      </c>
      <c r="F202" s="63" t="s">
        <v>1228</v>
      </c>
      <c r="G202" s="47" t="str">
        <f t="shared" si="1"/>
        <v>Breno</v>
      </c>
      <c r="H202" s="142" t="s">
        <v>295</v>
      </c>
      <c r="I202" s="49" t="s">
        <v>382</v>
      </c>
      <c r="J202" s="63" t="str">
        <f t="shared" si="4"/>
        <v>Sim</v>
      </c>
      <c r="K202" s="143">
        <v>43711.0</v>
      </c>
      <c r="L202" s="81"/>
      <c r="M202" s="81" t="s">
        <v>209</v>
      </c>
      <c r="N202" s="464">
        <v>0.01</v>
      </c>
      <c r="O202" s="63" t="s">
        <v>35</v>
      </c>
      <c r="P202" s="145">
        <v>0.1</v>
      </c>
      <c r="Q202" s="158" t="s">
        <v>492</v>
      </c>
      <c r="R202" s="158"/>
      <c r="S202" s="62" t="s">
        <v>194</v>
      </c>
      <c r="T202" s="30" t="s">
        <v>5685</v>
      </c>
      <c r="U202" s="81" t="s">
        <v>199</v>
      </c>
      <c r="V202" s="49" t="str">
        <f t="shared" si="3"/>
        <v>Inativo</v>
      </c>
      <c r="W202" s="150"/>
      <c r="X202" s="150"/>
      <c r="Y202" s="30" t="s">
        <v>244</v>
      </c>
      <c r="Z202" s="81"/>
      <c r="AA202" s="467">
        <v>43711.0</v>
      </c>
      <c r="AB202" s="30">
        <v>4.9075100010692E13</v>
      </c>
      <c r="AC202" s="96">
        <v>165929.86</v>
      </c>
      <c r="AD202" s="96">
        <v>163935.2</v>
      </c>
      <c r="AE202" s="96">
        <v>156591.58</v>
      </c>
      <c r="AF202" s="96">
        <v>158470.37</v>
      </c>
      <c r="AG202" s="96">
        <v>159236.74</v>
      </c>
      <c r="AH202" s="96">
        <v>160527.61</v>
      </c>
      <c r="AI202" s="96">
        <v>162055.5</v>
      </c>
      <c r="AJ202" s="96">
        <v>160360.83</v>
      </c>
      <c r="AK202" s="96">
        <v>130848.0</v>
      </c>
      <c r="AL202" s="96">
        <v>131007.07</v>
      </c>
      <c r="AM202" s="96">
        <v>135043.82</v>
      </c>
      <c r="AN202" s="96">
        <v>109394.88</v>
      </c>
      <c r="AO202" s="96">
        <v>108740.68</v>
      </c>
      <c r="AP202" s="96">
        <v>106565.27</v>
      </c>
      <c r="AQ202" s="471">
        <v>105657.5</v>
      </c>
      <c r="AR202" s="471">
        <v>107592.06</v>
      </c>
      <c r="AS202" s="471">
        <v>107604.5</v>
      </c>
      <c r="AT202" s="471">
        <v>107481.43</v>
      </c>
      <c r="AU202" s="471">
        <v>71727.5</v>
      </c>
      <c r="AV202" s="96">
        <v>71115.14</v>
      </c>
      <c r="AW202" s="96">
        <v>20168.53</v>
      </c>
      <c r="AX202" s="96">
        <v>20255.64</v>
      </c>
      <c r="AY202" s="96">
        <v>20317.9</v>
      </c>
      <c r="AZ202" s="96">
        <v>20436.55</v>
      </c>
      <c r="BA202" s="96">
        <v>1009.59</v>
      </c>
      <c r="BB202" s="96">
        <v>1074.39</v>
      </c>
      <c r="BC202" s="96">
        <v>1084.89</v>
      </c>
      <c r="BD202" s="96">
        <v>1084.89</v>
      </c>
      <c r="BE202" s="96">
        <v>997.81</v>
      </c>
      <c r="BF202" s="96">
        <v>997.81</v>
      </c>
      <c r="BG202" s="472">
        <v>997.81</v>
      </c>
      <c r="BH202" s="472">
        <v>0.0</v>
      </c>
      <c r="BI202" s="472">
        <v>1011.5</v>
      </c>
      <c r="BJ202" s="472">
        <v>1011.5</v>
      </c>
      <c r="BK202" s="472">
        <v>1011.5</v>
      </c>
      <c r="BL202" s="472">
        <v>1011.5</v>
      </c>
      <c r="BM202" s="472">
        <v>1011.5</v>
      </c>
      <c r="BN202" s="472">
        <v>1011.5</v>
      </c>
      <c r="BO202" s="472">
        <v>1011.5</v>
      </c>
      <c r="BP202" s="472">
        <v>1011.5</v>
      </c>
      <c r="BQ202" s="472">
        <v>1011.5</v>
      </c>
      <c r="BR202" s="472">
        <v>1011.5</v>
      </c>
      <c r="BS202" s="472">
        <v>0.0</v>
      </c>
      <c r="BT202" s="472">
        <v>0.0</v>
      </c>
      <c r="BU202" s="472">
        <v>0.0</v>
      </c>
      <c r="BV202" s="472">
        <v>0.0</v>
      </c>
      <c r="BW202" s="472">
        <v>0.0</v>
      </c>
      <c r="BX202" s="472">
        <v>0.0</v>
      </c>
      <c r="BY202" s="472">
        <v>0.0</v>
      </c>
      <c r="BZ202" s="472">
        <v>0.0</v>
      </c>
      <c r="CA202" s="474">
        <v>0.0</v>
      </c>
      <c r="CB202" s="474">
        <v>0.0</v>
      </c>
      <c r="CC202" s="474">
        <v>0.0</v>
      </c>
      <c r="CD202" s="474">
        <v>0.0</v>
      </c>
      <c r="CE202" s="474">
        <v>0.0</v>
      </c>
      <c r="CF202" s="474">
        <v>0.0</v>
      </c>
      <c r="CG202" s="474">
        <v>0.0</v>
      </c>
      <c r="CH202" s="65">
        <v>0.0</v>
      </c>
      <c r="CI202" s="65">
        <v>0.0</v>
      </c>
      <c r="CJ202" s="65">
        <v>0.0</v>
      </c>
      <c r="CK202" s="65">
        <v>0.0</v>
      </c>
      <c r="CL202" s="65">
        <v>0.0</v>
      </c>
      <c r="CM202" s="65">
        <v>0.0</v>
      </c>
      <c r="CN202" s="65">
        <v>0.0</v>
      </c>
    </row>
    <row r="203" ht="15.75" customHeight="1">
      <c r="A203" s="462" t="s">
        <v>2346</v>
      </c>
      <c r="B203" s="50" t="s">
        <v>5908</v>
      </c>
      <c r="C203" s="141">
        <v>74950.0</v>
      </c>
      <c r="D203" s="63" t="s">
        <v>120</v>
      </c>
      <c r="E203" s="63" t="s">
        <v>91</v>
      </c>
      <c r="F203" s="66" t="s">
        <v>193</v>
      </c>
      <c r="G203" s="47" t="str">
        <f t="shared" si="1"/>
        <v>Breno</v>
      </c>
      <c r="H203" s="152" t="s">
        <v>224</v>
      </c>
      <c r="I203" s="74" t="s">
        <v>66</v>
      </c>
      <c r="J203" s="63" t="str">
        <f t="shared" si="4"/>
        <v>Não</v>
      </c>
      <c r="K203" s="143">
        <v>44333.0</v>
      </c>
      <c r="L203" s="467">
        <v>44966.0</v>
      </c>
      <c r="M203" s="81" t="s">
        <v>34</v>
      </c>
      <c r="N203" s="478">
        <v>0.012</v>
      </c>
      <c r="O203" s="141" t="s">
        <v>66</v>
      </c>
      <c r="P203" s="145">
        <v>0.0</v>
      </c>
      <c r="Q203" s="70"/>
      <c r="R203" s="160" t="s">
        <v>5909</v>
      </c>
      <c r="S203" s="62" t="s">
        <v>194</v>
      </c>
      <c r="T203" s="22" t="s">
        <v>5910</v>
      </c>
      <c r="U203" s="95" t="s">
        <v>221</v>
      </c>
      <c r="V203" s="49" t="str">
        <f t="shared" si="3"/>
        <v>Encerrado</v>
      </c>
      <c r="W203" s="150"/>
      <c r="X203" s="150"/>
      <c r="Y203" s="30" t="s">
        <v>244</v>
      </c>
      <c r="Z203" s="81"/>
      <c r="AA203" s="81"/>
      <c r="AB203" s="30"/>
      <c r="AC203" s="476"/>
      <c r="AD203" s="476"/>
      <c r="AE203" s="476"/>
      <c r="AF203" s="476"/>
      <c r="AG203" s="476"/>
      <c r="AH203" s="476"/>
      <c r="AI203" s="476"/>
      <c r="AJ203" s="476"/>
      <c r="AK203" s="476"/>
      <c r="AL203" s="476"/>
      <c r="AM203" s="476"/>
      <c r="AN203" s="476"/>
      <c r="AO203" s="476"/>
      <c r="AP203" s="476"/>
      <c r="AQ203" s="471"/>
      <c r="AR203" s="471"/>
      <c r="AS203" s="471"/>
      <c r="AT203" s="476"/>
      <c r="AU203" s="476">
        <v>279854.79</v>
      </c>
      <c r="AV203" s="96">
        <v>281663.67</v>
      </c>
      <c r="AW203" s="96">
        <v>281003.55</v>
      </c>
      <c r="AX203" s="96">
        <v>278983.29</v>
      </c>
      <c r="AY203" s="96">
        <v>278541.16</v>
      </c>
      <c r="AZ203" s="96">
        <v>164239.18</v>
      </c>
      <c r="BA203" s="96">
        <v>276242.61</v>
      </c>
      <c r="BB203" s="96">
        <v>279080.0</v>
      </c>
      <c r="BC203" s="96">
        <v>265122.41</v>
      </c>
      <c r="BD203" s="96">
        <v>266571.96</v>
      </c>
      <c r="BE203" s="96">
        <v>274226.79</v>
      </c>
      <c r="BF203" s="96">
        <v>232114.02</v>
      </c>
      <c r="BG203" s="472">
        <v>232960.46</v>
      </c>
      <c r="BH203" s="472">
        <v>205170.99</v>
      </c>
      <c r="BI203" s="472">
        <v>187439.94</v>
      </c>
      <c r="BJ203" s="472">
        <v>138428.36</v>
      </c>
      <c r="BK203" s="472">
        <v>119754.05</v>
      </c>
      <c r="BL203" s="472">
        <v>102682.37</v>
      </c>
      <c r="BM203" s="472">
        <v>82880.24</v>
      </c>
      <c r="BN203" s="472">
        <v>36407.01</v>
      </c>
      <c r="BO203" s="472">
        <v>36895.08</v>
      </c>
      <c r="BP203" s="472">
        <v>0.0</v>
      </c>
      <c r="BQ203" s="472">
        <v>2.25</v>
      </c>
      <c r="BR203" s="472">
        <v>2.25</v>
      </c>
      <c r="BS203" s="472">
        <v>2.25</v>
      </c>
      <c r="BT203" s="472">
        <v>0.0</v>
      </c>
      <c r="BU203" s="472">
        <v>0.0</v>
      </c>
      <c r="BV203" s="472">
        <v>0.0</v>
      </c>
      <c r="BW203" s="472">
        <v>0.0</v>
      </c>
      <c r="BX203" s="472">
        <v>0.0</v>
      </c>
      <c r="BY203" s="472">
        <v>0.0</v>
      </c>
      <c r="BZ203" s="472">
        <v>0.0</v>
      </c>
      <c r="CA203" s="474">
        <v>0.0</v>
      </c>
      <c r="CB203" s="474">
        <v>0.0</v>
      </c>
      <c r="CC203" s="474">
        <v>0.0</v>
      </c>
      <c r="CD203" s="474">
        <v>0.0</v>
      </c>
      <c r="CE203" s="474">
        <v>0.0</v>
      </c>
      <c r="CF203" s="474">
        <v>0.0</v>
      </c>
      <c r="CG203" s="474">
        <v>0.0</v>
      </c>
      <c r="CH203" s="65">
        <v>0.0</v>
      </c>
      <c r="CI203" s="65">
        <v>0.0</v>
      </c>
      <c r="CJ203" s="65">
        <v>0.0</v>
      </c>
      <c r="CK203" s="65">
        <v>0.0</v>
      </c>
      <c r="CL203" s="65">
        <v>0.0</v>
      </c>
      <c r="CM203" s="65">
        <v>0.0</v>
      </c>
      <c r="CN203" s="65">
        <v>0.0</v>
      </c>
    </row>
    <row r="204" ht="15.75" customHeight="1">
      <c r="A204" s="462" t="s">
        <v>2346</v>
      </c>
      <c r="B204" s="510" t="s">
        <v>5925</v>
      </c>
      <c r="C204" s="141">
        <v>446205.0</v>
      </c>
      <c r="D204" s="63" t="s">
        <v>669</v>
      </c>
      <c r="E204" s="63" t="s">
        <v>199</v>
      </c>
      <c r="F204" s="81" t="s">
        <v>1228</v>
      </c>
      <c r="G204" s="47" t="str">
        <f t="shared" si="1"/>
        <v>Breno</v>
      </c>
      <c r="H204" s="152" t="s">
        <v>224</v>
      </c>
      <c r="I204" s="74" t="s">
        <v>66</v>
      </c>
      <c r="J204" s="63" t="str">
        <f t="shared" si="4"/>
        <v>Não</v>
      </c>
      <c r="K204" s="467">
        <v>43853.0</v>
      </c>
      <c r="L204" s="467">
        <v>44592.0</v>
      </c>
      <c r="M204" s="81" t="s">
        <v>34</v>
      </c>
      <c r="N204" s="478">
        <v>0.012</v>
      </c>
      <c r="O204" s="141" t="s">
        <v>66</v>
      </c>
      <c r="P204" s="145">
        <v>0.0</v>
      </c>
      <c r="Q204" s="158"/>
      <c r="R204" s="158"/>
      <c r="S204" s="62" t="s">
        <v>194</v>
      </c>
      <c r="T204" s="30" t="s">
        <v>5928</v>
      </c>
      <c r="U204" s="81" t="s">
        <v>199</v>
      </c>
      <c r="V204" s="49" t="str">
        <f t="shared" si="3"/>
        <v>Encerrado</v>
      </c>
      <c r="W204" s="150"/>
      <c r="X204" s="150"/>
      <c r="Y204" s="81"/>
      <c r="Z204" s="81"/>
      <c r="AA204" s="81"/>
      <c r="AB204" s="30"/>
      <c r="AC204" s="96">
        <v>143918.41</v>
      </c>
      <c r="AD204" s="96">
        <v>142068.18</v>
      </c>
      <c r="AE204" s="96">
        <v>136803.07</v>
      </c>
      <c r="AF204" s="96">
        <v>137950.59</v>
      </c>
      <c r="AG204" s="96">
        <v>138784.57</v>
      </c>
      <c r="AH204" s="96">
        <v>139641.85</v>
      </c>
      <c r="AI204" s="96">
        <v>141269.87</v>
      </c>
      <c r="AJ204" s="96">
        <v>139900.14</v>
      </c>
      <c r="AK204" s="482">
        <v>137756.03</v>
      </c>
      <c r="AL204" s="96">
        <v>115460.99</v>
      </c>
      <c r="AM204" s="96">
        <v>119158.38</v>
      </c>
      <c r="AN204" s="96">
        <v>108790.47</v>
      </c>
      <c r="AO204" s="96">
        <v>79577.61</v>
      </c>
      <c r="AP204" s="96">
        <v>75643.34</v>
      </c>
      <c r="AQ204" s="96">
        <v>74822.05</v>
      </c>
      <c r="AR204" s="96">
        <v>76770.15</v>
      </c>
      <c r="AS204" s="96">
        <v>76890.68</v>
      </c>
      <c r="AT204" s="96">
        <v>76763.15</v>
      </c>
      <c r="AU204" s="96">
        <v>77401.73</v>
      </c>
      <c r="AV204" s="96">
        <v>77184.2</v>
      </c>
      <c r="AW204" s="96">
        <v>77017.2</v>
      </c>
      <c r="AX204" s="96">
        <v>72134.99</v>
      </c>
      <c r="AY204" s="96">
        <v>71731.24</v>
      </c>
      <c r="AZ204" s="96">
        <v>71159.71</v>
      </c>
      <c r="BA204" s="96">
        <v>71233.3</v>
      </c>
      <c r="BB204" s="96">
        <v>71738.63</v>
      </c>
      <c r="BC204" s="96">
        <v>13386.01</v>
      </c>
      <c r="BD204" s="96">
        <v>0.0</v>
      </c>
      <c r="BE204" s="96">
        <v>0.0</v>
      </c>
      <c r="BF204" s="96">
        <v>0.0</v>
      </c>
      <c r="BG204" s="96" t="s">
        <v>377</v>
      </c>
      <c r="BH204" s="96">
        <v>0.0</v>
      </c>
      <c r="BI204" s="96" t="s">
        <v>377</v>
      </c>
      <c r="BJ204" s="96">
        <v>0.0</v>
      </c>
      <c r="BK204" s="472">
        <v>0.0</v>
      </c>
      <c r="BL204" s="472">
        <v>0.0</v>
      </c>
      <c r="BM204" s="472">
        <v>0.0</v>
      </c>
      <c r="BN204" s="472">
        <v>0.0</v>
      </c>
      <c r="BO204" s="472">
        <v>0.0</v>
      </c>
      <c r="BP204" s="472">
        <v>0.0</v>
      </c>
      <c r="BQ204" s="472">
        <v>0.0</v>
      </c>
      <c r="BR204" s="472">
        <v>0.0</v>
      </c>
      <c r="BS204" s="472">
        <v>0.0</v>
      </c>
      <c r="BT204" s="472">
        <v>0.0</v>
      </c>
      <c r="BU204" s="472">
        <v>0.0</v>
      </c>
      <c r="BV204" s="472">
        <v>0.0</v>
      </c>
      <c r="BW204" s="472">
        <v>0.0</v>
      </c>
      <c r="BX204" s="472">
        <v>0.0</v>
      </c>
      <c r="BY204" s="472">
        <v>0.0</v>
      </c>
      <c r="BZ204" s="472">
        <v>0.0</v>
      </c>
      <c r="CA204" s="474">
        <v>0.0</v>
      </c>
      <c r="CB204" s="474">
        <v>0.0</v>
      </c>
      <c r="CC204" s="474">
        <v>0.0</v>
      </c>
      <c r="CD204" s="474">
        <v>0.0</v>
      </c>
      <c r="CE204" s="474">
        <v>0.0</v>
      </c>
      <c r="CF204" s="474">
        <v>0.0</v>
      </c>
      <c r="CG204" s="474">
        <v>0.0</v>
      </c>
      <c r="CH204" s="65">
        <v>0.0</v>
      </c>
      <c r="CI204" s="65">
        <v>0.0</v>
      </c>
      <c r="CJ204" s="65">
        <v>0.0</v>
      </c>
      <c r="CK204" s="65">
        <v>0.0</v>
      </c>
      <c r="CL204" s="65">
        <v>0.0</v>
      </c>
      <c r="CM204" s="65">
        <v>0.0</v>
      </c>
      <c r="CN204" s="65">
        <v>0.0</v>
      </c>
    </row>
    <row r="205" ht="15.75" customHeight="1">
      <c r="A205" s="462" t="s">
        <v>2346</v>
      </c>
      <c r="B205" s="176" t="s">
        <v>5936</v>
      </c>
      <c r="C205" s="141">
        <v>440076.0</v>
      </c>
      <c r="D205" s="63" t="s">
        <v>120</v>
      </c>
      <c r="E205" s="63" t="s">
        <v>91</v>
      </c>
      <c r="F205" s="66" t="s">
        <v>193</v>
      </c>
      <c r="G205" s="47" t="str">
        <f t="shared" si="1"/>
        <v>Breno</v>
      </c>
      <c r="H205" s="152" t="s">
        <v>224</v>
      </c>
      <c r="I205" s="74" t="s">
        <v>66</v>
      </c>
      <c r="J205" s="63" t="str">
        <f t="shared" si="4"/>
        <v>Não</v>
      </c>
      <c r="K205" s="194">
        <v>44439.0</v>
      </c>
      <c r="L205" s="724">
        <v>44865.0</v>
      </c>
      <c r="M205" s="81" t="s">
        <v>34</v>
      </c>
      <c r="N205" s="464">
        <v>0.012</v>
      </c>
      <c r="O205" s="141" t="s">
        <v>66</v>
      </c>
      <c r="P205" s="145">
        <v>0.0</v>
      </c>
      <c r="Q205" s="70"/>
      <c r="R205" s="70"/>
      <c r="S205" s="62" t="s">
        <v>194</v>
      </c>
      <c r="T205" s="22" t="s">
        <v>5944</v>
      </c>
      <c r="U205" s="95" t="s">
        <v>221</v>
      </c>
      <c r="V205" s="49" t="str">
        <f t="shared" si="3"/>
        <v>Encerrado</v>
      </c>
      <c r="W205" s="150"/>
      <c r="X205" s="150"/>
      <c r="Y205" s="81"/>
      <c r="Z205" s="81"/>
      <c r="AA205" s="81"/>
      <c r="AB205" s="30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482"/>
      <c r="AO205" s="96"/>
      <c r="AP205" s="471"/>
      <c r="AQ205" s="471"/>
      <c r="AR205" s="471"/>
      <c r="AS205" s="471"/>
      <c r="AT205" s="471"/>
      <c r="AU205" s="96"/>
      <c r="AV205" s="96"/>
      <c r="AW205" s="476"/>
      <c r="AX205" s="476">
        <v>461389.09</v>
      </c>
      <c r="AY205" s="96">
        <v>399622.66</v>
      </c>
      <c r="AZ205" s="96">
        <v>397304.91</v>
      </c>
      <c r="BA205" s="96">
        <v>400943.16</v>
      </c>
      <c r="BB205" s="96">
        <v>405108.37</v>
      </c>
      <c r="BC205" s="96">
        <v>406470.91</v>
      </c>
      <c r="BD205" s="96">
        <v>408802.34</v>
      </c>
      <c r="BE205" s="96">
        <v>0.0</v>
      </c>
      <c r="BF205" s="96">
        <v>0.0</v>
      </c>
      <c r="BG205" s="472">
        <v>14219.74</v>
      </c>
      <c r="BH205" s="472">
        <v>13799.76</v>
      </c>
      <c r="BI205" s="472">
        <v>13875.66</v>
      </c>
      <c r="BJ205" s="472">
        <v>14093.63</v>
      </c>
      <c r="BK205" s="472">
        <v>14256.05</v>
      </c>
      <c r="BL205" s="472">
        <v>0.0</v>
      </c>
      <c r="BM205" s="472">
        <v>0.0</v>
      </c>
      <c r="BN205" s="472">
        <v>0.0</v>
      </c>
      <c r="BO205" s="472">
        <v>0.0</v>
      </c>
      <c r="BP205" s="472">
        <v>0.0</v>
      </c>
      <c r="BQ205" s="472">
        <v>0.0</v>
      </c>
      <c r="BR205" s="472">
        <v>0.0</v>
      </c>
      <c r="BS205" s="472">
        <v>0.0</v>
      </c>
      <c r="BT205" s="472">
        <v>0.0</v>
      </c>
      <c r="BU205" s="472">
        <v>0.0</v>
      </c>
      <c r="BV205" s="472">
        <v>0.0</v>
      </c>
      <c r="BW205" s="472">
        <v>0.0</v>
      </c>
      <c r="BX205" s="472">
        <v>0.0</v>
      </c>
      <c r="BY205" s="472">
        <v>0.0</v>
      </c>
      <c r="BZ205" s="472">
        <v>0.0</v>
      </c>
      <c r="CA205" s="474">
        <v>0.0</v>
      </c>
      <c r="CB205" s="474">
        <v>0.0</v>
      </c>
      <c r="CC205" s="474">
        <v>0.0</v>
      </c>
      <c r="CD205" s="474">
        <v>0.0</v>
      </c>
      <c r="CE205" s="474">
        <v>0.0</v>
      </c>
      <c r="CF205" s="474">
        <v>0.0</v>
      </c>
      <c r="CG205" s="474">
        <v>0.0</v>
      </c>
      <c r="CH205" s="65">
        <v>0.0</v>
      </c>
      <c r="CI205" s="65">
        <v>0.0</v>
      </c>
      <c r="CJ205" s="65">
        <v>0.0</v>
      </c>
      <c r="CK205" s="65">
        <v>0.0</v>
      </c>
      <c r="CL205" s="65">
        <v>0.0</v>
      </c>
      <c r="CM205" s="65">
        <v>0.0</v>
      </c>
      <c r="CN205" s="65">
        <v>0.0</v>
      </c>
    </row>
    <row r="206" ht="15.75" customHeight="1">
      <c r="A206" s="462" t="s">
        <v>2346</v>
      </c>
      <c r="B206" s="477" t="s">
        <v>5956</v>
      </c>
      <c r="C206" s="141">
        <v>34985.0</v>
      </c>
      <c r="D206" s="63" t="s">
        <v>120</v>
      </c>
      <c r="E206" s="63" t="s">
        <v>91</v>
      </c>
      <c r="F206" s="63" t="s">
        <v>193</v>
      </c>
      <c r="G206" s="47" t="str">
        <f t="shared" si="1"/>
        <v>Breno</v>
      </c>
      <c r="H206" s="142" t="s">
        <v>295</v>
      </c>
      <c r="I206" s="49" t="s">
        <v>382</v>
      </c>
      <c r="J206" s="63" t="str">
        <f t="shared" si="4"/>
        <v>Não</v>
      </c>
      <c r="K206" s="143">
        <v>44280.0</v>
      </c>
      <c r="L206" s="81"/>
      <c r="M206" s="81" t="s">
        <v>209</v>
      </c>
      <c r="N206" s="478">
        <v>0.015</v>
      </c>
      <c r="O206" s="63" t="s">
        <v>35</v>
      </c>
      <c r="P206" s="145">
        <v>0.1</v>
      </c>
      <c r="Q206" s="158"/>
      <c r="R206" s="153" t="s">
        <v>5957</v>
      </c>
      <c r="S206" s="62" t="s">
        <v>194</v>
      </c>
      <c r="T206" s="30" t="s">
        <v>5958</v>
      </c>
      <c r="U206" s="95" t="s">
        <v>221</v>
      </c>
      <c r="V206" s="49" t="str">
        <f t="shared" si="3"/>
        <v>Inativo</v>
      </c>
      <c r="W206" s="150"/>
      <c r="X206" s="150"/>
      <c r="Y206" s="30" t="s">
        <v>244</v>
      </c>
      <c r="Z206" s="81"/>
      <c r="AA206" s="467">
        <v>44280.0</v>
      </c>
      <c r="AB206" s="30">
        <v>4.9075100004072E13</v>
      </c>
      <c r="AC206" s="482"/>
      <c r="AD206" s="482"/>
      <c r="AE206" s="482"/>
      <c r="AF206" s="482"/>
      <c r="AG206" s="482"/>
      <c r="AH206" s="482"/>
      <c r="AI206" s="482"/>
      <c r="AJ206" s="482"/>
      <c r="AK206" s="482"/>
      <c r="AL206" s="482"/>
      <c r="AM206" s="482"/>
      <c r="AN206" s="482"/>
      <c r="AO206" s="482"/>
      <c r="AP206" s="96"/>
      <c r="AQ206" s="471"/>
      <c r="AR206" s="471">
        <v>419957.43</v>
      </c>
      <c r="AS206" s="471"/>
      <c r="AT206" s="471">
        <v>475937.26</v>
      </c>
      <c r="AU206" s="471">
        <v>411264.58</v>
      </c>
      <c r="AV206" s="96">
        <v>410623.98</v>
      </c>
      <c r="AW206" s="96">
        <v>436585.81</v>
      </c>
      <c r="AX206" s="96">
        <v>453477.05</v>
      </c>
      <c r="AY206" s="96">
        <v>426197.67</v>
      </c>
      <c r="AZ206" s="96">
        <v>450798.93</v>
      </c>
      <c r="BA206" s="96">
        <v>447279.08</v>
      </c>
      <c r="BB206" s="96">
        <v>419227.7</v>
      </c>
      <c r="BC206" s="96">
        <v>459636.61</v>
      </c>
      <c r="BD206" s="96">
        <v>482550.57</v>
      </c>
      <c r="BE206" s="96">
        <v>502193.02</v>
      </c>
      <c r="BF206" s="96">
        <v>469291.11</v>
      </c>
      <c r="BG206" s="472">
        <v>467927.27</v>
      </c>
      <c r="BH206" s="472">
        <v>464185.75</v>
      </c>
      <c r="BI206" s="472">
        <v>523635.6</v>
      </c>
      <c r="BJ206" s="472">
        <v>559445.9</v>
      </c>
      <c r="BK206" s="472">
        <v>565375.74</v>
      </c>
      <c r="BL206" s="472">
        <v>513855.77</v>
      </c>
      <c r="BM206" s="472">
        <v>535979.66</v>
      </c>
      <c r="BN206" s="472">
        <v>565881.84</v>
      </c>
      <c r="BO206" s="472">
        <v>518268.97</v>
      </c>
      <c r="BP206" s="472">
        <v>521089.73</v>
      </c>
      <c r="BQ206" s="472">
        <v>543101.15</v>
      </c>
      <c r="BR206" s="472">
        <v>433.97</v>
      </c>
      <c r="BS206" s="472">
        <v>438.96</v>
      </c>
      <c r="BT206" s="472">
        <v>0.0</v>
      </c>
      <c r="BU206" s="472">
        <v>0.0</v>
      </c>
      <c r="BV206" s="472">
        <v>0.0</v>
      </c>
      <c r="BW206" s="472">
        <v>0.0</v>
      </c>
      <c r="BX206" s="472">
        <v>0.0</v>
      </c>
      <c r="BY206" s="472">
        <v>0.0</v>
      </c>
      <c r="BZ206" s="472">
        <v>0.0</v>
      </c>
      <c r="CA206" s="474">
        <v>0.0</v>
      </c>
      <c r="CB206" s="474">
        <v>0.0</v>
      </c>
      <c r="CC206" s="474">
        <v>0.0</v>
      </c>
      <c r="CD206" s="474">
        <v>0.0</v>
      </c>
      <c r="CE206" s="474">
        <v>0.0</v>
      </c>
      <c r="CF206" s="474">
        <v>0.0</v>
      </c>
      <c r="CG206" s="474">
        <v>0.0</v>
      </c>
      <c r="CH206" s="65">
        <v>0.0</v>
      </c>
      <c r="CI206" s="65">
        <v>0.0</v>
      </c>
      <c r="CJ206" s="65">
        <v>0.0</v>
      </c>
      <c r="CK206" s="65">
        <v>0.0</v>
      </c>
      <c r="CL206" s="65">
        <v>0.0</v>
      </c>
      <c r="CM206" s="65">
        <v>0.0</v>
      </c>
      <c r="CN206" s="65">
        <v>0.0</v>
      </c>
    </row>
    <row r="207" ht="15.75" customHeight="1">
      <c r="A207" s="462" t="s">
        <v>2346</v>
      </c>
      <c r="B207" s="510" t="s">
        <v>5966</v>
      </c>
      <c r="C207" s="141">
        <v>317557.0</v>
      </c>
      <c r="D207" s="63" t="s">
        <v>1096</v>
      </c>
      <c r="E207" s="63" t="s">
        <v>199</v>
      </c>
      <c r="F207" s="81" t="s">
        <v>1096</v>
      </c>
      <c r="G207" s="47" t="str">
        <f t="shared" si="1"/>
        <v>Breno</v>
      </c>
      <c r="H207" s="152" t="s">
        <v>224</v>
      </c>
      <c r="I207" s="74" t="s">
        <v>66</v>
      </c>
      <c r="J207" s="63" t="str">
        <f t="shared" si="4"/>
        <v>Não</v>
      </c>
      <c r="K207" s="467">
        <v>43439.0</v>
      </c>
      <c r="L207" s="467">
        <v>44698.0</v>
      </c>
      <c r="M207" s="81" t="s">
        <v>231</v>
      </c>
      <c r="N207" s="478">
        <v>0.02</v>
      </c>
      <c r="O207" s="141" t="s">
        <v>233</v>
      </c>
      <c r="P207" s="145">
        <v>0.2</v>
      </c>
      <c r="Q207" s="158"/>
      <c r="R207" s="158"/>
      <c r="S207" s="62" t="s">
        <v>194</v>
      </c>
      <c r="T207" s="30" t="s">
        <v>5970</v>
      </c>
      <c r="U207" s="81" t="s">
        <v>199</v>
      </c>
      <c r="V207" s="49" t="str">
        <f t="shared" si="3"/>
        <v>Encerrado</v>
      </c>
      <c r="W207" s="150"/>
      <c r="X207" s="150"/>
      <c r="Y207" s="30" t="s">
        <v>244</v>
      </c>
      <c r="Z207" s="81"/>
      <c r="AA207" s="81"/>
      <c r="AB207" s="30"/>
      <c r="AC207" s="96">
        <v>182775.62</v>
      </c>
      <c r="AD207" s="96">
        <v>173346.31</v>
      </c>
      <c r="AE207" s="96">
        <v>133244.41</v>
      </c>
      <c r="AF207" s="96">
        <v>141451.07</v>
      </c>
      <c r="AG207" s="96">
        <v>146597.66</v>
      </c>
      <c r="AH207" s="96">
        <v>153836.28</v>
      </c>
      <c r="AI207" s="96">
        <v>164345.03</v>
      </c>
      <c r="AJ207" s="96">
        <v>157208.89</v>
      </c>
      <c r="AK207" s="96">
        <v>149315.32</v>
      </c>
      <c r="AL207" s="96">
        <v>154879.73</v>
      </c>
      <c r="AM207" s="96">
        <v>174608.18</v>
      </c>
      <c r="AN207" s="96">
        <v>180685.17</v>
      </c>
      <c r="AO207" s="96">
        <v>175723.75</v>
      </c>
      <c r="AP207" s="96">
        <v>161983.6</v>
      </c>
      <c r="AQ207" s="96">
        <v>156764.77</v>
      </c>
      <c r="AR207" s="96">
        <v>169952.44</v>
      </c>
      <c r="AS207" s="96">
        <v>170885.24</v>
      </c>
      <c r="AT207" s="96">
        <v>171897.11</v>
      </c>
      <c r="AU207" s="96">
        <v>178962.12</v>
      </c>
      <c r="AV207" s="96">
        <v>176351.7</v>
      </c>
      <c r="AW207" s="96">
        <v>171431.85</v>
      </c>
      <c r="AX207" s="96">
        <v>164074.76</v>
      </c>
      <c r="AY207" s="96">
        <v>156484.56</v>
      </c>
      <c r="AZ207" s="96">
        <v>147439.31</v>
      </c>
      <c r="BA207" s="96">
        <v>142928.48</v>
      </c>
      <c r="BB207" s="96">
        <v>143884.27</v>
      </c>
      <c r="BC207" s="96">
        <v>151924.5</v>
      </c>
      <c r="BD207" s="96">
        <v>153885.31</v>
      </c>
      <c r="BE207" s="96">
        <v>165125.26</v>
      </c>
      <c r="BF207" s="96">
        <v>66249.18</v>
      </c>
      <c r="BG207" s="505">
        <v>2768.95</v>
      </c>
      <c r="BH207" s="96">
        <v>0.0</v>
      </c>
      <c r="BI207" s="96" t="s">
        <v>377</v>
      </c>
      <c r="BJ207" s="96">
        <v>0.0</v>
      </c>
      <c r="BK207" s="472">
        <v>0.0</v>
      </c>
      <c r="BL207" s="472">
        <v>0.0</v>
      </c>
      <c r="BM207" s="472">
        <v>0.0</v>
      </c>
      <c r="BN207" s="472">
        <v>0.0</v>
      </c>
      <c r="BO207" s="472">
        <v>0.0</v>
      </c>
      <c r="BP207" s="472">
        <v>0.0</v>
      </c>
      <c r="BQ207" s="472">
        <v>0.0</v>
      </c>
      <c r="BR207" s="472">
        <v>0.0</v>
      </c>
      <c r="BS207" s="472">
        <v>0.0</v>
      </c>
      <c r="BT207" s="472">
        <v>0.0</v>
      </c>
      <c r="BU207" s="472">
        <v>0.0</v>
      </c>
      <c r="BV207" s="472">
        <v>0.0</v>
      </c>
      <c r="BW207" s="472">
        <v>0.0</v>
      </c>
      <c r="BX207" s="472">
        <v>0.0</v>
      </c>
      <c r="BY207" s="472">
        <v>0.0</v>
      </c>
      <c r="BZ207" s="472">
        <v>0.0</v>
      </c>
      <c r="CA207" s="474">
        <v>0.0</v>
      </c>
      <c r="CB207" s="474">
        <v>0.0</v>
      </c>
      <c r="CC207" s="474">
        <v>0.0</v>
      </c>
      <c r="CD207" s="474">
        <v>0.0</v>
      </c>
      <c r="CE207" s="474">
        <v>0.0</v>
      </c>
      <c r="CF207" s="474">
        <v>0.0</v>
      </c>
      <c r="CG207" s="474">
        <v>0.0</v>
      </c>
      <c r="CH207" s="65">
        <v>0.0</v>
      </c>
      <c r="CI207" s="65">
        <v>0.0</v>
      </c>
      <c r="CJ207" s="65">
        <v>0.0</v>
      </c>
      <c r="CK207" s="65">
        <v>0.0</v>
      </c>
      <c r="CL207" s="65">
        <v>0.0</v>
      </c>
      <c r="CM207" s="65">
        <v>0.0</v>
      </c>
      <c r="CN207" s="65">
        <v>0.0</v>
      </c>
    </row>
    <row r="208" ht="15.75" customHeight="1">
      <c r="A208" s="462" t="s">
        <v>2346</v>
      </c>
      <c r="B208" s="50" t="s">
        <v>5978</v>
      </c>
      <c r="C208" s="141">
        <v>575947.0</v>
      </c>
      <c r="D208" s="63" t="s">
        <v>120</v>
      </c>
      <c r="E208" s="63" t="s">
        <v>91</v>
      </c>
      <c r="F208" s="81" t="s">
        <v>193</v>
      </c>
      <c r="G208" s="47" t="str">
        <f t="shared" si="1"/>
        <v>Breno</v>
      </c>
      <c r="H208" s="152" t="s">
        <v>224</v>
      </c>
      <c r="I208" s="74" t="s">
        <v>66</v>
      </c>
      <c r="J208" s="63" t="str">
        <f t="shared" si="4"/>
        <v>Não</v>
      </c>
      <c r="K208" s="467">
        <v>44321.0</v>
      </c>
      <c r="L208" s="194">
        <v>44704.0</v>
      </c>
      <c r="M208" s="81" t="s">
        <v>361</v>
      </c>
      <c r="N208" s="478">
        <v>0.02</v>
      </c>
      <c r="O208" s="63" t="s">
        <v>35</v>
      </c>
      <c r="P208" s="145">
        <v>0.2</v>
      </c>
      <c r="Q208" s="70"/>
      <c r="R208" s="70"/>
      <c r="S208" s="62" t="s">
        <v>194</v>
      </c>
      <c r="T208" s="22" t="s">
        <v>5983</v>
      </c>
      <c r="U208" s="95" t="s">
        <v>221</v>
      </c>
      <c r="V208" s="49" t="str">
        <f t="shared" si="3"/>
        <v>Encerrado</v>
      </c>
      <c r="W208" s="150"/>
      <c r="X208" s="150"/>
      <c r="Y208" s="30" t="s">
        <v>244</v>
      </c>
      <c r="Z208" s="81"/>
      <c r="AA208" s="81"/>
      <c r="AB208" s="30"/>
      <c r="AC208" s="476"/>
      <c r="AD208" s="476"/>
      <c r="AE208" s="476"/>
      <c r="AF208" s="476"/>
      <c r="AG208" s="476"/>
      <c r="AH208" s="476"/>
      <c r="AI208" s="476"/>
      <c r="AJ208" s="476"/>
      <c r="AK208" s="476"/>
      <c r="AL208" s="476"/>
      <c r="AM208" s="476"/>
      <c r="AN208" s="476"/>
      <c r="AO208" s="476"/>
      <c r="AP208" s="96"/>
      <c r="AQ208" s="96"/>
      <c r="AR208" s="96"/>
      <c r="AS208" s="96"/>
      <c r="AT208" s="96"/>
      <c r="AU208" s="96">
        <v>151206.61</v>
      </c>
      <c r="AV208" s="96">
        <v>151283.68</v>
      </c>
      <c r="AW208" s="96">
        <v>150032.19</v>
      </c>
      <c r="AX208" s="96">
        <v>147431.21</v>
      </c>
      <c r="AY208" s="96">
        <v>145842.89</v>
      </c>
      <c r="AZ208" s="96">
        <v>141294.41</v>
      </c>
      <c r="BA208" s="96">
        <v>138914.26</v>
      </c>
      <c r="BB208" s="96">
        <v>138422.19</v>
      </c>
      <c r="BC208" s="96">
        <v>16300.55</v>
      </c>
      <c r="BD208" s="96">
        <v>16717.1</v>
      </c>
      <c r="BE208" s="96">
        <v>18166.2</v>
      </c>
      <c r="BF208" s="96">
        <v>17334.77</v>
      </c>
      <c r="BG208" s="505" t="s">
        <v>377</v>
      </c>
      <c r="BH208" s="96">
        <v>0.0</v>
      </c>
      <c r="BI208" s="96" t="s">
        <v>377</v>
      </c>
      <c r="BJ208" s="96">
        <v>0.0</v>
      </c>
      <c r="BK208" s="472">
        <v>0.0</v>
      </c>
      <c r="BL208" s="472">
        <v>0.0</v>
      </c>
      <c r="BM208" s="472">
        <v>0.0</v>
      </c>
      <c r="BN208" s="472">
        <v>0.0</v>
      </c>
      <c r="BO208" s="472">
        <v>0.0</v>
      </c>
      <c r="BP208" s="472">
        <v>0.0</v>
      </c>
      <c r="BQ208" s="472">
        <v>0.0</v>
      </c>
      <c r="BR208" s="472">
        <v>0.0</v>
      </c>
      <c r="BS208" s="472">
        <v>0.0</v>
      </c>
      <c r="BT208" s="472">
        <v>0.0</v>
      </c>
      <c r="BU208" s="472">
        <v>0.0</v>
      </c>
      <c r="BV208" s="472">
        <v>0.0</v>
      </c>
      <c r="BW208" s="472">
        <v>0.0</v>
      </c>
      <c r="BX208" s="472">
        <v>0.0</v>
      </c>
      <c r="BY208" s="472">
        <v>0.0</v>
      </c>
      <c r="BZ208" s="472">
        <v>0.0</v>
      </c>
      <c r="CA208" s="474">
        <v>0.0</v>
      </c>
      <c r="CB208" s="474">
        <v>0.0</v>
      </c>
      <c r="CC208" s="474">
        <v>0.0</v>
      </c>
      <c r="CD208" s="474">
        <v>0.0</v>
      </c>
      <c r="CE208" s="474">
        <v>0.0</v>
      </c>
      <c r="CF208" s="474">
        <v>0.0</v>
      </c>
      <c r="CG208" s="474">
        <v>0.0</v>
      </c>
      <c r="CH208" s="65">
        <v>0.0</v>
      </c>
      <c r="CI208" s="65">
        <v>0.0</v>
      </c>
      <c r="CJ208" s="65">
        <v>0.0</v>
      </c>
      <c r="CK208" s="65">
        <v>0.0</v>
      </c>
      <c r="CL208" s="65">
        <v>0.0</v>
      </c>
      <c r="CM208" s="65">
        <v>0.0</v>
      </c>
      <c r="CN208" s="65">
        <v>0.0</v>
      </c>
    </row>
    <row r="209" ht="15.75" customHeight="1">
      <c r="A209" s="462" t="s">
        <v>2346</v>
      </c>
      <c r="B209" s="462" t="s">
        <v>1095</v>
      </c>
      <c r="C209" s="141">
        <v>85867.0</v>
      </c>
      <c r="D209" s="63" t="s">
        <v>1096</v>
      </c>
      <c r="E209" s="63" t="s">
        <v>199</v>
      </c>
      <c r="F209" s="63" t="s">
        <v>1096</v>
      </c>
      <c r="G209" s="47" t="str">
        <f t="shared" si="1"/>
        <v>Breno</v>
      </c>
      <c r="H209" s="142" t="s">
        <v>183</v>
      </c>
      <c r="I209" s="74" t="s">
        <v>66</v>
      </c>
      <c r="J209" s="63" t="str">
        <f t="shared" si="4"/>
        <v>Não</v>
      </c>
      <c r="K209" s="143">
        <v>43405.0</v>
      </c>
      <c r="L209" s="81"/>
      <c r="M209" s="81" t="s">
        <v>231</v>
      </c>
      <c r="N209" s="464">
        <v>0.01</v>
      </c>
      <c r="O209" s="141" t="s">
        <v>66</v>
      </c>
      <c r="P209" s="145">
        <v>0.0</v>
      </c>
      <c r="Q209" s="158"/>
      <c r="R209" s="158"/>
      <c r="S209" s="62" t="s">
        <v>194</v>
      </c>
      <c r="T209" s="141" t="s">
        <v>1098</v>
      </c>
      <c r="U209" s="66" t="s">
        <v>199</v>
      </c>
      <c r="V209" s="49" t="str">
        <f t="shared" si="3"/>
        <v>Ativo</v>
      </c>
      <c r="W209" s="150"/>
      <c r="X209" s="150"/>
      <c r="Y209" s="30" t="s">
        <v>244</v>
      </c>
      <c r="Z209" s="81"/>
      <c r="AA209" s="467">
        <v>43405.0</v>
      </c>
      <c r="AB209" s="30">
        <v>4.9075100010161E13</v>
      </c>
      <c r="AC209" s="96">
        <v>130119.63</v>
      </c>
      <c r="AD209" s="96">
        <v>124467.12</v>
      </c>
      <c r="AE209" s="96">
        <v>94570.41</v>
      </c>
      <c r="AF209" s="96">
        <v>102615.72</v>
      </c>
      <c r="AG209" s="96">
        <v>106378.57</v>
      </c>
      <c r="AH209" s="96">
        <v>112226.83</v>
      </c>
      <c r="AI209" s="96">
        <v>122061.52</v>
      </c>
      <c r="AJ209" s="96">
        <v>117668.74</v>
      </c>
      <c r="AK209" s="96">
        <v>112869.38</v>
      </c>
      <c r="AL209" s="96">
        <v>116886.78</v>
      </c>
      <c r="AM209" s="96">
        <v>131989.14</v>
      </c>
      <c r="AN209" s="96">
        <v>137255.36</v>
      </c>
      <c r="AO209" s="96">
        <v>133024.23</v>
      </c>
      <c r="AP209" s="96">
        <v>122508.02</v>
      </c>
      <c r="AQ209" s="471">
        <v>118540.09</v>
      </c>
      <c r="AR209" s="471">
        <v>123782.2</v>
      </c>
      <c r="AS209" s="471">
        <v>130709.24</v>
      </c>
      <c r="AT209" s="471">
        <v>130955.73</v>
      </c>
      <c r="AU209" s="471">
        <v>136233.51</v>
      </c>
      <c r="AV209" s="96">
        <v>134164.76</v>
      </c>
      <c r="AW209" s="96">
        <v>130140.56</v>
      </c>
      <c r="AX209" s="96">
        <v>124384.48</v>
      </c>
      <c r="AY209" s="96">
        <v>118061.1</v>
      </c>
      <c r="AZ209" s="96">
        <v>110724.16</v>
      </c>
      <c r="BA209" s="96">
        <v>107396.27</v>
      </c>
      <c r="BB209" s="96">
        <v>108256.51</v>
      </c>
      <c r="BC209" s="96">
        <v>115039.1</v>
      </c>
      <c r="BD209" s="96">
        <v>116407.77</v>
      </c>
      <c r="BE209" s="96">
        <v>124687.41</v>
      </c>
      <c r="BF209" s="96">
        <v>118609.57</v>
      </c>
      <c r="BG209" s="472">
        <v>115636.05</v>
      </c>
      <c r="BH209" s="472">
        <v>110376.66</v>
      </c>
      <c r="BI209" s="472">
        <v>115730.03</v>
      </c>
      <c r="BJ209" s="472">
        <v>117321.3</v>
      </c>
      <c r="BK209" s="472">
        <v>118162.12</v>
      </c>
      <c r="BL209" s="472">
        <v>127163.71</v>
      </c>
      <c r="BM209" s="472">
        <v>124736.19</v>
      </c>
      <c r="BN209" s="472">
        <v>124079.33</v>
      </c>
      <c r="BO209" s="472">
        <v>127706.18</v>
      </c>
      <c r="BP209" s="472">
        <v>123080.46</v>
      </c>
      <c r="BQ209" s="472">
        <v>122227.94</v>
      </c>
      <c r="BR209" s="472">
        <v>119754.65</v>
      </c>
      <c r="BS209" s="472">
        <v>125093.41</v>
      </c>
      <c r="BT209" s="472">
        <v>134851.39</v>
      </c>
      <c r="BU209" s="472">
        <v>141613.57</v>
      </c>
      <c r="BV209" s="472">
        <v>140525.65</v>
      </c>
      <c r="BW209" s="472">
        <v>135766.89</v>
      </c>
      <c r="BX209" s="472">
        <v>129515.76</v>
      </c>
      <c r="BY209" s="472">
        <v>139035.34</v>
      </c>
      <c r="BZ209" s="472">
        <v>145118.6</v>
      </c>
      <c r="CA209" s="474">
        <v>135438.44</v>
      </c>
      <c r="CB209" s="474">
        <v>138290.07</v>
      </c>
      <c r="CC209" s="474">
        <v>140393.02</v>
      </c>
      <c r="CD209" s="474">
        <v>115174.69</v>
      </c>
      <c r="CE209" s="474">
        <v>101763.89</v>
      </c>
      <c r="CF209" s="474">
        <v>132006.11</v>
      </c>
      <c r="CG209" s="474">
        <v>128405.19</v>
      </c>
      <c r="CH209" s="65">
        <v>137245.05</v>
      </c>
      <c r="CI209" s="65">
        <v>134408.58</v>
      </c>
      <c r="CJ209" s="65">
        <v>129268.15</v>
      </c>
      <c r="CK209" s="65">
        <v>124052.76</v>
      </c>
      <c r="CL209" s="65">
        <v>0.0</v>
      </c>
      <c r="CM209" s="65">
        <v>117059.73</v>
      </c>
      <c r="CN209" s="65">
        <v>115901.99</v>
      </c>
    </row>
    <row r="210" ht="15.75" customHeight="1">
      <c r="A210" s="462" t="s">
        <v>2346</v>
      </c>
      <c r="B210" s="50" t="s">
        <v>1109</v>
      </c>
      <c r="C210" s="141">
        <v>33722.0</v>
      </c>
      <c r="D210" s="63" t="s">
        <v>120</v>
      </c>
      <c r="E210" s="63" t="s">
        <v>91</v>
      </c>
      <c r="F210" s="63" t="s">
        <v>521</v>
      </c>
      <c r="G210" s="47" t="str">
        <f t="shared" si="1"/>
        <v>Breno</v>
      </c>
      <c r="H210" s="152" t="s">
        <v>295</v>
      </c>
      <c r="I210" s="49" t="s">
        <v>382</v>
      </c>
      <c r="J210" s="63" t="str">
        <f t="shared" si="4"/>
        <v>Não</v>
      </c>
      <c r="K210" s="143">
        <v>44320.0</v>
      </c>
      <c r="L210" s="81"/>
      <c r="M210" s="81" t="s">
        <v>61</v>
      </c>
      <c r="N210" s="478">
        <v>0.007</v>
      </c>
      <c r="O210" s="141" t="s">
        <v>66</v>
      </c>
      <c r="P210" s="145">
        <v>0.0</v>
      </c>
      <c r="Q210" s="146"/>
      <c r="R210" s="70" t="s">
        <v>1112</v>
      </c>
      <c r="S210" s="62" t="s">
        <v>194</v>
      </c>
      <c r="T210" s="22" t="s">
        <v>1113</v>
      </c>
      <c r="U210" s="95" t="s">
        <v>221</v>
      </c>
      <c r="V210" s="49" t="str">
        <f t="shared" si="3"/>
        <v>Ativo</v>
      </c>
      <c r="W210" s="150"/>
      <c r="X210" s="150"/>
      <c r="Y210" s="30" t="s">
        <v>244</v>
      </c>
      <c r="Z210" s="81"/>
      <c r="AA210" s="467">
        <v>44320.0</v>
      </c>
      <c r="AB210" s="30">
        <v>4.9075100004935E13</v>
      </c>
      <c r="AC210" s="476"/>
      <c r="AD210" s="476"/>
      <c r="AE210" s="476"/>
      <c r="AF210" s="476"/>
      <c r="AG210" s="476"/>
      <c r="AH210" s="476"/>
      <c r="AI210" s="476"/>
      <c r="AJ210" s="476"/>
      <c r="AK210" s="476"/>
      <c r="AL210" s="476"/>
      <c r="AM210" s="476"/>
      <c r="AN210" s="476"/>
      <c r="AO210" s="476"/>
      <c r="AP210" s="96"/>
      <c r="AQ210" s="96"/>
      <c r="AR210" s="96"/>
      <c r="AS210" s="96"/>
      <c r="AT210" s="96"/>
      <c r="AU210" s="96">
        <v>690232.16</v>
      </c>
      <c r="AV210" s="96">
        <v>685502.16</v>
      </c>
      <c r="AW210" s="96">
        <v>678874.15</v>
      </c>
      <c r="AX210" s="96">
        <v>666884.34</v>
      </c>
      <c r="AY210" s="96">
        <v>657461.94</v>
      </c>
      <c r="AZ210" s="96">
        <v>643967.37</v>
      </c>
      <c r="BA210" s="96">
        <v>637842.22</v>
      </c>
      <c r="BB210" s="96">
        <v>615861.45</v>
      </c>
      <c r="BC210" s="96">
        <v>632848.48</v>
      </c>
      <c r="BD210" s="96">
        <v>637404.53</v>
      </c>
      <c r="BE210" s="96">
        <v>661193.19</v>
      </c>
      <c r="BF210" s="96">
        <v>650935.25</v>
      </c>
      <c r="BG210" s="472">
        <v>657951.67</v>
      </c>
      <c r="BH210" s="472">
        <v>662886.17</v>
      </c>
      <c r="BI210" s="472">
        <v>666504.46</v>
      </c>
      <c r="BJ210" s="472">
        <v>670270.23</v>
      </c>
      <c r="BK210" s="472">
        <v>673462.64</v>
      </c>
      <c r="BL210" s="472">
        <v>676988.6</v>
      </c>
      <c r="BM210" s="472">
        <v>560555.28</v>
      </c>
      <c r="BN210" s="472">
        <v>688430.77</v>
      </c>
      <c r="BO210" s="472">
        <v>694958.1</v>
      </c>
      <c r="BP210" s="472">
        <v>699339.2</v>
      </c>
      <c r="BQ210" s="472">
        <v>705084.46</v>
      </c>
      <c r="BR210" s="472">
        <v>709515.58</v>
      </c>
      <c r="BS210" s="472">
        <v>782963.85</v>
      </c>
      <c r="BT210" s="472">
        <v>724315.08</v>
      </c>
      <c r="BU210" s="472">
        <v>729121.46</v>
      </c>
      <c r="BV210" s="472">
        <v>738148.76</v>
      </c>
      <c r="BW210" s="472">
        <v>744926.04</v>
      </c>
      <c r="BX210" s="472">
        <v>747755.51</v>
      </c>
      <c r="BY210" s="472">
        <v>45.11</v>
      </c>
      <c r="BZ210" s="472">
        <v>45.11</v>
      </c>
      <c r="CA210" s="474">
        <v>45.11</v>
      </c>
      <c r="CB210" s="474">
        <v>45.11</v>
      </c>
      <c r="CC210" s="474">
        <v>45.11</v>
      </c>
      <c r="CD210" s="474">
        <v>45.11</v>
      </c>
      <c r="CE210" s="474">
        <v>0.0</v>
      </c>
      <c r="CF210" s="474">
        <v>0.0</v>
      </c>
      <c r="CG210" s="474">
        <v>0.0</v>
      </c>
      <c r="CH210" s="65">
        <v>0.0</v>
      </c>
      <c r="CI210" s="65">
        <v>0.0</v>
      </c>
      <c r="CJ210" s="65">
        <v>0.0</v>
      </c>
      <c r="CK210" s="65">
        <v>0.0</v>
      </c>
      <c r="CL210" s="65">
        <v>0.0</v>
      </c>
      <c r="CM210" s="65">
        <v>0.41</v>
      </c>
      <c r="CN210" s="65">
        <v>0.41</v>
      </c>
    </row>
    <row r="211" ht="15.75" customHeight="1">
      <c r="A211" s="462" t="s">
        <v>2346</v>
      </c>
      <c r="B211" s="249" t="s">
        <v>1644</v>
      </c>
      <c r="C211" s="141">
        <v>388028.0</v>
      </c>
      <c r="D211" s="141" t="s">
        <v>120</v>
      </c>
      <c r="E211" s="141" t="s">
        <v>199</v>
      </c>
      <c r="F211" s="47" t="s">
        <v>388</v>
      </c>
      <c r="G211" s="47" t="str">
        <f t="shared" si="1"/>
        <v>Breno</v>
      </c>
      <c r="H211" s="152" t="s">
        <v>295</v>
      </c>
      <c r="I211" s="49" t="s">
        <v>382</v>
      </c>
      <c r="J211" s="63" t="str">
        <f t="shared" si="4"/>
        <v>Não</v>
      </c>
      <c r="K211" s="198">
        <v>45330.0</v>
      </c>
      <c r="L211" s="81"/>
      <c r="M211" s="66" t="s">
        <v>61</v>
      </c>
      <c r="N211" s="366">
        <v>0.012</v>
      </c>
      <c r="O211" s="141" t="s">
        <v>66</v>
      </c>
      <c r="P211" s="367">
        <v>0.0</v>
      </c>
      <c r="Q211" s="146"/>
      <c r="R211" s="70"/>
      <c r="S211" s="32" t="s">
        <v>194</v>
      </c>
      <c r="T211" s="27" t="s">
        <v>1651</v>
      </c>
      <c r="U211" s="22" t="s">
        <v>618</v>
      </c>
      <c r="V211" s="49" t="str">
        <f t="shared" si="3"/>
        <v>Ativo</v>
      </c>
      <c r="W211" s="150"/>
      <c r="X211" s="150"/>
      <c r="Y211" s="30" t="s">
        <v>244</v>
      </c>
      <c r="Z211" s="81"/>
      <c r="AA211" s="151">
        <v>45330.0</v>
      </c>
      <c r="AB211" s="30">
        <v>4.9075100015295E13</v>
      </c>
      <c r="AC211" s="476"/>
      <c r="AD211" s="476"/>
      <c r="AE211" s="476"/>
      <c r="AF211" s="476"/>
      <c r="AG211" s="476"/>
      <c r="AH211" s="476"/>
      <c r="AI211" s="476"/>
      <c r="AJ211" s="476"/>
      <c r="AK211" s="476"/>
      <c r="AL211" s="476"/>
      <c r="AM211" s="476"/>
      <c r="AN211" s="476"/>
      <c r="AO211" s="47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472"/>
      <c r="BH211" s="472"/>
      <c r="BI211" s="472"/>
      <c r="BJ211" s="472"/>
      <c r="BK211" s="472"/>
      <c r="BL211" s="472"/>
      <c r="BM211" s="472"/>
      <c r="BN211" s="472"/>
      <c r="BO211" s="472"/>
      <c r="BP211" s="472"/>
      <c r="BQ211" s="472"/>
      <c r="BR211" s="472"/>
      <c r="BS211" s="472"/>
      <c r="BT211" s="472"/>
      <c r="BU211" s="472"/>
      <c r="BV211" s="472"/>
      <c r="BW211" s="472"/>
      <c r="BX211" s="472"/>
      <c r="BY211" s="472"/>
      <c r="BZ211" s="472"/>
      <c r="CA211" s="474"/>
      <c r="CB211" s="474">
        <v>0.0</v>
      </c>
      <c r="CC211" s="474">
        <v>0.0</v>
      </c>
      <c r="CD211" s="474">
        <v>0.0</v>
      </c>
      <c r="CE211" s="474">
        <v>0.0</v>
      </c>
      <c r="CF211" s="474">
        <v>0.0</v>
      </c>
      <c r="CG211" s="474">
        <v>0.0</v>
      </c>
      <c r="CH211" s="65">
        <v>0.0</v>
      </c>
      <c r="CI211" s="65">
        <v>0.0</v>
      </c>
      <c r="CJ211" s="65">
        <v>0.0</v>
      </c>
      <c r="CK211" s="65">
        <v>0.0</v>
      </c>
      <c r="CL211" s="65">
        <v>0.0</v>
      </c>
      <c r="CM211" s="65">
        <v>0.0</v>
      </c>
      <c r="CN211" s="65">
        <v>0.0</v>
      </c>
    </row>
    <row r="212" ht="15.75" customHeight="1">
      <c r="A212" s="462" t="s">
        <v>2346</v>
      </c>
      <c r="B212" s="249" t="s">
        <v>6029</v>
      </c>
      <c r="C212" s="141">
        <v>388035.0</v>
      </c>
      <c r="D212" s="141" t="s">
        <v>120</v>
      </c>
      <c r="E212" s="141" t="s">
        <v>199</v>
      </c>
      <c r="F212" s="47" t="s">
        <v>388</v>
      </c>
      <c r="G212" s="47" t="str">
        <f t="shared" si="1"/>
        <v>Breno</v>
      </c>
      <c r="H212" s="152" t="s">
        <v>295</v>
      </c>
      <c r="I212" s="49" t="s">
        <v>382</v>
      </c>
      <c r="J212" s="63" t="str">
        <f t="shared" si="4"/>
        <v>Não</v>
      </c>
      <c r="K212" s="198">
        <v>45331.0</v>
      </c>
      <c r="L212" s="81"/>
      <c r="M212" s="66" t="s">
        <v>61</v>
      </c>
      <c r="N212" s="366">
        <v>0.012</v>
      </c>
      <c r="O212" s="141" t="s">
        <v>66</v>
      </c>
      <c r="P212" s="367">
        <v>0.0</v>
      </c>
      <c r="Q212" s="146"/>
      <c r="R212" s="70"/>
      <c r="S212" s="32" t="s">
        <v>234</v>
      </c>
      <c r="T212" s="27" t="s">
        <v>1633</v>
      </c>
      <c r="U212" s="22" t="s">
        <v>618</v>
      </c>
      <c r="V212" s="49" t="str">
        <f t="shared" si="3"/>
        <v>Ativo</v>
      </c>
      <c r="W212" s="150"/>
      <c r="X212" s="150"/>
      <c r="Y212" s="30" t="s">
        <v>244</v>
      </c>
      <c r="Z212" s="81"/>
      <c r="AA212" s="151">
        <v>45331.0</v>
      </c>
      <c r="AB212" s="30">
        <v>4.9075100015309E13</v>
      </c>
      <c r="AC212" s="476"/>
      <c r="AD212" s="476"/>
      <c r="AE212" s="476"/>
      <c r="AF212" s="476"/>
      <c r="AG212" s="476"/>
      <c r="AH212" s="476"/>
      <c r="AI212" s="476"/>
      <c r="AJ212" s="476"/>
      <c r="AK212" s="476"/>
      <c r="AL212" s="476"/>
      <c r="AM212" s="476"/>
      <c r="AN212" s="476"/>
      <c r="AO212" s="47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472"/>
      <c r="BH212" s="472"/>
      <c r="BI212" s="472"/>
      <c r="BJ212" s="472"/>
      <c r="BK212" s="472"/>
      <c r="BL212" s="472"/>
      <c r="BM212" s="472"/>
      <c r="BN212" s="472"/>
      <c r="BO212" s="472"/>
      <c r="BP212" s="472"/>
      <c r="BQ212" s="472"/>
      <c r="BR212" s="472"/>
      <c r="BS212" s="472"/>
      <c r="BT212" s="472"/>
      <c r="BU212" s="472"/>
      <c r="BV212" s="472"/>
      <c r="BW212" s="472"/>
      <c r="BX212" s="472"/>
      <c r="BY212" s="472"/>
      <c r="BZ212" s="472"/>
      <c r="CA212" s="474"/>
      <c r="CB212" s="474">
        <v>0.0</v>
      </c>
      <c r="CC212" s="474">
        <v>0.0</v>
      </c>
      <c r="CD212" s="474">
        <v>0.0</v>
      </c>
      <c r="CE212" s="474">
        <v>0.0</v>
      </c>
      <c r="CF212" s="474">
        <v>0.0</v>
      </c>
      <c r="CG212" s="474">
        <v>0.0</v>
      </c>
      <c r="CH212" s="65">
        <v>0.0</v>
      </c>
      <c r="CI212" s="65">
        <v>0.0</v>
      </c>
      <c r="CJ212" s="65">
        <v>0.0</v>
      </c>
      <c r="CK212" s="65">
        <v>0.0</v>
      </c>
      <c r="CL212" s="65">
        <v>0.0</v>
      </c>
      <c r="CM212" s="65">
        <v>0.0</v>
      </c>
      <c r="CN212" s="65">
        <v>0.0</v>
      </c>
    </row>
    <row r="213" ht="15.75" customHeight="1">
      <c r="A213" s="462" t="s">
        <v>2346</v>
      </c>
      <c r="B213" s="477" t="s">
        <v>6043</v>
      </c>
      <c r="C213" s="141">
        <v>330314.0</v>
      </c>
      <c r="D213" s="63" t="s">
        <v>120</v>
      </c>
      <c r="E213" s="63" t="s">
        <v>91</v>
      </c>
      <c r="F213" s="63" t="s">
        <v>521</v>
      </c>
      <c r="G213" s="47" t="str">
        <f t="shared" si="1"/>
        <v>Breno</v>
      </c>
      <c r="H213" s="142" t="s">
        <v>295</v>
      </c>
      <c r="I213" s="49" t="s">
        <v>382</v>
      </c>
      <c r="J213" s="63" t="str">
        <f t="shared" si="4"/>
        <v>Sim</v>
      </c>
      <c r="K213" s="143">
        <v>44263.0</v>
      </c>
      <c r="L213" s="81"/>
      <c r="M213" s="81" t="s">
        <v>231</v>
      </c>
      <c r="N213" s="478">
        <v>0.025</v>
      </c>
      <c r="O213" s="141" t="s">
        <v>233</v>
      </c>
      <c r="P213" s="145">
        <v>0.2</v>
      </c>
      <c r="Q213" s="153" t="s">
        <v>6044</v>
      </c>
      <c r="R213" s="153" t="s">
        <v>5475</v>
      </c>
      <c r="S213" s="62" t="s">
        <v>194</v>
      </c>
      <c r="T213" s="30" t="s">
        <v>6045</v>
      </c>
      <c r="U213" s="95" t="s">
        <v>221</v>
      </c>
      <c r="V213" s="49" t="str">
        <f t="shared" si="3"/>
        <v>Inativo</v>
      </c>
      <c r="W213" s="150"/>
      <c r="X213" s="150"/>
      <c r="Y213" s="30" t="s">
        <v>269</v>
      </c>
      <c r="Z213" s="81"/>
      <c r="AA213" s="467">
        <v>44263.0</v>
      </c>
      <c r="AB213" s="30">
        <v>4.9075100010706E13</v>
      </c>
      <c r="AC213" s="482"/>
      <c r="AD213" s="482"/>
      <c r="AE213" s="482"/>
      <c r="AF213" s="482"/>
      <c r="AG213" s="482"/>
      <c r="AH213" s="482"/>
      <c r="AI213" s="482"/>
      <c r="AJ213" s="482"/>
      <c r="AK213" s="482"/>
      <c r="AL213" s="482"/>
      <c r="AM213" s="482"/>
      <c r="AN213" s="96"/>
      <c r="AO213" s="96"/>
      <c r="AP213" s="96"/>
      <c r="AQ213" s="471">
        <v>2334192.46</v>
      </c>
      <c r="AR213" s="471">
        <v>2345849.73</v>
      </c>
      <c r="AS213" s="471">
        <v>2358653.35</v>
      </c>
      <c r="AT213" s="471">
        <v>2373648.95</v>
      </c>
      <c r="AU213" s="471">
        <v>2631993.16</v>
      </c>
      <c r="AV213" s="96">
        <v>2586014.64</v>
      </c>
      <c r="AW213" s="96">
        <v>2707709.32</v>
      </c>
      <c r="AX213" s="96">
        <v>2577464.81</v>
      </c>
      <c r="AY213" s="96">
        <v>2454439.68</v>
      </c>
      <c r="AZ213" s="96">
        <v>2452936.7</v>
      </c>
      <c r="BA213" s="96">
        <v>217475.8</v>
      </c>
      <c r="BB213" s="96">
        <v>217007.91</v>
      </c>
      <c r="BC213" s="96">
        <v>85493.4</v>
      </c>
      <c r="BD213" s="96">
        <v>2556196.42</v>
      </c>
      <c r="BE213" s="96">
        <v>2748796.12</v>
      </c>
      <c r="BF213" s="96">
        <v>2237899.66</v>
      </c>
      <c r="BG213" s="472">
        <v>2184045.56</v>
      </c>
      <c r="BH213" s="472">
        <v>2073066.97</v>
      </c>
      <c r="BI213" s="472">
        <v>2171629.08</v>
      </c>
      <c r="BJ213" s="472">
        <v>2201621.84</v>
      </c>
      <c r="BK213" s="472">
        <v>2225304.05</v>
      </c>
      <c r="BL213" s="472">
        <v>2355561.29</v>
      </c>
      <c r="BM213" s="472">
        <v>2325535.86</v>
      </c>
      <c r="BN213" s="472">
        <v>2318880.65</v>
      </c>
      <c r="BO213" s="472">
        <v>2382829.72</v>
      </c>
      <c r="BP213" s="472">
        <v>2109732.16</v>
      </c>
      <c r="BQ213" s="472">
        <v>1678820.69</v>
      </c>
      <c r="BR213" s="472">
        <v>1168.27</v>
      </c>
      <c r="BS213" s="472">
        <v>1172.5</v>
      </c>
      <c r="BT213" s="472">
        <v>0.0</v>
      </c>
      <c r="BU213" s="472">
        <v>0.0</v>
      </c>
      <c r="BV213" s="472">
        <v>0.0</v>
      </c>
      <c r="BW213" s="472">
        <v>0.0</v>
      </c>
      <c r="BX213" s="472">
        <v>0.0</v>
      </c>
      <c r="BY213" s="472">
        <v>0.0</v>
      </c>
      <c r="BZ213" s="472">
        <v>0.0</v>
      </c>
      <c r="CA213" s="474">
        <v>0.0</v>
      </c>
      <c r="CB213" s="474">
        <v>0.0</v>
      </c>
      <c r="CC213" s="474">
        <v>0.0</v>
      </c>
      <c r="CD213" s="474">
        <v>0.0</v>
      </c>
      <c r="CE213" s="474">
        <v>0.0</v>
      </c>
      <c r="CF213" s="474">
        <v>0.0</v>
      </c>
      <c r="CG213" s="474">
        <v>0.0</v>
      </c>
      <c r="CH213" s="65">
        <v>0.0</v>
      </c>
      <c r="CI213" s="65">
        <v>0.0</v>
      </c>
      <c r="CJ213" s="65">
        <v>0.0</v>
      </c>
      <c r="CK213" s="65">
        <v>0.0</v>
      </c>
      <c r="CL213" s="65">
        <v>0.0</v>
      </c>
      <c r="CM213" s="65">
        <v>0.0</v>
      </c>
      <c r="CN213" s="65">
        <v>0.0</v>
      </c>
    </row>
    <row r="214" ht="15.75" customHeight="1">
      <c r="A214" s="462" t="s">
        <v>2346</v>
      </c>
      <c r="B214" s="50" t="s">
        <v>5729</v>
      </c>
      <c r="C214" s="141">
        <v>285004.0</v>
      </c>
      <c r="D214" s="63" t="s">
        <v>120</v>
      </c>
      <c r="E214" s="63" t="s">
        <v>91</v>
      </c>
      <c r="F214" s="63" t="s">
        <v>521</v>
      </c>
      <c r="G214" s="47" t="str">
        <f t="shared" si="1"/>
        <v>Breno</v>
      </c>
      <c r="H214" s="142" t="s">
        <v>295</v>
      </c>
      <c r="I214" s="49" t="s">
        <v>382</v>
      </c>
      <c r="J214" s="63" t="str">
        <f t="shared" si="4"/>
        <v>Não</v>
      </c>
      <c r="K214" s="143">
        <v>44319.0</v>
      </c>
      <c r="L214" s="81"/>
      <c r="M214" s="81" t="s">
        <v>209</v>
      </c>
      <c r="N214" s="478">
        <v>0.015</v>
      </c>
      <c r="O214" s="63" t="s">
        <v>35</v>
      </c>
      <c r="P214" s="145">
        <v>0.1</v>
      </c>
      <c r="Q214" s="70"/>
      <c r="R214" s="70" t="s">
        <v>6059</v>
      </c>
      <c r="S214" s="62" t="s">
        <v>194</v>
      </c>
      <c r="T214" s="22" t="s">
        <v>6060</v>
      </c>
      <c r="U214" s="30" t="s">
        <v>221</v>
      </c>
      <c r="V214" s="49" t="str">
        <f t="shared" si="3"/>
        <v>Inativo</v>
      </c>
      <c r="W214" s="150"/>
      <c r="X214" s="150"/>
      <c r="Y214" s="30" t="s">
        <v>244</v>
      </c>
      <c r="Z214" s="81"/>
      <c r="AA214" s="467">
        <v>44319.0</v>
      </c>
      <c r="AB214" s="30">
        <v>4.9075100010714E13</v>
      </c>
      <c r="AC214" s="476"/>
      <c r="AD214" s="476"/>
      <c r="AE214" s="476"/>
      <c r="AF214" s="476"/>
      <c r="AG214" s="476"/>
      <c r="AH214" s="476"/>
      <c r="AI214" s="476"/>
      <c r="AJ214" s="476"/>
      <c r="AK214" s="476"/>
      <c r="AL214" s="476"/>
      <c r="AM214" s="476"/>
      <c r="AN214" s="476"/>
      <c r="AO214" s="476"/>
      <c r="AP214" s="96"/>
      <c r="AQ214" s="96"/>
      <c r="AR214" s="96"/>
      <c r="AS214" s="96"/>
      <c r="AT214" s="96"/>
      <c r="AU214" s="96">
        <v>215394.67</v>
      </c>
      <c r="AV214" s="96">
        <v>215119.33</v>
      </c>
      <c r="AW214" s="96">
        <v>213430.54</v>
      </c>
      <c r="AX214" s="96">
        <v>229441.7</v>
      </c>
      <c r="AY214" s="96">
        <v>226727.37</v>
      </c>
      <c r="AZ214" s="96">
        <v>220281.12</v>
      </c>
      <c r="BA214" s="96"/>
      <c r="BB214" s="96"/>
      <c r="BC214" s="96"/>
      <c r="BD214" s="96">
        <v>85990.73</v>
      </c>
      <c r="BE214" s="96">
        <v>86858.45</v>
      </c>
      <c r="BF214" s="96">
        <v>87184.47</v>
      </c>
      <c r="BG214" s="472">
        <v>88053.18</v>
      </c>
      <c r="BH214" s="472">
        <v>87307.22</v>
      </c>
      <c r="BI214" s="472">
        <v>202.41</v>
      </c>
      <c r="BJ214" s="472">
        <v>202.41</v>
      </c>
      <c r="BK214" s="472">
        <v>202.41</v>
      </c>
      <c r="BL214" s="472">
        <v>202.41</v>
      </c>
      <c r="BM214" s="472">
        <v>202.41</v>
      </c>
      <c r="BN214" s="472">
        <v>202.41</v>
      </c>
      <c r="BO214" s="472">
        <v>202.41</v>
      </c>
      <c r="BP214" s="472">
        <v>202.41</v>
      </c>
      <c r="BQ214" s="472">
        <v>202.41</v>
      </c>
      <c r="BR214" s="472">
        <v>202.41</v>
      </c>
      <c r="BS214" s="472">
        <v>0.0</v>
      </c>
      <c r="BT214" s="472">
        <v>0.0</v>
      </c>
      <c r="BU214" s="472">
        <v>0.0</v>
      </c>
      <c r="BV214" s="472">
        <v>0.0</v>
      </c>
      <c r="BW214" s="472">
        <v>0.0</v>
      </c>
      <c r="BX214" s="472">
        <v>0.0</v>
      </c>
      <c r="BY214" s="472">
        <v>0.0</v>
      </c>
      <c r="BZ214" s="472">
        <v>0.0</v>
      </c>
      <c r="CA214" s="474">
        <v>0.0</v>
      </c>
      <c r="CB214" s="474">
        <v>0.0</v>
      </c>
      <c r="CC214" s="474">
        <v>0.0</v>
      </c>
      <c r="CD214" s="474">
        <v>0.0</v>
      </c>
      <c r="CE214" s="474">
        <v>0.0</v>
      </c>
      <c r="CF214" s="474">
        <v>0.0</v>
      </c>
      <c r="CG214" s="474">
        <v>0.0</v>
      </c>
      <c r="CH214" s="65">
        <v>0.0</v>
      </c>
      <c r="CI214" s="65">
        <v>0.0</v>
      </c>
      <c r="CJ214" s="65">
        <v>0.0</v>
      </c>
      <c r="CK214" s="65">
        <v>0.0</v>
      </c>
      <c r="CL214" s="65">
        <v>0.0</v>
      </c>
      <c r="CM214" s="65">
        <v>0.0</v>
      </c>
      <c r="CN214" s="65">
        <v>0.0</v>
      </c>
    </row>
    <row r="215" ht="15.75" customHeight="1">
      <c r="A215" s="462" t="s">
        <v>2346</v>
      </c>
      <c r="B215" s="510" t="s">
        <v>5027</v>
      </c>
      <c r="C215" s="141">
        <v>338374.0</v>
      </c>
      <c r="D215" s="63" t="s">
        <v>669</v>
      </c>
      <c r="E215" s="63" t="s">
        <v>199</v>
      </c>
      <c r="F215" s="81" t="s">
        <v>2388</v>
      </c>
      <c r="G215" s="47" t="str">
        <f t="shared" si="1"/>
        <v>Breno</v>
      </c>
      <c r="H215" s="152" t="s">
        <v>224</v>
      </c>
      <c r="I215" s="74" t="s">
        <v>66</v>
      </c>
      <c r="J215" s="63" t="str">
        <f t="shared" si="4"/>
        <v>Não</v>
      </c>
      <c r="K215" s="467">
        <v>43567.0</v>
      </c>
      <c r="L215" s="480">
        <v>43782.0</v>
      </c>
      <c r="M215" s="81" t="s">
        <v>209</v>
      </c>
      <c r="N215" s="478">
        <v>0.01</v>
      </c>
      <c r="O215" s="63" t="s">
        <v>35</v>
      </c>
      <c r="P215" s="145">
        <v>0.1</v>
      </c>
      <c r="Q215" s="160"/>
      <c r="R215" s="158"/>
      <c r="S215" s="62" t="s">
        <v>194</v>
      </c>
      <c r="T215" s="30" t="s">
        <v>6080</v>
      </c>
      <c r="U215" s="81" t="s">
        <v>199</v>
      </c>
      <c r="V215" s="49" t="str">
        <f t="shared" si="3"/>
        <v>Encerrado</v>
      </c>
      <c r="W215" s="150"/>
      <c r="X215" s="150"/>
      <c r="Y215" s="81"/>
      <c r="Z215" s="81"/>
      <c r="AA215" s="81"/>
      <c r="AB215" s="30"/>
      <c r="AC215" s="96">
        <v>0.0</v>
      </c>
      <c r="AD215" s="96">
        <v>0.0</v>
      </c>
      <c r="AE215" s="96">
        <v>0.0</v>
      </c>
      <c r="AF215" s="96">
        <v>0.0</v>
      </c>
      <c r="AG215" s="96">
        <v>0.0</v>
      </c>
      <c r="AH215" s="96">
        <v>0.0</v>
      </c>
      <c r="AI215" s="96">
        <v>0.0</v>
      </c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482"/>
      <c r="AW215" s="482"/>
      <c r="AX215" s="482"/>
      <c r="AY215" s="96"/>
      <c r="AZ215" s="96"/>
      <c r="BA215" s="96">
        <v>2375408.86</v>
      </c>
      <c r="BB215" s="96">
        <v>2397363.9</v>
      </c>
      <c r="BC215" s="96">
        <v>2529874.06</v>
      </c>
      <c r="BD215" s="96">
        <v>0.0</v>
      </c>
      <c r="BE215" s="96">
        <v>0.0</v>
      </c>
      <c r="BF215" s="96">
        <v>0.0</v>
      </c>
      <c r="BG215" s="96" t="s">
        <v>377</v>
      </c>
      <c r="BH215" s="96">
        <v>0.0</v>
      </c>
      <c r="BI215" s="96" t="s">
        <v>377</v>
      </c>
      <c r="BJ215" s="96">
        <v>0.0</v>
      </c>
      <c r="BK215" s="472">
        <v>0.0</v>
      </c>
      <c r="BL215" s="472">
        <v>0.0</v>
      </c>
      <c r="BM215" s="472">
        <v>0.0</v>
      </c>
      <c r="BN215" s="472">
        <v>0.0</v>
      </c>
      <c r="BO215" s="472">
        <v>0.0</v>
      </c>
      <c r="BP215" s="472">
        <v>0.0</v>
      </c>
      <c r="BQ215" s="472">
        <v>0.0</v>
      </c>
      <c r="BR215" s="472">
        <v>0.0</v>
      </c>
      <c r="BS215" s="472">
        <v>0.0</v>
      </c>
      <c r="BT215" s="472">
        <v>0.0</v>
      </c>
      <c r="BU215" s="472">
        <v>0.0</v>
      </c>
      <c r="BV215" s="472">
        <v>0.0</v>
      </c>
      <c r="BW215" s="472">
        <v>0.0</v>
      </c>
      <c r="BX215" s="472">
        <v>0.0</v>
      </c>
      <c r="BY215" s="472">
        <v>0.0</v>
      </c>
      <c r="BZ215" s="472">
        <v>0.0</v>
      </c>
      <c r="CA215" s="474">
        <v>0.0</v>
      </c>
      <c r="CB215" s="474">
        <v>0.0</v>
      </c>
      <c r="CC215" s="474">
        <v>0.0</v>
      </c>
      <c r="CD215" s="474">
        <v>0.0</v>
      </c>
      <c r="CE215" s="474">
        <v>0.0</v>
      </c>
      <c r="CF215" s="474">
        <v>0.0</v>
      </c>
      <c r="CG215" s="474">
        <v>0.0</v>
      </c>
      <c r="CH215" s="65">
        <v>0.0</v>
      </c>
      <c r="CI215" s="65">
        <v>0.0</v>
      </c>
      <c r="CJ215" s="65">
        <v>0.0</v>
      </c>
      <c r="CK215" s="65">
        <v>0.0</v>
      </c>
      <c r="CL215" s="65">
        <v>0.0</v>
      </c>
      <c r="CM215" s="65">
        <v>0.0</v>
      </c>
      <c r="CN215" s="65">
        <v>0.0</v>
      </c>
    </row>
    <row r="216" ht="15.75" customHeight="1">
      <c r="A216" s="462" t="s">
        <v>2346</v>
      </c>
      <c r="B216" s="477" t="s">
        <v>5373</v>
      </c>
      <c r="C216" s="141">
        <v>437539.0</v>
      </c>
      <c r="D216" s="63" t="s">
        <v>669</v>
      </c>
      <c r="E216" s="63" t="s">
        <v>199</v>
      </c>
      <c r="F216" s="81" t="s">
        <v>1228</v>
      </c>
      <c r="G216" s="47" t="str">
        <f t="shared" si="1"/>
        <v>Breno</v>
      </c>
      <c r="H216" s="152" t="s">
        <v>224</v>
      </c>
      <c r="I216" s="74" t="s">
        <v>66</v>
      </c>
      <c r="J216" s="63" t="str">
        <f t="shared" si="4"/>
        <v>Não</v>
      </c>
      <c r="K216" s="467">
        <v>43732.0</v>
      </c>
      <c r="L216" s="480">
        <v>44484.0</v>
      </c>
      <c r="M216" s="81" t="s">
        <v>209</v>
      </c>
      <c r="N216" s="478">
        <v>0.01</v>
      </c>
      <c r="O216" s="63" t="s">
        <v>35</v>
      </c>
      <c r="P216" s="145">
        <v>0.1</v>
      </c>
      <c r="Q216" s="160"/>
      <c r="R216" s="158"/>
      <c r="S216" s="62" t="s">
        <v>194</v>
      </c>
      <c r="T216" s="30" t="s">
        <v>6088</v>
      </c>
      <c r="U216" s="81" t="s">
        <v>199</v>
      </c>
      <c r="V216" s="49" t="str">
        <f t="shared" si="3"/>
        <v>Encerrado</v>
      </c>
      <c r="W216" s="150"/>
      <c r="X216" s="150"/>
      <c r="Y216" s="81"/>
      <c r="Z216" s="81"/>
      <c r="AA216" s="81"/>
      <c r="AB216" s="30"/>
      <c r="AC216" s="96">
        <v>322375.53</v>
      </c>
      <c r="AD216" s="96">
        <v>319961.89</v>
      </c>
      <c r="AE216" s="96">
        <v>306772.49</v>
      </c>
      <c r="AF216" s="96">
        <v>311459.99</v>
      </c>
      <c r="AG216" s="96">
        <v>313476.94</v>
      </c>
      <c r="AH216" s="96">
        <v>317530.16</v>
      </c>
      <c r="AI216" s="96">
        <v>287018.19</v>
      </c>
      <c r="AJ216" s="96">
        <v>283865.38</v>
      </c>
      <c r="AK216" s="96">
        <v>280912.13</v>
      </c>
      <c r="AL216" s="96">
        <v>280961.52</v>
      </c>
      <c r="AM216" s="96">
        <v>151745.24</v>
      </c>
      <c r="AN216" s="96">
        <v>153039.26</v>
      </c>
      <c r="AO216" s="96">
        <v>152138.43</v>
      </c>
      <c r="AP216" s="96">
        <v>149577.76</v>
      </c>
      <c r="AQ216" s="96">
        <v>148566.25</v>
      </c>
      <c r="AR216" s="96">
        <v>150246.36</v>
      </c>
      <c r="AS216" s="96">
        <v>150996.33</v>
      </c>
      <c r="AT216" s="96">
        <v>150895.05</v>
      </c>
      <c r="AU216" s="96">
        <v>63729.48</v>
      </c>
      <c r="AV216" s="96">
        <v>24986.82</v>
      </c>
      <c r="AW216" s="96">
        <v>10555.55</v>
      </c>
      <c r="AX216" s="96">
        <v>10604.3</v>
      </c>
      <c r="AY216" s="96">
        <v>146.69</v>
      </c>
      <c r="AZ216" s="96"/>
      <c r="BA216" s="96"/>
      <c r="BB216" s="96"/>
      <c r="BC216" s="96"/>
      <c r="BD216" s="96">
        <v>0.0</v>
      </c>
      <c r="BE216" s="96">
        <v>0.0</v>
      </c>
      <c r="BF216" s="96">
        <v>0.0</v>
      </c>
      <c r="BG216" s="96" t="s">
        <v>377</v>
      </c>
      <c r="BH216" s="96">
        <v>0.0</v>
      </c>
      <c r="BI216" s="96" t="s">
        <v>377</v>
      </c>
      <c r="BJ216" s="96">
        <v>0.0</v>
      </c>
      <c r="BK216" s="472">
        <v>0.0</v>
      </c>
      <c r="BL216" s="472">
        <v>0.0</v>
      </c>
      <c r="BM216" s="472">
        <v>0.0</v>
      </c>
      <c r="BN216" s="472">
        <v>0.0</v>
      </c>
      <c r="BO216" s="472">
        <v>0.0</v>
      </c>
      <c r="BP216" s="472">
        <v>0.0</v>
      </c>
      <c r="BQ216" s="472">
        <v>0.0</v>
      </c>
      <c r="BR216" s="472">
        <v>0.0</v>
      </c>
      <c r="BS216" s="472">
        <v>0.0</v>
      </c>
      <c r="BT216" s="472">
        <v>0.0</v>
      </c>
      <c r="BU216" s="472">
        <v>0.0</v>
      </c>
      <c r="BV216" s="472">
        <v>0.0</v>
      </c>
      <c r="BW216" s="472">
        <v>0.0</v>
      </c>
      <c r="BX216" s="472">
        <v>0.0</v>
      </c>
      <c r="BY216" s="472">
        <v>0.0</v>
      </c>
      <c r="BZ216" s="472">
        <v>0.0</v>
      </c>
      <c r="CA216" s="474">
        <v>0.0</v>
      </c>
      <c r="CB216" s="474">
        <v>0.0</v>
      </c>
      <c r="CC216" s="474">
        <v>0.0</v>
      </c>
      <c r="CD216" s="474">
        <v>0.0</v>
      </c>
      <c r="CE216" s="474">
        <v>0.0</v>
      </c>
      <c r="CF216" s="474">
        <v>0.0</v>
      </c>
      <c r="CG216" s="474">
        <v>0.0</v>
      </c>
      <c r="CH216" s="65">
        <v>0.0</v>
      </c>
      <c r="CI216" s="65">
        <v>0.0</v>
      </c>
      <c r="CJ216" s="65">
        <v>0.0</v>
      </c>
      <c r="CK216" s="65">
        <v>0.0</v>
      </c>
      <c r="CL216" s="65">
        <v>0.0</v>
      </c>
      <c r="CM216" s="65">
        <v>0.0</v>
      </c>
      <c r="CN216" s="65">
        <v>0.0</v>
      </c>
    </row>
    <row r="217" ht="15.75" customHeight="1">
      <c r="A217" s="462" t="s">
        <v>2346</v>
      </c>
      <c r="B217" s="477" t="s">
        <v>6097</v>
      </c>
      <c r="C217" s="141">
        <v>629394.0</v>
      </c>
      <c r="D217" s="63" t="s">
        <v>120</v>
      </c>
      <c r="E217" s="63" t="s">
        <v>91</v>
      </c>
      <c r="F217" s="81" t="s">
        <v>193</v>
      </c>
      <c r="G217" s="47" t="str">
        <f t="shared" si="1"/>
        <v>Breno</v>
      </c>
      <c r="H217" s="152" t="s">
        <v>224</v>
      </c>
      <c r="I217" s="74" t="s">
        <v>66</v>
      </c>
      <c r="J217" s="63" t="str">
        <f t="shared" si="4"/>
        <v>Não</v>
      </c>
      <c r="K217" s="467">
        <v>44440.0</v>
      </c>
      <c r="L217" s="467">
        <v>44658.0</v>
      </c>
      <c r="M217" s="81" t="s">
        <v>209</v>
      </c>
      <c r="N217" s="478">
        <v>0.015</v>
      </c>
      <c r="O217" s="63" t="s">
        <v>35</v>
      </c>
      <c r="P217" s="145">
        <v>0.1</v>
      </c>
      <c r="Q217" s="70"/>
      <c r="R217" s="70"/>
      <c r="S217" s="62" t="s">
        <v>194</v>
      </c>
      <c r="T217" s="30" t="s">
        <v>6098</v>
      </c>
      <c r="U217" s="95" t="s">
        <v>221</v>
      </c>
      <c r="V217" s="49" t="str">
        <f t="shared" si="3"/>
        <v>Encerrado</v>
      </c>
      <c r="W217" s="150"/>
      <c r="X217" s="150"/>
      <c r="Y217" s="30" t="s">
        <v>244</v>
      </c>
      <c r="Z217" s="81"/>
      <c r="AA217" s="81"/>
      <c r="AB217" s="30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46"/>
      <c r="AN217" s="482"/>
      <c r="AO217" s="96"/>
      <c r="AP217" s="96"/>
      <c r="AQ217" s="96"/>
      <c r="AR217" s="96"/>
      <c r="AS217" s="96"/>
      <c r="AT217" s="96"/>
      <c r="AU217" s="96"/>
      <c r="AV217" s="96"/>
      <c r="AW217" s="476"/>
      <c r="AX217" s="476">
        <v>77135.12</v>
      </c>
      <c r="AY217" s="96">
        <v>58974.13</v>
      </c>
      <c r="AZ217" s="96">
        <v>57395.74</v>
      </c>
      <c r="BA217" s="96">
        <v>56955.97</v>
      </c>
      <c r="BB217" s="96">
        <v>57143.28</v>
      </c>
      <c r="BC217" s="96"/>
      <c r="BD217" s="96">
        <v>2.28</v>
      </c>
      <c r="BE217" s="96">
        <v>54.54</v>
      </c>
      <c r="BF217" s="96">
        <v>57.28</v>
      </c>
      <c r="BG217" s="505" t="s">
        <v>377</v>
      </c>
      <c r="BH217" s="96">
        <v>0.0</v>
      </c>
      <c r="BI217" s="96" t="s">
        <v>377</v>
      </c>
      <c r="BJ217" s="96">
        <v>0.0</v>
      </c>
      <c r="BK217" s="472">
        <v>0.0</v>
      </c>
      <c r="BL217" s="472">
        <v>0.0</v>
      </c>
      <c r="BM217" s="472">
        <v>0.0</v>
      </c>
      <c r="BN217" s="472">
        <v>0.0</v>
      </c>
      <c r="BO217" s="472">
        <v>0.0</v>
      </c>
      <c r="BP217" s="472">
        <v>0.0</v>
      </c>
      <c r="BQ217" s="472">
        <v>0.0</v>
      </c>
      <c r="BR217" s="472">
        <v>0.0</v>
      </c>
      <c r="BS217" s="472">
        <v>0.0</v>
      </c>
      <c r="BT217" s="472">
        <v>0.0</v>
      </c>
      <c r="BU217" s="472">
        <v>0.0</v>
      </c>
      <c r="BV217" s="472">
        <v>0.0</v>
      </c>
      <c r="BW217" s="472">
        <v>0.0</v>
      </c>
      <c r="BX217" s="472">
        <v>0.0</v>
      </c>
      <c r="BY217" s="472">
        <v>0.0</v>
      </c>
      <c r="BZ217" s="472">
        <v>0.0</v>
      </c>
      <c r="CA217" s="474">
        <v>0.0</v>
      </c>
      <c r="CB217" s="474">
        <v>0.0</v>
      </c>
      <c r="CC217" s="474">
        <v>0.0</v>
      </c>
      <c r="CD217" s="474">
        <v>0.0</v>
      </c>
      <c r="CE217" s="474">
        <v>0.0</v>
      </c>
      <c r="CF217" s="474">
        <v>0.0</v>
      </c>
      <c r="CG217" s="474">
        <v>0.0</v>
      </c>
      <c r="CH217" s="65">
        <v>0.0</v>
      </c>
      <c r="CI217" s="65">
        <v>0.0</v>
      </c>
      <c r="CJ217" s="65">
        <v>0.0</v>
      </c>
      <c r="CK217" s="65">
        <v>0.0</v>
      </c>
      <c r="CL217" s="65">
        <v>0.0</v>
      </c>
      <c r="CM217" s="65">
        <v>0.0</v>
      </c>
      <c r="CN217" s="65">
        <v>0.0</v>
      </c>
    </row>
    <row r="218" ht="15.75" customHeight="1">
      <c r="A218" s="462" t="s">
        <v>2346</v>
      </c>
      <c r="B218" s="477" t="s">
        <v>6104</v>
      </c>
      <c r="C218" s="141">
        <v>32879.0</v>
      </c>
      <c r="D218" s="63" t="s">
        <v>120</v>
      </c>
      <c r="E218" s="63" t="s">
        <v>91</v>
      </c>
      <c r="F218" s="63" t="s">
        <v>521</v>
      </c>
      <c r="G218" s="47" t="str">
        <f t="shared" si="1"/>
        <v>Breno</v>
      </c>
      <c r="H218" s="142" t="s">
        <v>295</v>
      </c>
      <c r="I218" s="49" t="s">
        <v>382</v>
      </c>
      <c r="J218" s="63" t="str">
        <f t="shared" si="4"/>
        <v>Não</v>
      </c>
      <c r="K218" s="143">
        <v>44273.0</v>
      </c>
      <c r="L218" s="81"/>
      <c r="M218" s="81" t="s">
        <v>209</v>
      </c>
      <c r="N218" s="478">
        <v>0.015</v>
      </c>
      <c r="O218" s="63" t="s">
        <v>35</v>
      </c>
      <c r="P218" s="145">
        <v>0.1</v>
      </c>
      <c r="Q218" s="158"/>
      <c r="R218" s="158"/>
      <c r="S218" s="62" t="s">
        <v>194</v>
      </c>
      <c r="T218" s="30" t="s">
        <v>6108</v>
      </c>
      <c r="U218" s="95" t="s">
        <v>221</v>
      </c>
      <c r="V218" s="49" t="str">
        <f t="shared" si="3"/>
        <v>Inativo</v>
      </c>
      <c r="W218" s="150"/>
      <c r="X218" s="150"/>
      <c r="Y218" s="30" t="s">
        <v>244</v>
      </c>
      <c r="Z218" s="81"/>
      <c r="AA218" s="467">
        <v>44273.0</v>
      </c>
      <c r="AB218" s="30">
        <v>4.9075100004129E13</v>
      </c>
      <c r="AC218" s="482"/>
      <c r="AD218" s="482"/>
      <c r="AE218" s="482"/>
      <c r="AF218" s="482"/>
      <c r="AG218" s="482"/>
      <c r="AH218" s="482"/>
      <c r="AI218" s="482"/>
      <c r="AJ218" s="482"/>
      <c r="AK218" s="482"/>
      <c r="AL218" s="482"/>
      <c r="AM218" s="482"/>
      <c r="AN218" s="482"/>
      <c r="AO218" s="482"/>
      <c r="AP218" s="96"/>
      <c r="AQ218" s="471"/>
      <c r="AR218" s="471">
        <v>420366.43</v>
      </c>
      <c r="AS218" s="471"/>
      <c r="AT218" s="471">
        <v>426923.34</v>
      </c>
      <c r="AU218" s="471">
        <v>433809.53</v>
      </c>
      <c r="AV218" s="96">
        <v>685702.1</v>
      </c>
      <c r="AW218" s="96">
        <v>683692.1</v>
      </c>
      <c r="AX218" s="96">
        <v>676882.01</v>
      </c>
      <c r="AY218" s="96">
        <v>657264.42</v>
      </c>
      <c r="AZ218" s="96">
        <v>660774.57</v>
      </c>
      <c r="BA218" s="96">
        <v>656027.69</v>
      </c>
      <c r="BB218" s="96">
        <v>655017.03</v>
      </c>
      <c r="BC218" s="96">
        <v>666102.96</v>
      </c>
      <c r="BD218" s="96">
        <v>670385.14</v>
      </c>
      <c r="BE218" s="96">
        <v>698402.15</v>
      </c>
      <c r="BF218" s="96">
        <v>697071.63</v>
      </c>
      <c r="BG218" s="472">
        <v>694289.36</v>
      </c>
      <c r="BH218" s="472">
        <v>687532.63</v>
      </c>
      <c r="BI218" s="472">
        <v>698188.4</v>
      </c>
      <c r="BJ218" s="472">
        <v>707617.29</v>
      </c>
      <c r="BK218" s="472">
        <v>713623.43</v>
      </c>
      <c r="BL218" s="472">
        <v>740271.6</v>
      </c>
      <c r="BM218" s="472">
        <v>733249.79</v>
      </c>
      <c r="BN218" s="472">
        <v>739098.49</v>
      </c>
      <c r="BO218" s="472">
        <v>748194.52</v>
      </c>
      <c r="BP218" s="472">
        <v>753142.46</v>
      </c>
      <c r="BQ218" s="472">
        <v>761972.83</v>
      </c>
      <c r="BR218" s="472">
        <v>764090.06</v>
      </c>
      <c r="BS218" s="472">
        <v>38003.23</v>
      </c>
      <c r="BT218" s="472">
        <v>160.07</v>
      </c>
      <c r="BU218" s="472">
        <v>0.0</v>
      </c>
      <c r="BV218" s="472">
        <v>0.0</v>
      </c>
      <c r="BW218" s="472">
        <v>0.0</v>
      </c>
      <c r="BX218" s="472">
        <v>0.0</v>
      </c>
      <c r="BY218" s="472">
        <v>0.0</v>
      </c>
      <c r="BZ218" s="472">
        <v>0.0</v>
      </c>
      <c r="CA218" s="474">
        <v>0.0</v>
      </c>
      <c r="CB218" s="474">
        <v>0.0</v>
      </c>
      <c r="CC218" s="474">
        <v>0.0</v>
      </c>
      <c r="CD218" s="474">
        <v>0.0</v>
      </c>
      <c r="CE218" s="474">
        <v>0.0</v>
      </c>
      <c r="CF218" s="474">
        <v>0.0</v>
      </c>
      <c r="CG218" s="474">
        <v>0.0</v>
      </c>
      <c r="CH218" s="65">
        <v>0.0</v>
      </c>
      <c r="CI218" s="65">
        <v>0.0</v>
      </c>
      <c r="CJ218" s="65">
        <v>0.0</v>
      </c>
      <c r="CK218" s="65">
        <v>0.0</v>
      </c>
      <c r="CL218" s="65">
        <v>0.0</v>
      </c>
      <c r="CM218" s="65">
        <v>0.0</v>
      </c>
      <c r="CN218" s="65">
        <v>0.0</v>
      </c>
    </row>
    <row r="219" ht="15.75" customHeight="1">
      <c r="A219" s="462" t="s">
        <v>2346</v>
      </c>
      <c r="B219" s="518" t="s">
        <v>6114</v>
      </c>
      <c r="C219" s="141">
        <v>33154.0</v>
      </c>
      <c r="D219" s="63" t="s">
        <v>120</v>
      </c>
      <c r="E219" s="63" t="s">
        <v>91</v>
      </c>
      <c r="F219" s="63" t="s">
        <v>699</v>
      </c>
      <c r="G219" s="47" t="str">
        <f t="shared" si="1"/>
        <v>Breno</v>
      </c>
      <c r="H219" s="152" t="s">
        <v>295</v>
      </c>
      <c r="I219" s="49" t="s">
        <v>382</v>
      </c>
      <c r="J219" s="63" t="str">
        <f t="shared" si="4"/>
        <v>Não</v>
      </c>
      <c r="K219" s="143">
        <v>44263.0</v>
      </c>
      <c r="L219" s="81"/>
      <c r="M219" s="81" t="s">
        <v>34</v>
      </c>
      <c r="N219" s="464">
        <v>0.012</v>
      </c>
      <c r="O219" s="141" t="s">
        <v>66</v>
      </c>
      <c r="P219" s="145">
        <v>0.0</v>
      </c>
      <c r="Q219" s="158"/>
      <c r="R219" s="158"/>
      <c r="S219" s="62" t="s">
        <v>194</v>
      </c>
      <c r="T219" s="141" t="s">
        <v>6121</v>
      </c>
      <c r="U219" s="95" t="s">
        <v>221</v>
      </c>
      <c r="V219" s="49" t="str">
        <f t="shared" si="3"/>
        <v>Inativo</v>
      </c>
      <c r="W219" s="150"/>
      <c r="X219" s="150"/>
      <c r="Y219" s="30" t="s">
        <v>244</v>
      </c>
      <c r="Z219" s="81"/>
      <c r="AA219" s="467">
        <v>44263.0</v>
      </c>
      <c r="AB219" s="30">
        <v>4.9075100009661E13</v>
      </c>
      <c r="AC219" s="482"/>
      <c r="AD219" s="482"/>
      <c r="AE219" s="482"/>
      <c r="AF219" s="482"/>
      <c r="AG219" s="482"/>
      <c r="AH219" s="482"/>
      <c r="AI219" s="482"/>
      <c r="AJ219" s="482"/>
      <c r="AK219" s="482"/>
      <c r="AL219" s="482"/>
      <c r="AM219" s="482"/>
      <c r="AN219" s="482"/>
      <c r="AO219" s="482"/>
      <c r="AP219" s="96"/>
      <c r="AQ219" s="471">
        <v>198855.38</v>
      </c>
      <c r="AR219" s="471">
        <v>200032.1</v>
      </c>
      <c r="AS219" s="471"/>
      <c r="AT219" s="471">
        <v>203032.53</v>
      </c>
      <c r="AU219" s="471">
        <v>204852.34</v>
      </c>
      <c r="AV219" s="96">
        <v>205079.13</v>
      </c>
      <c r="AW219" s="96">
        <v>204181.77</v>
      </c>
      <c r="AX219" s="96">
        <v>202553.34</v>
      </c>
      <c r="AY219" s="96">
        <v>201703.37</v>
      </c>
      <c r="AZ219" s="96">
        <v>198738.9</v>
      </c>
      <c r="BA219" s="96">
        <v>197367.58</v>
      </c>
      <c r="BB219" s="96">
        <v>197381.15</v>
      </c>
      <c r="BC219" s="96">
        <v>199591.06</v>
      </c>
      <c r="BD219" s="96">
        <v>200788.67</v>
      </c>
      <c r="BE219" s="96">
        <v>206647.5</v>
      </c>
      <c r="BF219" s="96">
        <v>240604.24</v>
      </c>
      <c r="BG219" s="472">
        <v>228713.87</v>
      </c>
      <c r="BH219" s="472">
        <v>240132.03</v>
      </c>
      <c r="BI219" s="472">
        <v>242182.35</v>
      </c>
      <c r="BJ219" s="472">
        <v>245167.72</v>
      </c>
      <c r="BK219" s="472">
        <v>247080.54</v>
      </c>
      <c r="BL219" s="472">
        <v>252554.41</v>
      </c>
      <c r="BM219" s="472">
        <v>251269.26</v>
      </c>
      <c r="BN219" s="472">
        <v>253527.62</v>
      </c>
      <c r="BO219" s="472">
        <v>256037.43</v>
      </c>
      <c r="BP219" s="472">
        <v>258337.55</v>
      </c>
      <c r="BQ219" s="472">
        <v>261457.83</v>
      </c>
      <c r="BR219" s="472">
        <v>263534.24</v>
      </c>
      <c r="BS219" s="472">
        <v>266487.63</v>
      </c>
      <c r="BT219" s="472">
        <v>193720.82</v>
      </c>
      <c r="BU219" s="472">
        <v>195250.72</v>
      </c>
      <c r="BV219" s="472">
        <v>197923.5</v>
      </c>
      <c r="BW219" s="472">
        <v>18977.05</v>
      </c>
      <c r="BX219" s="472">
        <v>3.96</v>
      </c>
      <c r="BY219" s="472">
        <v>3.96</v>
      </c>
      <c r="BZ219" s="472">
        <v>3.96</v>
      </c>
      <c r="CA219" s="474">
        <v>0.0</v>
      </c>
      <c r="CB219" s="474">
        <v>0.0</v>
      </c>
      <c r="CC219" s="474">
        <v>0.0</v>
      </c>
      <c r="CD219" s="474">
        <v>0.0</v>
      </c>
      <c r="CE219" s="474">
        <v>0.0</v>
      </c>
      <c r="CF219" s="474">
        <v>0.0</v>
      </c>
      <c r="CG219" s="474">
        <v>0.0</v>
      </c>
      <c r="CH219" s="65">
        <v>0.0</v>
      </c>
      <c r="CI219" s="65">
        <v>0.0</v>
      </c>
      <c r="CJ219" s="65">
        <v>0.0</v>
      </c>
      <c r="CK219" s="65">
        <v>0.0</v>
      </c>
      <c r="CL219" s="65">
        <v>0.0</v>
      </c>
      <c r="CM219" s="65">
        <v>0.0</v>
      </c>
      <c r="CN219" s="65">
        <v>0.0</v>
      </c>
    </row>
    <row r="220" ht="15.75" customHeight="1">
      <c r="A220" s="462" t="s">
        <v>2346</v>
      </c>
      <c r="B220" s="518" t="s">
        <v>1124</v>
      </c>
      <c r="C220" s="141">
        <v>34322.0</v>
      </c>
      <c r="D220" s="63" t="s">
        <v>120</v>
      </c>
      <c r="E220" s="63" t="s">
        <v>91</v>
      </c>
      <c r="F220" s="63" t="s">
        <v>521</v>
      </c>
      <c r="G220" s="47" t="str">
        <f t="shared" si="1"/>
        <v>Breno</v>
      </c>
      <c r="H220" s="152" t="s">
        <v>295</v>
      </c>
      <c r="I220" s="49" t="s">
        <v>382</v>
      </c>
      <c r="J220" s="63" t="str">
        <f t="shared" si="4"/>
        <v>Não</v>
      </c>
      <c r="K220" s="143">
        <v>44263.0</v>
      </c>
      <c r="L220" s="81"/>
      <c r="M220" s="81" t="s">
        <v>361</v>
      </c>
      <c r="N220" s="464">
        <v>0.02</v>
      </c>
      <c r="O220" s="63" t="s">
        <v>35</v>
      </c>
      <c r="P220" s="145">
        <v>0.2</v>
      </c>
      <c r="Q220" s="190"/>
      <c r="R220" s="158" t="s">
        <v>1128</v>
      </c>
      <c r="S220" s="62" t="s">
        <v>194</v>
      </c>
      <c r="T220" s="141" t="s">
        <v>1129</v>
      </c>
      <c r="U220" s="95" t="s">
        <v>221</v>
      </c>
      <c r="V220" s="49" t="str">
        <f t="shared" si="3"/>
        <v>Ativo</v>
      </c>
      <c r="W220" s="150"/>
      <c r="X220" s="150"/>
      <c r="Y220" s="30" t="s">
        <v>244</v>
      </c>
      <c r="Z220" s="81"/>
      <c r="AA220" s="467">
        <v>44263.0</v>
      </c>
      <c r="AB220" s="30">
        <v>4.9075100009678E13</v>
      </c>
      <c r="AC220" s="482"/>
      <c r="AD220" s="482"/>
      <c r="AE220" s="482"/>
      <c r="AF220" s="482"/>
      <c r="AG220" s="482"/>
      <c r="AH220" s="482"/>
      <c r="AI220" s="482"/>
      <c r="AJ220" s="482"/>
      <c r="AK220" s="482"/>
      <c r="AL220" s="482"/>
      <c r="AM220" s="482"/>
      <c r="AN220" s="482"/>
      <c r="AO220" s="482"/>
      <c r="AP220" s="96"/>
      <c r="AQ220" s="471">
        <v>415129.62</v>
      </c>
      <c r="AR220" s="471">
        <v>417730.26</v>
      </c>
      <c r="AS220" s="471"/>
      <c r="AT220" s="471">
        <v>425633.12</v>
      </c>
      <c r="AU220" s="471">
        <v>432273.2</v>
      </c>
      <c r="AV220" s="96">
        <v>432356.5</v>
      </c>
      <c r="AW220" s="96">
        <v>737497.79</v>
      </c>
      <c r="AX220" s="96">
        <v>718881.68</v>
      </c>
      <c r="AY220" s="96">
        <v>695661.45</v>
      </c>
      <c r="AZ220" s="96">
        <v>658334.58</v>
      </c>
      <c r="BA220" s="96">
        <v>577746.66</v>
      </c>
      <c r="BB220" s="96">
        <v>574564.67</v>
      </c>
      <c r="BC220" s="96">
        <v>510337.87</v>
      </c>
      <c r="BD220" s="96">
        <v>512897.96</v>
      </c>
      <c r="BE220" s="96">
        <v>534743.84</v>
      </c>
      <c r="BF220" s="96">
        <v>520383.62</v>
      </c>
      <c r="BG220" s="472">
        <v>514852.24</v>
      </c>
      <c r="BH220" s="472">
        <v>495844.91</v>
      </c>
      <c r="BI220" s="472">
        <v>508707.58</v>
      </c>
      <c r="BJ220" s="472">
        <v>519986.04</v>
      </c>
      <c r="BK220" s="472">
        <v>523383.14</v>
      </c>
      <c r="BL220" s="472">
        <v>535552.7</v>
      </c>
      <c r="BM220" s="472">
        <v>541207.2</v>
      </c>
      <c r="BN220" s="472">
        <v>543432.44</v>
      </c>
      <c r="BO220" s="472">
        <v>551180.31</v>
      </c>
      <c r="BP220" s="472">
        <v>546444.85</v>
      </c>
      <c r="BQ220" s="472">
        <v>550836.59</v>
      </c>
      <c r="BR220" s="472">
        <v>553560.15</v>
      </c>
      <c r="BS220" s="472">
        <v>488905.25</v>
      </c>
      <c r="BT220" s="472">
        <v>476456.84</v>
      </c>
      <c r="BU220" s="472">
        <v>320866.91</v>
      </c>
      <c r="BV220" s="472">
        <v>445848.54</v>
      </c>
      <c r="BW220" s="472">
        <v>430901.76</v>
      </c>
      <c r="BX220" s="472">
        <v>274027.21</v>
      </c>
      <c r="BY220" s="472">
        <v>174797.54</v>
      </c>
      <c r="BZ220" s="472">
        <v>177415.98</v>
      </c>
      <c r="CA220" s="474">
        <v>175748.19</v>
      </c>
      <c r="CB220" s="474">
        <v>177568.06</v>
      </c>
      <c r="CC220" s="474">
        <v>178792.94</v>
      </c>
      <c r="CD220" s="474">
        <v>705.08</v>
      </c>
      <c r="CE220" s="474">
        <v>635.68</v>
      </c>
      <c r="CF220" s="474">
        <v>577.36</v>
      </c>
      <c r="CG220" s="474">
        <v>488.96</v>
      </c>
      <c r="CH220" s="65">
        <v>488.96</v>
      </c>
      <c r="CI220" s="65">
        <v>445.28</v>
      </c>
      <c r="CJ220" s="65">
        <v>399.84</v>
      </c>
      <c r="CK220" s="65">
        <v>321.96</v>
      </c>
      <c r="CL220" s="65">
        <v>3.19</v>
      </c>
      <c r="CM220" s="65">
        <v>3.19</v>
      </c>
      <c r="CN220" s="65">
        <v>3.19</v>
      </c>
    </row>
    <row r="221" ht="15.75" customHeight="1">
      <c r="A221" s="462" t="s">
        <v>2346</v>
      </c>
      <c r="B221" s="518" t="s">
        <v>1124</v>
      </c>
      <c r="C221" s="141">
        <v>34368.0</v>
      </c>
      <c r="D221" s="521" t="s">
        <v>120</v>
      </c>
      <c r="E221" s="521" t="s">
        <v>91</v>
      </c>
      <c r="F221" s="522" t="s">
        <v>521</v>
      </c>
      <c r="G221" s="47" t="str">
        <f t="shared" si="1"/>
        <v>Breno</v>
      </c>
      <c r="H221" s="239" t="s">
        <v>295</v>
      </c>
      <c r="I221" s="49" t="s">
        <v>382</v>
      </c>
      <c r="J221" s="63" t="str">
        <f t="shared" si="4"/>
        <v>Não</v>
      </c>
      <c r="K221" s="523">
        <v>44390.0</v>
      </c>
      <c r="L221" s="734"/>
      <c r="M221" s="524" t="s">
        <v>209</v>
      </c>
      <c r="N221" s="539">
        <v>0.015</v>
      </c>
      <c r="O221" s="539"/>
      <c r="P221" s="560"/>
      <c r="Q221" s="190"/>
      <c r="R221" s="158" t="s">
        <v>1135</v>
      </c>
      <c r="S221" s="62" t="s">
        <v>194</v>
      </c>
      <c r="T221" s="141" t="s">
        <v>1129</v>
      </c>
      <c r="U221" s="95" t="s">
        <v>221</v>
      </c>
      <c r="V221" s="49" t="str">
        <f t="shared" si="3"/>
        <v>Ativo</v>
      </c>
      <c r="W221" s="150"/>
      <c r="X221" s="150"/>
      <c r="Y221" s="30" t="s">
        <v>244</v>
      </c>
      <c r="Z221" s="81"/>
      <c r="AA221" s="467">
        <v>44390.0</v>
      </c>
      <c r="AB221" s="30">
        <v>4.9075100004153E13</v>
      </c>
      <c r="AC221" s="476"/>
      <c r="AD221" s="476"/>
      <c r="AE221" s="476"/>
      <c r="AF221" s="476"/>
      <c r="AG221" s="476"/>
      <c r="AH221" s="476"/>
      <c r="AI221" s="476"/>
      <c r="AJ221" s="476"/>
      <c r="AK221" s="476"/>
      <c r="AL221" s="476"/>
      <c r="AM221" s="476"/>
      <c r="AN221" s="476"/>
      <c r="AO221" s="96"/>
      <c r="AP221" s="471"/>
      <c r="AQ221" s="471"/>
      <c r="AR221" s="471"/>
      <c r="AS221" s="471"/>
      <c r="AT221" s="471"/>
      <c r="AU221" s="96"/>
      <c r="AV221" s="476"/>
      <c r="AW221" s="96">
        <v>304738.17</v>
      </c>
      <c r="AX221" s="96">
        <v>296183.23</v>
      </c>
      <c r="AY221" s="96">
        <v>287825.44</v>
      </c>
      <c r="AZ221" s="96">
        <v>277633.8</v>
      </c>
      <c r="BA221" s="96">
        <v>176809.5</v>
      </c>
      <c r="BB221" s="96">
        <v>175846.29</v>
      </c>
      <c r="BC221" s="96">
        <v>265263.84</v>
      </c>
      <c r="BD221" s="96">
        <v>268988.36</v>
      </c>
      <c r="BE221" s="96">
        <v>280147.47</v>
      </c>
      <c r="BF221" s="96">
        <v>273872.71</v>
      </c>
      <c r="BG221" s="472">
        <v>266325.93</v>
      </c>
      <c r="BH221" s="472">
        <v>269792.15</v>
      </c>
      <c r="BI221" s="472">
        <v>275009.73</v>
      </c>
      <c r="BJ221" s="472">
        <v>277856.39</v>
      </c>
      <c r="BK221" s="472">
        <v>280804.84</v>
      </c>
      <c r="BL221" s="472">
        <v>535552.7</v>
      </c>
      <c r="BM221" s="472">
        <v>289550.79</v>
      </c>
      <c r="BN221" s="472">
        <v>291460.08</v>
      </c>
      <c r="BO221" s="472">
        <v>293700.2</v>
      </c>
      <c r="BP221" s="472">
        <v>294560.91</v>
      </c>
      <c r="BQ221" s="472">
        <v>297334.58</v>
      </c>
      <c r="BR221" s="472">
        <v>297817.42</v>
      </c>
      <c r="BS221" s="472">
        <v>166750.55</v>
      </c>
      <c r="BT221" s="472">
        <v>151858.66</v>
      </c>
      <c r="BU221" s="472">
        <v>106425.76</v>
      </c>
      <c r="BV221" s="472">
        <v>80759.99</v>
      </c>
      <c r="BW221" s="472">
        <v>65813.99</v>
      </c>
      <c r="BX221" s="472">
        <v>66463.49</v>
      </c>
      <c r="BY221" s="472">
        <v>67768.48</v>
      </c>
      <c r="BZ221" s="472">
        <v>44199.57</v>
      </c>
      <c r="CA221" s="474">
        <v>47462.01</v>
      </c>
      <c r="CB221" s="474">
        <v>23955.74</v>
      </c>
      <c r="CC221" s="474">
        <v>28571.09</v>
      </c>
      <c r="CD221" s="474">
        <v>88.93</v>
      </c>
      <c r="CE221" s="474">
        <v>55.7</v>
      </c>
      <c r="CF221" s="474">
        <v>55.7</v>
      </c>
      <c r="CG221" s="474">
        <v>44.31</v>
      </c>
      <c r="CH221" s="65">
        <v>44.31</v>
      </c>
      <c r="CI221" s="65">
        <v>40.6</v>
      </c>
      <c r="CJ221" s="65">
        <v>36.55</v>
      </c>
      <c r="CK221" s="65">
        <v>29.84</v>
      </c>
      <c r="CL221" s="65">
        <v>1.74</v>
      </c>
      <c r="CM221" s="65">
        <v>1.74</v>
      </c>
      <c r="CN221" s="65">
        <v>1.74</v>
      </c>
    </row>
    <row r="222" ht="15.75" customHeight="1">
      <c r="A222" s="462" t="s">
        <v>2346</v>
      </c>
      <c r="B222" s="50" t="s">
        <v>6156</v>
      </c>
      <c r="C222" s="141">
        <v>649332.0</v>
      </c>
      <c r="D222" s="63" t="s">
        <v>120</v>
      </c>
      <c r="E222" s="63" t="s">
        <v>91</v>
      </c>
      <c r="F222" s="63" t="s">
        <v>193</v>
      </c>
      <c r="G222" s="47" t="str">
        <f t="shared" si="1"/>
        <v>Breno</v>
      </c>
      <c r="H222" s="142" t="s">
        <v>295</v>
      </c>
      <c r="I222" s="49" t="s">
        <v>382</v>
      </c>
      <c r="J222" s="63" t="str">
        <f t="shared" si="4"/>
        <v>Não</v>
      </c>
      <c r="K222" s="143">
        <v>44715.0</v>
      </c>
      <c r="L222" s="62"/>
      <c r="M222" s="81" t="s">
        <v>34</v>
      </c>
      <c r="N222" s="144">
        <v>0.012</v>
      </c>
      <c r="O222" s="141" t="s">
        <v>66</v>
      </c>
      <c r="P222" s="145">
        <v>0.0</v>
      </c>
      <c r="Q222" s="70"/>
      <c r="R222" s="70"/>
      <c r="S222" s="62" t="s">
        <v>194</v>
      </c>
      <c r="T222" s="22" t="s">
        <v>6159</v>
      </c>
      <c r="U222" s="30" t="s">
        <v>475</v>
      </c>
      <c r="V222" s="49" t="str">
        <f t="shared" si="3"/>
        <v>Inativo</v>
      </c>
      <c r="W222" s="150"/>
      <c r="X222" s="150"/>
      <c r="Y222" s="30" t="s">
        <v>244</v>
      </c>
      <c r="Z222" s="81"/>
      <c r="AA222" s="467">
        <v>44715.0</v>
      </c>
      <c r="AB222" s="30">
        <v>4.9075100010722E13</v>
      </c>
      <c r="AC222" s="476"/>
      <c r="AD222" s="476"/>
      <c r="AE222" s="476"/>
      <c r="AF222" s="476"/>
      <c r="AG222" s="476"/>
      <c r="AH222" s="476"/>
      <c r="AI222" s="476"/>
      <c r="AJ222" s="476"/>
      <c r="AK222" s="476"/>
      <c r="AL222" s="476"/>
      <c r="AM222" s="476"/>
      <c r="AN222" s="476"/>
      <c r="AO222" s="476"/>
      <c r="AP222" s="96"/>
      <c r="AQ222" s="471"/>
      <c r="AR222" s="471"/>
      <c r="AS222" s="471"/>
      <c r="AT222" s="471"/>
      <c r="AU222" s="471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562">
        <v>140000.0</v>
      </c>
      <c r="BH222" s="472">
        <v>139493.42</v>
      </c>
      <c r="BI222" s="472">
        <v>140779.44</v>
      </c>
      <c r="BJ222" s="472">
        <v>0.0</v>
      </c>
      <c r="BK222" s="472">
        <v>-49.69</v>
      </c>
      <c r="BL222" s="472">
        <v>-49.66</v>
      </c>
      <c r="BM222" s="472">
        <v>-49.66</v>
      </c>
      <c r="BN222" s="472">
        <v>-49.66</v>
      </c>
      <c r="BO222" s="472">
        <v>-49.66</v>
      </c>
      <c r="BP222" s="472">
        <v>-49.66</v>
      </c>
      <c r="BQ222" s="472">
        <v>-49.66</v>
      </c>
      <c r="BR222" s="472">
        <v>0.0</v>
      </c>
      <c r="BS222" s="472">
        <v>0.0</v>
      </c>
      <c r="BT222" s="472">
        <v>0.0</v>
      </c>
      <c r="BU222" s="472">
        <v>0.0</v>
      </c>
      <c r="BV222" s="472">
        <v>0.0</v>
      </c>
      <c r="BW222" s="472">
        <v>0.0</v>
      </c>
      <c r="BX222" s="472">
        <v>0.0</v>
      </c>
      <c r="BY222" s="472">
        <v>0.0</v>
      </c>
      <c r="BZ222" s="472">
        <v>0.0</v>
      </c>
      <c r="CA222" s="474">
        <v>0.0</v>
      </c>
      <c r="CB222" s="474">
        <v>0.0</v>
      </c>
      <c r="CC222" s="474">
        <v>0.0</v>
      </c>
      <c r="CD222" s="474">
        <v>0.0</v>
      </c>
      <c r="CE222" s="474">
        <v>0.0</v>
      </c>
      <c r="CF222" s="474">
        <v>0.0</v>
      </c>
      <c r="CG222" s="474">
        <v>0.0</v>
      </c>
      <c r="CH222" s="65">
        <v>0.0</v>
      </c>
      <c r="CI222" s="65">
        <v>0.0</v>
      </c>
      <c r="CJ222" s="65">
        <v>0.0</v>
      </c>
      <c r="CK222" s="65">
        <v>0.0</v>
      </c>
      <c r="CL222" s="65">
        <v>0.0</v>
      </c>
      <c r="CM222" s="65">
        <v>0.0</v>
      </c>
      <c r="CN222" s="65">
        <v>0.0</v>
      </c>
    </row>
    <row r="223" ht="15.75" customHeight="1">
      <c r="A223" s="462" t="s">
        <v>2346</v>
      </c>
      <c r="B223" s="50" t="s">
        <v>6163</v>
      </c>
      <c r="C223" s="141">
        <v>448575.0</v>
      </c>
      <c r="D223" s="63" t="s">
        <v>120</v>
      </c>
      <c r="E223" s="63" t="s">
        <v>91</v>
      </c>
      <c r="F223" s="63" t="s">
        <v>521</v>
      </c>
      <c r="G223" s="47" t="str">
        <f t="shared" si="1"/>
        <v>Breno</v>
      </c>
      <c r="H223" s="142" t="s">
        <v>295</v>
      </c>
      <c r="I223" s="49" t="s">
        <v>382</v>
      </c>
      <c r="J223" s="63" t="str">
        <f t="shared" si="4"/>
        <v>Não</v>
      </c>
      <c r="K223" s="143">
        <v>44298.0</v>
      </c>
      <c r="L223" s="62"/>
      <c r="M223" s="81" t="s">
        <v>61</v>
      </c>
      <c r="N223" s="144">
        <v>0.007</v>
      </c>
      <c r="O223" s="141" t="s">
        <v>66</v>
      </c>
      <c r="P223" s="145">
        <v>0.0</v>
      </c>
      <c r="Q223" s="70"/>
      <c r="R223" s="160" t="s">
        <v>6166</v>
      </c>
      <c r="S223" s="62" t="s">
        <v>194</v>
      </c>
      <c r="T223" s="22" t="s">
        <v>6167</v>
      </c>
      <c r="U223" s="95" t="s">
        <v>221</v>
      </c>
      <c r="V223" s="49" t="str">
        <f t="shared" si="3"/>
        <v>Inativo</v>
      </c>
      <c r="W223" s="150"/>
      <c r="X223" s="150"/>
      <c r="Y223" s="30" t="s">
        <v>244</v>
      </c>
      <c r="Z223" s="81"/>
      <c r="AA223" s="467">
        <v>44298.0</v>
      </c>
      <c r="AB223" s="30">
        <v>4.907510001073E13</v>
      </c>
      <c r="AC223" s="476"/>
      <c r="AD223" s="476"/>
      <c r="AE223" s="476"/>
      <c r="AF223" s="476"/>
      <c r="AG223" s="476"/>
      <c r="AH223" s="476"/>
      <c r="AI223" s="476"/>
      <c r="AJ223" s="476"/>
      <c r="AK223" s="476"/>
      <c r="AL223" s="476"/>
      <c r="AM223" s="476"/>
      <c r="AN223" s="476"/>
      <c r="AO223" s="476"/>
      <c r="AP223" s="96"/>
      <c r="AQ223" s="471"/>
      <c r="AR223" s="471"/>
      <c r="AS223" s="471"/>
      <c r="AT223" s="471"/>
      <c r="AU223" s="471">
        <v>298278.75</v>
      </c>
      <c r="AV223" s="96">
        <v>297313.4</v>
      </c>
      <c r="AW223" s="96">
        <v>321981.8</v>
      </c>
      <c r="AX223" s="96">
        <v>314985.39</v>
      </c>
      <c r="AY223" s="96">
        <v>307278.34</v>
      </c>
      <c r="AZ223" s="96">
        <v>291979.48</v>
      </c>
      <c r="BA223" s="96">
        <v>286200.7</v>
      </c>
      <c r="BB223" s="96">
        <v>287252.14</v>
      </c>
      <c r="BC223" s="96">
        <v>293582.47</v>
      </c>
      <c r="BD223" s="96">
        <v>296191.68</v>
      </c>
      <c r="BE223" s="96">
        <v>308726.59</v>
      </c>
      <c r="BF223" s="96">
        <v>303487.16</v>
      </c>
      <c r="BG223" s="472">
        <v>303710.16</v>
      </c>
      <c r="BH223" s="472">
        <v>305706.24</v>
      </c>
      <c r="BI223" s="472">
        <v>306956.95</v>
      </c>
      <c r="BJ223" s="472">
        <v>310142.5</v>
      </c>
      <c r="BK223" s="472">
        <v>311874.84</v>
      </c>
      <c r="BL223" s="472">
        <v>159997.2</v>
      </c>
      <c r="BM223" s="472">
        <v>502.0</v>
      </c>
      <c r="BN223" s="472">
        <v>502.0</v>
      </c>
      <c r="BO223" s="472">
        <v>502.52</v>
      </c>
      <c r="BP223" s="472">
        <v>502.52</v>
      </c>
      <c r="BQ223" s="472">
        <v>502.52</v>
      </c>
      <c r="BR223" s="472">
        <v>502.52</v>
      </c>
      <c r="BS223" s="472">
        <v>0.0</v>
      </c>
      <c r="BT223" s="472">
        <v>0.0</v>
      </c>
      <c r="BU223" s="472">
        <v>0.0</v>
      </c>
      <c r="BV223" s="472">
        <v>0.0</v>
      </c>
      <c r="BW223" s="472">
        <v>0.0</v>
      </c>
      <c r="BX223" s="472">
        <v>0.0</v>
      </c>
      <c r="BY223" s="472">
        <v>0.0</v>
      </c>
      <c r="BZ223" s="472">
        <v>0.0</v>
      </c>
      <c r="CA223" s="474">
        <v>0.0</v>
      </c>
      <c r="CB223" s="474">
        <v>0.0</v>
      </c>
      <c r="CC223" s="474">
        <v>0.0</v>
      </c>
      <c r="CD223" s="474">
        <v>0.0</v>
      </c>
      <c r="CE223" s="474">
        <v>0.0</v>
      </c>
      <c r="CF223" s="474">
        <v>0.0</v>
      </c>
      <c r="CG223" s="474">
        <v>0.0</v>
      </c>
      <c r="CH223" s="65">
        <v>0.0</v>
      </c>
      <c r="CI223" s="65">
        <v>0.0</v>
      </c>
      <c r="CJ223" s="65">
        <v>0.0</v>
      </c>
      <c r="CK223" s="65">
        <v>0.0</v>
      </c>
      <c r="CL223" s="65">
        <v>0.0</v>
      </c>
      <c r="CM223" s="65">
        <v>0.0</v>
      </c>
      <c r="CN223" s="65">
        <v>0.0</v>
      </c>
    </row>
    <row r="224" ht="15.75" customHeight="1">
      <c r="A224" s="462" t="s">
        <v>2346</v>
      </c>
      <c r="B224" s="462" t="s">
        <v>5379</v>
      </c>
      <c r="C224" s="141">
        <v>580912.0</v>
      </c>
      <c r="D224" s="63" t="s">
        <v>669</v>
      </c>
      <c r="E224" s="63" t="s">
        <v>199</v>
      </c>
      <c r="F224" s="63" t="s">
        <v>1228</v>
      </c>
      <c r="G224" s="47" t="str">
        <f t="shared" si="1"/>
        <v>Breno</v>
      </c>
      <c r="H224" s="142" t="s">
        <v>295</v>
      </c>
      <c r="I224" s="49" t="s">
        <v>382</v>
      </c>
      <c r="J224" s="63" t="str">
        <f t="shared" si="4"/>
        <v>Não</v>
      </c>
      <c r="K224" s="143">
        <v>43620.0</v>
      </c>
      <c r="L224" s="81"/>
      <c r="M224" s="81" t="s">
        <v>209</v>
      </c>
      <c r="N224" s="464">
        <v>0.015</v>
      </c>
      <c r="O224" s="63" t="s">
        <v>35</v>
      </c>
      <c r="P224" s="145">
        <v>0.1</v>
      </c>
      <c r="Q224" s="368"/>
      <c r="R224" s="158" t="s">
        <v>6174</v>
      </c>
      <c r="S224" s="62" t="s">
        <v>194</v>
      </c>
      <c r="T224" s="141" t="s">
        <v>5877</v>
      </c>
      <c r="U224" s="81" t="s">
        <v>199</v>
      </c>
      <c r="V224" s="49" t="str">
        <f t="shared" si="3"/>
        <v>Inativo</v>
      </c>
      <c r="W224" s="150"/>
      <c r="X224" s="150"/>
      <c r="Y224" s="30" t="s">
        <v>244</v>
      </c>
      <c r="Z224" s="81"/>
      <c r="AA224" s="467">
        <v>43620.0</v>
      </c>
      <c r="AB224" s="30">
        <v>4.9075100009961E13</v>
      </c>
      <c r="AC224" s="96">
        <v>553586.46</v>
      </c>
      <c r="AD224" s="96">
        <v>545252.55</v>
      </c>
      <c r="AE224" s="96">
        <v>508622.11</v>
      </c>
      <c r="AF224" s="96">
        <v>519787.21</v>
      </c>
      <c r="AG224" s="96">
        <v>526530.54</v>
      </c>
      <c r="AH224" s="96">
        <v>532642.71</v>
      </c>
      <c r="AI224" s="96">
        <v>439504.16</v>
      </c>
      <c r="AJ224" s="96">
        <v>374075.64</v>
      </c>
      <c r="AK224" s="96">
        <v>368954.56</v>
      </c>
      <c r="AL224" s="96">
        <v>367894.44</v>
      </c>
      <c r="AM224" s="96">
        <v>386077.57</v>
      </c>
      <c r="AN224" s="96">
        <v>393359.97</v>
      </c>
      <c r="AO224" s="96">
        <v>389144.61</v>
      </c>
      <c r="AP224" s="96">
        <v>375965.32</v>
      </c>
      <c r="AQ224" s="471">
        <v>370564.72</v>
      </c>
      <c r="AR224" s="471">
        <v>383073.16</v>
      </c>
      <c r="AS224" s="471">
        <v>384215.3</v>
      </c>
      <c r="AT224" s="471">
        <v>385205.05</v>
      </c>
      <c r="AU224" s="471">
        <v>391564.43</v>
      </c>
      <c r="AV224" s="96">
        <v>391322.02</v>
      </c>
      <c r="AW224" s="96">
        <v>387675.05</v>
      </c>
      <c r="AX224" s="96">
        <v>381092.72</v>
      </c>
      <c r="AY224" s="96">
        <v>344948.39</v>
      </c>
      <c r="AZ224" s="96">
        <v>363925.82</v>
      </c>
      <c r="BA224" s="96">
        <v>223231.68</v>
      </c>
      <c r="BB224" s="96">
        <v>204541.03</v>
      </c>
      <c r="BC224" s="96">
        <v>210511.46</v>
      </c>
      <c r="BD224" s="96">
        <v>177265.3</v>
      </c>
      <c r="BE224" s="96">
        <v>158160.65</v>
      </c>
      <c r="BF224" s="96">
        <v>151324.25</v>
      </c>
      <c r="BG224" s="472">
        <v>152479.3</v>
      </c>
      <c r="BH224" s="472">
        <v>0.0</v>
      </c>
      <c r="BI224" s="472">
        <v>121379.13</v>
      </c>
      <c r="BJ224" s="472">
        <v>61391.74</v>
      </c>
      <c r="BK224" s="472">
        <v>48182.32</v>
      </c>
      <c r="BL224" s="472">
        <v>49948.64</v>
      </c>
      <c r="BM224" s="472">
        <v>44246.04</v>
      </c>
      <c r="BN224" s="472">
        <v>42094.62</v>
      </c>
      <c r="BO224" s="472">
        <v>44196.95</v>
      </c>
      <c r="BP224" s="472">
        <v>41888.89</v>
      </c>
      <c r="BQ224" s="472">
        <v>39426.79</v>
      </c>
      <c r="BR224" s="472">
        <v>39582.48</v>
      </c>
      <c r="BS224" s="472">
        <v>0.0</v>
      </c>
      <c r="BT224" s="472">
        <v>0.0</v>
      </c>
      <c r="BU224" s="472">
        <v>0.0</v>
      </c>
      <c r="BV224" s="472">
        <v>0.0</v>
      </c>
      <c r="BW224" s="472">
        <v>0.0</v>
      </c>
      <c r="BX224" s="472">
        <v>0.0</v>
      </c>
      <c r="BY224" s="472">
        <v>0.0</v>
      </c>
      <c r="BZ224" s="472">
        <v>0.0</v>
      </c>
      <c r="CA224" s="474">
        <v>0.0</v>
      </c>
      <c r="CB224" s="474">
        <v>0.0</v>
      </c>
      <c r="CC224" s="474">
        <v>0.0</v>
      </c>
      <c r="CD224" s="474">
        <v>0.0</v>
      </c>
      <c r="CE224" s="474">
        <v>0.0</v>
      </c>
      <c r="CF224" s="474">
        <v>0.0</v>
      </c>
      <c r="CG224" s="474">
        <v>0.0</v>
      </c>
      <c r="CH224" s="65">
        <v>0.0</v>
      </c>
      <c r="CI224" s="65">
        <v>0.0</v>
      </c>
      <c r="CJ224" s="65">
        <v>0.0</v>
      </c>
      <c r="CK224" s="65">
        <v>0.0</v>
      </c>
      <c r="CL224" s="65">
        <v>0.0</v>
      </c>
      <c r="CM224" s="65">
        <v>0.0</v>
      </c>
      <c r="CN224" s="65">
        <v>0.0</v>
      </c>
    </row>
    <row r="225" ht="15.75" customHeight="1">
      <c r="A225" s="462" t="s">
        <v>2346</v>
      </c>
      <c r="B225" s="477" t="s">
        <v>1145</v>
      </c>
      <c r="C225" s="141">
        <v>382026.0</v>
      </c>
      <c r="D225" s="63" t="s">
        <v>120</v>
      </c>
      <c r="E225" s="63" t="s">
        <v>199</v>
      </c>
      <c r="F225" s="63" t="s">
        <v>1148</v>
      </c>
      <c r="G225" s="47" t="str">
        <f t="shared" si="1"/>
        <v>Breno</v>
      </c>
      <c r="H225" s="142" t="s">
        <v>295</v>
      </c>
      <c r="I225" s="49" t="s">
        <v>382</v>
      </c>
      <c r="J225" s="63" t="str">
        <f t="shared" si="4"/>
        <v>Não</v>
      </c>
      <c r="K225" s="143">
        <v>45098.0</v>
      </c>
      <c r="L225" s="81"/>
      <c r="M225" s="81" t="s">
        <v>61</v>
      </c>
      <c r="N225" s="464">
        <v>0.012</v>
      </c>
      <c r="O225" s="141" t="s">
        <v>66</v>
      </c>
      <c r="P225" s="145">
        <v>0.0</v>
      </c>
      <c r="Q225" s="158"/>
      <c r="R225" s="158"/>
      <c r="S225" s="62" t="s">
        <v>194</v>
      </c>
      <c r="T225" s="30" t="s">
        <v>1152</v>
      </c>
      <c r="U225" s="30" t="s">
        <v>199</v>
      </c>
      <c r="V225" s="49" t="str">
        <f t="shared" si="3"/>
        <v>Ativo</v>
      </c>
      <c r="W225" s="150"/>
      <c r="X225" s="150"/>
      <c r="Y225" s="30" t="s">
        <v>244</v>
      </c>
      <c r="Z225" s="81"/>
      <c r="AA225" s="467">
        <v>45098.0</v>
      </c>
      <c r="AB225" s="30">
        <v>4.9075100010749E13</v>
      </c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471"/>
      <c r="AR225" s="471"/>
      <c r="AS225" s="471"/>
      <c r="AT225" s="471"/>
      <c r="AU225" s="471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472"/>
      <c r="BH225" s="472"/>
      <c r="BI225" s="472"/>
      <c r="BJ225" s="472"/>
      <c r="BK225" s="472"/>
      <c r="BL225" s="472"/>
      <c r="BM225" s="472"/>
      <c r="BN225" s="472"/>
      <c r="BO225" s="472"/>
      <c r="BP225" s="472"/>
      <c r="BQ225" s="472"/>
      <c r="BR225" s="472">
        <v>0.0</v>
      </c>
      <c r="BS225" s="472">
        <v>0.0</v>
      </c>
      <c r="BT225" s="472">
        <v>0.0</v>
      </c>
      <c r="BU225" s="472">
        <v>0.0</v>
      </c>
      <c r="BV225" s="472">
        <v>0.0</v>
      </c>
      <c r="BW225" s="472">
        <v>86134.84</v>
      </c>
      <c r="BX225" s="472">
        <v>21900.37</v>
      </c>
      <c r="BY225" s="472">
        <v>21805.33</v>
      </c>
      <c r="BZ225" s="472">
        <v>22142.5</v>
      </c>
      <c r="CA225" s="474">
        <v>22557.63</v>
      </c>
      <c r="CB225" s="474">
        <v>22887.93</v>
      </c>
      <c r="CC225" s="474">
        <v>23279.41</v>
      </c>
      <c r="CD225" s="474">
        <v>23696.71</v>
      </c>
      <c r="CE225" s="474">
        <v>24102.02</v>
      </c>
      <c r="CF225" s="474">
        <v>24494.47</v>
      </c>
      <c r="CG225" s="474">
        <v>24953.69</v>
      </c>
      <c r="CH225" s="65">
        <v>25401.01</v>
      </c>
      <c r="CI225" s="65">
        <v>25835.46</v>
      </c>
      <c r="CJ225" s="65">
        <v>0.0</v>
      </c>
      <c r="CK225" s="65">
        <v>0.0</v>
      </c>
      <c r="CL225" s="65">
        <v>0.0</v>
      </c>
      <c r="CM225" s="65">
        <v>0.0</v>
      </c>
      <c r="CN225" s="65">
        <v>0.0</v>
      </c>
    </row>
    <row r="226" ht="15.75" customHeight="1">
      <c r="A226" s="462" t="s">
        <v>2346</v>
      </c>
      <c r="B226" s="584" t="s">
        <v>1159</v>
      </c>
      <c r="C226" s="141">
        <v>806458.0</v>
      </c>
      <c r="D226" s="141" t="s">
        <v>120</v>
      </c>
      <c r="E226" s="141" t="s">
        <v>199</v>
      </c>
      <c r="F226" s="141" t="s">
        <v>1108</v>
      </c>
      <c r="G226" s="47" t="str">
        <f t="shared" si="1"/>
        <v>Bruno</v>
      </c>
      <c r="H226" s="152" t="s">
        <v>183</v>
      </c>
      <c r="I226" s="49" t="s">
        <v>66</v>
      </c>
      <c r="J226" s="63" t="str">
        <f t="shared" si="4"/>
        <v>Não</v>
      </c>
      <c r="K226" s="198">
        <v>45414.0</v>
      </c>
      <c r="L226" s="81"/>
      <c r="M226" s="30" t="s">
        <v>61</v>
      </c>
      <c r="N226" s="738">
        <v>0.01</v>
      </c>
      <c r="O226" s="141" t="s">
        <v>66</v>
      </c>
      <c r="P226" s="162">
        <v>0.0</v>
      </c>
      <c r="Q226" s="158"/>
      <c r="R226" s="158"/>
      <c r="S226" s="32" t="s">
        <v>194</v>
      </c>
      <c r="T226" s="177" t="s">
        <v>1163</v>
      </c>
      <c r="U226" s="30" t="s">
        <v>397</v>
      </c>
      <c r="V226" s="49" t="str">
        <f t="shared" si="3"/>
        <v>Ativo</v>
      </c>
      <c r="W226" s="196"/>
      <c r="X226" s="196" t="s">
        <v>47</v>
      </c>
      <c r="Y226" s="30"/>
      <c r="Z226" s="81"/>
      <c r="AA226" s="151">
        <v>45414.0</v>
      </c>
      <c r="AB226" s="30">
        <v>4.9075100015325E13</v>
      </c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471"/>
      <c r="AR226" s="471"/>
      <c r="AS226" s="471"/>
      <c r="AT226" s="471"/>
      <c r="AU226" s="471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472"/>
      <c r="BH226" s="472"/>
      <c r="BI226" s="472"/>
      <c r="BJ226" s="472"/>
      <c r="BK226" s="472"/>
      <c r="BL226" s="472"/>
      <c r="BM226" s="472"/>
      <c r="BN226" s="472"/>
      <c r="BO226" s="472"/>
      <c r="BP226" s="472"/>
      <c r="BQ226" s="472"/>
      <c r="BR226" s="472"/>
      <c r="BS226" s="472"/>
      <c r="BT226" s="472"/>
      <c r="BU226" s="472"/>
      <c r="BV226" s="472"/>
      <c r="BW226" s="472"/>
      <c r="BX226" s="472"/>
      <c r="BY226" s="472"/>
      <c r="BZ226" s="472"/>
      <c r="CA226" s="474"/>
      <c r="CB226" s="474"/>
      <c r="CC226" s="474"/>
      <c r="CD226" s="474">
        <v>0.0</v>
      </c>
      <c r="CE226" s="474">
        <v>259211.67</v>
      </c>
      <c r="CF226" s="474">
        <v>436088.23</v>
      </c>
      <c r="CG226" s="474">
        <v>750400.73</v>
      </c>
      <c r="CH226" s="65">
        <v>740887.1</v>
      </c>
      <c r="CI226" s="65">
        <v>706198.4</v>
      </c>
      <c r="CJ226" s="65">
        <v>768450.18</v>
      </c>
      <c r="CK226" s="65">
        <v>775048.98</v>
      </c>
      <c r="CL226" s="65">
        <v>709085.16</v>
      </c>
      <c r="CM226" s="65">
        <v>800892.98</v>
      </c>
      <c r="CN226" s="65">
        <v>807073.19</v>
      </c>
    </row>
    <row r="227" ht="15.75" customHeight="1">
      <c r="A227" s="462" t="s">
        <v>2346</v>
      </c>
      <c r="B227" s="510" t="s">
        <v>6198</v>
      </c>
      <c r="C227" s="141">
        <v>425269.0</v>
      </c>
      <c r="D227" s="63" t="s">
        <v>120</v>
      </c>
      <c r="E227" s="63" t="s">
        <v>91</v>
      </c>
      <c r="F227" s="81" t="s">
        <v>193</v>
      </c>
      <c r="G227" s="47" t="str">
        <f t="shared" si="1"/>
        <v>Breno</v>
      </c>
      <c r="H227" s="152" t="s">
        <v>224</v>
      </c>
      <c r="I227" s="74" t="s">
        <v>66</v>
      </c>
      <c r="J227" s="63" t="str">
        <f t="shared" si="4"/>
        <v>Não</v>
      </c>
      <c r="K227" s="467">
        <v>44600.0</v>
      </c>
      <c r="L227" s="194">
        <v>44783.0</v>
      </c>
      <c r="M227" s="81" t="s">
        <v>34</v>
      </c>
      <c r="N227" s="478">
        <v>0.012</v>
      </c>
      <c r="O227" s="141" t="s">
        <v>66</v>
      </c>
      <c r="P227" s="145">
        <v>0.0</v>
      </c>
      <c r="Q227" s="158"/>
      <c r="R227" s="158"/>
      <c r="S227" s="62" t="s">
        <v>194</v>
      </c>
      <c r="T227" s="30" t="s">
        <v>6199</v>
      </c>
      <c r="U227" s="95" t="s">
        <v>221</v>
      </c>
      <c r="V227" s="49" t="str">
        <f t="shared" si="3"/>
        <v>Encerrado</v>
      </c>
      <c r="W227" s="150"/>
      <c r="X227" s="150"/>
      <c r="Y227" s="30" t="s">
        <v>244</v>
      </c>
      <c r="Z227" s="81"/>
      <c r="AA227" s="81"/>
      <c r="AB227" s="30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>
        <v>277841.27</v>
      </c>
      <c r="BE227" s="96">
        <v>285601.52</v>
      </c>
      <c r="BF227" s="96">
        <v>283547.6</v>
      </c>
      <c r="BG227" s="96">
        <v>284163.3</v>
      </c>
      <c r="BH227" s="96">
        <v>283635.31</v>
      </c>
      <c r="BI227" s="96">
        <v>111338.29</v>
      </c>
      <c r="BJ227" s="96">
        <v>0.0</v>
      </c>
      <c r="BK227" s="472">
        <v>0.0</v>
      </c>
      <c r="BL227" s="472">
        <v>0.0</v>
      </c>
      <c r="BM227" s="472">
        <v>0.0</v>
      </c>
      <c r="BN227" s="472">
        <v>0.0</v>
      </c>
      <c r="BO227" s="472">
        <v>0.0</v>
      </c>
      <c r="BP227" s="472">
        <v>0.0</v>
      </c>
      <c r="BQ227" s="472">
        <v>0.0</v>
      </c>
      <c r="BR227" s="472">
        <v>0.0</v>
      </c>
      <c r="BS227" s="472">
        <v>0.0</v>
      </c>
      <c r="BT227" s="472">
        <v>0.0</v>
      </c>
      <c r="BU227" s="472">
        <v>0.0</v>
      </c>
      <c r="BV227" s="472">
        <v>0.0</v>
      </c>
      <c r="BW227" s="472">
        <v>0.0</v>
      </c>
      <c r="BX227" s="472">
        <v>0.0</v>
      </c>
      <c r="BY227" s="472">
        <v>0.0</v>
      </c>
      <c r="BZ227" s="472">
        <v>0.0</v>
      </c>
      <c r="CA227" s="474">
        <v>0.0</v>
      </c>
      <c r="CB227" s="474">
        <v>0.0</v>
      </c>
      <c r="CC227" s="474">
        <v>0.0</v>
      </c>
      <c r="CD227" s="474">
        <v>0.0</v>
      </c>
      <c r="CE227" s="474">
        <v>0.0</v>
      </c>
      <c r="CF227" s="474">
        <v>0.0</v>
      </c>
      <c r="CG227" s="474">
        <v>0.0</v>
      </c>
      <c r="CH227" s="65">
        <v>0.0</v>
      </c>
      <c r="CI227" s="65">
        <v>0.0</v>
      </c>
      <c r="CJ227" s="65">
        <v>0.0</v>
      </c>
      <c r="CK227" s="65">
        <v>0.0</v>
      </c>
      <c r="CL227" s="65">
        <v>0.0</v>
      </c>
      <c r="CM227" s="65">
        <v>0.0</v>
      </c>
      <c r="CN227" s="65">
        <v>0.0</v>
      </c>
    </row>
    <row r="228" ht="15.75" customHeight="1">
      <c r="A228" s="462" t="s">
        <v>2346</v>
      </c>
      <c r="B228" s="510" t="s">
        <v>6204</v>
      </c>
      <c r="C228" s="141">
        <v>584239.0</v>
      </c>
      <c r="D228" s="63" t="s">
        <v>669</v>
      </c>
      <c r="E228" s="63" t="s">
        <v>199</v>
      </c>
      <c r="F228" s="81" t="s">
        <v>2388</v>
      </c>
      <c r="G228" s="47" t="str">
        <f t="shared" si="1"/>
        <v>Breno</v>
      </c>
      <c r="H228" s="152" t="s">
        <v>224</v>
      </c>
      <c r="I228" s="74" t="s">
        <v>66</v>
      </c>
      <c r="J228" s="63" t="str">
        <f t="shared" si="4"/>
        <v>Não</v>
      </c>
      <c r="K228" s="151">
        <v>43606.0</v>
      </c>
      <c r="L228" s="480">
        <v>44484.0</v>
      </c>
      <c r="M228" s="81" t="s">
        <v>34</v>
      </c>
      <c r="N228" s="478">
        <v>0.005</v>
      </c>
      <c r="O228" s="141" t="s">
        <v>66</v>
      </c>
      <c r="P228" s="145">
        <v>0.0</v>
      </c>
      <c r="Q228" s="158"/>
      <c r="R228" s="158"/>
      <c r="S228" s="62" t="s">
        <v>234</v>
      </c>
      <c r="T228" s="30" t="s">
        <v>6210</v>
      </c>
      <c r="U228" s="81" t="s">
        <v>54</v>
      </c>
      <c r="V228" s="49" t="str">
        <f t="shared" si="3"/>
        <v>Encerrado</v>
      </c>
      <c r="W228" s="150"/>
      <c r="X228" s="150"/>
      <c r="Y228" s="81"/>
      <c r="Z228" s="81"/>
      <c r="AA228" s="81"/>
      <c r="AB228" s="30"/>
      <c r="AC228" s="96">
        <v>0.0</v>
      </c>
      <c r="AD228" s="96">
        <v>0.0</v>
      </c>
      <c r="AE228" s="96">
        <v>0.0</v>
      </c>
      <c r="AF228" s="96">
        <v>0.0</v>
      </c>
      <c r="AG228" s="96">
        <v>0.0</v>
      </c>
      <c r="AH228" s="96">
        <v>0.0</v>
      </c>
      <c r="AI228" s="96">
        <v>0.0</v>
      </c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482"/>
      <c r="AW228" s="482"/>
      <c r="AX228" s="482"/>
      <c r="AY228" s="96"/>
      <c r="AZ228" s="96"/>
      <c r="BA228" s="96"/>
      <c r="BB228" s="96"/>
      <c r="BC228" s="96"/>
      <c r="BD228" s="96">
        <v>0.0</v>
      </c>
      <c r="BE228" s="96">
        <v>0.0</v>
      </c>
      <c r="BF228" s="96">
        <v>0.0</v>
      </c>
      <c r="BG228" s="96" t="s">
        <v>377</v>
      </c>
      <c r="BH228" s="96">
        <v>0.0</v>
      </c>
      <c r="BI228" s="96" t="s">
        <v>377</v>
      </c>
      <c r="BJ228" s="96">
        <v>0.0</v>
      </c>
      <c r="BK228" s="472">
        <v>0.0</v>
      </c>
      <c r="BL228" s="472">
        <v>0.0</v>
      </c>
      <c r="BM228" s="472">
        <v>0.0</v>
      </c>
      <c r="BN228" s="472">
        <v>0.0</v>
      </c>
      <c r="BO228" s="472">
        <v>0.0</v>
      </c>
      <c r="BP228" s="472">
        <v>0.0</v>
      </c>
      <c r="BQ228" s="472">
        <v>0.0</v>
      </c>
      <c r="BR228" s="472">
        <v>0.0</v>
      </c>
      <c r="BS228" s="472">
        <v>0.0</v>
      </c>
      <c r="BT228" s="472">
        <v>0.0</v>
      </c>
      <c r="BU228" s="472">
        <v>0.0</v>
      </c>
      <c r="BV228" s="472">
        <v>0.0</v>
      </c>
      <c r="BW228" s="472">
        <v>0.0</v>
      </c>
      <c r="BX228" s="472">
        <v>0.0</v>
      </c>
      <c r="BY228" s="472">
        <v>0.0</v>
      </c>
      <c r="BZ228" s="472">
        <v>0.0</v>
      </c>
      <c r="CA228" s="474">
        <v>0.0</v>
      </c>
      <c r="CB228" s="474">
        <v>0.0</v>
      </c>
      <c r="CC228" s="474">
        <v>0.0</v>
      </c>
      <c r="CD228" s="474">
        <v>0.0</v>
      </c>
      <c r="CE228" s="474">
        <v>0.0</v>
      </c>
      <c r="CF228" s="474">
        <v>0.0</v>
      </c>
      <c r="CG228" s="474">
        <v>0.0</v>
      </c>
      <c r="CH228" s="65">
        <v>0.0</v>
      </c>
      <c r="CI228" s="65">
        <v>0.0</v>
      </c>
      <c r="CJ228" s="65">
        <v>0.0</v>
      </c>
      <c r="CK228" s="65">
        <v>0.0</v>
      </c>
      <c r="CL228" s="65">
        <v>0.0</v>
      </c>
      <c r="CM228" s="65">
        <v>0.0</v>
      </c>
      <c r="CN228" s="65">
        <v>0.0</v>
      </c>
    </row>
    <row r="229" ht="15.75" customHeight="1">
      <c r="A229" s="462" t="s">
        <v>2346</v>
      </c>
      <c r="B229" s="510" t="s">
        <v>5293</v>
      </c>
      <c r="C229" s="141">
        <v>272112.0</v>
      </c>
      <c r="D229" s="63" t="s">
        <v>669</v>
      </c>
      <c r="E229" s="63" t="s">
        <v>199</v>
      </c>
      <c r="F229" s="81" t="s">
        <v>2388</v>
      </c>
      <c r="G229" s="47" t="str">
        <f t="shared" si="1"/>
        <v>Breno</v>
      </c>
      <c r="H229" s="152" t="s">
        <v>224</v>
      </c>
      <c r="I229" s="74" t="s">
        <v>66</v>
      </c>
      <c r="J229" s="63" t="str">
        <f t="shared" si="4"/>
        <v>Não</v>
      </c>
      <c r="K229" s="467">
        <v>43853.0</v>
      </c>
      <c r="L229" s="467">
        <v>43997.0</v>
      </c>
      <c r="M229" s="81" t="s">
        <v>34</v>
      </c>
      <c r="N229" s="478">
        <v>0.012</v>
      </c>
      <c r="O229" s="141" t="s">
        <v>66</v>
      </c>
      <c r="P229" s="145">
        <v>0.0</v>
      </c>
      <c r="Q229" s="158"/>
      <c r="R229" s="158"/>
      <c r="S229" s="62" t="s">
        <v>194</v>
      </c>
      <c r="T229" s="30" t="s">
        <v>6216</v>
      </c>
      <c r="U229" s="81" t="s">
        <v>199</v>
      </c>
      <c r="V229" s="49" t="str">
        <f t="shared" si="3"/>
        <v>Encerrado</v>
      </c>
      <c r="W229" s="150"/>
      <c r="X229" s="150"/>
      <c r="Y229" s="81"/>
      <c r="Z229" s="81"/>
      <c r="AA229" s="81"/>
      <c r="AB229" s="30"/>
      <c r="AC229" s="96">
        <v>109621.19</v>
      </c>
      <c r="AD229" s="96">
        <v>106136.05</v>
      </c>
      <c r="AE229" s="96">
        <v>99529.74</v>
      </c>
      <c r="AF229" s="96">
        <v>100955.14</v>
      </c>
      <c r="AG229" s="96">
        <v>76468.36</v>
      </c>
      <c r="AH229" s="96">
        <v>0.0</v>
      </c>
      <c r="AI229" s="96">
        <v>0.0</v>
      </c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482"/>
      <c r="AW229" s="482"/>
      <c r="AX229" s="482"/>
      <c r="AY229" s="96"/>
      <c r="AZ229" s="96"/>
      <c r="BA229" s="96"/>
      <c r="BB229" s="96"/>
      <c r="BC229" s="96"/>
      <c r="BD229" s="96">
        <v>0.0</v>
      </c>
      <c r="BE229" s="96">
        <v>0.0</v>
      </c>
      <c r="BF229" s="96">
        <v>0.0</v>
      </c>
      <c r="BG229" s="96" t="s">
        <v>377</v>
      </c>
      <c r="BH229" s="96">
        <v>0.0</v>
      </c>
      <c r="BI229" s="96" t="s">
        <v>377</v>
      </c>
      <c r="BJ229" s="96">
        <v>0.0</v>
      </c>
      <c r="BK229" s="472">
        <v>0.0</v>
      </c>
      <c r="BL229" s="472">
        <v>0.0</v>
      </c>
      <c r="BM229" s="472">
        <v>0.0</v>
      </c>
      <c r="BN229" s="472">
        <v>0.0</v>
      </c>
      <c r="BO229" s="472">
        <v>0.0</v>
      </c>
      <c r="BP229" s="472">
        <v>0.0</v>
      </c>
      <c r="BQ229" s="472">
        <v>0.0</v>
      </c>
      <c r="BR229" s="472">
        <v>0.0</v>
      </c>
      <c r="BS229" s="472">
        <v>0.0</v>
      </c>
      <c r="BT229" s="472">
        <v>0.0</v>
      </c>
      <c r="BU229" s="472">
        <v>0.0</v>
      </c>
      <c r="BV229" s="472">
        <v>0.0</v>
      </c>
      <c r="BW229" s="472">
        <v>0.0</v>
      </c>
      <c r="BX229" s="472">
        <v>0.0</v>
      </c>
      <c r="BY229" s="472">
        <v>0.0</v>
      </c>
      <c r="BZ229" s="472">
        <v>0.0</v>
      </c>
      <c r="CA229" s="474">
        <v>0.0</v>
      </c>
      <c r="CB229" s="474">
        <v>0.0</v>
      </c>
      <c r="CC229" s="474">
        <v>0.0</v>
      </c>
      <c r="CD229" s="474">
        <v>0.0</v>
      </c>
      <c r="CE229" s="474">
        <v>0.0</v>
      </c>
      <c r="CF229" s="474">
        <v>0.0</v>
      </c>
      <c r="CG229" s="474">
        <v>0.0</v>
      </c>
      <c r="CH229" s="65">
        <v>0.0</v>
      </c>
      <c r="CI229" s="65">
        <v>0.0</v>
      </c>
      <c r="CJ229" s="65">
        <v>0.0</v>
      </c>
      <c r="CK229" s="65">
        <v>0.0</v>
      </c>
      <c r="CL229" s="65">
        <v>0.0</v>
      </c>
      <c r="CM229" s="65">
        <v>0.0</v>
      </c>
      <c r="CN229" s="65">
        <v>0.0</v>
      </c>
    </row>
    <row r="230" ht="15.75" customHeight="1">
      <c r="A230" s="462" t="s">
        <v>2346</v>
      </c>
      <c r="B230" s="462" t="s">
        <v>1175</v>
      </c>
      <c r="C230" s="141">
        <v>254177.0</v>
      </c>
      <c r="D230" s="63" t="s">
        <v>120</v>
      </c>
      <c r="E230" s="63" t="s">
        <v>199</v>
      </c>
      <c r="F230" s="141" t="s">
        <v>290</v>
      </c>
      <c r="G230" s="47" t="str">
        <f t="shared" si="1"/>
        <v>Breno</v>
      </c>
      <c r="H230" s="142" t="s">
        <v>183</v>
      </c>
      <c r="I230" s="74" t="s">
        <v>66</v>
      </c>
      <c r="J230" s="63" t="str">
        <f t="shared" si="4"/>
        <v>Não</v>
      </c>
      <c r="K230" s="143">
        <v>43605.0</v>
      </c>
      <c r="L230" s="81"/>
      <c r="M230" s="81" t="s">
        <v>231</v>
      </c>
      <c r="N230" s="464">
        <v>0.02</v>
      </c>
      <c r="O230" s="141" t="s">
        <v>233</v>
      </c>
      <c r="P230" s="145">
        <v>0.2</v>
      </c>
      <c r="Q230" s="158"/>
      <c r="R230" s="153" t="s">
        <v>1177</v>
      </c>
      <c r="S230" s="62" t="s">
        <v>194</v>
      </c>
      <c r="T230" s="141" t="s">
        <v>1178</v>
      </c>
      <c r="U230" s="81" t="s">
        <v>199</v>
      </c>
      <c r="V230" s="49" t="str">
        <f t="shared" si="3"/>
        <v>Ativo</v>
      </c>
      <c r="W230" s="150"/>
      <c r="X230" s="150"/>
      <c r="Y230" s="30" t="s">
        <v>244</v>
      </c>
      <c r="Z230" s="81"/>
      <c r="AA230" s="467">
        <v>43605.0</v>
      </c>
      <c r="AB230" s="30">
        <v>4.9075100004196E13</v>
      </c>
      <c r="AC230" s="96">
        <v>203765.14</v>
      </c>
      <c r="AD230" s="96">
        <v>192733.61</v>
      </c>
      <c r="AE230" s="96">
        <v>145685.72</v>
      </c>
      <c r="AF230" s="96">
        <v>153669.94</v>
      </c>
      <c r="AG230" s="96">
        <v>159552.51</v>
      </c>
      <c r="AH230" s="96">
        <v>163838.57</v>
      </c>
      <c r="AI230" s="96">
        <v>172183.97</v>
      </c>
      <c r="AJ230" s="96">
        <v>165248.8</v>
      </c>
      <c r="AK230" s="96">
        <v>156115.8</v>
      </c>
      <c r="AL230" s="96">
        <v>153946.04</v>
      </c>
      <c r="AM230" s="96">
        <v>178139.42</v>
      </c>
      <c r="AN230" s="96">
        <v>184038.19</v>
      </c>
      <c r="AO230" s="96">
        <v>175324.16</v>
      </c>
      <c r="AP230" s="96">
        <v>165142.71</v>
      </c>
      <c r="AQ230" s="471">
        <v>160423.34</v>
      </c>
      <c r="AR230" s="471">
        <v>166492.01</v>
      </c>
      <c r="AS230" s="471">
        <v>174628.13</v>
      </c>
      <c r="AT230" s="471">
        <v>175723.48</v>
      </c>
      <c r="AU230" s="471">
        <v>182966.66</v>
      </c>
      <c r="AV230" s="96">
        <v>180110.66</v>
      </c>
      <c r="AW230" s="96">
        <v>174710.4</v>
      </c>
      <c r="AX230" s="96">
        <v>166243.91</v>
      </c>
      <c r="AY230" s="96">
        <v>158006.95</v>
      </c>
      <c r="AZ230" s="96">
        <v>148150.53</v>
      </c>
      <c r="BA230" s="96">
        <v>143319.45</v>
      </c>
      <c r="BB230" s="96">
        <v>144392.04</v>
      </c>
      <c r="BC230" s="96">
        <v>153401.58</v>
      </c>
      <c r="BD230" s="96">
        <v>154842.0</v>
      </c>
      <c r="BE230" s="96">
        <v>165131.6</v>
      </c>
      <c r="BF230" s="96">
        <v>156924.85</v>
      </c>
      <c r="BG230" s="472">
        <v>152941.35</v>
      </c>
      <c r="BH230" s="472">
        <v>145788.75</v>
      </c>
      <c r="BI230" s="472">
        <v>152908.88</v>
      </c>
      <c r="BJ230" s="472">
        <v>155011.96</v>
      </c>
      <c r="BK230" s="472">
        <v>156265.27</v>
      </c>
      <c r="BL230" s="472">
        <v>168059.85</v>
      </c>
      <c r="BM230" s="472">
        <v>164613.74</v>
      </c>
      <c r="BN230" s="472">
        <v>163642.63</v>
      </c>
      <c r="BO230" s="472">
        <v>168465.87</v>
      </c>
      <c r="BP230" s="472">
        <v>162301.56</v>
      </c>
      <c r="BQ230" s="472">
        <v>161392.31</v>
      </c>
      <c r="BR230" s="472">
        <v>157968.79</v>
      </c>
      <c r="BS230" s="472">
        <v>164898.02</v>
      </c>
      <c r="BT230" s="472">
        <v>177743.22</v>
      </c>
      <c r="BU230" s="472">
        <v>186346.03</v>
      </c>
      <c r="BV230" s="472">
        <v>184863.6</v>
      </c>
      <c r="BW230" s="472">
        <v>178398.64</v>
      </c>
      <c r="BX230" s="472">
        <v>169677.95</v>
      </c>
      <c r="BY230" s="472">
        <v>182559.83</v>
      </c>
      <c r="BZ230" s="472">
        <v>190649.46</v>
      </c>
      <c r="CA230" s="474">
        <v>177975.46</v>
      </c>
      <c r="CB230" s="474">
        <v>181682.01</v>
      </c>
      <c r="CC230" s="474">
        <v>183770.72</v>
      </c>
      <c r="CD230" s="474">
        <v>176450.28</v>
      </c>
      <c r="CE230" s="474">
        <v>118192.86</v>
      </c>
      <c r="CF230" s="474">
        <v>129604.77</v>
      </c>
      <c r="CG230" s="474">
        <v>117114.06</v>
      </c>
      <c r="CH230" s="65">
        <v>134773.57</v>
      </c>
      <c r="CI230" s="65">
        <v>132080.93</v>
      </c>
      <c r="CJ230" s="65">
        <v>126439.63</v>
      </c>
      <c r="CK230" s="65">
        <v>121309.43</v>
      </c>
      <c r="CL230" s="65">
        <v>111211.48</v>
      </c>
      <c r="CM230" s="65">
        <v>194089.22</v>
      </c>
      <c r="CN230" s="65">
        <v>157823.82</v>
      </c>
    </row>
    <row r="231" ht="15.75" customHeight="1">
      <c r="A231" s="462" t="s">
        <v>2346</v>
      </c>
      <c r="B231" s="176" t="s">
        <v>1175</v>
      </c>
      <c r="C231" s="141">
        <v>33371.0</v>
      </c>
      <c r="D231" s="63" t="s">
        <v>120</v>
      </c>
      <c r="E231" s="63" t="s">
        <v>199</v>
      </c>
      <c r="F231" s="141" t="s">
        <v>290</v>
      </c>
      <c r="G231" s="47" t="str">
        <f t="shared" si="1"/>
        <v>Bruno</v>
      </c>
      <c r="H231" s="142" t="s">
        <v>183</v>
      </c>
      <c r="I231" s="74" t="s">
        <v>66</v>
      </c>
      <c r="J231" s="63" t="str">
        <f t="shared" si="4"/>
        <v>Não</v>
      </c>
      <c r="K231" s="143">
        <v>45225.0</v>
      </c>
      <c r="L231" s="81"/>
      <c r="M231" s="66" t="s">
        <v>34</v>
      </c>
      <c r="N231" s="144">
        <v>0.012</v>
      </c>
      <c r="O231" s="81" t="s">
        <v>35</v>
      </c>
      <c r="P231" s="145">
        <v>0.1</v>
      </c>
      <c r="Q231" s="158"/>
      <c r="R231" s="153" t="s">
        <v>1183</v>
      </c>
      <c r="S231" s="62" t="s">
        <v>194</v>
      </c>
      <c r="T231" s="22" t="s">
        <v>1178</v>
      </c>
      <c r="U231" s="30" t="s">
        <v>199</v>
      </c>
      <c r="V231" s="49" t="str">
        <f t="shared" si="3"/>
        <v>Ativo</v>
      </c>
      <c r="W231" s="150"/>
      <c r="X231" s="150"/>
      <c r="Y231" s="30" t="s">
        <v>244</v>
      </c>
      <c r="Z231" s="81"/>
      <c r="AA231" s="467">
        <v>45225.0</v>
      </c>
      <c r="AB231" s="30">
        <v>4.9075100013101E13</v>
      </c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471"/>
      <c r="AR231" s="471"/>
      <c r="AS231" s="471"/>
      <c r="AT231" s="471"/>
      <c r="AU231" s="471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472"/>
      <c r="BH231" s="472"/>
      <c r="BI231" s="472"/>
      <c r="BJ231" s="472"/>
      <c r="BK231" s="472"/>
      <c r="BL231" s="472"/>
      <c r="BM231" s="472"/>
      <c r="BN231" s="472"/>
      <c r="BO231" s="472"/>
      <c r="BP231" s="472"/>
      <c r="BQ231" s="472"/>
      <c r="BR231" s="472"/>
      <c r="BS231" s="472"/>
      <c r="BT231" s="472"/>
      <c r="BU231" s="472"/>
      <c r="BV231" s="472"/>
      <c r="BW231" s="472"/>
      <c r="BX231" s="472">
        <v>561679.95</v>
      </c>
      <c r="BY231" s="472">
        <v>287547.74</v>
      </c>
      <c r="BZ231" s="472">
        <v>570999.74</v>
      </c>
      <c r="CA231" s="474">
        <v>570094.06</v>
      </c>
      <c r="CB231" s="474">
        <v>574940.09</v>
      </c>
      <c r="CC231" s="474">
        <v>528997.98</v>
      </c>
      <c r="CD231" s="474">
        <v>570534.86</v>
      </c>
      <c r="CE231" s="474">
        <v>314555.3</v>
      </c>
      <c r="CF231" s="474">
        <v>316733.99</v>
      </c>
      <c r="CG231" s="474">
        <v>315502.85</v>
      </c>
      <c r="CH231" s="65">
        <v>315620.38</v>
      </c>
      <c r="CI231" s="65">
        <v>323048.89</v>
      </c>
      <c r="CJ231" s="65">
        <v>323953.02</v>
      </c>
      <c r="CK231" s="65">
        <v>324499.91</v>
      </c>
      <c r="CL231" s="65">
        <v>253898.19</v>
      </c>
      <c r="CM231" s="65">
        <v>256500.07</v>
      </c>
      <c r="CN231" s="65">
        <v>246568.03</v>
      </c>
    </row>
    <row r="232" ht="15.75" customHeight="1">
      <c r="A232" s="462" t="s">
        <v>2346</v>
      </c>
      <c r="B232" s="462" t="s">
        <v>1188</v>
      </c>
      <c r="C232" s="141">
        <v>439655.0</v>
      </c>
      <c r="D232" s="63" t="s">
        <v>120</v>
      </c>
      <c r="E232" s="63" t="s">
        <v>199</v>
      </c>
      <c r="F232" s="141" t="s">
        <v>290</v>
      </c>
      <c r="G232" s="47" t="str">
        <f t="shared" si="1"/>
        <v>Bruno</v>
      </c>
      <c r="H232" s="142" t="s">
        <v>183</v>
      </c>
      <c r="I232" s="74" t="s">
        <v>66</v>
      </c>
      <c r="J232" s="63" t="str">
        <f t="shared" si="4"/>
        <v>Não</v>
      </c>
      <c r="K232" s="143">
        <v>43881.0</v>
      </c>
      <c r="L232" s="81"/>
      <c r="M232" s="81" t="s">
        <v>209</v>
      </c>
      <c r="N232" s="478">
        <v>0.015</v>
      </c>
      <c r="O232" s="141" t="s">
        <v>66</v>
      </c>
      <c r="P232" s="145">
        <v>0.0</v>
      </c>
      <c r="Q232" s="158"/>
      <c r="R232" s="153" t="s">
        <v>1189</v>
      </c>
      <c r="S232" s="62" t="s">
        <v>194</v>
      </c>
      <c r="T232" s="141" t="s">
        <v>1190</v>
      </c>
      <c r="U232" s="81" t="s">
        <v>199</v>
      </c>
      <c r="V232" s="49" t="str">
        <f t="shared" si="3"/>
        <v>Ativo</v>
      </c>
      <c r="W232" s="150"/>
      <c r="X232" s="150"/>
      <c r="Y232" s="30" t="s">
        <v>269</v>
      </c>
      <c r="Z232" s="81"/>
      <c r="AA232" s="467">
        <v>43881.0</v>
      </c>
      <c r="AB232" s="30">
        <v>4.9075100004201E13</v>
      </c>
      <c r="AC232" s="96">
        <v>35996.61</v>
      </c>
      <c r="AD232" s="96">
        <v>637367.5</v>
      </c>
      <c r="AE232" s="96">
        <v>706911.97</v>
      </c>
      <c r="AF232" s="96">
        <v>737631.37</v>
      </c>
      <c r="AG232" s="96">
        <v>794356.68</v>
      </c>
      <c r="AH232" s="96">
        <v>824053.74</v>
      </c>
      <c r="AI232" s="96">
        <v>906547.85</v>
      </c>
      <c r="AJ232" s="96">
        <v>934944.02</v>
      </c>
      <c r="AK232" s="96">
        <v>915819.44</v>
      </c>
      <c r="AL232" s="96">
        <v>934412.95</v>
      </c>
      <c r="AM232" s="96">
        <v>986975.31</v>
      </c>
      <c r="AN232" s="96">
        <v>1007606.02</v>
      </c>
      <c r="AO232" s="96">
        <v>988796.16</v>
      </c>
      <c r="AP232" s="96">
        <v>968151.58</v>
      </c>
      <c r="AQ232" s="471">
        <v>962904.67</v>
      </c>
      <c r="AR232" s="471">
        <v>1029120.99</v>
      </c>
      <c r="AS232" s="471">
        <v>1047498.45</v>
      </c>
      <c r="AT232" s="471">
        <v>1048674.01</v>
      </c>
      <c r="AU232" s="471">
        <v>1068859.94</v>
      </c>
      <c r="AV232" s="96">
        <v>1061972.65</v>
      </c>
      <c r="AW232" s="96">
        <v>1051591.66</v>
      </c>
      <c r="AX232" s="96">
        <v>1032584.63</v>
      </c>
      <c r="AY232" s="96">
        <v>1018022.38</v>
      </c>
      <c r="AZ232" s="96">
        <v>995888.09</v>
      </c>
      <c r="BA232" s="96">
        <v>987090.24</v>
      </c>
      <c r="BB232" s="96">
        <v>989810.62</v>
      </c>
      <c r="BC232" s="96">
        <v>1012402.22</v>
      </c>
      <c r="BD232" s="96">
        <v>1020342.07</v>
      </c>
      <c r="BE232" s="96">
        <v>1059152.19</v>
      </c>
      <c r="BF232" s="96">
        <v>1042327.67</v>
      </c>
      <c r="BG232" s="472">
        <v>1037559.99</v>
      </c>
      <c r="BH232" s="472">
        <v>1029470.23</v>
      </c>
      <c r="BI232" s="472">
        <v>1050850.18</v>
      </c>
      <c r="BJ232" s="472">
        <v>1061130.02</v>
      </c>
      <c r="BK232" s="472">
        <v>1072117.7</v>
      </c>
      <c r="BL232" s="472">
        <v>1109390.31</v>
      </c>
      <c r="BM232" s="472">
        <v>1104151.92</v>
      </c>
      <c r="BN232" s="472">
        <v>1112737.59</v>
      </c>
      <c r="BO232" s="472">
        <v>1122721.24</v>
      </c>
      <c r="BP232" s="472">
        <v>1126869.85</v>
      </c>
      <c r="BQ232" s="472">
        <v>1133214.23</v>
      </c>
      <c r="BR232" s="472">
        <v>1135594.12</v>
      </c>
      <c r="BS232" s="472">
        <v>1164143.34</v>
      </c>
      <c r="BT232" s="472">
        <v>1186172.57</v>
      </c>
      <c r="BU232" s="472">
        <v>1191694.3</v>
      </c>
      <c r="BV232" s="472">
        <v>1198331.98</v>
      </c>
      <c r="BW232" s="472">
        <v>1190355.56</v>
      </c>
      <c r="BX232" s="472">
        <v>1197041.15</v>
      </c>
      <c r="BY232" s="472">
        <v>1191572.61</v>
      </c>
      <c r="BZ232" s="472">
        <v>1240892.4</v>
      </c>
      <c r="CA232" s="474">
        <v>1225339.05</v>
      </c>
      <c r="CB232" s="474">
        <v>1237772.7</v>
      </c>
      <c r="CC232" s="474">
        <v>1194341.9</v>
      </c>
      <c r="CD232" s="474">
        <v>1226959.89</v>
      </c>
      <c r="CE232" s="474">
        <v>1190459.46</v>
      </c>
      <c r="CF232" s="474">
        <v>1228840.17</v>
      </c>
      <c r="CG232" s="474">
        <v>1202718.26</v>
      </c>
      <c r="CH232" s="65">
        <v>1256643.95</v>
      </c>
      <c r="CI232" s="65">
        <v>1257724.9</v>
      </c>
      <c r="CJ232" s="65">
        <v>1246949.31</v>
      </c>
      <c r="CK232" s="65">
        <v>1235195.96</v>
      </c>
      <c r="CL232" s="65">
        <v>1232337.68</v>
      </c>
      <c r="CM232" s="65">
        <v>1245071.8</v>
      </c>
      <c r="CN232" s="65">
        <v>775306.13</v>
      </c>
    </row>
    <row r="233" ht="15.75" customHeight="1">
      <c r="A233" s="462" t="s">
        <v>2346</v>
      </c>
      <c r="B233" s="462" t="s">
        <v>6248</v>
      </c>
      <c r="C233" s="141">
        <v>33344.0</v>
      </c>
      <c r="D233" s="63" t="s">
        <v>120</v>
      </c>
      <c r="E233" s="63" t="s">
        <v>91</v>
      </c>
      <c r="F233" s="63" t="s">
        <v>884</v>
      </c>
      <c r="G233" s="47" t="str">
        <f t="shared" si="1"/>
        <v>Breno</v>
      </c>
      <c r="H233" s="142" t="s">
        <v>295</v>
      </c>
      <c r="I233" s="49" t="s">
        <v>382</v>
      </c>
      <c r="J233" s="63" t="str">
        <f t="shared" si="4"/>
        <v>Não</v>
      </c>
      <c r="K233" s="143">
        <v>44680.0</v>
      </c>
      <c r="L233" s="81"/>
      <c r="M233" s="81" t="s">
        <v>61</v>
      </c>
      <c r="N233" s="478">
        <v>0.007</v>
      </c>
      <c r="O233" s="141" t="s">
        <v>66</v>
      </c>
      <c r="P233" s="145">
        <v>0.0</v>
      </c>
      <c r="Q233" s="368"/>
      <c r="R233" s="158"/>
      <c r="S233" s="62" t="s">
        <v>194</v>
      </c>
      <c r="T233" s="141" t="s">
        <v>6250</v>
      </c>
      <c r="U233" s="95" t="s">
        <v>475</v>
      </c>
      <c r="V233" s="49" t="str">
        <f t="shared" si="3"/>
        <v>Inativo</v>
      </c>
      <c r="W233" s="150"/>
      <c r="X233" s="150"/>
      <c r="Y233" s="30" t="s">
        <v>244</v>
      </c>
      <c r="Z233" s="81"/>
      <c r="AA233" s="467">
        <v>44680.0</v>
      </c>
      <c r="AB233" s="30">
        <v>4.9075100010757E13</v>
      </c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471"/>
      <c r="AR233" s="471"/>
      <c r="AS233" s="471"/>
      <c r="AT233" s="471"/>
      <c r="AU233" s="471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>
        <v>603875.74</v>
      </c>
      <c r="BG233" s="472">
        <v>907054.03</v>
      </c>
      <c r="BH233" s="472">
        <v>914940.78</v>
      </c>
      <c r="BI233" s="472">
        <v>921073.64</v>
      </c>
      <c r="BJ233" s="472">
        <v>926017.19</v>
      </c>
      <c r="BK233" s="472">
        <v>932352.24</v>
      </c>
      <c r="BL233" s="472">
        <v>938377.17</v>
      </c>
      <c r="BM233" s="472">
        <v>945738.82</v>
      </c>
      <c r="BN233" s="472">
        <v>953052.75</v>
      </c>
      <c r="BO233" s="472">
        <v>962019.26</v>
      </c>
      <c r="BP233" s="472">
        <v>968996.7</v>
      </c>
      <c r="BQ233" s="472">
        <v>978786.52</v>
      </c>
      <c r="BR233" s="472">
        <v>516741.16</v>
      </c>
      <c r="BS233" s="472">
        <v>4.57</v>
      </c>
      <c r="BT233" s="472">
        <v>0.0</v>
      </c>
      <c r="BU233" s="472">
        <v>0.0</v>
      </c>
      <c r="BV233" s="472">
        <v>0.0</v>
      </c>
      <c r="BW233" s="472">
        <v>0.0</v>
      </c>
      <c r="BX233" s="472">
        <v>0.0</v>
      </c>
      <c r="BY233" s="472">
        <v>0.0</v>
      </c>
      <c r="BZ233" s="472">
        <v>0.0</v>
      </c>
      <c r="CA233" s="474">
        <v>0.0</v>
      </c>
      <c r="CB233" s="474">
        <v>0.0</v>
      </c>
      <c r="CC233" s="474">
        <v>0.0</v>
      </c>
      <c r="CD233" s="474">
        <v>0.0</v>
      </c>
      <c r="CE233" s="474">
        <v>0.0</v>
      </c>
      <c r="CF233" s="474">
        <v>0.0</v>
      </c>
      <c r="CG233" s="474">
        <v>0.0</v>
      </c>
      <c r="CH233" s="65">
        <v>0.0</v>
      </c>
      <c r="CI233" s="65">
        <v>0.0</v>
      </c>
      <c r="CJ233" s="65">
        <v>0.0</v>
      </c>
      <c r="CK233" s="65">
        <v>0.0</v>
      </c>
      <c r="CL233" s="65">
        <v>0.0</v>
      </c>
      <c r="CM233" s="65">
        <v>0.0</v>
      </c>
      <c r="CN233" s="65">
        <v>0.0</v>
      </c>
    </row>
    <row r="234" ht="15.75" customHeight="1">
      <c r="A234" s="462" t="s">
        <v>2346</v>
      </c>
      <c r="B234" s="176" t="s">
        <v>6248</v>
      </c>
      <c r="C234" s="141">
        <v>560930.0</v>
      </c>
      <c r="D234" s="63" t="s">
        <v>120</v>
      </c>
      <c r="E234" s="63" t="s">
        <v>91</v>
      </c>
      <c r="F234" s="81" t="s">
        <v>884</v>
      </c>
      <c r="G234" s="47" t="str">
        <f t="shared" si="1"/>
        <v>Breno</v>
      </c>
      <c r="H234" s="152" t="s">
        <v>224</v>
      </c>
      <c r="I234" s="74" t="s">
        <v>66</v>
      </c>
      <c r="J234" s="63" t="str">
        <f t="shared" si="4"/>
        <v>Não</v>
      </c>
      <c r="K234" s="194">
        <v>44628.0</v>
      </c>
      <c r="L234" s="194">
        <v>44638.0</v>
      </c>
      <c r="M234" s="81" t="s">
        <v>61</v>
      </c>
      <c r="N234" s="478">
        <v>0.007</v>
      </c>
      <c r="O234" s="141" t="s">
        <v>66</v>
      </c>
      <c r="P234" s="145">
        <v>0.0</v>
      </c>
      <c r="Q234" s="70"/>
      <c r="R234" s="70"/>
      <c r="S234" s="62" t="s">
        <v>194</v>
      </c>
      <c r="T234" s="22" t="s">
        <v>6250</v>
      </c>
      <c r="U234" s="95" t="s">
        <v>475</v>
      </c>
      <c r="V234" s="49" t="str">
        <f t="shared" si="3"/>
        <v>Encerrado</v>
      </c>
      <c r="W234" s="150"/>
      <c r="X234" s="150"/>
      <c r="Y234" s="30" t="s">
        <v>244</v>
      </c>
      <c r="Z234" s="81"/>
      <c r="AA234" s="81"/>
      <c r="AB234" s="30"/>
      <c r="AC234" s="476"/>
      <c r="AD234" s="476"/>
      <c r="AE234" s="476"/>
      <c r="AF234" s="476"/>
      <c r="AG234" s="476"/>
      <c r="AH234" s="476"/>
      <c r="AI234" s="476"/>
      <c r="AJ234" s="476"/>
      <c r="AK234" s="476"/>
      <c r="AL234" s="476"/>
      <c r="AM234" s="476"/>
      <c r="AN234" s="476"/>
      <c r="AO234" s="476"/>
      <c r="AP234" s="476"/>
      <c r="AQ234" s="96"/>
      <c r="AR234" s="96"/>
      <c r="AS234" s="96"/>
      <c r="AT234" s="96"/>
      <c r="AU234" s="476"/>
      <c r="AV234" s="96"/>
      <c r="AW234" s="96"/>
      <c r="AX234" s="96"/>
      <c r="AY234" s="96"/>
      <c r="AZ234" s="96"/>
      <c r="BA234" s="96"/>
      <c r="BB234" s="96"/>
      <c r="BC234" s="96"/>
      <c r="BD234" s="96"/>
      <c r="BE234" s="96">
        <v>352755.15</v>
      </c>
      <c r="BF234" s="96">
        <v>356409.65</v>
      </c>
      <c r="BG234" s="505" t="s">
        <v>377</v>
      </c>
      <c r="BH234" s="96">
        <v>0.0</v>
      </c>
      <c r="BI234" s="96" t="s">
        <v>377</v>
      </c>
      <c r="BJ234" s="96">
        <v>0.0</v>
      </c>
      <c r="BK234" s="472">
        <v>0.0</v>
      </c>
      <c r="BL234" s="472">
        <v>0.0</v>
      </c>
      <c r="BM234" s="472">
        <v>0.0</v>
      </c>
      <c r="BN234" s="472">
        <v>0.0</v>
      </c>
      <c r="BO234" s="472">
        <v>0.0</v>
      </c>
      <c r="BP234" s="472">
        <v>0.0</v>
      </c>
      <c r="BQ234" s="472">
        <v>76427.95</v>
      </c>
      <c r="BR234" s="472">
        <v>0.0</v>
      </c>
      <c r="BS234" s="472">
        <v>0.0</v>
      </c>
      <c r="BT234" s="472">
        <v>0.0</v>
      </c>
      <c r="BU234" s="472">
        <v>0.0</v>
      </c>
      <c r="BV234" s="472">
        <v>0.0</v>
      </c>
      <c r="BW234" s="472">
        <v>0.0</v>
      </c>
      <c r="BX234" s="472">
        <v>0.0</v>
      </c>
      <c r="BY234" s="472">
        <v>0.0</v>
      </c>
      <c r="BZ234" s="472">
        <v>0.0</v>
      </c>
      <c r="CA234" s="474">
        <v>0.0</v>
      </c>
      <c r="CB234" s="474">
        <v>0.0</v>
      </c>
      <c r="CC234" s="474">
        <v>0.0</v>
      </c>
      <c r="CD234" s="474">
        <v>0.0</v>
      </c>
      <c r="CE234" s="474">
        <v>0.0</v>
      </c>
      <c r="CF234" s="474">
        <v>0.0</v>
      </c>
      <c r="CG234" s="474">
        <v>0.0</v>
      </c>
      <c r="CH234" s="65">
        <v>0.0</v>
      </c>
      <c r="CI234" s="65">
        <v>0.0</v>
      </c>
      <c r="CJ234" s="65">
        <v>0.0</v>
      </c>
      <c r="CK234" s="65">
        <v>0.0</v>
      </c>
      <c r="CL234" s="65">
        <v>0.0</v>
      </c>
      <c r="CM234" s="65">
        <v>0.0</v>
      </c>
      <c r="CN234" s="65">
        <v>0.0</v>
      </c>
    </row>
    <row r="235" ht="15.75" customHeight="1">
      <c r="A235" s="462" t="s">
        <v>2346</v>
      </c>
      <c r="B235" s="50" t="s">
        <v>6260</v>
      </c>
      <c r="C235" s="141">
        <v>47841.0</v>
      </c>
      <c r="D235" s="63" t="s">
        <v>120</v>
      </c>
      <c r="E235" s="63" t="s">
        <v>91</v>
      </c>
      <c r="F235" s="81" t="s">
        <v>521</v>
      </c>
      <c r="G235" s="47" t="str">
        <f t="shared" si="1"/>
        <v>Breno</v>
      </c>
      <c r="H235" s="152" t="s">
        <v>295</v>
      </c>
      <c r="I235" s="49" t="s">
        <v>382</v>
      </c>
      <c r="J235" s="63" t="str">
        <f t="shared" si="4"/>
        <v>Não</v>
      </c>
      <c r="K235" s="194">
        <v>44357.0</v>
      </c>
      <c r="L235" s="81"/>
      <c r="M235" s="81" t="s">
        <v>209</v>
      </c>
      <c r="N235" s="478">
        <v>0.015</v>
      </c>
      <c r="O235" s="63" t="s">
        <v>35</v>
      </c>
      <c r="P235" s="145">
        <v>0.1</v>
      </c>
      <c r="Q235" s="70"/>
      <c r="R235" s="70"/>
      <c r="S235" s="62" t="s">
        <v>194</v>
      </c>
      <c r="T235" s="22" t="s">
        <v>6266</v>
      </c>
      <c r="U235" s="95" t="s">
        <v>221</v>
      </c>
      <c r="V235" s="49" t="str">
        <f t="shared" si="3"/>
        <v>Inativo</v>
      </c>
      <c r="W235" s="150"/>
      <c r="X235" s="150"/>
      <c r="Y235" s="30" t="s">
        <v>244</v>
      </c>
      <c r="Z235" s="81"/>
      <c r="AA235" s="467">
        <v>44357.0</v>
      </c>
      <c r="AB235" s="30">
        <v>4.9075100009171E13</v>
      </c>
      <c r="AC235" s="476"/>
      <c r="AD235" s="476"/>
      <c r="AE235" s="476"/>
      <c r="AF235" s="476"/>
      <c r="AG235" s="476"/>
      <c r="AH235" s="476"/>
      <c r="AI235" s="476"/>
      <c r="AJ235" s="476"/>
      <c r="AK235" s="476"/>
      <c r="AL235" s="476"/>
      <c r="AM235" s="476"/>
      <c r="AN235" s="476"/>
      <c r="AO235" s="476"/>
      <c r="AP235" s="476"/>
      <c r="AQ235" s="471"/>
      <c r="AR235" s="471"/>
      <c r="AS235" s="471"/>
      <c r="AT235" s="471"/>
      <c r="AU235" s="476"/>
      <c r="AV235" s="96">
        <v>161782.08</v>
      </c>
      <c r="AW235" s="96">
        <v>159098.44</v>
      </c>
      <c r="AX235" s="96">
        <v>154354.4</v>
      </c>
      <c r="AY235" s="96">
        <v>151041.18</v>
      </c>
      <c r="AZ235" s="96">
        <v>146798.55</v>
      </c>
      <c r="BA235" s="96">
        <v>156423.26</v>
      </c>
      <c r="BB235" s="96">
        <v>157930.29</v>
      </c>
      <c r="BC235" s="96">
        <v>163050.13</v>
      </c>
      <c r="BD235" s="96">
        <v>166293.9</v>
      </c>
      <c r="BE235" s="96">
        <v>171592.71</v>
      </c>
      <c r="BF235" s="96">
        <v>168524.85</v>
      </c>
      <c r="BG235" s="472">
        <v>167612.01</v>
      </c>
      <c r="BH235" s="472">
        <v>166295.35</v>
      </c>
      <c r="BI235" s="472">
        <v>168874.32</v>
      </c>
      <c r="BJ235" s="472">
        <v>170748.59</v>
      </c>
      <c r="BK235" s="472">
        <v>172575.62</v>
      </c>
      <c r="BL235" s="472">
        <v>177916.81</v>
      </c>
      <c r="BM235" s="472">
        <v>176869.83</v>
      </c>
      <c r="BN235" s="472">
        <v>178466.71</v>
      </c>
      <c r="BO235" s="472">
        <v>249011.09</v>
      </c>
      <c r="BP235" s="472">
        <v>250626.75</v>
      </c>
      <c r="BQ235" s="472">
        <v>253575.13</v>
      </c>
      <c r="BR235" s="472">
        <v>255376.26</v>
      </c>
      <c r="BS235" s="472">
        <v>258062.92</v>
      </c>
      <c r="BT235" s="472">
        <v>260901.8</v>
      </c>
      <c r="BU235" s="472">
        <v>262177.67</v>
      </c>
      <c r="BV235" s="472">
        <v>265755.62</v>
      </c>
      <c r="BW235" s="472">
        <v>266411.35</v>
      </c>
      <c r="BX235" s="472">
        <v>230.6</v>
      </c>
      <c r="BY235" s="472">
        <v>9.71</v>
      </c>
      <c r="BZ235" s="472">
        <v>0.0</v>
      </c>
      <c r="CA235" s="474">
        <v>0.0</v>
      </c>
      <c r="CB235" s="474">
        <v>0.0</v>
      </c>
      <c r="CC235" s="474">
        <v>0.0</v>
      </c>
      <c r="CD235" s="474">
        <v>0.0</v>
      </c>
      <c r="CE235" s="474">
        <v>0.0</v>
      </c>
      <c r="CF235" s="474">
        <v>0.0</v>
      </c>
      <c r="CG235" s="474">
        <v>0.0</v>
      </c>
      <c r="CH235" s="65">
        <v>0.0</v>
      </c>
      <c r="CI235" s="65">
        <v>0.0</v>
      </c>
      <c r="CJ235" s="65">
        <v>0.0</v>
      </c>
      <c r="CK235" s="65">
        <v>0.0</v>
      </c>
      <c r="CL235" s="65">
        <v>0.0</v>
      </c>
      <c r="CM235" s="65">
        <v>0.0</v>
      </c>
      <c r="CN235" s="65">
        <v>0.0</v>
      </c>
    </row>
    <row r="236" ht="15.75" customHeight="1">
      <c r="A236" s="462" t="s">
        <v>2346</v>
      </c>
      <c r="B236" s="462" t="s">
        <v>1194</v>
      </c>
      <c r="C236" s="141">
        <v>451710.0</v>
      </c>
      <c r="D236" s="63" t="s">
        <v>1096</v>
      </c>
      <c r="E236" s="63" t="s">
        <v>199</v>
      </c>
      <c r="F236" s="63" t="s">
        <v>1096</v>
      </c>
      <c r="G236" s="47" t="str">
        <f t="shared" si="1"/>
        <v>Breno</v>
      </c>
      <c r="H236" s="152" t="s">
        <v>295</v>
      </c>
      <c r="I236" s="49" t="s">
        <v>694</v>
      </c>
      <c r="J236" s="63" t="str">
        <f t="shared" si="4"/>
        <v>Não</v>
      </c>
      <c r="K236" s="143">
        <v>43944.0</v>
      </c>
      <c r="L236" s="81"/>
      <c r="M236" s="81" t="s">
        <v>231</v>
      </c>
      <c r="N236" s="478">
        <v>0.025</v>
      </c>
      <c r="O236" s="141" t="s">
        <v>233</v>
      </c>
      <c r="P236" s="145">
        <v>0.2</v>
      </c>
      <c r="Q236" s="158"/>
      <c r="R236" s="158"/>
      <c r="S236" s="62" t="s">
        <v>194</v>
      </c>
      <c r="T236" s="141" t="s">
        <v>1200</v>
      </c>
      <c r="U236" s="81" t="s">
        <v>199</v>
      </c>
      <c r="V236" s="49" t="str">
        <f t="shared" si="3"/>
        <v>Ativo</v>
      </c>
      <c r="W236" s="150"/>
      <c r="X236" s="150"/>
      <c r="Y236" s="30" t="s">
        <v>244</v>
      </c>
      <c r="Z236" s="81"/>
      <c r="AA236" s="467">
        <v>43944.0</v>
      </c>
      <c r="AB236" s="30">
        <v>4.9075100004234E13</v>
      </c>
      <c r="AC236" s="96">
        <v>0.0</v>
      </c>
      <c r="AD236" s="96">
        <v>0.0</v>
      </c>
      <c r="AE236" s="96">
        <v>0.0</v>
      </c>
      <c r="AF236" s="96">
        <v>185447.07</v>
      </c>
      <c r="AG236" s="96">
        <v>193182.73</v>
      </c>
      <c r="AH236" s="96">
        <v>202096.52</v>
      </c>
      <c r="AI236" s="96">
        <v>210272.13</v>
      </c>
      <c r="AJ236" s="96">
        <v>198919.42</v>
      </c>
      <c r="AK236" s="96">
        <v>189756.16</v>
      </c>
      <c r="AL236" s="96">
        <v>189627.21</v>
      </c>
      <c r="AM236" s="96">
        <v>222915.18</v>
      </c>
      <c r="AN236" s="96">
        <v>232290.54</v>
      </c>
      <c r="AO236" s="96">
        <v>222639.39</v>
      </c>
      <c r="AP236" s="96">
        <v>210747.47</v>
      </c>
      <c r="AQ236" s="471">
        <v>203264.86</v>
      </c>
      <c r="AR236" s="471">
        <v>220188.55</v>
      </c>
      <c r="AS236" s="471">
        <v>221562.68</v>
      </c>
      <c r="AT236" s="471">
        <v>222381.75</v>
      </c>
      <c r="AU236" s="471">
        <v>232587.48</v>
      </c>
      <c r="AV236" s="96">
        <v>228486.51</v>
      </c>
      <c r="AW236" s="96">
        <v>221221.47</v>
      </c>
      <c r="AX236" s="96">
        <v>211579.41</v>
      </c>
      <c r="AY236" s="96">
        <v>201165.32</v>
      </c>
      <c r="AZ236" s="96">
        <v>189214.95</v>
      </c>
      <c r="BA236" s="96">
        <v>184019.43</v>
      </c>
      <c r="BB236" s="96">
        <v>183815.13</v>
      </c>
      <c r="BC236" s="96">
        <v>192454.65</v>
      </c>
      <c r="BD236" s="96">
        <v>195092.59</v>
      </c>
      <c r="BE236" s="96">
        <v>209402.86</v>
      </c>
      <c r="BF236" s="96">
        <v>198900.47</v>
      </c>
      <c r="BG236" s="472">
        <v>193733.11</v>
      </c>
      <c r="BH236" s="472">
        <v>184563.05</v>
      </c>
      <c r="BI236" s="472">
        <v>193534.5</v>
      </c>
      <c r="BJ236" s="472">
        <v>196547.84</v>
      </c>
      <c r="BK236" s="472">
        <v>198040.69</v>
      </c>
      <c r="BL236" s="472">
        <v>192562.54</v>
      </c>
      <c r="BM236" s="472">
        <v>188633.41</v>
      </c>
      <c r="BN236" s="472">
        <v>187405.83</v>
      </c>
      <c r="BO236" s="472">
        <v>193215.84</v>
      </c>
      <c r="BP236" s="472">
        <v>186000.51</v>
      </c>
      <c r="BQ236" s="472">
        <v>184720.42</v>
      </c>
      <c r="BR236" s="472">
        <v>180586.12</v>
      </c>
      <c r="BS236" s="472">
        <v>188603.17</v>
      </c>
      <c r="BT236" s="472">
        <v>203532.49</v>
      </c>
      <c r="BU236" s="472">
        <v>213639.11</v>
      </c>
      <c r="BV236" s="472">
        <v>211428.77</v>
      </c>
      <c r="BW236" s="472">
        <v>204011.14</v>
      </c>
      <c r="BX236" s="472">
        <v>193392.91</v>
      </c>
      <c r="BY236" s="472">
        <v>208559.82</v>
      </c>
      <c r="BZ236" s="472">
        <v>217659.36</v>
      </c>
      <c r="CA236" s="474">
        <v>203153.28</v>
      </c>
      <c r="CB236" s="474">
        <v>207419.86</v>
      </c>
      <c r="CC236" s="474">
        <v>209427.71</v>
      </c>
      <c r="CD236" s="474">
        <v>172079.64</v>
      </c>
      <c r="CE236" s="474">
        <v>152502.46</v>
      </c>
      <c r="CF236" s="474">
        <v>196563.28</v>
      </c>
      <c r="CG236" s="474">
        <v>191033.25</v>
      </c>
      <c r="CH236" s="65">
        <v>204379.93</v>
      </c>
      <c r="CI236" s="65">
        <v>200161.6</v>
      </c>
      <c r="CJ236" s="65">
        <v>192073.13</v>
      </c>
      <c r="CK236" s="65">
        <v>184324.09</v>
      </c>
      <c r="CL236" s="65">
        <v>164044.91</v>
      </c>
      <c r="CM236" s="65">
        <v>171135.97</v>
      </c>
      <c r="CN236" s="65">
        <v>167051.73</v>
      </c>
    </row>
    <row r="237" ht="15.75" customHeight="1">
      <c r="A237" s="462" t="s">
        <v>2346</v>
      </c>
      <c r="B237" s="50" t="s">
        <v>6282</v>
      </c>
      <c r="C237" s="141">
        <v>465277.0</v>
      </c>
      <c r="D237" s="63" t="s">
        <v>120</v>
      </c>
      <c r="E237" s="63" t="s">
        <v>91</v>
      </c>
      <c r="F237" s="95" t="s">
        <v>699</v>
      </c>
      <c r="G237" s="47" t="str">
        <f t="shared" si="1"/>
        <v>Breno</v>
      </c>
      <c r="H237" s="152" t="s">
        <v>224</v>
      </c>
      <c r="I237" s="74" t="s">
        <v>66</v>
      </c>
      <c r="J237" s="63" t="str">
        <f t="shared" si="4"/>
        <v>Não</v>
      </c>
      <c r="K237" s="578">
        <v>44559.0</v>
      </c>
      <c r="L237" s="194">
        <v>44777.0</v>
      </c>
      <c r="M237" s="81" t="s">
        <v>61</v>
      </c>
      <c r="N237" s="478">
        <v>0.007</v>
      </c>
      <c r="O237" s="141" t="s">
        <v>66</v>
      </c>
      <c r="P237" s="145">
        <v>0.0</v>
      </c>
      <c r="Q237" s="70"/>
      <c r="R237" s="70"/>
      <c r="S237" s="62" t="s">
        <v>194</v>
      </c>
      <c r="T237" s="22" t="s">
        <v>6286</v>
      </c>
      <c r="U237" s="95" t="s">
        <v>221</v>
      </c>
      <c r="V237" s="49" t="str">
        <f t="shared" si="3"/>
        <v>Encerrado</v>
      </c>
      <c r="W237" s="150"/>
      <c r="X237" s="150"/>
      <c r="Y237" s="30" t="s">
        <v>244</v>
      </c>
      <c r="Z237" s="81"/>
      <c r="AA237" s="81"/>
      <c r="AB237" s="30"/>
      <c r="AC237" s="379"/>
      <c r="AD237" s="379"/>
      <c r="AE237" s="379"/>
      <c r="AF237" s="379"/>
      <c r="AG237" s="379"/>
      <c r="AH237" s="379"/>
      <c r="AI237" s="379"/>
      <c r="AJ237" s="379"/>
      <c r="AK237" s="379"/>
      <c r="AL237" s="379"/>
      <c r="AM237" s="379"/>
      <c r="AN237" s="96"/>
      <c r="AO237" s="96"/>
      <c r="AP237" s="471"/>
      <c r="AQ237" s="471"/>
      <c r="AR237" s="471"/>
      <c r="AS237" s="471"/>
      <c r="AT237" s="471"/>
      <c r="AU237" s="96"/>
      <c r="AV237" s="96"/>
      <c r="AW237" s="96"/>
      <c r="AX237" s="96"/>
      <c r="AY237" s="96"/>
      <c r="AZ237" s="96"/>
      <c r="BA237" s="379"/>
      <c r="BB237" s="379"/>
      <c r="BC237" s="96">
        <v>100502.83</v>
      </c>
      <c r="BD237" s="96">
        <v>101161.47</v>
      </c>
      <c r="BE237" s="96">
        <v>103039.68</v>
      </c>
      <c r="BF237" s="96">
        <v>101573.51</v>
      </c>
      <c r="BG237" s="472">
        <v>72157.79</v>
      </c>
      <c r="BH237" s="472">
        <v>70662.59</v>
      </c>
      <c r="BI237" s="472">
        <v>74385.52</v>
      </c>
      <c r="BJ237" s="472">
        <v>79.85</v>
      </c>
      <c r="BK237" s="472">
        <v>72.87</v>
      </c>
      <c r="BL237" s="472">
        <v>72.87</v>
      </c>
      <c r="BM237" s="472">
        <v>72.87</v>
      </c>
      <c r="BN237" s="472">
        <v>72.87</v>
      </c>
      <c r="BO237" s="472">
        <v>72.87</v>
      </c>
      <c r="BP237" s="472">
        <v>72.87</v>
      </c>
      <c r="BQ237" s="472">
        <v>72.87</v>
      </c>
      <c r="BR237" s="472">
        <v>72.87</v>
      </c>
      <c r="BS237" s="472">
        <v>72.87</v>
      </c>
      <c r="BT237" s="472">
        <v>0.0</v>
      </c>
      <c r="BU237" s="472">
        <v>0.0</v>
      </c>
      <c r="BV237" s="472">
        <v>0.0</v>
      </c>
      <c r="BW237" s="472">
        <v>0.0</v>
      </c>
      <c r="BX237" s="472">
        <v>0.0</v>
      </c>
      <c r="BY237" s="472">
        <v>0.0</v>
      </c>
      <c r="BZ237" s="472">
        <v>0.0</v>
      </c>
      <c r="CA237" s="474">
        <v>0.0</v>
      </c>
      <c r="CB237" s="474">
        <v>0.0</v>
      </c>
      <c r="CC237" s="474">
        <v>0.0</v>
      </c>
      <c r="CD237" s="474">
        <v>0.0</v>
      </c>
      <c r="CE237" s="474">
        <v>0.0</v>
      </c>
      <c r="CF237" s="474">
        <v>0.0</v>
      </c>
      <c r="CG237" s="474">
        <v>0.0</v>
      </c>
      <c r="CH237" s="65">
        <v>0.0</v>
      </c>
      <c r="CI237" s="65">
        <v>0.0</v>
      </c>
      <c r="CJ237" s="65">
        <v>0.0</v>
      </c>
      <c r="CK237" s="65">
        <v>0.0</v>
      </c>
      <c r="CL237" s="65">
        <v>0.0</v>
      </c>
      <c r="CM237" s="65">
        <v>0.0</v>
      </c>
      <c r="CN237" s="65">
        <v>0.0</v>
      </c>
    </row>
    <row r="238" ht="15.75" customHeight="1">
      <c r="A238" s="462" t="s">
        <v>2346</v>
      </c>
      <c r="B238" s="462" t="s">
        <v>6292</v>
      </c>
      <c r="C238" s="141">
        <v>356345.0</v>
      </c>
      <c r="D238" s="63" t="s">
        <v>120</v>
      </c>
      <c r="E238" s="63" t="s">
        <v>91</v>
      </c>
      <c r="F238" s="63" t="s">
        <v>521</v>
      </c>
      <c r="G238" s="47" t="str">
        <f t="shared" si="1"/>
        <v>Breno</v>
      </c>
      <c r="H238" s="142" t="s">
        <v>295</v>
      </c>
      <c r="I238" s="49" t="s">
        <v>382</v>
      </c>
      <c r="J238" s="63" t="str">
        <f t="shared" si="4"/>
        <v>Não</v>
      </c>
      <c r="K238" s="143">
        <v>44797.0</v>
      </c>
      <c r="L238" s="81"/>
      <c r="M238" s="81" t="s">
        <v>34</v>
      </c>
      <c r="N238" s="464">
        <v>0.012</v>
      </c>
      <c r="O238" s="141" t="s">
        <v>66</v>
      </c>
      <c r="P238" s="145">
        <v>0.0</v>
      </c>
      <c r="Q238" s="368"/>
      <c r="R238" s="160"/>
      <c r="S238" s="62" t="s">
        <v>194</v>
      </c>
      <c r="T238" s="141" t="s">
        <v>2258</v>
      </c>
      <c r="U238" s="27" t="s">
        <v>221</v>
      </c>
      <c r="V238" s="49" t="str">
        <f t="shared" si="3"/>
        <v>Inativo</v>
      </c>
      <c r="W238" s="150"/>
      <c r="X238" s="150"/>
      <c r="Y238" s="30" t="s">
        <v>244</v>
      </c>
      <c r="Z238" s="81"/>
      <c r="AA238" s="467">
        <v>44797.0</v>
      </c>
      <c r="AB238" s="30">
        <v>4.9075100010765E13</v>
      </c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471"/>
      <c r="AR238" s="471"/>
      <c r="AS238" s="471"/>
      <c r="AT238" s="471"/>
      <c r="AU238" s="471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472"/>
      <c r="BH238" s="472"/>
      <c r="BI238" s="472"/>
      <c r="BJ238" s="472">
        <v>299138.37</v>
      </c>
      <c r="BK238" s="472">
        <v>314315.05</v>
      </c>
      <c r="BL238" s="472">
        <v>469472.54</v>
      </c>
      <c r="BM238" s="472">
        <v>471497.59</v>
      </c>
      <c r="BN238" s="472">
        <v>485884.02</v>
      </c>
      <c r="BO238" s="472">
        <v>490907.72</v>
      </c>
      <c r="BP238" s="472">
        <v>0.0</v>
      </c>
      <c r="BQ238" s="472">
        <v>500150.19</v>
      </c>
      <c r="BR238" s="472">
        <v>0.0</v>
      </c>
      <c r="BS238" s="472">
        <v>0.46</v>
      </c>
      <c r="BT238" s="472">
        <v>0.0</v>
      </c>
      <c r="BU238" s="472">
        <v>0.0</v>
      </c>
      <c r="BV238" s="472">
        <v>0.0</v>
      </c>
      <c r="BW238" s="472">
        <v>0.0</v>
      </c>
      <c r="BX238" s="472">
        <v>0.0</v>
      </c>
      <c r="BY238" s="472">
        <v>0.0</v>
      </c>
      <c r="BZ238" s="472">
        <v>0.0</v>
      </c>
      <c r="CA238" s="474">
        <v>0.0</v>
      </c>
      <c r="CB238" s="474">
        <v>0.0</v>
      </c>
      <c r="CC238" s="474">
        <v>0.0</v>
      </c>
      <c r="CD238" s="474">
        <v>0.0</v>
      </c>
      <c r="CE238" s="474">
        <v>0.0</v>
      </c>
      <c r="CF238" s="474">
        <v>0.0</v>
      </c>
      <c r="CG238" s="474">
        <v>0.0</v>
      </c>
      <c r="CH238" s="65">
        <v>0.0</v>
      </c>
      <c r="CI238" s="65">
        <v>0.0</v>
      </c>
      <c r="CJ238" s="65">
        <v>0.0</v>
      </c>
      <c r="CK238" s="65">
        <v>0.0</v>
      </c>
      <c r="CL238" s="65">
        <v>0.0</v>
      </c>
      <c r="CM238" s="65">
        <v>0.0</v>
      </c>
      <c r="CN238" s="65">
        <v>0.0</v>
      </c>
    </row>
    <row r="239" ht="15.75" customHeight="1">
      <c r="A239" s="462" t="s">
        <v>2346</v>
      </c>
      <c r="B239" s="462" t="s">
        <v>6299</v>
      </c>
      <c r="C239" s="141">
        <v>86469.0</v>
      </c>
      <c r="D239" s="63" t="s">
        <v>1096</v>
      </c>
      <c r="E239" s="63" t="s">
        <v>199</v>
      </c>
      <c r="F239" s="63" t="s">
        <v>1096</v>
      </c>
      <c r="G239" s="47" t="str">
        <f t="shared" si="1"/>
        <v>Breno</v>
      </c>
      <c r="H239" s="142" t="s">
        <v>295</v>
      </c>
      <c r="I239" s="49" t="s">
        <v>382</v>
      </c>
      <c r="J239" s="63" t="str">
        <f t="shared" si="4"/>
        <v>Não</v>
      </c>
      <c r="K239" s="143">
        <v>43538.0</v>
      </c>
      <c r="L239" s="81"/>
      <c r="M239" s="81" t="s">
        <v>231</v>
      </c>
      <c r="N239" s="464">
        <v>0.01</v>
      </c>
      <c r="O239" s="141" t="s">
        <v>233</v>
      </c>
      <c r="P239" s="145">
        <v>0.2</v>
      </c>
      <c r="Q239" s="158"/>
      <c r="R239" s="158"/>
      <c r="S239" s="62" t="s">
        <v>194</v>
      </c>
      <c r="T239" s="141" t="s">
        <v>6302</v>
      </c>
      <c r="U239" s="66" t="s">
        <v>199</v>
      </c>
      <c r="V239" s="49" t="str">
        <f t="shared" si="3"/>
        <v>Inativo</v>
      </c>
      <c r="W239" s="150"/>
      <c r="X239" s="150"/>
      <c r="Y239" s="30" t="s">
        <v>244</v>
      </c>
      <c r="Z239" s="81"/>
      <c r="AA239" s="467">
        <v>43538.0</v>
      </c>
      <c r="AB239" s="30">
        <v>4.9075100004242E13</v>
      </c>
      <c r="AC239" s="96">
        <v>135222.59</v>
      </c>
      <c r="AD239" s="96">
        <v>129076.26</v>
      </c>
      <c r="AE239" s="96">
        <v>101871.14</v>
      </c>
      <c r="AF239" s="96">
        <v>107079.43</v>
      </c>
      <c r="AG239" s="96">
        <v>110538.03</v>
      </c>
      <c r="AH239" s="96">
        <v>114857.2</v>
      </c>
      <c r="AI239" s="96">
        <v>122965.54</v>
      </c>
      <c r="AJ239" s="96">
        <v>118978.0</v>
      </c>
      <c r="AK239" s="96">
        <v>114221.6</v>
      </c>
      <c r="AL239" s="96">
        <v>118495.83</v>
      </c>
      <c r="AM239" s="96">
        <v>132258.15</v>
      </c>
      <c r="AN239" s="96">
        <v>136167.09</v>
      </c>
      <c r="AO239" s="96">
        <v>135000.13</v>
      </c>
      <c r="AP239" s="96">
        <v>127412.3</v>
      </c>
      <c r="AQ239" s="471">
        <v>123238.94</v>
      </c>
      <c r="AR239" s="471">
        <v>130864.28</v>
      </c>
      <c r="AS239" s="471">
        <v>128239.44</v>
      </c>
      <c r="AT239" s="471">
        <v>128960.56</v>
      </c>
      <c r="AU239" s="471">
        <v>135430.58</v>
      </c>
      <c r="AV239" s="96">
        <v>133190.23</v>
      </c>
      <c r="AW239" s="96">
        <v>129654.29</v>
      </c>
      <c r="AX239" s="96">
        <v>123802.05</v>
      </c>
      <c r="AY239" s="96">
        <v>117385.69</v>
      </c>
      <c r="AZ239" s="96">
        <v>110794.35</v>
      </c>
      <c r="BA239" s="96">
        <v>107803.91</v>
      </c>
      <c r="BB239" s="96">
        <v>107098.03</v>
      </c>
      <c r="BC239" s="96">
        <v>113986.28</v>
      </c>
      <c r="BD239" s="96">
        <v>114608.11</v>
      </c>
      <c r="BE239" s="96">
        <v>123460.29</v>
      </c>
      <c r="BF239" s="96">
        <v>117627.38</v>
      </c>
      <c r="BG239" s="472">
        <v>1132.74</v>
      </c>
      <c r="BH239" s="472">
        <v>1076.0</v>
      </c>
      <c r="BI239" s="472">
        <v>1163.99</v>
      </c>
      <c r="BJ239" s="472">
        <v>1347.74</v>
      </c>
      <c r="BK239" s="472">
        <v>1356.94</v>
      </c>
      <c r="BL239" s="472">
        <v>1367.65</v>
      </c>
      <c r="BM239" s="472">
        <v>1376.69</v>
      </c>
      <c r="BN239" s="472">
        <v>1385.95</v>
      </c>
      <c r="BO239" s="472">
        <v>1924.62</v>
      </c>
      <c r="BP239" s="472">
        <v>1932.66</v>
      </c>
      <c r="BQ239" s="472">
        <v>1943.43</v>
      </c>
      <c r="BR239" s="472">
        <v>1954.13</v>
      </c>
      <c r="BS239" s="472">
        <v>1972.25</v>
      </c>
      <c r="BT239" s="472">
        <v>0.0</v>
      </c>
      <c r="BU239" s="472">
        <v>0.0</v>
      </c>
      <c r="BV239" s="472">
        <v>0.0</v>
      </c>
      <c r="BW239" s="472">
        <v>0.0</v>
      </c>
      <c r="BX239" s="472">
        <v>0.0</v>
      </c>
      <c r="BY239" s="472">
        <v>0.0</v>
      </c>
      <c r="BZ239" s="472">
        <v>0.0</v>
      </c>
      <c r="CA239" s="474">
        <v>0.0</v>
      </c>
      <c r="CB239" s="474">
        <v>0.0</v>
      </c>
      <c r="CC239" s="474">
        <v>0.0</v>
      </c>
      <c r="CD239" s="474">
        <v>0.0</v>
      </c>
      <c r="CE239" s="474">
        <v>0.0</v>
      </c>
      <c r="CF239" s="474">
        <v>0.0</v>
      </c>
      <c r="CG239" s="474">
        <v>0.0</v>
      </c>
      <c r="CH239" s="65">
        <v>0.0</v>
      </c>
      <c r="CI239" s="65">
        <v>0.0</v>
      </c>
      <c r="CJ239" s="65">
        <v>0.0</v>
      </c>
      <c r="CK239" s="65">
        <v>0.0</v>
      </c>
      <c r="CL239" s="65">
        <v>0.0</v>
      </c>
      <c r="CM239" s="65">
        <v>0.0</v>
      </c>
      <c r="CN239" s="65">
        <v>0.0</v>
      </c>
    </row>
    <row r="240" ht="15.75" customHeight="1">
      <c r="A240" s="462" t="s">
        <v>2346</v>
      </c>
      <c r="B240" s="462" t="s">
        <v>6306</v>
      </c>
      <c r="C240" s="141">
        <v>338375.0</v>
      </c>
      <c r="D240" s="63" t="s">
        <v>669</v>
      </c>
      <c r="E240" s="63" t="s">
        <v>199</v>
      </c>
      <c r="F240" s="63" t="s">
        <v>1228</v>
      </c>
      <c r="G240" s="47" t="str">
        <f t="shared" si="1"/>
        <v>Breno</v>
      </c>
      <c r="H240" s="142" t="s">
        <v>295</v>
      </c>
      <c r="I240" s="49" t="s">
        <v>382</v>
      </c>
      <c r="J240" s="63" t="str">
        <f t="shared" si="4"/>
        <v>Não</v>
      </c>
      <c r="K240" s="143">
        <v>43601.0</v>
      </c>
      <c r="L240" s="81"/>
      <c r="M240" s="81" t="s">
        <v>231</v>
      </c>
      <c r="N240" s="464">
        <v>0.02</v>
      </c>
      <c r="O240" s="141" t="s">
        <v>233</v>
      </c>
      <c r="P240" s="145">
        <v>0.2</v>
      </c>
      <c r="Q240" s="158"/>
      <c r="R240" s="158"/>
      <c r="S240" s="62" t="s">
        <v>194</v>
      </c>
      <c r="T240" s="141" t="s">
        <v>6311</v>
      </c>
      <c r="U240" s="81" t="s">
        <v>199</v>
      </c>
      <c r="V240" s="49" t="str">
        <f t="shared" si="3"/>
        <v>Inativo</v>
      </c>
      <c r="W240" s="150"/>
      <c r="X240" s="150"/>
      <c r="Y240" s="30" t="s">
        <v>244</v>
      </c>
      <c r="Z240" s="81"/>
      <c r="AA240" s="467">
        <v>43601.0</v>
      </c>
      <c r="AB240" s="30">
        <v>4.9075100010773E13</v>
      </c>
      <c r="AC240" s="96">
        <v>74487.92</v>
      </c>
      <c r="AD240" s="96">
        <v>138320.85</v>
      </c>
      <c r="AE240" s="96">
        <v>110088.9</v>
      </c>
      <c r="AF240" s="96">
        <v>116710.29</v>
      </c>
      <c r="AG240" s="96">
        <v>119955.61</v>
      </c>
      <c r="AH240" s="96">
        <v>127104.81</v>
      </c>
      <c r="AI240" s="96">
        <v>137000.97</v>
      </c>
      <c r="AJ240" s="96">
        <v>129844.11</v>
      </c>
      <c r="AK240" s="96">
        <v>123965.85</v>
      </c>
      <c r="AL240" s="96">
        <v>128991.2</v>
      </c>
      <c r="AM240" s="96">
        <v>143734.09</v>
      </c>
      <c r="AN240" s="96">
        <v>148153.69</v>
      </c>
      <c r="AO240" s="96">
        <v>141505.66</v>
      </c>
      <c r="AP240" s="96">
        <v>132826.84</v>
      </c>
      <c r="AQ240" s="471">
        <v>128825.86</v>
      </c>
      <c r="AR240" s="471">
        <v>139228.75</v>
      </c>
      <c r="AS240" s="471">
        <v>139577.83</v>
      </c>
      <c r="AT240" s="471">
        <v>140396.2</v>
      </c>
      <c r="AU240" s="471">
        <v>146749.18</v>
      </c>
      <c r="AV240" s="96">
        <v>144636.62</v>
      </c>
      <c r="AW240" s="96">
        <v>140552.72</v>
      </c>
      <c r="AX240" s="96">
        <v>134008.87</v>
      </c>
      <c r="AY240" s="96">
        <v>127034.87</v>
      </c>
      <c r="AZ240" s="96">
        <v>119444.27</v>
      </c>
      <c r="BA240" s="96">
        <v>115543.24</v>
      </c>
      <c r="BB240" s="96">
        <v>116333.79</v>
      </c>
      <c r="BC240" s="96">
        <v>123455.83</v>
      </c>
      <c r="BD240" s="96">
        <v>124897.14</v>
      </c>
      <c r="BE240" s="96">
        <v>133933.97</v>
      </c>
      <c r="BF240" s="96">
        <v>127227.96</v>
      </c>
      <c r="BG240" s="472">
        <v>123922.9</v>
      </c>
      <c r="BH240" s="472">
        <v>118379.57</v>
      </c>
      <c r="BI240" s="472">
        <v>124196.56</v>
      </c>
      <c r="BJ240" s="472">
        <v>112107.18</v>
      </c>
      <c r="BK240" s="472">
        <v>52078.17</v>
      </c>
      <c r="BL240" s="472">
        <v>14978.25</v>
      </c>
      <c r="BM240" s="472">
        <v>13638.37</v>
      </c>
      <c r="BN240" s="472">
        <v>12934.86</v>
      </c>
      <c r="BO240" s="472">
        <v>13386.64</v>
      </c>
      <c r="BP240" s="472">
        <v>12123.86</v>
      </c>
      <c r="BQ240" s="472">
        <v>-2.98</v>
      </c>
      <c r="BR240" s="472">
        <v>0.0</v>
      </c>
      <c r="BS240" s="472">
        <v>0.0</v>
      </c>
      <c r="BT240" s="472">
        <v>0.0</v>
      </c>
      <c r="BU240" s="472">
        <v>0.0</v>
      </c>
      <c r="BV240" s="472">
        <v>0.0</v>
      </c>
      <c r="BW240" s="472">
        <v>0.0</v>
      </c>
      <c r="BX240" s="472">
        <v>0.0</v>
      </c>
      <c r="BY240" s="472">
        <v>0.0</v>
      </c>
      <c r="BZ240" s="472">
        <v>0.0</v>
      </c>
      <c r="CA240" s="474">
        <v>0.0</v>
      </c>
      <c r="CB240" s="474">
        <v>0.0</v>
      </c>
      <c r="CC240" s="474">
        <v>0.0</v>
      </c>
      <c r="CD240" s="474">
        <v>0.0</v>
      </c>
      <c r="CE240" s="474">
        <v>0.0</v>
      </c>
      <c r="CF240" s="474">
        <v>0.0</v>
      </c>
      <c r="CG240" s="474">
        <v>0.0</v>
      </c>
      <c r="CH240" s="65">
        <v>0.0</v>
      </c>
      <c r="CI240" s="65">
        <v>0.0</v>
      </c>
      <c r="CJ240" s="65">
        <v>0.0</v>
      </c>
      <c r="CK240" s="65">
        <v>0.0</v>
      </c>
      <c r="CL240" s="65">
        <v>0.0</v>
      </c>
      <c r="CM240" s="65">
        <v>0.0</v>
      </c>
      <c r="CN240" s="65">
        <v>0.0</v>
      </c>
    </row>
    <row r="241" ht="15.75" customHeight="1">
      <c r="A241" s="462" t="s">
        <v>2346</v>
      </c>
      <c r="B241" s="50" t="s">
        <v>6214</v>
      </c>
      <c r="C241" s="141">
        <v>472226.0</v>
      </c>
      <c r="D241" s="63" t="s">
        <v>120</v>
      </c>
      <c r="E241" s="63" t="s">
        <v>91</v>
      </c>
      <c r="F241" s="81" t="s">
        <v>193</v>
      </c>
      <c r="G241" s="47" t="str">
        <f t="shared" si="1"/>
        <v>Breno</v>
      </c>
      <c r="H241" s="152" t="s">
        <v>224</v>
      </c>
      <c r="I241" s="74" t="s">
        <v>66</v>
      </c>
      <c r="J241" s="63" t="str">
        <f t="shared" si="4"/>
        <v>Não</v>
      </c>
      <c r="K241" s="467">
        <v>44322.0</v>
      </c>
      <c r="L241" s="467">
        <v>44652.0</v>
      </c>
      <c r="M241" s="81" t="s">
        <v>209</v>
      </c>
      <c r="N241" s="478">
        <v>0.015</v>
      </c>
      <c r="O241" s="63" t="s">
        <v>35</v>
      </c>
      <c r="P241" s="145">
        <v>0.1</v>
      </c>
      <c r="Q241" s="70"/>
      <c r="R241" s="70"/>
      <c r="S241" s="62" t="s">
        <v>194</v>
      </c>
      <c r="T241" s="22" t="s">
        <v>6318</v>
      </c>
      <c r="U241" s="95" t="s">
        <v>221</v>
      </c>
      <c r="V241" s="49" t="str">
        <f t="shared" si="3"/>
        <v>Encerrado</v>
      </c>
      <c r="W241" s="150"/>
      <c r="X241" s="150"/>
      <c r="Y241" s="81"/>
      <c r="Z241" s="81"/>
      <c r="AA241" s="81"/>
      <c r="AB241" s="30"/>
      <c r="AC241" s="476"/>
      <c r="AD241" s="476"/>
      <c r="AE241" s="476"/>
      <c r="AF241" s="476"/>
      <c r="AG241" s="476"/>
      <c r="AH241" s="476"/>
      <c r="AI241" s="476"/>
      <c r="AJ241" s="476"/>
      <c r="AK241" s="476"/>
      <c r="AL241" s="476"/>
      <c r="AM241" s="476"/>
      <c r="AN241" s="476"/>
      <c r="AO241" s="476"/>
      <c r="AP241" s="96"/>
      <c r="AQ241" s="96"/>
      <c r="AR241" s="96"/>
      <c r="AS241" s="96"/>
      <c r="AT241" s="96"/>
      <c r="AU241" s="96">
        <v>322521.53</v>
      </c>
      <c r="AV241" s="96">
        <v>274157.47</v>
      </c>
      <c r="AW241" s="96">
        <v>185038.99</v>
      </c>
      <c r="AX241" s="96">
        <v>83591.85</v>
      </c>
      <c r="AY241" s="96">
        <v>70957.78</v>
      </c>
      <c r="AZ241" s="96">
        <v>38698.7</v>
      </c>
      <c r="BA241" s="96">
        <v>34560.61</v>
      </c>
      <c r="BB241" s="96">
        <v>24666.4</v>
      </c>
      <c r="BC241" s="96">
        <v>22481.9</v>
      </c>
      <c r="BD241" s="96">
        <v>16879.38</v>
      </c>
      <c r="BE241" s="96">
        <v>15010.14</v>
      </c>
      <c r="BF241" s="96">
        <v>0.0</v>
      </c>
      <c r="BG241" s="96" t="s">
        <v>377</v>
      </c>
      <c r="BH241" s="96">
        <v>0.0</v>
      </c>
      <c r="BI241" s="96" t="s">
        <v>377</v>
      </c>
      <c r="BJ241" s="96">
        <v>0.0</v>
      </c>
      <c r="BK241" s="472">
        <v>0.0</v>
      </c>
      <c r="BL241" s="472">
        <v>0.0</v>
      </c>
      <c r="BM241" s="472">
        <v>0.0</v>
      </c>
      <c r="BN241" s="472">
        <v>0.0</v>
      </c>
      <c r="BO241" s="472">
        <v>0.0</v>
      </c>
      <c r="BP241" s="472">
        <v>0.0</v>
      </c>
      <c r="BQ241" s="472">
        <v>0.0</v>
      </c>
      <c r="BR241" s="472">
        <v>0.0</v>
      </c>
      <c r="BS241" s="472">
        <v>0.0</v>
      </c>
      <c r="BT241" s="472">
        <v>0.0</v>
      </c>
      <c r="BU241" s="472">
        <v>0.0</v>
      </c>
      <c r="BV241" s="472">
        <v>0.0</v>
      </c>
      <c r="BW241" s="472">
        <v>0.0</v>
      </c>
      <c r="BX241" s="472">
        <v>0.0</v>
      </c>
      <c r="BY241" s="472">
        <v>0.0</v>
      </c>
      <c r="BZ241" s="472">
        <v>0.0</v>
      </c>
      <c r="CA241" s="474">
        <v>0.0</v>
      </c>
      <c r="CB241" s="474">
        <v>0.0</v>
      </c>
      <c r="CC241" s="474">
        <v>0.0</v>
      </c>
      <c r="CD241" s="474">
        <v>0.0</v>
      </c>
      <c r="CE241" s="474">
        <v>0.0</v>
      </c>
      <c r="CF241" s="474">
        <v>0.0</v>
      </c>
      <c r="CG241" s="474">
        <v>0.0</v>
      </c>
      <c r="CH241" s="65">
        <v>0.0</v>
      </c>
      <c r="CI241" s="65">
        <v>0.0</v>
      </c>
      <c r="CJ241" s="65">
        <v>0.0</v>
      </c>
      <c r="CK241" s="65">
        <v>0.0</v>
      </c>
      <c r="CL241" s="65">
        <v>0.0</v>
      </c>
      <c r="CM241" s="65">
        <v>0.0</v>
      </c>
      <c r="CN241" s="65">
        <v>0.0</v>
      </c>
    </row>
    <row r="242" ht="15.75" customHeight="1">
      <c r="A242" s="462" t="s">
        <v>2346</v>
      </c>
      <c r="B242" s="477" t="s">
        <v>6322</v>
      </c>
      <c r="C242" s="141">
        <v>441280.0</v>
      </c>
      <c r="D242" s="63" t="s">
        <v>120</v>
      </c>
      <c r="E242" s="63" t="s">
        <v>91</v>
      </c>
      <c r="F242" s="81" t="s">
        <v>699</v>
      </c>
      <c r="G242" s="47" t="str">
        <f t="shared" si="1"/>
        <v>Breno</v>
      </c>
      <c r="H242" s="152" t="s">
        <v>224</v>
      </c>
      <c r="I242" s="74" t="s">
        <v>66</v>
      </c>
      <c r="J242" s="63" t="str">
        <f t="shared" si="4"/>
        <v>Não</v>
      </c>
      <c r="K242" s="467">
        <v>44279.0</v>
      </c>
      <c r="L242" s="194">
        <v>44473.0</v>
      </c>
      <c r="M242" s="81" t="s">
        <v>361</v>
      </c>
      <c r="N242" s="478">
        <v>0.02</v>
      </c>
      <c r="O242" s="63" t="s">
        <v>35</v>
      </c>
      <c r="P242" s="145">
        <v>0.2</v>
      </c>
      <c r="Q242" s="158"/>
      <c r="R242" s="158"/>
      <c r="S242" s="62" t="s">
        <v>194</v>
      </c>
      <c r="T242" s="30" t="s">
        <v>6325</v>
      </c>
      <c r="U242" s="95" t="s">
        <v>221</v>
      </c>
      <c r="V242" s="49" t="str">
        <f t="shared" si="3"/>
        <v>Encerrado</v>
      </c>
      <c r="W242" s="150"/>
      <c r="X242" s="150"/>
      <c r="Y242" s="81"/>
      <c r="Z242" s="81"/>
      <c r="AA242" s="81"/>
      <c r="AB242" s="30"/>
      <c r="AC242" s="482"/>
      <c r="AD242" s="482"/>
      <c r="AE242" s="482"/>
      <c r="AF242" s="482"/>
      <c r="AG242" s="482"/>
      <c r="AH242" s="482"/>
      <c r="AI242" s="482"/>
      <c r="AJ242" s="482"/>
      <c r="AK242" s="482"/>
      <c r="AL242" s="482"/>
      <c r="AM242" s="482"/>
      <c r="AN242" s="482"/>
      <c r="AO242" s="482"/>
      <c r="AP242" s="96"/>
      <c r="AQ242" s="96"/>
      <c r="AR242" s="96">
        <v>255831.81</v>
      </c>
      <c r="AS242" s="96"/>
      <c r="AT242" s="96">
        <v>284899.14</v>
      </c>
      <c r="AU242" s="96">
        <v>267778.18</v>
      </c>
      <c r="AV242" s="96">
        <v>265811.13</v>
      </c>
      <c r="AW242" s="96">
        <v>261252.15</v>
      </c>
      <c r="AX242" s="96">
        <v>253344.82</v>
      </c>
      <c r="AY242" s="96">
        <v>237009.79</v>
      </c>
      <c r="AZ242" s="96"/>
      <c r="BA242" s="96"/>
      <c r="BB242" s="96"/>
      <c r="BC242" s="96"/>
      <c r="BD242" s="96">
        <v>0.0</v>
      </c>
      <c r="BE242" s="96">
        <v>0.0</v>
      </c>
      <c r="BF242" s="96">
        <v>0.0</v>
      </c>
      <c r="BG242" s="96" t="s">
        <v>377</v>
      </c>
      <c r="BH242" s="96">
        <v>0.0</v>
      </c>
      <c r="BI242" s="96" t="s">
        <v>377</v>
      </c>
      <c r="BJ242" s="96">
        <v>0.0</v>
      </c>
      <c r="BK242" s="472">
        <v>0.0</v>
      </c>
      <c r="BL242" s="472">
        <v>0.0</v>
      </c>
      <c r="BM242" s="472">
        <v>0.0</v>
      </c>
      <c r="BN242" s="472">
        <v>0.0</v>
      </c>
      <c r="BO242" s="472">
        <v>0.0</v>
      </c>
      <c r="BP242" s="472">
        <v>0.0</v>
      </c>
      <c r="BQ242" s="472">
        <v>0.0</v>
      </c>
      <c r="BR242" s="472">
        <v>0.0</v>
      </c>
      <c r="BS242" s="472">
        <v>0.0</v>
      </c>
      <c r="BT242" s="472">
        <v>0.0</v>
      </c>
      <c r="BU242" s="472">
        <v>0.0</v>
      </c>
      <c r="BV242" s="472">
        <v>0.0</v>
      </c>
      <c r="BW242" s="472">
        <v>0.0</v>
      </c>
      <c r="BX242" s="472">
        <v>0.0</v>
      </c>
      <c r="BY242" s="472">
        <v>0.0</v>
      </c>
      <c r="BZ242" s="472">
        <v>0.0</v>
      </c>
      <c r="CA242" s="474">
        <v>0.0</v>
      </c>
      <c r="CB242" s="474">
        <v>0.0</v>
      </c>
      <c r="CC242" s="474">
        <v>0.0</v>
      </c>
      <c r="CD242" s="474">
        <v>0.0</v>
      </c>
      <c r="CE242" s="474">
        <v>0.0</v>
      </c>
      <c r="CF242" s="474">
        <v>0.0</v>
      </c>
      <c r="CG242" s="474">
        <v>0.0</v>
      </c>
      <c r="CH242" s="65">
        <v>0.0</v>
      </c>
      <c r="CI242" s="65">
        <v>0.0</v>
      </c>
      <c r="CJ242" s="65">
        <v>0.0</v>
      </c>
      <c r="CK242" s="65">
        <v>0.0</v>
      </c>
      <c r="CL242" s="65">
        <v>0.0</v>
      </c>
      <c r="CM242" s="65">
        <v>0.0</v>
      </c>
      <c r="CN242" s="65">
        <v>0.0</v>
      </c>
    </row>
    <row r="243" ht="15.75" customHeight="1">
      <c r="A243" s="462" t="s">
        <v>2346</v>
      </c>
      <c r="B243" s="50" t="s">
        <v>6331</v>
      </c>
      <c r="C243" s="141">
        <v>355808.0</v>
      </c>
      <c r="D243" s="63" t="s">
        <v>120</v>
      </c>
      <c r="E243" s="63" t="s">
        <v>199</v>
      </c>
      <c r="F243" s="63" t="s">
        <v>4891</v>
      </c>
      <c r="G243" s="47" t="str">
        <f t="shared" si="1"/>
        <v>Breno</v>
      </c>
      <c r="H243" s="142" t="s">
        <v>295</v>
      </c>
      <c r="I243" s="49" t="s">
        <v>382</v>
      </c>
      <c r="J243" s="63" t="str">
        <f t="shared" si="4"/>
        <v>Não</v>
      </c>
      <c r="K243" s="143"/>
      <c r="L243" s="62"/>
      <c r="M243" s="81" t="s">
        <v>61</v>
      </c>
      <c r="N243" s="144">
        <v>0.007</v>
      </c>
      <c r="O243" s="141" t="s">
        <v>66</v>
      </c>
      <c r="P243" s="145">
        <v>0.0</v>
      </c>
      <c r="Q243" s="70"/>
      <c r="R243" s="70"/>
      <c r="S243" s="62" t="s">
        <v>194</v>
      </c>
      <c r="T243" s="22" t="s">
        <v>6335</v>
      </c>
      <c r="U243" s="22" t="s">
        <v>199</v>
      </c>
      <c r="V243" s="49" t="str">
        <f t="shared" si="3"/>
        <v>Inativo</v>
      </c>
      <c r="W243" s="150"/>
      <c r="X243" s="150"/>
      <c r="Y243" s="30" t="s">
        <v>244</v>
      </c>
      <c r="Z243" s="81"/>
      <c r="AA243" s="81"/>
      <c r="AB243" s="30"/>
      <c r="AC243" s="476"/>
      <c r="AD243" s="476"/>
      <c r="AE243" s="476"/>
      <c r="AF243" s="476"/>
      <c r="AG243" s="476"/>
      <c r="AH243" s="476"/>
      <c r="AI243" s="476"/>
      <c r="AJ243" s="476"/>
      <c r="AK243" s="476"/>
      <c r="AL243" s="476"/>
      <c r="AM243" s="476"/>
      <c r="AN243" s="476"/>
      <c r="AO243" s="47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472"/>
      <c r="BH243" s="472"/>
      <c r="BI243" s="472"/>
      <c r="BJ243" s="472">
        <v>0.0</v>
      </c>
      <c r="BK243" s="472">
        <v>0.0</v>
      </c>
      <c r="BL243" s="472">
        <v>0.0</v>
      </c>
      <c r="BM243" s="472">
        <v>0.0</v>
      </c>
      <c r="BN243" s="472">
        <v>0.0</v>
      </c>
      <c r="BO243" s="472">
        <v>0.0</v>
      </c>
      <c r="BP243" s="472">
        <v>0.0</v>
      </c>
      <c r="BQ243" s="472">
        <v>0.0</v>
      </c>
      <c r="BR243" s="472">
        <v>0.0</v>
      </c>
      <c r="BS243" s="472">
        <v>0.0</v>
      </c>
      <c r="BT243" s="472">
        <v>0.0</v>
      </c>
      <c r="BU243" s="472">
        <v>0.0</v>
      </c>
      <c r="BV243" s="472">
        <v>0.0</v>
      </c>
      <c r="BW243" s="472">
        <v>0.0</v>
      </c>
      <c r="BX243" s="472">
        <v>0.0</v>
      </c>
      <c r="BY243" s="472">
        <v>0.0</v>
      </c>
      <c r="BZ243" s="472">
        <v>0.0</v>
      </c>
      <c r="CA243" s="474">
        <v>0.0</v>
      </c>
      <c r="CB243" s="474">
        <v>0.0</v>
      </c>
      <c r="CC243" s="474">
        <v>0.0</v>
      </c>
      <c r="CD243" s="474">
        <v>0.0</v>
      </c>
      <c r="CE243" s="474">
        <v>0.0</v>
      </c>
      <c r="CF243" s="474">
        <v>0.0</v>
      </c>
      <c r="CG243" s="474">
        <v>0.0</v>
      </c>
      <c r="CH243" s="65">
        <v>0.0</v>
      </c>
      <c r="CI243" s="65">
        <v>0.0</v>
      </c>
      <c r="CJ243" s="65">
        <v>0.0</v>
      </c>
      <c r="CK243" s="65">
        <v>0.0</v>
      </c>
      <c r="CL243" s="65">
        <v>0.0</v>
      </c>
      <c r="CM243" s="65">
        <v>0.0</v>
      </c>
      <c r="CN243" s="65">
        <v>0.0</v>
      </c>
    </row>
    <row r="244" ht="20.25" customHeight="1">
      <c r="A244" s="462" t="s">
        <v>2346</v>
      </c>
      <c r="B244" s="50" t="s">
        <v>6341</v>
      </c>
      <c r="C244" s="141">
        <v>466367.0</v>
      </c>
      <c r="D244" s="63" t="s">
        <v>120</v>
      </c>
      <c r="E244" s="63" t="s">
        <v>91</v>
      </c>
      <c r="F244" s="63" t="s">
        <v>521</v>
      </c>
      <c r="G244" s="47" t="str">
        <f t="shared" si="1"/>
        <v>Breno</v>
      </c>
      <c r="H244" s="142" t="s">
        <v>295</v>
      </c>
      <c r="I244" s="49" t="s">
        <v>382</v>
      </c>
      <c r="J244" s="63" t="str">
        <f t="shared" si="4"/>
        <v>Não</v>
      </c>
      <c r="K244" s="143">
        <v>44323.0</v>
      </c>
      <c r="L244" s="62"/>
      <c r="M244" s="81" t="s">
        <v>1142</v>
      </c>
      <c r="N244" s="144">
        <v>0.008</v>
      </c>
      <c r="O244" s="141" t="s">
        <v>66</v>
      </c>
      <c r="P244" s="145">
        <v>0.0</v>
      </c>
      <c r="Q244" s="368"/>
      <c r="R244" s="70"/>
      <c r="S244" s="62" t="s">
        <v>234</v>
      </c>
      <c r="T244" s="22" t="s">
        <v>6350</v>
      </c>
      <c r="U244" s="95" t="s">
        <v>221</v>
      </c>
      <c r="V244" s="49" t="str">
        <f t="shared" si="3"/>
        <v>Inativo</v>
      </c>
      <c r="W244" s="150"/>
      <c r="X244" s="150"/>
      <c r="Y244" s="30" t="s">
        <v>244</v>
      </c>
      <c r="Z244" s="81"/>
      <c r="AA244" s="467">
        <v>44323.0</v>
      </c>
      <c r="AB244" s="30">
        <v>4.9075100005885E13</v>
      </c>
      <c r="AC244" s="476"/>
      <c r="AD244" s="476"/>
      <c r="AE244" s="476"/>
      <c r="AF244" s="476"/>
      <c r="AG244" s="476"/>
      <c r="AH244" s="476"/>
      <c r="AI244" s="476"/>
      <c r="AJ244" s="476"/>
      <c r="AK244" s="476"/>
      <c r="AL244" s="476"/>
      <c r="AM244" s="476"/>
      <c r="AN244" s="476"/>
      <c r="AO244" s="476"/>
      <c r="AP244" s="96"/>
      <c r="AQ244" s="96"/>
      <c r="AR244" s="96"/>
      <c r="AS244" s="96"/>
      <c r="AT244" s="96"/>
      <c r="AU244" s="96">
        <v>255422.59</v>
      </c>
      <c r="AV244" s="96">
        <v>248460.75</v>
      </c>
      <c r="AW244" s="96">
        <v>398120.62</v>
      </c>
      <c r="AX244" s="96">
        <v>510683.39</v>
      </c>
      <c r="AY244" s="96">
        <v>502475.43</v>
      </c>
      <c r="AZ244" s="96">
        <v>529489.32</v>
      </c>
      <c r="BA244" s="96">
        <v>487003.11</v>
      </c>
      <c r="BB244" s="96">
        <v>474720.69</v>
      </c>
      <c r="BC244" s="96">
        <v>519255.38</v>
      </c>
      <c r="BD244" s="96">
        <v>515992.42</v>
      </c>
      <c r="BE244" s="96">
        <v>527785.77</v>
      </c>
      <c r="BF244" s="96">
        <v>506868.64</v>
      </c>
      <c r="BG244" s="472">
        <v>390932.78</v>
      </c>
      <c r="BH244" s="472">
        <v>389265.08</v>
      </c>
      <c r="BI244" s="472">
        <v>328636.76</v>
      </c>
      <c r="BJ244" s="472">
        <v>200280.58</v>
      </c>
      <c r="BK244" s="472">
        <v>172425.66</v>
      </c>
      <c r="BL244" s="472">
        <v>153929.75</v>
      </c>
      <c r="BM244" s="472">
        <v>137279.66</v>
      </c>
      <c r="BN244" s="472">
        <v>126738.78</v>
      </c>
      <c r="BO244" s="472">
        <v>110621.26</v>
      </c>
      <c r="BP244" s="472">
        <v>83969.65</v>
      </c>
      <c r="BQ244" s="472">
        <v>61532.7</v>
      </c>
      <c r="BR244" s="472">
        <v>44771.45</v>
      </c>
      <c r="BS244" s="472">
        <v>25187.24</v>
      </c>
      <c r="BT244" s="472">
        <v>0.0</v>
      </c>
      <c r="BU244" s="472">
        <v>0.0</v>
      </c>
      <c r="BV244" s="472">
        <v>0.0</v>
      </c>
      <c r="BW244" s="472">
        <v>0.0</v>
      </c>
      <c r="BX244" s="472">
        <v>0.0</v>
      </c>
      <c r="BY244" s="472">
        <v>0.0</v>
      </c>
      <c r="BZ244" s="472">
        <v>0.0</v>
      </c>
      <c r="CA244" s="474">
        <v>0.0</v>
      </c>
      <c r="CB244" s="474">
        <v>0.0</v>
      </c>
      <c r="CC244" s="474">
        <v>0.0</v>
      </c>
      <c r="CD244" s="474">
        <v>0.0</v>
      </c>
      <c r="CE244" s="474">
        <v>0.0</v>
      </c>
      <c r="CF244" s="474">
        <v>0.0</v>
      </c>
      <c r="CG244" s="474">
        <v>0.0</v>
      </c>
      <c r="CH244" s="65">
        <v>0.0</v>
      </c>
      <c r="CI244" s="65">
        <v>0.0</v>
      </c>
      <c r="CJ244" s="65">
        <v>0.0</v>
      </c>
      <c r="CK244" s="65">
        <v>0.0</v>
      </c>
      <c r="CL244" s="65">
        <v>0.0</v>
      </c>
      <c r="CM244" s="65">
        <v>0.0</v>
      </c>
      <c r="CN244" s="65">
        <v>0.0</v>
      </c>
    </row>
    <row r="245" ht="15.75" customHeight="1">
      <c r="A245" s="462" t="s">
        <v>2346</v>
      </c>
      <c r="B245" s="510" t="s">
        <v>6353</v>
      </c>
      <c r="C245" s="141">
        <v>78771.0</v>
      </c>
      <c r="D245" s="63" t="s">
        <v>669</v>
      </c>
      <c r="E245" s="63" t="s">
        <v>199</v>
      </c>
      <c r="F245" s="81" t="s">
        <v>2388</v>
      </c>
      <c r="G245" s="47" t="str">
        <f t="shared" si="1"/>
        <v>Breno</v>
      </c>
      <c r="H245" s="152" t="s">
        <v>224</v>
      </c>
      <c r="I245" s="74" t="s">
        <v>66</v>
      </c>
      <c r="J245" s="63" t="str">
        <f t="shared" si="4"/>
        <v>Não</v>
      </c>
      <c r="K245" s="467">
        <v>43570.0</v>
      </c>
      <c r="L245" s="467">
        <v>45007.0</v>
      </c>
      <c r="M245" s="81" t="s">
        <v>34</v>
      </c>
      <c r="N245" s="478">
        <v>0.005</v>
      </c>
      <c r="O245" s="141" t="s">
        <v>66</v>
      </c>
      <c r="P245" s="145">
        <v>0.0</v>
      </c>
      <c r="Q245" s="158"/>
      <c r="R245" s="158"/>
      <c r="S245" s="62" t="s">
        <v>194</v>
      </c>
      <c r="T245" s="30" t="s">
        <v>6356</v>
      </c>
      <c r="U245" s="81" t="s">
        <v>199</v>
      </c>
      <c r="V245" s="49" t="str">
        <f t="shared" si="3"/>
        <v>Encerrado</v>
      </c>
      <c r="W245" s="150"/>
      <c r="X245" s="150"/>
      <c r="Y245" s="81"/>
      <c r="Z245" s="81"/>
      <c r="AA245" s="81"/>
      <c r="AB245" s="30"/>
      <c r="AC245" s="96">
        <v>430100.49</v>
      </c>
      <c r="AD245" s="96">
        <v>431114.2</v>
      </c>
      <c r="AE245" s="96">
        <v>432304.18</v>
      </c>
      <c r="AF245" s="96">
        <v>432992.58</v>
      </c>
      <c r="AG245" s="96">
        <v>431768.37</v>
      </c>
      <c r="AH245" s="96">
        <v>432531.58</v>
      </c>
      <c r="AI245" s="96">
        <v>433208.01</v>
      </c>
      <c r="AJ245" s="96">
        <v>389174.43</v>
      </c>
      <c r="AK245" s="482"/>
      <c r="AL245" s="96">
        <v>198892.19</v>
      </c>
      <c r="AM245" s="96">
        <v>206063.63</v>
      </c>
      <c r="AN245" s="96">
        <v>207706.03</v>
      </c>
      <c r="AO245" s="96">
        <v>205976.13</v>
      </c>
      <c r="AP245" s="96">
        <v>43.67</v>
      </c>
      <c r="AQ245" s="96">
        <v>43.67</v>
      </c>
      <c r="AR245" s="96">
        <v>43.67</v>
      </c>
      <c r="AS245" s="96">
        <v>43.67</v>
      </c>
      <c r="AT245" s="96">
        <v>43.67</v>
      </c>
      <c r="AU245" s="96"/>
      <c r="AV245" s="482"/>
      <c r="AW245" s="482"/>
      <c r="AX245" s="482"/>
      <c r="AY245" s="96"/>
      <c r="AZ245" s="96"/>
      <c r="BA245" s="96"/>
      <c r="BB245" s="96"/>
      <c r="BC245" s="96"/>
      <c r="BD245" s="96">
        <v>0.0</v>
      </c>
      <c r="BE245" s="96">
        <v>0.0</v>
      </c>
      <c r="BF245" s="96">
        <v>0.0</v>
      </c>
      <c r="BG245" s="96" t="s">
        <v>377</v>
      </c>
      <c r="BH245" s="96">
        <v>0.0</v>
      </c>
      <c r="BI245" s="96" t="s">
        <v>377</v>
      </c>
      <c r="BJ245" s="96">
        <v>0.0</v>
      </c>
      <c r="BK245" s="472">
        <v>0.0</v>
      </c>
      <c r="BL245" s="472">
        <v>0.0</v>
      </c>
      <c r="BM245" s="472">
        <v>0.0</v>
      </c>
      <c r="BN245" s="472">
        <v>0.0</v>
      </c>
      <c r="BO245" s="472">
        <v>0.0</v>
      </c>
      <c r="BP245" s="472">
        <v>0.0</v>
      </c>
      <c r="BQ245" s="472">
        <v>0.0</v>
      </c>
      <c r="BR245" s="472">
        <v>0.0</v>
      </c>
      <c r="BS245" s="472">
        <v>0.0</v>
      </c>
      <c r="BT245" s="472">
        <v>0.0</v>
      </c>
      <c r="BU245" s="472">
        <v>0.0</v>
      </c>
      <c r="BV245" s="472">
        <v>0.0</v>
      </c>
      <c r="BW245" s="472">
        <v>0.0</v>
      </c>
      <c r="BX245" s="472">
        <v>0.0</v>
      </c>
      <c r="BY245" s="472">
        <v>0.0</v>
      </c>
      <c r="BZ245" s="472">
        <v>0.0</v>
      </c>
      <c r="CA245" s="474">
        <v>0.0</v>
      </c>
      <c r="CB245" s="474">
        <v>0.0</v>
      </c>
      <c r="CC245" s="474">
        <v>0.0</v>
      </c>
      <c r="CD245" s="474">
        <v>0.0</v>
      </c>
      <c r="CE245" s="474">
        <v>0.0</v>
      </c>
      <c r="CF245" s="474">
        <v>0.0</v>
      </c>
      <c r="CG245" s="474">
        <v>0.0</v>
      </c>
      <c r="CH245" s="65">
        <v>0.0</v>
      </c>
      <c r="CI245" s="65">
        <v>0.0</v>
      </c>
      <c r="CJ245" s="65">
        <v>0.0</v>
      </c>
      <c r="CK245" s="65">
        <v>0.0</v>
      </c>
      <c r="CL245" s="65">
        <v>0.0</v>
      </c>
      <c r="CM245" s="65">
        <v>0.0</v>
      </c>
      <c r="CN245" s="65">
        <v>0.0</v>
      </c>
    </row>
    <row r="246" ht="15.75" customHeight="1">
      <c r="A246" s="462" t="s">
        <v>2346</v>
      </c>
      <c r="B246" s="462" t="s">
        <v>6353</v>
      </c>
      <c r="C246" s="141">
        <v>298641.0</v>
      </c>
      <c r="D246" s="63" t="s">
        <v>669</v>
      </c>
      <c r="E246" s="63" t="s">
        <v>199</v>
      </c>
      <c r="F246" s="63" t="s">
        <v>2388</v>
      </c>
      <c r="G246" s="47" t="str">
        <f t="shared" si="1"/>
        <v>Breno</v>
      </c>
      <c r="H246" s="152" t="s">
        <v>224</v>
      </c>
      <c r="I246" s="74" t="s">
        <v>66</v>
      </c>
      <c r="J246" s="63" t="str">
        <f t="shared" si="4"/>
        <v>Não</v>
      </c>
      <c r="K246" s="143">
        <v>43570.0</v>
      </c>
      <c r="L246" s="467">
        <v>44972.0</v>
      </c>
      <c r="M246" s="81" t="s">
        <v>209</v>
      </c>
      <c r="N246" s="478">
        <v>0.015</v>
      </c>
      <c r="O246" s="63" t="s">
        <v>35</v>
      </c>
      <c r="P246" s="145">
        <v>0.1</v>
      </c>
      <c r="Q246" s="158"/>
      <c r="R246" s="158"/>
      <c r="S246" s="62" t="s">
        <v>194</v>
      </c>
      <c r="T246" s="141" t="s">
        <v>6356</v>
      </c>
      <c r="U246" s="81" t="s">
        <v>199</v>
      </c>
      <c r="V246" s="49" t="str">
        <f t="shared" si="3"/>
        <v>Encerrado</v>
      </c>
      <c r="W246" s="150"/>
      <c r="X246" s="150"/>
      <c r="Y246" s="30" t="s">
        <v>244</v>
      </c>
      <c r="Z246" s="81"/>
      <c r="AA246" s="81"/>
      <c r="AB246" s="30"/>
      <c r="AC246" s="96">
        <v>326311.45</v>
      </c>
      <c r="AD246" s="96">
        <v>319083.72</v>
      </c>
      <c r="AE246" s="96">
        <v>305578.0</v>
      </c>
      <c r="AF246" s="96">
        <v>307960.9</v>
      </c>
      <c r="AG246" s="96">
        <v>312075.74</v>
      </c>
      <c r="AH246" s="96">
        <v>315741.07</v>
      </c>
      <c r="AI246" s="96">
        <v>320125.16</v>
      </c>
      <c r="AJ246" s="96">
        <v>359446.13</v>
      </c>
      <c r="AK246" s="96">
        <v>740526.36</v>
      </c>
      <c r="AL246" s="482"/>
      <c r="AM246" s="482"/>
      <c r="AN246" s="482"/>
      <c r="AO246" s="482"/>
      <c r="AP246" s="96">
        <v>745612.12</v>
      </c>
      <c r="AQ246" s="471">
        <v>738991.7</v>
      </c>
      <c r="AR246" s="471">
        <v>762298.0</v>
      </c>
      <c r="AS246" s="471">
        <v>765437.97</v>
      </c>
      <c r="AT246" s="471">
        <v>768429.57</v>
      </c>
      <c r="AU246" s="471">
        <v>784983.14</v>
      </c>
      <c r="AV246" s="96">
        <v>785087.26</v>
      </c>
      <c r="AW246" s="96">
        <v>776994.57</v>
      </c>
      <c r="AX246" s="96">
        <v>761139.32</v>
      </c>
      <c r="AY246" s="96">
        <v>748549.32</v>
      </c>
      <c r="AZ246" s="96">
        <v>730050.23</v>
      </c>
      <c r="BA246" s="96">
        <v>719015.13</v>
      </c>
      <c r="BB246" s="96">
        <v>725038.65</v>
      </c>
      <c r="BC246" s="96">
        <v>747621.13</v>
      </c>
      <c r="BD246" s="96">
        <v>748326.94</v>
      </c>
      <c r="BE246" s="96">
        <v>772900.59</v>
      </c>
      <c r="BF246" s="96">
        <v>760764.35</v>
      </c>
      <c r="BG246" s="472">
        <v>758930.66</v>
      </c>
      <c r="BH246" s="472">
        <v>751640.04</v>
      </c>
      <c r="BI246" s="472">
        <v>766674.6</v>
      </c>
      <c r="BJ246" s="472">
        <v>774108.29</v>
      </c>
      <c r="BK246" s="472">
        <v>780411.56</v>
      </c>
      <c r="BL246" s="472">
        <v>808356.32</v>
      </c>
      <c r="BM246" s="472">
        <v>804159.39</v>
      </c>
      <c r="BN246" s="472">
        <v>810356.55</v>
      </c>
      <c r="BO246" s="472">
        <v>819409.9</v>
      </c>
      <c r="BP246" s="472">
        <v>468944.56</v>
      </c>
      <c r="BQ246" s="472">
        <v>0.0</v>
      </c>
      <c r="BR246" s="472">
        <v>0.0</v>
      </c>
      <c r="BS246" s="472">
        <v>0.0</v>
      </c>
      <c r="BT246" s="472">
        <v>0.0</v>
      </c>
      <c r="BU246" s="472">
        <v>0.0</v>
      </c>
      <c r="BV246" s="472">
        <v>0.0</v>
      </c>
      <c r="BW246" s="472">
        <v>0.0</v>
      </c>
      <c r="BX246" s="472">
        <v>0.0</v>
      </c>
      <c r="BY246" s="472">
        <v>0.0</v>
      </c>
      <c r="BZ246" s="472">
        <v>0.0</v>
      </c>
      <c r="CA246" s="474">
        <v>0.0</v>
      </c>
      <c r="CB246" s="474">
        <v>0.0</v>
      </c>
      <c r="CC246" s="474">
        <v>0.0</v>
      </c>
      <c r="CD246" s="474">
        <v>0.0</v>
      </c>
      <c r="CE246" s="474">
        <v>0.0</v>
      </c>
      <c r="CF246" s="474">
        <v>0.0</v>
      </c>
      <c r="CG246" s="474">
        <v>0.0</v>
      </c>
      <c r="CH246" s="65">
        <v>0.0</v>
      </c>
      <c r="CI246" s="65">
        <v>0.0</v>
      </c>
      <c r="CJ246" s="65">
        <v>0.0</v>
      </c>
      <c r="CK246" s="65">
        <v>0.0</v>
      </c>
      <c r="CL246" s="65">
        <v>0.0</v>
      </c>
      <c r="CM246" s="65">
        <v>0.0</v>
      </c>
      <c r="CN246" s="65">
        <v>0.0</v>
      </c>
    </row>
    <row r="247" ht="15.75" customHeight="1">
      <c r="A247" s="462" t="s">
        <v>2346</v>
      </c>
      <c r="B247" s="510" t="s">
        <v>6353</v>
      </c>
      <c r="C247" s="141">
        <v>298684.0</v>
      </c>
      <c r="D247" s="63" t="s">
        <v>669</v>
      </c>
      <c r="E247" s="63" t="s">
        <v>199</v>
      </c>
      <c r="F247" s="81" t="s">
        <v>2388</v>
      </c>
      <c r="G247" s="47" t="str">
        <f t="shared" si="1"/>
        <v>Breno</v>
      </c>
      <c r="H247" s="152" t="s">
        <v>224</v>
      </c>
      <c r="I247" s="74" t="s">
        <v>66</v>
      </c>
      <c r="J247" s="63" t="str">
        <f t="shared" si="4"/>
        <v>Não</v>
      </c>
      <c r="K247" s="467">
        <v>43570.0</v>
      </c>
      <c r="L247" s="467">
        <v>45007.0</v>
      </c>
      <c r="M247" s="81" t="s">
        <v>231</v>
      </c>
      <c r="N247" s="478">
        <v>0.02</v>
      </c>
      <c r="O247" s="141" t="s">
        <v>233</v>
      </c>
      <c r="P247" s="145">
        <v>0.2</v>
      </c>
      <c r="Q247" s="158"/>
      <c r="R247" s="158"/>
      <c r="S247" s="62" t="s">
        <v>194</v>
      </c>
      <c r="T247" s="30" t="s">
        <v>6356</v>
      </c>
      <c r="U247" s="81" t="s">
        <v>199</v>
      </c>
      <c r="V247" s="49" t="str">
        <f t="shared" si="3"/>
        <v>Encerrado</v>
      </c>
      <c r="W247" s="150"/>
      <c r="X247" s="150"/>
      <c r="Y247" s="81"/>
      <c r="Z247" s="81"/>
      <c r="AA247" s="81"/>
      <c r="AB247" s="30"/>
      <c r="AC247" s="96">
        <v>0.0</v>
      </c>
      <c r="AD247" s="96">
        <v>0.0</v>
      </c>
      <c r="AE247" s="96">
        <v>0.0</v>
      </c>
      <c r="AF247" s="96">
        <v>0.0</v>
      </c>
      <c r="AG247" s="96">
        <v>0.0</v>
      </c>
      <c r="AH247" s="96">
        <v>0.0</v>
      </c>
      <c r="AI247" s="96">
        <v>0.0</v>
      </c>
      <c r="AJ247" s="96"/>
      <c r="AK247" s="96"/>
      <c r="AL247" s="96">
        <v>733421.83</v>
      </c>
      <c r="AM247" s="96">
        <v>76932.08</v>
      </c>
      <c r="AN247" s="96">
        <v>779671.58</v>
      </c>
      <c r="AO247" s="96">
        <v>764648.77</v>
      </c>
      <c r="AP247" s="96"/>
      <c r="AQ247" s="96"/>
      <c r="AR247" s="96"/>
      <c r="AS247" s="96"/>
      <c r="AT247" s="96"/>
      <c r="AU247" s="96"/>
      <c r="AV247" s="482"/>
      <c r="AW247" s="482"/>
      <c r="AX247" s="482"/>
      <c r="AY247" s="96"/>
      <c r="AZ247" s="96"/>
      <c r="BA247" s="96"/>
      <c r="BB247" s="96"/>
      <c r="BC247" s="96"/>
      <c r="BD247" s="96">
        <v>0.0</v>
      </c>
      <c r="BE247" s="96">
        <v>0.0</v>
      </c>
      <c r="BF247" s="96">
        <v>0.0</v>
      </c>
      <c r="BG247" s="96" t="s">
        <v>377</v>
      </c>
      <c r="BH247" s="96">
        <v>0.0</v>
      </c>
      <c r="BI247" s="96" t="s">
        <v>377</v>
      </c>
      <c r="BJ247" s="96">
        <v>0.0</v>
      </c>
      <c r="BK247" s="472">
        <v>0.0</v>
      </c>
      <c r="BL247" s="472">
        <v>0.0</v>
      </c>
      <c r="BM247" s="472">
        <v>0.0</v>
      </c>
      <c r="BN247" s="472">
        <v>0.0</v>
      </c>
      <c r="BO247" s="472">
        <v>0.0</v>
      </c>
      <c r="BP247" s="472">
        <v>0.0</v>
      </c>
      <c r="BQ247" s="472">
        <v>0.0</v>
      </c>
      <c r="BR247" s="472">
        <v>0.0</v>
      </c>
      <c r="BS247" s="472">
        <v>0.0</v>
      </c>
      <c r="BT247" s="472">
        <v>0.0</v>
      </c>
      <c r="BU247" s="472">
        <v>0.0</v>
      </c>
      <c r="BV247" s="472">
        <v>0.0</v>
      </c>
      <c r="BW247" s="472">
        <v>0.0</v>
      </c>
      <c r="BX247" s="472">
        <v>0.0</v>
      </c>
      <c r="BY247" s="472">
        <v>0.0</v>
      </c>
      <c r="BZ247" s="472">
        <v>0.0</v>
      </c>
      <c r="CA247" s="474">
        <v>0.0</v>
      </c>
      <c r="CB247" s="474">
        <v>0.0</v>
      </c>
      <c r="CC247" s="474">
        <v>0.0</v>
      </c>
      <c r="CD247" s="474">
        <v>0.0</v>
      </c>
      <c r="CE247" s="474">
        <v>0.0</v>
      </c>
      <c r="CF247" s="474">
        <v>0.0</v>
      </c>
      <c r="CG247" s="474">
        <v>0.0</v>
      </c>
      <c r="CH247" s="65">
        <v>0.0</v>
      </c>
      <c r="CI247" s="65">
        <v>0.0</v>
      </c>
      <c r="CJ247" s="65">
        <v>0.0</v>
      </c>
      <c r="CK247" s="65">
        <v>0.0</v>
      </c>
      <c r="CL247" s="65">
        <v>0.0</v>
      </c>
      <c r="CM247" s="65">
        <v>0.0</v>
      </c>
      <c r="CN247" s="65">
        <v>0.0</v>
      </c>
    </row>
    <row r="248" ht="15.75" customHeight="1">
      <c r="A248" s="462" t="s">
        <v>2346</v>
      </c>
      <c r="B248" s="50" t="s">
        <v>6379</v>
      </c>
      <c r="C248" s="141">
        <v>32191.0</v>
      </c>
      <c r="D248" s="63" t="s">
        <v>120</v>
      </c>
      <c r="E248" s="63" t="s">
        <v>91</v>
      </c>
      <c r="F248" s="66" t="s">
        <v>193</v>
      </c>
      <c r="G248" s="47" t="str">
        <f t="shared" si="1"/>
        <v>Breno</v>
      </c>
      <c r="H248" s="152" t="s">
        <v>224</v>
      </c>
      <c r="I248" s="49" t="s">
        <v>66</v>
      </c>
      <c r="J248" s="63" t="str">
        <f t="shared" si="4"/>
        <v>Não</v>
      </c>
      <c r="K248" s="194">
        <v>44382.0</v>
      </c>
      <c r="L248" s="55">
        <v>44705.0</v>
      </c>
      <c r="M248" s="81" t="s">
        <v>361</v>
      </c>
      <c r="N248" s="464">
        <v>0.02</v>
      </c>
      <c r="O248" s="63" t="s">
        <v>35</v>
      </c>
      <c r="P248" s="145">
        <v>0.2</v>
      </c>
      <c r="Q248" s="368"/>
      <c r="R248" s="70"/>
      <c r="S248" s="62" t="s">
        <v>194</v>
      </c>
      <c r="T248" s="22" t="s">
        <v>6386</v>
      </c>
      <c r="U248" s="95" t="s">
        <v>221</v>
      </c>
      <c r="V248" s="49" t="str">
        <f t="shared" si="3"/>
        <v>Encerrado</v>
      </c>
      <c r="W248" s="150"/>
      <c r="X248" s="150"/>
      <c r="Y248" s="30" t="s">
        <v>244</v>
      </c>
      <c r="Z248" s="81"/>
      <c r="AA248" s="81"/>
      <c r="AB248" s="30"/>
      <c r="AC248" s="476"/>
      <c r="AD248" s="476"/>
      <c r="AE248" s="476"/>
      <c r="AF248" s="476"/>
      <c r="AG248" s="476"/>
      <c r="AH248" s="476"/>
      <c r="AI248" s="476"/>
      <c r="AJ248" s="476"/>
      <c r="AK248" s="476"/>
      <c r="AL248" s="476"/>
      <c r="AM248" s="476"/>
      <c r="AN248" s="476"/>
      <c r="AO248" s="96"/>
      <c r="AP248" s="96"/>
      <c r="AQ248" s="96"/>
      <c r="AR248" s="96"/>
      <c r="AS248" s="96"/>
      <c r="AT248" s="96"/>
      <c r="AU248" s="476"/>
      <c r="AV248" s="96">
        <v>120892.91</v>
      </c>
      <c r="AW248" s="96">
        <v>54763.04</v>
      </c>
      <c r="AX248" s="96">
        <v>53126.97</v>
      </c>
      <c r="AY248" s="96">
        <v>51666.16</v>
      </c>
      <c r="AZ248" s="96">
        <v>49508.4</v>
      </c>
      <c r="BA248" s="96">
        <v>48536.71</v>
      </c>
      <c r="BB248" s="96">
        <v>48926.72</v>
      </c>
      <c r="BC248" s="96">
        <v>50088.33</v>
      </c>
      <c r="BD248" s="96">
        <v>50962.87</v>
      </c>
      <c r="BE248" s="96">
        <v>53112.37</v>
      </c>
      <c r="BF248" s="96">
        <v>20904.68</v>
      </c>
      <c r="BG248" s="472">
        <v>5307.78</v>
      </c>
      <c r="BH248" s="472">
        <v>5382.57</v>
      </c>
      <c r="BI248" s="472">
        <v>5483.71</v>
      </c>
      <c r="BJ248" s="472">
        <v>5561.96</v>
      </c>
      <c r="BK248" s="472">
        <v>5596.13</v>
      </c>
      <c r="BL248" s="472">
        <v>5628.94</v>
      </c>
      <c r="BM248" s="472">
        <v>5662.15</v>
      </c>
      <c r="BN248" s="472">
        <v>5695.29</v>
      </c>
      <c r="BO248" s="472">
        <v>91.65</v>
      </c>
      <c r="BP248" s="472">
        <v>91.65</v>
      </c>
      <c r="BQ248" s="472">
        <v>0.0</v>
      </c>
      <c r="BR248" s="472">
        <v>0.0</v>
      </c>
      <c r="BS248" s="472">
        <v>0.0</v>
      </c>
      <c r="BT248" s="472">
        <v>0.0</v>
      </c>
      <c r="BU248" s="472">
        <v>0.0</v>
      </c>
      <c r="BV248" s="472">
        <v>0.0</v>
      </c>
      <c r="BW248" s="472">
        <v>0.0</v>
      </c>
      <c r="BX248" s="472">
        <v>0.0</v>
      </c>
      <c r="BY248" s="472">
        <v>0.0</v>
      </c>
      <c r="BZ248" s="472">
        <v>0.0</v>
      </c>
      <c r="CA248" s="474">
        <v>0.0</v>
      </c>
      <c r="CB248" s="474">
        <v>0.0</v>
      </c>
      <c r="CC248" s="474">
        <v>0.0</v>
      </c>
      <c r="CD248" s="474">
        <v>0.0</v>
      </c>
      <c r="CE248" s="474">
        <v>0.0</v>
      </c>
      <c r="CF248" s="474">
        <v>0.0</v>
      </c>
      <c r="CG248" s="474">
        <v>0.0</v>
      </c>
      <c r="CH248" s="65">
        <v>0.0</v>
      </c>
      <c r="CI248" s="65">
        <v>0.0</v>
      </c>
      <c r="CJ248" s="65">
        <v>0.0</v>
      </c>
      <c r="CK248" s="65">
        <v>0.0</v>
      </c>
      <c r="CL248" s="65">
        <v>0.0</v>
      </c>
      <c r="CM248" s="65">
        <v>0.0</v>
      </c>
      <c r="CN248" s="65">
        <v>0.0</v>
      </c>
    </row>
    <row r="249" ht="15.75" customHeight="1">
      <c r="A249" s="462" t="s">
        <v>2346</v>
      </c>
      <c r="B249" s="510" t="s">
        <v>6219</v>
      </c>
      <c r="C249" s="141">
        <v>450847.0</v>
      </c>
      <c r="D249" s="63" t="s">
        <v>120</v>
      </c>
      <c r="E249" s="63" t="s">
        <v>199</v>
      </c>
      <c r="F249" s="81" t="s">
        <v>439</v>
      </c>
      <c r="G249" s="47" t="str">
        <f t="shared" si="1"/>
        <v>Breno</v>
      </c>
      <c r="H249" s="152" t="s">
        <v>224</v>
      </c>
      <c r="I249" s="74" t="s">
        <v>66</v>
      </c>
      <c r="J249" s="63" t="str">
        <f t="shared" si="4"/>
        <v>Não</v>
      </c>
      <c r="K249" s="467">
        <v>43990.0</v>
      </c>
      <c r="L249" s="467">
        <v>44309.0</v>
      </c>
      <c r="M249" s="81" t="s">
        <v>209</v>
      </c>
      <c r="N249" s="478">
        <v>0.015</v>
      </c>
      <c r="O249" s="63" t="s">
        <v>35</v>
      </c>
      <c r="P249" s="145">
        <v>0.1</v>
      </c>
      <c r="Q249" s="158"/>
      <c r="R249" s="158"/>
      <c r="S249" s="62" t="s">
        <v>194</v>
      </c>
      <c r="T249" s="30" t="s">
        <v>6218</v>
      </c>
      <c r="U249" s="81" t="s">
        <v>199</v>
      </c>
      <c r="V249" s="49" t="str">
        <f t="shared" si="3"/>
        <v>Encerrado</v>
      </c>
      <c r="W249" s="150"/>
      <c r="X249" s="150"/>
      <c r="Y249" s="81"/>
      <c r="Z249" s="81"/>
      <c r="AA249" s="81"/>
      <c r="AB249" s="30"/>
      <c r="AC249" s="96">
        <v>0.0</v>
      </c>
      <c r="AD249" s="96">
        <v>0.0</v>
      </c>
      <c r="AE249" s="96">
        <v>0.0</v>
      </c>
      <c r="AF249" s="96">
        <v>0.0</v>
      </c>
      <c r="AG249" s="96">
        <v>0.0</v>
      </c>
      <c r="AH249" s="96">
        <v>67714.78</v>
      </c>
      <c r="AI249" s="96">
        <v>71790.67</v>
      </c>
      <c r="AJ249" s="96">
        <v>67278.12</v>
      </c>
      <c r="AK249" s="96">
        <v>63186.8</v>
      </c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482"/>
      <c r="AW249" s="482"/>
      <c r="AX249" s="482"/>
      <c r="AY249" s="96"/>
      <c r="AZ249" s="96"/>
      <c r="BA249" s="96"/>
      <c r="BB249" s="96"/>
      <c r="BC249" s="96"/>
      <c r="BD249" s="96">
        <v>0.0</v>
      </c>
      <c r="BE249" s="96">
        <v>0.0</v>
      </c>
      <c r="BF249" s="96">
        <v>0.0</v>
      </c>
      <c r="BG249" s="96" t="s">
        <v>377</v>
      </c>
      <c r="BH249" s="96">
        <v>0.0</v>
      </c>
      <c r="BI249" s="96" t="s">
        <v>377</v>
      </c>
      <c r="BJ249" s="96">
        <v>0.0</v>
      </c>
      <c r="BK249" s="472">
        <v>0.0</v>
      </c>
      <c r="BL249" s="472">
        <v>0.0</v>
      </c>
      <c r="BM249" s="472">
        <v>0.0</v>
      </c>
      <c r="BN249" s="472">
        <v>0.0</v>
      </c>
      <c r="BO249" s="472">
        <v>0.0</v>
      </c>
      <c r="BP249" s="472">
        <v>0.0</v>
      </c>
      <c r="BQ249" s="472">
        <v>0.0</v>
      </c>
      <c r="BR249" s="472">
        <v>0.0</v>
      </c>
      <c r="BS249" s="472">
        <v>0.0</v>
      </c>
      <c r="BT249" s="472">
        <v>0.0</v>
      </c>
      <c r="BU249" s="472">
        <v>0.0</v>
      </c>
      <c r="BV249" s="472">
        <v>0.0</v>
      </c>
      <c r="BW249" s="472">
        <v>0.0</v>
      </c>
      <c r="BX249" s="472">
        <v>0.0</v>
      </c>
      <c r="BY249" s="472">
        <v>0.0</v>
      </c>
      <c r="BZ249" s="472">
        <v>0.0</v>
      </c>
      <c r="CA249" s="474">
        <v>0.0</v>
      </c>
      <c r="CB249" s="474">
        <v>0.0</v>
      </c>
      <c r="CC249" s="474">
        <v>0.0</v>
      </c>
      <c r="CD249" s="474">
        <v>0.0</v>
      </c>
      <c r="CE249" s="474">
        <v>0.0</v>
      </c>
      <c r="CF249" s="474">
        <v>0.0</v>
      </c>
      <c r="CG249" s="474">
        <v>0.0</v>
      </c>
      <c r="CH249" s="65">
        <v>0.0</v>
      </c>
      <c r="CI249" s="65">
        <v>0.0</v>
      </c>
      <c r="CJ249" s="65">
        <v>0.0</v>
      </c>
      <c r="CK249" s="65">
        <v>0.0</v>
      </c>
      <c r="CL249" s="65">
        <v>0.0</v>
      </c>
      <c r="CM249" s="65">
        <v>0.0</v>
      </c>
      <c r="CN249" s="65">
        <v>0.0</v>
      </c>
    </row>
    <row r="250" ht="15.75" customHeight="1">
      <c r="A250" s="462" t="s">
        <v>2346</v>
      </c>
      <c r="B250" s="50" t="s">
        <v>1210</v>
      </c>
      <c r="C250" s="141">
        <v>75774.0</v>
      </c>
      <c r="D250" s="63" t="s">
        <v>120</v>
      </c>
      <c r="E250" s="63" t="s">
        <v>91</v>
      </c>
      <c r="F250" s="66" t="s">
        <v>193</v>
      </c>
      <c r="G250" s="47" t="str">
        <f t="shared" si="1"/>
        <v>Breno</v>
      </c>
      <c r="H250" s="152" t="s">
        <v>183</v>
      </c>
      <c r="I250" s="74" t="s">
        <v>66</v>
      </c>
      <c r="J250" s="63" t="str">
        <f t="shared" si="4"/>
        <v>Não</v>
      </c>
      <c r="K250" s="143">
        <v>44328.0</v>
      </c>
      <c r="L250" s="81"/>
      <c r="M250" s="81" t="s">
        <v>209</v>
      </c>
      <c r="N250" s="478">
        <v>0.015</v>
      </c>
      <c r="O250" s="63" t="s">
        <v>35</v>
      </c>
      <c r="P250" s="145">
        <v>0.1</v>
      </c>
      <c r="Q250" s="58"/>
      <c r="R250" s="70"/>
      <c r="S250" s="62" t="s">
        <v>194</v>
      </c>
      <c r="T250" s="22" t="s">
        <v>1211</v>
      </c>
      <c r="U250" s="95" t="s">
        <v>221</v>
      </c>
      <c r="V250" s="49" t="str">
        <f t="shared" si="3"/>
        <v>Ativo</v>
      </c>
      <c r="W250" s="150"/>
      <c r="X250" s="150"/>
      <c r="Y250" s="30" t="s">
        <v>244</v>
      </c>
      <c r="Z250" s="81"/>
      <c r="AA250" s="467">
        <v>44328.0</v>
      </c>
      <c r="AB250" s="30">
        <v>4.9075100004307E13</v>
      </c>
      <c r="AC250" s="476"/>
      <c r="AD250" s="476"/>
      <c r="AE250" s="476"/>
      <c r="AF250" s="476"/>
      <c r="AG250" s="476"/>
      <c r="AH250" s="476"/>
      <c r="AI250" s="476"/>
      <c r="AJ250" s="476"/>
      <c r="AK250" s="476"/>
      <c r="AL250" s="476"/>
      <c r="AM250" s="476"/>
      <c r="AN250" s="476"/>
      <c r="AO250" s="476"/>
      <c r="AP250" s="476"/>
      <c r="AQ250" s="471"/>
      <c r="AR250" s="471"/>
      <c r="AS250" s="471"/>
      <c r="AT250" s="471"/>
      <c r="AU250" s="471">
        <v>270279.47</v>
      </c>
      <c r="AV250" s="96">
        <v>271998.37</v>
      </c>
      <c r="AW250" s="96">
        <v>270765.53</v>
      </c>
      <c r="AX250" s="96">
        <v>266487.0</v>
      </c>
      <c r="AY250" s="96">
        <v>240309.55</v>
      </c>
      <c r="AZ250" s="96">
        <v>255423.86</v>
      </c>
      <c r="BA250" s="96">
        <v>253066.95</v>
      </c>
      <c r="BB250" s="96">
        <v>254007.65</v>
      </c>
      <c r="BC250" s="96">
        <v>260697.1</v>
      </c>
      <c r="BD250" s="96">
        <v>262266.95</v>
      </c>
      <c r="BE250" s="96">
        <v>272589.71</v>
      </c>
      <c r="BF250" s="96">
        <v>268336.16</v>
      </c>
      <c r="BG250" s="472">
        <v>267977.02</v>
      </c>
      <c r="BH250" s="472">
        <v>265467.35</v>
      </c>
      <c r="BI250" s="472">
        <v>270262.53</v>
      </c>
      <c r="BJ250" s="472">
        <v>273871.79</v>
      </c>
      <c r="BK250" s="472">
        <v>276538.18</v>
      </c>
      <c r="BL250" s="472">
        <v>286248.94</v>
      </c>
      <c r="BM250" s="472">
        <v>284588.91</v>
      </c>
      <c r="BN250" s="472">
        <v>273626.39</v>
      </c>
      <c r="BO250" s="472">
        <v>290304.99</v>
      </c>
      <c r="BP250" s="472">
        <v>292153.94</v>
      </c>
      <c r="BQ250" s="472">
        <v>295072.51</v>
      </c>
      <c r="BR250" s="472">
        <v>295798.57</v>
      </c>
      <c r="BS250" s="472">
        <v>303358.41</v>
      </c>
      <c r="BT250" s="472">
        <v>307484.26</v>
      </c>
      <c r="BU250" s="472">
        <v>217477.12</v>
      </c>
      <c r="BV250" s="472">
        <v>308786.71</v>
      </c>
      <c r="BW250" s="472">
        <v>306272.96</v>
      </c>
      <c r="BX250" s="472">
        <v>307788.43</v>
      </c>
      <c r="BY250" s="472">
        <v>314015.86</v>
      </c>
      <c r="BZ250" s="472">
        <v>311385.65</v>
      </c>
      <c r="CA250" s="474">
        <v>273058.07</v>
      </c>
      <c r="CB250" s="474">
        <v>316707.29</v>
      </c>
      <c r="CC250" s="474">
        <v>319215.57</v>
      </c>
      <c r="CD250" s="474">
        <v>312818.2</v>
      </c>
      <c r="CE250" s="474">
        <v>304231.1</v>
      </c>
      <c r="CF250" s="474">
        <v>314253.33</v>
      </c>
      <c r="CG250" s="474">
        <v>316642.26</v>
      </c>
      <c r="CH250" s="65">
        <v>321240.34</v>
      </c>
      <c r="CI250" s="65">
        <v>34748.08</v>
      </c>
      <c r="CJ250" s="65">
        <v>34995.62</v>
      </c>
      <c r="CK250" s="65">
        <v>34989.45</v>
      </c>
      <c r="CL250" s="65">
        <v>690.93</v>
      </c>
      <c r="CM250" s="65">
        <v>35774.0</v>
      </c>
      <c r="CN250" s="65">
        <v>36067.56</v>
      </c>
    </row>
    <row r="251" ht="15.75" customHeight="1">
      <c r="A251" s="462" t="s">
        <v>2346</v>
      </c>
      <c r="B251" s="477" t="s">
        <v>6262</v>
      </c>
      <c r="C251" s="141">
        <v>451049.0</v>
      </c>
      <c r="D251" s="63" t="s">
        <v>669</v>
      </c>
      <c r="E251" s="63" t="s">
        <v>199</v>
      </c>
      <c r="F251" s="81" t="s">
        <v>669</v>
      </c>
      <c r="G251" s="47" t="str">
        <f t="shared" si="1"/>
        <v>Breno</v>
      </c>
      <c r="H251" s="152" t="s">
        <v>224</v>
      </c>
      <c r="I251" s="74" t="s">
        <v>66</v>
      </c>
      <c r="J251" s="63" t="str">
        <f t="shared" si="4"/>
        <v>Não</v>
      </c>
      <c r="K251" s="467">
        <v>44036.0</v>
      </c>
      <c r="L251" s="480">
        <v>44484.0</v>
      </c>
      <c r="M251" s="81" t="s">
        <v>34</v>
      </c>
      <c r="N251" s="478">
        <v>0.012</v>
      </c>
      <c r="O251" s="141" t="s">
        <v>66</v>
      </c>
      <c r="P251" s="145">
        <v>0.0</v>
      </c>
      <c r="Q251" s="158"/>
      <c r="R251" s="158"/>
      <c r="S251" s="62" t="s">
        <v>194</v>
      </c>
      <c r="T251" s="30" t="s">
        <v>6418</v>
      </c>
      <c r="U251" s="81" t="s">
        <v>199</v>
      </c>
      <c r="V251" s="49" t="str">
        <f t="shared" si="3"/>
        <v>Encerrado</v>
      </c>
      <c r="W251" s="150"/>
      <c r="X251" s="150"/>
      <c r="Y251" s="81"/>
      <c r="Z251" s="81"/>
      <c r="AA251" s="81"/>
      <c r="AB251" s="30"/>
      <c r="AC251" s="96">
        <v>0.0</v>
      </c>
      <c r="AD251" s="96">
        <v>0.0</v>
      </c>
      <c r="AE251" s="96">
        <v>0.0</v>
      </c>
      <c r="AF251" s="96">
        <v>0.0</v>
      </c>
      <c r="AG251" s="96">
        <v>0.0</v>
      </c>
      <c r="AH251" s="96">
        <v>0.0</v>
      </c>
      <c r="AI251" s="96">
        <v>30461.16</v>
      </c>
      <c r="AJ251" s="96">
        <v>30245.47</v>
      </c>
      <c r="AK251" s="96">
        <v>29907.87</v>
      </c>
      <c r="AL251" s="96">
        <v>62946.48</v>
      </c>
      <c r="AM251" s="96">
        <v>71454.95</v>
      </c>
      <c r="AN251" s="96">
        <v>0.0</v>
      </c>
      <c r="AO251" s="482"/>
      <c r="AP251" s="96">
        <v>30803.16</v>
      </c>
      <c r="AQ251" s="96">
        <v>30681.75</v>
      </c>
      <c r="AR251" s="96">
        <v>31106.87</v>
      </c>
      <c r="AS251" s="96">
        <v>31180.94</v>
      </c>
      <c r="AT251" s="96">
        <v>31078.54</v>
      </c>
      <c r="AU251" s="96">
        <v>31306.96</v>
      </c>
      <c r="AV251" s="96">
        <v>0.83</v>
      </c>
      <c r="AW251" s="482"/>
      <c r="AX251" s="482">
        <v>0.22</v>
      </c>
      <c r="AY251" s="96">
        <v>0.22</v>
      </c>
      <c r="AZ251" s="96"/>
      <c r="BA251" s="96"/>
      <c r="BB251" s="96"/>
      <c r="BC251" s="96"/>
      <c r="BD251" s="96">
        <v>0.0</v>
      </c>
      <c r="BE251" s="96">
        <v>0.0</v>
      </c>
      <c r="BF251" s="96">
        <v>0.0</v>
      </c>
      <c r="BG251" s="96" t="s">
        <v>377</v>
      </c>
      <c r="BH251" s="96">
        <v>0.0</v>
      </c>
      <c r="BI251" s="96" t="s">
        <v>377</v>
      </c>
      <c r="BJ251" s="96">
        <v>0.0</v>
      </c>
      <c r="BK251" s="472">
        <v>0.0</v>
      </c>
      <c r="BL251" s="472">
        <v>0.0</v>
      </c>
      <c r="BM251" s="472">
        <v>0.0</v>
      </c>
      <c r="BN251" s="472">
        <v>0.0</v>
      </c>
      <c r="BO251" s="472">
        <v>0.0</v>
      </c>
      <c r="BP251" s="472">
        <v>0.0</v>
      </c>
      <c r="BQ251" s="472">
        <v>0.0</v>
      </c>
      <c r="BR251" s="472">
        <v>0.0</v>
      </c>
      <c r="BS251" s="472">
        <v>0.0</v>
      </c>
      <c r="BT251" s="472">
        <v>0.0</v>
      </c>
      <c r="BU251" s="472">
        <v>0.0</v>
      </c>
      <c r="BV251" s="472">
        <v>0.0</v>
      </c>
      <c r="BW251" s="472">
        <v>0.0</v>
      </c>
      <c r="BX251" s="472">
        <v>0.0</v>
      </c>
      <c r="BY251" s="472">
        <v>0.0</v>
      </c>
      <c r="BZ251" s="472">
        <v>0.0</v>
      </c>
      <c r="CA251" s="474">
        <v>0.0</v>
      </c>
      <c r="CB251" s="474">
        <v>0.0</v>
      </c>
      <c r="CC251" s="474">
        <v>0.0</v>
      </c>
      <c r="CD251" s="474">
        <v>0.0</v>
      </c>
      <c r="CE251" s="474">
        <v>0.0</v>
      </c>
      <c r="CF251" s="474">
        <v>0.0</v>
      </c>
      <c r="CG251" s="474">
        <v>0.0</v>
      </c>
      <c r="CH251" s="65">
        <v>0.0</v>
      </c>
      <c r="CI251" s="65">
        <v>0.0</v>
      </c>
      <c r="CJ251" s="65">
        <v>0.0</v>
      </c>
      <c r="CK251" s="65">
        <v>0.0</v>
      </c>
      <c r="CL251" s="65">
        <v>0.0</v>
      </c>
      <c r="CM251" s="65">
        <v>0.0</v>
      </c>
      <c r="CN251" s="65">
        <v>0.0</v>
      </c>
    </row>
    <row r="252" ht="15.75" customHeight="1">
      <c r="A252" s="462" t="s">
        <v>2346</v>
      </c>
      <c r="B252" s="249" t="s">
        <v>1215</v>
      </c>
      <c r="C252" s="141">
        <v>386951.0</v>
      </c>
      <c r="D252" s="63" t="s">
        <v>120</v>
      </c>
      <c r="E252" s="63" t="s">
        <v>199</v>
      </c>
      <c r="F252" s="81" t="s">
        <v>290</v>
      </c>
      <c r="G252" s="47" t="str">
        <f t="shared" si="1"/>
        <v>Breno</v>
      </c>
      <c r="H252" s="142" t="s">
        <v>183</v>
      </c>
      <c r="I252" s="74" t="s">
        <v>66</v>
      </c>
      <c r="J252" s="63" t="str">
        <f t="shared" si="4"/>
        <v>Não</v>
      </c>
      <c r="K252" s="467">
        <v>45163.0</v>
      </c>
      <c r="L252" s="480"/>
      <c r="M252" s="81" t="s">
        <v>61</v>
      </c>
      <c r="N252" s="478">
        <v>0.01</v>
      </c>
      <c r="O252" s="141" t="s">
        <v>66</v>
      </c>
      <c r="P252" s="145">
        <v>0.0</v>
      </c>
      <c r="Q252" s="158"/>
      <c r="R252" s="158"/>
      <c r="S252" s="62" t="s">
        <v>194</v>
      </c>
      <c r="T252" s="27" t="s">
        <v>1217</v>
      </c>
      <c r="U252" s="30" t="s">
        <v>622</v>
      </c>
      <c r="V252" s="49" t="str">
        <f t="shared" si="3"/>
        <v>Ativo</v>
      </c>
      <c r="W252" s="150"/>
      <c r="X252" s="150"/>
      <c r="Y252" s="30" t="s">
        <v>244</v>
      </c>
      <c r="Z252" s="81"/>
      <c r="AA252" s="467">
        <v>45163.0</v>
      </c>
      <c r="AB252" s="30">
        <v>4.9075100010791E13</v>
      </c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482"/>
      <c r="AP252" s="96"/>
      <c r="AQ252" s="96"/>
      <c r="AR252" s="96"/>
      <c r="AS252" s="96"/>
      <c r="AT252" s="96"/>
      <c r="AU252" s="96"/>
      <c r="AV252" s="96"/>
      <c r="AW252" s="482"/>
      <c r="AX252" s="482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6"/>
      <c r="BK252" s="472"/>
      <c r="BL252" s="472"/>
      <c r="BM252" s="472"/>
      <c r="BN252" s="472"/>
      <c r="BO252" s="472"/>
      <c r="BP252" s="472"/>
      <c r="BQ252" s="472"/>
      <c r="BR252" s="472"/>
      <c r="BS252" s="472"/>
      <c r="BT252" s="472"/>
      <c r="BU252" s="472"/>
      <c r="BV252" s="472">
        <v>0.0</v>
      </c>
      <c r="BW252" s="472">
        <v>100598.01</v>
      </c>
      <c r="BX252" s="472">
        <v>101991.77</v>
      </c>
      <c r="BY252" s="472">
        <v>101922.06</v>
      </c>
      <c r="BZ252" s="472">
        <v>102763.64</v>
      </c>
      <c r="CA252" s="474">
        <v>103840.42</v>
      </c>
      <c r="CB252" s="474">
        <v>104120.55</v>
      </c>
      <c r="CC252" s="474">
        <v>102186.7</v>
      </c>
      <c r="CD252" s="474">
        <v>106095.58</v>
      </c>
      <c r="CE252" s="474">
        <v>107056.23</v>
      </c>
      <c r="CF252" s="474">
        <v>107992.47</v>
      </c>
      <c r="CG252" s="474">
        <v>109002.66</v>
      </c>
      <c r="CH252" s="65">
        <v>109305.0</v>
      </c>
      <c r="CI252" s="65">
        <v>109097.27</v>
      </c>
      <c r="CJ252" s="65">
        <v>110095.95</v>
      </c>
      <c r="CK252" s="65">
        <v>98655.93</v>
      </c>
      <c r="CL252" s="65">
        <v>110556.17</v>
      </c>
      <c r="CM252" s="65">
        <v>113606.87</v>
      </c>
      <c r="CN252" s="65">
        <v>114256.14</v>
      </c>
    </row>
    <row r="253" ht="15.75" customHeight="1">
      <c r="A253" s="462" t="s">
        <v>2346</v>
      </c>
      <c r="B253" s="510" t="s">
        <v>1227</v>
      </c>
      <c r="C253" s="141">
        <v>273822.0</v>
      </c>
      <c r="D253" s="63" t="s">
        <v>669</v>
      </c>
      <c r="E253" s="63" t="s">
        <v>199</v>
      </c>
      <c r="F253" s="81" t="s">
        <v>1228</v>
      </c>
      <c r="G253" s="47" t="str">
        <f t="shared" si="1"/>
        <v>Breno</v>
      </c>
      <c r="H253" s="152" t="s">
        <v>224</v>
      </c>
      <c r="I253" s="74" t="s">
        <v>66</v>
      </c>
      <c r="J253" s="63" t="str">
        <f t="shared" si="4"/>
        <v>Não</v>
      </c>
      <c r="K253" s="467">
        <v>43564.0</v>
      </c>
      <c r="L253" s="151">
        <v>43899.0</v>
      </c>
      <c r="M253" s="81" t="s">
        <v>231</v>
      </c>
      <c r="N253" s="478">
        <v>0.02</v>
      </c>
      <c r="O253" s="141" t="s">
        <v>233</v>
      </c>
      <c r="P253" s="145">
        <v>0.2</v>
      </c>
      <c r="Q253" s="158"/>
      <c r="R253" s="158"/>
      <c r="S253" s="62" t="s">
        <v>194</v>
      </c>
      <c r="T253" s="30" t="s">
        <v>1234</v>
      </c>
      <c r="U253" s="95" t="s">
        <v>199</v>
      </c>
      <c r="V253" s="49" t="str">
        <f t="shared" si="3"/>
        <v>Encerrado</v>
      </c>
      <c r="W253" s="150"/>
      <c r="X253" s="150"/>
      <c r="Y253" s="81"/>
      <c r="Z253" s="81"/>
      <c r="AA253" s="81"/>
      <c r="AB253" s="30"/>
      <c r="AC253" s="96">
        <v>8761.69</v>
      </c>
      <c r="AD253" s="96">
        <v>8857.1</v>
      </c>
      <c r="AE253" s="96">
        <v>0.0</v>
      </c>
      <c r="AF253" s="96">
        <v>0.0</v>
      </c>
      <c r="AG253" s="96">
        <v>0.0</v>
      </c>
      <c r="AH253" s="96">
        <v>0.0</v>
      </c>
      <c r="AI253" s="96">
        <v>0.0</v>
      </c>
      <c r="AJ253" s="482"/>
      <c r="AK253" s="482"/>
      <c r="AL253" s="96">
        <v>29929.01</v>
      </c>
      <c r="AM253" s="96">
        <v>30932.65</v>
      </c>
      <c r="AN253" s="96">
        <v>31502.25</v>
      </c>
      <c r="AO253" s="96">
        <v>31216.78</v>
      </c>
      <c r="AP253" s="96"/>
      <c r="AQ253" s="96"/>
      <c r="AR253" s="96"/>
      <c r="AS253" s="96"/>
      <c r="AT253" s="96"/>
      <c r="AU253" s="96">
        <v>26052.28</v>
      </c>
      <c r="AV253" s="96">
        <v>26052.28</v>
      </c>
      <c r="AW253" s="96">
        <v>26052.28</v>
      </c>
      <c r="AX253" s="96">
        <v>26052.28</v>
      </c>
      <c r="AY253" s="96"/>
      <c r="AZ253" s="96"/>
      <c r="BA253" s="96"/>
      <c r="BB253" s="96"/>
      <c r="BC253" s="96"/>
      <c r="BD253" s="96">
        <v>0.0</v>
      </c>
      <c r="BE253" s="96">
        <v>0.0</v>
      </c>
      <c r="BF253" s="96">
        <v>0.0</v>
      </c>
      <c r="BG253" s="96" t="s">
        <v>377</v>
      </c>
      <c r="BH253" s="96">
        <v>0.0</v>
      </c>
      <c r="BI253" s="96" t="s">
        <v>377</v>
      </c>
      <c r="BJ253" s="96">
        <v>0.0</v>
      </c>
      <c r="BK253" s="472">
        <v>0.0</v>
      </c>
      <c r="BL253" s="472">
        <v>0.0</v>
      </c>
      <c r="BM253" s="472">
        <v>0.0</v>
      </c>
      <c r="BN253" s="472">
        <v>0.0</v>
      </c>
      <c r="BO253" s="472">
        <v>0.0</v>
      </c>
      <c r="BP253" s="472">
        <v>0.0</v>
      </c>
      <c r="BQ253" s="472">
        <v>0.0</v>
      </c>
      <c r="BR253" s="472">
        <v>0.0</v>
      </c>
      <c r="BS253" s="472">
        <v>0.0</v>
      </c>
      <c r="BT253" s="472">
        <v>0.0</v>
      </c>
      <c r="BU253" s="472">
        <v>0.0</v>
      </c>
      <c r="BV253" s="472">
        <v>0.0</v>
      </c>
      <c r="BW253" s="472">
        <v>0.0</v>
      </c>
      <c r="BX253" s="472">
        <v>0.0</v>
      </c>
      <c r="BY253" s="472">
        <v>0.0</v>
      </c>
      <c r="BZ253" s="472">
        <v>0.0</v>
      </c>
      <c r="CA253" s="474">
        <v>0.0</v>
      </c>
      <c r="CB253" s="474">
        <v>0.0</v>
      </c>
      <c r="CC253" s="474">
        <v>0.0</v>
      </c>
      <c r="CD253" s="474">
        <v>0.0</v>
      </c>
      <c r="CE253" s="474">
        <v>0.0</v>
      </c>
      <c r="CF253" s="474">
        <v>0.0</v>
      </c>
      <c r="CG253" s="474">
        <v>0.0</v>
      </c>
      <c r="CH253" s="65">
        <v>0.0</v>
      </c>
      <c r="CI253" s="65">
        <v>0.0</v>
      </c>
      <c r="CJ253" s="65">
        <v>0.0</v>
      </c>
      <c r="CK253" s="65">
        <v>0.0</v>
      </c>
      <c r="CL253" s="65">
        <v>0.0</v>
      </c>
      <c r="CM253" s="65">
        <v>0.0</v>
      </c>
      <c r="CN253" s="65">
        <v>0.0</v>
      </c>
    </row>
    <row r="254" ht="15.75" customHeight="1">
      <c r="A254" s="462" t="s">
        <v>2346</v>
      </c>
      <c r="B254" s="477" t="s">
        <v>1227</v>
      </c>
      <c r="C254" s="141">
        <v>38503.0</v>
      </c>
      <c r="D254" s="63" t="s">
        <v>120</v>
      </c>
      <c r="E254" s="63" t="s">
        <v>199</v>
      </c>
      <c r="F254" s="63" t="s">
        <v>1914</v>
      </c>
      <c r="G254" s="47" t="str">
        <f t="shared" si="1"/>
        <v>Breno</v>
      </c>
      <c r="H254" s="152" t="s">
        <v>295</v>
      </c>
      <c r="I254" s="49" t="s">
        <v>382</v>
      </c>
      <c r="J254" s="63" t="str">
        <f t="shared" si="4"/>
        <v>Sim</v>
      </c>
      <c r="K254" s="479">
        <v>43811.0</v>
      </c>
      <c r="L254" s="81"/>
      <c r="M254" s="81" t="s">
        <v>34</v>
      </c>
      <c r="N254" s="478">
        <v>0.012</v>
      </c>
      <c r="O254" s="141" t="s">
        <v>66</v>
      </c>
      <c r="P254" s="145">
        <v>0.0</v>
      </c>
      <c r="Q254" s="153" t="s">
        <v>6437</v>
      </c>
      <c r="R254" s="153" t="s">
        <v>959</v>
      </c>
      <c r="S254" s="62" t="s">
        <v>194</v>
      </c>
      <c r="T254" s="30" t="s">
        <v>1234</v>
      </c>
      <c r="U254" s="66" t="s">
        <v>199</v>
      </c>
      <c r="V254" s="49" t="str">
        <f t="shared" si="3"/>
        <v>Ativo</v>
      </c>
      <c r="W254" s="150"/>
      <c r="X254" s="150"/>
      <c r="Y254" s="30" t="s">
        <v>269</v>
      </c>
      <c r="Z254" s="81"/>
      <c r="AA254" s="480">
        <v>43811.0</v>
      </c>
      <c r="AB254" s="30">
        <v>4.9075100004315E13</v>
      </c>
      <c r="AC254" s="96">
        <v>1002347.14</v>
      </c>
      <c r="AD254" s="96">
        <v>991543.44</v>
      </c>
      <c r="AE254" s="96">
        <v>951304.34</v>
      </c>
      <c r="AF254" s="96">
        <v>963372.96</v>
      </c>
      <c r="AG254" s="96">
        <v>973781.19</v>
      </c>
      <c r="AH254" s="96">
        <v>1164927.06</v>
      </c>
      <c r="AI254" s="96">
        <v>1185978.42</v>
      </c>
      <c r="AJ254" s="96">
        <v>1495938.39</v>
      </c>
      <c r="AK254" s="96">
        <v>1396288.53</v>
      </c>
      <c r="AL254" s="482"/>
      <c r="AM254" s="482"/>
      <c r="AN254" s="482"/>
      <c r="AO254" s="482"/>
      <c r="AP254" s="96">
        <v>1491246.94</v>
      </c>
      <c r="AQ254" s="471">
        <v>1486176.76</v>
      </c>
      <c r="AR254" s="471">
        <v>1499038.26</v>
      </c>
      <c r="AS254" s="471">
        <v>1508344.53</v>
      </c>
      <c r="AT254" s="471">
        <v>1507934.1</v>
      </c>
      <c r="AU254" s="471">
        <v>1503686.52</v>
      </c>
      <c r="AV254" s="96">
        <v>1370848.85</v>
      </c>
      <c r="AW254" s="96">
        <v>1320234.63</v>
      </c>
      <c r="AX254" s="96">
        <v>1307388.13</v>
      </c>
      <c r="AY254" s="96">
        <v>1214684.84</v>
      </c>
      <c r="AZ254" s="96">
        <v>1229403.82</v>
      </c>
      <c r="BA254" s="96">
        <v>1221835.86</v>
      </c>
      <c r="BB254" s="96">
        <v>1234230.05</v>
      </c>
      <c r="BC254" s="96">
        <v>1175679.42</v>
      </c>
      <c r="BD254" s="96">
        <v>1225859.36</v>
      </c>
      <c r="BE254" s="96">
        <v>1201452.19</v>
      </c>
      <c r="BF254" s="96">
        <v>1130350.13</v>
      </c>
      <c r="BG254" s="472">
        <v>1078059.46</v>
      </c>
      <c r="BH254" s="472">
        <v>1075359.33</v>
      </c>
      <c r="BI254" s="472">
        <v>928435.43</v>
      </c>
      <c r="BJ254" s="472">
        <v>793290.58</v>
      </c>
      <c r="BK254" s="472">
        <v>762316.69</v>
      </c>
      <c r="BL254" s="472">
        <v>750718.91</v>
      </c>
      <c r="BM254" s="472">
        <v>715352.16</v>
      </c>
      <c r="BN254" s="472">
        <v>720572.64</v>
      </c>
      <c r="BO254" s="472">
        <v>727786.9</v>
      </c>
      <c r="BP254" s="472">
        <v>732159.36</v>
      </c>
      <c r="BQ254" s="472">
        <v>737893.19</v>
      </c>
      <c r="BR254" s="472">
        <v>598111.79</v>
      </c>
      <c r="BS254" s="472">
        <v>603129.52</v>
      </c>
      <c r="BT254" s="472">
        <v>424056.29</v>
      </c>
      <c r="BU254" s="472">
        <v>356473.76</v>
      </c>
      <c r="BV254" s="472">
        <v>359449.51</v>
      </c>
      <c r="BW254" s="472">
        <v>285765.52</v>
      </c>
      <c r="BX254" s="472">
        <v>200449.68</v>
      </c>
      <c r="BY254" s="472">
        <v>201822.44</v>
      </c>
      <c r="BZ254" s="472">
        <v>149750.71</v>
      </c>
      <c r="CA254" s="474">
        <v>115457.58</v>
      </c>
      <c r="CB254" s="474">
        <v>115353.52</v>
      </c>
      <c r="CC254" s="474">
        <v>19413.46</v>
      </c>
      <c r="CD254" s="474">
        <v>19479.81</v>
      </c>
      <c r="CE254" s="474">
        <v>19533.06</v>
      </c>
      <c r="CF254" s="474">
        <v>19582.62</v>
      </c>
      <c r="CG254" s="474">
        <v>57.0</v>
      </c>
      <c r="CH254" s="65">
        <v>57.0</v>
      </c>
      <c r="CI254" s="65">
        <v>57.0</v>
      </c>
      <c r="CJ254" s="65">
        <v>57.0</v>
      </c>
      <c r="CK254" s="65">
        <v>57.0</v>
      </c>
      <c r="CL254" s="65">
        <v>0.57</v>
      </c>
      <c r="CM254" s="65">
        <v>0.57</v>
      </c>
      <c r="CN254" s="65">
        <v>0.57</v>
      </c>
    </row>
    <row r="255" ht="15.75" customHeight="1">
      <c r="A255" s="462" t="s">
        <v>2346</v>
      </c>
      <c r="B255" s="510" t="s">
        <v>1240</v>
      </c>
      <c r="C255" s="141">
        <v>34479.0</v>
      </c>
      <c r="D255" s="63" t="s">
        <v>120</v>
      </c>
      <c r="E255" s="63" t="s">
        <v>91</v>
      </c>
      <c r="F255" s="81" t="s">
        <v>699</v>
      </c>
      <c r="G255" s="47" t="str">
        <f t="shared" si="1"/>
        <v>Breno</v>
      </c>
      <c r="H255" s="142" t="s">
        <v>295</v>
      </c>
      <c r="I255" s="49" t="s">
        <v>382</v>
      </c>
      <c r="J255" s="63" t="str">
        <f t="shared" si="4"/>
        <v>Sim</v>
      </c>
      <c r="K255" s="467">
        <v>44761.0</v>
      </c>
      <c r="L255" s="467"/>
      <c r="M255" s="81" t="s">
        <v>61</v>
      </c>
      <c r="N255" s="478">
        <v>0.007</v>
      </c>
      <c r="O255" s="141" t="s">
        <v>66</v>
      </c>
      <c r="P255" s="145">
        <v>0.0</v>
      </c>
      <c r="Q255" s="158" t="s">
        <v>1244</v>
      </c>
      <c r="R255" s="158"/>
      <c r="S255" s="62" t="s">
        <v>194</v>
      </c>
      <c r="T255" s="30" t="s">
        <v>1245</v>
      </c>
      <c r="U255" s="95" t="s">
        <v>221</v>
      </c>
      <c r="V255" s="49" t="str">
        <f t="shared" si="3"/>
        <v>Ativo</v>
      </c>
      <c r="W255" s="150"/>
      <c r="X255" s="150"/>
      <c r="Y255" s="30" t="s">
        <v>244</v>
      </c>
      <c r="Z255" s="81"/>
      <c r="AA255" s="467">
        <v>44761.0</v>
      </c>
      <c r="AB255" s="30">
        <v>4.9075100010803E13</v>
      </c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482"/>
      <c r="AW255" s="482"/>
      <c r="AX255" s="482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>
        <v>865468.97</v>
      </c>
      <c r="BJ255" s="472">
        <v>885173.82</v>
      </c>
      <c r="BK255" s="472">
        <v>370380.64</v>
      </c>
      <c r="BL255" s="472">
        <v>373768.11</v>
      </c>
      <c r="BM255" s="472">
        <v>377155.03</v>
      </c>
      <c r="BN255" s="472">
        <v>380562.07</v>
      </c>
      <c r="BO255" s="472">
        <v>384710.38</v>
      </c>
      <c r="BP255" s="472">
        <v>387776.6</v>
      </c>
      <c r="BQ255" s="472">
        <v>391232.67</v>
      </c>
      <c r="BR255" s="472">
        <v>394024.03</v>
      </c>
      <c r="BS255" s="472">
        <v>0.0</v>
      </c>
      <c r="BT255" s="472">
        <v>0.0</v>
      </c>
      <c r="BU255" s="472">
        <v>0.0</v>
      </c>
      <c r="BV255" s="472">
        <v>0.0</v>
      </c>
      <c r="BW255" s="472">
        <v>0.0</v>
      </c>
      <c r="BX255" s="472">
        <v>0.0</v>
      </c>
      <c r="BY255" s="472">
        <v>0.0</v>
      </c>
      <c r="BZ255" s="472">
        <v>0.0</v>
      </c>
      <c r="CA255" s="474">
        <v>0.0</v>
      </c>
      <c r="CB255" s="474">
        <v>0.0</v>
      </c>
      <c r="CC255" s="474">
        <v>0.0</v>
      </c>
      <c r="CD255" s="474">
        <v>0.0</v>
      </c>
      <c r="CE255" s="474">
        <v>0.0</v>
      </c>
      <c r="CF255" s="474">
        <v>0.0</v>
      </c>
      <c r="CG255" s="474">
        <v>0.0</v>
      </c>
      <c r="CH255" s="65">
        <v>0.0</v>
      </c>
      <c r="CI255" s="65">
        <v>0.0</v>
      </c>
      <c r="CJ255" s="65">
        <v>0.0</v>
      </c>
      <c r="CK255" s="65">
        <v>0.0</v>
      </c>
      <c r="CL255" s="65">
        <v>0.29</v>
      </c>
      <c r="CM255" s="65">
        <v>0.29</v>
      </c>
      <c r="CN255" s="65">
        <v>0.29</v>
      </c>
    </row>
    <row r="256" ht="15.75" customHeight="1">
      <c r="A256" s="462" t="s">
        <v>2346</v>
      </c>
      <c r="B256" s="510" t="s">
        <v>1703</v>
      </c>
      <c r="C256" s="141">
        <v>297020.0</v>
      </c>
      <c r="D256" s="63" t="s">
        <v>120</v>
      </c>
      <c r="E256" s="63" t="s">
        <v>199</v>
      </c>
      <c r="F256" s="81" t="s">
        <v>290</v>
      </c>
      <c r="G256" s="47" t="str">
        <f t="shared" si="1"/>
        <v>Breno</v>
      </c>
      <c r="H256" s="152" t="s">
        <v>224</v>
      </c>
      <c r="I256" s="74" t="s">
        <v>66</v>
      </c>
      <c r="J256" s="63" t="str">
        <f t="shared" si="4"/>
        <v>Não</v>
      </c>
      <c r="K256" s="467">
        <v>43475.0</v>
      </c>
      <c r="L256" s="467">
        <v>44309.0</v>
      </c>
      <c r="M256" s="81" t="s">
        <v>361</v>
      </c>
      <c r="N256" s="478">
        <v>0.015</v>
      </c>
      <c r="O256" s="63" t="s">
        <v>35</v>
      </c>
      <c r="P256" s="145">
        <v>0.2</v>
      </c>
      <c r="Q256" s="683"/>
      <c r="R256" s="683"/>
      <c r="S256" s="62" t="s">
        <v>194</v>
      </c>
      <c r="T256" s="30" t="s">
        <v>1706</v>
      </c>
      <c r="U256" s="81" t="s">
        <v>199</v>
      </c>
      <c r="V256" s="49" t="str">
        <f t="shared" si="3"/>
        <v>Encerrado</v>
      </c>
      <c r="W256" s="150"/>
      <c r="X256" s="150"/>
      <c r="Y256" s="81"/>
      <c r="Z256" s="81"/>
      <c r="AA256" s="81"/>
      <c r="AB256" s="30"/>
      <c r="AC256" s="96">
        <v>110797.11</v>
      </c>
      <c r="AD256" s="96">
        <v>107308.33</v>
      </c>
      <c r="AE256" s="96">
        <v>97522.68</v>
      </c>
      <c r="AF256" s="96">
        <v>99909.68</v>
      </c>
      <c r="AG256" s="96">
        <v>101363.87</v>
      </c>
      <c r="AH256" s="96">
        <v>103410.41</v>
      </c>
      <c r="AI256" s="96">
        <v>105146.28</v>
      </c>
      <c r="AJ256" s="96">
        <v>102279.88</v>
      </c>
      <c r="AK256" s="96">
        <v>100101.96</v>
      </c>
      <c r="AL256" s="96">
        <v>1379673.24</v>
      </c>
      <c r="AM256" s="96">
        <v>1568661.45</v>
      </c>
      <c r="AN256" s="96">
        <v>1539323.24</v>
      </c>
      <c r="AO256" s="96">
        <v>1507367.72</v>
      </c>
      <c r="AP256" s="96">
        <v>26077.54</v>
      </c>
      <c r="AQ256" s="96"/>
      <c r="AR256" s="96"/>
      <c r="AS256" s="96"/>
      <c r="AT256" s="96"/>
      <c r="AU256" s="96"/>
      <c r="AV256" s="482"/>
      <c r="AW256" s="482"/>
      <c r="AX256" s="482"/>
      <c r="AY256" s="96"/>
      <c r="AZ256" s="96"/>
      <c r="BA256" s="96"/>
      <c r="BB256" s="96"/>
      <c r="BC256" s="96"/>
      <c r="BD256" s="96">
        <v>0.0</v>
      </c>
      <c r="BE256" s="96">
        <v>0.0</v>
      </c>
      <c r="BF256" s="96">
        <v>0.0</v>
      </c>
      <c r="BG256" s="96" t="s">
        <v>377</v>
      </c>
      <c r="BH256" s="96">
        <v>0.0</v>
      </c>
      <c r="BI256" s="96" t="s">
        <v>377</v>
      </c>
      <c r="BJ256" s="96">
        <v>0.0</v>
      </c>
      <c r="BK256" s="472">
        <v>0.0</v>
      </c>
      <c r="BL256" s="472">
        <v>0.0</v>
      </c>
      <c r="BM256" s="472">
        <v>0.0</v>
      </c>
      <c r="BN256" s="472">
        <v>0.0</v>
      </c>
      <c r="BO256" s="472">
        <v>0.0</v>
      </c>
      <c r="BP256" s="472">
        <v>0.0</v>
      </c>
      <c r="BQ256" s="472">
        <v>0.0</v>
      </c>
      <c r="BR256" s="472">
        <v>0.0</v>
      </c>
      <c r="BS256" s="472">
        <v>0.0</v>
      </c>
      <c r="BT256" s="472">
        <v>0.0</v>
      </c>
      <c r="BU256" s="472">
        <v>0.0</v>
      </c>
      <c r="BV256" s="472">
        <v>0.0</v>
      </c>
      <c r="BW256" s="472">
        <v>0.0</v>
      </c>
      <c r="BX256" s="472">
        <v>0.0</v>
      </c>
      <c r="BY256" s="472">
        <v>0.0</v>
      </c>
      <c r="BZ256" s="472">
        <v>0.0</v>
      </c>
      <c r="CA256" s="474">
        <v>0.0</v>
      </c>
      <c r="CB256" s="474">
        <v>0.0</v>
      </c>
      <c r="CC256" s="474">
        <v>0.0</v>
      </c>
      <c r="CD256" s="474">
        <v>0.0</v>
      </c>
      <c r="CE256" s="474">
        <v>0.0</v>
      </c>
      <c r="CF256" s="474">
        <v>0.0</v>
      </c>
      <c r="CG256" s="474">
        <v>0.0</v>
      </c>
      <c r="CH256" s="65">
        <v>0.0</v>
      </c>
      <c r="CI256" s="65">
        <v>0.0</v>
      </c>
      <c r="CJ256" s="65">
        <v>0.0</v>
      </c>
      <c r="CK256" s="65">
        <v>0.0</v>
      </c>
      <c r="CL256" s="65">
        <v>0.0</v>
      </c>
      <c r="CM256" s="65">
        <v>0.0</v>
      </c>
      <c r="CN256" s="65">
        <v>0.0</v>
      </c>
    </row>
    <row r="257" ht="15.75" customHeight="1">
      <c r="A257" s="462" t="s">
        <v>2346</v>
      </c>
      <c r="B257" s="50" t="s">
        <v>6467</v>
      </c>
      <c r="C257" s="141">
        <v>32633.0</v>
      </c>
      <c r="D257" s="63" t="s">
        <v>120</v>
      </c>
      <c r="E257" s="63" t="s">
        <v>91</v>
      </c>
      <c r="F257" s="66" t="s">
        <v>521</v>
      </c>
      <c r="G257" s="47" t="str">
        <f t="shared" si="1"/>
        <v>Breno</v>
      </c>
      <c r="H257" s="152" t="s">
        <v>224</v>
      </c>
      <c r="I257" s="74" t="s">
        <v>66</v>
      </c>
      <c r="J257" s="63" t="str">
        <f t="shared" si="4"/>
        <v>Não</v>
      </c>
      <c r="K257" s="143">
        <v>44371.0</v>
      </c>
      <c r="L257" s="55">
        <v>45000.0</v>
      </c>
      <c r="M257" s="81" t="s">
        <v>231</v>
      </c>
      <c r="N257" s="478">
        <v>0.025</v>
      </c>
      <c r="O257" s="141" t="s">
        <v>233</v>
      </c>
      <c r="P257" s="145">
        <v>0.2</v>
      </c>
      <c r="Q257" s="146"/>
      <c r="R257" s="70"/>
      <c r="S257" s="62" t="s">
        <v>194</v>
      </c>
      <c r="T257" s="22" t="s">
        <v>6470</v>
      </c>
      <c r="U257" s="95" t="s">
        <v>221</v>
      </c>
      <c r="V257" s="49" t="str">
        <f t="shared" si="3"/>
        <v>Encerrado</v>
      </c>
      <c r="W257" s="150"/>
      <c r="X257" s="150"/>
      <c r="Y257" s="30" t="s">
        <v>244</v>
      </c>
      <c r="Z257" s="81"/>
      <c r="AA257" s="81"/>
      <c r="AB257" s="30"/>
      <c r="AC257" s="476"/>
      <c r="AD257" s="476"/>
      <c r="AE257" s="476"/>
      <c r="AF257" s="476"/>
      <c r="AG257" s="476"/>
      <c r="AH257" s="476"/>
      <c r="AI257" s="476"/>
      <c r="AJ257" s="476"/>
      <c r="AK257" s="476"/>
      <c r="AL257" s="476"/>
      <c r="AM257" s="476"/>
      <c r="AN257" s="476"/>
      <c r="AO257" s="96"/>
      <c r="AP257" s="471"/>
      <c r="AQ257" s="471"/>
      <c r="AR257" s="471"/>
      <c r="AS257" s="471"/>
      <c r="AT257" s="471"/>
      <c r="AU257" s="476"/>
      <c r="AV257" s="96">
        <v>416203.28</v>
      </c>
      <c r="AW257" s="96">
        <v>407926.14</v>
      </c>
      <c r="AX257" s="96">
        <v>395484.42</v>
      </c>
      <c r="AY257" s="96">
        <v>384252.56</v>
      </c>
      <c r="AZ257" s="96">
        <v>365813.88</v>
      </c>
      <c r="BA257" s="96">
        <v>357575.17</v>
      </c>
      <c r="BB257" s="96">
        <v>358987.34</v>
      </c>
      <c r="BC257" s="96">
        <v>376590.94</v>
      </c>
      <c r="BD257" s="96">
        <v>379223.79</v>
      </c>
      <c r="BE257" s="96">
        <v>402090.91</v>
      </c>
      <c r="BF257" s="96">
        <v>388804.83</v>
      </c>
      <c r="BG257" s="472">
        <v>385257.74</v>
      </c>
      <c r="BH257" s="472">
        <v>361667.71</v>
      </c>
      <c r="BI257" s="472">
        <v>377893.21</v>
      </c>
      <c r="BJ257" s="472">
        <v>382979.59</v>
      </c>
      <c r="BK257" s="472">
        <v>1571.96</v>
      </c>
      <c r="BL257" s="472">
        <v>1101.38</v>
      </c>
      <c r="BM257" s="472">
        <v>1110.37</v>
      </c>
      <c r="BN257" s="472">
        <v>1117.7</v>
      </c>
      <c r="BO257" s="472">
        <v>1352.41</v>
      </c>
      <c r="BP257" s="472">
        <v>1358.84</v>
      </c>
      <c r="BQ257" s="472">
        <v>0.0</v>
      </c>
      <c r="BR257" s="472">
        <v>0.0</v>
      </c>
      <c r="BS257" s="472">
        <v>0.0</v>
      </c>
      <c r="BT257" s="472">
        <v>0.0</v>
      </c>
      <c r="BU257" s="472">
        <v>0.0</v>
      </c>
      <c r="BV257" s="472">
        <v>0.0</v>
      </c>
      <c r="BW257" s="472">
        <v>0.0</v>
      </c>
      <c r="BX257" s="472">
        <v>0.0</v>
      </c>
      <c r="BY257" s="472">
        <v>0.0</v>
      </c>
      <c r="BZ257" s="472">
        <v>0.0</v>
      </c>
      <c r="CA257" s="474">
        <v>0.0</v>
      </c>
      <c r="CB257" s="474">
        <v>0.0</v>
      </c>
      <c r="CC257" s="474">
        <v>0.0</v>
      </c>
      <c r="CD257" s="474">
        <v>0.0</v>
      </c>
      <c r="CE257" s="474">
        <v>0.0</v>
      </c>
      <c r="CF257" s="474">
        <v>0.0</v>
      </c>
      <c r="CG257" s="474">
        <v>0.0</v>
      </c>
      <c r="CH257" s="65">
        <v>0.0</v>
      </c>
      <c r="CI257" s="65">
        <v>0.0</v>
      </c>
      <c r="CJ257" s="65">
        <v>0.0</v>
      </c>
      <c r="CK257" s="65">
        <v>0.0</v>
      </c>
      <c r="CL257" s="65">
        <v>0.0</v>
      </c>
      <c r="CM257" s="65">
        <v>0.0</v>
      </c>
      <c r="CN257" s="65">
        <v>0.0</v>
      </c>
    </row>
    <row r="258" ht="15.75" customHeight="1">
      <c r="A258" s="462" t="s">
        <v>2346</v>
      </c>
      <c r="B258" s="477" t="s">
        <v>6475</v>
      </c>
      <c r="C258" s="141">
        <v>454037.0</v>
      </c>
      <c r="D258" s="63" t="s">
        <v>120</v>
      </c>
      <c r="E258" s="63" t="s">
        <v>54</v>
      </c>
      <c r="F258" s="63" t="s">
        <v>1393</v>
      </c>
      <c r="G258" s="47" t="str">
        <f t="shared" si="1"/>
        <v>Breno</v>
      </c>
      <c r="H258" s="142" t="s">
        <v>295</v>
      </c>
      <c r="I258" s="49" t="s">
        <v>382</v>
      </c>
      <c r="J258" s="63" t="str">
        <f t="shared" si="4"/>
        <v>Não</v>
      </c>
      <c r="K258" s="143">
        <v>44818.0</v>
      </c>
      <c r="L258" s="81"/>
      <c r="M258" s="81" t="s">
        <v>34</v>
      </c>
      <c r="N258" s="478">
        <v>0.012</v>
      </c>
      <c r="O258" s="141" t="s">
        <v>66</v>
      </c>
      <c r="P258" s="145">
        <v>0.0</v>
      </c>
      <c r="Q258" s="158"/>
      <c r="R258" s="158"/>
      <c r="S258" s="62" t="s">
        <v>194</v>
      </c>
      <c r="T258" s="30" t="s">
        <v>6478</v>
      </c>
      <c r="U258" s="30" t="s">
        <v>54</v>
      </c>
      <c r="V258" s="49" t="str">
        <f t="shared" si="3"/>
        <v>Inativo</v>
      </c>
      <c r="W258" s="150"/>
      <c r="X258" s="150"/>
      <c r="Y258" s="30" t="s">
        <v>269</v>
      </c>
      <c r="Z258" s="81"/>
      <c r="AA258" s="467">
        <v>44818.0</v>
      </c>
      <c r="AB258" s="30">
        <v>4.9075100005362E13</v>
      </c>
      <c r="AC258" s="482"/>
      <c r="AD258" s="482"/>
      <c r="AE258" s="482"/>
      <c r="AF258" s="482"/>
      <c r="AG258" s="482"/>
      <c r="AH258" s="482"/>
      <c r="AI258" s="482"/>
      <c r="AJ258" s="482"/>
      <c r="AK258" s="482"/>
      <c r="AL258" s="482"/>
      <c r="AM258" s="482"/>
      <c r="AN258" s="482"/>
      <c r="AO258" s="482"/>
      <c r="AP258" s="96"/>
      <c r="AQ258" s="471"/>
      <c r="AR258" s="471"/>
      <c r="AS258" s="471"/>
      <c r="AT258" s="471"/>
      <c r="AU258" s="471"/>
      <c r="AV258" s="96"/>
      <c r="AW258" s="96"/>
      <c r="AX258" s="96"/>
      <c r="AY258" s="96"/>
      <c r="AZ258" s="96"/>
      <c r="BA258" s="96"/>
      <c r="BB258" s="96"/>
      <c r="BC258" s="96"/>
      <c r="BD258" s="96"/>
      <c r="BE258" s="96"/>
      <c r="BF258" s="96"/>
      <c r="BG258" s="472"/>
      <c r="BH258" s="472"/>
      <c r="BI258" s="472"/>
      <c r="BJ258" s="472">
        <v>74925.33</v>
      </c>
      <c r="BK258" s="472">
        <v>273928.52</v>
      </c>
      <c r="BL258" s="472">
        <v>275859.38</v>
      </c>
      <c r="BM258" s="472">
        <v>277935.74</v>
      </c>
      <c r="BN258" s="472">
        <v>280398.58</v>
      </c>
      <c r="BO258" s="472">
        <v>283498.22</v>
      </c>
      <c r="BP258" s="472">
        <v>283692.06</v>
      </c>
      <c r="BQ258" s="472">
        <v>285504.15</v>
      </c>
      <c r="BR258" s="472">
        <v>0.0</v>
      </c>
      <c r="BS258" s="472">
        <v>44.17</v>
      </c>
      <c r="BT258" s="472">
        <v>0.0</v>
      </c>
      <c r="BU258" s="472">
        <v>0.0</v>
      </c>
      <c r="BV258" s="472">
        <v>0.0</v>
      </c>
      <c r="BW258" s="472">
        <v>0.0</v>
      </c>
      <c r="BX258" s="472">
        <v>0.0</v>
      </c>
      <c r="BY258" s="472">
        <v>0.0</v>
      </c>
      <c r="BZ258" s="472">
        <v>0.0</v>
      </c>
      <c r="CA258" s="474">
        <v>0.0</v>
      </c>
      <c r="CB258" s="474">
        <v>0.0</v>
      </c>
      <c r="CC258" s="474">
        <v>0.0</v>
      </c>
      <c r="CD258" s="474">
        <v>0.0</v>
      </c>
      <c r="CE258" s="474">
        <v>0.0</v>
      </c>
      <c r="CF258" s="474">
        <v>0.0</v>
      </c>
      <c r="CG258" s="474">
        <v>0.0</v>
      </c>
      <c r="CH258" s="65">
        <v>0.0</v>
      </c>
      <c r="CI258" s="65">
        <v>0.0</v>
      </c>
      <c r="CJ258" s="65">
        <v>0.0</v>
      </c>
      <c r="CK258" s="65">
        <v>0.0</v>
      </c>
      <c r="CL258" s="65">
        <v>0.0</v>
      </c>
      <c r="CM258" s="65">
        <v>0.0</v>
      </c>
      <c r="CN258" s="65">
        <v>0.0</v>
      </c>
    </row>
    <row r="259" ht="15.75" customHeight="1">
      <c r="A259" s="462" t="s">
        <v>2346</v>
      </c>
      <c r="B259" s="477" t="s">
        <v>6172</v>
      </c>
      <c r="C259" s="141">
        <v>448825.0</v>
      </c>
      <c r="D259" s="63" t="s">
        <v>120</v>
      </c>
      <c r="E259" s="63" t="s">
        <v>91</v>
      </c>
      <c r="F259" s="63" t="s">
        <v>193</v>
      </c>
      <c r="G259" s="47" t="str">
        <f t="shared" si="1"/>
        <v>Breno</v>
      </c>
      <c r="H259" s="142" t="s">
        <v>295</v>
      </c>
      <c r="I259" s="49" t="s">
        <v>382</v>
      </c>
      <c r="J259" s="63" t="str">
        <f t="shared" si="4"/>
        <v>Não</v>
      </c>
      <c r="K259" s="143">
        <v>44287.0</v>
      </c>
      <c r="L259" s="81"/>
      <c r="M259" s="81" t="s">
        <v>34</v>
      </c>
      <c r="N259" s="478">
        <v>0.012</v>
      </c>
      <c r="O259" s="141" t="s">
        <v>66</v>
      </c>
      <c r="P259" s="145">
        <v>0.0</v>
      </c>
      <c r="Q259" s="146"/>
      <c r="R259" s="158"/>
      <c r="S259" s="62" t="s">
        <v>194</v>
      </c>
      <c r="T259" s="30" t="s">
        <v>6482</v>
      </c>
      <c r="U259" s="81" t="s">
        <v>475</v>
      </c>
      <c r="V259" s="49" t="str">
        <f t="shared" si="3"/>
        <v>Inativo</v>
      </c>
      <c r="W259" s="150"/>
      <c r="X259" s="150"/>
      <c r="Y259" s="30" t="s">
        <v>269</v>
      </c>
      <c r="Z259" s="81"/>
      <c r="AA259" s="467">
        <v>44287.0</v>
      </c>
      <c r="AB259" s="30">
        <v>4.9075100006271E13</v>
      </c>
      <c r="AC259" s="482"/>
      <c r="AD259" s="482"/>
      <c r="AE259" s="482"/>
      <c r="AF259" s="482"/>
      <c r="AG259" s="482"/>
      <c r="AH259" s="482"/>
      <c r="AI259" s="482"/>
      <c r="AJ259" s="482"/>
      <c r="AK259" s="482"/>
      <c r="AL259" s="482"/>
      <c r="AM259" s="482"/>
      <c r="AN259" s="482"/>
      <c r="AO259" s="482"/>
      <c r="AP259" s="96"/>
      <c r="AQ259" s="471"/>
      <c r="AR259" s="471">
        <v>1957861.95</v>
      </c>
      <c r="AS259" s="471"/>
      <c r="AT259" s="471">
        <v>1401234.77</v>
      </c>
      <c r="AU259" s="471">
        <v>1433438.01</v>
      </c>
      <c r="AV259" s="96">
        <v>1414252.62</v>
      </c>
      <c r="AW259" s="96">
        <v>1400043.41</v>
      </c>
      <c r="AX259" s="96">
        <v>1372773.44</v>
      </c>
      <c r="AY259" s="96">
        <v>1353082.99</v>
      </c>
      <c r="AZ259" s="96">
        <v>1319317.77</v>
      </c>
      <c r="BA259" s="96">
        <v>1306605.2</v>
      </c>
      <c r="BB259" s="96">
        <v>1317837.94</v>
      </c>
      <c r="BC259" s="96">
        <v>1345959.33</v>
      </c>
      <c r="BD259" s="96">
        <v>1355026.7</v>
      </c>
      <c r="BE259" s="96">
        <v>1246146.41</v>
      </c>
      <c r="BF259" s="96">
        <v>1225716.39</v>
      </c>
      <c r="BG259" s="472">
        <v>1095815.96</v>
      </c>
      <c r="BH259" s="472">
        <v>1221019.51</v>
      </c>
      <c r="BI259" s="472">
        <v>1233765.88</v>
      </c>
      <c r="BJ259" s="472">
        <v>1249741.4</v>
      </c>
      <c r="BK259" s="472">
        <v>1186171.86</v>
      </c>
      <c r="BL259" s="472">
        <v>1286893.05</v>
      </c>
      <c r="BM259" s="472">
        <v>1282517.94</v>
      </c>
      <c r="BN259" s="472">
        <v>1293508.38</v>
      </c>
      <c r="BO259" s="472">
        <v>1307184.84</v>
      </c>
      <c r="BP259" s="472">
        <v>1316487.66</v>
      </c>
      <c r="BQ259" s="472">
        <v>1104722.57</v>
      </c>
      <c r="BR259" s="472">
        <v>397517.88</v>
      </c>
      <c r="BS259" s="472">
        <v>274801.04</v>
      </c>
      <c r="BT259" s="472">
        <v>279852.14</v>
      </c>
      <c r="BU259" s="472">
        <v>283211.13</v>
      </c>
      <c r="BV259" s="472">
        <v>286606.01</v>
      </c>
      <c r="BW259" s="472">
        <v>220.64</v>
      </c>
      <c r="BX259" s="472">
        <v>453.89</v>
      </c>
      <c r="BY259" s="472">
        <v>93.04</v>
      </c>
      <c r="BZ259" s="472">
        <v>0.0</v>
      </c>
      <c r="CA259" s="474">
        <v>0.0</v>
      </c>
      <c r="CB259" s="474">
        <v>0.0</v>
      </c>
      <c r="CC259" s="474">
        <v>0.0</v>
      </c>
      <c r="CD259" s="474">
        <v>0.0</v>
      </c>
      <c r="CE259" s="474">
        <v>0.0</v>
      </c>
      <c r="CF259" s="474">
        <v>0.0</v>
      </c>
      <c r="CG259" s="474">
        <v>0.0</v>
      </c>
      <c r="CH259" s="65">
        <v>0.0</v>
      </c>
      <c r="CI259" s="65">
        <v>0.0</v>
      </c>
      <c r="CJ259" s="65">
        <v>0.0</v>
      </c>
      <c r="CK259" s="65">
        <v>0.0</v>
      </c>
      <c r="CL259" s="65">
        <v>0.0</v>
      </c>
      <c r="CM259" s="65">
        <v>0.0</v>
      </c>
      <c r="CN259" s="65">
        <v>0.0</v>
      </c>
    </row>
    <row r="260" ht="15.75" customHeight="1">
      <c r="A260" s="462" t="s">
        <v>2346</v>
      </c>
      <c r="B260" s="50" t="s">
        <v>6448</v>
      </c>
      <c r="C260" s="141">
        <v>86056.0</v>
      </c>
      <c r="D260" s="63" t="s">
        <v>120</v>
      </c>
      <c r="E260" s="63" t="s">
        <v>91</v>
      </c>
      <c r="F260" s="63" t="s">
        <v>193</v>
      </c>
      <c r="G260" s="47" t="str">
        <f t="shared" si="1"/>
        <v>Breno</v>
      </c>
      <c r="H260" s="142" t="s">
        <v>295</v>
      </c>
      <c r="I260" s="49" t="s">
        <v>382</v>
      </c>
      <c r="J260" s="63" t="str">
        <f t="shared" si="4"/>
        <v>Não</v>
      </c>
      <c r="K260" s="143">
        <v>44321.0</v>
      </c>
      <c r="L260" s="81"/>
      <c r="M260" s="81" t="s">
        <v>61</v>
      </c>
      <c r="N260" s="478">
        <v>0.015</v>
      </c>
      <c r="O260" s="141" t="s">
        <v>66</v>
      </c>
      <c r="P260" s="145">
        <v>0.0</v>
      </c>
      <c r="Q260" s="146"/>
      <c r="R260" s="70"/>
      <c r="S260" s="62" t="s">
        <v>194</v>
      </c>
      <c r="T260" s="22" t="s">
        <v>6488</v>
      </c>
      <c r="U260" s="95" t="s">
        <v>221</v>
      </c>
      <c r="V260" s="49" t="str">
        <f t="shared" si="3"/>
        <v>Inativo</v>
      </c>
      <c r="W260" s="150"/>
      <c r="X260" s="150"/>
      <c r="Y260" s="30" t="s">
        <v>244</v>
      </c>
      <c r="Z260" s="81"/>
      <c r="AA260" s="467">
        <v>44321.0</v>
      </c>
      <c r="AB260" s="30">
        <v>4.9075100003637E13</v>
      </c>
      <c r="AC260" s="476"/>
      <c r="AD260" s="476"/>
      <c r="AE260" s="476"/>
      <c r="AF260" s="476"/>
      <c r="AG260" s="476"/>
      <c r="AH260" s="476"/>
      <c r="AI260" s="476"/>
      <c r="AJ260" s="476"/>
      <c r="AK260" s="476"/>
      <c r="AL260" s="476"/>
      <c r="AM260" s="476"/>
      <c r="AN260" s="476"/>
      <c r="AO260" s="476"/>
      <c r="AP260" s="96"/>
      <c r="AQ260" s="471"/>
      <c r="AR260" s="471"/>
      <c r="AS260" s="471"/>
      <c r="AT260" s="471"/>
      <c r="AU260" s="471">
        <v>1226086.09</v>
      </c>
      <c r="AV260" s="96">
        <v>1226802.64</v>
      </c>
      <c r="AW260" s="96">
        <v>1123524.39</v>
      </c>
      <c r="AX260" s="96">
        <v>1113409.09</v>
      </c>
      <c r="AY260" s="96">
        <v>1097597.89</v>
      </c>
      <c r="AZ260" s="96">
        <v>1067162.57</v>
      </c>
      <c r="BA260" s="96">
        <v>1059987.03</v>
      </c>
      <c r="BB260" s="96">
        <v>1061677.64</v>
      </c>
      <c r="BC260" s="96">
        <v>1089953.59</v>
      </c>
      <c r="BD260" s="96">
        <v>1095314.66</v>
      </c>
      <c r="BE260" s="96">
        <v>364087.61</v>
      </c>
      <c r="BF260" s="96">
        <v>359475.59</v>
      </c>
      <c r="BG260" s="472">
        <v>355950.56</v>
      </c>
      <c r="BH260" s="472">
        <v>358125.65</v>
      </c>
      <c r="BI260" s="472">
        <v>363464.66</v>
      </c>
      <c r="BJ260" s="472">
        <v>16598.85</v>
      </c>
      <c r="BK260" s="472">
        <v>14923.6</v>
      </c>
      <c r="BL260" s="472">
        <v>14978.25</v>
      </c>
      <c r="BM260" s="472">
        <v>15073.31</v>
      </c>
      <c r="BN260" s="472">
        <v>15170.68</v>
      </c>
      <c r="BO260" s="472">
        <v>11268.46</v>
      </c>
      <c r="BP260" s="472">
        <v>92.5</v>
      </c>
      <c r="BQ260" s="472">
        <v>81.76</v>
      </c>
      <c r="BR260" s="472">
        <v>81.76</v>
      </c>
      <c r="BS260" s="472">
        <v>81.76</v>
      </c>
      <c r="BT260" s="472">
        <v>0.0</v>
      </c>
      <c r="BU260" s="472">
        <v>0.0</v>
      </c>
      <c r="BV260" s="472">
        <v>0.0</v>
      </c>
      <c r="BW260" s="472">
        <v>0.0</v>
      </c>
      <c r="BX260" s="472">
        <v>0.0</v>
      </c>
      <c r="BY260" s="472">
        <v>0.0</v>
      </c>
      <c r="BZ260" s="472">
        <v>0.0</v>
      </c>
      <c r="CA260" s="474">
        <v>0.0</v>
      </c>
      <c r="CB260" s="474">
        <v>0.0</v>
      </c>
      <c r="CC260" s="474">
        <v>0.0</v>
      </c>
      <c r="CD260" s="474">
        <v>0.0</v>
      </c>
      <c r="CE260" s="474">
        <v>0.0</v>
      </c>
      <c r="CF260" s="474">
        <v>0.0</v>
      </c>
      <c r="CG260" s="474">
        <v>0.0</v>
      </c>
      <c r="CH260" s="65">
        <v>0.0</v>
      </c>
      <c r="CI260" s="65">
        <v>0.0</v>
      </c>
      <c r="CJ260" s="65">
        <v>0.0</v>
      </c>
      <c r="CK260" s="65">
        <v>0.0</v>
      </c>
      <c r="CL260" s="65">
        <v>0.0</v>
      </c>
      <c r="CM260" s="65">
        <v>0.0</v>
      </c>
      <c r="CN260" s="65">
        <v>0.0</v>
      </c>
    </row>
    <row r="261" ht="15.75" customHeight="1">
      <c r="A261" s="462" t="s">
        <v>2346</v>
      </c>
      <c r="B261" s="50" t="s">
        <v>6495</v>
      </c>
      <c r="C261" s="141">
        <v>75471.0</v>
      </c>
      <c r="D261" s="63" t="s">
        <v>120</v>
      </c>
      <c r="E261" s="63" t="s">
        <v>91</v>
      </c>
      <c r="F261" s="63" t="s">
        <v>193</v>
      </c>
      <c r="G261" s="47" t="str">
        <f t="shared" si="1"/>
        <v>Breno</v>
      </c>
      <c r="H261" s="142" t="s">
        <v>295</v>
      </c>
      <c r="I261" s="49" t="s">
        <v>382</v>
      </c>
      <c r="J261" s="63" t="str">
        <f t="shared" si="4"/>
        <v>Não</v>
      </c>
      <c r="K261" s="143">
        <v>44448.0</v>
      </c>
      <c r="L261" s="81"/>
      <c r="M261" s="81" t="s">
        <v>361</v>
      </c>
      <c r="N261" s="478">
        <v>0.02</v>
      </c>
      <c r="O261" s="63" t="s">
        <v>35</v>
      </c>
      <c r="P261" s="145">
        <v>0.2</v>
      </c>
      <c r="Q261" s="70"/>
      <c r="R261" s="70"/>
      <c r="S261" s="62" t="s">
        <v>194</v>
      </c>
      <c r="T261" s="22" t="s">
        <v>6496</v>
      </c>
      <c r="U261" s="95" t="s">
        <v>221</v>
      </c>
      <c r="V261" s="49" t="str">
        <f t="shared" si="3"/>
        <v>Inativo</v>
      </c>
      <c r="W261" s="150"/>
      <c r="X261" s="150"/>
      <c r="Y261" s="30" t="s">
        <v>244</v>
      </c>
      <c r="Z261" s="81"/>
      <c r="AA261" s="467">
        <v>44448.0</v>
      </c>
      <c r="AB261" s="30">
        <v>4.9075100010821E13</v>
      </c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46"/>
      <c r="AN261" s="96"/>
      <c r="AO261" s="96"/>
      <c r="AP261" s="471"/>
      <c r="AQ261" s="471"/>
      <c r="AR261" s="471"/>
      <c r="AS261" s="471"/>
      <c r="AT261" s="471"/>
      <c r="AU261" s="96"/>
      <c r="AV261" s="96"/>
      <c r="AW261" s="476"/>
      <c r="AX261" s="476"/>
      <c r="AY261" s="96">
        <v>290862.39</v>
      </c>
      <c r="AZ261" s="96">
        <v>278140.32</v>
      </c>
      <c r="BA261" s="96">
        <v>273886.68</v>
      </c>
      <c r="BB261" s="96">
        <v>275540.89</v>
      </c>
      <c r="BC261" s="96">
        <v>283598.63</v>
      </c>
      <c r="BD261" s="96">
        <v>223342.02</v>
      </c>
      <c r="BE261" s="96">
        <v>82079.49</v>
      </c>
      <c r="BF261" s="96">
        <v>82240.09</v>
      </c>
      <c r="BG261" s="472">
        <v>83343.66</v>
      </c>
      <c r="BH261" s="472">
        <v>0.0</v>
      </c>
      <c r="BI261" s="472">
        <v>85182.38</v>
      </c>
      <c r="BJ261" s="472">
        <v>86247.69</v>
      </c>
      <c r="BK261" s="472">
        <v>0.0</v>
      </c>
      <c r="BL261" s="472">
        <v>0.0</v>
      </c>
      <c r="BM261" s="472">
        <v>0.0</v>
      </c>
      <c r="BN261" s="472">
        <v>0.0</v>
      </c>
      <c r="BO261" s="472">
        <v>0.0</v>
      </c>
      <c r="BP261" s="472">
        <v>0.0</v>
      </c>
      <c r="BQ261" s="472">
        <v>0.0</v>
      </c>
      <c r="BR261" s="472">
        <v>0.0</v>
      </c>
      <c r="BS261" s="472">
        <v>0.0</v>
      </c>
      <c r="BT261" s="472">
        <v>0.0</v>
      </c>
      <c r="BU261" s="472">
        <v>0.0</v>
      </c>
      <c r="BV261" s="472">
        <v>0.0</v>
      </c>
      <c r="BW261" s="472">
        <v>0.0</v>
      </c>
      <c r="BX261" s="472">
        <v>0.0</v>
      </c>
      <c r="BY261" s="472">
        <v>0.0</v>
      </c>
      <c r="BZ261" s="472">
        <v>0.0</v>
      </c>
      <c r="CA261" s="474">
        <v>0.0</v>
      </c>
      <c r="CB261" s="474">
        <v>0.0</v>
      </c>
      <c r="CC261" s="474">
        <v>0.0</v>
      </c>
      <c r="CD261" s="474">
        <v>0.0</v>
      </c>
      <c r="CE261" s="474">
        <v>0.0</v>
      </c>
      <c r="CF261" s="474">
        <v>0.0</v>
      </c>
      <c r="CG261" s="474">
        <v>0.0</v>
      </c>
      <c r="CH261" s="65">
        <v>0.0</v>
      </c>
      <c r="CI261" s="65">
        <v>0.0</v>
      </c>
      <c r="CJ261" s="65">
        <v>0.0</v>
      </c>
      <c r="CK261" s="65">
        <v>0.0</v>
      </c>
      <c r="CL261" s="65">
        <v>0.0</v>
      </c>
      <c r="CM261" s="65">
        <v>0.0</v>
      </c>
      <c r="CN261" s="65">
        <v>0.0</v>
      </c>
    </row>
    <row r="262" ht="15.75" customHeight="1">
      <c r="A262" s="462" t="s">
        <v>2346</v>
      </c>
      <c r="B262" s="477" t="s">
        <v>5588</v>
      </c>
      <c r="C262" s="141">
        <v>447893.0</v>
      </c>
      <c r="D262" s="63" t="s">
        <v>669</v>
      </c>
      <c r="E262" s="63" t="s">
        <v>199</v>
      </c>
      <c r="F262" s="81" t="s">
        <v>1228</v>
      </c>
      <c r="G262" s="47" t="str">
        <f t="shared" si="1"/>
        <v>Breno</v>
      </c>
      <c r="H262" s="152" t="s">
        <v>224</v>
      </c>
      <c r="I262" s="74" t="s">
        <v>66</v>
      </c>
      <c r="J262" s="63" t="str">
        <f t="shared" si="4"/>
        <v>Não</v>
      </c>
      <c r="K262" s="467">
        <v>43873.0</v>
      </c>
      <c r="L262" s="467">
        <v>44473.0</v>
      </c>
      <c r="M262" s="81" t="s">
        <v>209</v>
      </c>
      <c r="N262" s="478">
        <v>0.015</v>
      </c>
      <c r="O262" s="63" t="s">
        <v>35</v>
      </c>
      <c r="P262" s="145">
        <v>0.1</v>
      </c>
      <c r="Q262" s="158"/>
      <c r="R262" s="158"/>
      <c r="S262" s="62" t="s">
        <v>194</v>
      </c>
      <c r="T262" s="30" t="s">
        <v>6504</v>
      </c>
      <c r="U262" s="81" t="s">
        <v>199</v>
      </c>
      <c r="V262" s="49" t="str">
        <f t="shared" si="3"/>
        <v>Encerrado</v>
      </c>
      <c r="W262" s="150"/>
      <c r="X262" s="150"/>
      <c r="Y262" s="81"/>
      <c r="Z262" s="81"/>
      <c r="AA262" s="81"/>
      <c r="AB262" s="30"/>
      <c r="AC262" s="96">
        <v>0.0</v>
      </c>
      <c r="AD262" s="96">
        <v>216412.44</v>
      </c>
      <c r="AE262" s="96">
        <v>206795.83</v>
      </c>
      <c r="AF262" s="96">
        <v>210045.72</v>
      </c>
      <c r="AG262" s="96">
        <v>212079.09</v>
      </c>
      <c r="AH262" s="96">
        <v>212436.21</v>
      </c>
      <c r="AI262" s="96">
        <v>215690.26</v>
      </c>
      <c r="AJ262" s="96">
        <v>212835.72</v>
      </c>
      <c r="AK262" s="96">
        <v>210208.9</v>
      </c>
      <c r="AL262" s="96">
        <v>99861.65</v>
      </c>
      <c r="AM262" s="96">
        <v>105502.05</v>
      </c>
      <c r="AN262" s="96">
        <v>107696.34</v>
      </c>
      <c r="AO262" s="96">
        <v>104909.32</v>
      </c>
      <c r="AP262" s="96">
        <v>203112.06</v>
      </c>
      <c r="AQ262" s="96">
        <v>192018.42</v>
      </c>
      <c r="AR262" s="96">
        <v>194944.78</v>
      </c>
      <c r="AS262" s="96">
        <v>194270.59</v>
      </c>
      <c r="AT262" s="96">
        <v>194622.83</v>
      </c>
      <c r="AU262" s="96">
        <v>193378.88</v>
      </c>
      <c r="AV262" s="96">
        <v>192384.99</v>
      </c>
      <c r="AW262" s="96">
        <v>183434.52</v>
      </c>
      <c r="AX262" s="96">
        <v>179990.94</v>
      </c>
      <c r="AY262" s="96">
        <v>154589.27</v>
      </c>
      <c r="AZ262" s="96">
        <v>172179.44</v>
      </c>
      <c r="BA262" s="96"/>
      <c r="BB262" s="96"/>
      <c r="BC262" s="96"/>
      <c r="BD262" s="96">
        <v>0.0</v>
      </c>
      <c r="BE262" s="96">
        <v>0.0</v>
      </c>
      <c r="BF262" s="96">
        <v>0.0</v>
      </c>
      <c r="BG262" s="96" t="s">
        <v>377</v>
      </c>
      <c r="BH262" s="96">
        <v>0.0</v>
      </c>
      <c r="BI262" s="96" t="s">
        <v>377</v>
      </c>
      <c r="BJ262" s="96">
        <v>0.0</v>
      </c>
      <c r="BK262" s="472">
        <v>0.0</v>
      </c>
      <c r="BL262" s="472">
        <v>0.0</v>
      </c>
      <c r="BM262" s="472">
        <v>0.0</v>
      </c>
      <c r="BN262" s="472">
        <v>0.0</v>
      </c>
      <c r="BO262" s="472">
        <v>0.0</v>
      </c>
      <c r="BP262" s="472">
        <v>0.0</v>
      </c>
      <c r="BQ262" s="472">
        <v>0.0</v>
      </c>
      <c r="BR262" s="472">
        <v>0.0</v>
      </c>
      <c r="BS262" s="472">
        <v>0.0</v>
      </c>
      <c r="BT262" s="472">
        <v>0.0</v>
      </c>
      <c r="BU262" s="472">
        <v>0.0</v>
      </c>
      <c r="BV262" s="472">
        <v>0.0</v>
      </c>
      <c r="BW262" s="472">
        <v>0.0</v>
      </c>
      <c r="BX262" s="472">
        <v>0.0</v>
      </c>
      <c r="BY262" s="472">
        <v>0.0</v>
      </c>
      <c r="BZ262" s="472">
        <v>0.0</v>
      </c>
      <c r="CA262" s="474">
        <v>0.0</v>
      </c>
      <c r="CB262" s="474">
        <v>0.0</v>
      </c>
      <c r="CC262" s="474">
        <v>0.0</v>
      </c>
      <c r="CD262" s="474">
        <v>0.0</v>
      </c>
      <c r="CE262" s="474">
        <v>0.0</v>
      </c>
      <c r="CF262" s="474">
        <v>0.0</v>
      </c>
      <c r="CG262" s="474">
        <v>0.0</v>
      </c>
      <c r="CH262" s="65">
        <v>0.0</v>
      </c>
      <c r="CI262" s="65">
        <v>0.0</v>
      </c>
      <c r="CJ262" s="65">
        <v>0.0</v>
      </c>
      <c r="CK262" s="65">
        <v>0.0</v>
      </c>
      <c r="CL262" s="65">
        <v>0.0</v>
      </c>
      <c r="CM262" s="65">
        <v>0.0</v>
      </c>
      <c r="CN262" s="65">
        <v>0.0</v>
      </c>
    </row>
    <row r="263" ht="15.75" customHeight="1">
      <c r="A263" s="462" t="s">
        <v>2346</v>
      </c>
      <c r="B263" s="50" t="s">
        <v>6510</v>
      </c>
      <c r="C263" s="141">
        <v>76397.0</v>
      </c>
      <c r="D263" s="63" t="s">
        <v>120</v>
      </c>
      <c r="E263" s="63" t="s">
        <v>91</v>
      </c>
      <c r="F263" s="63" t="s">
        <v>193</v>
      </c>
      <c r="G263" s="47" t="str">
        <f t="shared" si="1"/>
        <v>Breno</v>
      </c>
      <c r="H263" s="152" t="s">
        <v>295</v>
      </c>
      <c r="I263" s="49" t="s">
        <v>382</v>
      </c>
      <c r="J263" s="63" t="str">
        <f t="shared" si="4"/>
        <v>Não</v>
      </c>
      <c r="K263" s="467">
        <v>44789.0</v>
      </c>
      <c r="L263" s="480"/>
      <c r="M263" s="81" t="s">
        <v>61</v>
      </c>
      <c r="N263" s="478">
        <v>0.007</v>
      </c>
      <c r="O263" s="141" t="s">
        <v>66</v>
      </c>
      <c r="P263" s="145">
        <v>0.0</v>
      </c>
      <c r="Q263" s="158"/>
      <c r="R263" s="158"/>
      <c r="S263" s="62" t="s">
        <v>194</v>
      </c>
      <c r="T263" s="22" t="s">
        <v>6516</v>
      </c>
      <c r="U263" s="95" t="s">
        <v>221</v>
      </c>
      <c r="V263" s="49" t="str">
        <f t="shared" si="3"/>
        <v>Inativo</v>
      </c>
      <c r="W263" s="150"/>
      <c r="X263" s="150"/>
      <c r="Y263" s="30" t="s">
        <v>244</v>
      </c>
      <c r="Z263" s="81"/>
      <c r="AA263" s="467">
        <v>44789.0</v>
      </c>
      <c r="AB263" s="30">
        <v>4.9075100010838E13</v>
      </c>
      <c r="AC263" s="476"/>
      <c r="AD263" s="476"/>
      <c r="AE263" s="476"/>
      <c r="AF263" s="476"/>
      <c r="AG263" s="476"/>
      <c r="AH263" s="476"/>
      <c r="AI263" s="476"/>
      <c r="AJ263" s="476"/>
      <c r="AK263" s="476"/>
      <c r="AL263" s="476"/>
      <c r="AM263" s="476"/>
      <c r="AN263" s="476"/>
      <c r="AO263" s="47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  <c r="BB263" s="96"/>
      <c r="BC263" s="96"/>
      <c r="BD263" s="96"/>
      <c r="BE263" s="96"/>
      <c r="BF263" s="96"/>
      <c r="BG263" s="505"/>
      <c r="BH263" s="96"/>
      <c r="BI263" s="96">
        <v>344898.36</v>
      </c>
      <c r="BJ263" s="472">
        <v>346462.84</v>
      </c>
      <c r="BK263" s="472">
        <v>349902.09</v>
      </c>
      <c r="BL263" s="472">
        <v>352830.99</v>
      </c>
      <c r="BM263" s="472">
        <v>354252.18</v>
      </c>
      <c r="BN263" s="472">
        <v>357934.94</v>
      </c>
      <c r="BO263" s="472">
        <v>361918.42</v>
      </c>
      <c r="BP263" s="472">
        <v>364833.84</v>
      </c>
      <c r="BQ263" s="472">
        <v>369303.26</v>
      </c>
      <c r="BR263" s="472">
        <v>372101.53</v>
      </c>
      <c r="BS263" s="472">
        <v>172687.96</v>
      </c>
      <c r="BT263" s="472">
        <v>173873.22</v>
      </c>
      <c r="BU263" s="472">
        <v>174860.8</v>
      </c>
      <c r="BV263" s="472">
        <v>122547.27</v>
      </c>
      <c r="BW263" s="472">
        <v>102376.17</v>
      </c>
      <c r="BX263" s="472">
        <v>104389.94</v>
      </c>
      <c r="BY263" s="472">
        <v>0.0</v>
      </c>
      <c r="BZ263" s="472">
        <v>0.0</v>
      </c>
      <c r="CA263" s="474">
        <v>0.0</v>
      </c>
      <c r="CB263" s="474">
        <v>0.0</v>
      </c>
      <c r="CC263" s="474">
        <v>0.0</v>
      </c>
      <c r="CD263" s="474">
        <v>0.0</v>
      </c>
      <c r="CE263" s="474">
        <v>0.0</v>
      </c>
      <c r="CF263" s="474">
        <v>0.0</v>
      </c>
      <c r="CG263" s="474">
        <v>0.0</v>
      </c>
      <c r="CH263" s="65">
        <v>0.0</v>
      </c>
      <c r="CI263" s="65">
        <v>0.0</v>
      </c>
      <c r="CJ263" s="65">
        <v>0.0</v>
      </c>
      <c r="CK263" s="65">
        <v>0.0</v>
      </c>
      <c r="CL263" s="65">
        <v>0.0</v>
      </c>
      <c r="CM263" s="65">
        <v>0.0</v>
      </c>
      <c r="CN263" s="65">
        <v>0.0</v>
      </c>
    </row>
    <row r="264" ht="15.75" customHeight="1">
      <c r="A264" s="462" t="s">
        <v>2346</v>
      </c>
      <c r="B264" s="50" t="s">
        <v>1250</v>
      </c>
      <c r="C264" s="141" t="s">
        <v>6522</v>
      </c>
      <c r="D264" s="63" t="s">
        <v>120</v>
      </c>
      <c r="E264" s="63" t="s">
        <v>91</v>
      </c>
      <c r="F264" s="81" t="s">
        <v>521</v>
      </c>
      <c r="G264" s="47" t="str">
        <f t="shared" si="1"/>
        <v>Breno</v>
      </c>
      <c r="H264" s="152" t="s">
        <v>224</v>
      </c>
      <c r="I264" s="74" t="s">
        <v>66</v>
      </c>
      <c r="J264" s="63" t="str">
        <f t="shared" si="4"/>
        <v>Não</v>
      </c>
      <c r="K264" s="467">
        <v>44322.0</v>
      </c>
      <c r="L264" s="480">
        <v>44512.0</v>
      </c>
      <c r="M264" s="81" t="s">
        <v>209</v>
      </c>
      <c r="N264" s="478">
        <v>0.015</v>
      </c>
      <c r="O264" s="63" t="s">
        <v>35</v>
      </c>
      <c r="P264" s="145">
        <v>0.1</v>
      </c>
      <c r="Q264" s="158"/>
      <c r="R264" s="158"/>
      <c r="S264" s="62" t="s">
        <v>194</v>
      </c>
      <c r="T264" s="22" t="s">
        <v>1258</v>
      </c>
      <c r="U264" s="95" t="s">
        <v>221</v>
      </c>
      <c r="V264" s="49" t="str">
        <f t="shared" si="3"/>
        <v>Encerrado</v>
      </c>
      <c r="W264" s="150"/>
      <c r="X264" s="150"/>
      <c r="Y264" s="81"/>
      <c r="Z264" s="81"/>
      <c r="AA264" s="81"/>
      <c r="AB264" s="30"/>
      <c r="AC264" s="476"/>
      <c r="AD264" s="476"/>
      <c r="AE264" s="476"/>
      <c r="AF264" s="476"/>
      <c r="AG264" s="476"/>
      <c r="AH264" s="476"/>
      <c r="AI264" s="476"/>
      <c r="AJ264" s="476"/>
      <c r="AK264" s="476"/>
      <c r="AL264" s="476"/>
      <c r="AM264" s="476"/>
      <c r="AN264" s="476"/>
      <c r="AO264" s="476"/>
      <c r="AP264" s="96"/>
      <c r="AQ264" s="96"/>
      <c r="AR264" s="96"/>
      <c r="AS264" s="96"/>
      <c r="AT264" s="96"/>
      <c r="AU264" s="96">
        <v>368440.03</v>
      </c>
      <c r="AV264" s="96">
        <v>178008.89</v>
      </c>
      <c r="AW264" s="96">
        <v>52436.91</v>
      </c>
      <c r="AX264" s="96">
        <v>52270.46</v>
      </c>
      <c r="AY264" s="96">
        <v>52424.75</v>
      </c>
      <c r="AZ264" s="96">
        <v>52519.83</v>
      </c>
      <c r="BA264" s="96">
        <v>-61.98</v>
      </c>
      <c r="BB264" s="96"/>
      <c r="BC264" s="96"/>
      <c r="BD264" s="96">
        <v>0.0</v>
      </c>
      <c r="BE264" s="96">
        <v>0.0</v>
      </c>
      <c r="BF264" s="96">
        <v>0.0</v>
      </c>
      <c r="BG264" s="505" t="s">
        <v>377</v>
      </c>
      <c r="BH264" s="96">
        <v>0.0</v>
      </c>
      <c r="BI264" s="96" t="s">
        <v>377</v>
      </c>
      <c r="BJ264" s="96">
        <v>0.0</v>
      </c>
      <c r="BK264" s="472">
        <v>0.0</v>
      </c>
      <c r="BL264" s="472">
        <v>0.0</v>
      </c>
      <c r="BM264" s="472">
        <v>167644.45</v>
      </c>
      <c r="BN264" s="472">
        <v>169171.14</v>
      </c>
      <c r="BO264" s="472">
        <v>0.0</v>
      </c>
      <c r="BP264" s="472">
        <v>172097.62</v>
      </c>
      <c r="BQ264" s="472">
        <v>173809.87</v>
      </c>
      <c r="BR264" s="472">
        <v>0.0</v>
      </c>
      <c r="BS264" s="472">
        <v>0.0</v>
      </c>
      <c r="BT264" s="472">
        <v>0.0</v>
      </c>
      <c r="BU264" s="472">
        <v>0.0</v>
      </c>
      <c r="BV264" s="472">
        <v>0.0</v>
      </c>
      <c r="BW264" s="472">
        <v>0.0</v>
      </c>
      <c r="BX264" s="472">
        <v>0.0</v>
      </c>
      <c r="BY264" s="472">
        <v>0.0</v>
      </c>
      <c r="BZ264" s="472">
        <v>0.0</v>
      </c>
      <c r="CA264" s="474">
        <v>0.0</v>
      </c>
      <c r="CB264" s="474">
        <v>0.0</v>
      </c>
      <c r="CC264" s="474">
        <v>0.0</v>
      </c>
      <c r="CD264" s="474">
        <v>0.0</v>
      </c>
      <c r="CE264" s="474">
        <v>0.0</v>
      </c>
      <c r="CF264" s="474">
        <v>0.0</v>
      </c>
      <c r="CG264" s="474">
        <v>0.0</v>
      </c>
      <c r="CH264" s="65">
        <v>0.0</v>
      </c>
      <c r="CI264" s="65">
        <v>0.0</v>
      </c>
      <c r="CJ264" s="65">
        <v>0.0</v>
      </c>
      <c r="CK264" s="65">
        <v>0.0</v>
      </c>
      <c r="CL264" s="65">
        <v>0.0</v>
      </c>
      <c r="CM264" s="65">
        <v>0.0</v>
      </c>
      <c r="CN264" s="65">
        <v>0.0</v>
      </c>
    </row>
    <row r="265" ht="15.75" customHeight="1">
      <c r="A265" s="462" t="s">
        <v>2346</v>
      </c>
      <c r="B265" s="462" t="s">
        <v>1250</v>
      </c>
      <c r="C265" s="141">
        <v>78937.0</v>
      </c>
      <c r="D265" s="63" t="s">
        <v>120</v>
      </c>
      <c r="E265" s="63" t="s">
        <v>91</v>
      </c>
      <c r="F265" s="63" t="s">
        <v>521</v>
      </c>
      <c r="G265" s="47" t="str">
        <f t="shared" si="1"/>
        <v>Breno</v>
      </c>
      <c r="H265" s="142" t="s">
        <v>295</v>
      </c>
      <c r="I265" s="49" t="s">
        <v>382</v>
      </c>
      <c r="J265" s="63" t="str">
        <f t="shared" si="4"/>
        <v>Sim</v>
      </c>
      <c r="K265" s="143">
        <v>44715.0</v>
      </c>
      <c r="L265" s="81"/>
      <c r="M265" s="81" t="s">
        <v>61</v>
      </c>
      <c r="N265" s="464">
        <v>0.007</v>
      </c>
      <c r="O265" s="141" t="s">
        <v>66</v>
      </c>
      <c r="P265" s="145">
        <v>0.0</v>
      </c>
      <c r="Q265" s="158" t="s">
        <v>6530</v>
      </c>
      <c r="R265" s="158"/>
      <c r="S265" s="62" t="s">
        <v>194</v>
      </c>
      <c r="T265" s="141" t="s">
        <v>1258</v>
      </c>
      <c r="U265" s="95" t="s">
        <v>221</v>
      </c>
      <c r="V265" s="49" t="str">
        <f t="shared" si="3"/>
        <v>Inativo</v>
      </c>
      <c r="W265" s="150"/>
      <c r="X265" s="150"/>
      <c r="Y265" s="30" t="s">
        <v>244</v>
      </c>
      <c r="Z265" s="81"/>
      <c r="AA265" s="467">
        <v>44715.0</v>
      </c>
      <c r="AB265" s="30">
        <v>4.9075100010846E13</v>
      </c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471"/>
      <c r="AR265" s="471"/>
      <c r="AS265" s="471"/>
      <c r="AT265" s="471"/>
      <c r="AU265" s="471"/>
      <c r="AV265" s="96"/>
      <c r="AW265" s="96"/>
      <c r="AX265" s="96"/>
      <c r="AY265" s="96"/>
      <c r="AZ265" s="96"/>
      <c r="BA265" s="96"/>
      <c r="BB265" s="96"/>
      <c r="BC265" s="96"/>
      <c r="BD265" s="96">
        <v>0.0</v>
      </c>
      <c r="BE265" s="96">
        <v>0.0</v>
      </c>
      <c r="BF265" s="96"/>
      <c r="BG265" s="472">
        <v>-61.93</v>
      </c>
      <c r="BH265" s="472">
        <v>568718.87</v>
      </c>
      <c r="BI265" s="472">
        <v>516505.18</v>
      </c>
      <c r="BJ265" s="472">
        <v>299472.56</v>
      </c>
      <c r="BK265" s="472">
        <v>261041.53</v>
      </c>
      <c r="BL265" s="472">
        <v>263036.64</v>
      </c>
      <c r="BM265" s="472">
        <v>167644.45</v>
      </c>
      <c r="BN265" s="472">
        <v>169171.14</v>
      </c>
      <c r="BO265" s="472">
        <v>170751.73</v>
      </c>
      <c r="BP265" s="472">
        <v>172097.62</v>
      </c>
      <c r="BQ265" s="472">
        <v>173809.87</v>
      </c>
      <c r="BR265" s="472">
        <v>174985.34</v>
      </c>
      <c r="BS265" s="472">
        <v>177075.25</v>
      </c>
      <c r="BT265" s="472">
        <v>0.0</v>
      </c>
      <c r="BU265" s="472">
        <v>0.0</v>
      </c>
      <c r="BV265" s="472">
        <v>0.0</v>
      </c>
      <c r="BW265" s="472">
        <v>0.0</v>
      </c>
      <c r="BX265" s="472">
        <v>0.0</v>
      </c>
      <c r="BY265" s="472">
        <v>0.0</v>
      </c>
      <c r="BZ265" s="472">
        <v>0.0</v>
      </c>
      <c r="CA265" s="474">
        <v>0.0</v>
      </c>
      <c r="CB265" s="474">
        <v>0.0</v>
      </c>
      <c r="CC265" s="474">
        <v>0.0</v>
      </c>
      <c r="CD265" s="474">
        <v>0.0</v>
      </c>
      <c r="CE265" s="474">
        <v>0.0</v>
      </c>
      <c r="CF265" s="474">
        <v>0.0</v>
      </c>
      <c r="CG265" s="474">
        <v>0.0</v>
      </c>
      <c r="CH265" s="65">
        <v>0.0</v>
      </c>
      <c r="CI265" s="65">
        <v>0.0</v>
      </c>
      <c r="CJ265" s="65">
        <v>0.0</v>
      </c>
      <c r="CK265" s="65">
        <v>0.0</v>
      </c>
      <c r="CL265" s="65">
        <v>0.0</v>
      </c>
      <c r="CM265" s="65">
        <v>0.0</v>
      </c>
      <c r="CN265" s="65">
        <v>0.0</v>
      </c>
    </row>
    <row r="266" ht="15.75" customHeight="1">
      <c r="A266" s="462" t="s">
        <v>2346</v>
      </c>
      <c r="B266" s="462" t="s">
        <v>1264</v>
      </c>
      <c r="C266" s="141">
        <v>338433.0</v>
      </c>
      <c r="D266" s="63" t="s">
        <v>120</v>
      </c>
      <c r="E266" s="63" t="s">
        <v>199</v>
      </c>
      <c r="F266" s="63" t="s">
        <v>212</v>
      </c>
      <c r="G266" s="47" t="str">
        <f t="shared" si="1"/>
        <v>Breno</v>
      </c>
      <c r="H266" s="152" t="s">
        <v>295</v>
      </c>
      <c r="I266" s="49" t="s">
        <v>382</v>
      </c>
      <c r="J266" s="63" t="str">
        <f t="shared" si="4"/>
        <v>Não</v>
      </c>
      <c r="K266" s="143">
        <v>43647.0</v>
      </c>
      <c r="L266" s="81"/>
      <c r="M266" s="81" t="s">
        <v>34</v>
      </c>
      <c r="N266" s="464">
        <v>0.005</v>
      </c>
      <c r="O266" s="141" t="s">
        <v>66</v>
      </c>
      <c r="P266" s="145">
        <v>0.0</v>
      </c>
      <c r="Q266" s="158"/>
      <c r="R266" s="153" t="s">
        <v>1269</v>
      </c>
      <c r="S266" s="62" t="s">
        <v>194</v>
      </c>
      <c r="T266" s="141" t="s">
        <v>1271</v>
      </c>
      <c r="U266" s="66" t="s">
        <v>199</v>
      </c>
      <c r="V266" s="49" t="str">
        <f t="shared" si="3"/>
        <v>Ativo</v>
      </c>
      <c r="W266" s="150"/>
      <c r="X266" s="150"/>
      <c r="Y266" s="30" t="s">
        <v>244</v>
      </c>
      <c r="Z266" s="81"/>
      <c r="AA266" s="467">
        <v>43647.0</v>
      </c>
      <c r="AB266" s="30">
        <v>4.9075100010196E13</v>
      </c>
      <c r="AC266" s="96">
        <v>93498.7</v>
      </c>
      <c r="AD266" s="96">
        <v>93666.51</v>
      </c>
      <c r="AE266" s="96">
        <v>93088.27</v>
      </c>
      <c r="AF266" s="96">
        <v>92907.39</v>
      </c>
      <c r="AG266" s="96">
        <v>93048.31</v>
      </c>
      <c r="AH266" s="96">
        <v>93069.52</v>
      </c>
      <c r="AI266" s="96">
        <v>93297.93</v>
      </c>
      <c r="AJ266" s="96">
        <v>93470.01</v>
      </c>
      <c r="AK266" s="96">
        <v>93533.86</v>
      </c>
      <c r="AL266" s="96">
        <v>93533.55</v>
      </c>
      <c r="AM266" s="96">
        <v>93124.62</v>
      </c>
      <c r="AN266" s="96">
        <v>93601.73</v>
      </c>
      <c r="AO266" s="96">
        <v>93847.03</v>
      </c>
      <c r="AP266" s="96">
        <v>93441.92</v>
      </c>
      <c r="AQ266" s="471">
        <v>94232.51</v>
      </c>
      <c r="AR266" s="471">
        <v>93697.33</v>
      </c>
      <c r="AS266" s="471">
        <v>93646.32</v>
      </c>
      <c r="AT266" s="471">
        <v>93562.51</v>
      </c>
      <c r="AU266" s="471">
        <v>93817.38</v>
      </c>
      <c r="AV266" s="96">
        <v>94046.91</v>
      </c>
      <c r="AW266" s="96">
        <v>93762.44</v>
      </c>
      <c r="AX266" s="96">
        <v>93140.09</v>
      </c>
      <c r="AY266" s="96">
        <v>92675.78</v>
      </c>
      <c r="AZ266" s="96">
        <v>91915.4</v>
      </c>
      <c r="BA266" s="96">
        <v>91820.89</v>
      </c>
      <c r="BB266" s="96">
        <v>92025.84</v>
      </c>
      <c r="BC266" s="96">
        <v>93448.07</v>
      </c>
      <c r="BD266" s="96">
        <v>94095.72</v>
      </c>
      <c r="BE266" s="96">
        <v>95874.83</v>
      </c>
      <c r="BF266" s="96">
        <v>95867.56</v>
      </c>
      <c r="BG266" s="472">
        <v>96333.2</v>
      </c>
      <c r="BH266" s="472">
        <v>96673.54</v>
      </c>
      <c r="BI266" s="472">
        <v>97768.43</v>
      </c>
      <c r="BJ266" s="472">
        <v>98661.01</v>
      </c>
      <c r="BK266" s="472">
        <v>99513.18</v>
      </c>
      <c r="BL266" s="472">
        <v>101047.17</v>
      </c>
      <c r="BM266" s="472">
        <v>101454.74</v>
      </c>
      <c r="BN266" s="472">
        <v>102228.41</v>
      </c>
      <c r="BO266" s="472">
        <v>103276.75</v>
      </c>
      <c r="BP266" s="472">
        <v>103997.73</v>
      </c>
      <c r="BQ266" s="472">
        <v>105008.07</v>
      </c>
      <c r="BR266" s="472">
        <v>105709.31</v>
      </c>
      <c r="BS266" s="472">
        <v>106714.79</v>
      </c>
      <c r="BT266" s="472">
        <v>107954.47</v>
      </c>
      <c r="BU266" s="472">
        <v>108587.6</v>
      </c>
      <c r="BV266" s="472">
        <v>110275.84</v>
      </c>
      <c r="BW266" s="472">
        <v>110129.75</v>
      </c>
      <c r="BX266" s="472">
        <v>95513.58</v>
      </c>
      <c r="BY266" s="472">
        <v>68410.39</v>
      </c>
      <c r="BZ266" s="472">
        <v>58401.39</v>
      </c>
      <c r="CA266" s="474">
        <v>52641.69</v>
      </c>
      <c r="CB266" s="474">
        <v>52056.44</v>
      </c>
      <c r="CC266" s="474">
        <v>52553.05</v>
      </c>
      <c r="CD266" s="474">
        <v>53465.28</v>
      </c>
      <c r="CE266" s="474">
        <v>40007.98</v>
      </c>
      <c r="CF266" s="474">
        <v>18.58</v>
      </c>
      <c r="CG266" s="474">
        <v>18.58</v>
      </c>
      <c r="CH266" s="65">
        <v>0.0</v>
      </c>
      <c r="CI266" s="65">
        <v>15.28</v>
      </c>
      <c r="CJ266" s="65">
        <v>11.68</v>
      </c>
      <c r="CK266" s="65">
        <v>5.85</v>
      </c>
      <c r="CL266" s="65">
        <v>15.79</v>
      </c>
      <c r="CM266" s="65">
        <v>15.79</v>
      </c>
      <c r="CN266" s="65">
        <v>15.79</v>
      </c>
    </row>
    <row r="267" ht="15.75" customHeight="1">
      <c r="A267" s="462" t="s">
        <v>2346</v>
      </c>
      <c r="B267" s="477" t="s">
        <v>6540</v>
      </c>
      <c r="C267" s="141">
        <v>449558.0</v>
      </c>
      <c r="D267" s="63" t="s">
        <v>120</v>
      </c>
      <c r="E267" s="63" t="s">
        <v>91</v>
      </c>
      <c r="F267" s="81" t="s">
        <v>193</v>
      </c>
      <c r="G267" s="47" t="str">
        <f t="shared" si="1"/>
        <v>Breno</v>
      </c>
      <c r="H267" s="152" t="s">
        <v>224</v>
      </c>
      <c r="I267" s="74" t="s">
        <v>66</v>
      </c>
      <c r="J267" s="63" t="str">
        <f t="shared" si="4"/>
        <v>Não</v>
      </c>
      <c r="K267" s="467">
        <v>44280.0</v>
      </c>
      <c r="L267" s="557">
        <v>44482.0</v>
      </c>
      <c r="M267" s="81" t="s">
        <v>361</v>
      </c>
      <c r="N267" s="478">
        <v>0.02</v>
      </c>
      <c r="O267" s="63" t="s">
        <v>35</v>
      </c>
      <c r="P267" s="145">
        <v>0.2</v>
      </c>
      <c r="Q267" s="158"/>
      <c r="R267" s="158"/>
      <c r="S267" s="62" t="s">
        <v>194</v>
      </c>
      <c r="T267" s="30" t="s">
        <v>6544</v>
      </c>
      <c r="U267" s="95" t="s">
        <v>221</v>
      </c>
      <c r="V267" s="49" t="str">
        <f t="shared" si="3"/>
        <v>Encerrado</v>
      </c>
      <c r="W267" s="150"/>
      <c r="X267" s="150"/>
      <c r="Y267" s="81"/>
      <c r="Z267" s="81"/>
      <c r="AA267" s="81"/>
      <c r="AB267" s="30"/>
      <c r="AC267" s="482"/>
      <c r="AD267" s="482"/>
      <c r="AE267" s="482"/>
      <c r="AF267" s="482"/>
      <c r="AG267" s="482"/>
      <c r="AH267" s="482"/>
      <c r="AI267" s="482"/>
      <c r="AJ267" s="482"/>
      <c r="AK267" s="482"/>
      <c r="AL267" s="482"/>
      <c r="AM267" s="482"/>
      <c r="AN267" s="482"/>
      <c r="AO267" s="482"/>
      <c r="AP267" s="96"/>
      <c r="AQ267" s="96"/>
      <c r="AR267" s="96">
        <v>566741.96</v>
      </c>
      <c r="AS267" s="96"/>
      <c r="AT267" s="96">
        <v>536198.32</v>
      </c>
      <c r="AU267" s="96">
        <v>549190.35</v>
      </c>
      <c r="AV267" s="96">
        <v>546073.05</v>
      </c>
      <c r="AW267" s="96">
        <v>537062.23</v>
      </c>
      <c r="AX267" s="96">
        <v>520603.53</v>
      </c>
      <c r="AY267" s="96">
        <v>489398.81</v>
      </c>
      <c r="AZ267" s="96"/>
      <c r="BA267" s="96"/>
      <c r="BB267" s="96"/>
      <c r="BC267" s="96"/>
      <c r="BD267" s="96">
        <v>0.0</v>
      </c>
      <c r="BE267" s="96">
        <v>0.0</v>
      </c>
      <c r="BF267" s="96">
        <v>0.0</v>
      </c>
      <c r="BG267" s="96" t="s">
        <v>377</v>
      </c>
      <c r="BH267" s="96">
        <v>0.0</v>
      </c>
      <c r="BI267" s="96" t="s">
        <v>377</v>
      </c>
      <c r="BJ267" s="96">
        <v>0.0</v>
      </c>
      <c r="BK267" s="472">
        <v>0.0</v>
      </c>
      <c r="BL267" s="472">
        <v>0.0</v>
      </c>
      <c r="BM267" s="472">
        <v>0.0</v>
      </c>
      <c r="BN267" s="472">
        <v>0.0</v>
      </c>
      <c r="BO267" s="472">
        <v>0.0</v>
      </c>
      <c r="BP267" s="472">
        <v>0.0</v>
      </c>
      <c r="BQ267" s="472">
        <v>0.0</v>
      </c>
      <c r="BR267" s="472">
        <v>0.0</v>
      </c>
      <c r="BS267" s="472">
        <v>0.0</v>
      </c>
      <c r="BT267" s="472">
        <v>0.0</v>
      </c>
      <c r="BU267" s="472">
        <v>0.0</v>
      </c>
      <c r="BV267" s="472">
        <v>0.0</v>
      </c>
      <c r="BW267" s="472">
        <v>0.0</v>
      </c>
      <c r="BX267" s="472">
        <v>0.0</v>
      </c>
      <c r="BY267" s="472">
        <v>0.0</v>
      </c>
      <c r="BZ267" s="472">
        <v>0.0</v>
      </c>
      <c r="CA267" s="474">
        <v>0.0</v>
      </c>
      <c r="CB267" s="474">
        <v>0.0</v>
      </c>
      <c r="CC267" s="474">
        <v>0.0</v>
      </c>
      <c r="CD267" s="474">
        <v>0.0</v>
      </c>
      <c r="CE267" s="474">
        <v>0.0</v>
      </c>
      <c r="CF267" s="474">
        <v>0.0</v>
      </c>
      <c r="CG267" s="474">
        <v>0.0</v>
      </c>
      <c r="CH267" s="65">
        <v>0.0</v>
      </c>
      <c r="CI267" s="65">
        <v>0.0</v>
      </c>
      <c r="CJ267" s="65">
        <v>0.0</v>
      </c>
      <c r="CK267" s="65">
        <v>0.0</v>
      </c>
      <c r="CL267" s="65">
        <v>0.0</v>
      </c>
      <c r="CM267" s="65">
        <v>0.0</v>
      </c>
      <c r="CN267" s="65">
        <v>0.0</v>
      </c>
    </row>
    <row r="268" ht="15.75" customHeight="1">
      <c r="A268" s="462" t="s">
        <v>2346</v>
      </c>
      <c r="B268" s="510" t="s">
        <v>5556</v>
      </c>
      <c r="C268" s="141">
        <v>267262.0</v>
      </c>
      <c r="D268" s="63" t="s">
        <v>669</v>
      </c>
      <c r="E268" s="63" t="s">
        <v>199</v>
      </c>
      <c r="F268" s="81" t="s">
        <v>2388</v>
      </c>
      <c r="G268" s="47" t="str">
        <f t="shared" si="1"/>
        <v>Breno</v>
      </c>
      <c r="H268" s="152" t="s">
        <v>224</v>
      </c>
      <c r="I268" s="74" t="s">
        <v>66</v>
      </c>
      <c r="J268" s="63" t="str">
        <f t="shared" si="4"/>
        <v>Não</v>
      </c>
      <c r="K268" s="467">
        <v>43622.0</v>
      </c>
      <c r="L268" s="480">
        <v>44484.0</v>
      </c>
      <c r="M268" s="81" t="s">
        <v>34</v>
      </c>
      <c r="N268" s="478">
        <v>0.012</v>
      </c>
      <c r="O268" s="141" t="s">
        <v>66</v>
      </c>
      <c r="P268" s="145">
        <v>0.0</v>
      </c>
      <c r="Q268" s="158"/>
      <c r="R268" s="158"/>
      <c r="S268" s="62" t="s">
        <v>194</v>
      </c>
      <c r="T268" s="30" t="s">
        <v>6554</v>
      </c>
      <c r="U268" s="81" t="s">
        <v>199</v>
      </c>
      <c r="V268" s="49" t="str">
        <f t="shared" si="3"/>
        <v>Encerrado</v>
      </c>
      <c r="W268" s="150"/>
      <c r="X268" s="150"/>
      <c r="Y268" s="81"/>
      <c r="Z268" s="81"/>
      <c r="AA268" s="81"/>
      <c r="AB268" s="30"/>
      <c r="AC268" s="96">
        <v>259438.82</v>
      </c>
      <c r="AD268" s="96">
        <v>256333.59</v>
      </c>
      <c r="AE268" s="96">
        <v>249315.18</v>
      </c>
      <c r="AF268" s="96">
        <v>252843.39</v>
      </c>
      <c r="AG268" s="96">
        <v>254869.5</v>
      </c>
      <c r="AH268" s="96">
        <v>255203.14</v>
      </c>
      <c r="AI268" s="96">
        <v>259402.03</v>
      </c>
      <c r="AJ268" s="96">
        <v>256304.86</v>
      </c>
      <c r="AK268" s="96">
        <v>250733.41</v>
      </c>
      <c r="AL268" s="96">
        <v>230776.06</v>
      </c>
      <c r="AM268" s="96">
        <v>206003.1</v>
      </c>
      <c r="AN268" s="96">
        <v>208643.11</v>
      </c>
      <c r="AO268" s="96">
        <v>206961.63</v>
      </c>
      <c r="AP268" s="96">
        <v>203251.26</v>
      </c>
      <c r="AQ268" s="96">
        <v>203283.37</v>
      </c>
      <c r="AR268" s="96">
        <v>203869.45</v>
      </c>
      <c r="AS268" s="96">
        <v>205565.71</v>
      </c>
      <c r="AT268" s="96">
        <v>191.96</v>
      </c>
      <c r="AU268" s="96"/>
      <c r="AV268" s="96">
        <v>55.54</v>
      </c>
      <c r="AW268" s="482"/>
      <c r="AX268" s="482">
        <v>2.93</v>
      </c>
      <c r="AY268" s="96">
        <v>2.93</v>
      </c>
      <c r="AZ268" s="96"/>
      <c r="BA268" s="96"/>
      <c r="BB268" s="96"/>
      <c r="BC268" s="96"/>
      <c r="BD268" s="96">
        <v>0.0</v>
      </c>
      <c r="BE268" s="96">
        <v>0.0</v>
      </c>
      <c r="BF268" s="96">
        <v>0.0</v>
      </c>
      <c r="BG268" s="96" t="s">
        <v>377</v>
      </c>
      <c r="BH268" s="96">
        <v>0.0</v>
      </c>
      <c r="BI268" s="96" t="s">
        <v>377</v>
      </c>
      <c r="BJ268" s="96">
        <v>0.0</v>
      </c>
      <c r="BK268" s="472">
        <v>0.0</v>
      </c>
      <c r="BL268" s="472">
        <v>0.0</v>
      </c>
      <c r="BM268" s="472">
        <v>0.0</v>
      </c>
      <c r="BN268" s="472">
        <v>0.0</v>
      </c>
      <c r="BO268" s="472">
        <v>0.0</v>
      </c>
      <c r="BP268" s="472">
        <v>0.0</v>
      </c>
      <c r="BQ268" s="472">
        <v>0.0</v>
      </c>
      <c r="BR268" s="472">
        <v>0.0</v>
      </c>
      <c r="BS268" s="472">
        <v>0.0</v>
      </c>
      <c r="BT268" s="472">
        <v>0.0</v>
      </c>
      <c r="BU268" s="472">
        <v>0.0</v>
      </c>
      <c r="BV268" s="472">
        <v>0.0</v>
      </c>
      <c r="BW268" s="472">
        <v>0.0</v>
      </c>
      <c r="BX268" s="472">
        <v>0.0</v>
      </c>
      <c r="BY268" s="472">
        <v>0.0</v>
      </c>
      <c r="BZ268" s="472">
        <v>0.0</v>
      </c>
      <c r="CA268" s="474">
        <v>0.0</v>
      </c>
      <c r="CB268" s="474">
        <v>0.0</v>
      </c>
      <c r="CC268" s="474">
        <v>0.0</v>
      </c>
      <c r="CD268" s="474">
        <v>0.0</v>
      </c>
      <c r="CE268" s="474">
        <v>0.0</v>
      </c>
      <c r="CF268" s="474">
        <v>0.0</v>
      </c>
      <c r="CG268" s="474">
        <v>0.0</v>
      </c>
      <c r="CH268" s="65">
        <v>0.0</v>
      </c>
      <c r="CI268" s="65">
        <v>0.0</v>
      </c>
      <c r="CJ268" s="65">
        <v>0.0</v>
      </c>
      <c r="CK268" s="65">
        <v>0.0</v>
      </c>
      <c r="CL268" s="65">
        <v>0.0</v>
      </c>
      <c r="CM268" s="65">
        <v>0.0</v>
      </c>
      <c r="CN268" s="65">
        <v>0.0</v>
      </c>
    </row>
    <row r="269" ht="15.75" customHeight="1">
      <c r="A269" s="462" t="s">
        <v>2346</v>
      </c>
      <c r="B269" s="510" t="s">
        <v>5556</v>
      </c>
      <c r="C269" s="141">
        <v>421828.0</v>
      </c>
      <c r="D269" s="63" t="s">
        <v>669</v>
      </c>
      <c r="E269" s="63" t="s">
        <v>199</v>
      </c>
      <c r="F269" s="81" t="s">
        <v>2388</v>
      </c>
      <c r="G269" s="47" t="str">
        <f t="shared" si="1"/>
        <v>Breno</v>
      </c>
      <c r="H269" s="152" t="s">
        <v>224</v>
      </c>
      <c r="I269" s="74" t="s">
        <v>66</v>
      </c>
      <c r="J269" s="63" t="str">
        <f t="shared" si="4"/>
        <v>Não</v>
      </c>
      <c r="K269" s="467">
        <v>43622.0</v>
      </c>
      <c r="L269" s="480">
        <v>44484.0</v>
      </c>
      <c r="M269" s="81" t="s">
        <v>209</v>
      </c>
      <c r="N269" s="478">
        <v>0.01</v>
      </c>
      <c r="O269" s="63" t="s">
        <v>35</v>
      </c>
      <c r="P269" s="145">
        <v>0.1</v>
      </c>
      <c r="Q269" s="158"/>
      <c r="R269" s="158"/>
      <c r="S269" s="62" t="s">
        <v>194</v>
      </c>
      <c r="T269" s="30" t="s">
        <v>6554</v>
      </c>
      <c r="U269" s="81" t="s">
        <v>199</v>
      </c>
      <c r="V269" s="49" t="str">
        <f t="shared" si="3"/>
        <v>Encerrado</v>
      </c>
      <c r="W269" s="150"/>
      <c r="X269" s="150"/>
      <c r="Y269" s="81"/>
      <c r="Z269" s="81"/>
      <c r="AA269" s="81"/>
      <c r="AB269" s="30"/>
      <c r="AC269" s="96">
        <v>0.0</v>
      </c>
      <c r="AD269" s="96">
        <v>0.0</v>
      </c>
      <c r="AE269" s="96">
        <v>0.0</v>
      </c>
      <c r="AF269" s="96">
        <v>0.0</v>
      </c>
      <c r="AG269" s="96">
        <v>0.0</v>
      </c>
      <c r="AH269" s="96">
        <v>0.0</v>
      </c>
      <c r="AI269" s="96">
        <v>0.0</v>
      </c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482"/>
      <c r="AW269" s="482"/>
      <c r="AX269" s="482"/>
      <c r="AY269" s="96"/>
      <c r="AZ269" s="96"/>
      <c r="BA269" s="96"/>
      <c r="BB269" s="96"/>
      <c r="BC269" s="96"/>
      <c r="BD269" s="96">
        <v>0.0</v>
      </c>
      <c r="BE269" s="96">
        <v>0.0</v>
      </c>
      <c r="BF269" s="96">
        <v>0.0</v>
      </c>
      <c r="BG269" s="96" t="s">
        <v>377</v>
      </c>
      <c r="BH269" s="96">
        <v>0.0</v>
      </c>
      <c r="BI269" s="96" t="s">
        <v>377</v>
      </c>
      <c r="BJ269" s="96">
        <v>0.0</v>
      </c>
      <c r="BK269" s="472">
        <v>0.0</v>
      </c>
      <c r="BL269" s="472">
        <v>0.0</v>
      </c>
      <c r="BM269" s="472">
        <v>0.0</v>
      </c>
      <c r="BN269" s="472">
        <v>0.0</v>
      </c>
      <c r="BO269" s="472">
        <v>0.0</v>
      </c>
      <c r="BP269" s="472">
        <v>0.0</v>
      </c>
      <c r="BQ269" s="472">
        <v>0.0</v>
      </c>
      <c r="BR269" s="472">
        <v>0.0</v>
      </c>
      <c r="BS269" s="472">
        <v>0.0</v>
      </c>
      <c r="BT269" s="472">
        <v>0.0</v>
      </c>
      <c r="BU269" s="472">
        <v>0.0</v>
      </c>
      <c r="BV269" s="472">
        <v>0.0</v>
      </c>
      <c r="BW269" s="472">
        <v>0.0</v>
      </c>
      <c r="BX269" s="472">
        <v>0.0</v>
      </c>
      <c r="BY269" s="472">
        <v>0.0</v>
      </c>
      <c r="BZ269" s="472">
        <v>0.0</v>
      </c>
      <c r="CA269" s="474">
        <v>0.0</v>
      </c>
      <c r="CB269" s="474">
        <v>0.0</v>
      </c>
      <c r="CC269" s="474">
        <v>0.0</v>
      </c>
      <c r="CD269" s="474">
        <v>0.0</v>
      </c>
      <c r="CE269" s="474">
        <v>0.0</v>
      </c>
      <c r="CF269" s="474">
        <v>0.0</v>
      </c>
      <c r="CG269" s="474">
        <v>0.0</v>
      </c>
      <c r="CH269" s="65">
        <v>0.0</v>
      </c>
      <c r="CI269" s="65">
        <v>0.0</v>
      </c>
      <c r="CJ269" s="65">
        <v>0.0</v>
      </c>
      <c r="CK269" s="65">
        <v>0.0</v>
      </c>
      <c r="CL269" s="65">
        <v>0.0</v>
      </c>
      <c r="CM269" s="65">
        <v>0.0</v>
      </c>
      <c r="CN269" s="65">
        <v>0.0</v>
      </c>
    </row>
    <row r="270" ht="15.75" customHeight="1">
      <c r="A270" s="462" t="s">
        <v>2346</v>
      </c>
      <c r="B270" s="477" t="s">
        <v>1275</v>
      </c>
      <c r="C270" s="141">
        <v>452835.0</v>
      </c>
      <c r="D270" s="63" t="s">
        <v>669</v>
      </c>
      <c r="E270" s="63" t="s">
        <v>199</v>
      </c>
      <c r="F270" s="63" t="s">
        <v>1228</v>
      </c>
      <c r="G270" s="47" t="str">
        <f t="shared" si="1"/>
        <v>Breno</v>
      </c>
      <c r="H270" s="142" t="s">
        <v>295</v>
      </c>
      <c r="I270" s="74" t="s">
        <v>66</v>
      </c>
      <c r="J270" s="63" t="str">
        <f t="shared" si="4"/>
        <v>Não</v>
      </c>
      <c r="K270" s="143">
        <v>43922.0</v>
      </c>
      <c r="L270" s="81"/>
      <c r="M270" s="81" t="s">
        <v>34</v>
      </c>
      <c r="N270" s="478">
        <v>0.012</v>
      </c>
      <c r="O270" s="141" t="s">
        <v>66</v>
      </c>
      <c r="P270" s="145">
        <v>0.0</v>
      </c>
      <c r="Q270" s="160"/>
      <c r="R270" s="160"/>
      <c r="S270" s="62" t="s">
        <v>194</v>
      </c>
      <c r="T270" s="30" t="s">
        <v>1276</v>
      </c>
      <c r="U270" s="66" t="s">
        <v>199</v>
      </c>
      <c r="V270" s="49" t="str">
        <f t="shared" si="3"/>
        <v>Ativo</v>
      </c>
      <c r="W270" s="150"/>
      <c r="X270" s="150"/>
      <c r="Y270" s="30" t="s">
        <v>244</v>
      </c>
      <c r="Z270" s="81"/>
      <c r="AA270" s="467">
        <v>43922.0</v>
      </c>
      <c r="AB270" s="30">
        <v>4.9075100003831E13</v>
      </c>
      <c r="AC270" s="96">
        <v>0.0</v>
      </c>
      <c r="AD270" s="96">
        <v>0.0</v>
      </c>
      <c r="AE270" s="96">
        <v>0.0</v>
      </c>
      <c r="AF270" s="96">
        <v>547813.77</v>
      </c>
      <c r="AG270" s="96">
        <v>551812.01</v>
      </c>
      <c r="AH270" s="96">
        <v>555612.77</v>
      </c>
      <c r="AI270" s="96">
        <v>557828.69</v>
      </c>
      <c r="AJ270" s="96">
        <v>555099.85</v>
      </c>
      <c r="AK270" s="96">
        <v>548203.22</v>
      </c>
      <c r="AL270" s="96">
        <v>549263.37</v>
      </c>
      <c r="AM270" s="96">
        <v>564638.39</v>
      </c>
      <c r="AN270" s="96">
        <v>1780.49</v>
      </c>
      <c r="AO270" s="96">
        <v>1845.37</v>
      </c>
      <c r="AP270" s="96">
        <v>1680.88</v>
      </c>
      <c r="AQ270" s="471">
        <v>1590.01</v>
      </c>
      <c r="AR270" s="471">
        <v>1589.75</v>
      </c>
      <c r="AS270" s="471">
        <v>1497.17</v>
      </c>
      <c r="AT270" s="471">
        <v>1404.86</v>
      </c>
      <c r="AU270" s="471">
        <v>1409.28</v>
      </c>
      <c r="AV270" s="96">
        <v>1541.6</v>
      </c>
      <c r="AW270" s="96">
        <v>1747.9</v>
      </c>
      <c r="AX270" s="96">
        <v>1752.47</v>
      </c>
      <c r="AY270" s="96">
        <v>1757.33</v>
      </c>
      <c r="AZ270" s="96">
        <v>1761.58</v>
      </c>
      <c r="BA270" s="96">
        <v>1768.08</v>
      </c>
      <c r="BB270" s="96">
        <v>1775.43</v>
      </c>
      <c r="BC270" s="96">
        <v>1782.42</v>
      </c>
      <c r="BD270" s="96">
        <v>1791.34</v>
      </c>
      <c r="BE270" s="96">
        <v>1801.27</v>
      </c>
      <c r="BF270" s="96">
        <v>1807.38</v>
      </c>
      <c r="BG270" s="472">
        <v>1818.71</v>
      </c>
      <c r="BH270" s="472">
        <v>0.0</v>
      </c>
      <c r="BI270" s="472">
        <v>1841.29</v>
      </c>
      <c r="BJ270" s="472">
        <v>1854.31</v>
      </c>
      <c r="BK270" s="472">
        <v>1866.57</v>
      </c>
      <c r="BL270" s="472">
        <v>1878.33</v>
      </c>
      <c r="BM270" s="472">
        <v>1889.74</v>
      </c>
      <c r="BN270" s="472">
        <v>1901.47</v>
      </c>
      <c r="BO270" s="472">
        <v>1915.64</v>
      </c>
      <c r="BP270" s="472">
        <v>1926.2</v>
      </c>
      <c r="BQ270" s="472">
        <v>1940.01</v>
      </c>
      <c r="BR270" s="472">
        <v>1949.69</v>
      </c>
      <c r="BS270" s="472">
        <v>1963.78</v>
      </c>
      <c r="BT270" s="472">
        <v>0.0</v>
      </c>
      <c r="BU270" s="472">
        <v>0.0</v>
      </c>
      <c r="BV270" s="472">
        <v>0.0</v>
      </c>
      <c r="BW270" s="472">
        <v>0.0</v>
      </c>
      <c r="BX270" s="472">
        <v>0.0</v>
      </c>
      <c r="BY270" s="472">
        <v>0.0</v>
      </c>
      <c r="BZ270" s="472">
        <v>0.0</v>
      </c>
      <c r="CA270" s="474">
        <v>0.0</v>
      </c>
      <c r="CB270" s="474">
        <v>0.0</v>
      </c>
      <c r="CC270" s="474">
        <v>1317.88</v>
      </c>
      <c r="CD270" s="474">
        <v>1329.56</v>
      </c>
      <c r="CE270" s="474">
        <v>1340.57</v>
      </c>
      <c r="CF270" s="474">
        <v>1351.3</v>
      </c>
      <c r="CG270" s="474">
        <v>1363.54</v>
      </c>
      <c r="CH270" s="65">
        <v>1375.64</v>
      </c>
      <c r="CI270" s="65">
        <v>1386.82</v>
      </c>
      <c r="CJ270" s="65">
        <v>1399.7</v>
      </c>
      <c r="CK270" s="65">
        <v>1410.86</v>
      </c>
      <c r="CL270" s="65">
        <v>3614.44</v>
      </c>
      <c r="CM270" s="65">
        <v>2206.37</v>
      </c>
      <c r="CN270" s="65">
        <v>768.1</v>
      </c>
    </row>
    <row r="271" ht="15.75" customHeight="1">
      <c r="A271" s="462" t="s">
        <v>2346</v>
      </c>
      <c r="B271" s="477" t="s">
        <v>5942</v>
      </c>
      <c r="C271" s="141">
        <v>444263.0</v>
      </c>
      <c r="D271" s="63" t="s">
        <v>120</v>
      </c>
      <c r="E271" s="63" t="s">
        <v>91</v>
      </c>
      <c r="F271" s="81" t="s">
        <v>699</v>
      </c>
      <c r="G271" s="47" t="str">
        <f t="shared" si="1"/>
        <v>Breno</v>
      </c>
      <c r="H271" s="152" t="s">
        <v>224</v>
      </c>
      <c r="I271" s="74" t="s">
        <v>66</v>
      </c>
      <c r="J271" s="63" t="str">
        <f t="shared" si="4"/>
        <v>Não</v>
      </c>
      <c r="K271" s="467">
        <v>44280.0</v>
      </c>
      <c r="L271" s="467">
        <v>44281.0</v>
      </c>
      <c r="M271" s="81" t="s">
        <v>34</v>
      </c>
      <c r="N271" s="478">
        <v>0.012</v>
      </c>
      <c r="O271" s="141" t="s">
        <v>66</v>
      </c>
      <c r="P271" s="145">
        <v>0.0</v>
      </c>
      <c r="Q271" s="158"/>
      <c r="R271" s="158"/>
      <c r="S271" s="62" t="s">
        <v>194</v>
      </c>
      <c r="T271" s="30" t="s">
        <v>6571</v>
      </c>
      <c r="U271" s="95" t="s">
        <v>221</v>
      </c>
      <c r="V271" s="49" t="str">
        <f t="shared" si="3"/>
        <v>Encerrado</v>
      </c>
      <c r="W271" s="150"/>
      <c r="X271" s="150"/>
      <c r="Y271" s="81"/>
      <c r="Z271" s="81"/>
      <c r="AA271" s="81"/>
      <c r="AB271" s="30"/>
      <c r="AC271" s="482"/>
      <c r="AD271" s="482"/>
      <c r="AE271" s="482"/>
      <c r="AF271" s="482"/>
      <c r="AG271" s="482"/>
      <c r="AH271" s="482"/>
      <c r="AI271" s="482"/>
      <c r="AJ271" s="482"/>
      <c r="AK271" s="482"/>
      <c r="AL271" s="482"/>
      <c r="AM271" s="482"/>
      <c r="AN271" s="482"/>
      <c r="AO271" s="482"/>
      <c r="AP271" s="96"/>
      <c r="AQ271" s="96"/>
      <c r="AR271" s="96">
        <v>201360.54</v>
      </c>
      <c r="AS271" s="96"/>
      <c r="AT271" s="96"/>
      <c r="AU271" s="96"/>
      <c r="AV271" s="482"/>
      <c r="AW271" s="482"/>
      <c r="AX271" s="482"/>
      <c r="AY271" s="96"/>
      <c r="AZ271" s="96"/>
      <c r="BA271" s="96"/>
      <c r="BB271" s="96"/>
      <c r="BC271" s="96"/>
      <c r="BD271" s="96">
        <v>0.0</v>
      </c>
      <c r="BE271" s="96">
        <v>0.0</v>
      </c>
      <c r="BF271" s="96">
        <v>0.0</v>
      </c>
      <c r="BG271" s="96" t="s">
        <v>377</v>
      </c>
      <c r="BH271" s="96">
        <v>0.0</v>
      </c>
      <c r="BI271" s="96" t="s">
        <v>377</v>
      </c>
      <c r="BJ271" s="96">
        <v>0.0</v>
      </c>
      <c r="BK271" s="472">
        <v>0.0</v>
      </c>
      <c r="BL271" s="472">
        <v>0.0</v>
      </c>
      <c r="BM271" s="472">
        <v>0.0</v>
      </c>
      <c r="BN271" s="472">
        <v>0.0</v>
      </c>
      <c r="BO271" s="472">
        <v>0.0</v>
      </c>
      <c r="BP271" s="472">
        <v>0.0</v>
      </c>
      <c r="BQ271" s="472">
        <v>0.0</v>
      </c>
      <c r="BR271" s="472">
        <v>0.0</v>
      </c>
      <c r="BS271" s="472">
        <v>0.0</v>
      </c>
      <c r="BT271" s="472">
        <v>0.0</v>
      </c>
      <c r="BU271" s="472">
        <v>0.0</v>
      </c>
      <c r="BV271" s="472">
        <v>0.0</v>
      </c>
      <c r="BW271" s="472">
        <v>0.0</v>
      </c>
      <c r="BX271" s="472">
        <v>0.0</v>
      </c>
      <c r="BY271" s="472">
        <v>0.0</v>
      </c>
      <c r="BZ271" s="472">
        <v>0.0</v>
      </c>
      <c r="CA271" s="474">
        <v>0.0</v>
      </c>
      <c r="CB271" s="474">
        <v>0.0</v>
      </c>
      <c r="CC271" s="474">
        <v>0.0</v>
      </c>
      <c r="CD271" s="474">
        <v>0.0</v>
      </c>
      <c r="CE271" s="474">
        <v>0.0</v>
      </c>
      <c r="CF271" s="474">
        <v>0.0</v>
      </c>
      <c r="CG271" s="474">
        <v>0.0</v>
      </c>
      <c r="CH271" s="65">
        <v>0.0</v>
      </c>
      <c r="CI271" s="65">
        <v>0.0</v>
      </c>
      <c r="CJ271" s="65">
        <v>0.0</v>
      </c>
      <c r="CK271" s="65">
        <v>0.0</v>
      </c>
      <c r="CL271" s="65">
        <v>0.0</v>
      </c>
      <c r="CM271" s="65">
        <v>0.0</v>
      </c>
      <c r="CN271" s="65">
        <v>0.0</v>
      </c>
    </row>
    <row r="272" ht="15.75" customHeight="1">
      <c r="A272" s="462" t="s">
        <v>2346</v>
      </c>
      <c r="B272" s="50" t="s">
        <v>6573</v>
      </c>
      <c r="C272" s="141">
        <v>287545.0</v>
      </c>
      <c r="D272" s="63" t="s">
        <v>120</v>
      </c>
      <c r="E272" s="63" t="s">
        <v>91</v>
      </c>
      <c r="F272" s="63" t="s">
        <v>193</v>
      </c>
      <c r="G272" s="47" t="str">
        <f t="shared" si="1"/>
        <v>Breno</v>
      </c>
      <c r="H272" s="142" t="s">
        <v>295</v>
      </c>
      <c r="I272" s="49" t="s">
        <v>382</v>
      </c>
      <c r="J272" s="63" t="str">
        <f t="shared" si="4"/>
        <v>Não</v>
      </c>
      <c r="K272" s="143">
        <v>44679.0</v>
      </c>
      <c r="L272" s="62"/>
      <c r="M272" s="81" t="s">
        <v>34</v>
      </c>
      <c r="N272" s="144">
        <v>0.012</v>
      </c>
      <c r="O272" s="141" t="s">
        <v>66</v>
      </c>
      <c r="P272" s="145">
        <v>0.0</v>
      </c>
      <c r="Q272" s="70"/>
      <c r="R272" s="70"/>
      <c r="S272" s="62" t="s">
        <v>194</v>
      </c>
      <c r="T272" s="22" t="s">
        <v>6574</v>
      </c>
      <c r="U272" s="95" t="s">
        <v>221</v>
      </c>
      <c r="V272" s="49" t="str">
        <f t="shared" si="3"/>
        <v>Inativo</v>
      </c>
      <c r="W272" s="150"/>
      <c r="X272" s="150"/>
      <c r="Y272" s="30" t="s">
        <v>244</v>
      </c>
      <c r="Z272" s="81"/>
      <c r="AA272" s="467">
        <v>44679.0</v>
      </c>
      <c r="AB272" s="30">
        <v>4.9075100010854E13</v>
      </c>
      <c r="AC272" s="476"/>
      <c r="AD272" s="476"/>
      <c r="AE272" s="476"/>
      <c r="AF272" s="476"/>
      <c r="AG272" s="476"/>
      <c r="AH272" s="476"/>
      <c r="AI272" s="476"/>
      <c r="AJ272" s="476"/>
      <c r="AK272" s="476"/>
      <c r="AL272" s="476"/>
      <c r="AM272" s="476"/>
      <c r="AN272" s="476"/>
      <c r="AO272" s="47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  <c r="BB272" s="96"/>
      <c r="BC272" s="96"/>
      <c r="BD272" s="96"/>
      <c r="BE272" s="96"/>
      <c r="BF272" s="96">
        <v>460250.11</v>
      </c>
      <c r="BG272" s="472">
        <v>357007.29</v>
      </c>
      <c r="BH272" s="472">
        <v>350453.01</v>
      </c>
      <c r="BI272" s="472">
        <v>350166.93</v>
      </c>
      <c r="BJ272" s="472">
        <v>349838.61</v>
      </c>
      <c r="BK272" s="472">
        <v>349457.43</v>
      </c>
      <c r="BL272" s="472">
        <v>349109.79</v>
      </c>
      <c r="BM272" s="472">
        <v>348779.13</v>
      </c>
      <c r="BN272" s="472">
        <v>318448.66</v>
      </c>
      <c r="BO272" s="472">
        <v>228448.66</v>
      </c>
      <c r="BP272" s="472">
        <v>228448.66</v>
      </c>
      <c r="BQ272" s="472">
        <v>228448.66</v>
      </c>
      <c r="BR272" s="472">
        <v>228448.66</v>
      </c>
      <c r="BS272" s="472">
        <v>0.0</v>
      </c>
      <c r="BT272" s="472">
        <v>0.0</v>
      </c>
      <c r="BU272" s="472">
        <v>0.0</v>
      </c>
      <c r="BV272" s="472">
        <v>0.0</v>
      </c>
      <c r="BW272" s="472">
        <v>0.0</v>
      </c>
      <c r="BX272" s="472">
        <v>0.0</v>
      </c>
      <c r="BY272" s="472">
        <v>0.0</v>
      </c>
      <c r="BZ272" s="472">
        <v>0.0</v>
      </c>
      <c r="CA272" s="474">
        <v>0.0</v>
      </c>
      <c r="CB272" s="474">
        <v>0.0</v>
      </c>
      <c r="CC272" s="474">
        <v>0.0</v>
      </c>
      <c r="CD272" s="474">
        <v>0.0</v>
      </c>
      <c r="CE272" s="474">
        <v>0.0</v>
      </c>
      <c r="CF272" s="474">
        <v>0.0</v>
      </c>
      <c r="CG272" s="474">
        <v>0.0</v>
      </c>
      <c r="CH272" s="65">
        <v>0.0</v>
      </c>
      <c r="CI272" s="65">
        <v>0.0</v>
      </c>
      <c r="CJ272" s="65">
        <v>0.0</v>
      </c>
      <c r="CK272" s="65">
        <v>0.0</v>
      </c>
      <c r="CL272" s="65">
        <v>0.0</v>
      </c>
      <c r="CM272" s="65">
        <v>0.0</v>
      </c>
      <c r="CN272" s="65">
        <v>0.0</v>
      </c>
    </row>
    <row r="273" ht="15.75" customHeight="1">
      <c r="A273" s="462" t="s">
        <v>2346</v>
      </c>
      <c r="B273" s="477" t="s">
        <v>5743</v>
      </c>
      <c r="C273" s="141">
        <v>269865.0</v>
      </c>
      <c r="D273" s="63" t="s">
        <v>669</v>
      </c>
      <c r="E273" s="63" t="s">
        <v>199</v>
      </c>
      <c r="F273" s="81" t="s">
        <v>2388</v>
      </c>
      <c r="G273" s="47" t="str">
        <f t="shared" si="1"/>
        <v>Breno</v>
      </c>
      <c r="H273" s="152" t="s">
        <v>224</v>
      </c>
      <c r="I273" s="74" t="s">
        <v>66</v>
      </c>
      <c r="J273" s="63" t="str">
        <f t="shared" si="4"/>
        <v>Não</v>
      </c>
      <c r="K273" s="480">
        <v>43795.0</v>
      </c>
      <c r="L273" s="467">
        <v>44342.0</v>
      </c>
      <c r="M273" s="81" t="s">
        <v>34</v>
      </c>
      <c r="N273" s="478">
        <v>0.01</v>
      </c>
      <c r="O273" s="141" t="s">
        <v>66</v>
      </c>
      <c r="P273" s="145">
        <v>0.0</v>
      </c>
      <c r="Q273" s="158"/>
      <c r="R273" s="158"/>
      <c r="S273" s="62" t="s">
        <v>194</v>
      </c>
      <c r="T273" s="30" t="s">
        <v>6578</v>
      </c>
      <c r="U273" s="81" t="s">
        <v>199</v>
      </c>
      <c r="V273" s="49" t="str">
        <f t="shared" si="3"/>
        <v>Encerrado</v>
      </c>
      <c r="W273" s="150"/>
      <c r="X273" s="150"/>
      <c r="Y273" s="81"/>
      <c r="Z273" s="81"/>
      <c r="AA273" s="81"/>
      <c r="AB273" s="30"/>
      <c r="AC273" s="96">
        <v>271054.97</v>
      </c>
      <c r="AD273" s="96">
        <v>268708.9</v>
      </c>
      <c r="AE273" s="96">
        <v>262284.11</v>
      </c>
      <c r="AF273" s="96">
        <v>265887.65</v>
      </c>
      <c r="AG273" s="96">
        <v>268246.34</v>
      </c>
      <c r="AH273" s="96">
        <v>271557.62</v>
      </c>
      <c r="AI273" s="96">
        <v>272973.56</v>
      </c>
      <c r="AJ273" s="96">
        <v>273688.91</v>
      </c>
      <c r="AK273" s="96">
        <v>271167.58</v>
      </c>
      <c r="AL273" s="96">
        <v>270986.69</v>
      </c>
      <c r="AM273" s="96">
        <v>270133.6</v>
      </c>
      <c r="AN273" s="96">
        <v>271260.25</v>
      </c>
      <c r="AO273" s="96">
        <v>69133.59</v>
      </c>
      <c r="AP273" s="96">
        <v>1090.9</v>
      </c>
      <c r="AQ273" s="96">
        <v>871.12</v>
      </c>
      <c r="AR273" s="96">
        <v>871.12</v>
      </c>
      <c r="AS273" s="96">
        <v>659.74</v>
      </c>
      <c r="AT273" s="96">
        <v>351.96</v>
      </c>
      <c r="AU273" s="96"/>
      <c r="AV273" s="482"/>
      <c r="AW273" s="482"/>
      <c r="AX273" s="482"/>
      <c r="AY273" s="96"/>
      <c r="AZ273" s="96"/>
      <c r="BA273" s="96"/>
      <c r="BB273" s="96"/>
      <c r="BC273" s="96"/>
      <c r="BD273" s="96">
        <v>0.0</v>
      </c>
      <c r="BE273" s="96">
        <v>0.0</v>
      </c>
      <c r="BF273" s="96">
        <v>0.0</v>
      </c>
      <c r="BG273" s="96" t="s">
        <v>377</v>
      </c>
      <c r="BH273" s="96">
        <v>0.0</v>
      </c>
      <c r="BI273" s="96" t="s">
        <v>377</v>
      </c>
      <c r="BJ273" s="96">
        <v>0.0</v>
      </c>
      <c r="BK273" s="472">
        <v>0.0</v>
      </c>
      <c r="BL273" s="472">
        <v>0.0</v>
      </c>
      <c r="BM273" s="472">
        <v>0.0</v>
      </c>
      <c r="BN273" s="472">
        <v>0.0</v>
      </c>
      <c r="BO273" s="472">
        <v>0.0</v>
      </c>
      <c r="BP273" s="472">
        <v>0.0</v>
      </c>
      <c r="BQ273" s="472">
        <v>0.0</v>
      </c>
      <c r="BR273" s="472">
        <v>0.0</v>
      </c>
      <c r="BS273" s="472">
        <v>0.0</v>
      </c>
      <c r="BT273" s="472">
        <v>0.0</v>
      </c>
      <c r="BU273" s="472">
        <v>0.0</v>
      </c>
      <c r="BV273" s="472">
        <v>0.0</v>
      </c>
      <c r="BW273" s="472">
        <v>0.0</v>
      </c>
      <c r="BX273" s="472">
        <v>0.0</v>
      </c>
      <c r="BY273" s="472">
        <v>0.0</v>
      </c>
      <c r="BZ273" s="472">
        <v>0.0</v>
      </c>
      <c r="CA273" s="474">
        <v>0.0</v>
      </c>
      <c r="CB273" s="474">
        <v>0.0</v>
      </c>
      <c r="CC273" s="474">
        <v>0.0</v>
      </c>
      <c r="CD273" s="474">
        <v>0.0</v>
      </c>
      <c r="CE273" s="474">
        <v>0.0</v>
      </c>
      <c r="CF273" s="474">
        <v>0.0</v>
      </c>
      <c r="CG273" s="474">
        <v>0.0</v>
      </c>
      <c r="CH273" s="65">
        <v>0.0</v>
      </c>
      <c r="CI273" s="65">
        <v>0.0</v>
      </c>
      <c r="CJ273" s="65">
        <v>0.0</v>
      </c>
      <c r="CK273" s="65">
        <v>0.0</v>
      </c>
      <c r="CL273" s="65">
        <v>0.0</v>
      </c>
      <c r="CM273" s="65">
        <v>0.0</v>
      </c>
      <c r="CN273" s="65">
        <v>0.0</v>
      </c>
    </row>
    <row r="274" ht="15.75" customHeight="1">
      <c r="A274" s="462" t="s">
        <v>2346</v>
      </c>
      <c r="B274" s="176" t="s">
        <v>1286</v>
      </c>
      <c r="C274" s="141">
        <v>559567.0</v>
      </c>
      <c r="D274" s="63" t="s">
        <v>120</v>
      </c>
      <c r="E274" s="63" t="s">
        <v>91</v>
      </c>
      <c r="F274" s="81" t="s">
        <v>521</v>
      </c>
      <c r="G274" s="47" t="str">
        <f t="shared" si="1"/>
        <v>Breno</v>
      </c>
      <c r="H274" s="152" t="s">
        <v>224</v>
      </c>
      <c r="I274" s="74" t="s">
        <v>66</v>
      </c>
      <c r="J274" s="63" t="str">
        <f t="shared" si="4"/>
        <v>Não</v>
      </c>
      <c r="K274" s="467">
        <v>44627.0</v>
      </c>
      <c r="L274" s="194">
        <v>44637.0</v>
      </c>
      <c r="M274" s="81" t="s">
        <v>61</v>
      </c>
      <c r="N274" s="478">
        <v>0.007</v>
      </c>
      <c r="O274" s="141" t="s">
        <v>66</v>
      </c>
      <c r="P274" s="145">
        <v>0.0</v>
      </c>
      <c r="Q274" s="70"/>
      <c r="R274" s="70"/>
      <c r="S274" s="62" t="s">
        <v>194</v>
      </c>
      <c r="T274" s="22" t="s">
        <v>1289</v>
      </c>
      <c r="U274" s="95" t="s">
        <v>475</v>
      </c>
      <c r="V274" s="49" t="str">
        <f t="shared" si="3"/>
        <v>Encerrado</v>
      </c>
      <c r="W274" s="150"/>
      <c r="X274" s="150"/>
      <c r="Y274" s="30" t="s">
        <v>244</v>
      </c>
      <c r="Z274" s="81"/>
      <c r="AA274" s="81"/>
      <c r="AB274" s="30"/>
      <c r="AC274" s="476"/>
      <c r="AD274" s="476"/>
      <c r="AE274" s="476"/>
      <c r="AF274" s="476"/>
      <c r="AG274" s="476"/>
      <c r="AH274" s="476"/>
      <c r="AI274" s="476"/>
      <c r="AJ274" s="476"/>
      <c r="AK274" s="476"/>
      <c r="AL274" s="476"/>
      <c r="AM274" s="476"/>
      <c r="AN274" s="476"/>
      <c r="AO274" s="47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  <c r="BB274" s="96"/>
      <c r="BC274" s="96"/>
      <c r="BD274" s="96">
        <v>0.0</v>
      </c>
      <c r="BE274" s="96">
        <v>256144.67</v>
      </c>
      <c r="BF274" s="96">
        <v>16144.93</v>
      </c>
      <c r="BG274" s="505" t="s">
        <v>377</v>
      </c>
      <c r="BH274" s="96">
        <v>0.0</v>
      </c>
      <c r="BI274" s="96">
        <v>0.0</v>
      </c>
      <c r="BJ274" s="96">
        <v>0.0</v>
      </c>
      <c r="BK274" s="472">
        <v>0.0</v>
      </c>
      <c r="BL274" s="472">
        <v>0.0</v>
      </c>
      <c r="BM274" s="472">
        <v>0.0</v>
      </c>
      <c r="BN274" s="472">
        <v>0.0</v>
      </c>
      <c r="BO274" s="472">
        <v>0.0</v>
      </c>
      <c r="BP274" s="472">
        <v>0.0</v>
      </c>
      <c r="BQ274" s="472">
        <v>17798.82</v>
      </c>
      <c r="BR274" s="472">
        <v>0.0</v>
      </c>
      <c r="BS274" s="472">
        <v>18087.62</v>
      </c>
      <c r="BT274" s="472">
        <v>0.0</v>
      </c>
      <c r="BU274" s="472">
        <v>0.0</v>
      </c>
      <c r="BV274" s="472">
        <v>0.0</v>
      </c>
      <c r="BW274" s="472">
        <v>0.0</v>
      </c>
      <c r="BX274" s="472">
        <v>0.0</v>
      </c>
      <c r="BY274" s="472">
        <v>0.0</v>
      </c>
      <c r="BZ274" s="472">
        <v>0.0</v>
      </c>
      <c r="CA274" s="474">
        <v>0.0</v>
      </c>
      <c r="CB274" s="474">
        <v>0.0</v>
      </c>
      <c r="CC274" s="474">
        <v>0.0</v>
      </c>
      <c r="CD274" s="474">
        <v>0.0</v>
      </c>
      <c r="CE274" s="474">
        <v>0.0</v>
      </c>
      <c r="CF274" s="474">
        <v>0.0</v>
      </c>
      <c r="CG274" s="474">
        <v>0.0</v>
      </c>
      <c r="CH274" s="65">
        <v>0.0</v>
      </c>
      <c r="CI274" s="65">
        <v>0.0</v>
      </c>
      <c r="CJ274" s="65">
        <v>0.0</v>
      </c>
      <c r="CK274" s="65">
        <v>0.0</v>
      </c>
      <c r="CL274" s="65">
        <v>0.0</v>
      </c>
      <c r="CM274" s="65">
        <v>0.0</v>
      </c>
      <c r="CN274" s="65">
        <v>0.0</v>
      </c>
    </row>
    <row r="275" ht="15.75" customHeight="1">
      <c r="A275" s="462" t="s">
        <v>2346</v>
      </c>
      <c r="B275" s="176" t="s">
        <v>1286</v>
      </c>
      <c r="C275" s="141">
        <v>559581.0</v>
      </c>
      <c r="D275" s="63" t="s">
        <v>120</v>
      </c>
      <c r="E275" s="63" t="s">
        <v>91</v>
      </c>
      <c r="F275" s="81" t="s">
        <v>521</v>
      </c>
      <c r="G275" s="47" t="str">
        <f t="shared" si="1"/>
        <v>Breno</v>
      </c>
      <c r="H275" s="152" t="s">
        <v>224</v>
      </c>
      <c r="I275" s="74" t="s">
        <v>66</v>
      </c>
      <c r="J275" s="63" t="str">
        <f t="shared" si="4"/>
        <v>Não</v>
      </c>
      <c r="K275" s="81"/>
      <c r="L275" s="194">
        <v>44637.0</v>
      </c>
      <c r="M275" s="62" t="s">
        <v>4910</v>
      </c>
      <c r="N275" s="478">
        <v>0.01</v>
      </c>
      <c r="O275" s="141" t="s">
        <v>66</v>
      </c>
      <c r="P275" s="145">
        <v>0.0</v>
      </c>
      <c r="Q275" s="70"/>
      <c r="R275" s="70"/>
      <c r="S275" s="62" t="s">
        <v>194</v>
      </c>
      <c r="T275" s="22" t="s">
        <v>1289</v>
      </c>
      <c r="U275" s="95" t="s">
        <v>475</v>
      </c>
      <c r="V275" s="49" t="str">
        <f t="shared" si="3"/>
        <v>Encerrado</v>
      </c>
      <c r="W275" s="150"/>
      <c r="X275" s="150"/>
      <c r="Y275" s="81"/>
      <c r="Z275" s="81"/>
      <c r="AA275" s="81"/>
      <c r="AB275" s="30"/>
      <c r="AC275" s="476"/>
      <c r="AD275" s="476"/>
      <c r="AE275" s="476"/>
      <c r="AF275" s="476"/>
      <c r="AG275" s="476"/>
      <c r="AH275" s="476"/>
      <c r="AI275" s="476"/>
      <c r="AJ275" s="476"/>
      <c r="AK275" s="476"/>
      <c r="AL275" s="476"/>
      <c r="AM275" s="476"/>
      <c r="AN275" s="476"/>
      <c r="AO275" s="47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  <c r="BB275" s="96"/>
      <c r="BC275" s="96"/>
      <c r="BD275" s="96">
        <v>0.0</v>
      </c>
      <c r="BE275" s="96">
        <v>0.0</v>
      </c>
      <c r="BF275" s="96">
        <v>0.0</v>
      </c>
      <c r="BG275" s="96" t="s">
        <v>377</v>
      </c>
      <c r="BH275" s="96">
        <v>0.0</v>
      </c>
      <c r="BI275" s="96" t="s">
        <v>377</v>
      </c>
      <c r="BJ275" s="96">
        <v>0.0</v>
      </c>
      <c r="BK275" s="472">
        <v>0.0</v>
      </c>
      <c r="BL275" s="472">
        <v>0.0</v>
      </c>
      <c r="BM275" s="472">
        <v>0.0</v>
      </c>
      <c r="BN275" s="472">
        <v>0.0</v>
      </c>
      <c r="BO275" s="472">
        <v>0.0</v>
      </c>
      <c r="BP275" s="472">
        <v>0.0</v>
      </c>
      <c r="BQ275" s="472">
        <v>0.0</v>
      </c>
      <c r="BR275" s="472">
        <v>0.0</v>
      </c>
      <c r="BS275" s="472">
        <v>0.0</v>
      </c>
      <c r="BT275" s="472">
        <v>0.0</v>
      </c>
      <c r="BU275" s="472">
        <v>0.0</v>
      </c>
      <c r="BV275" s="472">
        <v>0.0</v>
      </c>
      <c r="BW275" s="472">
        <v>0.0</v>
      </c>
      <c r="BX275" s="472">
        <v>0.0</v>
      </c>
      <c r="BY275" s="472">
        <v>0.0</v>
      </c>
      <c r="BZ275" s="472">
        <v>0.0</v>
      </c>
      <c r="CA275" s="474">
        <v>0.0</v>
      </c>
      <c r="CB275" s="474">
        <v>0.0</v>
      </c>
      <c r="CC275" s="474">
        <v>0.0</v>
      </c>
      <c r="CD275" s="474">
        <v>0.0</v>
      </c>
      <c r="CE275" s="474">
        <v>0.0</v>
      </c>
      <c r="CF275" s="474">
        <v>0.0</v>
      </c>
      <c r="CG275" s="474">
        <v>0.0</v>
      </c>
      <c r="CH275" s="65">
        <v>0.0</v>
      </c>
      <c r="CI275" s="65">
        <v>0.0</v>
      </c>
      <c r="CJ275" s="65">
        <v>0.0</v>
      </c>
      <c r="CK275" s="65">
        <v>0.0</v>
      </c>
      <c r="CL275" s="65">
        <v>0.0</v>
      </c>
      <c r="CM275" s="65">
        <v>0.0</v>
      </c>
      <c r="CN275" s="65">
        <v>0.0</v>
      </c>
    </row>
    <row r="276" ht="15.75" customHeight="1">
      <c r="A276" s="462" t="s">
        <v>2346</v>
      </c>
      <c r="B276" s="176" t="s">
        <v>1286</v>
      </c>
      <c r="C276" s="141">
        <v>33838.0</v>
      </c>
      <c r="D276" s="63" t="s">
        <v>120</v>
      </c>
      <c r="E276" s="63" t="s">
        <v>91</v>
      </c>
      <c r="F276" s="63" t="s">
        <v>884</v>
      </c>
      <c r="G276" s="47" t="str">
        <f t="shared" si="1"/>
        <v>Breno</v>
      </c>
      <c r="H276" s="152" t="s">
        <v>295</v>
      </c>
      <c r="I276" s="49" t="s">
        <v>694</v>
      </c>
      <c r="J276" s="63" t="str">
        <f t="shared" si="4"/>
        <v>Não</v>
      </c>
      <c r="K276" s="143">
        <v>44649.0</v>
      </c>
      <c r="L276" s="81"/>
      <c r="M276" s="81" t="s">
        <v>61</v>
      </c>
      <c r="N276" s="478">
        <v>0.007</v>
      </c>
      <c r="O276" s="141" t="s">
        <v>66</v>
      </c>
      <c r="P276" s="145">
        <v>0.0</v>
      </c>
      <c r="Q276" s="70"/>
      <c r="R276" s="70"/>
      <c r="S276" s="62" t="s">
        <v>194</v>
      </c>
      <c r="T276" s="22" t="s">
        <v>1289</v>
      </c>
      <c r="U276" s="95" t="s">
        <v>475</v>
      </c>
      <c r="V276" s="49" t="str">
        <f t="shared" si="3"/>
        <v>Ativo</v>
      </c>
      <c r="W276" s="150"/>
      <c r="X276" s="150"/>
      <c r="Y276" s="30" t="s">
        <v>269</v>
      </c>
      <c r="Z276" s="81"/>
      <c r="AA276" s="467">
        <v>44649.0</v>
      </c>
      <c r="AB276" s="30">
        <v>4.9075100004404E13</v>
      </c>
      <c r="AC276" s="476"/>
      <c r="AD276" s="476"/>
      <c r="AE276" s="476"/>
      <c r="AF276" s="476"/>
      <c r="AG276" s="476"/>
      <c r="AH276" s="476"/>
      <c r="AI276" s="476"/>
      <c r="AJ276" s="476"/>
      <c r="AK276" s="476"/>
      <c r="AL276" s="476"/>
      <c r="AM276" s="476"/>
      <c r="AN276" s="476"/>
      <c r="AO276" s="47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  <c r="BB276" s="96"/>
      <c r="BC276" s="96"/>
      <c r="BD276" s="96"/>
      <c r="BE276" s="96"/>
      <c r="BF276" s="96">
        <v>1303628.46</v>
      </c>
      <c r="BG276" s="472">
        <v>1395200.14</v>
      </c>
      <c r="BH276" s="472">
        <v>1483401.81</v>
      </c>
      <c r="BI276" s="472">
        <v>1490779.29</v>
      </c>
      <c r="BJ276" s="472">
        <v>1507855.96</v>
      </c>
      <c r="BK276" s="472">
        <v>1519134.05</v>
      </c>
      <c r="BL276" s="472">
        <v>1531709.2</v>
      </c>
      <c r="BM276" s="472">
        <v>1449378.27</v>
      </c>
      <c r="BN276" s="472">
        <v>1549973.25</v>
      </c>
      <c r="BO276" s="472">
        <v>1567488.39</v>
      </c>
      <c r="BP276" s="472">
        <v>1582661.98</v>
      </c>
      <c r="BQ276" s="472">
        <v>1775572.06</v>
      </c>
      <c r="BR276" s="472">
        <v>1790385.21</v>
      </c>
      <c r="BS276" s="472">
        <v>1810957.29</v>
      </c>
      <c r="BT276" s="472">
        <v>1828714.57</v>
      </c>
      <c r="BU276" s="472">
        <v>1842791.37</v>
      </c>
      <c r="BV276" s="472">
        <v>1868070.54</v>
      </c>
      <c r="BW276" s="472">
        <v>1879290.08</v>
      </c>
      <c r="BX276" s="472">
        <v>1894402.14</v>
      </c>
      <c r="BY276" s="472">
        <v>1911147.65</v>
      </c>
      <c r="BZ276" s="472">
        <v>1876189.71</v>
      </c>
      <c r="CA276" s="474">
        <v>1944667.63</v>
      </c>
      <c r="CB276" s="474">
        <v>1945352.85</v>
      </c>
      <c r="CC276" s="474">
        <v>1826222.76</v>
      </c>
      <c r="CD276" s="474">
        <v>1963347.75</v>
      </c>
      <c r="CE276" s="474">
        <v>1978726.4</v>
      </c>
      <c r="CF276" s="474">
        <v>1995548.61</v>
      </c>
      <c r="CG276" s="474">
        <v>2010262.85</v>
      </c>
      <c r="CH276" s="65">
        <v>1976445.96</v>
      </c>
      <c r="CI276" s="65">
        <v>2034328.27</v>
      </c>
      <c r="CJ276" s="65">
        <v>2054680.31</v>
      </c>
      <c r="CK276" s="65">
        <v>0.0</v>
      </c>
      <c r="CL276" s="65">
        <v>0.0</v>
      </c>
      <c r="CM276" s="65">
        <v>0.0</v>
      </c>
      <c r="CN276" s="65">
        <v>0.0</v>
      </c>
    </row>
    <row r="277" ht="15.75" customHeight="1">
      <c r="A277" s="462" t="s">
        <v>2346</v>
      </c>
      <c r="B277" s="176" t="s">
        <v>6446</v>
      </c>
      <c r="C277" s="141">
        <v>35627.0</v>
      </c>
      <c r="D277" s="63" t="s">
        <v>120</v>
      </c>
      <c r="E277" s="63" t="s">
        <v>91</v>
      </c>
      <c r="F277" s="63" t="s">
        <v>521</v>
      </c>
      <c r="G277" s="47" t="str">
        <f t="shared" si="1"/>
        <v>Breno</v>
      </c>
      <c r="H277" s="152" t="s">
        <v>224</v>
      </c>
      <c r="I277" s="74" t="s">
        <v>66</v>
      </c>
      <c r="J277" s="63" t="str">
        <f t="shared" si="4"/>
        <v>Não</v>
      </c>
      <c r="K277" s="143">
        <v>44319.0</v>
      </c>
      <c r="L277" s="467">
        <v>44965.0</v>
      </c>
      <c r="M277" s="81" t="s">
        <v>209</v>
      </c>
      <c r="N277" s="478">
        <v>0.015</v>
      </c>
      <c r="O277" s="63" t="s">
        <v>35</v>
      </c>
      <c r="P277" s="145">
        <v>0.1</v>
      </c>
      <c r="Q277" s="70"/>
      <c r="R277" s="70"/>
      <c r="S277" s="62" t="s">
        <v>194</v>
      </c>
      <c r="T277" s="22" t="s">
        <v>6601</v>
      </c>
      <c r="U277" s="95" t="s">
        <v>221</v>
      </c>
      <c r="V277" s="49" t="str">
        <f t="shared" si="3"/>
        <v>Encerrado</v>
      </c>
      <c r="W277" s="150"/>
      <c r="X277" s="150"/>
      <c r="Y277" s="30" t="s">
        <v>244</v>
      </c>
      <c r="Z277" s="81"/>
      <c r="AA277" s="81"/>
      <c r="AB277" s="30"/>
      <c r="AC277" s="476"/>
      <c r="AD277" s="476"/>
      <c r="AE277" s="476"/>
      <c r="AF277" s="476"/>
      <c r="AG277" s="476"/>
      <c r="AH277" s="476"/>
      <c r="AI277" s="476"/>
      <c r="AJ277" s="476"/>
      <c r="AK277" s="476"/>
      <c r="AL277" s="476"/>
      <c r="AM277" s="476"/>
      <c r="AN277" s="476"/>
      <c r="AO277" s="476"/>
      <c r="AP277" s="96"/>
      <c r="AQ277" s="96"/>
      <c r="AR277" s="96"/>
      <c r="AS277" s="96"/>
      <c r="AT277" s="96"/>
      <c r="AU277" s="96">
        <v>394740.74</v>
      </c>
      <c r="AV277" s="96">
        <v>392893.77</v>
      </c>
      <c r="AW277" s="96">
        <v>329400.9</v>
      </c>
      <c r="AX277" s="96">
        <v>322534.5</v>
      </c>
      <c r="AY277" s="96">
        <v>184400.83</v>
      </c>
      <c r="AZ277" s="96">
        <v>189743.67</v>
      </c>
      <c r="BA277" s="96">
        <v>188761.23</v>
      </c>
      <c r="BB277" s="96">
        <v>187270.01</v>
      </c>
      <c r="BC277" s="96">
        <v>191319.05</v>
      </c>
      <c r="BD277" s="96">
        <v>192803.87</v>
      </c>
      <c r="BE277" s="96">
        <v>201063.36</v>
      </c>
      <c r="BF277" s="96">
        <v>197756.92</v>
      </c>
      <c r="BG277" s="472">
        <v>197449.79</v>
      </c>
      <c r="BH277" s="472">
        <v>196033.51</v>
      </c>
      <c r="BI277" s="472">
        <v>198211.63</v>
      </c>
      <c r="BJ277" s="472">
        <v>200795.65</v>
      </c>
      <c r="BK277" s="472">
        <v>202497.47</v>
      </c>
      <c r="BL277" s="472">
        <v>208503.8</v>
      </c>
      <c r="BM277" s="472">
        <v>55124.33</v>
      </c>
      <c r="BN277" s="472">
        <v>55250.45</v>
      </c>
      <c r="BO277" s="472">
        <v>56164.56</v>
      </c>
      <c r="BP277" s="472">
        <v>48.64</v>
      </c>
      <c r="BQ277" s="472">
        <v>0.45</v>
      </c>
      <c r="BR277" s="472">
        <v>0.46</v>
      </c>
      <c r="BS277" s="472">
        <v>0.46</v>
      </c>
      <c r="BT277" s="472">
        <v>0.0</v>
      </c>
      <c r="BU277" s="472">
        <v>0.0</v>
      </c>
      <c r="BV277" s="472">
        <v>0.0</v>
      </c>
      <c r="BW277" s="472">
        <v>0.0</v>
      </c>
      <c r="BX277" s="472">
        <v>0.0</v>
      </c>
      <c r="BY277" s="472">
        <v>0.0</v>
      </c>
      <c r="BZ277" s="472">
        <v>0.0</v>
      </c>
      <c r="CA277" s="474">
        <v>0.0</v>
      </c>
      <c r="CB277" s="474">
        <v>0.0</v>
      </c>
      <c r="CC277" s="474">
        <v>0.0</v>
      </c>
      <c r="CD277" s="474">
        <v>0.0</v>
      </c>
      <c r="CE277" s="474">
        <v>0.0</v>
      </c>
      <c r="CF277" s="474">
        <v>0.0</v>
      </c>
      <c r="CG277" s="474">
        <v>0.0</v>
      </c>
      <c r="CH277" s="65">
        <v>0.0</v>
      </c>
      <c r="CI277" s="65">
        <v>0.0</v>
      </c>
      <c r="CJ277" s="65">
        <v>0.0</v>
      </c>
      <c r="CK277" s="65">
        <v>0.0</v>
      </c>
      <c r="CL277" s="65">
        <v>0.0</v>
      </c>
      <c r="CM277" s="65">
        <v>0.0</v>
      </c>
      <c r="CN277" s="65">
        <v>0.0</v>
      </c>
    </row>
    <row r="278" ht="15.75" customHeight="1">
      <c r="A278" s="462" t="s">
        <v>2346</v>
      </c>
      <c r="B278" s="50" t="s">
        <v>6606</v>
      </c>
      <c r="C278" s="141">
        <v>32684.0</v>
      </c>
      <c r="D278" s="63" t="s">
        <v>120</v>
      </c>
      <c r="E278" s="63" t="s">
        <v>91</v>
      </c>
      <c r="F278" s="63" t="s">
        <v>193</v>
      </c>
      <c r="G278" s="47" t="str">
        <f t="shared" si="1"/>
        <v>Breno</v>
      </c>
      <c r="H278" s="142" t="s">
        <v>295</v>
      </c>
      <c r="I278" s="49" t="s">
        <v>382</v>
      </c>
      <c r="J278" s="63" t="str">
        <f t="shared" si="4"/>
        <v>Não</v>
      </c>
      <c r="K278" s="143">
        <v>44585.0</v>
      </c>
      <c r="L278" s="62"/>
      <c r="M278" s="81" t="s">
        <v>61</v>
      </c>
      <c r="N278" s="478">
        <v>0.007</v>
      </c>
      <c r="O278" s="141" t="s">
        <v>66</v>
      </c>
      <c r="P278" s="145">
        <v>0.0</v>
      </c>
      <c r="Q278" s="70"/>
      <c r="R278" s="70"/>
      <c r="S278" s="62" t="s">
        <v>194</v>
      </c>
      <c r="T278" s="22" t="s">
        <v>6609</v>
      </c>
      <c r="U278" s="95" t="s">
        <v>221</v>
      </c>
      <c r="V278" s="49" t="str">
        <f t="shared" si="3"/>
        <v>Inativo</v>
      </c>
      <c r="W278" s="150"/>
      <c r="X278" s="150"/>
      <c r="Y278" s="30" t="s">
        <v>244</v>
      </c>
      <c r="Z278" s="81"/>
      <c r="AA278" s="467">
        <v>44585.0</v>
      </c>
      <c r="AB278" s="30">
        <v>4.9075100010862E13</v>
      </c>
      <c r="AC278" s="379"/>
      <c r="AD278" s="379"/>
      <c r="AE278" s="379"/>
      <c r="AF278" s="379"/>
      <c r="AG278" s="379"/>
      <c r="AH278" s="379"/>
      <c r="AI278" s="379"/>
      <c r="AJ278" s="379"/>
      <c r="AK278" s="379"/>
      <c r="AL278" s="379"/>
      <c r="AM278" s="379"/>
      <c r="AN278" s="379"/>
      <c r="AO278" s="379"/>
      <c r="AP278" s="471"/>
      <c r="AQ278" s="471"/>
      <c r="AR278" s="471"/>
      <c r="AS278" s="471"/>
      <c r="AT278" s="471"/>
      <c r="AU278" s="96"/>
      <c r="AV278" s="96"/>
      <c r="AW278" s="96"/>
      <c r="AX278" s="96"/>
      <c r="AY278" s="96"/>
      <c r="AZ278" s="96"/>
      <c r="BA278" s="96"/>
      <c r="BB278" s="379"/>
      <c r="BC278" s="96">
        <v>112330.84</v>
      </c>
      <c r="BD278" s="96">
        <v>112976.58</v>
      </c>
      <c r="BE278" s="96">
        <v>115087.08</v>
      </c>
      <c r="BF278" s="96">
        <v>115659.28</v>
      </c>
      <c r="BG278" s="472">
        <v>116714.66</v>
      </c>
      <c r="BH278" s="472">
        <v>117280.27</v>
      </c>
      <c r="BI278" s="472">
        <v>117312.89</v>
      </c>
      <c r="BJ278" s="472">
        <v>118627.63</v>
      </c>
      <c r="BK278" s="472">
        <v>119204.71</v>
      </c>
      <c r="BL278" s="472">
        <v>120228.33</v>
      </c>
      <c r="BM278" s="472">
        <v>120053.87</v>
      </c>
      <c r="BN278" s="472">
        <v>121158.18</v>
      </c>
      <c r="BO278" s="472">
        <v>122497.36</v>
      </c>
      <c r="BP278" s="472">
        <v>123733.1</v>
      </c>
      <c r="BQ278" s="472">
        <v>125361.68</v>
      </c>
      <c r="BR278" s="472">
        <v>126407.12</v>
      </c>
      <c r="BS278" s="472">
        <v>127889.26</v>
      </c>
      <c r="BT278" s="472">
        <v>129356.05</v>
      </c>
      <c r="BU278" s="472">
        <v>130457.65</v>
      </c>
      <c r="BV278" s="472">
        <v>100.0</v>
      </c>
      <c r="BW278" s="472">
        <v>0.0</v>
      </c>
      <c r="BX278" s="472">
        <v>100.06</v>
      </c>
      <c r="BY278" s="472">
        <v>0.0</v>
      </c>
      <c r="BZ278" s="472">
        <v>0.0</v>
      </c>
      <c r="CA278" s="474">
        <v>0.0</v>
      </c>
      <c r="CB278" s="474">
        <v>0.0</v>
      </c>
      <c r="CC278" s="474">
        <v>0.0</v>
      </c>
      <c r="CD278" s="474">
        <v>0.0</v>
      </c>
      <c r="CE278" s="474">
        <v>0.0</v>
      </c>
      <c r="CF278" s="474">
        <v>0.0</v>
      </c>
      <c r="CG278" s="474">
        <v>0.0</v>
      </c>
      <c r="CH278" s="65">
        <v>0.0</v>
      </c>
      <c r="CI278" s="65">
        <v>0.0</v>
      </c>
      <c r="CJ278" s="65">
        <v>0.0</v>
      </c>
      <c r="CK278" s="65">
        <v>0.0</v>
      </c>
      <c r="CL278" s="65">
        <v>0.0</v>
      </c>
      <c r="CM278" s="65">
        <v>0.0</v>
      </c>
      <c r="CN278" s="65">
        <v>0.0</v>
      </c>
    </row>
    <row r="279" ht="15.75" customHeight="1">
      <c r="A279" s="462" t="s">
        <v>2346</v>
      </c>
      <c r="B279" s="462" t="s">
        <v>1290</v>
      </c>
      <c r="C279" s="141">
        <v>85707.0</v>
      </c>
      <c r="D279" s="63" t="s">
        <v>1096</v>
      </c>
      <c r="E279" s="63" t="s">
        <v>199</v>
      </c>
      <c r="F279" s="63" t="s">
        <v>1096</v>
      </c>
      <c r="G279" s="47" t="str">
        <f t="shared" si="1"/>
        <v>Bruno</v>
      </c>
      <c r="H279" s="142" t="s">
        <v>183</v>
      </c>
      <c r="I279" s="74" t="s">
        <v>66</v>
      </c>
      <c r="J279" s="63" t="str">
        <f t="shared" si="4"/>
        <v>Não</v>
      </c>
      <c r="K279" s="143">
        <v>43441.0</v>
      </c>
      <c r="L279" s="81"/>
      <c r="M279" s="81" t="s">
        <v>231</v>
      </c>
      <c r="N279" s="464">
        <v>0.01</v>
      </c>
      <c r="O279" s="141" t="s">
        <v>66</v>
      </c>
      <c r="P279" s="145">
        <v>0.0</v>
      </c>
      <c r="Q279" s="158"/>
      <c r="R279" s="158"/>
      <c r="S279" s="62" t="s">
        <v>194</v>
      </c>
      <c r="T279" s="141" t="s">
        <v>1295</v>
      </c>
      <c r="U279" s="66" t="s">
        <v>199</v>
      </c>
      <c r="V279" s="49" t="str">
        <f t="shared" si="3"/>
        <v>Ativo</v>
      </c>
      <c r="W279" s="150"/>
      <c r="X279" s="150"/>
      <c r="Y279" s="30" t="s">
        <v>244</v>
      </c>
      <c r="Z279" s="81"/>
      <c r="AA279" s="467">
        <v>43441.0</v>
      </c>
      <c r="AB279" s="30">
        <v>4.9075100004137E13</v>
      </c>
      <c r="AC279" s="96">
        <v>205777.82</v>
      </c>
      <c r="AD279" s="96">
        <v>195981.48</v>
      </c>
      <c r="AE279" s="96">
        <v>179946.0</v>
      </c>
      <c r="AF279" s="96">
        <v>193349.48</v>
      </c>
      <c r="AG279" s="96">
        <v>202050.55</v>
      </c>
      <c r="AH279" s="96">
        <v>215767.48</v>
      </c>
      <c r="AI279" s="96">
        <v>231635.89</v>
      </c>
      <c r="AJ279" s="96">
        <v>217983.46</v>
      </c>
      <c r="AK279" s="96">
        <v>206251.29</v>
      </c>
      <c r="AL279" s="96">
        <v>212164.79</v>
      </c>
      <c r="AM279" s="96">
        <v>240942.9</v>
      </c>
      <c r="AN279" s="96">
        <v>248442.24</v>
      </c>
      <c r="AO279" s="96">
        <v>237182.59</v>
      </c>
      <c r="AP279" s="96">
        <v>224060.83</v>
      </c>
      <c r="AQ279" s="471">
        <v>217192.37</v>
      </c>
      <c r="AR279" s="471">
        <v>226705.43</v>
      </c>
      <c r="AS279" s="471">
        <v>235728.45</v>
      </c>
      <c r="AT279" s="471">
        <v>236597.59</v>
      </c>
      <c r="AU279" s="471">
        <v>247151.73</v>
      </c>
      <c r="AV279" s="96">
        <v>243383.57</v>
      </c>
      <c r="AW279" s="96">
        <v>236473.77</v>
      </c>
      <c r="AX279" s="96">
        <v>225981.12</v>
      </c>
      <c r="AY279" s="96">
        <v>214760.5</v>
      </c>
      <c r="AZ279" s="96">
        <v>201840.63</v>
      </c>
      <c r="BA279" s="96">
        <v>197186.32</v>
      </c>
      <c r="BB279" s="96">
        <v>198810.42</v>
      </c>
      <c r="BC279" s="96">
        <v>215656.32</v>
      </c>
      <c r="BD279" s="96">
        <v>224467.79</v>
      </c>
      <c r="BE279" s="96">
        <v>237534.45</v>
      </c>
      <c r="BF279" s="96">
        <v>217154.15</v>
      </c>
      <c r="BG279" s="472">
        <v>217441.8</v>
      </c>
      <c r="BH279" s="472">
        <v>202260.2</v>
      </c>
      <c r="BI279" s="472">
        <v>212263.51</v>
      </c>
      <c r="BJ279" s="472">
        <v>215371.85</v>
      </c>
      <c r="BK279" s="472">
        <v>216890.59</v>
      </c>
      <c r="BL279" s="472">
        <v>233147.41</v>
      </c>
      <c r="BM279" s="472">
        <v>228941.98</v>
      </c>
      <c r="BN279" s="472">
        <v>228059.64</v>
      </c>
      <c r="BO279" s="472">
        <v>234860.58</v>
      </c>
      <c r="BP279" s="472">
        <v>226888.88</v>
      </c>
      <c r="BQ279" s="472">
        <v>226094.0</v>
      </c>
      <c r="BR279" s="472">
        <v>221104.79</v>
      </c>
      <c r="BS279" s="472">
        <v>231832.99</v>
      </c>
      <c r="BT279" s="472">
        <v>250915.55</v>
      </c>
      <c r="BU279" s="472">
        <v>263761.99</v>
      </c>
      <c r="BV279" s="472">
        <v>260913.4</v>
      </c>
      <c r="BW279" s="472">
        <v>251870.75</v>
      </c>
      <c r="BX279" s="472">
        <v>238990.35</v>
      </c>
      <c r="BY279" s="472">
        <v>258038.94</v>
      </c>
      <c r="BZ279" s="472">
        <v>269291.93</v>
      </c>
      <c r="CA279" s="474">
        <v>251338.61</v>
      </c>
      <c r="CB279" s="474">
        <v>256616.02</v>
      </c>
      <c r="CC279" s="474">
        <v>250288.14</v>
      </c>
      <c r="CD279" s="474">
        <v>212580.41</v>
      </c>
      <c r="CE279" s="474">
        <v>226476.34</v>
      </c>
      <c r="CF279" s="474">
        <v>243891.76</v>
      </c>
      <c r="CG279" s="474">
        <v>234990.66</v>
      </c>
      <c r="CH279" s="65">
        <v>254378.84</v>
      </c>
      <c r="CI279" s="65">
        <v>249129.09</v>
      </c>
      <c r="CJ279" s="65">
        <v>239232.37</v>
      </c>
      <c r="CK279" s="65">
        <v>228819.65</v>
      </c>
      <c r="CL279" s="65">
        <v>208597.71</v>
      </c>
      <c r="CM279" s="65">
        <v>214172.02</v>
      </c>
      <c r="CN279" s="65">
        <v>211448.77</v>
      </c>
    </row>
    <row r="280" ht="15.75" customHeight="1">
      <c r="A280" s="462" t="s">
        <v>2346</v>
      </c>
      <c r="B280" s="584" t="s">
        <v>1301</v>
      </c>
      <c r="C280" s="141">
        <v>378146.0</v>
      </c>
      <c r="D280" s="63" t="s">
        <v>120</v>
      </c>
      <c r="E280" s="63" t="s">
        <v>199</v>
      </c>
      <c r="F280" s="81" t="s">
        <v>290</v>
      </c>
      <c r="G280" s="47" t="str">
        <f t="shared" si="1"/>
        <v>Bruno</v>
      </c>
      <c r="H280" s="142" t="s">
        <v>183</v>
      </c>
      <c r="I280" s="74" t="s">
        <v>66</v>
      </c>
      <c r="J280" s="63" t="str">
        <f t="shared" si="4"/>
        <v>Não</v>
      </c>
      <c r="K280" s="467">
        <v>45013.0</v>
      </c>
      <c r="L280" s="769"/>
      <c r="M280" s="81" t="s">
        <v>61</v>
      </c>
      <c r="N280" s="464">
        <v>0.01</v>
      </c>
      <c r="O280" s="141" t="s">
        <v>66</v>
      </c>
      <c r="P280" s="145">
        <v>0.0</v>
      </c>
      <c r="Q280" s="158"/>
      <c r="R280" s="158"/>
      <c r="S280" s="62" t="s">
        <v>194</v>
      </c>
      <c r="T280" s="30" t="s">
        <v>1306</v>
      </c>
      <c r="U280" s="30" t="s">
        <v>622</v>
      </c>
      <c r="V280" s="49" t="str">
        <f t="shared" si="3"/>
        <v>Ativo</v>
      </c>
      <c r="W280" s="150"/>
      <c r="X280" s="150"/>
      <c r="Y280" s="30" t="s">
        <v>244</v>
      </c>
      <c r="Z280" s="81"/>
      <c r="AA280" s="467">
        <v>45013.0</v>
      </c>
      <c r="AB280" s="30">
        <v>4.9075100007081E13</v>
      </c>
      <c r="AC280" s="96"/>
      <c r="AD280" s="96"/>
      <c r="AE280" s="96"/>
      <c r="AF280" s="96"/>
      <c r="AG280" s="96"/>
      <c r="AH280" s="96"/>
      <c r="AI280" s="96"/>
      <c r="AJ280" s="482"/>
      <c r="AK280" s="482"/>
      <c r="AL280" s="482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  <c r="BB280" s="96"/>
      <c r="BC280" s="96"/>
      <c r="BD280" s="96"/>
      <c r="BE280" s="96"/>
      <c r="BF280" s="96"/>
      <c r="BG280" s="96"/>
      <c r="BH280" s="96"/>
      <c r="BI280" s="96"/>
      <c r="BJ280" s="96"/>
      <c r="BK280" s="472"/>
      <c r="BL280" s="472"/>
      <c r="BM280" s="472"/>
      <c r="BN280" s="472"/>
      <c r="BO280" s="472"/>
      <c r="BP280" s="472"/>
      <c r="BQ280" s="472">
        <v>51682.21</v>
      </c>
      <c r="BR280" s="472">
        <v>344524.38</v>
      </c>
      <c r="BS280" s="472">
        <v>378462.91</v>
      </c>
      <c r="BT280" s="472">
        <v>383407.32</v>
      </c>
      <c r="BU280" s="472">
        <v>385972.51</v>
      </c>
      <c r="BV280" s="472">
        <v>390781.11</v>
      </c>
      <c r="BW280" s="472">
        <v>394057.15</v>
      </c>
      <c r="BX280" s="472">
        <v>384238.82</v>
      </c>
      <c r="BY280" s="472">
        <v>392815.39</v>
      </c>
      <c r="BZ280" s="472">
        <v>389826.47</v>
      </c>
      <c r="CA280" s="474">
        <v>394362.25</v>
      </c>
      <c r="CB280" s="474">
        <v>384746.66</v>
      </c>
      <c r="CC280" s="474">
        <v>353873.37</v>
      </c>
      <c r="CD280" s="474">
        <v>367130.99</v>
      </c>
      <c r="CE280" s="474">
        <v>370512.66</v>
      </c>
      <c r="CF280" s="474">
        <v>373717.25</v>
      </c>
      <c r="CG280" s="474">
        <v>375070.94</v>
      </c>
      <c r="CH280" s="65">
        <v>378504.02</v>
      </c>
      <c r="CI280" s="65">
        <v>380812.51</v>
      </c>
      <c r="CJ280" s="65">
        <v>351555.98</v>
      </c>
      <c r="CK280" s="65">
        <v>379598.89</v>
      </c>
      <c r="CL280" s="65">
        <v>334508.8</v>
      </c>
      <c r="CM280" s="65">
        <v>382990.93</v>
      </c>
      <c r="CN280" s="65">
        <v>386044.91</v>
      </c>
    </row>
    <row r="281" ht="15.75" customHeight="1">
      <c r="A281" s="462" t="s">
        <v>2346</v>
      </c>
      <c r="B281" s="477" t="s">
        <v>6634</v>
      </c>
      <c r="C281" s="141">
        <v>583149.0</v>
      </c>
      <c r="D281" s="63" t="s">
        <v>669</v>
      </c>
      <c r="E281" s="63" t="s">
        <v>199</v>
      </c>
      <c r="F281" s="81" t="s">
        <v>669</v>
      </c>
      <c r="G281" s="47" t="str">
        <f t="shared" si="1"/>
        <v>Breno</v>
      </c>
      <c r="H281" s="152" t="s">
        <v>224</v>
      </c>
      <c r="I281" s="74" t="s">
        <v>66</v>
      </c>
      <c r="J281" s="63" t="str">
        <f t="shared" si="4"/>
        <v>Não</v>
      </c>
      <c r="K281" s="478"/>
      <c r="L281" s="769">
        <v>44044.0</v>
      </c>
      <c r="M281" s="81" t="s">
        <v>6635</v>
      </c>
      <c r="N281" s="478">
        <v>0.02</v>
      </c>
      <c r="O281" s="141" t="s">
        <v>233</v>
      </c>
      <c r="P281" s="145">
        <v>0.2</v>
      </c>
      <c r="Q281" s="158"/>
      <c r="R281" s="158"/>
      <c r="S281" s="62" t="s">
        <v>194</v>
      </c>
      <c r="T281" s="30" t="s">
        <v>6636</v>
      </c>
      <c r="U281" s="81" t="s">
        <v>199</v>
      </c>
      <c r="V281" s="49" t="str">
        <f t="shared" si="3"/>
        <v>Encerrado</v>
      </c>
      <c r="W281" s="150"/>
      <c r="X281" s="150"/>
      <c r="Y281" s="81"/>
      <c r="Z281" s="81"/>
      <c r="AA281" s="81"/>
      <c r="AB281" s="30"/>
      <c r="AC281" s="96"/>
      <c r="AD281" s="96"/>
      <c r="AE281" s="96"/>
      <c r="AF281" s="96"/>
      <c r="AG281" s="96"/>
      <c r="AH281" s="96"/>
      <c r="AI281" s="96" t="s">
        <v>6640</v>
      </c>
      <c r="AJ281" s="482" t="s">
        <v>6640</v>
      </c>
      <c r="AK281" s="482" t="s">
        <v>6640</v>
      </c>
      <c r="AL281" s="482" t="s">
        <v>6640</v>
      </c>
      <c r="AM281" s="96" t="s">
        <v>6640</v>
      </c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96"/>
      <c r="BH281" s="96"/>
      <c r="BI281" s="96">
        <v>28.04</v>
      </c>
      <c r="BJ281" s="96">
        <v>28.04</v>
      </c>
      <c r="BK281" s="472">
        <v>28.04</v>
      </c>
      <c r="BL281" s="472">
        <v>0.0</v>
      </c>
      <c r="BM281" s="472">
        <v>0.0</v>
      </c>
      <c r="BN281" s="472">
        <v>0.0</v>
      </c>
      <c r="BO281" s="472">
        <v>0.0</v>
      </c>
      <c r="BP281" s="472">
        <v>0.0</v>
      </c>
      <c r="BQ281" s="472">
        <v>0.0</v>
      </c>
      <c r="BR281" s="472">
        <v>0.0</v>
      </c>
      <c r="BS281" s="472">
        <v>0.0</v>
      </c>
      <c r="BT281" s="472">
        <v>0.0</v>
      </c>
      <c r="BU281" s="472">
        <v>0.0</v>
      </c>
      <c r="BV281" s="472">
        <v>0.0</v>
      </c>
      <c r="BW281" s="472">
        <v>0.0</v>
      </c>
      <c r="BX281" s="472">
        <v>0.0</v>
      </c>
      <c r="BY281" s="472">
        <v>0.0</v>
      </c>
      <c r="BZ281" s="472">
        <v>0.0</v>
      </c>
      <c r="CA281" s="474">
        <v>0.0</v>
      </c>
      <c r="CB281" s="474">
        <v>0.0</v>
      </c>
      <c r="CC281" s="474">
        <v>0.0</v>
      </c>
      <c r="CD281" s="474">
        <v>0.0</v>
      </c>
      <c r="CE281" s="474">
        <v>0.0</v>
      </c>
      <c r="CF281" s="474">
        <v>0.0</v>
      </c>
      <c r="CG281" s="474">
        <v>0.0</v>
      </c>
      <c r="CH281" s="65">
        <v>0.0</v>
      </c>
      <c r="CI281" s="65">
        <v>0.0</v>
      </c>
      <c r="CJ281" s="65">
        <v>0.0</v>
      </c>
      <c r="CK281" s="65">
        <v>0.0</v>
      </c>
      <c r="CL281" s="65">
        <v>0.0</v>
      </c>
      <c r="CM281" s="65">
        <v>0.0</v>
      </c>
      <c r="CN281" s="65">
        <v>0.0</v>
      </c>
    </row>
    <row r="282" ht="15.75" customHeight="1">
      <c r="A282" s="462" t="s">
        <v>2346</v>
      </c>
      <c r="B282" s="477" t="s">
        <v>5390</v>
      </c>
      <c r="C282" s="141">
        <v>80477.0</v>
      </c>
      <c r="D282" s="63" t="s">
        <v>1096</v>
      </c>
      <c r="E282" s="63" t="s">
        <v>199</v>
      </c>
      <c r="F282" s="63" t="s">
        <v>1096</v>
      </c>
      <c r="G282" s="47" t="str">
        <f t="shared" si="1"/>
        <v>Breno</v>
      </c>
      <c r="H282" s="142" t="s">
        <v>295</v>
      </c>
      <c r="I282" s="49" t="s">
        <v>382</v>
      </c>
      <c r="J282" s="63" t="str">
        <f t="shared" si="4"/>
        <v>Não</v>
      </c>
      <c r="K282" s="143">
        <v>43441.0</v>
      </c>
      <c r="L282" s="81"/>
      <c r="M282" s="81" t="s">
        <v>231</v>
      </c>
      <c r="N282" s="464">
        <v>0.01</v>
      </c>
      <c r="O282" s="141" t="s">
        <v>233</v>
      </c>
      <c r="P282" s="145">
        <v>0.2</v>
      </c>
      <c r="Q282" s="158"/>
      <c r="R282" s="158"/>
      <c r="S282" s="62" t="s">
        <v>194</v>
      </c>
      <c r="T282" s="30" t="s">
        <v>6645</v>
      </c>
      <c r="U282" s="81" t="s">
        <v>199</v>
      </c>
      <c r="V282" s="49" t="str">
        <f t="shared" si="3"/>
        <v>Inativo</v>
      </c>
      <c r="W282" s="150"/>
      <c r="X282" s="150"/>
      <c r="Y282" s="30" t="s">
        <v>244</v>
      </c>
      <c r="Z282" s="81"/>
      <c r="AA282" s="467">
        <v>43441.0</v>
      </c>
      <c r="AB282" s="30">
        <v>4.907510001087E13</v>
      </c>
      <c r="AC282" s="96">
        <v>305570.04</v>
      </c>
      <c r="AD282" s="96">
        <v>288075.28</v>
      </c>
      <c r="AE282" s="96">
        <v>220604.95</v>
      </c>
      <c r="AF282" s="96">
        <v>237071.95</v>
      </c>
      <c r="AG282" s="96">
        <v>245439.49</v>
      </c>
      <c r="AH282" s="96">
        <v>46758.86</v>
      </c>
      <c r="AI282" s="96">
        <v>50833.28</v>
      </c>
      <c r="AJ282" s="482"/>
      <c r="AK282" s="482"/>
      <c r="AL282" s="482"/>
      <c r="AM282" s="96">
        <v>626.76</v>
      </c>
      <c r="AN282" s="96">
        <v>104158.52</v>
      </c>
      <c r="AO282" s="96">
        <v>99737.89</v>
      </c>
      <c r="AP282" s="96">
        <v>93923.17</v>
      </c>
      <c r="AQ282" s="471">
        <v>90290.05</v>
      </c>
      <c r="AR282" s="471">
        <v>93440.94</v>
      </c>
      <c r="AS282" s="471">
        <v>97001.54</v>
      </c>
      <c r="AT282" s="471">
        <v>97298.25</v>
      </c>
      <c r="AU282" s="471">
        <v>101144.33</v>
      </c>
      <c r="AV282" s="96">
        <v>99219.9</v>
      </c>
      <c r="AW282" s="96">
        <v>96705.02</v>
      </c>
      <c r="AX282" s="96">
        <v>92541.01</v>
      </c>
      <c r="AY282" s="96">
        <v>87768.14</v>
      </c>
      <c r="AZ282" s="96">
        <v>82843.34</v>
      </c>
      <c r="BA282" s="96">
        <v>80487.74</v>
      </c>
      <c r="BB282" s="96">
        <v>80202.19</v>
      </c>
      <c r="BC282" s="96">
        <v>84499.97</v>
      </c>
      <c r="BD282" s="96">
        <v>85657.17</v>
      </c>
      <c r="BE282" s="96">
        <v>499.7</v>
      </c>
      <c r="BF282" s="96">
        <v>388.61</v>
      </c>
      <c r="BG282" s="472">
        <v>170.37</v>
      </c>
      <c r="BH282" s="472">
        <v>170.37</v>
      </c>
      <c r="BI282" s="472">
        <v>240.93</v>
      </c>
      <c r="BJ282" s="472">
        <v>240.93</v>
      </c>
      <c r="BK282" s="472">
        <v>240.93</v>
      </c>
      <c r="BL282" s="472">
        <v>240.93</v>
      </c>
      <c r="BM282" s="472">
        <v>240.93</v>
      </c>
      <c r="BN282" s="472">
        <v>240.93</v>
      </c>
      <c r="BO282" s="472">
        <v>240.93</v>
      </c>
      <c r="BP282" s="472">
        <v>240.93</v>
      </c>
      <c r="BQ282" s="472">
        <v>240.93</v>
      </c>
      <c r="BR282" s="472">
        <v>240.93</v>
      </c>
      <c r="BS282" s="472">
        <v>0.0</v>
      </c>
      <c r="BT282" s="472">
        <v>0.0</v>
      </c>
      <c r="BU282" s="472">
        <v>0.0</v>
      </c>
      <c r="BV282" s="472">
        <v>0.0</v>
      </c>
      <c r="BW282" s="472">
        <v>0.0</v>
      </c>
      <c r="BX282" s="472">
        <v>0.0</v>
      </c>
      <c r="BY282" s="472">
        <v>0.0</v>
      </c>
      <c r="BZ282" s="472">
        <v>0.0</v>
      </c>
      <c r="CA282" s="474">
        <v>0.0</v>
      </c>
      <c r="CB282" s="474">
        <v>0.0</v>
      </c>
      <c r="CC282" s="474">
        <v>0.0</v>
      </c>
      <c r="CD282" s="474">
        <v>0.0</v>
      </c>
      <c r="CE282" s="474">
        <v>0.0</v>
      </c>
      <c r="CF282" s="474">
        <v>0.0</v>
      </c>
      <c r="CG282" s="474">
        <v>0.0</v>
      </c>
      <c r="CH282" s="65">
        <v>0.0</v>
      </c>
      <c r="CI282" s="65">
        <v>0.0</v>
      </c>
      <c r="CJ282" s="65">
        <v>0.0</v>
      </c>
      <c r="CK282" s="65">
        <v>0.0</v>
      </c>
      <c r="CL282" s="65">
        <v>0.0</v>
      </c>
      <c r="CM282" s="65">
        <v>0.0</v>
      </c>
      <c r="CN282" s="65">
        <v>0.0</v>
      </c>
    </row>
    <row r="283" ht="15.75" customHeight="1">
      <c r="A283" s="462" t="s">
        <v>2346</v>
      </c>
      <c r="B283" s="477" t="s">
        <v>6654</v>
      </c>
      <c r="C283" s="141">
        <v>36945.0</v>
      </c>
      <c r="D283" s="63" t="s">
        <v>120</v>
      </c>
      <c r="E283" s="63" t="s">
        <v>91</v>
      </c>
      <c r="F283" s="63" t="s">
        <v>193</v>
      </c>
      <c r="G283" s="47" t="str">
        <f t="shared" si="1"/>
        <v>Breno</v>
      </c>
      <c r="H283" s="142" t="s">
        <v>295</v>
      </c>
      <c r="I283" s="49" t="s">
        <v>382</v>
      </c>
      <c r="J283" s="63" t="str">
        <f t="shared" si="4"/>
        <v>Não</v>
      </c>
      <c r="K283" s="143">
        <v>44280.0</v>
      </c>
      <c r="L283" s="81"/>
      <c r="M283" s="81" t="s">
        <v>209</v>
      </c>
      <c r="N283" s="464">
        <v>0.015</v>
      </c>
      <c r="O283" s="63" t="s">
        <v>35</v>
      </c>
      <c r="P283" s="145">
        <v>0.1</v>
      </c>
      <c r="Q283" s="158"/>
      <c r="R283" s="158"/>
      <c r="S283" s="62" t="s">
        <v>194</v>
      </c>
      <c r="T283" s="30" t="s">
        <v>6655</v>
      </c>
      <c r="U283" s="95" t="s">
        <v>221</v>
      </c>
      <c r="V283" s="49" t="str">
        <f t="shared" si="3"/>
        <v>Ativo</v>
      </c>
      <c r="W283" s="150"/>
      <c r="X283" s="150"/>
      <c r="Y283" s="30" t="s">
        <v>244</v>
      </c>
      <c r="Z283" s="81"/>
      <c r="AA283" s="467">
        <v>44280.0</v>
      </c>
      <c r="AB283" s="30">
        <v>4.9075100004447E13</v>
      </c>
      <c r="AC283" s="482"/>
      <c r="AD283" s="482"/>
      <c r="AE283" s="482"/>
      <c r="AF283" s="482"/>
      <c r="AG283" s="482"/>
      <c r="AH283" s="482"/>
      <c r="AI283" s="482"/>
      <c r="AJ283" s="482"/>
      <c r="AK283" s="482"/>
      <c r="AL283" s="482"/>
      <c r="AM283" s="482"/>
      <c r="AN283" s="482"/>
      <c r="AO283" s="482"/>
      <c r="AP283" s="96"/>
      <c r="AQ283" s="471"/>
      <c r="AR283" s="471">
        <v>480858.15</v>
      </c>
      <c r="AS283" s="471"/>
      <c r="AT283" s="471">
        <v>484671.71</v>
      </c>
      <c r="AU283" s="471">
        <v>493301.42</v>
      </c>
      <c r="AV283" s="96">
        <v>490086.75</v>
      </c>
      <c r="AW283" s="96">
        <v>484945.51</v>
      </c>
      <c r="AX283" s="96">
        <v>476222.42</v>
      </c>
      <c r="AY283" s="96">
        <v>469259.58</v>
      </c>
      <c r="AZ283" s="96">
        <v>458689.26</v>
      </c>
      <c r="BA283" s="96">
        <v>999289.46</v>
      </c>
      <c r="BB283" s="96">
        <v>491945.79</v>
      </c>
      <c r="BC283" s="96">
        <v>505061.25</v>
      </c>
      <c r="BD283" s="96">
        <v>507962.96</v>
      </c>
      <c r="BE283" s="96">
        <v>529358.69</v>
      </c>
      <c r="BF283" s="96">
        <v>648595.03</v>
      </c>
      <c r="BG283" s="472">
        <v>197289.1</v>
      </c>
      <c r="BH283" s="472">
        <v>198544.45</v>
      </c>
      <c r="BI283" s="472">
        <v>200095.99</v>
      </c>
      <c r="BJ283" s="472">
        <v>201881.08</v>
      </c>
      <c r="BK283" s="472">
        <v>203072.68</v>
      </c>
      <c r="BL283" s="472">
        <v>204408.23</v>
      </c>
      <c r="BM283" s="472">
        <v>191877.14</v>
      </c>
      <c r="BN283" s="472">
        <v>142029.22</v>
      </c>
      <c r="BO283" s="472">
        <v>144572.08</v>
      </c>
      <c r="BP283" s="472">
        <v>145639.54</v>
      </c>
      <c r="BQ283" s="472">
        <v>147118.21</v>
      </c>
      <c r="BR283" s="472">
        <v>111409.51</v>
      </c>
      <c r="BS283" s="472">
        <v>112504.22</v>
      </c>
      <c r="BT283" s="472">
        <v>0.0</v>
      </c>
      <c r="BU283" s="472">
        <v>0.0</v>
      </c>
      <c r="BV283" s="472">
        <v>0.0</v>
      </c>
      <c r="BW283" s="472">
        <v>116918.27</v>
      </c>
      <c r="BX283" s="472">
        <v>119396.23</v>
      </c>
      <c r="BY283" s="472">
        <v>35.4</v>
      </c>
      <c r="BZ283" s="472">
        <v>35.4</v>
      </c>
      <c r="CA283" s="474">
        <v>35.4</v>
      </c>
      <c r="CB283" s="474">
        <v>35.4</v>
      </c>
      <c r="CC283" s="474">
        <v>35.4</v>
      </c>
      <c r="CD283" s="474">
        <v>35.4</v>
      </c>
      <c r="CE283" s="474">
        <v>0.0</v>
      </c>
      <c r="CF283" s="474">
        <v>0.0</v>
      </c>
      <c r="CG283" s="474">
        <v>0.0</v>
      </c>
      <c r="CH283" s="65">
        <v>0.0</v>
      </c>
      <c r="CI283" s="65">
        <v>0.0</v>
      </c>
      <c r="CJ283" s="65">
        <v>0.0</v>
      </c>
      <c r="CK283" s="65">
        <v>0.0</v>
      </c>
      <c r="CL283" s="65">
        <v>0.0</v>
      </c>
      <c r="CM283" s="65">
        <v>0.0</v>
      </c>
      <c r="CN283" s="65">
        <v>0.0</v>
      </c>
    </row>
    <row r="284" ht="15.75" customHeight="1">
      <c r="A284" s="462" t="s">
        <v>2346</v>
      </c>
      <c r="B284" s="50" t="s">
        <v>6658</v>
      </c>
      <c r="C284" s="141">
        <v>89180.0</v>
      </c>
      <c r="D284" s="63" t="s">
        <v>120</v>
      </c>
      <c r="E284" s="63" t="s">
        <v>91</v>
      </c>
      <c r="F284" s="95" t="s">
        <v>193</v>
      </c>
      <c r="G284" s="47" t="str">
        <f t="shared" si="1"/>
        <v>Breno</v>
      </c>
      <c r="H284" s="152" t="s">
        <v>224</v>
      </c>
      <c r="I284" s="74" t="s">
        <v>66</v>
      </c>
      <c r="J284" s="63" t="str">
        <f t="shared" si="4"/>
        <v>Não</v>
      </c>
      <c r="K284" s="194">
        <v>44391.0</v>
      </c>
      <c r="L284" s="467">
        <v>44701.0</v>
      </c>
      <c r="M284" s="81" t="s">
        <v>209</v>
      </c>
      <c r="N284" s="478">
        <v>0.015</v>
      </c>
      <c r="O284" s="63" t="s">
        <v>35</v>
      </c>
      <c r="P284" s="145">
        <v>0.1</v>
      </c>
      <c r="Q284" s="70"/>
      <c r="R284" s="70"/>
      <c r="S284" s="62" t="s">
        <v>234</v>
      </c>
      <c r="T284" s="22" t="s">
        <v>6659</v>
      </c>
      <c r="U284" s="95" t="s">
        <v>221</v>
      </c>
      <c r="V284" s="49" t="str">
        <f t="shared" si="3"/>
        <v>Encerrado</v>
      </c>
      <c r="W284" s="150"/>
      <c r="X284" s="150"/>
      <c r="Y284" s="30" t="s">
        <v>244</v>
      </c>
      <c r="Z284" s="81"/>
      <c r="AA284" s="81"/>
      <c r="AB284" s="30"/>
      <c r="AC284" s="476"/>
      <c r="AD284" s="476"/>
      <c r="AE284" s="476"/>
      <c r="AF284" s="476"/>
      <c r="AG284" s="476"/>
      <c r="AH284" s="476"/>
      <c r="AI284" s="476"/>
      <c r="AJ284" s="476"/>
      <c r="AK284" s="476"/>
      <c r="AL284" s="476"/>
      <c r="AM284" s="476"/>
      <c r="AN284" s="476"/>
      <c r="AO284" s="96"/>
      <c r="AP284" s="96"/>
      <c r="AQ284" s="96"/>
      <c r="AR284" s="96"/>
      <c r="AS284" s="96"/>
      <c r="AT284" s="96"/>
      <c r="AU284" s="482"/>
      <c r="AV284" s="476"/>
      <c r="AW284" s="482"/>
      <c r="AX284" s="482">
        <v>407555.13</v>
      </c>
      <c r="AY284" s="96">
        <v>401685.42</v>
      </c>
      <c r="AZ284" s="96">
        <v>137224.22</v>
      </c>
      <c r="BA284" s="96">
        <v>133426.15</v>
      </c>
      <c r="BB284" s="96">
        <v>120432.23</v>
      </c>
      <c r="BC284" s="96">
        <v>128476.03</v>
      </c>
      <c r="BD284" s="96">
        <v>126039.57</v>
      </c>
      <c r="BE284" s="96">
        <v>133436.28</v>
      </c>
      <c r="BF284" s="96">
        <v>120846.22</v>
      </c>
      <c r="BG284" s="505" t="s">
        <v>377</v>
      </c>
      <c r="BH284" s="96">
        <v>0.0</v>
      </c>
      <c r="BI284" s="96" t="s">
        <v>377</v>
      </c>
      <c r="BJ284" s="96">
        <v>0.0</v>
      </c>
      <c r="BK284" s="472">
        <v>0.0</v>
      </c>
      <c r="BL284" s="472">
        <v>0.0</v>
      </c>
      <c r="BM284" s="472">
        <v>0.0</v>
      </c>
      <c r="BN284" s="472">
        <v>0.0</v>
      </c>
      <c r="BO284" s="472">
        <v>0.0</v>
      </c>
      <c r="BP284" s="472">
        <v>0.0</v>
      </c>
      <c r="BQ284" s="472">
        <v>0.0</v>
      </c>
      <c r="BR284" s="472">
        <v>0.0</v>
      </c>
      <c r="BS284" s="472">
        <v>0.0</v>
      </c>
      <c r="BT284" s="472">
        <v>0.0</v>
      </c>
      <c r="BU284" s="472">
        <v>0.0</v>
      </c>
      <c r="BV284" s="472">
        <v>0.0</v>
      </c>
      <c r="BW284" s="472">
        <v>0.0</v>
      </c>
      <c r="BX284" s="472">
        <v>0.0</v>
      </c>
      <c r="BY284" s="472">
        <v>0.0</v>
      </c>
      <c r="BZ284" s="472">
        <v>0.0</v>
      </c>
      <c r="CA284" s="474">
        <v>0.0</v>
      </c>
      <c r="CB284" s="474">
        <v>0.0</v>
      </c>
      <c r="CC284" s="474">
        <v>0.0</v>
      </c>
      <c r="CD284" s="474">
        <v>0.0</v>
      </c>
      <c r="CE284" s="474">
        <v>0.0</v>
      </c>
      <c r="CF284" s="474">
        <v>0.0</v>
      </c>
      <c r="CG284" s="474">
        <v>0.0</v>
      </c>
      <c r="CH284" s="65">
        <v>0.0</v>
      </c>
      <c r="CI284" s="65">
        <v>0.0</v>
      </c>
      <c r="CJ284" s="65">
        <v>0.0</v>
      </c>
      <c r="CK284" s="65">
        <v>0.0</v>
      </c>
      <c r="CL284" s="65">
        <v>0.0</v>
      </c>
      <c r="CM284" s="65">
        <v>0.0</v>
      </c>
      <c r="CN284" s="65">
        <v>0.0</v>
      </c>
    </row>
    <row r="285" ht="15.75" customHeight="1">
      <c r="A285" s="462" t="s">
        <v>2346</v>
      </c>
      <c r="B285" s="477" t="s">
        <v>6118</v>
      </c>
      <c r="C285" s="141">
        <v>434339.0</v>
      </c>
      <c r="D285" s="63" t="s">
        <v>669</v>
      </c>
      <c r="E285" s="63" t="s">
        <v>199</v>
      </c>
      <c r="F285" s="81" t="s">
        <v>1228</v>
      </c>
      <c r="G285" s="47" t="str">
        <f t="shared" si="1"/>
        <v>Breno</v>
      </c>
      <c r="H285" s="152" t="s">
        <v>224</v>
      </c>
      <c r="I285" s="74" t="s">
        <v>66</v>
      </c>
      <c r="J285" s="63" t="str">
        <f t="shared" si="4"/>
        <v>Não</v>
      </c>
      <c r="K285" s="467">
        <v>43710.0</v>
      </c>
      <c r="L285" s="467">
        <v>44327.0</v>
      </c>
      <c r="M285" s="81" t="s">
        <v>209</v>
      </c>
      <c r="N285" s="478">
        <v>0.01</v>
      </c>
      <c r="O285" s="63" t="s">
        <v>35</v>
      </c>
      <c r="P285" s="145">
        <v>0.1</v>
      </c>
      <c r="Q285" s="160"/>
      <c r="R285" s="160"/>
      <c r="S285" s="62" t="s">
        <v>194</v>
      </c>
      <c r="T285" s="30" t="s">
        <v>6668</v>
      </c>
      <c r="U285" s="95" t="s">
        <v>199</v>
      </c>
      <c r="V285" s="49" t="str">
        <f t="shared" si="3"/>
        <v>Encerrado</v>
      </c>
      <c r="W285" s="150"/>
      <c r="X285" s="150"/>
      <c r="Y285" s="81"/>
      <c r="Z285" s="81"/>
      <c r="AA285" s="81"/>
      <c r="AB285" s="30"/>
      <c r="AC285" s="96">
        <v>210513.97</v>
      </c>
      <c r="AD285" s="96">
        <v>207396.41</v>
      </c>
      <c r="AE285" s="96">
        <v>196480.41</v>
      </c>
      <c r="AF285" s="96">
        <v>200182.94</v>
      </c>
      <c r="AG285" s="96">
        <v>201653.92</v>
      </c>
      <c r="AH285" s="96">
        <v>204800.96</v>
      </c>
      <c r="AI285" s="96">
        <v>210088.12</v>
      </c>
      <c r="AJ285" s="96">
        <v>207616.66</v>
      </c>
      <c r="AK285" s="96">
        <v>205421.73</v>
      </c>
      <c r="AL285" s="96">
        <v>208405.81</v>
      </c>
      <c r="AM285" s="96">
        <v>213665.96</v>
      </c>
      <c r="AN285" s="96">
        <v>494289.95</v>
      </c>
      <c r="AO285" s="96">
        <v>484624.7</v>
      </c>
      <c r="AP285" s="96">
        <v>145541.55</v>
      </c>
      <c r="AQ285" s="96">
        <v>1130.65</v>
      </c>
      <c r="AR285" s="96">
        <v>1245.47</v>
      </c>
      <c r="AS285" s="96">
        <v>797.62</v>
      </c>
      <c r="AT285" s="96">
        <v>797.3</v>
      </c>
      <c r="AU285" s="96"/>
      <c r="AV285" s="482"/>
      <c r="AW285" s="482"/>
      <c r="AX285" s="482"/>
      <c r="AY285" s="96"/>
      <c r="AZ285" s="96"/>
      <c r="BA285" s="96"/>
      <c r="BB285" s="96"/>
      <c r="BC285" s="96"/>
      <c r="BD285" s="96">
        <v>0.0</v>
      </c>
      <c r="BE285" s="96">
        <v>0.0</v>
      </c>
      <c r="BF285" s="96">
        <v>0.0</v>
      </c>
      <c r="BG285" s="96" t="s">
        <v>377</v>
      </c>
      <c r="BH285" s="96">
        <v>0.0</v>
      </c>
      <c r="BI285" s="96" t="s">
        <v>377</v>
      </c>
      <c r="BJ285" s="96">
        <v>0.0</v>
      </c>
      <c r="BK285" s="472">
        <v>0.0</v>
      </c>
      <c r="BL285" s="472">
        <v>0.0</v>
      </c>
      <c r="BM285" s="472">
        <v>0.0</v>
      </c>
      <c r="BN285" s="472">
        <v>0.0</v>
      </c>
      <c r="BO285" s="472">
        <v>0.0</v>
      </c>
      <c r="BP285" s="472">
        <v>0.0</v>
      </c>
      <c r="BQ285" s="472">
        <v>0.0</v>
      </c>
      <c r="BR285" s="472">
        <v>0.0</v>
      </c>
      <c r="BS285" s="472">
        <v>0.0</v>
      </c>
      <c r="BT285" s="472">
        <v>0.0</v>
      </c>
      <c r="BU285" s="472">
        <v>0.0</v>
      </c>
      <c r="BV285" s="472">
        <v>0.0</v>
      </c>
      <c r="BW285" s="472">
        <v>0.0</v>
      </c>
      <c r="BX285" s="472">
        <v>0.0</v>
      </c>
      <c r="BY285" s="472">
        <v>0.0</v>
      </c>
      <c r="BZ285" s="472">
        <v>0.0</v>
      </c>
      <c r="CA285" s="474">
        <v>0.0</v>
      </c>
      <c r="CB285" s="474">
        <v>0.0</v>
      </c>
      <c r="CC285" s="474">
        <v>0.0</v>
      </c>
      <c r="CD285" s="474">
        <v>0.0</v>
      </c>
      <c r="CE285" s="474">
        <v>0.0</v>
      </c>
      <c r="CF285" s="474">
        <v>0.0</v>
      </c>
      <c r="CG285" s="474">
        <v>0.0</v>
      </c>
      <c r="CH285" s="65">
        <v>0.0</v>
      </c>
      <c r="CI285" s="65">
        <v>0.0</v>
      </c>
      <c r="CJ285" s="65">
        <v>0.0</v>
      </c>
      <c r="CK285" s="65">
        <v>0.0</v>
      </c>
      <c r="CL285" s="65">
        <v>0.0</v>
      </c>
      <c r="CM285" s="65">
        <v>0.0</v>
      </c>
      <c r="CN285" s="65">
        <v>0.0</v>
      </c>
    </row>
    <row r="286" ht="15.75" customHeight="1">
      <c r="A286" s="462" t="s">
        <v>2346</v>
      </c>
      <c r="B286" s="176" t="s">
        <v>6671</v>
      </c>
      <c r="C286" s="141">
        <v>32359.0</v>
      </c>
      <c r="D286" s="63" t="s">
        <v>120</v>
      </c>
      <c r="E286" s="63" t="s">
        <v>91</v>
      </c>
      <c r="F286" s="63" t="s">
        <v>521</v>
      </c>
      <c r="G286" s="47" t="str">
        <f t="shared" si="1"/>
        <v>Breno</v>
      </c>
      <c r="H286" s="152" t="s">
        <v>295</v>
      </c>
      <c r="I286" s="49" t="s">
        <v>382</v>
      </c>
      <c r="J286" s="63" t="str">
        <f t="shared" si="4"/>
        <v>Não</v>
      </c>
      <c r="K286" s="194">
        <v>44477.0</v>
      </c>
      <c r="L286" s="62"/>
      <c r="M286" s="81" t="s">
        <v>61</v>
      </c>
      <c r="N286" s="464">
        <v>0.007</v>
      </c>
      <c r="O286" s="141" t="s">
        <v>66</v>
      </c>
      <c r="P286" s="145">
        <v>0.0</v>
      </c>
      <c r="Q286" s="70"/>
      <c r="R286" s="70"/>
      <c r="S286" s="62" t="s">
        <v>194</v>
      </c>
      <c r="T286" s="22" t="s">
        <v>6672</v>
      </c>
      <c r="U286" s="95" t="s">
        <v>221</v>
      </c>
      <c r="V286" s="49" t="str">
        <f t="shared" si="3"/>
        <v>Inativo</v>
      </c>
      <c r="W286" s="150"/>
      <c r="X286" s="150"/>
      <c r="Y286" s="30" t="s">
        <v>244</v>
      </c>
      <c r="Z286" s="81"/>
      <c r="AA286" s="467">
        <v>44477.0</v>
      </c>
      <c r="AB286" s="30">
        <v>4.9075100009465E13</v>
      </c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482"/>
      <c r="AN286" s="482"/>
      <c r="AO286" s="96"/>
      <c r="AP286" s="471"/>
      <c r="AQ286" s="471"/>
      <c r="AR286" s="471"/>
      <c r="AS286" s="471"/>
      <c r="AT286" s="471"/>
      <c r="AU286" s="96"/>
      <c r="AV286" s="96"/>
      <c r="AW286" s="96"/>
      <c r="AX286" s="96"/>
      <c r="AY286" s="96"/>
      <c r="AZ286" s="96">
        <v>401575.01</v>
      </c>
      <c r="BA286" s="96">
        <v>403494.73</v>
      </c>
      <c r="BB286" s="96">
        <v>406304.65</v>
      </c>
      <c r="BC286" s="96">
        <v>407846.27</v>
      </c>
      <c r="BD286" s="96">
        <v>410273.39</v>
      </c>
      <c r="BE286" s="96">
        <v>417743.69</v>
      </c>
      <c r="BF286" s="96">
        <v>419536.63</v>
      </c>
      <c r="BG286" s="472">
        <v>423282.34</v>
      </c>
      <c r="BH286" s="472">
        <v>425925.27</v>
      </c>
      <c r="BI286" s="472">
        <v>426005.93</v>
      </c>
      <c r="BJ286" s="472">
        <v>431291.86</v>
      </c>
      <c r="BK286" s="472">
        <v>434031.84</v>
      </c>
      <c r="BL286" s="472">
        <v>438118.24</v>
      </c>
      <c r="BM286" s="472">
        <v>437509.2</v>
      </c>
      <c r="BN286" s="472">
        <v>441649.86</v>
      </c>
      <c r="BO286" s="472">
        <v>446412.8</v>
      </c>
      <c r="BP286" s="472">
        <v>449910.81</v>
      </c>
      <c r="BQ286" s="472">
        <v>455145.12</v>
      </c>
      <c r="BR286" s="472">
        <v>458728.77</v>
      </c>
      <c r="BS286" s="472">
        <v>463816.74</v>
      </c>
      <c r="BT286" s="472">
        <v>469833.05</v>
      </c>
      <c r="BU286" s="472">
        <v>470754.84</v>
      </c>
      <c r="BV286" s="472">
        <v>477439.99</v>
      </c>
      <c r="BW286" s="472">
        <v>480128.02</v>
      </c>
      <c r="BX286" s="472">
        <v>484250.32</v>
      </c>
      <c r="BY286" s="472">
        <v>488338.4</v>
      </c>
      <c r="BZ286" s="472">
        <v>0.0</v>
      </c>
      <c r="CA286" s="474">
        <v>0.0</v>
      </c>
      <c r="CB286" s="474">
        <v>0.0</v>
      </c>
      <c r="CC286" s="474">
        <v>0.0</v>
      </c>
      <c r="CD286" s="474">
        <v>0.0</v>
      </c>
      <c r="CE286" s="474">
        <v>0.0</v>
      </c>
      <c r="CF286" s="474">
        <v>0.0</v>
      </c>
      <c r="CG286" s="474">
        <v>0.0</v>
      </c>
      <c r="CH286" s="65">
        <v>0.0</v>
      </c>
      <c r="CI286" s="65">
        <v>0.0</v>
      </c>
      <c r="CJ286" s="65">
        <v>0.0</v>
      </c>
      <c r="CK286" s="65">
        <v>0.0</v>
      </c>
      <c r="CL286" s="65">
        <v>0.0</v>
      </c>
      <c r="CM286" s="65">
        <v>0.0</v>
      </c>
      <c r="CN286" s="65">
        <v>0.0</v>
      </c>
    </row>
    <row r="287" ht="15.75" customHeight="1">
      <c r="A287" s="462" t="s">
        <v>2346</v>
      </c>
      <c r="B287" s="518" t="s">
        <v>6687</v>
      </c>
      <c r="C287" s="141">
        <v>453188.0</v>
      </c>
      <c r="D287" s="63" t="s">
        <v>120</v>
      </c>
      <c r="E287" s="63" t="s">
        <v>91</v>
      </c>
      <c r="F287" s="63" t="s">
        <v>521</v>
      </c>
      <c r="G287" s="47" t="str">
        <f t="shared" si="1"/>
        <v>Breno</v>
      </c>
      <c r="H287" s="142" t="s">
        <v>295</v>
      </c>
      <c r="I287" s="49" t="s">
        <v>382</v>
      </c>
      <c r="J287" s="63" t="str">
        <f t="shared" si="4"/>
        <v>Não</v>
      </c>
      <c r="K287" s="467">
        <v>44263.0</v>
      </c>
      <c r="L287" s="81"/>
      <c r="M287" s="81" t="s">
        <v>34</v>
      </c>
      <c r="N287" s="478">
        <v>0.025</v>
      </c>
      <c r="O287" s="141" t="s">
        <v>66</v>
      </c>
      <c r="P287" s="145">
        <v>0.0</v>
      </c>
      <c r="Q287" s="146"/>
      <c r="R287" s="158"/>
      <c r="S287" s="62" t="s">
        <v>194</v>
      </c>
      <c r="T287" s="141" t="s">
        <v>6690</v>
      </c>
      <c r="U287" s="95" t="s">
        <v>221</v>
      </c>
      <c r="V287" s="49" t="str">
        <f t="shared" si="3"/>
        <v>Inativo</v>
      </c>
      <c r="W287" s="150"/>
      <c r="X287" s="150"/>
      <c r="Y287" s="30" t="s">
        <v>244</v>
      </c>
      <c r="Z287" s="81"/>
      <c r="AA287" s="467">
        <v>44263.0</v>
      </c>
      <c r="AB287" s="30">
        <v>4.9075100003092E13</v>
      </c>
      <c r="AC287" s="482"/>
      <c r="AD287" s="482"/>
      <c r="AE287" s="482"/>
      <c r="AF287" s="482"/>
      <c r="AG287" s="482"/>
      <c r="AH287" s="482"/>
      <c r="AI287" s="482"/>
      <c r="AJ287" s="482"/>
      <c r="AK287" s="482"/>
      <c r="AL287" s="482"/>
      <c r="AM287" s="482"/>
      <c r="AN287" s="482"/>
      <c r="AO287" s="482"/>
      <c r="AP287" s="96"/>
      <c r="AQ287" s="471">
        <v>193821.6</v>
      </c>
      <c r="AR287" s="471">
        <v>200964.51</v>
      </c>
      <c r="AS287" s="471"/>
      <c r="AT287" s="471">
        <v>203500.2</v>
      </c>
      <c r="AU287" s="471">
        <v>207789.06</v>
      </c>
      <c r="AV287" s="96">
        <v>204452.37</v>
      </c>
      <c r="AW287" s="96">
        <v>203003.08</v>
      </c>
      <c r="AX287" s="96">
        <v>195418.38</v>
      </c>
      <c r="AY287" s="96">
        <v>189989.0</v>
      </c>
      <c r="AZ287" s="96">
        <v>182075.35</v>
      </c>
      <c r="BA287" s="96">
        <v>175117.15</v>
      </c>
      <c r="BB287" s="96">
        <v>177903.84</v>
      </c>
      <c r="BC287" s="96">
        <v>184365.58</v>
      </c>
      <c r="BD287" s="96">
        <v>184937.8</v>
      </c>
      <c r="BE287" s="96">
        <v>196571.39</v>
      </c>
      <c r="BF287" s="96">
        <v>188633.49</v>
      </c>
      <c r="BG287" s="472">
        <v>186826.6</v>
      </c>
      <c r="BH287" s="472">
        <v>184232.94</v>
      </c>
      <c r="BI287" s="472">
        <v>186997.71</v>
      </c>
      <c r="BJ287" s="472">
        <v>185075.52</v>
      </c>
      <c r="BK287" s="472">
        <v>186744.92</v>
      </c>
      <c r="BL287" s="472">
        <v>190708.2</v>
      </c>
      <c r="BM287" s="472">
        <v>190381.52</v>
      </c>
      <c r="BN287" s="472">
        <v>191907.49</v>
      </c>
      <c r="BO287" s="472">
        <v>172828.46</v>
      </c>
      <c r="BP287" s="472">
        <v>195806.07</v>
      </c>
      <c r="BQ287" s="472">
        <v>197935.07</v>
      </c>
      <c r="BR287" s="472">
        <v>22111.87</v>
      </c>
      <c r="BS287" s="472">
        <v>141.28</v>
      </c>
      <c r="BT287" s="472">
        <v>0.0</v>
      </c>
      <c r="BU287" s="472">
        <v>0.0</v>
      </c>
      <c r="BV287" s="472">
        <v>0.0</v>
      </c>
      <c r="BW287" s="472">
        <v>0.0</v>
      </c>
      <c r="BX287" s="472">
        <v>0.0</v>
      </c>
      <c r="BY287" s="472">
        <v>0.0</v>
      </c>
      <c r="BZ287" s="472">
        <v>0.0</v>
      </c>
      <c r="CA287" s="474">
        <v>0.0</v>
      </c>
      <c r="CB287" s="474">
        <v>0.0</v>
      </c>
      <c r="CC287" s="474">
        <v>0.0</v>
      </c>
      <c r="CD287" s="474">
        <v>0.0</v>
      </c>
      <c r="CE287" s="474">
        <v>0.0</v>
      </c>
      <c r="CF287" s="474">
        <v>0.0</v>
      </c>
      <c r="CG287" s="474">
        <v>0.0</v>
      </c>
      <c r="CH287" s="65">
        <v>0.0</v>
      </c>
      <c r="CI287" s="65">
        <v>0.0</v>
      </c>
      <c r="CJ287" s="65">
        <v>0.0</v>
      </c>
      <c r="CK287" s="65">
        <v>0.0</v>
      </c>
      <c r="CL287" s="65">
        <v>0.0</v>
      </c>
      <c r="CM287" s="65">
        <v>0.0</v>
      </c>
      <c r="CN287" s="65">
        <v>0.0</v>
      </c>
    </row>
    <row r="288" ht="15.75" customHeight="1">
      <c r="A288" s="462" t="s">
        <v>2346</v>
      </c>
      <c r="B288" s="510" t="s">
        <v>5173</v>
      </c>
      <c r="C288" s="141">
        <v>273075.0</v>
      </c>
      <c r="D288" s="63" t="s">
        <v>669</v>
      </c>
      <c r="E288" s="63" t="s">
        <v>199</v>
      </c>
      <c r="F288" s="81" t="s">
        <v>1228</v>
      </c>
      <c r="G288" s="47" t="str">
        <f t="shared" si="1"/>
        <v>Breno</v>
      </c>
      <c r="H288" s="152" t="s">
        <v>224</v>
      </c>
      <c r="I288" s="74" t="s">
        <v>66</v>
      </c>
      <c r="J288" s="63" t="str">
        <f t="shared" si="4"/>
        <v>Não</v>
      </c>
      <c r="K288" s="467">
        <v>43699.0</v>
      </c>
      <c r="L288" s="770">
        <v>44105.0</v>
      </c>
      <c r="M288" s="81" t="s">
        <v>209</v>
      </c>
      <c r="N288" s="478">
        <v>0.01</v>
      </c>
      <c r="O288" s="63" t="s">
        <v>35</v>
      </c>
      <c r="P288" s="145">
        <v>0.1</v>
      </c>
      <c r="Q288" s="683"/>
      <c r="R288" s="683"/>
      <c r="S288" s="62" t="s">
        <v>194</v>
      </c>
      <c r="T288" s="30" t="s">
        <v>6706</v>
      </c>
      <c r="U288" s="95" t="s">
        <v>199</v>
      </c>
      <c r="V288" s="49" t="str">
        <f t="shared" si="3"/>
        <v>Encerrado</v>
      </c>
      <c r="W288" s="150"/>
      <c r="X288" s="150"/>
      <c r="Y288" s="81"/>
      <c r="Z288" s="81"/>
      <c r="AA288" s="81"/>
      <c r="AB288" s="30"/>
      <c r="AC288" s="96">
        <v>132529.14</v>
      </c>
      <c r="AD288" s="96">
        <v>131435.46</v>
      </c>
      <c r="AE288" s="96">
        <v>130476.31</v>
      </c>
      <c r="AF288" s="96">
        <v>134831.02</v>
      </c>
      <c r="AG288" s="96">
        <v>113663.5</v>
      </c>
      <c r="AH288" s="96">
        <v>78869.89</v>
      </c>
      <c r="AI288" s="96">
        <v>49553.76</v>
      </c>
      <c r="AJ288" s="96">
        <v>38496.72</v>
      </c>
      <c r="AK288" s="96">
        <v>17805.25</v>
      </c>
      <c r="AL288" s="96">
        <v>6507.68</v>
      </c>
      <c r="AM288" s="96">
        <v>1532.6</v>
      </c>
      <c r="AN288" s="96">
        <v>0.0</v>
      </c>
      <c r="AO288" s="482"/>
      <c r="AP288" s="96"/>
      <c r="AQ288" s="96"/>
      <c r="AR288" s="96"/>
      <c r="AS288" s="96"/>
      <c r="AT288" s="96"/>
      <c r="AU288" s="96"/>
      <c r="AV288" s="482"/>
      <c r="AW288" s="482"/>
      <c r="AX288" s="482"/>
      <c r="AY288" s="96"/>
      <c r="AZ288" s="96"/>
      <c r="BA288" s="96"/>
      <c r="BB288" s="96"/>
      <c r="BC288" s="96"/>
      <c r="BD288" s="96">
        <v>0.0</v>
      </c>
      <c r="BE288" s="96">
        <v>0.0</v>
      </c>
      <c r="BF288" s="96">
        <v>0.0</v>
      </c>
      <c r="BG288" s="96" t="s">
        <v>377</v>
      </c>
      <c r="BH288" s="96">
        <v>0.0</v>
      </c>
      <c r="BI288" s="96" t="s">
        <v>377</v>
      </c>
      <c r="BJ288" s="96">
        <v>0.0</v>
      </c>
      <c r="BK288" s="472">
        <v>0.0</v>
      </c>
      <c r="BL288" s="472">
        <v>0.0</v>
      </c>
      <c r="BM288" s="472">
        <v>0.0</v>
      </c>
      <c r="BN288" s="472">
        <v>0.0</v>
      </c>
      <c r="BO288" s="472">
        <v>0.0</v>
      </c>
      <c r="BP288" s="472">
        <v>0.0</v>
      </c>
      <c r="BQ288" s="472">
        <v>0.0</v>
      </c>
      <c r="BR288" s="472">
        <v>0.0</v>
      </c>
      <c r="BS288" s="472">
        <v>0.0</v>
      </c>
      <c r="BT288" s="472">
        <v>0.0</v>
      </c>
      <c r="BU288" s="472">
        <v>0.0</v>
      </c>
      <c r="BV288" s="472">
        <v>0.0</v>
      </c>
      <c r="BW288" s="472">
        <v>0.0</v>
      </c>
      <c r="BX288" s="472">
        <v>0.0</v>
      </c>
      <c r="BY288" s="472">
        <v>0.0</v>
      </c>
      <c r="BZ288" s="472">
        <v>0.0</v>
      </c>
      <c r="CA288" s="474">
        <v>0.0</v>
      </c>
      <c r="CB288" s="474">
        <v>0.0</v>
      </c>
      <c r="CC288" s="474">
        <v>0.0</v>
      </c>
      <c r="CD288" s="474">
        <v>0.0</v>
      </c>
      <c r="CE288" s="474">
        <v>0.0</v>
      </c>
      <c r="CF288" s="474">
        <v>0.0</v>
      </c>
      <c r="CG288" s="474">
        <v>0.0</v>
      </c>
      <c r="CH288" s="65">
        <v>0.0</v>
      </c>
      <c r="CI288" s="65">
        <v>0.0</v>
      </c>
      <c r="CJ288" s="65">
        <v>0.0</v>
      </c>
      <c r="CK288" s="65">
        <v>0.0</v>
      </c>
      <c r="CL288" s="65">
        <v>0.0</v>
      </c>
      <c r="CM288" s="65">
        <v>0.0</v>
      </c>
      <c r="CN288" s="65">
        <v>0.0</v>
      </c>
    </row>
    <row r="289" ht="15.75" customHeight="1">
      <c r="A289" s="462" t="s">
        <v>2346</v>
      </c>
      <c r="B289" s="518" t="s">
        <v>1321</v>
      </c>
      <c r="C289" s="141">
        <v>32067.0</v>
      </c>
      <c r="D289" s="63" t="s">
        <v>120</v>
      </c>
      <c r="E289" s="63" t="s">
        <v>91</v>
      </c>
      <c r="F289" s="63" t="s">
        <v>521</v>
      </c>
      <c r="G289" s="47" t="str">
        <f t="shared" si="1"/>
        <v>Breno</v>
      </c>
      <c r="H289" s="152" t="s">
        <v>295</v>
      </c>
      <c r="I289" s="49" t="s">
        <v>382</v>
      </c>
      <c r="J289" s="63" t="str">
        <f t="shared" si="4"/>
        <v>Sim</v>
      </c>
      <c r="K289" s="143">
        <v>44263.0</v>
      </c>
      <c r="L289" s="62"/>
      <c r="M289" s="81" t="s">
        <v>209</v>
      </c>
      <c r="N289" s="478">
        <v>0.015</v>
      </c>
      <c r="O289" s="63" t="s">
        <v>35</v>
      </c>
      <c r="P289" s="145">
        <v>0.1</v>
      </c>
      <c r="Q289" s="153" t="s">
        <v>1322</v>
      </c>
      <c r="R289" s="158"/>
      <c r="S289" s="62" t="s">
        <v>194</v>
      </c>
      <c r="T289" s="141" t="s">
        <v>1324</v>
      </c>
      <c r="U289" s="95" t="s">
        <v>221</v>
      </c>
      <c r="V289" s="49" t="str">
        <f t="shared" si="3"/>
        <v>Ativo</v>
      </c>
      <c r="W289" s="150"/>
      <c r="X289" s="150"/>
      <c r="Y289" s="30" t="s">
        <v>244</v>
      </c>
      <c r="Z289" s="81"/>
      <c r="AA289" s="467">
        <v>44263.0</v>
      </c>
      <c r="AB289" s="30">
        <v>4.9075100003173E13</v>
      </c>
      <c r="AC289" s="482"/>
      <c r="AD289" s="482"/>
      <c r="AE289" s="482"/>
      <c r="AF289" s="482"/>
      <c r="AG289" s="482"/>
      <c r="AH289" s="482"/>
      <c r="AI289" s="482"/>
      <c r="AJ289" s="482"/>
      <c r="AK289" s="482"/>
      <c r="AL289" s="482"/>
      <c r="AM289" s="482"/>
      <c r="AN289" s="482"/>
      <c r="AO289" s="482"/>
      <c r="AP289" s="96"/>
      <c r="AQ289" s="471">
        <v>467334.86</v>
      </c>
      <c r="AR289" s="471">
        <v>470522.85</v>
      </c>
      <c r="AS289" s="471"/>
      <c r="AT289" s="471">
        <v>484010.89</v>
      </c>
      <c r="AU289" s="471">
        <v>494786.93</v>
      </c>
      <c r="AV289" s="96">
        <v>494082.93</v>
      </c>
      <c r="AW289" s="96">
        <v>487710.25</v>
      </c>
      <c r="AX289" s="96">
        <v>476896.46</v>
      </c>
      <c r="AY289" s="96">
        <v>485180.85</v>
      </c>
      <c r="AZ289" s="96">
        <v>469162.91</v>
      </c>
      <c r="BA289" s="96">
        <v>459227.68</v>
      </c>
      <c r="BB289" s="96">
        <v>459602.21</v>
      </c>
      <c r="BC289" s="96">
        <v>473529.53</v>
      </c>
      <c r="BD289" s="96">
        <v>477089.05</v>
      </c>
      <c r="BE289" s="96">
        <v>503851.52</v>
      </c>
      <c r="BF289" s="96">
        <v>489806.92</v>
      </c>
      <c r="BG289" s="472">
        <v>489928.51</v>
      </c>
      <c r="BH289" s="472">
        <v>491376.01</v>
      </c>
      <c r="BI289" s="472">
        <v>499605.16</v>
      </c>
      <c r="BJ289" s="472">
        <v>505781.0</v>
      </c>
      <c r="BK289" s="472">
        <v>510766.42</v>
      </c>
      <c r="BL289" s="472">
        <v>529456.95</v>
      </c>
      <c r="BM289" s="472">
        <v>521927.41</v>
      </c>
      <c r="BN289" s="472">
        <v>554236.77</v>
      </c>
      <c r="BO289" s="472">
        <v>556476.33</v>
      </c>
      <c r="BP289" s="472">
        <v>563287.38</v>
      </c>
      <c r="BQ289" s="472">
        <v>568863.7</v>
      </c>
      <c r="BR289" s="472">
        <v>569920.61</v>
      </c>
      <c r="BS289" s="472">
        <v>584370.47</v>
      </c>
      <c r="BT289" s="472">
        <v>590883.37</v>
      </c>
      <c r="BU289" s="472">
        <v>418517.49</v>
      </c>
      <c r="BV289" s="472">
        <v>593877.36</v>
      </c>
      <c r="BW289" s="472">
        <v>594970.5</v>
      </c>
      <c r="BX289" s="472">
        <v>594536.6</v>
      </c>
      <c r="BY289" s="472">
        <v>603849.43</v>
      </c>
      <c r="BZ289" s="472">
        <v>13120.49</v>
      </c>
      <c r="CA289" s="474">
        <v>13248.69</v>
      </c>
      <c r="CB289" s="474">
        <v>13345.5</v>
      </c>
      <c r="CC289" s="474">
        <v>13458.75</v>
      </c>
      <c r="CD289" s="474">
        <v>186.77</v>
      </c>
      <c r="CE289" s="474">
        <v>153.03</v>
      </c>
      <c r="CF289" s="474">
        <v>153.03</v>
      </c>
      <c r="CG289" s="474">
        <v>153.03</v>
      </c>
      <c r="CH289" s="65">
        <v>153.03</v>
      </c>
      <c r="CI289" s="65">
        <v>125.83</v>
      </c>
      <c r="CJ289" s="65">
        <v>96.14</v>
      </c>
      <c r="CK289" s="65">
        <v>47.72</v>
      </c>
      <c r="CL289" s="65">
        <v>282.82</v>
      </c>
      <c r="CM289" s="65">
        <v>282.82</v>
      </c>
      <c r="CN289" s="65">
        <v>282.82</v>
      </c>
    </row>
    <row r="290" ht="15.75" customHeight="1">
      <c r="A290" s="462" t="s">
        <v>2346</v>
      </c>
      <c r="B290" s="510" t="s">
        <v>1331</v>
      </c>
      <c r="C290" s="141">
        <v>367566.0</v>
      </c>
      <c r="D290" s="63" t="s">
        <v>120</v>
      </c>
      <c r="E290" s="63" t="s">
        <v>91</v>
      </c>
      <c r="F290" s="63" t="s">
        <v>521</v>
      </c>
      <c r="G290" s="47" t="str">
        <f t="shared" si="1"/>
        <v>Breno</v>
      </c>
      <c r="H290" s="152" t="s">
        <v>295</v>
      </c>
      <c r="I290" s="49" t="s">
        <v>382</v>
      </c>
      <c r="J290" s="63" t="str">
        <f t="shared" si="4"/>
        <v>Sim</v>
      </c>
      <c r="K290" s="467">
        <v>44781.0</v>
      </c>
      <c r="L290" s="467"/>
      <c r="M290" s="81" t="s">
        <v>61</v>
      </c>
      <c r="N290" s="478">
        <v>0.01</v>
      </c>
      <c r="O290" s="141" t="s">
        <v>66</v>
      </c>
      <c r="P290" s="145">
        <v>0.0</v>
      </c>
      <c r="Q290" s="153" t="s">
        <v>1322</v>
      </c>
      <c r="R290" s="158"/>
      <c r="S290" s="62" t="s">
        <v>194</v>
      </c>
      <c r="T290" s="30" t="s">
        <v>1324</v>
      </c>
      <c r="U290" s="30" t="s">
        <v>221</v>
      </c>
      <c r="V290" s="49" t="str">
        <f t="shared" si="3"/>
        <v>Ativo</v>
      </c>
      <c r="W290" s="150"/>
      <c r="X290" s="150"/>
      <c r="Y290" s="30" t="s">
        <v>244</v>
      </c>
      <c r="Z290" s="81"/>
      <c r="AA290" s="467">
        <v>44781.0</v>
      </c>
      <c r="AB290" s="30">
        <v>4.9075100005559E13</v>
      </c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  <c r="BB290" s="96"/>
      <c r="BC290" s="96"/>
      <c r="BD290" s="96"/>
      <c r="BE290" s="96"/>
      <c r="BF290" s="96"/>
      <c r="BG290" s="96"/>
      <c r="BH290" s="96"/>
      <c r="BI290" s="96"/>
      <c r="BJ290" s="96"/>
      <c r="BK290" s="472"/>
      <c r="BL290" s="472">
        <v>0.0</v>
      </c>
      <c r="BM290" s="472">
        <v>150871.07</v>
      </c>
      <c r="BN290" s="472">
        <v>152713.17</v>
      </c>
      <c r="BO290" s="472">
        <v>153662.93</v>
      </c>
      <c r="BP290" s="472">
        <v>154758.0</v>
      </c>
      <c r="BQ290" s="472">
        <v>156237.43</v>
      </c>
      <c r="BR290" s="472">
        <v>157263.8</v>
      </c>
      <c r="BS290" s="472">
        <v>158867.04</v>
      </c>
      <c r="BT290" s="472">
        <v>160378.45</v>
      </c>
      <c r="BU290" s="472">
        <v>161504.41</v>
      </c>
      <c r="BV290" s="472">
        <v>163488.86</v>
      </c>
      <c r="BW290" s="472">
        <v>164871.13</v>
      </c>
      <c r="BX290" s="472">
        <v>166436.41</v>
      </c>
      <c r="BY290" s="472">
        <v>166821.28</v>
      </c>
      <c r="BZ290" s="472">
        <v>55823.94</v>
      </c>
      <c r="CA290" s="474">
        <v>56377.26</v>
      </c>
      <c r="CB290" s="474">
        <v>56795.12</v>
      </c>
      <c r="CC290" s="474">
        <v>57283.92</v>
      </c>
      <c r="CD290" s="474">
        <v>57779.6</v>
      </c>
      <c r="CE290" s="474">
        <v>0.0</v>
      </c>
      <c r="CF290" s="474">
        <v>0.0</v>
      </c>
      <c r="CG290" s="474">
        <v>0.0</v>
      </c>
      <c r="CH290" s="65">
        <v>0.0</v>
      </c>
      <c r="CI290" s="65">
        <v>0.0</v>
      </c>
      <c r="CJ290" s="65">
        <v>0.0</v>
      </c>
      <c r="CK290" s="65">
        <v>0.0</v>
      </c>
      <c r="CL290" s="65">
        <v>0.54</v>
      </c>
      <c r="CM290" s="65">
        <v>0.54</v>
      </c>
      <c r="CN290" s="65">
        <v>0.54</v>
      </c>
    </row>
    <row r="291" ht="15.75" customHeight="1">
      <c r="A291" s="462" t="s">
        <v>2346</v>
      </c>
      <c r="B291" s="510" t="s">
        <v>5912</v>
      </c>
      <c r="C291" s="141">
        <v>338435.0</v>
      </c>
      <c r="D291" s="63" t="s">
        <v>669</v>
      </c>
      <c r="E291" s="63" t="s">
        <v>199</v>
      </c>
      <c r="F291" s="81" t="s">
        <v>2388</v>
      </c>
      <c r="G291" s="47" t="str">
        <f t="shared" si="1"/>
        <v>Breno</v>
      </c>
      <c r="H291" s="152" t="s">
        <v>224</v>
      </c>
      <c r="I291" s="74" t="s">
        <v>66</v>
      </c>
      <c r="J291" s="63" t="str">
        <f t="shared" si="4"/>
        <v>Não</v>
      </c>
      <c r="K291" s="467">
        <v>43531.0</v>
      </c>
      <c r="L291" s="467">
        <v>44287.0</v>
      </c>
      <c r="M291" s="81" t="s">
        <v>209</v>
      </c>
      <c r="N291" s="478">
        <v>0.01</v>
      </c>
      <c r="O291" s="63" t="s">
        <v>35</v>
      </c>
      <c r="P291" s="145">
        <v>0.1</v>
      </c>
      <c r="Q291" s="160"/>
      <c r="R291" s="160"/>
      <c r="S291" s="62" t="s">
        <v>194</v>
      </c>
      <c r="T291" s="30" t="s">
        <v>6727</v>
      </c>
      <c r="U291" s="81" t="s">
        <v>199</v>
      </c>
      <c r="V291" s="49" t="str">
        <f t="shared" si="3"/>
        <v>Encerrado</v>
      </c>
      <c r="W291" s="150"/>
      <c r="X291" s="150"/>
      <c r="Y291" s="81"/>
      <c r="Z291" s="81"/>
      <c r="AA291" s="81"/>
      <c r="AB291" s="30"/>
      <c r="AC291" s="96">
        <v>447274.33</v>
      </c>
      <c r="AD291" s="96">
        <v>443334.97</v>
      </c>
      <c r="AE291" s="96">
        <v>420697.21</v>
      </c>
      <c r="AF291" s="96">
        <v>427991.86</v>
      </c>
      <c r="AG291" s="96">
        <v>432877.63</v>
      </c>
      <c r="AH291" s="96">
        <v>438810.44</v>
      </c>
      <c r="AI291" s="96">
        <v>443046.85</v>
      </c>
      <c r="AJ291" s="96">
        <v>443520.46</v>
      </c>
      <c r="AK291" s="96">
        <v>436370.76</v>
      </c>
      <c r="AL291" s="96">
        <v>436177.14</v>
      </c>
      <c r="AM291" s="96">
        <v>448669.71</v>
      </c>
      <c r="AN291" s="96">
        <v>452800.69</v>
      </c>
      <c r="AO291" s="96">
        <v>449091.71</v>
      </c>
      <c r="AP291" s="96">
        <v>442319.02</v>
      </c>
      <c r="AQ291" s="96">
        <v>441488.04</v>
      </c>
      <c r="AR291" s="96">
        <v>222801.29</v>
      </c>
      <c r="AS291" s="96">
        <v>177190.41</v>
      </c>
      <c r="AT291" s="96">
        <v>176843.09</v>
      </c>
      <c r="AU291" s="96">
        <v>177358.37</v>
      </c>
      <c r="AV291" s="96">
        <v>177867.21</v>
      </c>
      <c r="AW291" s="96">
        <v>31658.13</v>
      </c>
      <c r="AX291" s="96">
        <v>31787.86</v>
      </c>
      <c r="AY291" s="96">
        <v>31907.92</v>
      </c>
      <c r="AZ291" s="96"/>
      <c r="BA291" s="96"/>
      <c r="BB291" s="96"/>
      <c r="BC291" s="96"/>
      <c r="BD291" s="96">
        <v>0.0</v>
      </c>
      <c r="BE291" s="96">
        <v>0.0</v>
      </c>
      <c r="BF291" s="96">
        <v>0.0</v>
      </c>
      <c r="BG291" s="96" t="s">
        <v>377</v>
      </c>
      <c r="BH291" s="96">
        <v>0.0</v>
      </c>
      <c r="BI291" s="96" t="s">
        <v>377</v>
      </c>
      <c r="BJ291" s="96">
        <v>0.0</v>
      </c>
      <c r="BK291" s="472">
        <v>0.0</v>
      </c>
      <c r="BL291" s="472">
        <v>0.0</v>
      </c>
      <c r="BM291" s="472">
        <v>0.0</v>
      </c>
      <c r="BN291" s="472">
        <v>0.0</v>
      </c>
      <c r="BO291" s="472">
        <v>0.0</v>
      </c>
      <c r="BP291" s="472">
        <v>0.0</v>
      </c>
      <c r="BQ291" s="472">
        <v>0.0</v>
      </c>
      <c r="BR291" s="472">
        <v>0.0</v>
      </c>
      <c r="BS291" s="472">
        <v>0.0</v>
      </c>
      <c r="BT291" s="472">
        <v>0.0</v>
      </c>
      <c r="BU291" s="472">
        <v>0.0</v>
      </c>
      <c r="BV291" s="472">
        <v>0.0</v>
      </c>
      <c r="BW291" s="472">
        <v>0.0</v>
      </c>
      <c r="BX291" s="472">
        <v>0.0</v>
      </c>
      <c r="BY291" s="472">
        <v>0.0</v>
      </c>
      <c r="BZ291" s="472">
        <v>0.0</v>
      </c>
      <c r="CA291" s="474">
        <v>0.0</v>
      </c>
      <c r="CB291" s="474">
        <v>0.0</v>
      </c>
      <c r="CC291" s="474">
        <v>0.0</v>
      </c>
      <c r="CD291" s="474">
        <v>0.0</v>
      </c>
      <c r="CE291" s="474">
        <v>0.0</v>
      </c>
      <c r="CF291" s="474">
        <v>0.0</v>
      </c>
      <c r="CG291" s="474">
        <v>0.0</v>
      </c>
      <c r="CH291" s="65">
        <v>0.0</v>
      </c>
      <c r="CI291" s="65">
        <v>0.0</v>
      </c>
      <c r="CJ291" s="65">
        <v>0.0</v>
      </c>
      <c r="CK291" s="65">
        <v>0.0</v>
      </c>
      <c r="CL291" s="65">
        <v>0.0</v>
      </c>
      <c r="CM291" s="65">
        <v>0.0</v>
      </c>
      <c r="CN291" s="65">
        <v>0.0</v>
      </c>
    </row>
    <row r="292" ht="15.75" customHeight="1">
      <c r="A292" s="462" t="s">
        <v>2346</v>
      </c>
      <c r="B292" s="510" t="s">
        <v>5912</v>
      </c>
      <c r="C292" s="141">
        <v>577330.0</v>
      </c>
      <c r="D292" s="63" t="s">
        <v>669</v>
      </c>
      <c r="E292" s="63" t="s">
        <v>199</v>
      </c>
      <c r="F292" s="81" t="s">
        <v>2388</v>
      </c>
      <c r="G292" s="47" t="str">
        <f t="shared" si="1"/>
        <v>Breno</v>
      </c>
      <c r="H292" s="152" t="s">
        <v>224</v>
      </c>
      <c r="I292" s="74" t="s">
        <v>66</v>
      </c>
      <c r="J292" s="63" t="str">
        <f t="shared" si="4"/>
        <v>Não</v>
      </c>
      <c r="K292" s="467">
        <v>43566.0</v>
      </c>
      <c r="L292" s="467">
        <v>44287.0</v>
      </c>
      <c r="M292" s="81" t="s">
        <v>34</v>
      </c>
      <c r="N292" s="478">
        <v>0.005</v>
      </c>
      <c r="O292" s="141" t="s">
        <v>66</v>
      </c>
      <c r="P292" s="145">
        <v>0.0</v>
      </c>
      <c r="Q292" s="158"/>
      <c r="R292" s="158"/>
      <c r="S292" s="62" t="s">
        <v>194</v>
      </c>
      <c r="T292" s="30" t="s">
        <v>6727</v>
      </c>
      <c r="U292" s="81" t="s">
        <v>199</v>
      </c>
      <c r="V292" s="49" t="str">
        <f t="shared" si="3"/>
        <v>Encerrado</v>
      </c>
      <c r="W292" s="150"/>
      <c r="X292" s="150"/>
      <c r="Y292" s="81"/>
      <c r="Z292" s="81"/>
      <c r="AA292" s="81"/>
      <c r="AB292" s="30"/>
      <c r="AC292" s="96">
        <v>18441.73</v>
      </c>
      <c r="AD292" s="96">
        <v>0.0</v>
      </c>
      <c r="AE292" s="96">
        <v>0.0</v>
      </c>
      <c r="AF292" s="96">
        <v>0.0</v>
      </c>
      <c r="AG292" s="96">
        <v>0.0</v>
      </c>
      <c r="AH292" s="96">
        <v>0.0</v>
      </c>
      <c r="AI292" s="96">
        <v>0.0</v>
      </c>
      <c r="AJ292" s="482"/>
      <c r="AK292" s="482"/>
      <c r="AL292" s="482"/>
      <c r="AM292" s="482"/>
      <c r="AN292" s="482"/>
      <c r="AO292" s="482"/>
      <c r="AP292" s="96"/>
      <c r="AQ292" s="96"/>
      <c r="AR292" s="96"/>
      <c r="AS292" s="96"/>
      <c r="AT292" s="96"/>
      <c r="AU292" s="96"/>
      <c r="AV292" s="482"/>
      <c r="AW292" s="482"/>
      <c r="AX292" s="482"/>
      <c r="AY292" s="96"/>
      <c r="AZ292" s="96"/>
      <c r="BA292" s="96"/>
      <c r="BB292" s="96"/>
      <c r="BC292" s="96"/>
      <c r="BD292" s="96">
        <v>0.0</v>
      </c>
      <c r="BE292" s="96">
        <v>0.0</v>
      </c>
      <c r="BF292" s="96">
        <v>0.0</v>
      </c>
      <c r="BG292" s="96" t="s">
        <v>377</v>
      </c>
      <c r="BH292" s="96">
        <v>0.0</v>
      </c>
      <c r="BI292" s="96" t="s">
        <v>377</v>
      </c>
      <c r="BJ292" s="96">
        <v>0.0</v>
      </c>
      <c r="BK292" s="472">
        <v>0.0</v>
      </c>
      <c r="BL292" s="472">
        <v>0.0</v>
      </c>
      <c r="BM292" s="472">
        <v>0.0</v>
      </c>
      <c r="BN292" s="472">
        <v>0.0</v>
      </c>
      <c r="BO292" s="472">
        <v>0.0</v>
      </c>
      <c r="BP292" s="472">
        <v>0.0</v>
      </c>
      <c r="BQ292" s="472">
        <v>0.0</v>
      </c>
      <c r="BR292" s="472">
        <v>0.0</v>
      </c>
      <c r="BS292" s="472">
        <v>0.0</v>
      </c>
      <c r="BT292" s="472">
        <v>0.0</v>
      </c>
      <c r="BU292" s="472">
        <v>0.0</v>
      </c>
      <c r="BV292" s="472">
        <v>0.0</v>
      </c>
      <c r="BW292" s="472">
        <v>0.0</v>
      </c>
      <c r="BX292" s="472">
        <v>0.0</v>
      </c>
      <c r="BY292" s="472">
        <v>0.0</v>
      </c>
      <c r="BZ292" s="472">
        <v>0.0</v>
      </c>
      <c r="CA292" s="474">
        <v>0.0</v>
      </c>
      <c r="CB292" s="474">
        <v>0.0</v>
      </c>
      <c r="CC292" s="474">
        <v>0.0</v>
      </c>
      <c r="CD292" s="474">
        <v>0.0</v>
      </c>
      <c r="CE292" s="474">
        <v>0.0</v>
      </c>
      <c r="CF292" s="474">
        <v>0.0</v>
      </c>
      <c r="CG292" s="474">
        <v>0.0</v>
      </c>
      <c r="CH292" s="65">
        <v>0.0</v>
      </c>
      <c r="CI292" s="65">
        <v>0.0</v>
      </c>
      <c r="CJ292" s="65">
        <v>0.0</v>
      </c>
      <c r="CK292" s="65">
        <v>0.0</v>
      </c>
      <c r="CL292" s="65">
        <v>0.0</v>
      </c>
      <c r="CM292" s="65">
        <v>0.0</v>
      </c>
      <c r="CN292" s="65">
        <v>0.0</v>
      </c>
    </row>
    <row r="293" ht="15.75" customHeight="1">
      <c r="A293" s="462" t="s">
        <v>2346</v>
      </c>
      <c r="B293" s="477" t="s">
        <v>6744</v>
      </c>
      <c r="C293" s="141">
        <v>466334.0</v>
      </c>
      <c r="D293" s="63" t="s">
        <v>120</v>
      </c>
      <c r="E293" s="63" t="s">
        <v>91</v>
      </c>
      <c r="F293" s="81" t="s">
        <v>521</v>
      </c>
      <c r="G293" s="47" t="str">
        <f t="shared" si="1"/>
        <v>Breno</v>
      </c>
      <c r="H293" s="152" t="s">
        <v>224</v>
      </c>
      <c r="I293" s="74" t="s">
        <v>66</v>
      </c>
      <c r="J293" s="63" t="str">
        <f t="shared" si="4"/>
        <v>Não</v>
      </c>
      <c r="K293" s="467">
        <v>44280.0</v>
      </c>
      <c r="L293" s="467">
        <v>44757.0</v>
      </c>
      <c r="M293" s="81" t="s">
        <v>231</v>
      </c>
      <c r="N293" s="478">
        <v>0.025</v>
      </c>
      <c r="O293" s="141" t="s">
        <v>233</v>
      </c>
      <c r="P293" s="145">
        <v>0.2</v>
      </c>
      <c r="Q293" s="158"/>
      <c r="R293" s="158"/>
      <c r="S293" s="62" t="s">
        <v>234</v>
      </c>
      <c r="T293" s="30" t="s">
        <v>6749</v>
      </c>
      <c r="U293" s="95" t="s">
        <v>221</v>
      </c>
      <c r="V293" s="49" t="str">
        <f t="shared" si="3"/>
        <v>Encerrado</v>
      </c>
      <c r="W293" s="150"/>
      <c r="X293" s="150"/>
      <c r="Y293" s="30" t="s">
        <v>244</v>
      </c>
      <c r="Z293" s="81"/>
      <c r="AA293" s="81"/>
      <c r="AB293" s="30"/>
      <c r="AC293" s="482"/>
      <c r="AD293" s="482"/>
      <c r="AE293" s="482"/>
      <c r="AF293" s="482"/>
      <c r="AG293" s="482"/>
      <c r="AH293" s="482"/>
      <c r="AI293" s="482"/>
      <c r="AJ293" s="482"/>
      <c r="AK293" s="482"/>
      <c r="AL293" s="482"/>
      <c r="AM293" s="482"/>
      <c r="AN293" s="482"/>
      <c r="AO293" s="482"/>
      <c r="AP293" s="96"/>
      <c r="AQ293" s="96">
        <v>254446.37</v>
      </c>
      <c r="AR293" s="96">
        <v>268252.37</v>
      </c>
      <c r="AS293" s="96">
        <v>269830.89</v>
      </c>
      <c r="AT293" s="96">
        <v>272037.0</v>
      </c>
      <c r="AU293" s="96">
        <v>281307.71</v>
      </c>
      <c r="AV293" s="96">
        <v>277952.15</v>
      </c>
      <c r="AW293" s="96">
        <v>271102.9</v>
      </c>
      <c r="AX293" s="96">
        <v>259110.43</v>
      </c>
      <c r="AY293" s="96">
        <v>248717.1</v>
      </c>
      <c r="AZ293" s="96">
        <v>235546.01</v>
      </c>
      <c r="BA293" s="96">
        <v>228493.8</v>
      </c>
      <c r="BB293" s="96">
        <v>226167.66</v>
      </c>
      <c r="BC293" s="96">
        <v>237755.25</v>
      </c>
      <c r="BD293" s="96">
        <v>239653.1</v>
      </c>
      <c r="BE293" s="96">
        <v>27704.29</v>
      </c>
      <c r="BF293" s="96">
        <v>27448.17</v>
      </c>
      <c r="BG293" s="96">
        <v>28156.92</v>
      </c>
      <c r="BH293" s="96">
        <v>0.0</v>
      </c>
      <c r="BI293" s="96" t="s">
        <v>377</v>
      </c>
      <c r="BJ293" s="96">
        <v>0.0</v>
      </c>
      <c r="BK293" s="472">
        <v>0.0</v>
      </c>
      <c r="BL293" s="472">
        <v>0.0</v>
      </c>
      <c r="BM293" s="472">
        <v>0.0</v>
      </c>
      <c r="BN293" s="472">
        <v>0.0</v>
      </c>
      <c r="BO293" s="472">
        <v>0.0</v>
      </c>
      <c r="BP293" s="472">
        <v>0.0</v>
      </c>
      <c r="BQ293" s="472">
        <v>0.0</v>
      </c>
      <c r="BR293" s="472">
        <v>0.0</v>
      </c>
      <c r="BS293" s="472">
        <v>0.0</v>
      </c>
      <c r="BT293" s="472">
        <v>0.0</v>
      </c>
      <c r="BU293" s="472">
        <v>0.0</v>
      </c>
      <c r="BV293" s="472">
        <v>0.0</v>
      </c>
      <c r="BW293" s="472">
        <v>0.0</v>
      </c>
      <c r="BX293" s="472">
        <v>0.0</v>
      </c>
      <c r="BY293" s="472">
        <v>0.0</v>
      </c>
      <c r="BZ293" s="472">
        <v>0.0</v>
      </c>
      <c r="CA293" s="474">
        <v>0.0</v>
      </c>
      <c r="CB293" s="474">
        <v>0.0</v>
      </c>
      <c r="CC293" s="474">
        <v>0.0</v>
      </c>
      <c r="CD293" s="474">
        <v>0.0</v>
      </c>
      <c r="CE293" s="474">
        <v>0.0</v>
      </c>
      <c r="CF293" s="474">
        <v>0.0</v>
      </c>
      <c r="CG293" s="474">
        <v>0.0</v>
      </c>
      <c r="CH293" s="65">
        <v>0.0</v>
      </c>
      <c r="CI293" s="65">
        <v>0.0</v>
      </c>
      <c r="CJ293" s="65">
        <v>0.0</v>
      </c>
      <c r="CK293" s="65">
        <v>0.0</v>
      </c>
      <c r="CL293" s="65">
        <v>0.0</v>
      </c>
      <c r="CM293" s="65">
        <v>0.0</v>
      </c>
      <c r="CN293" s="65">
        <v>0.0</v>
      </c>
    </row>
    <row r="294" ht="15.75" customHeight="1">
      <c r="A294" s="462" t="s">
        <v>2346</v>
      </c>
      <c r="B294" s="518" t="s">
        <v>6756</v>
      </c>
      <c r="C294" s="141">
        <v>465880.0</v>
      </c>
      <c r="D294" s="63" t="s">
        <v>120</v>
      </c>
      <c r="E294" s="63" t="s">
        <v>91</v>
      </c>
      <c r="F294" s="63" t="s">
        <v>521</v>
      </c>
      <c r="G294" s="47" t="str">
        <f t="shared" si="1"/>
        <v>Breno</v>
      </c>
      <c r="H294" s="142" t="s">
        <v>295</v>
      </c>
      <c r="I294" s="49" t="s">
        <v>382</v>
      </c>
      <c r="J294" s="63" t="str">
        <f t="shared" si="4"/>
        <v>Não</v>
      </c>
      <c r="K294" s="143">
        <v>44280.0</v>
      </c>
      <c r="L294" s="81"/>
      <c r="M294" s="81" t="s">
        <v>361</v>
      </c>
      <c r="N294" s="478">
        <v>0.02</v>
      </c>
      <c r="O294" s="63" t="s">
        <v>35</v>
      </c>
      <c r="P294" s="145">
        <v>0.2</v>
      </c>
      <c r="Q294" s="158"/>
      <c r="R294" s="158"/>
      <c r="S294" s="62" t="s">
        <v>194</v>
      </c>
      <c r="T294" s="141" t="s">
        <v>6757</v>
      </c>
      <c r="U294" s="95" t="s">
        <v>221</v>
      </c>
      <c r="V294" s="49" t="str">
        <f t="shared" si="3"/>
        <v>Inativo</v>
      </c>
      <c r="W294" s="150"/>
      <c r="X294" s="150"/>
      <c r="Y294" s="30" t="s">
        <v>244</v>
      </c>
      <c r="Z294" s="81"/>
      <c r="AA294" s="467">
        <v>44280.0</v>
      </c>
      <c r="AB294" s="30">
        <v>4.9075100010889E13</v>
      </c>
      <c r="AC294" s="482"/>
      <c r="AD294" s="482"/>
      <c r="AE294" s="482"/>
      <c r="AF294" s="482"/>
      <c r="AG294" s="482"/>
      <c r="AH294" s="482"/>
      <c r="AI294" s="482"/>
      <c r="AJ294" s="482"/>
      <c r="AK294" s="482"/>
      <c r="AL294" s="482"/>
      <c r="AM294" s="482"/>
      <c r="AN294" s="482"/>
      <c r="AO294" s="482"/>
      <c r="AP294" s="96"/>
      <c r="AQ294" s="96"/>
      <c r="AR294" s="96">
        <v>195567.07</v>
      </c>
      <c r="AS294" s="96"/>
      <c r="AT294" s="96">
        <v>198176.68</v>
      </c>
      <c r="AU294" s="96">
        <v>203988.77</v>
      </c>
      <c r="AV294" s="96">
        <v>202373.08</v>
      </c>
      <c r="AW294" s="96">
        <v>198809.45</v>
      </c>
      <c r="AX294" s="96">
        <v>192948.66</v>
      </c>
      <c r="AY294" s="96">
        <v>176115.71</v>
      </c>
      <c r="AZ294" s="96">
        <v>180422.69</v>
      </c>
      <c r="BA294" s="96">
        <v>177172.27</v>
      </c>
      <c r="BB294" s="96">
        <v>177996.07</v>
      </c>
      <c r="BC294" s="96">
        <v>184170.79</v>
      </c>
      <c r="BD294" s="96">
        <v>185578.22</v>
      </c>
      <c r="BE294" s="96">
        <v>37919.12</v>
      </c>
      <c r="BF294" s="96">
        <v>37796.46</v>
      </c>
      <c r="BG294" s="472">
        <v>38354.31</v>
      </c>
      <c r="BH294" s="472">
        <v>0.0</v>
      </c>
      <c r="BI294" s="472">
        <v>38957.72</v>
      </c>
      <c r="BJ294" s="472">
        <v>39253.5</v>
      </c>
      <c r="BK294" s="472">
        <v>39535.8</v>
      </c>
      <c r="BL294" s="472">
        <v>16362.24</v>
      </c>
      <c r="BM294" s="472">
        <v>16499.92</v>
      </c>
      <c r="BN294" s="472">
        <v>16637.63</v>
      </c>
      <c r="BO294" s="472">
        <v>0.0</v>
      </c>
      <c r="BP294" s="472">
        <v>0.0</v>
      </c>
      <c r="BQ294" s="472">
        <v>0.0</v>
      </c>
      <c r="BR294" s="472">
        <v>0.0</v>
      </c>
      <c r="BS294" s="472">
        <v>0.0</v>
      </c>
      <c r="BT294" s="472">
        <v>0.0</v>
      </c>
      <c r="BU294" s="472">
        <v>0.0</v>
      </c>
      <c r="BV294" s="472">
        <v>0.0</v>
      </c>
      <c r="BW294" s="472">
        <v>0.0</v>
      </c>
      <c r="BX294" s="472">
        <v>0.0</v>
      </c>
      <c r="BY294" s="472">
        <v>0.0</v>
      </c>
      <c r="BZ294" s="472">
        <v>0.0</v>
      </c>
      <c r="CA294" s="474">
        <v>0.0</v>
      </c>
      <c r="CB294" s="474">
        <v>0.0</v>
      </c>
      <c r="CC294" s="474">
        <v>0.0</v>
      </c>
      <c r="CD294" s="474">
        <v>0.0</v>
      </c>
      <c r="CE294" s="474">
        <v>0.0</v>
      </c>
      <c r="CF294" s="474">
        <v>0.0</v>
      </c>
      <c r="CG294" s="474">
        <v>0.0</v>
      </c>
      <c r="CH294" s="65">
        <v>0.0</v>
      </c>
      <c r="CI294" s="65">
        <v>0.0</v>
      </c>
      <c r="CJ294" s="65">
        <v>0.0</v>
      </c>
      <c r="CK294" s="65">
        <v>0.0</v>
      </c>
      <c r="CL294" s="65">
        <v>0.0</v>
      </c>
      <c r="CM294" s="65">
        <v>0.0</v>
      </c>
      <c r="CN294" s="65">
        <v>0.0</v>
      </c>
    </row>
    <row r="295" ht="15.75" customHeight="1">
      <c r="A295" s="462" t="s">
        <v>2346</v>
      </c>
      <c r="B295" s="50" t="s">
        <v>6764</v>
      </c>
      <c r="C295" s="141">
        <v>74276.0</v>
      </c>
      <c r="D295" s="63" t="s">
        <v>120</v>
      </c>
      <c r="E295" s="63" t="s">
        <v>91</v>
      </c>
      <c r="F295" s="66" t="s">
        <v>193</v>
      </c>
      <c r="G295" s="47" t="str">
        <f t="shared" si="1"/>
        <v>Breno</v>
      </c>
      <c r="H295" s="152" t="s">
        <v>295</v>
      </c>
      <c r="I295" s="49" t="s">
        <v>382</v>
      </c>
      <c r="J295" s="63" t="str">
        <f t="shared" si="4"/>
        <v>Não</v>
      </c>
      <c r="K295" s="194">
        <v>44362.0</v>
      </c>
      <c r="L295" s="62"/>
      <c r="M295" s="81" t="s">
        <v>209</v>
      </c>
      <c r="N295" s="464">
        <v>0.015</v>
      </c>
      <c r="O295" s="63" t="s">
        <v>35</v>
      </c>
      <c r="P295" s="145">
        <v>0.1</v>
      </c>
      <c r="Q295" s="158"/>
      <c r="R295" s="158"/>
      <c r="S295" s="62" t="s">
        <v>234</v>
      </c>
      <c r="T295" s="22" t="s">
        <v>6765</v>
      </c>
      <c r="U295" s="95" t="s">
        <v>221</v>
      </c>
      <c r="V295" s="49" t="str">
        <f t="shared" si="3"/>
        <v>Ativo</v>
      </c>
      <c r="W295" s="150"/>
      <c r="X295" s="150"/>
      <c r="Y295" s="30" t="s">
        <v>244</v>
      </c>
      <c r="Z295" s="81"/>
      <c r="AA295" s="467">
        <v>44362.0</v>
      </c>
      <c r="AB295" s="30">
        <v>4.9075100004471E13</v>
      </c>
      <c r="AC295" s="476"/>
      <c r="AD295" s="476"/>
      <c r="AE295" s="476"/>
      <c r="AF295" s="476"/>
      <c r="AG295" s="476"/>
      <c r="AH295" s="476"/>
      <c r="AI295" s="476"/>
      <c r="AJ295" s="476"/>
      <c r="AK295" s="476"/>
      <c r="AL295" s="476"/>
      <c r="AM295" s="476"/>
      <c r="AN295" s="476"/>
      <c r="AO295" s="476"/>
      <c r="AP295" s="476"/>
      <c r="AQ295" s="96"/>
      <c r="AR295" s="96"/>
      <c r="AS295" s="96"/>
      <c r="AT295" s="96"/>
      <c r="AU295" s="476"/>
      <c r="AV295" s="96">
        <v>148154.25</v>
      </c>
      <c r="AW295" s="96">
        <v>233157.65</v>
      </c>
      <c r="AX295" s="96">
        <v>228964.7</v>
      </c>
      <c r="AY295" s="96">
        <v>225420.02</v>
      </c>
      <c r="AZ295" s="96">
        <v>219686.33</v>
      </c>
      <c r="BA295" s="96">
        <v>217140.23</v>
      </c>
      <c r="BB295" s="96">
        <v>182364.75</v>
      </c>
      <c r="BC295" s="96">
        <v>222858.9</v>
      </c>
      <c r="BD295" s="96">
        <v>224347.9</v>
      </c>
      <c r="BE295" s="96">
        <v>232615.54</v>
      </c>
      <c r="BF295" s="96">
        <v>227989.83</v>
      </c>
      <c r="BG295" s="472">
        <v>226983.35</v>
      </c>
      <c r="BH295" s="472">
        <v>224724.52</v>
      </c>
      <c r="BI295" s="472">
        <v>229590.19</v>
      </c>
      <c r="BJ295" s="472">
        <v>232629.08</v>
      </c>
      <c r="BK295" s="472">
        <v>235331.69</v>
      </c>
      <c r="BL295" s="472">
        <v>243567.89</v>
      </c>
      <c r="BM295" s="472">
        <v>241714.52</v>
      </c>
      <c r="BN295" s="472">
        <v>243507.2</v>
      </c>
      <c r="BO295" s="472">
        <v>246189.27</v>
      </c>
      <c r="BP295" s="472">
        <v>246783.22</v>
      </c>
      <c r="BQ295" s="472">
        <v>248682.04</v>
      </c>
      <c r="BR295" s="472">
        <v>249050.44</v>
      </c>
      <c r="BS295" s="472">
        <v>255036.82</v>
      </c>
      <c r="BT295" s="472">
        <v>259460.67</v>
      </c>
      <c r="BU295" s="472">
        <v>260710.43</v>
      </c>
      <c r="BV295" s="472">
        <v>263251.56</v>
      </c>
      <c r="BW295" s="472">
        <v>249879.1</v>
      </c>
      <c r="BX295" s="472">
        <v>265891.94</v>
      </c>
      <c r="BY295" s="472">
        <v>216558.11</v>
      </c>
      <c r="BZ295" s="472">
        <v>19.55</v>
      </c>
      <c r="CA295" s="474">
        <v>0.0</v>
      </c>
      <c r="CB295" s="474">
        <v>19.55</v>
      </c>
      <c r="CC295" s="474">
        <v>0.0</v>
      </c>
      <c r="CD295" s="474">
        <v>19.55</v>
      </c>
      <c r="CE295" s="474">
        <v>0.0</v>
      </c>
      <c r="CF295" s="474">
        <v>0.0</v>
      </c>
      <c r="CG295" s="474">
        <v>0.0</v>
      </c>
      <c r="CH295" s="65">
        <v>0.0</v>
      </c>
      <c r="CI295" s="65">
        <v>0.0</v>
      </c>
      <c r="CJ295" s="65">
        <v>0.0</v>
      </c>
      <c r="CK295" s="65">
        <v>0.0</v>
      </c>
      <c r="CL295" s="65">
        <v>0.0</v>
      </c>
      <c r="CM295" s="65">
        <v>0.0</v>
      </c>
      <c r="CN295" s="65">
        <v>0.0</v>
      </c>
    </row>
    <row r="296" ht="15.75" customHeight="1">
      <c r="A296" s="462" t="s">
        <v>2346</v>
      </c>
      <c r="B296" s="510" t="s">
        <v>5544</v>
      </c>
      <c r="C296" s="141">
        <v>84645.0</v>
      </c>
      <c r="D296" s="63" t="s">
        <v>1096</v>
      </c>
      <c r="E296" s="63" t="s">
        <v>199</v>
      </c>
      <c r="F296" s="81" t="s">
        <v>1096</v>
      </c>
      <c r="G296" s="47" t="str">
        <f t="shared" si="1"/>
        <v>Breno</v>
      </c>
      <c r="H296" s="152" t="s">
        <v>224</v>
      </c>
      <c r="I296" s="74" t="s">
        <v>66</v>
      </c>
      <c r="J296" s="63" t="str">
        <f t="shared" si="4"/>
        <v>Não</v>
      </c>
      <c r="K296" s="480">
        <v>43426.0</v>
      </c>
      <c r="L296" s="467">
        <v>44109.0</v>
      </c>
      <c r="M296" s="81" t="s">
        <v>231</v>
      </c>
      <c r="N296" s="478">
        <v>0.008</v>
      </c>
      <c r="O296" s="141" t="s">
        <v>233</v>
      </c>
      <c r="P296" s="145">
        <v>0.2</v>
      </c>
      <c r="Q296" s="158"/>
      <c r="R296" s="158"/>
      <c r="S296" s="62" t="s">
        <v>234</v>
      </c>
      <c r="T296" s="30" t="s">
        <v>6775</v>
      </c>
      <c r="U296" s="81" t="s">
        <v>199</v>
      </c>
      <c r="V296" s="49" t="str">
        <f t="shared" si="3"/>
        <v>Encerrado</v>
      </c>
      <c r="W296" s="150"/>
      <c r="X296" s="150"/>
      <c r="Y296" s="81"/>
      <c r="Z296" s="81"/>
      <c r="AA296" s="81"/>
      <c r="AB296" s="30"/>
      <c r="AC296" s="96">
        <v>458759.65</v>
      </c>
      <c r="AD296" s="96">
        <v>433884.46</v>
      </c>
      <c r="AE296" s="96">
        <v>325714.55</v>
      </c>
      <c r="AF296" s="96">
        <v>350705.0</v>
      </c>
      <c r="AG296" s="96">
        <v>366907.76</v>
      </c>
      <c r="AH296" s="96">
        <v>390325.99</v>
      </c>
      <c r="AI296" s="96">
        <v>418339.04</v>
      </c>
      <c r="AJ296" s="96">
        <v>398448.18</v>
      </c>
      <c r="AK296" s="96">
        <v>379116.63</v>
      </c>
      <c r="AL296" s="96">
        <v>2478.61</v>
      </c>
      <c r="AM296" s="96">
        <v>0.0</v>
      </c>
      <c r="AN296" s="96">
        <v>0.0</v>
      </c>
      <c r="AO296" s="482"/>
      <c r="AP296" s="96"/>
      <c r="AQ296" s="96"/>
      <c r="AR296" s="96"/>
      <c r="AS296" s="96"/>
      <c r="AT296" s="96"/>
      <c r="AU296" s="96"/>
      <c r="AV296" s="482"/>
      <c r="AW296" s="482"/>
      <c r="AX296" s="482"/>
      <c r="AY296" s="96"/>
      <c r="AZ296" s="96"/>
      <c r="BA296" s="96"/>
      <c r="BB296" s="96"/>
      <c r="BC296" s="96"/>
      <c r="BD296" s="96">
        <v>0.0</v>
      </c>
      <c r="BE296" s="96">
        <v>0.0</v>
      </c>
      <c r="BF296" s="96">
        <v>0.0</v>
      </c>
      <c r="BG296" s="96" t="s">
        <v>377</v>
      </c>
      <c r="BH296" s="96">
        <v>0.0</v>
      </c>
      <c r="BI296" s="96" t="s">
        <v>377</v>
      </c>
      <c r="BJ296" s="96">
        <v>0.0</v>
      </c>
      <c r="BK296" s="472">
        <v>0.0</v>
      </c>
      <c r="BL296" s="472">
        <v>0.0</v>
      </c>
      <c r="BM296" s="472">
        <v>0.0</v>
      </c>
      <c r="BN296" s="472">
        <v>0.0</v>
      </c>
      <c r="BO296" s="472">
        <v>0.0</v>
      </c>
      <c r="BP296" s="472">
        <v>0.0</v>
      </c>
      <c r="BQ296" s="472">
        <v>0.0</v>
      </c>
      <c r="BR296" s="472">
        <v>0.0</v>
      </c>
      <c r="BS296" s="472">
        <v>0.0</v>
      </c>
      <c r="BT296" s="472">
        <v>0.0</v>
      </c>
      <c r="BU296" s="472">
        <v>0.0</v>
      </c>
      <c r="BV296" s="472">
        <v>0.0</v>
      </c>
      <c r="BW296" s="472">
        <v>0.0</v>
      </c>
      <c r="BX296" s="472">
        <v>0.0</v>
      </c>
      <c r="BY296" s="472">
        <v>0.0</v>
      </c>
      <c r="BZ296" s="472">
        <v>0.0</v>
      </c>
      <c r="CA296" s="474">
        <v>0.0</v>
      </c>
      <c r="CB296" s="474">
        <v>0.0</v>
      </c>
      <c r="CC296" s="474">
        <v>0.0</v>
      </c>
      <c r="CD296" s="474">
        <v>0.0</v>
      </c>
      <c r="CE296" s="474">
        <v>0.0</v>
      </c>
      <c r="CF296" s="474">
        <v>0.0</v>
      </c>
      <c r="CG296" s="474">
        <v>0.0</v>
      </c>
      <c r="CH296" s="65">
        <v>0.0</v>
      </c>
      <c r="CI296" s="65">
        <v>0.0</v>
      </c>
      <c r="CJ296" s="65">
        <v>0.0</v>
      </c>
      <c r="CK296" s="65">
        <v>0.0</v>
      </c>
      <c r="CL296" s="65">
        <v>0.0</v>
      </c>
      <c r="CM296" s="65">
        <v>0.0</v>
      </c>
      <c r="CN296" s="65">
        <v>0.0</v>
      </c>
    </row>
    <row r="297" ht="15.75" customHeight="1">
      <c r="A297" s="462" t="s">
        <v>2346</v>
      </c>
      <c r="B297" s="477" t="s">
        <v>6776</v>
      </c>
      <c r="C297" s="141">
        <v>435785.0</v>
      </c>
      <c r="D297" s="63" t="s">
        <v>669</v>
      </c>
      <c r="E297" s="63" t="s">
        <v>199</v>
      </c>
      <c r="F297" s="81" t="s">
        <v>1228</v>
      </c>
      <c r="G297" s="47" t="str">
        <f t="shared" si="1"/>
        <v>Breno</v>
      </c>
      <c r="H297" s="152" t="s">
        <v>224</v>
      </c>
      <c r="I297" s="74" t="s">
        <v>66</v>
      </c>
      <c r="J297" s="63" t="str">
        <f t="shared" si="4"/>
        <v>Não</v>
      </c>
      <c r="K297" s="480">
        <v>43816.0</v>
      </c>
      <c r="L297" s="467">
        <v>43944.0</v>
      </c>
      <c r="M297" s="81" t="s">
        <v>34</v>
      </c>
      <c r="N297" s="478">
        <v>0.012</v>
      </c>
      <c r="O297" s="141" t="s">
        <v>66</v>
      </c>
      <c r="P297" s="145">
        <v>0.0</v>
      </c>
      <c r="Q297" s="158"/>
      <c r="R297" s="158"/>
      <c r="S297" s="62" t="s">
        <v>194</v>
      </c>
      <c r="T297" s="30" t="s">
        <v>6774</v>
      </c>
      <c r="U297" s="81" t="s">
        <v>54</v>
      </c>
      <c r="V297" s="49" t="str">
        <f t="shared" si="3"/>
        <v>Encerrado</v>
      </c>
      <c r="W297" s="150"/>
      <c r="X297" s="150"/>
      <c r="Y297" s="81"/>
      <c r="Z297" s="81"/>
      <c r="AA297" s="81"/>
      <c r="AB297" s="30"/>
      <c r="AC297" s="96">
        <v>82328.99</v>
      </c>
      <c r="AD297" s="96">
        <v>83981.0</v>
      </c>
      <c r="AE297" s="96">
        <v>79578.57</v>
      </c>
      <c r="AF297" s="96">
        <v>80989.06</v>
      </c>
      <c r="AG297" s="96">
        <v>81576.63</v>
      </c>
      <c r="AH297" s="96">
        <v>82263.11</v>
      </c>
      <c r="AI297" s="96">
        <v>88285.95</v>
      </c>
      <c r="AJ297" s="96">
        <v>92144.99</v>
      </c>
      <c r="AK297" s="96">
        <v>91052.35</v>
      </c>
      <c r="AL297" s="96">
        <v>90888.51</v>
      </c>
      <c r="AM297" s="96">
        <v>18596.25</v>
      </c>
      <c r="AN297" s="96">
        <v>18555.74</v>
      </c>
      <c r="AO297" s="96">
        <v>18463.75</v>
      </c>
      <c r="AP297" s="96"/>
      <c r="AQ297" s="96"/>
      <c r="AR297" s="96"/>
      <c r="AS297" s="96"/>
      <c r="AT297" s="96"/>
      <c r="AU297" s="96"/>
      <c r="AV297" s="482"/>
      <c r="AW297" s="482"/>
      <c r="AX297" s="482"/>
      <c r="AY297" s="96"/>
      <c r="AZ297" s="96"/>
      <c r="BA297" s="96"/>
      <c r="BB297" s="96"/>
      <c r="BC297" s="96"/>
      <c r="BD297" s="96">
        <v>0.0</v>
      </c>
      <c r="BE297" s="96">
        <v>0.0</v>
      </c>
      <c r="BF297" s="96">
        <v>0.0</v>
      </c>
      <c r="BG297" s="96" t="s">
        <v>377</v>
      </c>
      <c r="BH297" s="96">
        <v>0.0</v>
      </c>
      <c r="BI297" s="96" t="s">
        <v>377</v>
      </c>
      <c r="BJ297" s="96">
        <v>0.0</v>
      </c>
      <c r="BK297" s="472">
        <v>0.0</v>
      </c>
      <c r="BL297" s="472">
        <v>0.0</v>
      </c>
      <c r="BM297" s="472">
        <v>0.0</v>
      </c>
      <c r="BN297" s="472">
        <v>0.0</v>
      </c>
      <c r="BO297" s="472">
        <v>0.0</v>
      </c>
      <c r="BP297" s="472">
        <v>0.0</v>
      </c>
      <c r="BQ297" s="472">
        <v>0.0</v>
      </c>
      <c r="BR297" s="472">
        <v>0.0</v>
      </c>
      <c r="BS297" s="472">
        <v>0.0</v>
      </c>
      <c r="BT297" s="472">
        <v>0.0</v>
      </c>
      <c r="BU297" s="472">
        <v>0.0</v>
      </c>
      <c r="BV297" s="472">
        <v>0.0</v>
      </c>
      <c r="BW297" s="472">
        <v>0.0</v>
      </c>
      <c r="BX297" s="472">
        <v>0.0</v>
      </c>
      <c r="BY297" s="472">
        <v>0.0</v>
      </c>
      <c r="BZ297" s="472">
        <v>0.0</v>
      </c>
      <c r="CA297" s="474">
        <v>0.0</v>
      </c>
      <c r="CB297" s="474">
        <v>0.0</v>
      </c>
      <c r="CC297" s="474">
        <v>0.0</v>
      </c>
      <c r="CD297" s="474">
        <v>0.0</v>
      </c>
      <c r="CE297" s="474">
        <v>0.0</v>
      </c>
      <c r="CF297" s="474">
        <v>0.0</v>
      </c>
      <c r="CG297" s="474">
        <v>0.0</v>
      </c>
      <c r="CH297" s="65">
        <v>0.0</v>
      </c>
      <c r="CI297" s="65">
        <v>0.0</v>
      </c>
      <c r="CJ297" s="65">
        <v>0.0</v>
      </c>
      <c r="CK297" s="65">
        <v>0.0</v>
      </c>
      <c r="CL297" s="65">
        <v>0.0</v>
      </c>
      <c r="CM297" s="65">
        <v>0.0</v>
      </c>
      <c r="CN297" s="65">
        <v>0.0</v>
      </c>
    </row>
    <row r="298" ht="15.75" customHeight="1">
      <c r="A298" s="462" t="s">
        <v>2346</v>
      </c>
      <c r="B298" s="510" t="s">
        <v>1734</v>
      </c>
      <c r="C298" s="141">
        <v>344424.0</v>
      </c>
      <c r="D298" s="63" t="s">
        <v>120</v>
      </c>
      <c r="E298" s="63" t="s">
        <v>199</v>
      </c>
      <c r="F298" s="81" t="s">
        <v>803</v>
      </c>
      <c r="G298" s="47" t="str">
        <f t="shared" si="1"/>
        <v>Breno</v>
      </c>
      <c r="H298" s="142" t="s">
        <v>295</v>
      </c>
      <c r="I298" s="49" t="s">
        <v>382</v>
      </c>
      <c r="J298" s="63" t="str">
        <f t="shared" si="4"/>
        <v>Sim</v>
      </c>
      <c r="K298" s="467">
        <v>45019.0</v>
      </c>
      <c r="L298" s="467"/>
      <c r="M298" s="81" t="s">
        <v>361</v>
      </c>
      <c r="N298" s="478">
        <v>0.02</v>
      </c>
      <c r="O298" s="63" t="s">
        <v>35</v>
      </c>
      <c r="P298" s="145">
        <v>0.2</v>
      </c>
      <c r="Q298" s="158" t="s">
        <v>6787</v>
      </c>
      <c r="R298" s="158"/>
      <c r="S298" s="62" t="s">
        <v>194</v>
      </c>
      <c r="T298" s="30" t="s">
        <v>1736</v>
      </c>
      <c r="U298" s="81" t="s">
        <v>54</v>
      </c>
      <c r="V298" s="49" t="str">
        <f t="shared" si="3"/>
        <v>Inativo</v>
      </c>
      <c r="W298" s="150"/>
      <c r="X298" s="150"/>
      <c r="Y298" s="30" t="s">
        <v>244</v>
      </c>
      <c r="Z298" s="81"/>
      <c r="AA298" s="467">
        <v>45019.0</v>
      </c>
      <c r="AB298" s="30">
        <v>4.9075100010897E13</v>
      </c>
      <c r="AC298" s="96"/>
      <c r="AD298" s="96"/>
      <c r="AE298" s="96"/>
      <c r="AF298" s="96"/>
      <c r="AG298" s="96"/>
      <c r="AH298" s="96"/>
      <c r="AI298" s="96"/>
      <c r="AJ298" s="482"/>
      <c r="AK298" s="482"/>
      <c r="AL298" s="482"/>
      <c r="AM298" s="482"/>
      <c r="AN298" s="482"/>
      <c r="AO298" s="482"/>
      <c r="AP298" s="96"/>
      <c r="AQ298" s="96"/>
      <c r="AR298" s="96"/>
      <c r="AS298" s="96"/>
      <c r="AT298" s="96"/>
      <c r="AU298" s="96"/>
      <c r="AV298" s="482"/>
      <c r="AW298" s="482"/>
      <c r="AX298" s="482"/>
      <c r="AY298" s="96"/>
      <c r="AZ298" s="96"/>
      <c r="BA298" s="96"/>
      <c r="BB298" s="96"/>
      <c r="BC298" s="96"/>
      <c r="BD298" s="96"/>
      <c r="BE298" s="96"/>
      <c r="BF298" s="96"/>
      <c r="BG298" s="96"/>
      <c r="BH298" s="472">
        <v>0.0</v>
      </c>
      <c r="BI298" s="472" t="s">
        <v>377</v>
      </c>
      <c r="BJ298" s="472">
        <v>0.0</v>
      </c>
      <c r="BK298" s="472">
        <v>0.0</v>
      </c>
      <c r="BL298" s="472">
        <v>0.0</v>
      </c>
      <c r="BM298" s="472">
        <v>0.0</v>
      </c>
      <c r="BN298" s="472">
        <v>0.0</v>
      </c>
      <c r="BO298" s="472">
        <v>0.0</v>
      </c>
      <c r="BP298" s="472">
        <v>0.0</v>
      </c>
      <c r="BQ298" s="472">
        <v>98197.72</v>
      </c>
      <c r="BR298" s="472">
        <v>5347.13</v>
      </c>
      <c r="BS298" s="472">
        <v>5538.02</v>
      </c>
      <c r="BT298" s="472">
        <v>0.0</v>
      </c>
      <c r="BU298" s="472">
        <v>0.0</v>
      </c>
      <c r="BV298" s="472">
        <v>0.0</v>
      </c>
      <c r="BW298" s="472">
        <v>0.0</v>
      </c>
      <c r="BX298" s="472">
        <v>0.0</v>
      </c>
      <c r="BY298" s="472">
        <v>0.0</v>
      </c>
      <c r="BZ298" s="472">
        <v>0.0</v>
      </c>
      <c r="CA298" s="474">
        <v>0.0</v>
      </c>
      <c r="CB298" s="474">
        <v>0.0</v>
      </c>
      <c r="CC298" s="474">
        <v>0.0</v>
      </c>
      <c r="CD298" s="474">
        <v>0.0</v>
      </c>
      <c r="CE298" s="474">
        <v>0.0</v>
      </c>
      <c r="CF298" s="474">
        <v>0.0</v>
      </c>
      <c r="CG298" s="474">
        <v>0.0</v>
      </c>
      <c r="CH298" s="65">
        <v>0.0</v>
      </c>
      <c r="CI298" s="65">
        <v>0.0</v>
      </c>
      <c r="CJ298" s="65">
        <v>0.0</v>
      </c>
      <c r="CK298" s="65">
        <v>0.0</v>
      </c>
      <c r="CL298" s="65">
        <v>0.0</v>
      </c>
      <c r="CM298" s="65">
        <v>0.0</v>
      </c>
      <c r="CN298" s="65">
        <v>0.0</v>
      </c>
    </row>
    <row r="299" ht="15.75" customHeight="1">
      <c r="A299" s="462" t="s">
        <v>2346</v>
      </c>
      <c r="B299" s="510" t="s">
        <v>5120</v>
      </c>
      <c r="C299" s="141">
        <v>259113.0</v>
      </c>
      <c r="D299" s="63" t="s">
        <v>669</v>
      </c>
      <c r="E299" s="63" t="s">
        <v>199</v>
      </c>
      <c r="F299" s="81" t="s">
        <v>1228</v>
      </c>
      <c r="G299" s="47" t="str">
        <f t="shared" si="1"/>
        <v>Breno</v>
      </c>
      <c r="H299" s="152" t="s">
        <v>224</v>
      </c>
      <c r="I299" s="74" t="s">
        <v>66</v>
      </c>
      <c r="J299" s="63" t="str">
        <f t="shared" si="4"/>
        <v>Não</v>
      </c>
      <c r="K299" s="467">
        <v>43563.0</v>
      </c>
      <c r="L299" s="467">
        <v>43922.0</v>
      </c>
      <c r="M299" s="81" t="s">
        <v>231</v>
      </c>
      <c r="N299" s="478">
        <v>0.02</v>
      </c>
      <c r="O299" s="141" t="s">
        <v>233</v>
      </c>
      <c r="P299" s="145">
        <v>0.2</v>
      </c>
      <c r="Q299" s="158"/>
      <c r="R299" s="158"/>
      <c r="S299" s="62" t="s">
        <v>234</v>
      </c>
      <c r="T299" s="30" t="s">
        <v>6792</v>
      </c>
      <c r="U299" s="81" t="s">
        <v>199</v>
      </c>
      <c r="V299" s="49" t="str">
        <f t="shared" si="3"/>
        <v>Encerrado</v>
      </c>
      <c r="W299" s="150"/>
      <c r="X299" s="150"/>
      <c r="Y299" s="81"/>
      <c r="Z299" s="81"/>
      <c r="AA299" s="81"/>
      <c r="AB299" s="30"/>
      <c r="AC299" s="96">
        <v>121226.27</v>
      </c>
      <c r="AD299" s="96">
        <v>116836.13</v>
      </c>
      <c r="AE299" s="96">
        <v>95799.8</v>
      </c>
      <c r="AF299" s="96">
        <v>93529.71</v>
      </c>
      <c r="AG299" s="96">
        <v>1406.39</v>
      </c>
      <c r="AH299" s="96">
        <v>0.0</v>
      </c>
      <c r="AI299" s="96">
        <v>0.0</v>
      </c>
      <c r="AJ299" s="482"/>
      <c r="AK299" s="482"/>
      <c r="AL299" s="482"/>
      <c r="AM299" s="482"/>
      <c r="AN299" s="482"/>
      <c r="AO299" s="482"/>
      <c r="AP299" s="96">
        <v>487.29</v>
      </c>
      <c r="AQ299" s="96">
        <v>487.29</v>
      </c>
      <c r="AR299" s="96">
        <v>487.29</v>
      </c>
      <c r="AS299" s="96">
        <v>487.29</v>
      </c>
      <c r="AT299" s="96">
        <v>487.29</v>
      </c>
      <c r="AU299" s="96">
        <v>487.29</v>
      </c>
      <c r="AV299" s="482"/>
      <c r="AW299" s="482"/>
      <c r="AX299" s="482"/>
      <c r="AY299" s="96"/>
      <c r="AZ299" s="96"/>
      <c r="BA299" s="96"/>
      <c r="BB299" s="96"/>
      <c r="BC299" s="96"/>
      <c r="BD299" s="96">
        <v>0.0</v>
      </c>
      <c r="BE299" s="96">
        <v>0.0</v>
      </c>
      <c r="BF299" s="96">
        <v>0.0</v>
      </c>
      <c r="BG299" s="96" t="s">
        <v>377</v>
      </c>
      <c r="BH299" s="96">
        <v>0.0</v>
      </c>
      <c r="BI299" s="96" t="s">
        <v>377</v>
      </c>
      <c r="BJ299" s="96">
        <v>0.0</v>
      </c>
      <c r="BK299" s="472">
        <v>0.0</v>
      </c>
      <c r="BL299" s="472">
        <v>0.0</v>
      </c>
      <c r="BM299" s="472">
        <v>0.0</v>
      </c>
      <c r="BN299" s="472">
        <v>0.0</v>
      </c>
      <c r="BO299" s="472">
        <v>0.0</v>
      </c>
      <c r="BP299" s="472">
        <v>0.0</v>
      </c>
      <c r="BQ299" s="472">
        <v>0.0</v>
      </c>
      <c r="BR299" s="472">
        <v>0.0</v>
      </c>
      <c r="BS299" s="472">
        <v>0.0</v>
      </c>
      <c r="BT299" s="472">
        <v>0.0</v>
      </c>
      <c r="BU299" s="472">
        <v>0.0</v>
      </c>
      <c r="BV299" s="472">
        <v>0.0</v>
      </c>
      <c r="BW299" s="472">
        <v>0.0</v>
      </c>
      <c r="BX299" s="472">
        <v>0.0</v>
      </c>
      <c r="BY299" s="472">
        <v>0.0</v>
      </c>
      <c r="BZ299" s="472">
        <v>0.0</v>
      </c>
      <c r="CA299" s="474">
        <v>0.0</v>
      </c>
      <c r="CB299" s="474">
        <v>0.0</v>
      </c>
      <c r="CC299" s="474">
        <v>0.0</v>
      </c>
      <c r="CD299" s="474">
        <v>0.0</v>
      </c>
      <c r="CE299" s="474">
        <v>0.0</v>
      </c>
      <c r="CF299" s="474">
        <v>0.0</v>
      </c>
      <c r="CG299" s="474">
        <v>0.0</v>
      </c>
      <c r="CH299" s="65">
        <v>0.0</v>
      </c>
      <c r="CI299" s="65">
        <v>0.0</v>
      </c>
      <c r="CJ299" s="65">
        <v>0.0</v>
      </c>
      <c r="CK299" s="65">
        <v>0.0</v>
      </c>
      <c r="CL299" s="65">
        <v>0.0</v>
      </c>
      <c r="CM299" s="65">
        <v>0.0</v>
      </c>
      <c r="CN299" s="65">
        <v>0.0</v>
      </c>
    </row>
    <row r="300" ht="15.75" customHeight="1">
      <c r="A300" s="462" t="s">
        <v>2346</v>
      </c>
      <c r="B300" s="462" t="s">
        <v>6794</v>
      </c>
      <c r="C300" s="141">
        <v>319435.0</v>
      </c>
      <c r="D300" s="63" t="s">
        <v>120</v>
      </c>
      <c r="E300" s="63" t="s">
        <v>199</v>
      </c>
      <c r="F300" s="63" t="s">
        <v>290</v>
      </c>
      <c r="G300" s="47" t="str">
        <f t="shared" si="1"/>
        <v>Breno</v>
      </c>
      <c r="H300" s="152" t="s">
        <v>295</v>
      </c>
      <c r="I300" s="49" t="s">
        <v>382</v>
      </c>
      <c r="J300" s="63" t="str">
        <f t="shared" si="4"/>
        <v>Sim</v>
      </c>
      <c r="K300" s="143">
        <v>43473.0</v>
      </c>
      <c r="L300" s="81"/>
      <c r="M300" s="81" t="s">
        <v>34</v>
      </c>
      <c r="N300" s="464">
        <v>0.005</v>
      </c>
      <c r="O300" s="141" t="s">
        <v>66</v>
      </c>
      <c r="P300" s="145">
        <v>0.0</v>
      </c>
      <c r="Q300" s="158" t="s">
        <v>6800</v>
      </c>
      <c r="R300" s="158"/>
      <c r="S300" s="62" t="s">
        <v>234</v>
      </c>
      <c r="T300" s="141" t="s">
        <v>6801</v>
      </c>
      <c r="U300" s="81" t="s">
        <v>199</v>
      </c>
      <c r="V300" s="49" t="str">
        <f t="shared" si="3"/>
        <v>Ativo</v>
      </c>
      <c r="W300" s="150"/>
      <c r="X300" s="150"/>
      <c r="Y300" s="30" t="s">
        <v>244</v>
      </c>
      <c r="Z300" s="81"/>
      <c r="AA300" s="467">
        <v>43473.0</v>
      </c>
      <c r="AB300" s="30">
        <v>4.9075100004013E13</v>
      </c>
      <c r="AC300" s="96">
        <v>757832.36</v>
      </c>
      <c r="AD300" s="96">
        <v>759796.89</v>
      </c>
      <c r="AE300" s="96">
        <v>761930.57</v>
      </c>
      <c r="AF300" s="96">
        <v>763792.19</v>
      </c>
      <c r="AG300" s="96">
        <v>765303.06</v>
      </c>
      <c r="AH300" s="96">
        <v>766555.58</v>
      </c>
      <c r="AI300" s="96">
        <v>767964.38</v>
      </c>
      <c r="AJ300" s="96">
        <v>769053.79</v>
      </c>
      <c r="AK300" s="96">
        <v>769690.88</v>
      </c>
      <c r="AL300" s="96">
        <v>770608.86</v>
      </c>
      <c r="AM300" s="96">
        <v>766934.27</v>
      </c>
      <c r="AN300" s="96">
        <v>771474.09</v>
      </c>
      <c r="AO300" s="96">
        <v>772549.88</v>
      </c>
      <c r="AP300" s="96">
        <v>769033.58</v>
      </c>
      <c r="AQ300" s="471">
        <v>772742.37</v>
      </c>
      <c r="AR300" s="471">
        <v>769962.53</v>
      </c>
      <c r="AS300" s="471">
        <v>770642.07</v>
      </c>
      <c r="AT300" s="471">
        <v>770548.84</v>
      </c>
      <c r="AU300" s="471">
        <v>771425.48</v>
      </c>
      <c r="AV300" s="96">
        <v>773093.36</v>
      </c>
      <c r="AW300" s="96">
        <v>775708.14</v>
      </c>
      <c r="AX300" s="96">
        <v>777983.5</v>
      </c>
      <c r="AY300" s="96">
        <v>730368.88</v>
      </c>
      <c r="AZ300" s="96">
        <v>722459.93</v>
      </c>
      <c r="BA300" s="96">
        <v>626088.4</v>
      </c>
      <c r="BB300" s="96">
        <v>630881.17</v>
      </c>
      <c r="BC300" s="96">
        <v>573611.84</v>
      </c>
      <c r="BD300" s="96">
        <v>561713.32</v>
      </c>
      <c r="BE300" s="96">
        <v>576563.35</v>
      </c>
      <c r="BF300" s="96">
        <v>574001.29</v>
      </c>
      <c r="BG300" s="472">
        <v>575656.88</v>
      </c>
      <c r="BH300" s="472">
        <v>555984.21</v>
      </c>
      <c r="BI300" s="472">
        <v>563740.12</v>
      </c>
      <c r="BJ300" s="472">
        <v>557043.08</v>
      </c>
      <c r="BK300" s="472">
        <v>501874.55</v>
      </c>
      <c r="BL300" s="472">
        <v>426715.93</v>
      </c>
      <c r="BM300" s="472">
        <v>413515.5</v>
      </c>
      <c r="BN300" s="472">
        <v>317455.55</v>
      </c>
      <c r="BO300" s="472">
        <v>282804.71</v>
      </c>
      <c r="BP300" s="472">
        <v>271732.7</v>
      </c>
      <c r="BQ300" s="472">
        <v>274484.56</v>
      </c>
      <c r="BR300" s="472">
        <v>276241.8</v>
      </c>
      <c r="BS300" s="472">
        <v>278295.7</v>
      </c>
      <c r="BT300" s="472">
        <v>285639.96</v>
      </c>
      <c r="BU300" s="472">
        <v>286889.23</v>
      </c>
      <c r="BV300" s="472">
        <v>288459.5</v>
      </c>
      <c r="BW300" s="472">
        <v>273204.03</v>
      </c>
      <c r="BX300" s="472">
        <v>98009.13</v>
      </c>
      <c r="BY300" s="472">
        <v>49.67</v>
      </c>
      <c r="BZ300" s="472">
        <v>49.67</v>
      </c>
      <c r="CA300" s="474">
        <v>49.67</v>
      </c>
      <c r="CB300" s="474">
        <v>49.67</v>
      </c>
      <c r="CC300" s="474">
        <v>49.67</v>
      </c>
      <c r="CD300" s="474">
        <v>0.0</v>
      </c>
      <c r="CE300" s="474">
        <v>0.0</v>
      </c>
      <c r="CF300" s="474">
        <v>0.0</v>
      </c>
      <c r="CG300" s="474">
        <v>0.0</v>
      </c>
      <c r="CH300" s="65">
        <v>0.0</v>
      </c>
      <c r="CI300" s="65">
        <v>40.81</v>
      </c>
      <c r="CJ300" s="65">
        <v>31.14</v>
      </c>
      <c r="CK300" s="65">
        <v>15.39</v>
      </c>
      <c r="CL300" s="65">
        <v>0.0</v>
      </c>
      <c r="CM300" s="65">
        <v>0.0</v>
      </c>
      <c r="CN300" s="65">
        <v>0.0</v>
      </c>
    </row>
    <row r="301" ht="15.75" customHeight="1">
      <c r="A301" s="462" t="s">
        <v>2346</v>
      </c>
      <c r="B301" s="462" t="s">
        <v>6794</v>
      </c>
      <c r="C301" s="141">
        <v>577357.0</v>
      </c>
      <c r="D301" s="63" t="s">
        <v>120</v>
      </c>
      <c r="E301" s="63" t="s">
        <v>199</v>
      </c>
      <c r="F301" s="63" t="s">
        <v>290</v>
      </c>
      <c r="G301" s="47" t="str">
        <f t="shared" si="1"/>
        <v>Breno</v>
      </c>
      <c r="H301" s="152" t="s">
        <v>295</v>
      </c>
      <c r="I301" s="49" t="s">
        <v>382</v>
      </c>
      <c r="J301" s="63" t="str">
        <f t="shared" si="4"/>
        <v>Sim</v>
      </c>
      <c r="K301" s="143">
        <v>43545.0</v>
      </c>
      <c r="L301" s="81"/>
      <c r="M301" s="81" t="s">
        <v>231</v>
      </c>
      <c r="N301" s="464">
        <v>0.02</v>
      </c>
      <c r="O301" s="141" t="s">
        <v>233</v>
      </c>
      <c r="P301" s="145">
        <v>0.2</v>
      </c>
      <c r="Q301" s="158" t="s">
        <v>6800</v>
      </c>
      <c r="R301" s="158"/>
      <c r="S301" s="62" t="s">
        <v>234</v>
      </c>
      <c r="T301" s="141" t="s">
        <v>6801</v>
      </c>
      <c r="U301" s="81" t="s">
        <v>199</v>
      </c>
      <c r="V301" s="49" t="str">
        <f t="shared" si="3"/>
        <v>Ativo</v>
      </c>
      <c r="W301" s="150"/>
      <c r="X301" s="150"/>
      <c r="Y301" s="30" t="s">
        <v>244</v>
      </c>
      <c r="Z301" s="81"/>
      <c r="AA301" s="467">
        <v>43545.0</v>
      </c>
      <c r="AB301" s="30">
        <v>4.9075100004498E13</v>
      </c>
      <c r="AC301" s="96">
        <v>718039.46</v>
      </c>
      <c r="AD301" s="96">
        <v>690131.01</v>
      </c>
      <c r="AE301" s="96">
        <v>519726.24</v>
      </c>
      <c r="AF301" s="96">
        <v>555884.46</v>
      </c>
      <c r="AG301" s="96">
        <v>578786.88</v>
      </c>
      <c r="AH301" s="96">
        <v>613323.21</v>
      </c>
      <c r="AI301" s="96">
        <v>655184.16</v>
      </c>
      <c r="AJ301" s="96">
        <v>625374.16</v>
      </c>
      <c r="AK301" s="96">
        <v>596580.71</v>
      </c>
      <c r="AL301" s="96">
        <v>607623.89</v>
      </c>
      <c r="AM301" s="96">
        <v>681266.39</v>
      </c>
      <c r="AN301" s="96">
        <v>701671.01</v>
      </c>
      <c r="AO301" s="96">
        <v>671723.86</v>
      </c>
      <c r="AP301" s="96">
        <v>639796.21</v>
      </c>
      <c r="AQ301" s="471">
        <v>629878.38</v>
      </c>
      <c r="AR301" s="471">
        <v>682852.38</v>
      </c>
      <c r="AS301" s="471">
        <v>682501.2</v>
      </c>
      <c r="AT301" s="471">
        <v>687404.29</v>
      </c>
      <c r="AU301" s="471">
        <v>717970.57</v>
      </c>
      <c r="AV301" s="96">
        <v>707344.22</v>
      </c>
      <c r="AW301" s="96">
        <v>687437.57</v>
      </c>
      <c r="AX301" s="96">
        <v>653442.9</v>
      </c>
      <c r="AY301" s="96">
        <v>621583.76</v>
      </c>
      <c r="AZ301" s="96">
        <v>583232.36</v>
      </c>
      <c r="BA301" s="96">
        <v>566604.62</v>
      </c>
      <c r="BB301" s="96">
        <v>566153.72</v>
      </c>
      <c r="BC301" s="96">
        <v>548166.79</v>
      </c>
      <c r="BD301" s="96">
        <v>556084.61</v>
      </c>
      <c r="BE301" s="96">
        <v>603161.04</v>
      </c>
      <c r="BF301" s="96">
        <v>470881.06</v>
      </c>
      <c r="BG301" s="472">
        <v>460388.48</v>
      </c>
      <c r="BH301" s="472">
        <v>441900.77</v>
      </c>
      <c r="BI301" s="472">
        <v>464410.17</v>
      </c>
      <c r="BJ301" s="472">
        <v>457121.35</v>
      </c>
      <c r="BK301" s="472">
        <v>460293.65</v>
      </c>
      <c r="BL301" s="472">
        <v>494985.16</v>
      </c>
      <c r="BM301" s="472">
        <v>467420.67</v>
      </c>
      <c r="BN301" s="472">
        <v>364774.77</v>
      </c>
      <c r="BO301" s="472">
        <v>376161.37</v>
      </c>
      <c r="BP301" s="472">
        <v>361570.14</v>
      </c>
      <c r="BQ301" s="472">
        <v>360592.88</v>
      </c>
      <c r="BR301" s="472">
        <v>351118.95</v>
      </c>
      <c r="BS301" s="472">
        <v>366005.46</v>
      </c>
      <c r="BT301" s="472">
        <v>394950.09</v>
      </c>
      <c r="BU301" s="472">
        <v>408337.02</v>
      </c>
      <c r="BV301" s="472">
        <v>411051.08</v>
      </c>
      <c r="BW301" s="472">
        <v>397192.11</v>
      </c>
      <c r="BX301" s="472">
        <v>376449.56</v>
      </c>
      <c r="BY301" s="472">
        <v>2206.94</v>
      </c>
      <c r="BZ301" s="472">
        <v>1678.24</v>
      </c>
      <c r="CA301" s="474">
        <v>1678.24</v>
      </c>
      <c r="CB301" s="474">
        <v>1678.24</v>
      </c>
      <c r="CC301" s="474">
        <v>1630.44</v>
      </c>
      <c r="CD301" s="474">
        <v>1235.54</v>
      </c>
      <c r="CE301" s="474">
        <v>0.0</v>
      </c>
      <c r="CF301" s="474">
        <v>984.86</v>
      </c>
      <c r="CG301" s="474">
        <v>984.86</v>
      </c>
      <c r="CH301" s="65">
        <v>984.86</v>
      </c>
      <c r="CI301" s="65">
        <v>876.68</v>
      </c>
      <c r="CJ301" s="65">
        <v>758.58</v>
      </c>
      <c r="CK301" s="65">
        <v>563.15</v>
      </c>
      <c r="CL301" s="65">
        <v>0.0</v>
      </c>
      <c r="CM301" s="65">
        <v>0.0</v>
      </c>
      <c r="CN301" s="65">
        <v>0.0</v>
      </c>
    </row>
    <row r="302" ht="15.75" customHeight="1">
      <c r="A302" s="462" t="s">
        <v>2346</v>
      </c>
      <c r="B302" s="176" t="s">
        <v>1338</v>
      </c>
      <c r="C302" s="141">
        <v>379728.0</v>
      </c>
      <c r="D302" s="63" t="s">
        <v>120</v>
      </c>
      <c r="E302" s="63" t="s">
        <v>199</v>
      </c>
      <c r="F302" s="63" t="s">
        <v>1340</v>
      </c>
      <c r="G302" s="47" t="str">
        <f t="shared" si="1"/>
        <v>Breno</v>
      </c>
      <c r="H302" s="152" t="s">
        <v>295</v>
      </c>
      <c r="I302" s="49" t="s">
        <v>694</v>
      </c>
      <c r="J302" s="63" t="str">
        <f t="shared" si="4"/>
        <v>Não</v>
      </c>
      <c r="K302" s="467">
        <v>45021.0</v>
      </c>
      <c r="L302" s="81"/>
      <c r="M302" s="81" t="s">
        <v>209</v>
      </c>
      <c r="N302" s="464">
        <v>0.015</v>
      </c>
      <c r="O302" s="63" t="s">
        <v>35</v>
      </c>
      <c r="P302" s="145">
        <v>0.1</v>
      </c>
      <c r="Q302" s="70"/>
      <c r="R302" s="70"/>
      <c r="S302" s="62" t="s">
        <v>194</v>
      </c>
      <c r="T302" s="22" t="s">
        <v>1341</v>
      </c>
      <c r="U302" s="22" t="s">
        <v>618</v>
      </c>
      <c r="V302" s="49" t="str">
        <f t="shared" si="3"/>
        <v>Ativo</v>
      </c>
      <c r="W302" s="150"/>
      <c r="X302" s="150"/>
      <c r="Y302" s="30" t="s">
        <v>244</v>
      </c>
      <c r="Z302" s="81"/>
      <c r="AA302" s="467">
        <v>45021.0</v>
      </c>
      <c r="AB302" s="30">
        <v>4.9075100009899E13</v>
      </c>
      <c r="AC302" s="476"/>
      <c r="AD302" s="476"/>
      <c r="AE302" s="476"/>
      <c r="AF302" s="476"/>
      <c r="AG302" s="476"/>
      <c r="AH302" s="476"/>
      <c r="AI302" s="476"/>
      <c r="AJ302" s="476"/>
      <c r="AK302" s="476"/>
      <c r="AL302" s="476"/>
      <c r="AM302" s="476"/>
      <c r="AN302" s="476"/>
      <c r="AO302" s="476"/>
      <c r="AP302" s="482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472"/>
      <c r="BH302" s="472"/>
      <c r="BI302" s="472"/>
      <c r="BJ302" s="472"/>
      <c r="BK302" s="472"/>
      <c r="BL302" s="472"/>
      <c r="BM302" s="472"/>
      <c r="BN302" s="472"/>
      <c r="BO302" s="472"/>
      <c r="BP302" s="472"/>
      <c r="BQ302" s="472">
        <v>0.0</v>
      </c>
      <c r="BR302" s="472">
        <v>401296.5</v>
      </c>
      <c r="BS302" s="472">
        <v>414286.85</v>
      </c>
      <c r="BT302" s="472">
        <v>419603.51</v>
      </c>
      <c r="BU302" s="472">
        <v>348634.83</v>
      </c>
      <c r="BV302" s="472">
        <v>444367.72</v>
      </c>
      <c r="BW302" s="472">
        <v>425731.2</v>
      </c>
      <c r="BX302" s="472">
        <v>425204.09</v>
      </c>
      <c r="BY302" s="472">
        <v>369608.48</v>
      </c>
      <c r="BZ302" s="472">
        <v>373045.59</v>
      </c>
      <c r="CA302" s="474">
        <v>372017.84</v>
      </c>
      <c r="CB302" s="474">
        <v>382281.91</v>
      </c>
      <c r="CC302" s="474">
        <v>388846.62</v>
      </c>
      <c r="CD302" s="474">
        <v>383089.21</v>
      </c>
      <c r="CE302" s="474">
        <v>388497.31</v>
      </c>
      <c r="CF302" s="474">
        <v>401086.97</v>
      </c>
      <c r="CG302" s="474">
        <v>403272.66</v>
      </c>
      <c r="CH302" s="65">
        <v>408613.6</v>
      </c>
      <c r="CI302" s="65">
        <v>406492.79</v>
      </c>
      <c r="CJ302" s="65">
        <v>417176.7</v>
      </c>
      <c r="CK302" s="65">
        <v>425331.28</v>
      </c>
      <c r="CL302" s="65">
        <v>187481.92</v>
      </c>
      <c r="CM302" s="65">
        <v>174276.79</v>
      </c>
      <c r="CN302" s="65">
        <v>19.1</v>
      </c>
    </row>
    <row r="303" ht="15.75" customHeight="1">
      <c r="A303" s="462" t="s">
        <v>2346</v>
      </c>
      <c r="B303" s="510" t="s">
        <v>5054</v>
      </c>
      <c r="C303" s="141">
        <v>270174.0</v>
      </c>
      <c r="D303" s="63" t="s">
        <v>669</v>
      </c>
      <c r="E303" s="63" t="s">
        <v>199</v>
      </c>
      <c r="F303" s="81" t="s">
        <v>1228</v>
      </c>
      <c r="G303" s="47" t="str">
        <f t="shared" si="1"/>
        <v>Breno</v>
      </c>
      <c r="H303" s="152" t="s">
        <v>224</v>
      </c>
      <c r="I303" s="74" t="s">
        <v>66</v>
      </c>
      <c r="J303" s="63" t="str">
        <f t="shared" si="4"/>
        <v>Não</v>
      </c>
      <c r="K303" s="467">
        <v>43700.0</v>
      </c>
      <c r="L303" s="467">
        <v>44061.0</v>
      </c>
      <c r="M303" s="81" t="s">
        <v>209</v>
      </c>
      <c r="N303" s="478">
        <v>0.01</v>
      </c>
      <c r="O303" s="63" t="s">
        <v>35</v>
      </c>
      <c r="P303" s="145">
        <v>0.1</v>
      </c>
      <c r="Q303" s="243"/>
      <c r="R303" s="243"/>
      <c r="S303" s="62" t="s">
        <v>194</v>
      </c>
      <c r="T303" s="30" t="s">
        <v>6835</v>
      </c>
      <c r="U303" s="81" t="s">
        <v>199</v>
      </c>
      <c r="V303" s="49" t="str">
        <f t="shared" si="3"/>
        <v>Encerrado</v>
      </c>
      <c r="W303" s="150"/>
      <c r="X303" s="150"/>
      <c r="Y303" s="81"/>
      <c r="Z303" s="81"/>
      <c r="AA303" s="81"/>
      <c r="AB303" s="30"/>
      <c r="AC303" s="96">
        <v>426046.58</v>
      </c>
      <c r="AD303" s="96">
        <v>422601.07</v>
      </c>
      <c r="AE303" s="96">
        <v>372715.83</v>
      </c>
      <c r="AF303" s="96">
        <v>376701.14</v>
      </c>
      <c r="AG303" s="96">
        <v>380821.01</v>
      </c>
      <c r="AH303" s="96">
        <v>386982.85</v>
      </c>
      <c r="AI303" s="96">
        <v>394570.05</v>
      </c>
      <c r="AJ303" s="96">
        <v>0.0</v>
      </c>
      <c r="AK303" s="482"/>
      <c r="AL303" s="482"/>
      <c r="AM303" s="482"/>
      <c r="AN303" s="482"/>
      <c r="AO303" s="482"/>
      <c r="AP303" s="96"/>
      <c r="AQ303" s="96"/>
      <c r="AR303" s="96"/>
      <c r="AS303" s="96"/>
      <c r="AT303" s="96"/>
      <c r="AU303" s="96"/>
      <c r="AV303" s="482"/>
      <c r="AW303" s="482"/>
      <c r="AX303" s="482"/>
      <c r="AY303" s="96"/>
      <c r="AZ303" s="96"/>
      <c r="BA303" s="96"/>
      <c r="BB303" s="96"/>
      <c r="BC303" s="96"/>
      <c r="BD303" s="96">
        <v>0.0</v>
      </c>
      <c r="BE303" s="96">
        <v>0.0</v>
      </c>
      <c r="BF303" s="96">
        <v>0.0</v>
      </c>
      <c r="BG303" s="96" t="s">
        <v>377</v>
      </c>
      <c r="BH303" s="96">
        <v>0.0</v>
      </c>
      <c r="BI303" s="96" t="s">
        <v>377</v>
      </c>
      <c r="BJ303" s="96">
        <v>0.0</v>
      </c>
      <c r="BK303" s="472">
        <v>0.0</v>
      </c>
      <c r="BL303" s="472">
        <v>0.0</v>
      </c>
      <c r="BM303" s="472">
        <v>0.0</v>
      </c>
      <c r="BN303" s="472">
        <v>0.0</v>
      </c>
      <c r="BO303" s="472">
        <v>0.0</v>
      </c>
      <c r="BP303" s="472">
        <v>0.0</v>
      </c>
      <c r="BQ303" s="472">
        <v>0.0</v>
      </c>
      <c r="BR303" s="472">
        <v>0.0</v>
      </c>
      <c r="BS303" s="472">
        <v>0.0</v>
      </c>
      <c r="BT303" s="472">
        <v>0.0</v>
      </c>
      <c r="BU303" s="472">
        <v>0.0</v>
      </c>
      <c r="BV303" s="472">
        <v>0.0</v>
      </c>
      <c r="BW303" s="472">
        <v>0.0</v>
      </c>
      <c r="BX303" s="472">
        <v>0.0</v>
      </c>
      <c r="BY303" s="472">
        <v>0.0</v>
      </c>
      <c r="BZ303" s="472">
        <v>0.0</v>
      </c>
      <c r="CA303" s="474">
        <v>0.0</v>
      </c>
      <c r="CB303" s="474">
        <v>0.0</v>
      </c>
      <c r="CC303" s="474">
        <v>0.0</v>
      </c>
      <c r="CD303" s="474">
        <v>0.0</v>
      </c>
      <c r="CE303" s="474">
        <v>0.0</v>
      </c>
      <c r="CF303" s="474">
        <v>0.0</v>
      </c>
      <c r="CG303" s="474">
        <v>0.0</v>
      </c>
      <c r="CH303" s="65">
        <v>0.0</v>
      </c>
      <c r="CI303" s="65">
        <v>0.0</v>
      </c>
      <c r="CJ303" s="65">
        <v>0.0</v>
      </c>
      <c r="CK303" s="65">
        <v>0.0</v>
      </c>
      <c r="CL303" s="65">
        <v>0.0</v>
      </c>
      <c r="CM303" s="65">
        <v>0.0</v>
      </c>
      <c r="CN303" s="65">
        <v>0.0</v>
      </c>
    </row>
    <row r="304" ht="15.75" customHeight="1">
      <c r="A304" s="462" t="s">
        <v>2346</v>
      </c>
      <c r="B304" s="477" t="s">
        <v>1348</v>
      </c>
      <c r="C304" s="141">
        <v>31954.0</v>
      </c>
      <c r="D304" s="63" t="s">
        <v>120</v>
      </c>
      <c r="E304" s="63" t="s">
        <v>91</v>
      </c>
      <c r="F304" s="63" t="s">
        <v>521</v>
      </c>
      <c r="G304" s="47" t="str">
        <f t="shared" si="1"/>
        <v>Breno</v>
      </c>
      <c r="H304" s="152" t="s">
        <v>295</v>
      </c>
      <c r="I304" s="49" t="s">
        <v>382</v>
      </c>
      <c r="J304" s="63" t="str">
        <f t="shared" si="4"/>
        <v>Não</v>
      </c>
      <c r="K304" s="143">
        <v>44266.0</v>
      </c>
      <c r="L304" s="62"/>
      <c r="M304" s="81" t="s">
        <v>34</v>
      </c>
      <c r="N304" s="478">
        <v>0.012</v>
      </c>
      <c r="O304" s="141" t="s">
        <v>66</v>
      </c>
      <c r="P304" s="145">
        <v>0.0</v>
      </c>
      <c r="Q304" s="146"/>
      <c r="R304" s="158"/>
      <c r="S304" s="62" t="s">
        <v>194</v>
      </c>
      <c r="T304" s="30" t="s">
        <v>1354</v>
      </c>
      <c r="U304" s="95" t="s">
        <v>221</v>
      </c>
      <c r="V304" s="49" t="str">
        <f t="shared" si="3"/>
        <v>Ativo</v>
      </c>
      <c r="W304" s="150"/>
      <c r="X304" s="150"/>
      <c r="Y304" s="30" t="s">
        <v>244</v>
      </c>
      <c r="Z304" s="81"/>
      <c r="AA304" s="467">
        <v>44266.0</v>
      </c>
      <c r="AB304" s="30">
        <v>4.9075100003076E13</v>
      </c>
      <c r="AC304" s="482"/>
      <c r="AD304" s="482"/>
      <c r="AE304" s="482"/>
      <c r="AF304" s="482"/>
      <c r="AG304" s="482"/>
      <c r="AH304" s="482"/>
      <c r="AI304" s="482"/>
      <c r="AJ304" s="482"/>
      <c r="AK304" s="482"/>
      <c r="AL304" s="482"/>
      <c r="AM304" s="482"/>
      <c r="AN304" s="482"/>
      <c r="AO304" s="482"/>
      <c r="AP304" s="96"/>
      <c r="AQ304" s="471">
        <v>117864.18</v>
      </c>
      <c r="AR304" s="471">
        <v>118723.47</v>
      </c>
      <c r="AS304" s="471"/>
      <c r="AT304" s="471">
        <v>121277.75</v>
      </c>
      <c r="AU304" s="471">
        <v>123061.44</v>
      </c>
      <c r="AV304" s="96">
        <v>123076.76</v>
      </c>
      <c r="AW304" s="96">
        <v>122144.19</v>
      </c>
      <c r="AX304" s="96">
        <v>120302.02</v>
      </c>
      <c r="AY304" s="96">
        <v>119170.99</v>
      </c>
      <c r="AZ304" s="96">
        <v>115965.81</v>
      </c>
      <c r="BA304" s="96">
        <v>114453.3</v>
      </c>
      <c r="BB304" s="96">
        <v>114381.7</v>
      </c>
      <c r="BC304" s="96">
        <v>115974.54</v>
      </c>
      <c r="BD304" s="96">
        <v>116752.92</v>
      </c>
      <c r="BE304" s="96">
        <v>121432.71</v>
      </c>
      <c r="BF304" s="96">
        <v>119595.91</v>
      </c>
      <c r="BG304" s="472">
        <v>119314.43</v>
      </c>
      <c r="BH304" s="472">
        <v>119394.03</v>
      </c>
      <c r="BI304" s="472">
        <v>120517.26</v>
      </c>
      <c r="BJ304" s="472">
        <v>121891.78</v>
      </c>
      <c r="BK304" s="472">
        <v>122837.5</v>
      </c>
      <c r="BL304" s="472">
        <v>125422.04</v>
      </c>
      <c r="BM304" s="472">
        <v>124708.3</v>
      </c>
      <c r="BN304" s="472">
        <v>125878.95</v>
      </c>
      <c r="BO304" s="472">
        <v>127184.23</v>
      </c>
      <c r="BP304" s="472">
        <v>128357.39</v>
      </c>
      <c r="BQ304" s="472">
        <v>130018.21</v>
      </c>
      <c r="BR304" s="472">
        <v>131059.13</v>
      </c>
      <c r="BS304" s="472">
        <v>132446.62</v>
      </c>
      <c r="BT304" s="472">
        <v>133609.1</v>
      </c>
      <c r="BU304" s="472">
        <v>133649.36</v>
      </c>
      <c r="BV304" s="472">
        <v>135272.78</v>
      </c>
      <c r="BW304" s="472">
        <v>134399.52</v>
      </c>
      <c r="BX304" s="472">
        <v>135211.78</v>
      </c>
      <c r="BY304" s="472">
        <v>137412.86</v>
      </c>
      <c r="BZ304" s="472">
        <v>139276.98</v>
      </c>
      <c r="CA304" s="474">
        <v>54.13</v>
      </c>
      <c r="CB304" s="474">
        <v>54.13</v>
      </c>
      <c r="CC304" s="474">
        <v>54.13</v>
      </c>
      <c r="CD304" s="474">
        <v>40.87</v>
      </c>
      <c r="CE304" s="474">
        <v>36.52</v>
      </c>
      <c r="CF304" s="474">
        <v>0.0</v>
      </c>
      <c r="CG304" s="474">
        <v>33.85</v>
      </c>
      <c r="CH304" s="65">
        <v>33.85</v>
      </c>
      <c r="CI304" s="65">
        <v>29.73</v>
      </c>
      <c r="CJ304" s="65">
        <v>25.23</v>
      </c>
      <c r="CK304" s="65">
        <v>17.94</v>
      </c>
      <c r="CL304" s="65">
        <v>31.04</v>
      </c>
      <c r="CM304" s="65">
        <v>31.04</v>
      </c>
      <c r="CN304" s="65">
        <v>31.04</v>
      </c>
    </row>
    <row r="305" ht="15.75" customHeight="1">
      <c r="A305" s="462" t="s">
        <v>2346</v>
      </c>
      <c r="B305" s="176" t="s">
        <v>1356</v>
      </c>
      <c r="C305" s="141">
        <v>559569.0</v>
      </c>
      <c r="D305" s="521" t="s">
        <v>120</v>
      </c>
      <c r="E305" s="521" t="s">
        <v>91</v>
      </c>
      <c r="F305" s="521" t="s">
        <v>884</v>
      </c>
      <c r="G305" s="47" t="str">
        <f t="shared" si="1"/>
        <v>Breno</v>
      </c>
      <c r="H305" s="161" t="s">
        <v>295</v>
      </c>
      <c r="I305" s="49" t="s">
        <v>694</v>
      </c>
      <c r="J305" s="63" t="str">
        <f t="shared" si="4"/>
        <v>Sim</v>
      </c>
      <c r="K305" s="523">
        <v>44599.0</v>
      </c>
      <c r="L305" s="734"/>
      <c r="M305" s="81" t="s">
        <v>61</v>
      </c>
      <c r="N305" s="539">
        <v>0.007</v>
      </c>
      <c r="O305" s="141" t="s">
        <v>66</v>
      </c>
      <c r="P305" s="560">
        <v>0.0</v>
      </c>
      <c r="Q305" s="158" t="s">
        <v>1362</v>
      </c>
      <c r="R305" s="158"/>
      <c r="S305" s="62" t="s">
        <v>194</v>
      </c>
      <c r="T305" s="22" t="s">
        <v>1363</v>
      </c>
      <c r="U305" s="95" t="s">
        <v>475</v>
      </c>
      <c r="V305" s="49" t="str">
        <f t="shared" si="3"/>
        <v>Ativo</v>
      </c>
      <c r="W305" s="150"/>
      <c r="X305" s="150"/>
      <c r="Y305" s="30" t="s">
        <v>244</v>
      </c>
      <c r="Z305" s="81"/>
      <c r="AA305" s="467">
        <v>44599.0</v>
      </c>
      <c r="AB305" s="30">
        <v>4.9075100004048E13</v>
      </c>
      <c r="AC305" s="482"/>
      <c r="AD305" s="482"/>
      <c r="AE305" s="482"/>
      <c r="AF305" s="482"/>
      <c r="AG305" s="482"/>
      <c r="AH305" s="482"/>
      <c r="AI305" s="482"/>
      <c r="AJ305" s="482"/>
      <c r="AK305" s="482"/>
      <c r="AL305" s="482"/>
      <c r="AM305" s="482"/>
      <c r="AN305" s="482"/>
      <c r="AO305" s="482"/>
      <c r="AP305" s="96"/>
      <c r="AQ305" s="471"/>
      <c r="AR305" s="471"/>
      <c r="AS305" s="471"/>
      <c r="AT305" s="471"/>
      <c r="AU305" s="471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472"/>
      <c r="BH305" s="472"/>
      <c r="BI305" s="472">
        <v>3114.78</v>
      </c>
      <c r="BJ305" s="472">
        <v>3144.78</v>
      </c>
      <c r="BK305" s="472">
        <v>3177.6</v>
      </c>
      <c r="BL305" s="472">
        <v>3204.53</v>
      </c>
      <c r="BM305" s="472">
        <v>3231.35</v>
      </c>
      <c r="BN305" s="472">
        <v>3258.85</v>
      </c>
      <c r="BO305" s="472">
        <v>3291.0</v>
      </c>
      <c r="BP305" s="472">
        <v>3314.86</v>
      </c>
      <c r="BQ305" s="472">
        <v>3357.54</v>
      </c>
      <c r="BR305" s="472">
        <v>3379.23</v>
      </c>
      <c r="BS305" s="472">
        <v>3412.51</v>
      </c>
      <c r="BT305" s="472">
        <v>0.0</v>
      </c>
      <c r="BU305" s="472">
        <v>0.0</v>
      </c>
      <c r="BV305" s="472">
        <v>0.0</v>
      </c>
      <c r="BW305" s="472">
        <v>0.0</v>
      </c>
      <c r="BX305" s="472">
        <v>0.0</v>
      </c>
      <c r="BY305" s="472">
        <v>0.0</v>
      </c>
      <c r="BZ305" s="472">
        <v>0.0</v>
      </c>
      <c r="CA305" s="474">
        <v>0.0</v>
      </c>
      <c r="CB305" s="474">
        <v>0.0</v>
      </c>
      <c r="CC305" s="474">
        <v>3755.31</v>
      </c>
      <c r="CD305" s="474">
        <v>3789.03</v>
      </c>
      <c r="CE305" s="474">
        <v>3792.38</v>
      </c>
      <c r="CF305" s="474">
        <v>3822.82</v>
      </c>
      <c r="CG305" s="474">
        <v>3858.38</v>
      </c>
      <c r="CH305" s="65">
        <v>3892.44</v>
      </c>
      <c r="CI305" s="65">
        <v>3924.97</v>
      </c>
      <c r="CJ305" s="65">
        <v>3961.25</v>
      </c>
      <c r="CK305" s="65">
        <v>0.0</v>
      </c>
      <c r="CL305" s="65">
        <v>0.0</v>
      </c>
      <c r="CM305" s="65">
        <v>0.0</v>
      </c>
      <c r="CN305" s="65">
        <v>0.0</v>
      </c>
    </row>
    <row r="306" ht="15.75" customHeight="1">
      <c r="A306" s="462" t="s">
        <v>2346</v>
      </c>
      <c r="B306" s="176" t="s">
        <v>1356</v>
      </c>
      <c r="C306" s="141">
        <v>33814.0</v>
      </c>
      <c r="D306" s="63" t="s">
        <v>120</v>
      </c>
      <c r="E306" s="63" t="s">
        <v>91</v>
      </c>
      <c r="F306" s="63" t="s">
        <v>884</v>
      </c>
      <c r="G306" s="47" t="str">
        <f t="shared" si="1"/>
        <v>Breno</v>
      </c>
      <c r="H306" s="152" t="s">
        <v>295</v>
      </c>
      <c r="I306" s="49" t="s">
        <v>694</v>
      </c>
      <c r="J306" s="63" t="str">
        <f t="shared" si="4"/>
        <v>Sim</v>
      </c>
      <c r="K306" s="143">
        <v>44677.0</v>
      </c>
      <c r="L306" s="62"/>
      <c r="M306" s="81" t="s">
        <v>61</v>
      </c>
      <c r="N306" s="464">
        <v>0.007</v>
      </c>
      <c r="O306" s="141" t="s">
        <v>66</v>
      </c>
      <c r="P306" s="145">
        <v>0.0</v>
      </c>
      <c r="Q306" s="158" t="s">
        <v>1362</v>
      </c>
      <c r="R306" s="158"/>
      <c r="S306" s="62" t="s">
        <v>194</v>
      </c>
      <c r="T306" s="22" t="s">
        <v>1363</v>
      </c>
      <c r="U306" s="95" t="s">
        <v>475</v>
      </c>
      <c r="V306" s="49" t="str">
        <f t="shared" si="3"/>
        <v>Ativo</v>
      </c>
      <c r="W306" s="150"/>
      <c r="X306" s="150"/>
      <c r="Y306" s="30" t="s">
        <v>244</v>
      </c>
      <c r="Z306" s="81"/>
      <c r="AA306" s="467">
        <v>44677.0</v>
      </c>
      <c r="AB306" s="30">
        <v>4.9075100004528E13</v>
      </c>
      <c r="AC306" s="482"/>
      <c r="AD306" s="482"/>
      <c r="AE306" s="482"/>
      <c r="AF306" s="482"/>
      <c r="AG306" s="482"/>
      <c r="AH306" s="482"/>
      <c r="AI306" s="482"/>
      <c r="AJ306" s="482"/>
      <c r="AK306" s="482"/>
      <c r="AL306" s="482"/>
      <c r="AM306" s="482"/>
      <c r="AN306" s="482"/>
      <c r="AO306" s="482"/>
      <c r="AP306" s="96"/>
      <c r="AQ306" s="471"/>
      <c r="AR306" s="471"/>
      <c r="AS306" s="471"/>
      <c r="AT306" s="471"/>
      <c r="AU306" s="471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>
        <v>983825.3</v>
      </c>
      <c r="BG306" s="472">
        <v>992950.13</v>
      </c>
      <c r="BH306" s="472">
        <v>1098911.69</v>
      </c>
      <c r="BI306" s="472">
        <v>1105049.55</v>
      </c>
      <c r="BJ306" s="472">
        <v>1116661.39</v>
      </c>
      <c r="BK306" s="472">
        <v>1124698.24</v>
      </c>
      <c r="BL306" s="472">
        <v>3204.53</v>
      </c>
      <c r="BM306" s="472">
        <v>1137124.37</v>
      </c>
      <c r="BN306" s="472">
        <v>1148225.92</v>
      </c>
      <c r="BO306" s="472">
        <v>1161245.64</v>
      </c>
      <c r="BP306" s="472">
        <v>1221714.94</v>
      </c>
      <c r="BQ306" s="472">
        <v>1237153.94</v>
      </c>
      <c r="BR306" s="472">
        <v>1180461.06</v>
      </c>
      <c r="BS306" s="472">
        <v>1261248.38</v>
      </c>
      <c r="BT306" s="472">
        <v>1282312.29</v>
      </c>
      <c r="BU306" s="472">
        <v>1235684.45</v>
      </c>
      <c r="BV306" s="472">
        <v>1308961.94</v>
      </c>
      <c r="BW306" s="472">
        <v>1317557.65</v>
      </c>
      <c r="BX306" s="472">
        <v>1328653.28</v>
      </c>
      <c r="BY306" s="472">
        <v>1340355.49</v>
      </c>
      <c r="BZ306" s="472">
        <v>1353356.28</v>
      </c>
      <c r="CA306" s="474">
        <v>1364678.7</v>
      </c>
      <c r="CB306" s="474">
        <v>1375740.12</v>
      </c>
      <c r="CC306" s="474">
        <v>1375379.31</v>
      </c>
      <c r="CD306" s="474">
        <v>1384565.55</v>
      </c>
      <c r="CE306" s="474">
        <v>1394531.61</v>
      </c>
      <c r="CF306" s="474">
        <v>1400705.58</v>
      </c>
      <c r="CG306" s="474">
        <v>1402254.7</v>
      </c>
      <c r="CH306" s="65">
        <v>1415802.5</v>
      </c>
      <c r="CI306" s="65">
        <v>1426560.35</v>
      </c>
      <c r="CJ306" s="65">
        <v>1439382.06</v>
      </c>
      <c r="CK306" s="65">
        <v>0.0</v>
      </c>
      <c r="CL306" s="65">
        <v>0.0</v>
      </c>
      <c r="CM306" s="65">
        <v>0.0</v>
      </c>
      <c r="CN306" s="65">
        <v>0.0</v>
      </c>
    </row>
    <row r="307" ht="15.75" customHeight="1">
      <c r="A307" s="462" t="s">
        <v>2346</v>
      </c>
      <c r="B307" s="510" t="s">
        <v>1356</v>
      </c>
      <c r="C307" s="141">
        <v>559582.0</v>
      </c>
      <c r="D307" s="63" t="s">
        <v>120</v>
      </c>
      <c r="E307" s="63" t="s">
        <v>91</v>
      </c>
      <c r="F307" s="81" t="s">
        <v>884</v>
      </c>
      <c r="G307" s="47" t="str">
        <f t="shared" si="1"/>
        <v>Breno</v>
      </c>
      <c r="H307" s="152" t="s">
        <v>224</v>
      </c>
      <c r="I307" s="74" t="s">
        <v>66</v>
      </c>
      <c r="J307" s="63" t="str">
        <f t="shared" si="4"/>
        <v>Não</v>
      </c>
      <c r="K307" s="81"/>
      <c r="L307" s="467">
        <v>44637.0</v>
      </c>
      <c r="M307" s="62" t="s">
        <v>4910</v>
      </c>
      <c r="N307" s="478">
        <v>0.01</v>
      </c>
      <c r="O307" s="141" t="s">
        <v>66</v>
      </c>
      <c r="P307" s="145">
        <v>0.0</v>
      </c>
      <c r="Q307" s="158"/>
      <c r="R307" s="158"/>
      <c r="S307" s="62" t="s">
        <v>194</v>
      </c>
      <c r="T307" s="30" t="s">
        <v>1363</v>
      </c>
      <c r="U307" s="95" t="s">
        <v>475</v>
      </c>
      <c r="V307" s="49" t="str">
        <f t="shared" si="3"/>
        <v>Encerrado</v>
      </c>
      <c r="W307" s="150"/>
      <c r="X307" s="150"/>
      <c r="Y307" s="81"/>
      <c r="Z307" s="81"/>
      <c r="AA307" s="81"/>
      <c r="AB307" s="30"/>
      <c r="AC307" s="482"/>
      <c r="AD307" s="482"/>
      <c r="AE307" s="482"/>
      <c r="AF307" s="482"/>
      <c r="AG307" s="482"/>
      <c r="AH307" s="482"/>
      <c r="AI307" s="482"/>
      <c r="AJ307" s="482"/>
      <c r="AK307" s="482"/>
      <c r="AL307" s="482"/>
      <c r="AM307" s="482"/>
      <c r="AN307" s="482"/>
      <c r="AO307" s="482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>
        <v>0.0</v>
      </c>
      <c r="BE307" s="96">
        <v>0.0</v>
      </c>
      <c r="BF307" s="96">
        <v>0.0</v>
      </c>
      <c r="BG307" s="96" t="s">
        <v>377</v>
      </c>
      <c r="BH307" s="96">
        <v>0.0</v>
      </c>
      <c r="BI307" s="96" t="s">
        <v>377</v>
      </c>
      <c r="BJ307" s="96">
        <v>0.0</v>
      </c>
      <c r="BK307" s="472">
        <v>0.0</v>
      </c>
      <c r="BL307" s="472">
        <v>0.0</v>
      </c>
      <c r="BM307" s="472">
        <v>0.0</v>
      </c>
      <c r="BN307" s="472">
        <v>0.0</v>
      </c>
      <c r="BO307" s="472">
        <v>0.0</v>
      </c>
      <c r="BP307" s="472">
        <v>0.0</v>
      </c>
      <c r="BQ307" s="472">
        <v>0.0</v>
      </c>
      <c r="BR307" s="472">
        <v>0.0</v>
      </c>
      <c r="BS307" s="472">
        <v>0.0</v>
      </c>
      <c r="BT307" s="472">
        <v>0.0</v>
      </c>
      <c r="BU307" s="472">
        <v>0.0</v>
      </c>
      <c r="BV307" s="472">
        <v>0.0</v>
      </c>
      <c r="BW307" s="472">
        <v>0.0</v>
      </c>
      <c r="BX307" s="472">
        <v>0.0</v>
      </c>
      <c r="BY307" s="472">
        <v>0.0</v>
      </c>
      <c r="BZ307" s="472">
        <v>0.0</v>
      </c>
      <c r="CA307" s="474">
        <v>0.0</v>
      </c>
      <c r="CB307" s="474">
        <v>0.0</v>
      </c>
      <c r="CC307" s="474">
        <v>0.0</v>
      </c>
      <c r="CD307" s="474">
        <v>0.0</v>
      </c>
      <c r="CE307" s="474">
        <v>0.0</v>
      </c>
      <c r="CF307" s="474">
        <v>0.0</v>
      </c>
      <c r="CG307" s="474">
        <v>0.0</v>
      </c>
      <c r="CH307" s="65">
        <v>0.0</v>
      </c>
      <c r="CI307" s="65">
        <v>0.0</v>
      </c>
      <c r="CJ307" s="65">
        <v>0.0</v>
      </c>
      <c r="CK307" s="65">
        <v>0.0</v>
      </c>
      <c r="CL307" s="65">
        <v>0.0</v>
      </c>
      <c r="CM307" s="65">
        <v>0.0</v>
      </c>
      <c r="CN307" s="65">
        <v>0.0</v>
      </c>
    </row>
    <row r="308" ht="15.75" customHeight="1">
      <c r="A308" s="462" t="s">
        <v>2346</v>
      </c>
      <c r="B308" s="39" t="s">
        <v>6859</v>
      </c>
      <c r="C308" s="141">
        <v>343643.0</v>
      </c>
      <c r="D308" s="63" t="s">
        <v>120</v>
      </c>
      <c r="E308" s="63" t="s">
        <v>91</v>
      </c>
      <c r="F308" s="81" t="s">
        <v>699</v>
      </c>
      <c r="G308" s="47" t="str">
        <f t="shared" si="1"/>
        <v>Breno</v>
      </c>
      <c r="H308" s="152" t="s">
        <v>224</v>
      </c>
      <c r="I308" s="74" t="s">
        <v>66</v>
      </c>
      <c r="J308" s="63" t="str">
        <f t="shared" si="4"/>
        <v>Não</v>
      </c>
      <c r="K308" s="143">
        <v>44733.0</v>
      </c>
      <c r="L308" s="467">
        <v>44907.0</v>
      </c>
      <c r="M308" s="81" t="s">
        <v>61</v>
      </c>
      <c r="N308" s="478">
        <v>0.007</v>
      </c>
      <c r="O308" s="141" t="s">
        <v>66</v>
      </c>
      <c r="P308" s="145">
        <v>0.0</v>
      </c>
      <c r="Q308" s="158"/>
      <c r="R308" s="158"/>
      <c r="S308" s="62" t="s">
        <v>194</v>
      </c>
      <c r="T308" s="22" t="s">
        <v>6860</v>
      </c>
      <c r="U308" s="81" t="s">
        <v>6861</v>
      </c>
      <c r="V308" s="49" t="str">
        <f t="shared" si="3"/>
        <v>Encerrado</v>
      </c>
      <c r="W308" s="150"/>
      <c r="X308" s="150"/>
      <c r="Y308" s="81"/>
      <c r="Z308" s="81"/>
      <c r="AA308" s="81"/>
      <c r="AB308" s="30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482"/>
      <c r="AW308" s="482"/>
      <c r="AX308" s="482"/>
      <c r="AY308" s="96"/>
      <c r="AZ308" s="96"/>
      <c r="BA308" s="96"/>
      <c r="BB308" s="96"/>
      <c r="BC308" s="96"/>
      <c r="BD308" s="96"/>
      <c r="BE308" s="96"/>
      <c r="BF308" s="96"/>
      <c r="BG308" s="96"/>
      <c r="BH308" s="472">
        <v>421468.95</v>
      </c>
      <c r="BI308" s="472">
        <v>424912.13</v>
      </c>
      <c r="BJ308" s="472">
        <v>229068.83</v>
      </c>
      <c r="BK308" s="472">
        <v>127875.78</v>
      </c>
      <c r="BL308" s="472">
        <v>128507.47</v>
      </c>
      <c r="BM308" s="472">
        <v>61837.18</v>
      </c>
      <c r="BN308" s="472">
        <v>62312.92</v>
      </c>
      <c r="BO308" s="472">
        <v>62907.58</v>
      </c>
      <c r="BP308" s="472">
        <v>63418.51</v>
      </c>
      <c r="BQ308" s="472">
        <v>64211.51</v>
      </c>
      <c r="BR308" s="472">
        <v>64764.38</v>
      </c>
      <c r="BS308" s="472">
        <v>65415.95</v>
      </c>
      <c r="BT308" s="472">
        <v>0.0</v>
      </c>
      <c r="BU308" s="472">
        <v>0.0</v>
      </c>
      <c r="BV308" s="472">
        <v>0.0</v>
      </c>
      <c r="BW308" s="472">
        <v>0.0</v>
      </c>
      <c r="BX308" s="472">
        <v>0.0</v>
      </c>
      <c r="BY308" s="472">
        <v>0.0</v>
      </c>
      <c r="BZ308" s="472">
        <v>0.0</v>
      </c>
      <c r="CA308" s="474">
        <v>0.0</v>
      </c>
      <c r="CB308" s="474">
        <v>0.0</v>
      </c>
      <c r="CC308" s="474">
        <v>0.0</v>
      </c>
      <c r="CD308" s="474">
        <v>0.0</v>
      </c>
      <c r="CE308" s="474">
        <v>0.0</v>
      </c>
      <c r="CF308" s="474">
        <v>0.0</v>
      </c>
      <c r="CG308" s="474">
        <v>0.0</v>
      </c>
      <c r="CH308" s="65">
        <v>0.0</v>
      </c>
      <c r="CI308" s="65">
        <v>0.0</v>
      </c>
      <c r="CJ308" s="65">
        <v>0.0</v>
      </c>
      <c r="CK308" s="65">
        <v>0.0</v>
      </c>
      <c r="CL308" s="65">
        <v>0.0</v>
      </c>
      <c r="CM308" s="65">
        <v>0.0</v>
      </c>
      <c r="CN308" s="65">
        <v>0.0</v>
      </c>
    </row>
    <row r="309" ht="15.75" customHeight="1">
      <c r="A309" s="462" t="s">
        <v>2346</v>
      </c>
      <c r="B309" s="510" t="s">
        <v>1378</v>
      </c>
      <c r="C309" s="141" t="s">
        <v>6871</v>
      </c>
      <c r="D309" s="63" t="s">
        <v>120</v>
      </c>
      <c r="E309" s="63" t="s">
        <v>199</v>
      </c>
      <c r="F309" s="81" t="s">
        <v>439</v>
      </c>
      <c r="G309" s="47" t="str">
        <f t="shared" si="1"/>
        <v>Breno</v>
      </c>
      <c r="H309" s="152" t="s">
        <v>224</v>
      </c>
      <c r="I309" s="74" t="s">
        <v>66</v>
      </c>
      <c r="J309" s="63" t="str">
        <f t="shared" si="4"/>
        <v>Não</v>
      </c>
      <c r="K309" s="480">
        <v>43417.0</v>
      </c>
      <c r="L309" s="467">
        <v>44309.0</v>
      </c>
      <c r="M309" s="81" t="s">
        <v>361</v>
      </c>
      <c r="N309" s="478">
        <v>0.02</v>
      </c>
      <c r="O309" s="63" t="s">
        <v>35</v>
      </c>
      <c r="P309" s="145">
        <v>0.2</v>
      </c>
      <c r="Q309" s="243"/>
      <c r="R309" s="243"/>
      <c r="S309" s="62" t="s">
        <v>194</v>
      </c>
      <c r="T309" s="30" t="s">
        <v>1380</v>
      </c>
      <c r="U309" s="81" t="s">
        <v>199</v>
      </c>
      <c r="V309" s="49" t="str">
        <f t="shared" si="3"/>
        <v>Encerrado</v>
      </c>
      <c r="W309" s="150"/>
      <c r="X309" s="150"/>
      <c r="Y309" s="81"/>
      <c r="Z309" s="81"/>
      <c r="AA309" s="81"/>
      <c r="AB309" s="30"/>
      <c r="AC309" s="96">
        <v>567972.75</v>
      </c>
      <c r="AD309" s="96">
        <v>536444.14</v>
      </c>
      <c r="AE309" s="96">
        <v>605353.79</v>
      </c>
      <c r="AF309" s="96">
        <v>630511.63</v>
      </c>
      <c r="AG309" s="96">
        <v>656834.93</v>
      </c>
      <c r="AH309" s="96">
        <v>705401.07</v>
      </c>
      <c r="AI309" s="96">
        <v>843516.96</v>
      </c>
      <c r="AJ309" s="96">
        <v>773116.1</v>
      </c>
      <c r="AK309" s="96">
        <v>734047.58</v>
      </c>
      <c r="AL309" s="96">
        <v>743686.44</v>
      </c>
      <c r="AM309" s="96">
        <v>830544.1</v>
      </c>
      <c r="AN309" s="96">
        <v>862591.3</v>
      </c>
      <c r="AO309" s="96">
        <v>834375.04</v>
      </c>
      <c r="AP309" s="96">
        <v>786240.77</v>
      </c>
      <c r="AQ309" s="96">
        <v>669000.38</v>
      </c>
      <c r="AR309" s="96">
        <v>5000.0</v>
      </c>
      <c r="AS309" s="96">
        <v>749.18</v>
      </c>
      <c r="AT309" s="96">
        <v>749.18</v>
      </c>
      <c r="AU309" s="96"/>
      <c r="AV309" s="482"/>
      <c r="AW309" s="482"/>
      <c r="AX309" s="482"/>
      <c r="AY309" s="96"/>
      <c r="AZ309" s="96"/>
      <c r="BA309" s="96"/>
      <c r="BB309" s="96"/>
      <c r="BC309" s="96"/>
      <c r="BD309" s="96">
        <v>0.0</v>
      </c>
      <c r="BE309" s="96">
        <v>0.0</v>
      </c>
      <c r="BF309" s="96">
        <v>0.0</v>
      </c>
      <c r="BG309" s="96" t="s">
        <v>377</v>
      </c>
      <c r="BH309" s="96">
        <v>0.0</v>
      </c>
      <c r="BI309" s="96" t="s">
        <v>377</v>
      </c>
      <c r="BJ309" s="96">
        <v>0.0</v>
      </c>
      <c r="BK309" s="472">
        <v>0.0</v>
      </c>
      <c r="BL309" s="472">
        <v>0.0</v>
      </c>
      <c r="BM309" s="472">
        <v>0.0</v>
      </c>
      <c r="BN309" s="472">
        <v>0.0</v>
      </c>
      <c r="BO309" s="472">
        <v>0.0</v>
      </c>
      <c r="BP309" s="472">
        <v>0.0</v>
      </c>
      <c r="BQ309" s="472">
        <v>1475779.16</v>
      </c>
      <c r="BR309" s="472">
        <v>0.0</v>
      </c>
      <c r="BS309" s="472">
        <v>0.0</v>
      </c>
      <c r="BT309" s="472">
        <v>0.0</v>
      </c>
      <c r="BU309" s="472">
        <v>0.0</v>
      </c>
      <c r="BV309" s="472">
        <v>0.0</v>
      </c>
      <c r="BW309" s="472">
        <v>0.0</v>
      </c>
      <c r="BX309" s="472">
        <v>0.0</v>
      </c>
      <c r="BY309" s="472">
        <v>0.0</v>
      </c>
      <c r="BZ309" s="472">
        <v>0.0</v>
      </c>
      <c r="CA309" s="474">
        <v>0.0</v>
      </c>
      <c r="CB309" s="474">
        <v>0.0</v>
      </c>
      <c r="CC309" s="474">
        <v>0.0</v>
      </c>
      <c r="CD309" s="474">
        <v>0.0</v>
      </c>
      <c r="CE309" s="474">
        <v>0.0</v>
      </c>
      <c r="CF309" s="474">
        <v>0.0</v>
      </c>
      <c r="CG309" s="474">
        <v>0.0</v>
      </c>
      <c r="CH309" s="65">
        <v>0.0</v>
      </c>
      <c r="CI309" s="65">
        <v>0.0</v>
      </c>
      <c r="CJ309" s="65">
        <v>0.0</v>
      </c>
      <c r="CK309" s="65">
        <v>0.0</v>
      </c>
      <c r="CL309" s="65">
        <v>0.0</v>
      </c>
      <c r="CM309" s="65">
        <v>0.0</v>
      </c>
      <c r="CN309" s="65">
        <v>0.0</v>
      </c>
    </row>
    <row r="310" ht="15.75" customHeight="1">
      <c r="A310" s="462" t="s">
        <v>2346</v>
      </c>
      <c r="B310" s="510" t="s">
        <v>1378</v>
      </c>
      <c r="C310" s="141">
        <v>296589.0</v>
      </c>
      <c r="D310" s="63" t="s">
        <v>120</v>
      </c>
      <c r="E310" s="63" t="s">
        <v>199</v>
      </c>
      <c r="F310" s="81" t="s">
        <v>290</v>
      </c>
      <c r="G310" s="47" t="str">
        <f t="shared" si="1"/>
        <v>Bruno</v>
      </c>
      <c r="H310" s="142" t="s">
        <v>183</v>
      </c>
      <c r="I310" s="74" t="s">
        <v>66</v>
      </c>
      <c r="J310" s="63" t="str">
        <f t="shared" si="4"/>
        <v>Não</v>
      </c>
      <c r="K310" s="480">
        <v>45013.0</v>
      </c>
      <c r="L310" s="467"/>
      <c r="M310" s="81" t="s">
        <v>209</v>
      </c>
      <c r="N310" s="478">
        <v>0.015</v>
      </c>
      <c r="O310" s="63" t="s">
        <v>35</v>
      </c>
      <c r="P310" s="145">
        <v>0.1</v>
      </c>
      <c r="Q310" s="146"/>
      <c r="R310" s="158"/>
      <c r="S310" s="62" t="s">
        <v>194</v>
      </c>
      <c r="T310" s="30" t="s">
        <v>1380</v>
      </c>
      <c r="U310" s="30" t="s">
        <v>199</v>
      </c>
      <c r="V310" s="49" t="str">
        <f t="shared" si="3"/>
        <v>Ativo</v>
      </c>
      <c r="W310" s="150"/>
      <c r="X310" s="150"/>
      <c r="Y310" s="30" t="s">
        <v>269</v>
      </c>
      <c r="Z310" s="81"/>
      <c r="AA310" s="480">
        <v>45013.0</v>
      </c>
      <c r="AB310" s="30">
        <v>4.9075100007098E13</v>
      </c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482"/>
      <c r="AW310" s="482"/>
      <c r="AX310" s="482"/>
      <c r="AY310" s="96"/>
      <c r="AZ310" s="96"/>
      <c r="BA310" s="96"/>
      <c r="BB310" s="96"/>
      <c r="BC310" s="96"/>
      <c r="BD310" s="96"/>
      <c r="BE310" s="96"/>
      <c r="BF310" s="96"/>
      <c r="BG310" s="96"/>
      <c r="BH310" s="96"/>
      <c r="BI310" s="96"/>
      <c r="BJ310" s="96"/>
      <c r="BK310" s="472"/>
      <c r="BL310" s="472"/>
      <c r="BM310" s="472"/>
      <c r="BN310" s="472">
        <v>0.0</v>
      </c>
      <c r="BO310" s="472">
        <v>0.0</v>
      </c>
      <c r="BP310" s="472">
        <v>0.0</v>
      </c>
      <c r="BQ310" s="472">
        <v>1475779.16</v>
      </c>
      <c r="BR310" s="472">
        <v>3779473.94</v>
      </c>
      <c r="BS310" s="472">
        <v>3872293.56</v>
      </c>
      <c r="BT310" s="472">
        <v>4077741.88</v>
      </c>
      <c r="BU310" s="472">
        <v>3598271.78</v>
      </c>
      <c r="BV310" s="472">
        <v>4294584.28</v>
      </c>
      <c r="BW310" s="472">
        <v>4280402.02</v>
      </c>
      <c r="BX310" s="472">
        <v>4166864.91</v>
      </c>
      <c r="BY310" s="472">
        <v>2157330.82</v>
      </c>
      <c r="BZ310" s="472">
        <v>1303697.18</v>
      </c>
      <c r="CA310" s="474">
        <v>970388.26</v>
      </c>
      <c r="CB310" s="474">
        <v>978940.62</v>
      </c>
      <c r="CC310" s="474">
        <v>1000227.35</v>
      </c>
      <c r="CD310" s="474">
        <v>989641.97</v>
      </c>
      <c r="CE310" s="474">
        <v>977313.62</v>
      </c>
      <c r="CF310" s="474">
        <v>996929.49</v>
      </c>
      <c r="CG310" s="474">
        <v>994786.83</v>
      </c>
      <c r="CH310" s="65">
        <v>1015431.93</v>
      </c>
      <c r="CI310" s="65">
        <v>1099679.66</v>
      </c>
      <c r="CJ310" s="65">
        <v>1088709.6</v>
      </c>
      <c r="CK310" s="65">
        <v>1079982.33</v>
      </c>
      <c r="CL310" s="65">
        <v>967947.77</v>
      </c>
      <c r="CM310" s="65">
        <v>1209276.89</v>
      </c>
      <c r="CN310" s="65">
        <v>1187841.8</v>
      </c>
    </row>
    <row r="311" ht="15.75" customHeight="1">
      <c r="A311" s="462" t="s">
        <v>2346</v>
      </c>
      <c r="B311" s="462" t="s">
        <v>1388</v>
      </c>
      <c r="C311" s="141">
        <v>376731.0</v>
      </c>
      <c r="D311" s="63" t="s">
        <v>120</v>
      </c>
      <c r="E311" s="63" t="s">
        <v>199</v>
      </c>
      <c r="F311" s="81" t="s">
        <v>290</v>
      </c>
      <c r="G311" s="47" t="str">
        <f t="shared" si="1"/>
        <v>Breno</v>
      </c>
      <c r="H311" s="142" t="s">
        <v>183</v>
      </c>
      <c r="I311" s="74" t="s">
        <v>66</v>
      </c>
      <c r="J311" s="63" t="str">
        <f t="shared" si="4"/>
        <v>Sim</v>
      </c>
      <c r="K311" s="480">
        <v>44998.0</v>
      </c>
      <c r="L311" s="467"/>
      <c r="M311" s="81" t="s">
        <v>61</v>
      </c>
      <c r="N311" s="478">
        <v>0.012</v>
      </c>
      <c r="O311" s="141" t="s">
        <v>66</v>
      </c>
      <c r="P311" s="145">
        <v>0.0</v>
      </c>
      <c r="Q311" s="158" t="s">
        <v>1389</v>
      </c>
      <c r="R311" s="158"/>
      <c r="S311" s="62" t="s">
        <v>194</v>
      </c>
      <c r="T311" s="141" t="s">
        <v>1380</v>
      </c>
      <c r="U311" s="30" t="s">
        <v>199</v>
      </c>
      <c r="V311" s="49" t="str">
        <f t="shared" si="3"/>
        <v>Ativo</v>
      </c>
      <c r="W311" s="150"/>
      <c r="X311" s="150"/>
      <c r="Y311" s="30" t="s">
        <v>269</v>
      </c>
      <c r="Z311" s="81"/>
      <c r="AA311" s="480">
        <v>44998.0</v>
      </c>
      <c r="AB311" s="30">
        <v>4.9075100008817E13</v>
      </c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471"/>
      <c r="AR311" s="471"/>
      <c r="AS311" s="471"/>
      <c r="AT311" s="471"/>
      <c r="AU311" s="471"/>
      <c r="AV311" s="96"/>
      <c r="AW311" s="96"/>
      <c r="AX311" s="96"/>
      <c r="AY311" s="96"/>
      <c r="AZ311" s="96"/>
      <c r="BA311" s="96"/>
      <c r="BB311" s="96"/>
      <c r="BC311" s="96"/>
      <c r="BD311" s="96"/>
      <c r="BE311" s="96"/>
      <c r="BF311" s="96"/>
      <c r="BG311" s="472"/>
      <c r="BH311" s="472"/>
      <c r="BI311" s="472"/>
      <c r="BJ311" s="472"/>
      <c r="BK311" s="472"/>
      <c r="BL311" s="472"/>
      <c r="BM311" s="472"/>
      <c r="BN311" s="472"/>
      <c r="BO311" s="472"/>
      <c r="BP311" s="472">
        <v>0.0</v>
      </c>
      <c r="BQ311" s="472">
        <v>601843.76</v>
      </c>
      <c r="BR311" s="472">
        <v>783149.74</v>
      </c>
      <c r="BS311" s="472">
        <v>790228.14</v>
      </c>
      <c r="BT311" s="472">
        <v>798377.41</v>
      </c>
      <c r="BU311" s="472">
        <v>1052556.6</v>
      </c>
      <c r="BV311" s="472">
        <v>1064965.16</v>
      </c>
      <c r="BW311" s="472">
        <v>1073884.69</v>
      </c>
      <c r="BX311" s="472">
        <v>1083620.37</v>
      </c>
      <c r="BY311" s="472">
        <v>738177.0</v>
      </c>
      <c r="BZ311" s="472">
        <v>744298.31</v>
      </c>
      <c r="CA311" s="474">
        <v>454439.31</v>
      </c>
      <c r="CB311" s="474">
        <v>457897.91</v>
      </c>
      <c r="CC311" s="474">
        <v>460961.13</v>
      </c>
      <c r="CD311" s="474">
        <v>463357.24</v>
      </c>
      <c r="CE311" s="474">
        <v>465450.74</v>
      </c>
      <c r="CF311" s="474">
        <v>468929.1</v>
      </c>
      <c r="CG311" s="474">
        <v>470784.07</v>
      </c>
      <c r="CH311" s="65">
        <v>424812.6</v>
      </c>
      <c r="CI311" s="65">
        <v>225509.42</v>
      </c>
      <c r="CJ311" s="65">
        <v>226450.59</v>
      </c>
      <c r="CK311" s="65">
        <v>227821.45</v>
      </c>
      <c r="CL311" s="65">
        <v>113925.38</v>
      </c>
      <c r="CM311" s="65">
        <v>115056.86</v>
      </c>
      <c r="CN311" s="65">
        <v>115802.73</v>
      </c>
    </row>
    <row r="312" ht="15.75" customHeight="1">
      <c r="A312" s="462" t="s">
        <v>2346</v>
      </c>
      <c r="B312" s="462" t="s">
        <v>1398</v>
      </c>
      <c r="C312" s="141">
        <v>253486.0</v>
      </c>
      <c r="D312" s="63" t="s">
        <v>120</v>
      </c>
      <c r="E312" s="63" t="s">
        <v>199</v>
      </c>
      <c r="F312" s="141" t="s">
        <v>1399</v>
      </c>
      <c r="G312" s="47" t="str">
        <f t="shared" si="1"/>
        <v>Breno</v>
      </c>
      <c r="H312" s="152" t="s">
        <v>295</v>
      </c>
      <c r="I312" s="49" t="s">
        <v>382</v>
      </c>
      <c r="J312" s="63" t="str">
        <f t="shared" si="4"/>
        <v>Sim</v>
      </c>
      <c r="K312" s="143">
        <v>43620.0</v>
      </c>
      <c r="L312" s="62"/>
      <c r="M312" s="81" t="s">
        <v>209</v>
      </c>
      <c r="N312" s="478">
        <v>0.015</v>
      </c>
      <c r="O312" s="141" t="s">
        <v>66</v>
      </c>
      <c r="P312" s="145">
        <v>0.0</v>
      </c>
      <c r="Q312" s="153" t="s">
        <v>1402</v>
      </c>
      <c r="R312" s="153" t="s">
        <v>642</v>
      </c>
      <c r="S312" s="62" t="s">
        <v>194</v>
      </c>
      <c r="T312" s="141" t="s">
        <v>1403</v>
      </c>
      <c r="U312" s="81" t="s">
        <v>199</v>
      </c>
      <c r="V312" s="49" t="str">
        <f t="shared" si="3"/>
        <v>Ativo</v>
      </c>
      <c r="W312" s="150"/>
      <c r="X312" s="150"/>
      <c r="Y312" s="30" t="s">
        <v>244</v>
      </c>
      <c r="Z312" s="81"/>
      <c r="AA312" s="467">
        <v>43620.0</v>
      </c>
      <c r="AB312" s="30">
        <v>4.9075100009971E13</v>
      </c>
      <c r="AC312" s="96">
        <v>386861.74</v>
      </c>
      <c r="AD312" s="96">
        <v>383207.42</v>
      </c>
      <c r="AE312" s="96">
        <v>349977.26</v>
      </c>
      <c r="AF312" s="96">
        <v>354568.48</v>
      </c>
      <c r="AG312" s="96">
        <v>357445.18</v>
      </c>
      <c r="AH312" s="96">
        <v>359258.9</v>
      </c>
      <c r="AI312" s="96">
        <v>364752.26</v>
      </c>
      <c r="AJ312" s="96">
        <v>360513.02</v>
      </c>
      <c r="AK312" s="96">
        <v>356227.38</v>
      </c>
      <c r="AL312" s="96">
        <v>357056.95</v>
      </c>
      <c r="AM312" s="96">
        <v>372342.58</v>
      </c>
      <c r="AN312" s="96">
        <v>379100.82</v>
      </c>
      <c r="AO312" s="96">
        <v>372140.26</v>
      </c>
      <c r="AP312" s="96">
        <v>363128.94</v>
      </c>
      <c r="AQ312" s="471">
        <v>362002.61</v>
      </c>
      <c r="AR312" s="471">
        <v>366141.56</v>
      </c>
      <c r="AS312" s="471">
        <v>371293.53</v>
      </c>
      <c r="AT312" s="471">
        <v>372533.3</v>
      </c>
      <c r="AU312" s="471">
        <v>379260.56</v>
      </c>
      <c r="AV312" s="96">
        <v>371230.89</v>
      </c>
      <c r="AW312" s="96">
        <v>373906.67</v>
      </c>
      <c r="AX312" s="96">
        <v>385512.52</v>
      </c>
      <c r="AY312" s="96">
        <v>361118.04</v>
      </c>
      <c r="AZ312" s="96">
        <v>352597.57</v>
      </c>
      <c r="BA312" s="96">
        <v>348623.5</v>
      </c>
      <c r="BB312" s="96">
        <v>350646.2</v>
      </c>
      <c r="BC312" s="96">
        <v>360382.76</v>
      </c>
      <c r="BD312" s="96">
        <v>362276.36</v>
      </c>
      <c r="BE312" s="96">
        <v>376672.28</v>
      </c>
      <c r="BF312" s="96">
        <v>371100.0</v>
      </c>
      <c r="BG312" s="472">
        <v>369968.7</v>
      </c>
      <c r="BH312" s="472">
        <v>366797.54</v>
      </c>
      <c r="BI312" s="472">
        <v>374875.33</v>
      </c>
      <c r="BJ312" s="472">
        <v>381731.56</v>
      </c>
      <c r="BK312" s="472">
        <v>383587.61</v>
      </c>
      <c r="BL312" s="472">
        <v>397992.01</v>
      </c>
      <c r="BM312" s="472">
        <v>396224.63</v>
      </c>
      <c r="BN312" s="472">
        <v>393054.19</v>
      </c>
      <c r="BO312" s="472">
        <v>397362.95</v>
      </c>
      <c r="BP312" s="472">
        <v>398800.51</v>
      </c>
      <c r="BQ312" s="472">
        <v>402212.33</v>
      </c>
      <c r="BR312" s="472">
        <v>403455.6</v>
      </c>
      <c r="BS312" s="472">
        <v>413415.42</v>
      </c>
      <c r="BT312" s="472">
        <v>421798.4</v>
      </c>
      <c r="BU312" s="472">
        <v>297315.47</v>
      </c>
      <c r="BV312" s="472">
        <v>451673.33</v>
      </c>
      <c r="BW312" s="472">
        <v>453028.53</v>
      </c>
      <c r="BX312" s="472">
        <v>452668.72</v>
      </c>
      <c r="BY312" s="472">
        <v>459967.45</v>
      </c>
      <c r="BZ312" s="472">
        <v>457873.41</v>
      </c>
      <c r="CA312" s="474">
        <v>462467.93</v>
      </c>
      <c r="CB312" s="474">
        <v>467521.89</v>
      </c>
      <c r="CC312" s="474">
        <v>470879.61</v>
      </c>
      <c r="CD312" s="474">
        <v>467019.06</v>
      </c>
      <c r="CE312" s="474">
        <v>580.56</v>
      </c>
      <c r="CF312" s="474">
        <v>514.69</v>
      </c>
      <c r="CG312" s="474">
        <v>439.84</v>
      </c>
      <c r="CH312" s="65">
        <v>435.07</v>
      </c>
      <c r="CI312" s="65">
        <v>408.01</v>
      </c>
      <c r="CJ312" s="65">
        <v>372.19</v>
      </c>
      <c r="CK312" s="65">
        <v>340.98</v>
      </c>
      <c r="CL312" s="65">
        <v>0.51</v>
      </c>
      <c r="CM312" s="65">
        <v>0.51</v>
      </c>
      <c r="CN312" s="65">
        <v>0.51</v>
      </c>
    </row>
    <row r="313" ht="15.75" customHeight="1">
      <c r="A313" s="462" t="s">
        <v>2346</v>
      </c>
      <c r="B313" s="50" t="s">
        <v>1409</v>
      </c>
      <c r="C313" s="141">
        <v>35132.0</v>
      </c>
      <c r="D313" s="63" t="s">
        <v>120</v>
      </c>
      <c r="E313" s="63" t="s">
        <v>91</v>
      </c>
      <c r="F313" s="63" t="s">
        <v>521</v>
      </c>
      <c r="G313" s="47" t="str">
        <f t="shared" si="1"/>
        <v>Breno</v>
      </c>
      <c r="H313" s="152" t="s">
        <v>295</v>
      </c>
      <c r="I313" s="49" t="s">
        <v>382</v>
      </c>
      <c r="J313" s="63" t="str">
        <f t="shared" si="4"/>
        <v>Não</v>
      </c>
      <c r="K313" s="143">
        <v>44319.0</v>
      </c>
      <c r="L313" s="62"/>
      <c r="M313" s="81" t="s">
        <v>361</v>
      </c>
      <c r="N313" s="144">
        <v>0.02</v>
      </c>
      <c r="O313" s="63" t="s">
        <v>35</v>
      </c>
      <c r="P313" s="145">
        <v>0.2</v>
      </c>
      <c r="Q313" s="70"/>
      <c r="R313" s="70"/>
      <c r="S313" s="62" t="s">
        <v>194</v>
      </c>
      <c r="T313" s="22" t="s">
        <v>1412</v>
      </c>
      <c r="U313" s="95" t="s">
        <v>221</v>
      </c>
      <c r="V313" s="49" t="str">
        <f t="shared" si="3"/>
        <v>Ativo</v>
      </c>
      <c r="W313" s="150"/>
      <c r="X313" s="150"/>
      <c r="Y313" s="30" t="s">
        <v>269</v>
      </c>
      <c r="Z313" s="81"/>
      <c r="AA313" s="467">
        <v>44319.0</v>
      </c>
      <c r="AB313" s="30">
        <v>4.9075100010056E13</v>
      </c>
      <c r="AC313" s="476"/>
      <c r="AD313" s="476"/>
      <c r="AE313" s="476"/>
      <c r="AF313" s="476"/>
      <c r="AG313" s="476"/>
      <c r="AH313" s="476"/>
      <c r="AI313" s="476"/>
      <c r="AJ313" s="476"/>
      <c r="AK313" s="476"/>
      <c r="AL313" s="476"/>
      <c r="AM313" s="476"/>
      <c r="AN313" s="476"/>
      <c r="AO313" s="476"/>
      <c r="AP313" s="96"/>
      <c r="AQ313" s="96"/>
      <c r="AR313" s="96"/>
      <c r="AS313" s="96"/>
      <c r="AT313" s="96"/>
      <c r="AU313" s="96">
        <v>3132361.53</v>
      </c>
      <c r="AV313" s="96">
        <v>3115014.48</v>
      </c>
      <c r="AW313" s="96">
        <v>3063786.38</v>
      </c>
      <c r="AX313" s="96">
        <v>2973302.37</v>
      </c>
      <c r="AY313" s="96">
        <v>2890066.12</v>
      </c>
      <c r="AZ313" s="96">
        <v>2777386.03</v>
      </c>
      <c r="BA313" s="96">
        <v>2729276.03</v>
      </c>
      <c r="BB313" s="96">
        <v>2744510.5</v>
      </c>
      <c r="BC313" s="96">
        <v>2935543.97</v>
      </c>
      <c r="BD313" s="96">
        <v>3052562.84</v>
      </c>
      <c r="BE313" s="96">
        <v>3220690.9</v>
      </c>
      <c r="BF313" s="96">
        <v>3121550.25</v>
      </c>
      <c r="BG313" s="472">
        <v>3082037.03</v>
      </c>
      <c r="BH313" s="472">
        <v>3013526.95</v>
      </c>
      <c r="BI313" s="472">
        <v>3094176.96</v>
      </c>
      <c r="BJ313" s="472">
        <v>3165245.26</v>
      </c>
      <c r="BK313" s="472">
        <v>3190638.04</v>
      </c>
      <c r="BL313" s="472">
        <v>3339946.49</v>
      </c>
      <c r="BM313" s="472">
        <v>3299477.45</v>
      </c>
      <c r="BN313" s="472">
        <v>3313693.9</v>
      </c>
      <c r="BO313" s="472">
        <v>3329116.77</v>
      </c>
      <c r="BP313" s="472">
        <v>3331791.1</v>
      </c>
      <c r="BQ313" s="472">
        <v>3356269.47</v>
      </c>
      <c r="BR313" s="472">
        <v>36545.12</v>
      </c>
      <c r="BS313" s="472">
        <v>34063.14</v>
      </c>
      <c r="BT313" s="472">
        <v>36608.74</v>
      </c>
      <c r="BU313" s="472">
        <v>36877.02</v>
      </c>
      <c r="BV313" s="472">
        <v>37888.86</v>
      </c>
      <c r="BW313" s="472">
        <v>37628.21</v>
      </c>
      <c r="BX313" s="472">
        <v>37206.92</v>
      </c>
      <c r="BY313" s="472">
        <v>36188.26</v>
      </c>
      <c r="BZ313" s="472">
        <v>861.71</v>
      </c>
      <c r="CA313" s="474">
        <v>861.71</v>
      </c>
      <c r="CB313" s="474">
        <v>861.71</v>
      </c>
      <c r="CC313" s="474">
        <v>752.79</v>
      </c>
      <c r="CD313" s="474">
        <v>752.79</v>
      </c>
      <c r="CE313" s="474">
        <v>397.51</v>
      </c>
      <c r="CF313" s="474">
        <v>397.51</v>
      </c>
      <c r="CG313" s="474">
        <v>397.51</v>
      </c>
      <c r="CH313" s="65">
        <v>397.51</v>
      </c>
      <c r="CI313" s="65">
        <v>397.51</v>
      </c>
      <c r="CJ313" s="65">
        <v>397.51</v>
      </c>
      <c r="CK313" s="65">
        <v>397.51</v>
      </c>
      <c r="CL313" s="65">
        <v>417.66</v>
      </c>
      <c r="CM313" s="65">
        <v>417.66</v>
      </c>
      <c r="CN313" s="65">
        <v>417.66</v>
      </c>
    </row>
    <row r="314" ht="15.75" customHeight="1">
      <c r="A314" s="462" t="s">
        <v>2346</v>
      </c>
      <c r="B314" s="176" t="s">
        <v>1416</v>
      </c>
      <c r="C314" s="141">
        <v>378873.0</v>
      </c>
      <c r="D314" s="63" t="s">
        <v>120</v>
      </c>
      <c r="E314" s="63" t="s">
        <v>199</v>
      </c>
      <c r="F314" s="63" t="s">
        <v>1108</v>
      </c>
      <c r="G314" s="47" t="str">
        <f t="shared" si="1"/>
        <v>Breno</v>
      </c>
      <c r="H314" s="152" t="s">
        <v>295</v>
      </c>
      <c r="I314" s="49" t="s">
        <v>382</v>
      </c>
      <c r="J314" s="63" t="str">
        <f t="shared" si="4"/>
        <v>Não</v>
      </c>
      <c r="K314" s="143">
        <v>45013.0</v>
      </c>
      <c r="L314" s="62"/>
      <c r="M314" s="81" t="s">
        <v>231</v>
      </c>
      <c r="N314" s="478">
        <v>0.025</v>
      </c>
      <c r="O314" s="141" t="s">
        <v>233</v>
      </c>
      <c r="P314" s="145">
        <v>0.2</v>
      </c>
      <c r="Q314" s="158"/>
      <c r="R314" s="158"/>
      <c r="S314" s="62" t="s">
        <v>194</v>
      </c>
      <c r="T314" s="22" t="s">
        <v>1422</v>
      </c>
      <c r="U314" s="30" t="s">
        <v>397</v>
      </c>
      <c r="V314" s="49" t="str">
        <f t="shared" si="3"/>
        <v>Ativo</v>
      </c>
      <c r="W314" s="150"/>
      <c r="X314" s="150"/>
      <c r="Y314" s="30" t="s">
        <v>269</v>
      </c>
      <c r="Z314" s="81"/>
      <c r="AA314" s="467">
        <v>45013.0</v>
      </c>
      <c r="AB314" s="30">
        <v>4.90751000109E13</v>
      </c>
      <c r="AC314" s="482"/>
      <c r="AD314" s="482"/>
      <c r="AE314" s="482"/>
      <c r="AF314" s="482"/>
      <c r="AG314" s="482"/>
      <c r="AH314" s="482"/>
      <c r="AI314" s="482"/>
      <c r="AJ314" s="482"/>
      <c r="AK314" s="482"/>
      <c r="AL314" s="482"/>
      <c r="AM314" s="482"/>
      <c r="AN314" s="482"/>
      <c r="AO314" s="482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472"/>
      <c r="BH314" s="472"/>
      <c r="BI314" s="472"/>
      <c r="BJ314" s="472"/>
      <c r="BK314" s="472"/>
      <c r="BL314" s="472"/>
      <c r="BM314" s="472"/>
      <c r="BN314" s="472"/>
      <c r="BO314" s="472"/>
      <c r="BP314" s="472"/>
      <c r="BQ314" s="472">
        <v>246421.12</v>
      </c>
      <c r="BR314" s="472">
        <v>250468.12</v>
      </c>
      <c r="BS314" s="472">
        <v>271889.05</v>
      </c>
      <c r="BT314" s="472">
        <v>302913.3</v>
      </c>
      <c r="BU314" s="472">
        <v>309611.81</v>
      </c>
      <c r="BV314" s="472">
        <v>325256.39</v>
      </c>
      <c r="BW314" s="472">
        <v>313589.98</v>
      </c>
      <c r="BX314" s="472">
        <v>307616.07</v>
      </c>
      <c r="BY314" s="472">
        <v>331055.75</v>
      </c>
      <c r="BZ314" s="472">
        <v>345636.23</v>
      </c>
      <c r="CA314" s="474">
        <v>334090.62</v>
      </c>
      <c r="CB314" s="474">
        <v>340227.67</v>
      </c>
      <c r="CC314" s="474">
        <v>342951.09</v>
      </c>
      <c r="CD314" s="474">
        <v>328731.6</v>
      </c>
      <c r="CE314" s="474">
        <v>290529.68</v>
      </c>
      <c r="CF314" s="474">
        <v>329196.46</v>
      </c>
      <c r="CG314" s="474">
        <v>316707.81</v>
      </c>
      <c r="CH314" s="65">
        <v>341630.18</v>
      </c>
      <c r="CI314" s="65">
        <v>172091.87</v>
      </c>
      <c r="CJ314" s="65">
        <v>2955.19</v>
      </c>
      <c r="CK314" s="65">
        <v>2768.76</v>
      </c>
      <c r="CL314" s="65">
        <v>1245.91</v>
      </c>
      <c r="CM314" s="65">
        <v>1245.91</v>
      </c>
      <c r="CN314" s="65">
        <v>1245.91</v>
      </c>
    </row>
    <row r="315" ht="15.75" customHeight="1">
      <c r="A315" s="462" t="s">
        <v>2346</v>
      </c>
      <c r="B315" s="176" t="s">
        <v>1416</v>
      </c>
      <c r="C315" s="141">
        <v>378997.0</v>
      </c>
      <c r="D315" s="63" t="s">
        <v>120</v>
      </c>
      <c r="E315" s="63" t="s">
        <v>199</v>
      </c>
      <c r="F315" s="63" t="s">
        <v>1108</v>
      </c>
      <c r="G315" s="47" t="str">
        <f t="shared" si="1"/>
        <v>Breno</v>
      </c>
      <c r="H315" s="152" t="s">
        <v>295</v>
      </c>
      <c r="I315" s="49" t="s">
        <v>382</v>
      </c>
      <c r="J315" s="63" t="str">
        <f t="shared" si="4"/>
        <v>Não</v>
      </c>
      <c r="K315" s="143">
        <v>45013.0</v>
      </c>
      <c r="L315" s="62"/>
      <c r="M315" s="81" t="s">
        <v>61</v>
      </c>
      <c r="N315" s="478">
        <v>0.01</v>
      </c>
      <c r="O315" s="141" t="s">
        <v>66</v>
      </c>
      <c r="P315" s="145">
        <v>0.0</v>
      </c>
      <c r="Q315" s="158"/>
      <c r="R315" s="158"/>
      <c r="S315" s="62" t="s">
        <v>194</v>
      </c>
      <c r="T315" s="22" t="s">
        <v>1422</v>
      </c>
      <c r="U315" s="30" t="s">
        <v>397</v>
      </c>
      <c r="V315" s="49" t="str">
        <f t="shared" si="3"/>
        <v>Ativo</v>
      </c>
      <c r="W315" s="150"/>
      <c r="X315" s="150"/>
      <c r="Y315" s="30" t="s">
        <v>269</v>
      </c>
      <c r="Z315" s="81"/>
      <c r="AA315" s="467">
        <v>45013.0</v>
      </c>
      <c r="AB315" s="30">
        <v>4.9075100007111E13</v>
      </c>
      <c r="AC315" s="482"/>
      <c r="AD315" s="482"/>
      <c r="AE315" s="482"/>
      <c r="AF315" s="482"/>
      <c r="AG315" s="482"/>
      <c r="AH315" s="482"/>
      <c r="AI315" s="482"/>
      <c r="AJ315" s="482"/>
      <c r="AK315" s="482"/>
      <c r="AL315" s="482"/>
      <c r="AM315" s="482"/>
      <c r="AN315" s="482"/>
      <c r="AO315" s="482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  <c r="BB315" s="96"/>
      <c r="BC315" s="96"/>
      <c r="BD315" s="96"/>
      <c r="BE315" s="96"/>
      <c r="BF315" s="96"/>
      <c r="BG315" s="472"/>
      <c r="BH315" s="472"/>
      <c r="BI315" s="472"/>
      <c r="BJ315" s="472"/>
      <c r="BK315" s="472"/>
      <c r="BL315" s="472"/>
      <c r="BM315" s="472"/>
      <c r="BN315" s="472"/>
      <c r="BO315" s="472"/>
      <c r="BP315" s="472"/>
      <c r="BQ315" s="472">
        <v>96033.06</v>
      </c>
      <c r="BR315" s="472">
        <v>96717.91</v>
      </c>
      <c r="BS315" s="472">
        <v>97665.09</v>
      </c>
      <c r="BT315" s="472">
        <v>98146.57</v>
      </c>
      <c r="BU315" s="472">
        <v>98916.79</v>
      </c>
      <c r="BV315" s="472">
        <v>100318.35</v>
      </c>
      <c r="BW315" s="472">
        <v>100679.2</v>
      </c>
      <c r="BX315" s="472">
        <v>101925.42</v>
      </c>
      <c r="BY315" s="472">
        <v>102084.67</v>
      </c>
      <c r="BZ315" s="472">
        <v>92399.75</v>
      </c>
      <c r="CA315" s="474">
        <v>102411.48</v>
      </c>
      <c r="CB315" s="474">
        <v>104952.94</v>
      </c>
      <c r="CC315" s="474">
        <v>104783.71</v>
      </c>
      <c r="CD315" s="474">
        <v>105374.33</v>
      </c>
      <c r="CE315" s="474">
        <v>106322.87</v>
      </c>
      <c r="CF315" s="474">
        <v>107242.84</v>
      </c>
      <c r="CG315" s="474">
        <v>108892.9</v>
      </c>
      <c r="CH315" s="65">
        <v>109875.59</v>
      </c>
      <c r="CI315" s="65">
        <v>79651.2</v>
      </c>
      <c r="CJ315" s="65">
        <v>0.0</v>
      </c>
      <c r="CK315" s="65">
        <v>0.0</v>
      </c>
      <c r="CL315" s="65">
        <v>0.0</v>
      </c>
      <c r="CM315" s="65">
        <v>1.6</v>
      </c>
      <c r="CN315" s="65">
        <v>1.6</v>
      </c>
    </row>
    <row r="316" ht="15.75" customHeight="1">
      <c r="A316" s="462" t="s">
        <v>2346</v>
      </c>
      <c r="B316" s="477" t="s">
        <v>6152</v>
      </c>
      <c r="C316" s="141">
        <v>48619.0</v>
      </c>
      <c r="D316" s="63" t="s">
        <v>120</v>
      </c>
      <c r="E316" s="63" t="s">
        <v>91</v>
      </c>
      <c r="F316" s="63" t="s">
        <v>521</v>
      </c>
      <c r="G316" s="47" t="str">
        <f t="shared" si="1"/>
        <v>Breno</v>
      </c>
      <c r="H316" s="142" t="s">
        <v>295</v>
      </c>
      <c r="I316" s="49" t="s">
        <v>382</v>
      </c>
      <c r="J316" s="63" t="str">
        <f t="shared" si="4"/>
        <v>Sim</v>
      </c>
      <c r="K316" s="143">
        <v>44280.0</v>
      </c>
      <c r="L316" s="62"/>
      <c r="M316" s="81" t="s">
        <v>209</v>
      </c>
      <c r="N316" s="478">
        <v>0.015</v>
      </c>
      <c r="O316" s="63" t="s">
        <v>35</v>
      </c>
      <c r="P316" s="145">
        <v>0.1</v>
      </c>
      <c r="Q316" s="158" t="s">
        <v>6917</v>
      </c>
      <c r="R316" s="158"/>
      <c r="S316" s="62" t="s">
        <v>194</v>
      </c>
      <c r="T316" s="30" t="s">
        <v>6918</v>
      </c>
      <c r="U316" s="81" t="s">
        <v>618</v>
      </c>
      <c r="V316" s="49" t="str">
        <f t="shared" si="3"/>
        <v>Inativo</v>
      </c>
      <c r="W316" s="150"/>
      <c r="X316" s="150"/>
      <c r="Y316" s="30" t="s">
        <v>269</v>
      </c>
      <c r="Z316" s="81"/>
      <c r="AA316" s="467">
        <v>44280.0</v>
      </c>
      <c r="AB316" s="30">
        <v>4.907510000456E13</v>
      </c>
      <c r="AC316" s="482"/>
      <c r="AD316" s="482"/>
      <c r="AE316" s="482"/>
      <c r="AF316" s="482"/>
      <c r="AG316" s="482"/>
      <c r="AH316" s="482"/>
      <c r="AI316" s="482"/>
      <c r="AJ316" s="482"/>
      <c r="AK316" s="482"/>
      <c r="AL316" s="482"/>
      <c r="AM316" s="482"/>
      <c r="AN316" s="482"/>
      <c r="AO316" s="482"/>
      <c r="AP316" s="96"/>
      <c r="AQ316" s="96"/>
      <c r="AR316" s="96">
        <v>1199639.67</v>
      </c>
      <c r="AS316" s="96"/>
      <c r="AT316" s="96">
        <v>949025.38</v>
      </c>
      <c r="AU316" s="96">
        <v>1225567.96</v>
      </c>
      <c r="AV316" s="96">
        <v>1220327.9</v>
      </c>
      <c r="AW316" s="96">
        <v>1475162.62</v>
      </c>
      <c r="AX316" s="96">
        <v>1422166.88</v>
      </c>
      <c r="AY316" s="96">
        <v>1399235.93</v>
      </c>
      <c r="AZ316" s="96">
        <v>1325494.54</v>
      </c>
      <c r="BA316" s="96">
        <v>1253465.77</v>
      </c>
      <c r="BB316" s="96">
        <v>1260320.23</v>
      </c>
      <c r="BC316" s="96">
        <v>1285674.82</v>
      </c>
      <c r="BD316" s="96">
        <v>1293358.61</v>
      </c>
      <c r="BE316" s="96">
        <v>1332336.07</v>
      </c>
      <c r="BF316" s="96">
        <v>1322934.52</v>
      </c>
      <c r="BG316" s="472">
        <v>1327045.83</v>
      </c>
      <c r="BH316" s="472">
        <v>1317712.5</v>
      </c>
      <c r="BI316" s="472">
        <v>1324474.55</v>
      </c>
      <c r="BJ316" s="472">
        <v>1344182.14</v>
      </c>
      <c r="BK316" s="472">
        <v>1353200.43</v>
      </c>
      <c r="BL316" s="472">
        <v>1367689.54</v>
      </c>
      <c r="BM316" s="472">
        <v>1355973.87</v>
      </c>
      <c r="BN316" s="472">
        <v>1181882.81</v>
      </c>
      <c r="BO316" s="472">
        <v>1173390.21</v>
      </c>
      <c r="BP316" s="472">
        <v>1174594.42</v>
      </c>
      <c r="BQ316" s="472">
        <v>1173167.29</v>
      </c>
      <c r="BR316" s="472">
        <v>29418.63</v>
      </c>
      <c r="BS316" s="472">
        <v>0.0</v>
      </c>
      <c r="BT316" s="472">
        <v>0.0</v>
      </c>
      <c r="BU316" s="472">
        <v>0.0</v>
      </c>
      <c r="BV316" s="472">
        <v>0.0</v>
      </c>
      <c r="BW316" s="472">
        <v>0.0</v>
      </c>
      <c r="BX316" s="472">
        <v>0.0</v>
      </c>
      <c r="BY316" s="472">
        <v>0.0</v>
      </c>
      <c r="BZ316" s="472">
        <v>0.0</v>
      </c>
      <c r="CA316" s="474">
        <v>0.0</v>
      </c>
      <c r="CB316" s="474">
        <v>0.0</v>
      </c>
      <c r="CC316" s="474">
        <v>0.0</v>
      </c>
      <c r="CD316" s="474">
        <v>0.0</v>
      </c>
      <c r="CE316" s="474">
        <v>0.0</v>
      </c>
      <c r="CF316" s="474">
        <v>0.0</v>
      </c>
      <c r="CG316" s="474">
        <v>0.0</v>
      </c>
      <c r="CH316" s="65">
        <v>0.0</v>
      </c>
      <c r="CI316" s="65">
        <v>0.0</v>
      </c>
      <c r="CJ316" s="65">
        <v>0.0</v>
      </c>
      <c r="CK316" s="65">
        <v>0.0</v>
      </c>
      <c r="CL316" s="65">
        <v>0.0</v>
      </c>
      <c r="CM316" s="65">
        <v>0.0</v>
      </c>
      <c r="CN316" s="65">
        <v>0.0</v>
      </c>
    </row>
    <row r="317" ht="15.75" customHeight="1">
      <c r="A317" s="462" t="s">
        <v>2346</v>
      </c>
      <c r="B317" s="477" t="s">
        <v>6152</v>
      </c>
      <c r="C317" s="141">
        <v>85179.0</v>
      </c>
      <c r="D317" s="63" t="s">
        <v>120</v>
      </c>
      <c r="E317" s="63" t="s">
        <v>91</v>
      </c>
      <c r="F317" s="63" t="s">
        <v>521</v>
      </c>
      <c r="G317" s="47" t="str">
        <f t="shared" si="1"/>
        <v>Breno</v>
      </c>
      <c r="H317" s="142" t="s">
        <v>295</v>
      </c>
      <c r="I317" s="49" t="s">
        <v>382</v>
      </c>
      <c r="J317" s="63" t="str">
        <f t="shared" si="4"/>
        <v>Não</v>
      </c>
      <c r="K317" s="194">
        <v>44382.0</v>
      </c>
      <c r="L317" s="62"/>
      <c r="M317" s="81" t="s">
        <v>209</v>
      </c>
      <c r="N317" s="478">
        <v>0.015</v>
      </c>
      <c r="O317" s="63" t="s">
        <v>35</v>
      </c>
      <c r="P317" s="145">
        <v>0.1</v>
      </c>
      <c r="Q317" s="190"/>
      <c r="R317" s="158" t="s">
        <v>6920</v>
      </c>
      <c r="S317" s="62" t="s">
        <v>194</v>
      </c>
      <c r="T317" s="30" t="s">
        <v>6918</v>
      </c>
      <c r="U317" s="81" t="s">
        <v>618</v>
      </c>
      <c r="V317" s="49" t="str">
        <f t="shared" si="3"/>
        <v>Inativo</v>
      </c>
      <c r="W317" s="150"/>
      <c r="X317" s="150"/>
      <c r="Y317" s="30" t="s">
        <v>244</v>
      </c>
      <c r="Z317" s="81"/>
      <c r="AA317" s="467">
        <v>44382.0</v>
      </c>
      <c r="AB317" s="30">
        <v>4.9075100009848E13</v>
      </c>
      <c r="AC317" s="476"/>
      <c r="AD317" s="476"/>
      <c r="AE317" s="476"/>
      <c r="AF317" s="476"/>
      <c r="AG317" s="476"/>
      <c r="AH317" s="476"/>
      <c r="AI317" s="476"/>
      <c r="AJ317" s="476"/>
      <c r="AK317" s="476"/>
      <c r="AL317" s="476"/>
      <c r="AM317" s="476"/>
      <c r="AN317" s="476"/>
      <c r="AO317" s="96"/>
      <c r="AP317" s="96"/>
      <c r="AQ317" s="96"/>
      <c r="AR317" s="96"/>
      <c r="AS317" s="96"/>
      <c r="AT317" s="96"/>
      <c r="AU317" s="476"/>
      <c r="AV317" s="96">
        <v>26500.0</v>
      </c>
      <c r="AW317" s="96">
        <v>309332.68</v>
      </c>
      <c r="AX317" s="96">
        <v>304114.81</v>
      </c>
      <c r="AY317" s="96">
        <v>299963.11</v>
      </c>
      <c r="AZ317" s="96">
        <v>293410.28</v>
      </c>
      <c r="BA317" s="96">
        <v>290626.55</v>
      </c>
      <c r="BB317" s="96">
        <v>291461.68</v>
      </c>
      <c r="BC317" s="96">
        <v>297210.49</v>
      </c>
      <c r="BD317" s="96">
        <v>299473.01</v>
      </c>
      <c r="BE317" s="96">
        <v>306519.73</v>
      </c>
      <c r="BF317" s="96">
        <v>305005.66</v>
      </c>
      <c r="BG317" s="472">
        <v>305946.45</v>
      </c>
      <c r="BH317" s="472">
        <v>307042.26</v>
      </c>
      <c r="BI317" s="472">
        <v>311396.37</v>
      </c>
      <c r="BJ317" s="472">
        <v>314246.03</v>
      </c>
      <c r="BK317" s="472">
        <v>316936.16</v>
      </c>
      <c r="BL317" s="472">
        <v>1367689.54</v>
      </c>
      <c r="BM317" s="472">
        <v>320219.14</v>
      </c>
      <c r="BN317" s="472">
        <v>325800.95</v>
      </c>
      <c r="BO317" s="472">
        <v>327601.82</v>
      </c>
      <c r="BP317" s="472">
        <v>329313.55</v>
      </c>
      <c r="BQ317" s="472">
        <v>332132.29</v>
      </c>
      <c r="BR317" s="472">
        <v>176161.97</v>
      </c>
      <c r="BS317" s="472">
        <v>0.0</v>
      </c>
      <c r="BT317" s="472">
        <v>0.0</v>
      </c>
      <c r="BU317" s="472">
        <v>0.0</v>
      </c>
      <c r="BV317" s="472">
        <v>0.0</v>
      </c>
      <c r="BW317" s="472">
        <v>0.0</v>
      </c>
      <c r="BX317" s="472">
        <v>0.0</v>
      </c>
      <c r="BY317" s="472">
        <v>0.0</v>
      </c>
      <c r="BZ317" s="472">
        <v>0.0</v>
      </c>
      <c r="CA317" s="474">
        <v>0.0</v>
      </c>
      <c r="CB317" s="474">
        <v>0.0</v>
      </c>
      <c r="CC317" s="474">
        <v>0.0</v>
      </c>
      <c r="CD317" s="474">
        <v>0.0</v>
      </c>
      <c r="CE317" s="474">
        <v>0.0</v>
      </c>
      <c r="CF317" s="474">
        <v>0.0</v>
      </c>
      <c r="CG317" s="474">
        <v>0.0</v>
      </c>
      <c r="CH317" s="65">
        <v>0.0</v>
      </c>
      <c r="CI317" s="65">
        <v>0.0</v>
      </c>
      <c r="CJ317" s="65">
        <v>0.0</v>
      </c>
      <c r="CK317" s="65">
        <v>0.0</v>
      </c>
      <c r="CL317" s="65">
        <v>0.0</v>
      </c>
      <c r="CM317" s="65">
        <v>0.0</v>
      </c>
      <c r="CN317" s="65">
        <v>0.0</v>
      </c>
    </row>
    <row r="318" ht="15.75" customHeight="1">
      <c r="A318" s="462" t="s">
        <v>2346</v>
      </c>
      <c r="B318" s="50" t="s">
        <v>1432</v>
      </c>
      <c r="C318" s="141">
        <v>334022.0</v>
      </c>
      <c r="D318" s="63" t="s">
        <v>120</v>
      </c>
      <c r="E318" s="63" t="s">
        <v>91</v>
      </c>
      <c r="F318" s="66" t="s">
        <v>193</v>
      </c>
      <c r="G318" s="47" t="str">
        <f t="shared" si="1"/>
        <v>Breno</v>
      </c>
      <c r="H318" s="142" t="s">
        <v>295</v>
      </c>
      <c r="I318" s="49" t="s">
        <v>382</v>
      </c>
      <c r="J318" s="63" t="str">
        <f t="shared" si="4"/>
        <v>Não</v>
      </c>
      <c r="K318" s="194">
        <v>44389.0</v>
      </c>
      <c r="L318" s="62"/>
      <c r="M318" s="81" t="s">
        <v>209</v>
      </c>
      <c r="N318" s="478">
        <v>0.015</v>
      </c>
      <c r="O318" s="63" t="s">
        <v>35</v>
      </c>
      <c r="P318" s="145">
        <v>0.1</v>
      </c>
      <c r="Q318" s="70"/>
      <c r="R318" s="70"/>
      <c r="S318" s="62" t="s">
        <v>194</v>
      </c>
      <c r="T318" s="22" t="s">
        <v>1437</v>
      </c>
      <c r="U318" s="62" t="s">
        <v>397</v>
      </c>
      <c r="V318" s="49" t="str">
        <f t="shared" si="3"/>
        <v>Ativo</v>
      </c>
      <c r="W318" s="150"/>
      <c r="X318" s="150"/>
      <c r="Y318" s="30" t="s">
        <v>244</v>
      </c>
      <c r="Z318" s="81"/>
      <c r="AA318" s="467">
        <v>44389.0</v>
      </c>
      <c r="AB318" s="30">
        <v>4.9075100004587E13</v>
      </c>
      <c r="AC318" s="476"/>
      <c r="AD318" s="476"/>
      <c r="AE318" s="476"/>
      <c r="AF318" s="476"/>
      <c r="AG318" s="476"/>
      <c r="AH318" s="476"/>
      <c r="AI318" s="476"/>
      <c r="AJ318" s="476"/>
      <c r="AK318" s="476"/>
      <c r="AL318" s="476"/>
      <c r="AM318" s="476"/>
      <c r="AN318" s="476"/>
      <c r="AO318" s="96"/>
      <c r="AP318" s="96"/>
      <c r="AQ318" s="96"/>
      <c r="AR318" s="96"/>
      <c r="AS318" s="96"/>
      <c r="AT318" s="96"/>
      <c r="AU318" s="482"/>
      <c r="AV318" s="476"/>
      <c r="AW318" s="96">
        <v>132591.32</v>
      </c>
      <c r="AX318" s="96">
        <v>132657.43</v>
      </c>
      <c r="AY318" s="96">
        <v>114241.78</v>
      </c>
      <c r="AZ318" s="96">
        <v>126029.71</v>
      </c>
      <c r="BA318" s="96">
        <v>127021.99</v>
      </c>
      <c r="BB318" s="96">
        <v>128904.65</v>
      </c>
      <c r="BC318" s="96">
        <v>134157.09</v>
      </c>
      <c r="BD318" s="96">
        <v>136969.34</v>
      </c>
      <c r="BE318" s="96">
        <v>144558.89</v>
      </c>
      <c r="BF318" s="96">
        <v>144248.04</v>
      </c>
      <c r="BG318" s="472">
        <v>145898.34</v>
      </c>
      <c r="BH318" s="472">
        <v>145103.25</v>
      </c>
      <c r="BI318" s="472">
        <v>146894.45</v>
      </c>
      <c r="BJ318" s="472">
        <v>150799.2</v>
      </c>
      <c r="BK318" s="472">
        <v>154194.84</v>
      </c>
      <c r="BL318" s="472">
        <v>160794.15</v>
      </c>
      <c r="BM318" s="472">
        <v>161627.33</v>
      </c>
      <c r="BN318" s="472">
        <v>162936.25</v>
      </c>
      <c r="BO318" s="472">
        <v>164708.54</v>
      </c>
      <c r="BP318" s="472">
        <v>165902.48</v>
      </c>
      <c r="BQ318" s="472">
        <v>169210.75</v>
      </c>
      <c r="BR318" s="472">
        <v>169847.11</v>
      </c>
      <c r="BS318" s="472">
        <v>174181.49</v>
      </c>
      <c r="BT318" s="472">
        <v>170999.68</v>
      </c>
      <c r="BU318" s="472">
        <v>137189.03</v>
      </c>
      <c r="BV318" s="472">
        <v>8463.0</v>
      </c>
      <c r="BW318" s="472">
        <v>0.0</v>
      </c>
      <c r="BX318" s="472">
        <v>12.26</v>
      </c>
      <c r="BY318" s="472">
        <v>11.25</v>
      </c>
      <c r="BZ318" s="472">
        <v>11.25</v>
      </c>
      <c r="CA318" s="474">
        <v>11.25</v>
      </c>
      <c r="CB318" s="474">
        <v>11.25</v>
      </c>
      <c r="CC318" s="474">
        <v>11.25</v>
      </c>
      <c r="CD318" s="474">
        <v>11.25</v>
      </c>
      <c r="CE318" s="474">
        <v>0.0</v>
      </c>
      <c r="CF318" s="474">
        <v>0.0</v>
      </c>
      <c r="CG318" s="474">
        <v>0.0</v>
      </c>
      <c r="CH318" s="65">
        <v>0.0</v>
      </c>
      <c r="CI318" s="65">
        <v>0.0</v>
      </c>
      <c r="CJ318" s="65">
        <v>0.0</v>
      </c>
      <c r="CK318" s="65">
        <v>0.0</v>
      </c>
      <c r="CL318" s="65">
        <v>0.0</v>
      </c>
      <c r="CM318" s="65">
        <v>1.03</v>
      </c>
      <c r="CN318" s="65">
        <v>1.03</v>
      </c>
    </row>
    <row r="319" ht="15.75" customHeight="1">
      <c r="A319" s="462" t="s">
        <v>2346</v>
      </c>
      <c r="B319" s="477" t="s">
        <v>1451</v>
      </c>
      <c r="C319" s="141">
        <v>338425.0</v>
      </c>
      <c r="D319" s="521" t="s">
        <v>120</v>
      </c>
      <c r="E319" s="521" t="s">
        <v>199</v>
      </c>
      <c r="F319" s="141" t="s">
        <v>290</v>
      </c>
      <c r="G319" s="47" t="str">
        <f t="shared" si="1"/>
        <v>Breno</v>
      </c>
      <c r="H319" s="239" t="s">
        <v>295</v>
      </c>
      <c r="I319" s="49" t="s">
        <v>382</v>
      </c>
      <c r="J319" s="63" t="str">
        <f t="shared" si="4"/>
        <v>Não</v>
      </c>
      <c r="K319" s="523">
        <v>43564.0</v>
      </c>
      <c r="L319" s="62"/>
      <c r="M319" s="524" t="s">
        <v>361</v>
      </c>
      <c r="N319" s="525">
        <v>0.02</v>
      </c>
      <c r="O319" s="521"/>
      <c r="P319" s="560"/>
      <c r="Q319" s="190"/>
      <c r="R319" s="153" t="s">
        <v>1453</v>
      </c>
      <c r="S319" s="62" t="s">
        <v>194</v>
      </c>
      <c r="T319" s="30" t="s">
        <v>1454</v>
      </c>
      <c r="U319" s="81" t="s">
        <v>199</v>
      </c>
      <c r="V319" s="49" t="str">
        <f t="shared" si="3"/>
        <v>Ativo</v>
      </c>
      <c r="W319" s="150"/>
      <c r="X319" s="150"/>
      <c r="Y319" s="30" t="s">
        <v>244</v>
      </c>
      <c r="Z319" s="81"/>
      <c r="AA319" s="467">
        <v>43564.0</v>
      </c>
      <c r="AB319" s="30">
        <v>4.9075100009325E13</v>
      </c>
      <c r="AC319" s="96">
        <v>115773.56</v>
      </c>
      <c r="AD319" s="96">
        <v>114030.52</v>
      </c>
      <c r="AE319" s="96">
        <v>109839.92</v>
      </c>
      <c r="AF319" s="96">
        <v>164436.16</v>
      </c>
      <c r="AG319" s="96">
        <v>167677.14</v>
      </c>
      <c r="AH319" s="96">
        <v>171419.25</v>
      </c>
      <c r="AI319" s="96">
        <v>217045.5</v>
      </c>
      <c r="AJ319" s="96">
        <v>227328.73</v>
      </c>
      <c r="AK319" s="96">
        <v>93464.65</v>
      </c>
      <c r="AL319" s="96">
        <v>93566.82</v>
      </c>
      <c r="AM319" s="96">
        <v>100846.05</v>
      </c>
      <c r="AN319" s="96">
        <v>103128.56</v>
      </c>
      <c r="AO319" s="96">
        <v>102090.61</v>
      </c>
      <c r="AP319" s="96">
        <v>98691.14</v>
      </c>
      <c r="AQ319" s="471">
        <v>97690.09</v>
      </c>
      <c r="AR319" s="471">
        <v>101692.12</v>
      </c>
      <c r="AS319" s="471">
        <v>101814.22</v>
      </c>
      <c r="AT319" s="471">
        <v>102057.86</v>
      </c>
      <c r="AU319" s="471">
        <v>104687.72</v>
      </c>
      <c r="AV319" s="96">
        <v>103886.36</v>
      </c>
      <c r="AW319" s="96">
        <v>102427.7</v>
      </c>
      <c r="AX319" s="96">
        <v>99461.09</v>
      </c>
      <c r="AY319" s="96">
        <v>96476.87</v>
      </c>
      <c r="AZ319" s="96">
        <v>93011.34</v>
      </c>
      <c r="BA319" s="96">
        <v>96388.91</v>
      </c>
      <c r="BB319" s="96">
        <v>90703.1</v>
      </c>
      <c r="BC319" s="96">
        <v>94445.9</v>
      </c>
      <c r="BD319" s="96">
        <v>106022.51</v>
      </c>
      <c r="BE319" s="96">
        <v>99539.44</v>
      </c>
      <c r="BF319" s="96">
        <v>96867.98</v>
      </c>
      <c r="BG319" s="472">
        <v>96001.67</v>
      </c>
      <c r="BH319" s="472">
        <v>92724.23</v>
      </c>
      <c r="BI319" s="472">
        <v>95624.97</v>
      </c>
      <c r="BJ319" s="472">
        <v>97611.87</v>
      </c>
      <c r="BK319" s="472">
        <v>98276.34</v>
      </c>
      <c r="BL319" s="472">
        <v>102809.38</v>
      </c>
      <c r="BM319" s="472">
        <v>126100.29</v>
      </c>
      <c r="BN319" s="472">
        <v>132339.18</v>
      </c>
      <c r="BO319" s="472">
        <v>123369.96</v>
      </c>
      <c r="BP319" s="472">
        <v>122004.68</v>
      </c>
      <c r="BQ319" s="472">
        <v>106705.11</v>
      </c>
      <c r="BR319" s="472">
        <v>101473.46</v>
      </c>
      <c r="BS319" s="472">
        <v>98408.92</v>
      </c>
      <c r="BT319" s="472">
        <v>93783.6</v>
      </c>
      <c r="BU319" s="472">
        <v>95169.29</v>
      </c>
      <c r="BV319" s="472">
        <v>89983.04</v>
      </c>
      <c r="BW319" s="472">
        <v>87846.82</v>
      </c>
      <c r="BX319" s="472">
        <v>77737.59</v>
      </c>
      <c r="BY319" s="472">
        <v>76422.37</v>
      </c>
      <c r="BZ319" s="472">
        <v>72876.74</v>
      </c>
      <c r="CA319" s="474">
        <v>66837.3</v>
      </c>
      <c r="CB319" s="474">
        <v>67755.15</v>
      </c>
      <c r="CC319" s="474">
        <v>60266.31</v>
      </c>
      <c r="CD319" s="474">
        <v>49874.33</v>
      </c>
      <c r="CE319" s="474">
        <v>45428.79</v>
      </c>
      <c r="CF319" s="474">
        <v>44109.4</v>
      </c>
      <c r="CG319" s="474">
        <v>39531.39</v>
      </c>
      <c r="CH319" s="65">
        <v>14020.59</v>
      </c>
      <c r="CI319" s="65">
        <v>197.39</v>
      </c>
      <c r="CJ319" s="65">
        <v>173.81</v>
      </c>
      <c r="CK319" s="65">
        <v>159.23</v>
      </c>
      <c r="CL319" s="65">
        <v>141.46</v>
      </c>
      <c r="CM319" s="65">
        <v>141.46</v>
      </c>
      <c r="CN319" s="65">
        <v>141.46</v>
      </c>
    </row>
    <row r="320" ht="15.75" customHeight="1">
      <c r="A320" s="462" t="s">
        <v>2346</v>
      </c>
      <c r="B320" s="477" t="s">
        <v>1460</v>
      </c>
      <c r="C320" s="141">
        <v>450254.0</v>
      </c>
      <c r="D320" s="63" t="s">
        <v>669</v>
      </c>
      <c r="E320" s="63" t="s">
        <v>199</v>
      </c>
      <c r="F320" s="63" t="s">
        <v>1228</v>
      </c>
      <c r="G320" s="47" t="str">
        <f t="shared" si="1"/>
        <v>Breno</v>
      </c>
      <c r="H320" s="142" t="s">
        <v>295</v>
      </c>
      <c r="I320" s="49" t="s">
        <v>382</v>
      </c>
      <c r="J320" s="63" t="str">
        <f t="shared" si="4"/>
        <v>Não</v>
      </c>
      <c r="K320" s="143">
        <v>43894.0</v>
      </c>
      <c r="L320" s="81"/>
      <c r="M320" s="81" t="s">
        <v>34</v>
      </c>
      <c r="N320" s="478">
        <v>0.012</v>
      </c>
      <c r="O320" s="141" t="s">
        <v>66</v>
      </c>
      <c r="P320" s="145">
        <v>0.0</v>
      </c>
      <c r="Q320" s="158"/>
      <c r="R320" s="158"/>
      <c r="S320" s="62" t="s">
        <v>194</v>
      </c>
      <c r="T320" s="30" t="s">
        <v>1461</v>
      </c>
      <c r="U320" s="81" t="s">
        <v>199</v>
      </c>
      <c r="V320" s="49" t="str">
        <f t="shared" si="3"/>
        <v>Inativo</v>
      </c>
      <c r="W320" s="150"/>
      <c r="X320" s="150"/>
      <c r="Y320" s="30" t="s">
        <v>244</v>
      </c>
      <c r="Z320" s="81"/>
      <c r="AA320" s="467">
        <v>43894.0</v>
      </c>
      <c r="AB320" s="30">
        <v>4.9075100003874E13</v>
      </c>
      <c r="AC320" s="96">
        <v>0.0</v>
      </c>
      <c r="AD320" s="96">
        <v>0.0</v>
      </c>
      <c r="AE320" s="96">
        <v>95034.33</v>
      </c>
      <c r="AF320" s="96">
        <v>93318.34</v>
      </c>
      <c r="AG320" s="96">
        <v>88021.37</v>
      </c>
      <c r="AH320" s="96">
        <v>84055.44</v>
      </c>
      <c r="AI320" s="96">
        <v>81417.21</v>
      </c>
      <c r="AJ320" s="96">
        <v>77183.68</v>
      </c>
      <c r="AK320" s="96">
        <v>75141.99</v>
      </c>
      <c r="AL320" s="96">
        <v>71202.17</v>
      </c>
      <c r="AM320" s="96">
        <v>72363.71</v>
      </c>
      <c r="AN320" s="96">
        <v>73240.89</v>
      </c>
      <c r="AO320" s="96">
        <v>70926.52</v>
      </c>
      <c r="AP320" s="96">
        <v>69577.45</v>
      </c>
      <c r="AQ320" s="471">
        <v>69404.4</v>
      </c>
      <c r="AR320" s="471">
        <v>67290.62</v>
      </c>
      <c r="AS320" s="471">
        <v>67068.14</v>
      </c>
      <c r="AT320" s="471">
        <v>67041.76</v>
      </c>
      <c r="AU320" s="471">
        <v>67603.99</v>
      </c>
      <c r="AV320" s="96">
        <v>65422.32</v>
      </c>
      <c r="AW320" s="96">
        <v>55136.14</v>
      </c>
      <c r="AX320" s="96">
        <v>48496.64</v>
      </c>
      <c r="AY320" s="96">
        <v>48029.82</v>
      </c>
      <c r="AZ320" s="96">
        <v>44350.9</v>
      </c>
      <c r="BA320" s="96">
        <v>44053.53</v>
      </c>
      <c r="BB320" s="96">
        <v>34199.32</v>
      </c>
      <c r="BC320" s="96">
        <v>29669.58</v>
      </c>
      <c r="BD320" s="96">
        <v>30018.87</v>
      </c>
      <c r="BE320" s="96">
        <v>29.73</v>
      </c>
      <c r="BF320" s="96">
        <v>6.94</v>
      </c>
      <c r="BG320" s="472">
        <v>26.5</v>
      </c>
      <c r="BH320" s="472">
        <v>26.5</v>
      </c>
      <c r="BI320" s="472">
        <v>33.99</v>
      </c>
      <c r="BJ320" s="472">
        <v>33.99</v>
      </c>
      <c r="BK320" s="472">
        <v>33.99</v>
      </c>
      <c r="BL320" s="472">
        <v>33.99</v>
      </c>
      <c r="BM320" s="472">
        <v>33.99</v>
      </c>
      <c r="BN320" s="472">
        <v>33.99</v>
      </c>
      <c r="BO320" s="472">
        <v>33.99</v>
      </c>
      <c r="BP320" s="472">
        <v>33.99</v>
      </c>
      <c r="BQ320" s="472">
        <v>33.99</v>
      </c>
      <c r="BR320" s="472">
        <v>33.99</v>
      </c>
      <c r="BS320" s="472">
        <v>33.99</v>
      </c>
      <c r="BT320" s="472">
        <v>0.0</v>
      </c>
      <c r="BU320" s="472">
        <v>0.0</v>
      </c>
      <c r="BV320" s="472">
        <v>0.0</v>
      </c>
      <c r="BW320" s="472">
        <v>0.0</v>
      </c>
      <c r="BX320" s="472">
        <v>0.0</v>
      </c>
      <c r="BY320" s="472">
        <v>0.0</v>
      </c>
      <c r="BZ320" s="472">
        <v>0.0</v>
      </c>
      <c r="CA320" s="474">
        <v>0.0</v>
      </c>
      <c r="CB320" s="474">
        <v>0.0</v>
      </c>
      <c r="CC320" s="474">
        <v>0.0</v>
      </c>
      <c r="CD320" s="474">
        <v>0.0</v>
      </c>
      <c r="CE320" s="474">
        <v>0.0</v>
      </c>
      <c r="CF320" s="474">
        <v>0.0</v>
      </c>
      <c r="CG320" s="474">
        <v>0.0</v>
      </c>
      <c r="CH320" s="65">
        <v>0.0</v>
      </c>
      <c r="CI320" s="65">
        <v>0.0</v>
      </c>
      <c r="CJ320" s="65">
        <v>0.0</v>
      </c>
      <c r="CK320" s="65">
        <v>0.0</v>
      </c>
      <c r="CL320" s="65">
        <v>0.0</v>
      </c>
      <c r="CM320" s="65">
        <v>0.9</v>
      </c>
      <c r="CN320" s="65">
        <v>0.9</v>
      </c>
    </row>
    <row r="321" ht="15.75" customHeight="1">
      <c r="A321" s="462" t="s">
        <v>2346</v>
      </c>
      <c r="B321" s="477" t="s">
        <v>6105</v>
      </c>
      <c r="C321" s="141">
        <v>49251.0</v>
      </c>
      <c r="D321" s="63" t="s">
        <v>120</v>
      </c>
      <c r="E321" s="63" t="s">
        <v>91</v>
      </c>
      <c r="F321" s="81" t="s">
        <v>193</v>
      </c>
      <c r="G321" s="47" t="str">
        <f t="shared" si="1"/>
        <v>Breno</v>
      </c>
      <c r="H321" s="152" t="s">
        <v>224</v>
      </c>
      <c r="I321" s="74" t="s">
        <v>66</v>
      </c>
      <c r="J321" s="63" t="str">
        <f t="shared" si="4"/>
        <v>Não</v>
      </c>
      <c r="K321" s="467">
        <v>44279.0</v>
      </c>
      <c r="L321" s="194">
        <v>44602.0</v>
      </c>
      <c r="M321" s="81" t="s">
        <v>209</v>
      </c>
      <c r="N321" s="478">
        <v>0.015</v>
      </c>
      <c r="O321" s="63" t="s">
        <v>35</v>
      </c>
      <c r="P321" s="145">
        <v>0.1</v>
      </c>
      <c r="Q321" s="158"/>
      <c r="R321" s="158"/>
      <c r="S321" s="62" t="s">
        <v>194</v>
      </c>
      <c r="T321" s="30" t="s">
        <v>6943</v>
      </c>
      <c r="U321" s="81" t="s">
        <v>221</v>
      </c>
      <c r="V321" s="49" t="str">
        <f t="shared" si="3"/>
        <v>Encerrado</v>
      </c>
      <c r="W321" s="150"/>
      <c r="X321" s="150"/>
      <c r="Y321" s="81"/>
      <c r="Z321" s="81"/>
      <c r="AA321" s="81"/>
      <c r="AB321" s="30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>
        <v>783137.41</v>
      </c>
      <c r="AS321" s="96"/>
      <c r="AT321" s="96">
        <v>701330.7</v>
      </c>
      <c r="AU321" s="96">
        <v>521838.58</v>
      </c>
      <c r="AV321" s="96">
        <v>469903.37</v>
      </c>
      <c r="AW321" s="96">
        <v>415816.77</v>
      </c>
      <c r="AX321" s="96">
        <v>407018.67</v>
      </c>
      <c r="AY321" s="96">
        <v>376306.21</v>
      </c>
      <c r="AZ321" s="96">
        <v>266636.66</v>
      </c>
      <c r="BA321" s="96">
        <v>120518.63</v>
      </c>
      <c r="BB321" s="96">
        <v>39329.06</v>
      </c>
      <c r="BC321" s="96">
        <v>40792.16</v>
      </c>
      <c r="BD321" s="96">
        <v>0.0</v>
      </c>
      <c r="BE321" s="96">
        <v>0.0</v>
      </c>
      <c r="BF321" s="96">
        <v>0.0</v>
      </c>
      <c r="BG321" s="96" t="s">
        <v>377</v>
      </c>
      <c r="BH321" s="96">
        <v>0.0</v>
      </c>
      <c r="BI321" s="96" t="s">
        <v>377</v>
      </c>
      <c r="BJ321" s="96">
        <v>0.0</v>
      </c>
      <c r="BK321" s="472">
        <v>0.0</v>
      </c>
      <c r="BL321" s="472">
        <v>0.0</v>
      </c>
      <c r="BM321" s="472">
        <v>0.0</v>
      </c>
      <c r="BN321" s="472">
        <v>0.0</v>
      </c>
      <c r="BO321" s="472">
        <v>0.0</v>
      </c>
      <c r="BP321" s="472">
        <v>0.0</v>
      </c>
      <c r="BQ321" s="472">
        <v>0.0</v>
      </c>
      <c r="BR321" s="472">
        <v>0.0</v>
      </c>
      <c r="BS321" s="472">
        <v>0.0</v>
      </c>
      <c r="BT321" s="472">
        <v>0.0</v>
      </c>
      <c r="BU321" s="472">
        <v>0.0</v>
      </c>
      <c r="BV321" s="472">
        <v>0.0</v>
      </c>
      <c r="BW321" s="472">
        <v>0.0</v>
      </c>
      <c r="BX321" s="472">
        <v>0.0</v>
      </c>
      <c r="BY321" s="472">
        <v>0.0</v>
      </c>
      <c r="BZ321" s="472">
        <v>0.0</v>
      </c>
      <c r="CA321" s="474">
        <v>0.0</v>
      </c>
      <c r="CB321" s="474">
        <v>0.0</v>
      </c>
      <c r="CC321" s="474">
        <v>0.0</v>
      </c>
      <c r="CD321" s="474">
        <v>0.0</v>
      </c>
      <c r="CE321" s="474">
        <v>0.0</v>
      </c>
      <c r="CF321" s="474">
        <v>0.0</v>
      </c>
      <c r="CG321" s="474">
        <v>0.0</v>
      </c>
      <c r="CH321" s="65">
        <v>0.0</v>
      </c>
      <c r="CI321" s="65">
        <v>0.0</v>
      </c>
      <c r="CJ321" s="65">
        <v>0.0</v>
      </c>
      <c r="CK321" s="65">
        <v>0.0</v>
      </c>
      <c r="CL321" s="65">
        <v>0.0</v>
      </c>
      <c r="CM321" s="65">
        <v>0.0</v>
      </c>
      <c r="CN321" s="65">
        <v>0.0</v>
      </c>
    </row>
    <row r="322" ht="15.75" customHeight="1">
      <c r="A322" s="462" t="s">
        <v>2346</v>
      </c>
      <c r="B322" s="510" t="s">
        <v>5429</v>
      </c>
      <c r="C322" s="141">
        <v>424800.0</v>
      </c>
      <c r="D322" s="63" t="s">
        <v>669</v>
      </c>
      <c r="E322" s="63" t="s">
        <v>199</v>
      </c>
      <c r="F322" s="81" t="s">
        <v>1228</v>
      </c>
      <c r="G322" s="47" t="str">
        <f t="shared" si="1"/>
        <v>Breno</v>
      </c>
      <c r="H322" s="152" t="s">
        <v>224</v>
      </c>
      <c r="I322" s="74" t="s">
        <v>66</v>
      </c>
      <c r="J322" s="63" t="str">
        <f t="shared" si="4"/>
        <v>Não</v>
      </c>
      <c r="K322" s="467">
        <v>43668.0</v>
      </c>
      <c r="L322" s="780">
        <v>44044.0</v>
      </c>
      <c r="M322" s="81" t="s">
        <v>209</v>
      </c>
      <c r="N322" s="478">
        <v>0.01</v>
      </c>
      <c r="O322" s="63" t="s">
        <v>35</v>
      </c>
      <c r="P322" s="145">
        <v>0.1</v>
      </c>
      <c r="Q322" s="683"/>
      <c r="R322" s="158"/>
      <c r="S322" s="62" t="s">
        <v>194</v>
      </c>
      <c r="T322" s="30" t="s">
        <v>6950</v>
      </c>
      <c r="U322" s="81" t="s">
        <v>199</v>
      </c>
      <c r="V322" s="49" t="str">
        <f t="shared" si="3"/>
        <v>Encerrado</v>
      </c>
      <c r="W322" s="150"/>
      <c r="X322" s="150"/>
      <c r="Y322" s="81"/>
      <c r="Z322" s="81"/>
      <c r="AA322" s="81"/>
      <c r="AB322" s="30"/>
      <c r="AC322" s="96">
        <v>156048.73</v>
      </c>
      <c r="AD322" s="96">
        <v>153653.23</v>
      </c>
      <c r="AE322" s="96">
        <v>146145.03</v>
      </c>
      <c r="AF322" s="96">
        <v>147923.89</v>
      </c>
      <c r="AG322" s="96">
        <v>148722.48</v>
      </c>
      <c r="AH322" s="96">
        <v>149958.43</v>
      </c>
      <c r="AI322" s="96">
        <v>151239.98</v>
      </c>
      <c r="AJ322" s="96">
        <v>28304.03</v>
      </c>
      <c r="AK322" s="482"/>
      <c r="AL322" s="482"/>
      <c r="AM322" s="482"/>
      <c r="AN322" s="482"/>
      <c r="AO322" s="482"/>
      <c r="AP322" s="96"/>
      <c r="AQ322" s="96"/>
      <c r="AR322" s="96"/>
      <c r="AS322" s="96"/>
      <c r="AT322" s="96"/>
      <c r="AU322" s="96"/>
      <c r="AV322" s="482"/>
      <c r="AW322" s="482"/>
      <c r="AX322" s="482"/>
      <c r="AY322" s="96"/>
      <c r="AZ322" s="96"/>
      <c r="BA322" s="96"/>
      <c r="BB322" s="96"/>
      <c r="BC322" s="96"/>
      <c r="BD322" s="96">
        <v>0.0</v>
      </c>
      <c r="BE322" s="96">
        <v>0.0</v>
      </c>
      <c r="BF322" s="96">
        <v>0.0</v>
      </c>
      <c r="BG322" s="782" t="s">
        <v>377</v>
      </c>
      <c r="BH322" s="96">
        <v>0.0</v>
      </c>
      <c r="BI322" s="96" t="s">
        <v>377</v>
      </c>
      <c r="BJ322" s="96">
        <v>0.0</v>
      </c>
      <c r="BK322" s="472">
        <v>0.0</v>
      </c>
      <c r="BL322" s="472">
        <v>0.0</v>
      </c>
      <c r="BM322" s="472">
        <v>0.0</v>
      </c>
      <c r="BN322" s="472">
        <v>0.0</v>
      </c>
      <c r="BO322" s="472">
        <v>0.0</v>
      </c>
      <c r="BP322" s="472">
        <v>0.0</v>
      </c>
      <c r="BQ322" s="472">
        <v>0.0</v>
      </c>
      <c r="BR322" s="472">
        <v>0.0</v>
      </c>
      <c r="BS322" s="472">
        <v>0.0</v>
      </c>
      <c r="BT322" s="472">
        <v>0.0</v>
      </c>
      <c r="BU322" s="472">
        <v>0.0</v>
      </c>
      <c r="BV322" s="472">
        <v>0.0</v>
      </c>
      <c r="BW322" s="472">
        <v>0.0</v>
      </c>
      <c r="BX322" s="472">
        <v>0.0</v>
      </c>
      <c r="BY322" s="472">
        <v>0.0</v>
      </c>
      <c r="BZ322" s="472">
        <v>0.0</v>
      </c>
      <c r="CA322" s="474">
        <v>0.0</v>
      </c>
      <c r="CB322" s="474">
        <v>0.0</v>
      </c>
      <c r="CC322" s="474">
        <v>0.0</v>
      </c>
      <c r="CD322" s="474">
        <v>0.0</v>
      </c>
      <c r="CE322" s="474">
        <v>0.0</v>
      </c>
      <c r="CF322" s="474">
        <v>0.0</v>
      </c>
      <c r="CG322" s="474">
        <v>0.0</v>
      </c>
      <c r="CH322" s="65">
        <v>0.0</v>
      </c>
      <c r="CI322" s="65">
        <v>0.0</v>
      </c>
      <c r="CJ322" s="65">
        <v>0.0</v>
      </c>
      <c r="CK322" s="65">
        <v>0.0</v>
      </c>
      <c r="CL322" s="65">
        <v>0.0</v>
      </c>
      <c r="CM322" s="65">
        <v>0.0</v>
      </c>
      <c r="CN322" s="65">
        <v>0.0</v>
      </c>
    </row>
    <row r="323" ht="15.75" customHeight="1">
      <c r="A323" s="462" t="s">
        <v>2346</v>
      </c>
      <c r="B323" s="510" t="s">
        <v>6951</v>
      </c>
      <c r="C323" s="141">
        <v>362762.0</v>
      </c>
      <c r="D323" s="63" t="s">
        <v>120</v>
      </c>
      <c r="E323" s="63" t="s">
        <v>91</v>
      </c>
      <c r="F323" s="81" t="s">
        <v>521</v>
      </c>
      <c r="G323" s="47" t="str">
        <f t="shared" si="1"/>
        <v>Breno</v>
      </c>
      <c r="H323" s="142" t="s">
        <v>295</v>
      </c>
      <c r="I323" s="49" t="s">
        <v>382</v>
      </c>
      <c r="J323" s="63" t="str">
        <f t="shared" si="4"/>
        <v>Não</v>
      </c>
      <c r="K323" s="467">
        <v>44844.0</v>
      </c>
      <c r="L323" s="780"/>
      <c r="M323" s="81" t="s">
        <v>61</v>
      </c>
      <c r="N323" s="478">
        <v>0.01</v>
      </c>
      <c r="O323" s="141" t="s">
        <v>66</v>
      </c>
      <c r="P323" s="145">
        <v>0.0</v>
      </c>
      <c r="Q323" s="158"/>
      <c r="R323" s="158"/>
      <c r="S323" s="62" t="s">
        <v>194</v>
      </c>
      <c r="T323" s="30" t="s">
        <v>6952</v>
      </c>
      <c r="U323" s="30" t="s">
        <v>221</v>
      </c>
      <c r="V323" s="49" t="str">
        <f t="shared" si="3"/>
        <v>Inativo</v>
      </c>
      <c r="W323" s="150"/>
      <c r="X323" s="150"/>
      <c r="Y323" s="30" t="s">
        <v>244</v>
      </c>
      <c r="Z323" s="81"/>
      <c r="AA323" s="467">
        <v>44844.0</v>
      </c>
      <c r="AB323" s="30">
        <v>4.9075100010919E13</v>
      </c>
      <c r="AC323" s="96"/>
      <c r="AD323" s="96"/>
      <c r="AE323" s="96"/>
      <c r="AF323" s="96"/>
      <c r="AG323" s="96"/>
      <c r="AH323" s="96"/>
      <c r="AI323" s="96"/>
      <c r="AJ323" s="96"/>
      <c r="AK323" s="482"/>
      <c r="AL323" s="482"/>
      <c r="AM323" s="482"/>
      <c r="AN323" s="482"/>
      <c r="AO323" s="482"/>
      <c r="AP323" s="96"/>
      <c r="AQ323" s="96"/>
      <c r="AR323" s="96"/>
      <c r="AS323" s="96"/>
      <c r="AT323" s="96"/>
      <c r="AU323" s="96"/>
      <c r="AV323" s="482"/>
      <c r="AW323" s="482"/>
      <c r="AX323" s="482"/>
      <c r="AY323" s="96"/>
      <c r="AZ323" s="96"/>
      <c r="BA323" s="96"/>
      <c r="BB323" s="96"/>
      <c r="BC323" s="96"/>
      <c r="BD323" s="96"/>
      <c r="BE323" s="96"/>
      <c r="BF323" s="96"/>
      <c r="BG323" s="782"/>
      <c r="BH323" s="96"/>
      <c r="BI323" s="96"/>
      <c r="BJ323" s="96"/>
      <c r="BK323" s="472">
        <v>0.0</v>
      </c>
      <c r="BL323" s="472">
        <v>23560.12</v>
      </c>
      <c r="BM323" s="472">
        <v>27158.72</v>
      </c>
      <c r="BN323" s="472">
        <v>31436.62</v>
      </c>
      <c r="BO323" s="472">
        <v>31567.06</v>
      </c>
      <c r="BP323" s="472">
        <v>40059.16</v>
      </c>
      <c r="BQ323" s="472">
        <v>44520.18</v>
      </c>
      <c r="BR323" s="472">
        <v>44845.21</v>
      </c>
      <c r="BS323" s="472">
        <v>45338.89</v>
      </c>
      <c r="BT323" s="472">
        <v>0.0</v>
      </c>
      <c r="BU323" s="472">
        <v>0.0</v>
      </c>
      <c r="BV323" s="472">
        <v>0.0</v>
      </c>
      <c r="BW323" s="472">
        <v>0.0</v>
      </c>
      <c r="BX323" s="472">
        <v>0.0</v>
      </c>
      <c r="BY323" s="472">
        <v>0.0</v>
      </c>
      <c r="BZ323" s="472">
        <v>0.0</v>
      </c>
      <c r="CA323" s="474">
        <v>0.0</v>
      </c>
      <c r="CB323" s="474">
        <v>0.0</v>
      </c>
      <c r="CC323" s="474">
        <v>0.0</v>
      </c>
      <c r="CD323" s="474">
        <v>0.0</v>
      </c>
      <c r="CE323" s="474">
        <v>0.0</v>
      </c>
      <c r="CF323" s="474">
        <v>0.0</v>
      </c>
      <c r="CG323" s="474">
        <v>0.0</v>
      </c>
      <c r="CH323" s="65">
        <v>0.0</v>
      </c>
      <c r="CI323" s="65">
        <v>0.0</v>
      </c>
      <c r="CJ323" s="65">
        <v>0.0</v>
      </c>
      <c r="CK323" s="65">
        <v>0.0</v>
      </c>
      <c r="CL323" s="65">
        <v>0.0</v>
      </c>
      <c r="CM323" s="65">
        <v>0.0</v>
      </c>
      <c r="CN323" s="65">
        <v>0.0</v>
      </c>
    </row>
    <row r="324" ht="15.75" customHeight="1">
      <c r="A324" s="462" t="s">
        <v>2346</v>
      </c>
      <c r="B324" s="518" t="s">
        <v>6652</v>
      </c>
      <c r="C324" s="141">
        <v>45860.0</v>
      </c>
      <c r="D324" s="63" t="s">
        <v>120</v>
      </c>
      <c r="E324" s="63" t="s">
        <v>91</v>
      </c>
      <c r="F324" s="63" t="s">
        <v>193</v>
      </c>
      <c r="G324" s="47" t="str">
        <f t="shared" si="1"/>
        <v>Breno</v>
      </c>
      <c r="H324" s="142" t="s">
        <v>295</v>
      </c>
      <c r="I324" s="49" t="s">
        <v>382</v>
      </c>
      <c r="J324" s="63" t="str">
        <f t="shared" si="4"/>
        <v>Não</v>
      </c>
      <c r="K324" s="143">
        <v>44279.0</v>
      </c>
      <c r="L324" s="62"/>
      <c r="M324" s="81" t="s">
        <v>209</v>
      </c>
      <c r="N324" s="478">
        <v>0.015</v>
      </c>
      <c r="O324" s="63" t="s">
        <v>35</v>
      </c>
      <c r="P324" s="145">
        <v>0.1</v>
      </c>
      <c r="Q324" s="158"/>
      <c r="R324" s="158"/>
      <c r="S324" s="62" t="s">
        <v>194</v>
      </c>
      <c r="T324" s="141" t="s">
        <v>6960</v>
      </c>
      <c r="U324" s="95" t="s">
        <v>221</v>
      </c>
      <c r="V324" s="49" t="str">
        <f t="shared" si="3"/>
        <v>Inativo</v>
      </c>
      <c r="W324" s="150"/>
      <c r="X324" s="150"/>
      <c r="Y324" s="30" t="s">
        <v>244</v>
      </c>
      <c r="Z324" s="81"/>
      <c r="AA324" s="467">
        <v>44279.0</v>
      </c>
      <c r="AB324" s="30">
        <v>4.9075100010927E13</v>
      </c>
      <c r="AC324" s="482"/>
      <c r="AD324" s="482"/>
      <c r="AE324" s="482"/>
      <c r="AF324" s="482"/>
      <c r="AG324" s="482"/>
      <c r="AH324" s="482"/>
      <c r="AI324" s="482"/>
      <c r="AJ324" s="482"/>
      <c r="AK324" s="482"/>
      <c r="AL324" s="482"/>
      <c r="AM324" s="482"/>
      <c r="AN324" s="482"/>
      <c r="AO324" s="482"/>
      <c r="AP324" s="96"/>
      <c r="AQ324" s="471"/>
      <c r="AR324" s="471">
        <v>114653.68</v>
      </c>
      <c r="AS324" s="471"/>
      <c r="AT324" s="471">
        <v>117260.24</v>
      </c>
      <c r="AU324" s="471">
        <v>119548.47</v>
      </c>
      <c r="AV324" s="96">
        <v>118861.09</v>
      </c>
      <c r="AW324" s="96">
        <v>117509.41</v>
      </c>
      <c r="AX324" s="96">
        <v>41564.59</v>
      </c>
      <c r="AY324" s="96">
        <v>41620.99</v>
      </c>
      <c r="AZ324" s="96">
        <v>94.18</v>
      </c>
      <c r="BA324" s="96"/>
      <c r="BB324" s="96"/>
      <c r="BC324" s="96"/>
      <c r="BD324" s="96">
        <v>44.83</v>
      </c>
      <c r="BE324" s="96">
        <v>-101.16</v>
      </c>
      <c r="BF324" s="96">
        <v>-101.16</v>
      </c>
      <c r="BG324" s="788" t="s">
        <v>377</v>
      </c>
      <c r="BH324" s="472">
        <v>0.0</v>
      </c>
      <c r="BI324" s="472">
        <v>-68.0</v>
      </c>
      <c r="BJ324" s="472">
        <v>-68.0</v>
      </c>
      <c r="BK324" s="472">
        <v>-68.0</v>
      </c>
      <c r="BL324" s="472">
        <v>-68.0</v>
      </c>
      <c r="BM324" s="472">
        <v>-68.0</v>
      </c>
      <c r="BN324" s="472">
        <v>-68.0</v>
      </c>
      <c r="BO324" s="472">
        <v>-68.0</v>
      </c>
      <c r="BP324" s="472">
        <v>-68.0</v>
      </c>
      <c r="BQ324" s="472">
        <v>-68.0</v>
      </c>
      <c r="BR324" s="472">
        <v>0.0</v>
      </c>
      <c r="BS324" s="472">
        <v>0.0</v>
      </c>
      <c r="BT324" s="472">
        <v>0.0</v>
      </c>
      <c r="BU324" s="472">
        <v>0.0</v>
      </c>
      <c r="BV324" s="472">
        <v>0.0</v>
      </c>
      <c r="BW324" s="472">
        <v>0.0</v>
      </c>
      <c r="BX324" s="472">
        <v>0.0</v>
      </c>
      <c r="BY324" s="472">
        <v>0.0</v>
      </c>
      <c r="BZ324" s="472">
        <v>0.0</v>
      </c>
      <c r="CA324" s="474">
        <v>0.0</v>
      </c>
      <c r="CB324" s="474">
        <v>0.0</v>
      </c>
      <c r="CC324" s="474">
        <v>0.0</v>
      </c>
      <c r="CD324" s="474">
        <v>0.0</v>
      </c>
      <c r="CE324" s="474">
        <v>0.0</v>
      </c>
      <c r="CF324" s="474">
        <v>0.0</v>
      </c>
      <c r="CG324" s="474">
        <v>0.0</v>
      </c>
      <c r="CH324" s="65">
        <v>0.0</v>
      </c>
      <c r="CI324" s="65">
        <v>0.0</v>
      </c>
      <c r="CJ324" s="65">
        <v>0.0</v>
      </c>
      <c r="CK324" s="65">
        <v>0.0</v>
      </c>
      <c r="CL324" s="65">
        <v>0.0</v>
      </c>
      <c r="CM324" s="65">
        <v>0.0</v>
      </c>
      <c r="CN324" s="65">
        <v>0.0</v>
      </c>
    </row>
    <row r="325" ht="15.75" customHeight="1">
      <c r="A325" s="462" t="s">
        <v>2346</v>
      </c>
      <c r="B325" s="510" t="s">
        <v>6965</v>
      </c>
      <c r="C325" s="141">
        <v>39176.0</v>
      </c>
      <c r="D325" s="63" t="s">
        <v>669</v>
      </c>
      <c r="E325" s="63" t="s">
        <v>199</v>
      </c>
      <c r="F325" s="81" t="s">
        <v>2388</v>
      </c>
      <c r="G325" s="47" t="str">
        <f t="shared" si="1"/>
        <v>Breno</v>
      </c>
      <c r="H325" s="152" t="s">
        <v>224</v>
      </c>
      <c r="I325" s="74" t="s">
        <v>66</v>
      </c>
      <c r="J325" s="63" t="str">
        <f t="shared" si="4"/>
        <v>Não</v>
      </c>
      <c r="K325" s="467">
        <v>43865.0</v>
      </c>
      <c r="L325" s="467">
        <v>44631.0</v>
      </c>
      <c r="M325" s="81" t="s">
        <v>209</v>
      </c>
      <c r="N325" s="478">
        <v>0.015</v>
      </c>
      <c r="O325" s="63" t="s">
        <v>35</v>
      </c>
      <c r="P325" s="145">
        <v>0.1</v>
      </c>
      <c r="Q325" s="158"/>
      <c r="R325" s="158"/>
      <c r="S325" s="62" t="s">
        <v>194</v>
      </c>
      <c r="T325" s="30" t="s">
        <v>6966</v>
      </c>
      <c r="U325" s="81" t="s">
        <v>199</v>
      </c>
      <c r="V325" s="49" t="str">
        <f t="shared" si="3"/>
        <v>Encerrado</v>
      </c>
      <c r="W325" s="150"/>
      <c r="X325" s="150"/>
      <c r="Y325" s="30" t="s">
        <v>244</v>
      </c>
      <c r="Z325" s="81"/>
      <c r="AA325" s="81"/>
      <c r="AB325" s="30"/>
      <c r="AC325" s="96">
        <v>0.0</v>
      </c>
      <c r="AD325" s="96">
        <v>85515.97</v>
      </c>
      <c r="AE325" s="96">
        <v>73210.09</v>
      </c>
      <c r="AF325" s="96">
        <v>75542.23</v>
      </c>
      <c r="AG325" s="96">
        <v>77464.67</v>
      </c>
      <c r="AH325" s="96">
        <v>79368.8</v>
      </c>
      <c r="AI325" s="96">
        <v>31451.1</v>
      </c>
      <c r="AJ325" s="96">
        <v>31402.47</v>
      </c>
      <c r="AK325" s="96">
        <v>31244.48</v>
      </c>
      <c r="AL325" s="96">
        <v>31100.14</v>
      </c>
      <c r="AM325" s="96">
        <v>31053.48</v>
      </c>
      <c r="AN325" s="96">
        <v>31247.68</v>
      </c>
      <c r="AO325" s="96">
        <v>31317.36</v>
      </c>
      <c r="AP325" s="96">
        <v>31197.21</v>
      </c>
      <c r="AQ325" s="96">
        <v>31152.7</v>
      </c>
      <c r="AR325" s="96">
        <v>31128.62</v>
      </c>
      <c r="AS325" s="96">
        <v>31032.88</v>
      </c>
      <c r="AT325" s="96">
        <v>30904.95</v>
      </c>
      <c r="AU325" s="96">
        <v>31000.76</v>
      </c>
      <c r="AV325" s="96">
        <v>30998.11</v>
      </c>
      <c r="AW325" s="96">
        <v>31269.48</v>
      </c>
      <c r="AX325" s="96">
        <v>31410.22</v>
      </c>
      <c r="AY325" s="96">
        <v>31450.1</v>
      </c>
      <c r="AZ325" s="96">
        <v>31234.31</v>
      </c>
      <c r="BA325" s="96">
        <v>111.69</v>
      </c>
      <c r="BB325" s="96">
        <v>255.69</v>
      </c>
      <c r="BC325" s="96">
        <v>44.83</v>
      </c>
      <c r="BD325" s="96">
        <v>32282.48</v>
      </c>
      <c r="BE325" s="96">
        <v>21388.13</v>
      </c>
      <c r="BF325" s="96">
        <v>21504.27</v>
      </c>
      <c r="BG325" s="96">
        <v>21681.79</v>
      </c>
      <c r="BH325" s="96">
        <v>0.0</v>
      </c>
      <c r="BI325" s="96">
        <v>22061.05</v>
      </c>
      <c r="BJ325" s="96">
        <v>22265.61</v>
      </c>
      <c r="BK325" s="472">
        <v>12432.44</v>
      </c>
      <c r="BL325" s="472">
        <v>12577.17</v>
      </c>
      <c r="BM325" s="472">
        <v>12674.82</v>
      </c>
      <c r="BN325" s="472">
        <v>12777.26</v>
      </c>
      <c r="BO325" s="472">
        <v>12864.14</v>
      </c>
      <c r="BP325" s="472">
        <v>12942.89</v>
      </c>
      <c r="BQ325" s="472">
        <v>13036.23</v>
      </c>
      <c r="BR325" s="472">
        <v>10368.68</v>
      </c>
      <c r="BS325" s="472">
        <v>10452.93</v>
      </c>
      <c r="BT325" s="472">
        <v>0.0</v>
      </c>
      <c r="BU325" s="472">
        <v>0.0</v>
      </c>
      <c r="BV325" s="472">
        <v>0.0</v>
      </c>
      <c r="BW325" s="472">
        <v>0.0</v>
      </c>
      <c r="BX325" s="472">
        <v>0.0</v>
      </c>
      <c r="BY325" s="472">
        <v>0.0</v>
      </c>
      <c r="BZ325" s="472">
        <v>0.0</v>
      </c>
      <c r="CA325" s="474">
        <v>0.0</v>
      </c>
      <c r="CB325" s="474">
        <v>0.0</v>
      </c>
      <c r="CC325" s="474">
        <v>0.0</v>
      </c>
      <c r="CD325" s="474">
        <v>0.0</v>
      </c>
      <c r="CE325" s="474">
        <v>0.0</v>
      </c>
      <c r="CF325" s="474">
        <v>0.0</v>
      </c>
      <c r="CG325" s="474">
        <v>0.0</v>
      </c>
      <c r="CH325" s="65">
        <v>0.0</v>
      </c>
      <c r="CI325" s="65">
        <v>0.0</v>
      </c>
      <c r="CJ325" s="65">
        <v>0.0</v>
      </c>
      <c r="CK325" s="65">
        <v>0.0</v>
      </c>
      <c r="CL325" s="65">
        <v>0.0</v>
      </c>
      <c r="CM325" s="65">
        <v>0.0</v>
      </c>
      <c r="CN325" s="65">
        <v>0.0</v>
      </c>
    </row>
    <row r="326" ht="15.75" customHeight="1">
      <c r="A326" s="462" t="s">
        <v>2346</v>
      </c>
      <c r="B326" s="510" t="s">
        <v>5350</v>
      </c>
      <c r="C326" s="141">
        <v>445568.0</v>
      </c>
      <c r="D326" s="63" t="s">
        <v>669</v>
      </c>
      <c r="E326" s="63" t="s">
        <v>199</v>
      </c>
      <c r="F326" s="81" t="s">
        <v>1228</v>
      </c>
      <c r="G326" s="47" t="str">
        <f t="shared" si="1"/>
        <v>Breno</v>
      </c>
      <c r="H326" s="152" t="s">
        <v>224</v>
      </c>
      <c r="I326" s="74" t="s">
        <v>66</v>
      </c>
      <c r="J326" s="63" t="str">
        <f t="shared" si="4"/>
        <v>Não</v>
      </c>
      <c r="K326" s="467">
        <v>43840.0</v>
      </c>
      <c r="L326" s="480">
        <v>44153.0</v>
      </c>
      <c r="M326" s="81" t="s">
        <v>34</v>
      </c>
      <c r="N326" s="478">
        <v>0.012</v>
      </c>
      <c r="O326" s="141" t="s">
        <v>66</v>
      </c>
      <c r="P326" s="145">
        <v>0.0</v>
      </c>
      <c r="Q326" s="158"/>
      <c r="R326" s="158"/>
      <c r="S326" s="62" t="s">
        <v>194</v>
      </c>
      <c r="T326" s="30" t="s">
        <v>1739</v>
      </c>
      <c r="U326" s="95" t="s">
        <v>199</v>
      </c>
      <c r="V326" s="49" t="str">
        <f t="shared" si="3"/>
        <v>Encerrado</v>
      </c>
      <c r="W326" s="150"/>
      <c r="X326" s="150"/>
      <c r="Y326" s="81"/>
      <c r="Z326" s="81"/>
      <c r="AA326" s="81"/>
      <c r="AB326" s="30"/>
      <c r="AC326" s="96">
        <v>149283.91</v>
      </c>
      <c r="AD326" s="96">
        <v>147084.73</v>
      </c>
      <c r="AE326" s="96">
        <v>141100.44</v>
      </c>
      <c r="AF326" s="96">
        <v>142367.71</v>
      </c>
      <c r="AG326" s="96">
        <v>143315.0</v>
      </c>
      <c r="AH326" s="96">
        <v>144008.09</v>
      </c>
      <c r="AI326" s="96">
        <v>128859.82</v>
      </c>
      <c r="AJ326" s="96">
        <v>122149.28</v>
      </c>
      <c r="AK326" s="96">
        <v>108578.08</v>
      </c>
      <c r="AL326" s="96">
        <v>90562.43</v>
      </c>
      <c r="AM326" s="96">
        <v>72735.9</v>
      </c>
      <c r="AN326" s="96">
        <v>0.0</v>
      </c>
      <c r="AO326" s="482"/>
      <c r="AP326" s="96"/>
      <c r="AQ326" s="96"/>
      <c r="AR326" s="96"/>
      <c r="AS326" s="96"/>
      <c r="AT326" s="96"/>
      <c r="AU326" s="96"/>
      <c r="AV326" s="482"/>
      <c r="AW326" s="482"/>
      <c r="AX326" s="482"/>
      <c r="AY326" s="96"/>
      <c r="AZ326" s="96"/>
      <c r="BA326" s="96">
        <v>31621.46</v>
      </c>
      <c r="BB326" s="96">
        <v>32027.06</v>
      </c>
      <c r="BC326" s="96">
        <v>32088.01</v>
      </c>
      <c r="BD326" s="96">
        <v>0.0</v>
      </c>
      <c r="BE326" s="96">
        <v>0.0</v>
      </c>
      <c r="BF326" s="96">
        <v>0.0</v>
      </c>
      <c r="BG326" s="96" t="s">
        <v>377</v>
      </c>
      <c r="BH326" s="96">
        <v>0.0</v>
      </c>
      <c r="BI326" s="96" t="s">
        <v>377</v>
      </c>
      <c r="BJ326" s="96">
        <v>0.0</v>
      </c>
      <c r="BK326" s="472">
        <v>0.0</v>
      </c>
      <c r="BL326" s="472">
        <v>0.0</v>
      </c>
      <c r="BM326" s="472">
        <v>0.0</v>
      </c>
      <c r="BN326" s="472">
        <v>0.0</v>
      </c>
      <c r="BO326" s="472">
        <v>0.0</v>
      </c>
      <c r="BP326" s="472">
        <v>0.0</v>
      </c>
      <c r="BQ326" s="472">
        <v>0.0</v>
      </c>
      <c r="BR326" s="472">
        <v>0.0</v>
      </c>
      <c r="BS326" s="472">
        <v>0.0</v>
      </c>
      <c r="BT326" s="472">
        <v>0.0</v>
      </c>
      <c r="BU326" s="472">
        <v>0.0</v>
      </c>
      <c r="BV326" s="472">
        <v>0.0</v>
      </c>
      <c r="BW326" s="472">
        <v>0.0</v>
      </c>
      <c r="BX326" s="472">
        <v>0.0</v>
      </c>
      <c r="BY326" s="472">
        <v>0.0</v>
      </c>
      <c r="BZ326" s="472">
        <v>0.0</v>
      </c>
      <c r="CA326" s="474">
        <v>0.0</v>
      </c>
      <c r="CB326" s="474">
        <v>0.0</v>
      </c>
      <c r="CC326" s="474">
        <v>0.0</v>
      </c>
      <c r="CD326" s="474">
        <v>0.0</v>
      </c>
      <c r="CE326" s="474">
        <v>0.0</v>
      </c>
      <c r="CF326" s="474">
        <v>0.0</v>
      </c>
      <c r="CG326" s="474">
        <v>0.0</v>
      </c>
      <c r="CH326" s="65">
        <v>0.0</v>
      </c>
      <c r="CI326" s="65">
        <v>0.0</v>
      </c>
      <c r="CJ326" s="65">
        <v>0.0</v>
      </c>
      <c r="CK326" s="65">
        <v>0.0</v>
      </c>
      <c r="CL326" s="65">
        <v>0.0</v>
      </c>
      <c r="CM326" s="65">
        <v>0.0</v>
      </c>
      <c r="CN326" s="65">
        <v>0.0</v>
      </c>
    </row>
    <row r="327" ht="15.75" customHeight="1">
      <c r="A327" s="462" t="s">
        <v>2346</v>
      </c>
      <c r="B327" s="477" t="s">
        <v>1465</v>
      </c>
      <c r="C327" s="141">
        <v>445690.0</v>
      </c>
      <c r="D327" s="63" t="s">
        <v>669</v>
      </c>
      <c r="E327" s="63" t="s">
        <v>199</v>
      </c>
      <c r="F327" s="63" t="s">
        <v>1228</v>
      </c>
      <c r="G327" s="47" t="str">
        <f t="shared" si="1"/>
        <v>Breno</v>
      </c>
      <c r="H327" s="142" t="s">
        <v>183</v>
      </c>
      <c r="I327" s="74" t="s">
        <v>66</v>
      </c>
      <c r="J327" s="63" t="str">
        <f t="shared" si="4"/>
        <v>Não</v>
      </c>
      <c r="K327" s="143">
        <v>43867.0</v>
      </c>
      <c r="L327" s="81"/>
      <c r="M327" s="81" t="s">
        <v>34</v>
      </c>
      <c r="N327" s="478">
        <v>0.012</v>
      </c>
      <c r="O327" s="141" t="s">
        <v>66</v>
      </c>
      <c r="P327" s="145">
        <v>0.0</v>
      </c>
      <c r="Q327" s="190"/>
      <c r="R327" s="158" t="s">
        <v>1466</v>
      </c>
      <c r="S327" s="62" t="s">
        <v>194</v>
      </c>
      <c r="T327" s="30" t="s">
        <v>1467</v>
      </c>
      <c r="U327" s="81" t="s">
        <v>199</v>
      </c>
      <c r="V327" s="49" t="str">
        <f t="shared" si="3"/>
        <v>Ativo</v>
      </c>
      <c r="W327" s="150"/>
      <c r="X327" s="150"/>
      <c r="Y327" s="30" t="s">
        <v>244</v>
      </c>
      <c r="Z327" s="81"/>
      <c r="AA327" s="467">
        <v>43867.0</v>
      </c>
      <c r="AB327" s="30">
        <v>4.9075100009813E13</v>
      </c>
      <c r="AC327" s="96">
        <v>0.0</v>
      </c>
      <c r="AD327" s="96">
        <v>98297.74</v>
      </c>
      <c r="AE327" s="96">
        <v>95181.85</v>
      </c>
      <c r="AF327" s="96">
        <v>95873.94</v>
      </c>
      <c r="AG327" s="96">
        <v>96665.17</v>
      </c>
      <c r="AH327" s="96">
        <v>96634.86</v>
      </c>
      <c r="AI327" s="96">
        <v>97466.7</v>
      </c>
      <c r="AJ327" s="96">
        <v>96820.02</v>
      </c>
      <c r="AK327" s="96">
        <v>95785.2</v>
      </c>
      <c r="AL327" s="96">
        <v>95676.43</v>
      </c>
      <c r="AM327" s="96">
        <v>97276.2</v>
      </c>
      <c r="AN327" s="96">
        <v>98213.37</v>
      </c>
      <c r="AO327" s="96">
        <v>97579.09</v>
      </c>
      <c r="AP327" s="96">
        <v>69023.06</v>
      </c>
      <c r="AQ327" s="471">
        <v>68569.05</v>
      </c>
      <c r="AR327" s="471">
        <v>69074.87</v>
      </c>
      <c r="AS327" s="471">
        <v>68923.68</v>
      </c>
      <c r="AT327" s="471">
        <v>68915.63</v>
      </c>
      <c r="AU327" s="471">
        <v>69505.25</v>
      </c>
      <c r="AV327" s="96">
        <v>69283.69</v>
      </c>
      <c r="AW327" s="96">
        <v>69142.5</v>
      </c>
      <c r="AX327" s="96">
        <v>46631.81</v>
      </c>
      <c r="AY327" s="96">
        <v>46173.85</v>
      </c>
      <c r="AZ327" s="96">
        <v>45698.52</v>
      </c>
      <c r="BA327" s="96">
        <v>45709.15</v>
      </c>
      <c r="BB327" s="96">
        <v>46122.5</v>
      </c>
      <c r="BC327" s="96">
        <v>47479.54</v>
      </c>
      <c r="BD327" s="96">
        <v>12357.48</v>
      </c>
      <c r="BE327" s="96">
        <v>13116.59</v>
      </c>
      <c r="BF327" s="96">
        <v>7242.41</v>
      </c>
      <c r="BG327" s="472">
        <v>7204.23</v>
      </c>
      <c r="BH327" s="472">
        <v>6471.16</v>
      </c>
      <c r="BI327" s="472">
        <v>6683.82</v>
      </c>
      <c r="BJ327" s="472">
        <v>6960.61</v>
      </c>
      <c r="BK327" s="472">
        <v>7177.69</v>
      </c>
      <c r="BL327" s="472">
        <v>7391.44</v>
      </c>
      <c r="BM327" s="472">
        <v>6862.35</v>
      </c>
      <c r="BN327" s="472">
        <v>6675.87</v>
      </c>
      <c r="BO327" s="472">
        <v>6901.2</v>
      </c>
      <c r="BP327" s="472">
        <v>6461.82</v>
      </c>
      <c r="BQ327" s="472">
        <v>6328.96</v>
      </c>
      <c r="BR327" s="472">
        <v>6258.39</v>
      </c>
      <c r="BS327" s="472">
        <v>5817.57</v>
      </c>
      <c r="BT327" s="472">
        <v>6302.67</v>
      </c>
      <c r="BU327" s="472">
        <v>6559.92</v>
      </c>
      <c r="BV327" s="472">
        <v>4605.62</v>
      </c>
      <c r="BW327" s="472">
        <v>0.0</v>
      </c>
      <c r="BX327" s="472">
        <v>3904.25</v>
      </c>
      <c r="BY327" s="472">
        <v>4501.22</v>
      </c>
      <c r="BZ327" s="472">
        <v>3801.98</v>
      </c>
      <c r="CA327" s="474">
        <v>4392.02</v>
      </c>
      <c r="CB327" s="474">
        <v>4392.65</v>
      </c>
      <c r="CC327" s="474">
        <v>4274.57</v>
      </c>
      <c r="CD327" s="474">
        <v>4020.44</v>
      </c>
      <c r="CE327" s="474">
        <v>4015.64</v>
      </c>
      <c r="CF327" s="474">
        <v>3990.84</v>
      </c>
      <c r="CG327" s="474">
        <v>4076.47</v>
      </c>
      <c r="CH327" s="65">
        <v>4489.81</v>
      </c>
      <c r="CI327" s="65">
        <v>4431.51</v>
      </c>
      <c r="CJ327" s="65">
        <v>4275.02</v>
      </c>
      <c r="CK327" s="65">
        <v>3807.63</v>
      </c>
      <c r="CL327" s="65">
        <v>3973.34</v>
      </c>
      <c r="CM327" s="65">
        <v>4283.49</v>
      </c>
      <c r="CN327" s="65">
        <v>4051.75</v>
      </c>
    </row>
    <row r="328" ht="15.75" customHeight="1">
      <c r="A328" s="462" t="s">
        <v>2346</v>
      </c>
      <c r="B328" s="462" t="s">
        <v>1475</v>
      </c>
      <c r="C328" s="141">
        <v>86748.0</v>
      </c>
      <c r="D328" s="63" t="s">
        <v>1096</v>
      </c>
      <c r="E328" s="63" t="s">
        <v>199</v>
      </c>
      <c r="F328" s="63" t="s">
        <v>1096</v>
      </c>
      <c r="G328" s="47" t="str">
        <f t="shared" si="1"/>
        <v>Breno</v>
      </c>
      <c r="H328" s="142" t="s">
        <v>183</v>
      </c>
      <c r="I328" s="74" t="s">
        <v>66</v>
      </c>
      <c r="J328" s="63" t="str">
        <f t="shared" si="4"/>
        <v>Não</v>
      </c>
      <c r="K328" s="479">
        <v>43416.0</v>
      </c>
      <c r="L328" s="81"/>
      <c r="M328" s="81" t="s">
        <v>231</v>
      </c>
      <c r="N328" s="464">
        <v>0.008</v>
      </c>
      <c r="O328" s="141" t="s">
        <v>66</v>
      </c>
      <c r="P328" s="145">
        <v>0.0</v>
      </c>
      <c r="Q328" s="158"/>
      <c r="R328" s="158"/>
      <c r="S328" s="62" t="s">
        <v>194</v>
      </c>
      <c r="T328" s="141" t="s">
        <v>1480</v>
      </c>
      <c r="U328" s="81" t="s">
        <v>199</v>
      </c>
      <c r="V328" s="49" t="str">
        <f t="shared" si="3"/>
        <v>Ativo</v>
      </c>
      <c r="W328" s="150"/>
      <c r="X328" s="150"/>
      <c r="Y328" s="30" t="s">
        <v>244</v>
      </c>
      <c r="Z328" s="81"/>
      <c r="AA328" s="480">
        <v>43416.0</v>
      </c>
      <c r="AB328" s="30">
        <v>4.9075100004625E13</v>
      </c>
      <c r="AC328" s="96">
        <v>74892.0</v>
      </c>
      <c r="AD328" s="96">
        <v>76760.98</v>
      </c>
      <c r="AE328" s="96">
        <v>59815.75</v>
      </c>
      <c r="AF328" s="96">
        <v>64530.6</v>
      </c>
      <c r="AG328" s="96">
        <v>66054.81</v>
      </c>
      <c r="AH328" s="96">
        <v>70067.54</v>
      </c>
      <c r="AI328" s="96">
        <v>81922.55</v>
      </c>
      <c r="AJ328" s="96">
        <v>77098.12</v>
      </c>
      <c r="AK328" s="96">
        <v>73774.4</v>
      </c>
      <c r="AL328" s="96">
        <v>76317.99</v>
      </c>
      <c r="AM328" s="96">
        <v>88128.37</v>
      </c>
      <c r="AN328" s="96">
        <v>91771.65</v>
      </c>
      <c r="AO328" s="96">
        <v>87518.2</v>
      </c>
      <c r="AP328" s="96">
        <v>82529.27</v>
      </c>
      <c r="AQ328" s="471">
        <v>81808.07</v>
      </c>
      <c r="AR328" s="471">
        <v>84761.84</v>
      </c>
      <c r="AS328" s="471">
        <v>90942.38</v>
      </c>
      <c r="AT328" s="471">
        <v>91462.34</v>
      </c>
      <c r="AU328" s="471">
        <v>97801.66</v>
      </c>
      <c r="AV328" s="96">
        <v>96347.68</v>
      </c>
      <c r="AW328" s="96">
        <v>93799.63</v>
      </c>
      <c r="AX328" s="96">
        <v>89547.64</v>
      </c>
      <c r="AY328" s="96">
        <v>84860.97</v>
      </c>
      <c r="AZ328" s="96">
        <v>79882.92</v>
      </c>
      <c r="BA328" s="96">
        <v>77434.81</v>
      </c>
      <c r="BB328" s="96">
        <v>77742.4</v>
      </c>
      <c r="BC328" s="96">
        <v>82006.68</v>
      </c>
      <c r="BD328" s="96">
        <v>82902.72</v>
      </c>
      <c r="BE328" s="96">
        <v>89126.04</v>
      </c>
      <c r="BF328" s="96">
        <v>85326.21</v>
      </c>
      <c r="BG328" s="472">
        <v>83308.73</v>
      </c>
      <c r="BH328" s="472">
        <v>79383.21</v>
      </c>
      <c r="BI328" s="472">
        <v>83258.06</v>
      </c>
      <c r="BJ328" s="472">
        <v>84407.68</v>
      </c>
      <c r="BK328" s="472">
        <v>85067.56</v>
      </c>
      <c r="BL328" s="472">
        <v>91546.84</v>
      </c>
      <c r="BM328" s="472">
        <v>89705.15</v>
      </c>
      <c r="BN328" s="472">
        <v>89231.07</v>
      </c>
      <c r="BO328" s="472">
        <v>91841.25</v>
      </c>
      <c r="BP328" s="472">
        <v>88659.21</v>
      </c>
      <c r="BQ328" s="472">
        <v>88218.53</v>
      </c>
      <c r="BR328" s="472">
        <v>86444.52</v>
      </c>
      <c r="BS328" s="472">
        <v>90216.93</v>
      </c>
      <c r="BT328" s="472">
        <v>97140.54</v>
      </c>
      <c r="BU328" s="472">
        <v>102162.61</v>
      </c>
      <c r="BV328" s="472">
        <v>101301.7</v>
      </c>
      <c r="BW328" s="472">
        <v>97722.94</v>
      </c>
      <c r="BX328" s="472">
        <v>93310.2</v>
      </c>
      <c r="BY328" s="472">
        <v>100185.59</v>
      </c>
      <c r="BZ328" s="472">
        <v>104438.23</v>
      </c>
      <c r="CA328" s="474">
        <v>98362.56</v>
      </c>
      <c r="CB328" s="474">
        <v>100217.3</v>
      </c>
      <c r="CC328" s="474">
        <v>101127.05</v>
      </c>
      <c r="CD328" s="474">
        <v>95177.22</v>
      </c>
      <c r="CE328" s="474">
        <v>93330.29</v>
      </c>
      <c r="CF328" s="474">
        <v>93322.16</v>
      </c>
      <c r="CG328" s="474">
        <v>84166.42</v>
      </c>
      <c r="CH328" s="65">
        <v>98438.3</v>
      </c>
      <c r="CI328" s="65">
        <v>96551.77</v>
      </c>
      <c r="CJ328" s="65">
        <v>91302.52</v>
      </c>
      <c r="CK328" s="65">
        <v>87588.5</v>
      </c>
      <c r="CL328" s="65">
        <v>81182.32</v>
      </c>
      <c r="CM328" s="65">
        <v>83345.88</v>
      </c>
      <c r="CN328" s="65">
        <v>82476.41</v>
      </c>
    </row>
    <row r="329" ht="15.75" customHeight="1">
      <c r="A329" s="462" t="s">
        <v>2346</v>
      </c>
      <c r="B329" s="477" t="s">
        <v>5948</v>
      </c>
      <c r="C329" s="141">
        <v>446896.0</v>
      </c>
      <c r="D329" s="63" t="s">
        <v>669</v>
      </c>
      <c r="E329" s="63" t="s">
        <v>199</v>
      </c>
      <c r="F329" s="81" t="s">
        <v>2388</v>
      </c>
      <c r="G329" s="47" t="str">
        <f t="shared" si="1"/>
        <v>Breno</v>
      </c>
      <c r="H329" s="152" t="s">
        <v>224</v>
      </c>
      <c r="I329" s="74" t="s">
        <v>66</v>
      </c>
      <c r="J329" s="63" t="str">
        <f t="shared" si="4"/>
        <v>Não</v>
      </c>
      <c r="K329" s="467">
        <v>43861.0</v>
      </c>
      <c r="L329" s="480">
        <v>44484.0</v>
      </c>
      <c r="M329" s="81" t="s">
        <v>34</v>
      </c>
      <c r="N329" s="478">
        <v>0.012</v>
      </c>
      <c r="O329" s="141" t="s">
        <v>66</v>
      </c>
      <c r="P329" s="145">
        <v>0.0</v>
      </c>
      <c r="Q329" s="158"/>
      <c r="R329" s="158"/>
      <c r="S329" s="62" t="s">
        <v>194</v>
      </c>
      <c r="T329" s="30" t="s">
        <v>6998</v>
      </c>
      <c r="U329" s="30" t="s">
        <v>475</v>
      </c>
      <c r="V329" s="49" t="str">
        <f t="shared" si="3"/>
        <v>Encerrado</v>
      </c>
      <c r="W329" s="150"/>
      <c r="X329" s="150"/>
      <c r="Y329" s="81"/>
      <c r="Z329" s="81"/>
      <c r="AA329" s="81"/>
      <c r="AB329" s="30"/>
      <c r="AC329" s="96">
        <v>99921.55</v>
      </c>
      <c r="AD329" s="96">
        <v>98862.65</v>
      </c>
      <c r="AE329" s="96">
        <v>96756.24</v>
      </c>
      <c r="AF329" s="96">
        <v>96826.63</v>
      </c>
      <c r="AG329" s="96">
        <v>97297.31</v>
      </c>
      <c r="AH329" s="96">
        <v>97665.72</v>
      </c>
      <c r="AI329" s="96">
        <v>98720.12</v>
      </c>
      <c r="AJ329" s="96">
        <v>97869.36</v>
      </c>
      <c r="AK329" s="96">
        <v>97044.97</v>
      </c>
      <c r="AL329" s="96">
        <v>97240.85</v>
      </c>
      <c r="AM329" s="96">
        <v>98893.5</v>
      </c>
      <c r="AN329" s="96">
        <v>99294.26</v>
      </c>
      <c r="AO329" s="96">
        <v>98429.28</v>
      </c>
      <c r="AP329" s="96">
        <v>96557.66</v>
      </c>
      <c r="AQ329" s="96">
        <v>96269.51</v>
      </c>
      <c r="AR329" s="96">
        <v>94645.39</v>
      </c>
      <c r="AS329" s="96">
        <v>268.56</v>
      </c>
      <c r="AT329" s="96">
        <v>74.8</v>
      </c>
      <c r="AU329" s="96"/>
      <c r="AV329" s="96">
        <v>15.25</v>
      </c>
      <c r="AW329" s="482"/>
      <c r="AX329" s="482">
        <v>1.47</v>
      </c>
      <c r="AY329" s="96">
        <v>1.47</v>
      </c>
      <c r="AZ329" s="96"/>
      <c r="BA329" s="96"/>
      <c r="BB329" s="96"/>
      <c r="BC329" s="96"/>
      <c r="BD329" s="96">
        <v>0.0</v>
      </c>
      <c r="BE329" s="96">
        <v>0.0</v>
      </c>
      <c r="BF329" s="96">
        <v>0.0</v>
      </c>
      <c r="BG329" s="96" t="s">
        <v>377</v>
      </c>
      <c r="BH329" s="96">
        <v>0.0</v>
      </c>
      <c r="BI329" s="96" t="s">
        <v>377</v>
      </c>
      <c r="BJ329" s="96">
        <v>0.0</v>
      </c>
      <c r="BK329" s="472">
        <v>0.0</v>
      </c>
      <c r="BL329" s="472">
        <v>0.0</v>
      </c>
      <c r="BM329" s="472">
        <v>0.0</v>
      </c>
      <c r="BN329" s="472">
        <v>0.0</v>
      </c>
      <c r="BO329" s="472">
        <v>0.0</v>
      </c>
      <c r="BP329" s="472">
        <v>0.0</v>
      </c>
      <c r="BQ329" s="472">
        <v>0.0</v>
      </c>
      <c r="BR329" s="472">
        <v>0.0</v>
      </c>
      <c r="BS329" s="472">
        <v>0.0</v>
      </c>
      <c r="BT329" s="472">
        <v>0.0</v>
      </c>
      <c r="BU329" s="472">
        <v>0.0</v>
      </c>
      <c r="BV329" s="472">
        <v>0.0</v>
      </c>
      <c r="BW329" s="472">
        <v>0.0</v>
      </c>
      <c r="BX329" s="472">
        <v>0.0</v>
      </c>
      <c r="BY329" s="472">
        <v>0.0</v>
      </c>
      <c r="BZ329" s="472">
        <v>0.0</v>
      </c>
      <c r="CA329" s="474">
        <v>0.0</v>
      </c>
      <c r="CB329" s="474">
        <v>0.0</v>
      </c>
      <c r="CC329" s="474">
        <v>0.0</v>
      </c>
      <c r="CD329" s="474">
        <v>0.0</v>
      </c>
      <c r="CE329" s="474">
        <v>0.0</v>
      </c>
      <c r="CF329" s="474">
        <v>0.0</v>
      </c>
      <c r="CG329" s="474">
        <v>0.0</v>
      </c>
      <c r="CH329" s="65">
        <v>0.0</v>
      </c>
      <c r="CI329" s="65">
        <v>0.0</v>
      </c>
      <c r="CJ329" s="65">
        <v>0.0</v>
      </c>
      <c r="CK329" s="65">
        <v>0.0</v>
      </c>
      <c r="CL329" s="65">
        <v>0.0</v>
      </c>
      <c r="CM329" s="65">
        <v>0.0</v>
      </c>
      <c r="CN329" s="65">
        <v>0.0</v>
      </c>
    </row>
    <row r="330" ht="15.75" customHeight="1">
      <c r="A330" s="462" t="s">
        <v>2346</v>
      </c>
      <c r="B330" s="50" t="s">
        <v>7013</v>
      </c>
      <c r="C330" s="141">
        <v>582189.0</v>
      </c>
      <c r="D330" s="63" t="s">
        <v>120</v>
      </c>
      <c r="E330" s="63" t="s">
        <v>91</v>
      </c>
      <c r="F330" s="63" t="s">
        <v>521</v>
      </c>
      <c r="G330" s="47" t="str">
        <f t="shared" si="1"/>
        <v>Breno</v>
      </c>
      <c r="H330" s="142" t="s">
        <v>295</v>
      </c>
      <c r="I330" s="49" t="s">
        <v>382</v>
      </c>
      <c r="J330" s="63" t="str">
        <f t="shared" si="4"/>
        <v>Não</v>
      </c>
      <c r="K330" s="143">
        <v>44321.0</v>
      </c>
      <c r="L330" s="62"/>
      <c r="M330" s="81" t="s">
        <v>209</v>
      </c>
      <c r="N330" s="478">
        <v>0.015</v>
      </c>
      <c r="O330" s="63" t="s">
        <v>35</v>
      </c>
      <c r="P330" s="145">
        <v>0.1</v>
      </c>
      <c r="Q330" s="70"/>
      <c r="R330" s="70"/>
      <c r="S330" s="62" t="s">
        <v>194</v>
      </c>
      <c r="T330" s="22" t="s">
        <v>7016</v>
      </c>
      <c r="U330" s="95" t="s">
        <v>221</v>
      </c>
      <c r="V330" s="49" t="str">
        <f t="shared" si="3"/>
        <v>Ativo</v>
      </c>
      <c r="W330" s="150"/>
      <c r="X330" s="150"/>
      <c r="Y330" s="30" t="s">
        <v>244</v>
      </c>
      <c r="Z330" s="81"/>
      <c r="AA330" s="467">
        <v>44321.0</v>
      </c>
      <c r="AB330" s="30">
        <v>4.9075100010935E13</v>
      </c>
      <c r="AC330" s="476"/>
      <c r="AD330" s="476"/>
      <c r="AE330" s="476"/>
      <c r="AF330" s="476"/>
      <c r="AG330" s="476"/>
      <c r="AH330" s="476"/>
      <c r="AI330" s="476"/>
      <c r="AJ330" s="476"/>
      <c r="AK330" s="476"/>
      <c r="AL330" s="476"/>
      <c r="AM330" s="476"/>
      <c r="AN330" s="476"/>
      <c r="AO330" s="476"/>
      <c r="AP330" s="792"/>
      <c r="AQ330" s="471"/>
      <c r="AR330" s="471"/>
      <c r="AS330" s="471"/>
      <c r="AT330" s="471"/>
      <c r="AU330" s="471">
        <v>152307.13</v>
      </c>
      <c r="AV330" s="96">
        <v>152133.16</v>
      </c>
      <c r="AW330" s="96">
        <v>150923.55</v>
      </c>
      <c r="AX330" s="96">
        <v>148054.66</v>
      </c>
      <c r="AY330" s="96">
        <v>146511.73</v>
      </c>
      <c r="AZ330" s="96">
        <v>143174.27</v>
      </c>
      <c r="BA330" s="96">
        <v>151556.34</v>
      </c>
      <c r="BB330" s="96">
        <v>152075.91</v>
      </c>
      <c r="BC330" s="96">
        <v>155771.81</v>
      </c>
      <c r="BD330" s="96">
        <v>156987.15</v>
      </c>
      <c r="BE330" s="96">
        <v>162722.22</v>
      </c>
      <c r="BF330" s="96">
        <v>160564.5</v>
      </c>
      <c r="BG330" s="472">
        <v>160101.63</v>
      </c>
      <c r="BH330" s="472">
        <v>139063.14</v>
      </c>
      <c r="BI330" s="472">
        <v>141240.61</v>
      </c>
      <c r="BJ330" s="472">
        <v>102474.56</v>
      </c>
      <c r="BK330" s="472">
        <v>103199.35</v>
      </c>
      <c r="BL330" s="472">
        <v>105061.97</v>
      </c>
      <c r="BM330" s="472">
        <v>101964.64</v>
      </c>
      <c r="BN330" s="472">
        <v>105906.65</v>
      </c>
      <c r="BO330" s="472">
        <v>107302.26</v>
      </c>
      <c r="BP330" s="472">
        <v>108027.21</v>
      </c>
      <c r="BQ330" s="472">
        <v>109375.29</v>
      </c>
      <c r="BR330" s="472">
        <v>109681.31</v>
      </c>
      <c r="BS330" s="472">
        <v>61288.73</v>
      </c>
      <c r="BT330" s="472">
        <v>57815.49</v>
      </c>
      <c r="BU330" s="472">
        <v>54663.36</v>
      </c>
      <c r="BV330" s="472">
        <v>271.25</v>
      </c>
      <c r="BW330" s="472">
        <v>0.0</v>
      </c>
      <c r="BX330" s="472">
        <v>239.09</v>
      </c>
      <c r="BY330" s="472">
        <v>13.16</v>
      </c>
      <c r="BZ330" s="472">
        <v>13.16</v>
      </c>
      <c r="CA330" s="474">
        <v>13.16</v>
      </c>
      <c r="CB330" s="474">
        <v>13.16</v>
      </c>
      <c r="CC330" s="474">
        <v>13.16</v>
      </c>
      <c r="CD330" s="474">
        <v>13.16</v>
      </c>
      <c r="CE330" s="474">
        <v>0.0</v>
      </c>
      <c r="CF330" s="474">
        <v>0.0</v>
      </c>
      <c r="CG330" s="474">
        <v>0.0</v>
      </c>
      <c r="CH330" s="65">
        <v>0.0</v>
      </c>
      <c r="CI330" s="65">
        <v>0.0</v>
      </c>
      <c r="CJ330" s="65">
        <v>0.0</v>
      </c>
      <c r="CK330" s="65">
        <v>0.0</v>
      </c>
      <c r="CL330" s="65">
        <v>0.0</v>
      </c>
      <c r="CM330" s="65">
        <v>0.0</v>
      </c>
      <c r="CN330" s="65">
        <v>0.0</v>
      </c>
    </row>
    <row r="331" ht="15.75" customHeight="1">
      <c r="A331" s="462" t="s">
        <v>2346</v>
      </c>
      <c r="B331" s="50" t="s">
        <v>7023</v>
      </c>
      <c r="C331" s="141">
        <v>32725.0</v>
      </c>
      <c r="D331" s="63" t="s">
        <v>120</v>
      </c>
      <c r="E331" s="63" t="s">
        <v>91</v>
      </c>
      <c r="F331" s="63" t="s">
        <v>521</v>
      </c>
      <c r="G331" s="47" t="str">
        <f t="shared" si="1"/>
        <v>Breno</v>
      </c>
      <c r="H331" s="152" t="s">
        <v>224</v>
      </c>
      <c r="I331" s="74" t="s">
        <v>66</v>
      </c>
      <c r="J331" s="63" t="str">
        <f t="shared" si="4"/>
        <v>Não</v>
      </c>
      <c r="K331" s="143">
        <v>44319.0</v>
      </c>
      <c r="L331" s="194">
        <v>45008.0</v>
      </c>
      <c r="M331" s="81" t="s">
        <v>209</v>
      </c>
      <c r="N331" s="478">
        <v>0.015</v>
      </c>
      <c r="O331" s="63" t="s">
        <v>35</v>
      </c>
      <c r="P331" s="145">
        <v>0.1</v>
      </c>
      <c r="Q331" s="70"/>
      <c r="R331" s="70"/>
      <c r="S331" s="62" t="s">
        <v>194</v>
      </c>
      <c r="T331" s="22" t="s">
        <v>7027</v>
      </c>
      <c r="U331" s="95" t="s">
        <v>221</v>
      </c>
      <c r="V331" s="49" t="str">
        <f t="shared" si="3"/>
        <v>Encerrado</v>
      </c>
      <c r="W331" s="150"/>
      <c r="X331" s="150"/>
      <c r="Y331" s="30" t="s">
        <v>244</v>
      </c>
      <c r="Z331" s="81"/>
      <c r="AA331" s="81"/>
      <c r="AB331" s="30"/>
      <c r="AC331" s="476"/>
      <c r="AD331" s="476"/>
      <c r="AE331" s="476"/>
      <c r="AF331" s="476"/>
      <c r="AG331" s="476"/>
      <c r="AH331" s="476"/>
      <c r="AI331" s="476"/>
      <c r="AJ331" s="476"/>
      <c r="AK331" s="476"/>
      <c r="AL331" s="476"/>
      <c r="AM331" s="476"/>
      <c r="AN331" s="476"/>
      <c r="AO331" s="476"/>
      <c r="AP331" s="792"/>
      <c r="AQ331" s="471"/>
      <c r="AR331" s="471"/>
      <c r="AS331" s="471"/>
      <c r="AT331" s="471"/>
      <c r="AU331" s="471">
        <v>332462.25</v>
      </c>
      <c r="AV331" s="96">
        <v>330515.93</v>
      </c>
      <c r="AW331" s="96">
        <v>327290.36</v>
      </c>
      <c r="AX331" s="96">
        <v>321563.09</v>
      </c>
      <c r="AY331" s="96">
        <v>317157.09</v>
      </c>
      <c r="AZ331" s="96">
        <v>310487.79</v>
      </c>
      <c r="BA331" s="96">
        <v>307755.91</v>
      </c>
      <c r="BB331" s="96">
        <v>305547.09</v>
      </c>
      <c r="BC331" s="96">
        <v>313309.97</v>
      </c>
      <c r="BD331" s="96">
        <v>315370.21</v>
      </c>
      <c r="BE331" s="96">
        <v>328556.83</v>
      </c>
      <c r="BF331" s="96">
        <v>323293.73</v>
      </c>
      <c r="BG331" s="472">
        <v>322939.48</v>
      </c>
      <c r="BH331" s="472">
        <v>320005.91</v>
      </c>
      <c r="BI331" s="472">
        <v>325166.35</v>
      </c>
      <c r="BJ331" s="472">
        <v>329659.89</v>
      </c>
      <c r="BK331" s="472">
        <v>332630.54</v>
      </c>
      <c r="BL331" s="472">
        <v>3965.75</v>
      </c>
      <c r="BM331" s="472">
        <v>3329.91</v>
      </c>
      <c r="BN331" s="472">
        <v>3348.4</v>
      </c>
      <c r="BO331" s="472">
        <v>2778.09</v>
      </c>
      <c r="BP331" s="472">
        <v>2792.05</v>
      </c>
      <c r="BQ331" s="472">
        <v>32.43</v>
      </c>
      <c r="BR331" s="472">
        <v>32.56</v>
      </c>
      <c r="BS331" s="472">
        <v>32.68</v>
      </c>
      <c r="BT331" s="472">
        <v>0.0</v>
      </c>
      <c r="BU331" s="472">
        <v>0.0</v>
      </c>
      <c r="BV331" s="472">
        <v>0.0</v>
      </c>
      <c r="BW331" s="472">
        <v>0.0</v>
      </c>
      <c r="BX331" s="472">
        <v>0.0</v>
      </c>
      <c r="BY331" s="472">
        <v>0.0</v>
      </c>
      <c r="BZ331" s="472">
        <v>0.0</v>
      </c>
      <c r="CA331" s="474">
        <v>0.0</v>
      </c>
      <c r="CB331" s="474">
        <v>0.0</v>
      </c>
      <c r="CC331" s="474">
        <v>0.0</v>
      </c>
      <c r="CD331" s="474">
        <v>0.0</v>
      </c>
      <c r="CE331" s="474">
        <v>0.0</v>
      </c>
      <c r="CF331" s="474">
        <v>0.0</v>
      </c>
      <c r="CG331" s="474">
        <v>0.0</v>
      </c>
      <c r="CH331" s="65">
        <v>0.0</v>
      </c>
      <c r="CI331" s="65">
        <v>0.0</v>
      </c>
      <c r="CJ331" s="65">
        <v>0.0</v>
      </c>
      <c r="CK331" s="65">
        <v>0.0</v>
      </c>
      <c r="CL331" s="65">
        <v>0.0</v>
      </c>
      <c r="CM331" s="65">
        <v>0.0</v>
      </c>
      <c r="CN331" s="65">
        <v>0.0</v>
      </c>
    </row>
    <row r="332" ht="15.75" customHeight="1">
      <c r="A332" s="462" t="s">
        <v>2346</v>
      </c>
      <c r="B332" s="50" t="s">
        <v>1489</v>
      </c>
      <c r="C332" s="141">
        <v>34745.0</v>
      </c>
      <c r="D332" s="63" t="s">
        <v>120</v>
      </c>
      <c r="E332" s="63" t="s">
        <v>91</v>
      </c>
      <c r="F332" s="63" t="s">
        <v>193</v>
      </c>
      <c r="G332" s="47" t="str">
        <f t="shared" si="1"/>
        <v>Breno</v>
      </c>
      <c r="H332" s="142" t="s">
        <v>295</v>
      </c>
      <c r="I332" s="49" t="s">
        <v>382</v>
      </c>
      <c r="J332" s="63" t="str">
        <f t="shared" si="4"/>
        <v>Não</v>
      </c>
      <c r="K332" s="143">
        <v>44319.0</v>
      </c>
      <c r="L332" s="62"/>
      <c r="M332" s="81" t="s">
        <v>209</v>
      </c>
      <c r="N332" s="478">
        <v>0.015</v>
      </c>
      <c r="O332" s="63" t="s">
        <v>35</v>
      </c>
      <c r="P332" s="145">
        <v>0.1</v>
      </c>
      <c r="Q332" s="146"/>
      <c r="R332" s="70" t="s">
        <v>1494</v>
      </c>
      <c r="S332" s="62" t="s">
        <v>194</v>
      </c>
      <c r="T332" s="22" t="s">
        <v>1495</v>
      </c>
      <c r="U332" s="95" t="s">
        <v>221</v>
      </c>
      <c r="V332" s="49" t="str">
        <f t="shared" si="3"/>
        <v>Ativo</v>
      </c>
      <c r="W332" s="150"/>
      <c r="X332" s="150"/>
      <c r="Y332" s="30" t="s">
        <v>244</v>
      </c>
      <c r="Z332" s="81"/>
      <c r="AA332" s="467">
        <v>44319.0</v>
      </c>
      <c r="AB332" s="30">
        <v>4.9075100010943E13</v>
      </c>
      <c r="AC332" s="476"/>
      <c r="AD332" s="476"/>
      <c r="AE332" s="476"/>
      <c r="AF332" s="476"/>
      <c r="AG332" s="476"/>
      <c r="AH332" s="476"/>
      <c r="AI332" s="476"/>
      <c r="AJ332" s="476"/>
      <c r="AK332" s="476"/>
      <c r="AL332" s="476"/>
      <c r="AM332" s="476"/>
      <c r="AN332" s="476"/>
      <c r="AO332" s="476"/>
      <c r="AP332" s="792"/>
      <c r="AQ332" s="471"/>
      <c r="AR332" s="471"/>
      <c r="AS332" s="471"/>
      <c r="AT332" s="471"/>
      <c r="AU332" s="471">
        <v>649392.29</v>
      </c>
      <c r="AV332" s="96">
        <v>619970.67</v>
      </c>
      <c r="AW332" s="96">
        <v>604184.52</v>
      </c>
      <c r="AX332" s="96">
        <v>583106.9</v>
      </c>
      <c r="AY332" s="96">
        <v>510441.06</v>
      </c>
      <c r="AZ332" s="96">
        <v>534434.65</v>
      </c>
      <c r="BA332" s="96">
        <v>518934.1</v>
      </c>
      <c r="BB332" s="96">
        <v>504177.44</v>
      </c>
      <c r="BC332" s="96">
        <v>496175.72</v>
      </c>
      <c r="BD332" s="96">
        <v>490341.81</v>
      </c>
      <c r="BE332" s="96">
        <v>503301.19</v>
      </c>
      <c r="BF332" s="96">
        <v>479151.72</v>
      </c>
      <c r="BG332" s="472">
        <v>467431.16</v>
      </c>
      <c r="BH332" s="472">
        <v>437696.49</v>
      </c>
      <c r="BI332" s="472">
        <v>443966.62</v>
      </c>
      <c r="BJ332" s="472">
        <v>440248.65</v>
      </c>
      <c r="BK332" s="472">
        <v>434983.04</v>
      </c>
      <c r="BL332" s="472">
        <v>430701.24</v>
      </c>
      <c r="BM332" s="472">
        <v>415856.49</v>
      </c>
      <c r="BN332" s="472">
        <v>414124.3</v>
      </c>
      <c r="BO332" s="472">
        <v>404629.34</v>
      </c>
      <c r="BP332" s="472">
        <v>393132.24</v>
      </c>
      <c r="BQ332" s="472">
        <v>376970.08</v>
      </c>
      <c r="BR332" s="472">
        <v>368393.3</v>
      </c>
      <c r="BS332" s="472">
        <v>1637.0</v>
      </c>
      <c r="BT332" s="472">
        <v>0.0</v>
      </c>
      <c r="BU332" s="472">
        <v>0.0</v>
      </c>
      <c r="BV332" s="472">
        <v>0.0</v>
      </c>
      <c r="BW332" s="472">
        <v>0.0</v>
      </c>
      <c r="BX332" s="472">
        <v>0.0</v>
      </c>
      <c r="BY332" s="472">
        <v>0.0</v>
      </c>
      <c r="BZ332" s="472">
        <v>0.0</v>
      </c>
      <c r="CA332" s="474">
        <v>0.0</v>
      </c>
      <c r="CB332" s="474">
        <v>0.0</v>
      </c>
      <c r="CC332" s="474">
        <v>0.0</v>
      </c>
      <c r="CD332" s="474">
        <v>0.0</v>
      </c>
      <c r="CE332" s="474">
        <v>0.0</v>
      </c>
      <c r="CF332" s="474">
        <v>0.0</v>
      </c>
      <c r="CG332" s="474">
        <v>0.0</v>
      </c>
      <c r="CH332" s="65">
        <v>0.0</v>
      </c>
      <c r="CI332" s="65">
        <v>0.0</v>
      </c>
      <c r="CJ332" s="65">
        <v>0.0</v>
      </c>
      <c r="CK332" s="65">
        <v>0.0</v>
      </c>
      <c r="CL332" s="65">
        <v>0.19</v>
      </c>
      <c r="CM332" s="65">
        <v>0.19</v>
      </c>
      <c r="CN332" s="65">
        <v>0.19</v>
      </c>
    </row>
    <row r="333" ht="15.75" customHeight="1">
      <c r="A333" s="462" t="s">
        <v>2346</v>
      </c>
      <c r="B333" s="176" t="s">
        <v>7038</v>
      </c>
      <c r="C333" s="141">
        <v>453470.0</v>
      </c>
      <c r="D333" s="63" t="s">
        <v>120</v>
      </c>
      <c r="E333" s="63" t="s">
        <v>91</v>
      </c>
      <c r="F333" s="66" t="s">
        <v>193</v>
      </c>
      <c r="G333" s="47" t="str">
        <f t="shared" si="1"/>
        <v>Breno</v>
      </c>
      <c r="H333" s="142" t="s">
        <v>295</v>
      </c>
      <c r="I333" s="49" t="s">
        <v>382</v>
      </c>
      <c r="J333" s="63" t="str">
        <f t="shared" si="4"/>
        <v>Não</v>
      </c>
      <c r="K333" s="194">
        <v>44462.0</v>
      </c>
      <c r="L333" s="62"/>
      <c r="M333" s="81" t="s">
        <v>231</v>
      </c>
      <c r="N333" s="478">
        <v>0.025</v>
      </c>
      <c r="O333" s="141" t="s">
        <v>233</v>
      </c>
      <c r="P333" s="145">
        <v>0.2</v>
      </c>
      <c r="Q333" s="146"/>
      <c r="R333" s="70" t="s">
        <v>7039</v>
      </c>
      <c r="S333" s="62" t="s">
        <v>194</v>
      </c>
      <c r="T333" s="22" t="s">
        <v>7040</v>
      </c>
      <c r="U333" s="62" t="s">
        <v>516</v>
      </c>
      <c r="V333" s="49" t="str">
        <f t="shared" si="3"/>
        <v>Inativo</v>
      </c>
      <c r="W333" s="150"/>
      <c r="X333" s="150"/>
      <c r="Y333" s="30" t="s">
        <v>244</v>
      </c>
      <c r="Z333" s="81"/>
      <c r="AA333" s="467">
        <v>44462.0</v>
      </c>
      <c r="AB333" s="30">
        <v>4.9075100004668E13</v>
      </c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793"/>
      <c r="AN333" s="793"/>
      <c r="AO333" s="793"/>
      <c r="AP333" s="793"/>
      <c r="AQ333" s="793"/>
      <c r="AR333" s="793"/>
      <c r="AS333" s="793"/>
      <c r="AT333" s="793"/>
      <c r="AU333" s="482"/>
      <c r="AV333" s="96"/>
      <c r="AW333" s="96"/>
      <c r="AX333" s="379"/>
      <c r="AY333" s="96">
        <v>122762.88</v>
      </c>
      <c r="AZ333" s="96">
        <v>124855.65</v>
      </c>
      <c r="BA333" s="96">
        <v>120610.95</v>
      </c>
      <c r="BB333" s="96">
        <v>122411.16</v>
      </c>
      <c r="BC333" s="96">
        <v>129931.21</v>
      </c>
      <c r="BD333" s="96">
        <v>130378.12</v>
      </c>
      <c r="BE333" s="96">
        <v>125460.79</v>
      </c>
      <c r="BF333" s="96">
        <v>120192.07</v>
      </c>
      <c r="BG333" s="472">
        <v>121865.43</v>
      </c>
      <c r="BH333" s="472">
        <v>124402.57</v>
      </c>
      <c r="BI333" s="472">
        <v>129743.54</v>
      </c>
      <c r="BJ333" s="472">
        <v>138997.28</v>
      </c>
      <c r="BK333" s="472">
        <v>143438.26</v>
      </c>
      <c r="BL333" s="472">
        <v>158533.86</v>
      </c>
      <c r="BM333" s="472">
        <v>138115.02</v>
      </c>
      <c r="BN333" s="472">
        <v>140210.67</v>
      </c>
      <c r="BO333" s="472">
        <v>131125.38</v>
      </c>
      <c r="BP333" s="472">
        <v>124713.75</v>
      </c>
      <c r="BQ333" s="472">
        <v>108610.0</v>
      </c>
      <c r="BR333" s="472">
        <v>663.79</v>
      </c>
      <c r="BS333" s="472">
        <v>648.55</v>
      </c>
      <c r="BT333" s="472">
        <v>0.0</v>
      </c>
      <c r="BU333" s="472">
        <v>0.0</v>
      </c>
      <c r="BV333" s="472">
        <v>0.0</v>
      </c>
      <c r="BW333" s="472">
        <v>0.0</v>
      </c>
      <c r="BX333" s="472">
        <v>0.0</v>
      </c>
      <c r="BY333" s="472">
        <v>0.0</v>
      </c>
      <c r="BZ333" s="472">
        <v>0.0</v>
      </c>
      <c r="CA333" s="474">
        <v>0.0</v>
      </c>
      <c r="CB333" s="474">
        <v>0.0</v>
      </c>
      <c r="CC333" s="474">
        <v>0.0</v>
      </c>
      <c r="CD333" s="474">
        <v>0.0</v>
      </c>
      <c r="CE333" s="474">
        <v>0.0</v>
      </c>
      <c r="CF333" s="474">
        <v>0.0</v>
      </c>
      <c r="CG333" s="474">
        <v>0.0</v>
      </c>
      <c r="CH333" s="65">
        <v>0.0</v>
      </c>
      <c r="CI333" s="65">
        <v>0.0</v>
      </c>
      <c r="CJ333" s="65">
        <v>0.0</v>
      </c>
      <c r="CK333" s="65">
        <v>0.0</v>
      </c>
      <c r="CL333" s="65">
        <v>0.0</v>
      </c>
      <c r="CM333" s="65">
        <v>0.0</v>
      </c>
      <c r="CN333" s="65">
        <v>0.0</v>
      </c>
    </row>
    <row r="334" ht="15.75" customHeight="1">
      <c r="A334" s="462" t="s">
        <v>2346</v>
      </c>
      <c r="B334" s="794" t="s">
        <v>5039</v>
      </c>
      <c r="C334" s="141">
        <v>424158.0</v>
      </c>
      <c r="D334" s="63" t="s">
        <v>669</v>
      </c>
      <c r="E334" s="63" t="s">
        <v>199</v>
      </c>
      <c r="F334" s="795" t="s">
        <v>1228</v>
      </c>
      <c r="G334" s="47" t="str">
        <f t="shared" si="1"/>
        <v>Breno</v>
      </c>
      <c r="H334" s="142" t="s">
        <v>295</v>
      </c>
      <c r="I334" s="49" t="s">
        <v>382</v>
      </c>
      <c r="J334" s="63" t="str">
        <f t="shared" si="4"/>
        <v>Sim</v>
      </c>
      <c r="K334" s="796">
        <v>43675.0</v>
      </c>
      <c r="L334" s="795"/>
      <c r="M334" s="81" t="s">
        <v>209</v>
      </c>
      <c r="N334" s="797">
        <v>0.01</v>
      </c>
      <c r="O334" s="63" t="s">
        <v>35</v>
      </c>
      <c r="P334" s="145">
        <v>0.1</v>
      </c>
      <c r="Q334" s="798" t="s">
        <v>492</v>
      </c>
      <c r="R334" s="379"/>
      <c r="S334" s="62" t="s">
        <v>194</v>
      </c>
      <c r="T334" s="799" t="s">
        <v>7047</v>
      </c>
      <c r="U334" s="795" t="s">
        <v>199</v>
      </c>
      <c r="V334" s="49" t="str">
        <f t="shared" si="3"/>
        <v>Inativo</v>
      </c>
      <c r="W334" s="150"/>
      <c r="X334" s="150"/>
      <c r="Y334" s="30" t="s">
        <v>244</v>
      </c>
      <c r="Z334" s="81"/>
      <c r="AA334" s="467">
        <v>43675.0</v>
      </c>
      <c r="AB334" s="30">
        <v>4.9075100010951E13</v>
      </c>
      <c r="AC334" s="472">
        <v>314639.38</v>
      </c>
      <c r="AD334" s="472">
        <v>163398.94</v>
      </c>
      <c r="AE334" s="472">
        <v>134579.88</v>
      </c>
      <c r="AF334" s="472">
        <v>137014.38</v>
      </c>
      <c r="AG334" s="472">
        <v>138596.3</v>
      </c>
      <c r="AH334" s="472">
        <v>139590.88</v>
      </c>
      <c r="AI334" s="472">
        <v>142254.23</v>
      </c>
      <c r="AJ334" s="472">
        <v>120740.43</v>
      </c>
      <c r="AK334" s="472">
        <v>119294.15</v>
      </c>
      <c r="AL334" s="472">
        <v>94465.54</v>
      </c>
      <c r="AM334" s="472">
        <v>76980.14</v>
      </c>
      <c r="AN334" s="472">
        <v>57606.17</v>
      </c>
      <c r="AO334" s="472">
        <v>30438.97</v>
      </c>
      <c r="AP334" s="472">
        <v>343.1</v>
      </c>
      <c r="AQ334" s="472">
        <v>225.54</v>
      </c>
      <c r="AR334" s="472">
        <v>242.83</v>
      </c>
      <c r="AS334" s="472">
        <v>242.83</v>
      </c>
      <c r="AT334" s="472">
        <v>242.83</v>
      </c>
      <c r="AU334" s="472"/>
      <c r="AV334" s="800"/>
      <c r="AW334" s="472">
        <v>68.55</v>
      </c>
      <c r="AX334" s="472">
        <v>68.55</v>
      </c>
      <c r="AY334" s="472">
        <v>68.55</v>
      </c>
      <c r="AZ334" s="472"/>
      <c r="BA334" s="472"/>
      <c r="BB334" s="472"/>
      <c r="BC334" s="96"/>
      <c r="BD334" s="96">
        <v>0.0</v>
      </c>
      <c r="BE334" s="96">
        <v>0.0</v>
      </c>
      <c r="BF334" s="96">
        <v>0.0</v>
      </c>
      <c r="BG334" s="472" t="s">
        <v>377</v>
      </c>
      <c r="BH334" s="472">
        <v>0.0</v>
      </c>
      <c r="BI334" s="472" t="s">
        <v>377</v>
      </c>
      <c r="BJ334" s="472">
        <v>0.0</v>
      </c>
      <c r="BK334" s="472">
        <v>0.0</v>
      </c>
      <c r="BL334" s="472">
        <v>0.0</v>
      </c>
      <c r="BM334" s="472">
        <v>0.0</v>
      </c>
      <c r="BN334" s="472">
        <v>0.0</v>
      </c>
      <c r="BO334" s="472">
        <v>0.0</v>
      </c>
      <c r="BP334" s="472">
        <v>0.0</v>
      </c>
      <c r="BQ334" s="472">
        <v>0.0</v>
      </c>
      <c r="BR334" s="472">
        <v>0.0</v>
      </c>
      <c r="BS334" s="472">
        <v>0.0</v>
      </c>
      <c r="BT334" s="472">
        <v>0.0</v>
      </c>
      <c r="BU334" s="472">
        <v>0.0</v>
      </c>
      <c r="BV334" s="472">
        <v>0.0</v>
      </c>
      <c r="BW334" s="472">
        <v>0.0</v>
      </c>
      <c r="BX334" s="472">
        <v>0.0</v>
      </c>
      <c r="BY334" s="472">
        <v>0.0</v>
      </c>
      <c r="BZ334" s="472">
        <v>0.0</v>
      </c>
      <c r="CA334" s="474">
        <v>0.0</v>
      </c>
      <c r="CB334" s="474">
        <v>0.0</v>
      </c>
      <c r="CC334" s="474">
        <v>0.0</v>
      </c>
      <c r="CD334" s="474">
        <v>0.0</v>
      </c>
      <c r="CE334" s="474">
        <v>0.0</v>
      </c>
      <c r="CF334" s="474">
        <v>0.0</v>
      </c>
      <c r="CG334" s="474">
        <v>0.0</v>
      </c>
      <c r="CH334" s="65">
        <v>0.0</v>
      </c>
      <c r="CI334" s="65">
        <v>0.0</v>
      </c>
      <c r="CJ334" s="65">
        <v>0.0</v>
      </c>
      <c r="CK334" s="65">
        <v>0.0</v>
      </c>
      <c r="CL334" s="65">
        <v>0.0</v>
      </c>
      <c r="CM334" s="65">
        <v>0.0</v>
      </c>
      <c r="CN334" s="65">
        <v>0.0</v>
      </c>
    </row>
    <row r="335" ht="15.75" customHeight="1">
      <c r="A335" s="462" t="s">
        <v>2346</v>
      </c>
      <c r="B335" s="794" t="s">
        <v>7054</v>
      </c>
      <c r="C335" s="141">
        <v>343714.0</v>
      </c>
      <c r="D335" s="63" t="s">
        <v>255</v>
      </c>
      <c r="E335" s="63" t="s">
        <v>199</v>
      </c>
      <c r="F335" s="795" t="s">
        <v>3564</v>
      </c>
      <c r="G335" s="47" t="str">
        <f t="shared" si="1"/>
        <v>Breno</v>
      </c>
      <c r="H335" s="142" t="s">
        <v>295</v>
      </c>
      <c r="I335" s="49" t="s">
        <v>382</v>
      </c>
      <c r="J335" s="63" t="str">
        <f t="shared" si="4"/>
        <v>Não</v>
      </c>
      <c r="K335" s="796"/>
      <c r="L335" s="795"/>
      <c r="M335" s="81" t="s">
        <v>34</v>
      </c>
      <c r="N335" s="797">
        <v>0.012</v>
      </c>
      <c r="O335" s="141" t="s">
        <v>66</v>
      </c>
      <c r="P335" s="145">
        <v>0.0</v>
      </c>
      <c r="Q335" s="798"/>
      <c r="R335" s="798"/>
      <c r="S335" s="62" t="s">
        <v>194</v>
      </c>
      <c r="T335" s="799" t="s">
        <v>7055</v>
      </c>
      <c r="U335" s="795"/>
      <c r="V335" s="49" t="str">
        <f t="shared" si="3"/>
        <v>Inativo</v>
      </c>
      <c r="W335" s="150"/>
      <c r="X335" s="150"/>
      <c r="Y335" s="30" t="s">
        <v>244</v>
      </c>
      <c r="Z335" s="81"/>
      <c r="AA335" s="81"/>
      <c r="AB335" s="30"/>
      <c r="AC335" s="472"/>
      <c r="AD335" s="472"/>
      <c r="AE335" s="472"/>
      <c r="AF335" s="472"/>
      <c r="AG335" s="472"/>
      <c r="AH335" s="472"/>
      <c r="AI335" s="472"/>
      <c r="AJ335" s="472"/>
      <c r="AK335" s="472"/>
      <c r="AL335" s="472"/>
      <c r="AM335" s="472"/>
      <c r="AN335" s="472"/>
      <c r="AO335" s="472"/>
      <c r="AP335" s="472"/>
      <c r="AQ335" s="472"/>
      <c r="AR335" s="472"/>
      <c r="AS335" s="472"/>
      <c r="AT335" s="472"/>
      <c r="AU335" s="472"/>
      <c r="AV335" s="800"/>
      <c r="AW335" s="472"/>
      <c r="AX335" s="472"/>
      <c r="AY335" s="472"/>
      <c r="AZ335" s="472"/>
      <c r="BA335" s="472"/>
      <c r="BB335" s="472"/>
      <c r="BC335" s="96"/>
      <c r="BD335" s="96"/>
      <c r="BE335" s="96"/>
      <c r="BF335" s="96"/>
      <c r="BG335" s="472"/>
      <c r="BH335" s="472"/>
      <c r="BI335" s="472" t="s">
        <v>377</v>
      </c>
      <c r="BJ335" s="472">
        <v>0.0</v>
      </c>
      <c r="BK335" s="472">
        <v>0.0</v>
      </c>
      <c r="BL335" s="472">
        <v>0.0</v>
      </c>
      <c r="BM335" s="472">
        <v>0.0</v>
      </c>
      <c r="BN335" s="472">
        <v>0.0</v>
      </c>
      <c r="BO335" s="472">
        <v>0.0</v>
      </c>
      <c r="BP335" s="472">
        <v>0.0</v>
      </c>
      <c r="BQ335" s="472">
        <v>0.0</v>
      </c>
      <c r="BR335" s="472">
        <v>0.0</v>
      </c>
      <c r="BS335" s="472">
        <v>0.0</v>
      </c>
      <c r="BT335" s="472">
        <v>0.0</v>
      </c>
      <c r="BU335" s="472">
        <v>0.0</v>
      </c>
      <c r="BV335" s="472">
        <v>0.0</v>
      </c>
      <c r="BW335" s="472">
        <v>0.0</v>
      </c>
      <c r="BX335" s="472">
        <v>0.0</v>
      </c>
      <c r="BY335" s="472">
        <v>0.0</v>
      </c>
      <c r="BZ335" s="472">
        <v>0.0</v>
      </c>
      <c r="CA335" s="474">
        <v>0.0</v>
      </c>
      <c r="CB335" s="474">
        <v>0.0</v>
      </c>
      <c r="CC335" s="474">
        <v>0.0</v>
      </c>
      <c r="CD335" s="474">
        <v>0.0</v>
      </c>
      <c r="CE335" s="474">
        <v>0.0</v>
      </c>
      <c r="CF335" s="474">
        <v>0.0</v>
      </c>
      <c r="CG335" s="474">
        <v>0.0</v>
      </c>
      <c r="CH335" s="65">
        <v>0.0</v>
      </c>
      <c r="CI335" s="65">
        <v>0.0</v>
      </c>
      <c r="CJ335" s="65">
        <v>0.0</v>
      </c>
      <c r="CK335" s="65">
        <v>0.0</v>
      </c>
      <c r="CL335" s="65">
        <v>0.0</v>
      </c>
      <c r="CM335" s="65">
        <v>0.0</v>
      </c>
      <c r="CN335" s="65">
        <v>0.0</v>
      </c>
    </row>
    <row r="336" ht="15.75" customHeight="1">
      <c r="A336" s="462" t="s">
        <v>2346</v>
      </c>
      <c r="B336" s="584" t="s">
        <v>7057</v>
      </c>
      <c r="C336" s="141">
        <v>466217.0</v>
      </c>
      <c r="D336" s="63" t="s">
        <v>120</v>
      </c>
      <c r="E336" s="63" t="s">
        <v>91</v>
      </c>
      <c r="F336" s="81" t="s">
        <v>521</v>
      </c>
      <c r="G336" s="47" t="str">
        <f t="shared" si="1"/>
        <v>Breno</v>
      </c>
      <c r="H336" s="152" t="s">
        <v>224</v>
      </c>
      <c r="I336" s="74" t="s">
        <v>66</v>
      </c>
      <c r="J336" s="63" t="str">
        <f t="shared" si="4"/>
        <v>Não</v>
      </c>
      <c r="K336" s="467">
        <v>44278.0</v>
      </c>
      <c r="L336" s="467">
        <v>44322.0</v>
      </c>
      <c r="M336" s="81" t="s">
        <v>209</v>
      </c>
      <c r="N336" s="478">
        <v>0.015</v>
      </c>
      <c r="O336" s="63" t="s">
        <v>35</v>
      </c>
      <c r="P336" s="145">
        <v>0.1</v>
      </c>
      <c r="Q336" s="158"/>
      <c r="R336" s="158"/>
      <c r="S336" s="62" t="s">
        <v>234</v>
      </c>
      <c r="T336" s="30" t="s">
        <v>7061</v>
      </c>
      <c r="U336" s="95" t="s">
        <v>221</v>
      </c>
      <c r="V336" s="49" t="str">
        <f t="shared" si="3"/>
        <v>Encerrado</v>
      </c>
      <c r="W336" s="150"/>
      <c r="X336" s="150"/>
      <c r="Y336" s="81"/>
      <c r="Z336" s="81"/>
      <c r="AA336" s="81"/>
      <c r="AB336" s="30"/>
      <c r="AC336" s="482"/>
      <c r="AD336" s="482"/>
      <c r="AE336" s="482"/>
      <c r="AF336" s="482"/>
      <c r="AG336" s="482"/>
      <c r="AH336" s="482"/>
      <c r="AI336" s="482"/>
      <c r="AJ336" s="482"/>
      <c r="AK336" s="482"/>
      <c r="AL336" s="482"/>
      <c r="AM336" s="482"/>
      <c r="AN336" s="482"/>
      <c r="AO336" s="482"/>
      <c r="AP336" s="96"/>
      <c r="AQ336" s="96">
        <v>902992.55</v>
      </c>
      <c r="AR336" s="96">
        <v>638974.92</v>
      </c>
      <c r="AS336" s="96">
        <v>432462.17</v>
      </c>
      <c r="AT336" s="96">
        <v>19321.39</v>
      </c>
      <c r="AU336" s="96"/>
      <c r="AV336" s="482"/>
      <c r="AW336" s="482"/>
      <c r="AX336" s="482"/>
      <c r="AY336" s="96"/>
      <c r="AZ336" s="96"/>
      <c r="BA336" s="96"/>
      <c r="BB336" s="96"/>
      <c r="BC336" s="96"/>
      <c r="BD336" s="96">
        <v>0.0</v>
      </c>
      <c r="BE336" s="96">
        <v>0.0</v>
      </c>
      <c r="BF336" s="96">
        <v>0.0</v>
      </c>
      <c r="BG336" s="96" t="s">
        <v>377</v>
      </c>
      <c r="BH336" s="96">
        <v>0.0</v>
      </c>
      <c r="BI336" s="96" t="s">
        <v>377</v>
      </c>
      <c r="BJ336" s="96">
        <v>0.0</v>
      </c>
      <c r="BK336" s="472">
        <v>0.0</v>
      </c>
      <c r="BL336" s="472">
        <v>0.0</v>
      </c>
      <c r="BM336" s="472">
        <v>0.0</v>
      </c>
      <c r="BN336" s="472">
        <v>0.0</v>
      </c>
      <c r="BO336" s="472">
        <v>0.0</v>
      </c>
      <c r="BP336" s="472">
        <v>0.0</v>
      </c>
      <c r="BQ336" s="472">
        <v>0.0</v>
      </c>
      <c r="BR336" s="472">
        <v>0.0</v>
      </c>
      <c r="BS336" s="472">
        <v>0.0</v>
      </c>
      <c r="BT336" s="472">
        <v>0.0</v>
      </c>
      <c r="BU336" s="472">
        <v>0.0</v>
      </c>
      <c r="BV336" s="472">
        <v>0.0</v>
      </c>
      <c r="BW336" s="472">
        <v>0.0</v>
      </c>
      <c r="BX336" s="472">
        <v>0.0</v>
      </c>
      <c r="BY336" s="472">
        <v>0.0</v>
      </c>
      <c r="BZ336" s="472">
        <v>0.0</v>
      </c>
      <c r="CA336" s="474">
        <v>0.0</v>
      </c>
      <c r="CB336" s="474">
        <v>0.0</v>
      </c>
      <c r="CC336" s="474">
        <v>0.0</v>
      </c>
      <c r="CD336" s="474">
        <v>0.0</v>
      </c>
      <c r="CE336" s="474">
        <v>0.0</v>
      </c>
      <c r="CF336" s="474">
        <v>0.0</v>
      </c>
      <c r="CG336" s="474">
        <v>0.0</v>
      </c>
      <c r="CH336" s="65">
        <v>0.0</v>
      </c>
      <c r="CI336" s="65">
        <v>0.0</v>
      </c>
      <c r="CJ336" s="65">
        <v>0.0</v>
      </c>
      <c r="CK336" s="65">
        <v>0.0</v>
      </c>
      <c r="CL336" s="65">
        <v>0.0</v>
      </c>
      <c r="CM336" s="65">
        <v>0.0</v>
      </c>
      <c r="CN336" s="65">
        <v>0.0</v>
      </c>
    </row>
    <row r="337" ht="15.75" customHeight="1">
      <c r="A337" s="462" t="s">
        <v>2346</v>
      </c>
      <c r="B337" s="477" t="s">
        <v>7065</v>
      </c>
      <c r="C337" s="141">
        <v>459540.0</v>
      </c>
      <c r="D337" s="63" t="s">
        <v>120</v>
      </c>
      <c r="E337" s="63" t="s">
        <v>91</v>
      </c>
      <c r="F337" s="63" t="s">
        <v>193</v>
      </c>
      <c r="G337" s="47" t="str">
        <f t="shared" si="1"/>
        <v>Breno</v>
      </c>
      <c r="H337" s="142" t="s">
        <v>295</v>
      </c>
      <c r="I337" s="49" t="s">
        <v>382</v>
      </c>
      <c r="J337" s="63" t="str">
        <f t="shared" si="4"/>
        <v>Não</v>
      </c>
      <c r="K337" s="143">
        <v>44280.0</v>
      </c>
      <c r="L337" s="62"/>
      <c r="M337" s="81" t="s">
        <v>61</v>
      </c>
      <c r="N337" s="464">
        <v>0.007</v>
      </c>
      <c r="O337" s="141" t="s">
        <v>66</v>
      </c>
      <c r="P337" s="145">
        <v>0.0</v>
      </c>
      <c r="Q337" s="146"/>
      <c r="R337" s="158" t="s">
        <v>4947</v>
      </c>
      <c r="S337" s="62" t="s">
        <v>234</v>
      </c>
      <c r="T337" s="30" t="s">
        <v>7071</v>
      </c>
      <c r="U337" s="95" t="s">
        <v>221</v>
      </c>
      <c r="V337" s="49" t="str">
        <f t="shared" si="3"/>
        <v>Inativo</v>
      </c>
      <c r="W337" s="150"/>
      <c r="X337" s="150"/>
      <c r="Y337" s="30" t="s">
        <v>244</v>
      </c>
      <c r="Z337" s="81"/>
      <c r="AA337" s="467">
        <v>44280.0</v>
      </c>
      <c r="AB337" s="30">
        <v>4.9075100004684E13</v>
      </c>
      <c r="AC337" s="482"/>
      <c r="AD337" s="482"/>
      <c r="AE337" s="482"/>
      <c r="AF337" s="482"/>
      <c r="AG337" s="482"/>
      <c r="AH337" s="482"/>
      <c r="AI337" s="482"/>
      <c r="AJ337" s="482"/>
      <c r="AK337" s="482"/>
      <c r="AL337" s="482"/>
      <c r="AM337" s="482"/>
      <c r="AN337" s="482"/>
      <c r="AO337" s="482"/>
      <c r="AP337" s="96"/>
      <c r="AQ337" s="471"/>
      <c r="AR337" s="471">
        <v>686952.97</v>
      </c>
      <c r="AS337" s="471">
        <v>634538.19</v>
      </c>
      <c r="AT337" s="471">
        <v>638637.15</v>
      </c>
      <c r="AU337" s="471">
        <v>654845.63</v>
      </c>
      <c r="AV337" s="96">
        <v>652020.47</v>
      </c>
      <c r="AW337" s="96">
        <v>706243.54</v>
      </c>
      <c r="AX337" s="96">
        <v>734919.45</v>
      </c>
      <c r="AY337" s="96">
        <v>715827.76</v>
      </c>
      <c r="AZ337" s="96">
        <v>686011.65</v>
      </c>
      <c r="BA337" s="96">
        <v>771240.46</v>
      </c>
      <c r="BB337" s="96">
        <v>771968.7</v>
      </c>
      <c r="BC337" s="96">
        <v>794167.88</v>
      </c>
      <c r="BD337" s="96">
        <v>805984.03</v>
      </c>
      <c r="BE337" s="96">
        <v>839673.71</v>
      </c>
      <c r="BF337" s="96">
        <v>817517.54</v>
      </c>
      <c r="BG337" s="472">
        <v>816130.87</v>
      </c>
      <c r="BH337" s="472">
        <v>942464.32</v>
      </c>
      <c r="BI337" s="472">
        <v>950858.67</v>
      </c>
      <c r="BJ337" s="472">
        <v>956190.77</v>
      </c>
      <c r="BK337" s="472">
        <v>779313.77</v>
      </c>
      <c r="BL337" s="472">
        <v>791676.57</v>
      </c>
      <c r="BM337" s="472">
        <v>796869.86</v>
      </c>
      <c r="BN337" s="472">
        <v>54962.52</v>
      </c>
      <c r="BO337" s="472">
        <v>2.64</v>
      </c>
      <c r="BP337" s="472">
        <v>2.64</v>
      </c>
      <c r="BQ337" s="472">
        <v>2.66</v>
      </c>
      <c r="BR337" s="472">
        <v>2.66</v>
      </c>
      <c r="BS337" s="472">
        <v>2.66</v>
      </c>
      <c r="BT337" s="472">
        <v>0.0</v>
      </c>
      <c r="BU337" s="472">
        <v>0.0</v>
      </c>
      <c r="BV337" s="472">
        <v>0.0</v>
      </c>
      <c r="BW337" s="472">
        <v>0.0</v>
      </c>
      <c r="BX337" s="472">
        <v>0.0</v>
      </c>
      <c r="BY337" s="472">
        <v>0.0</v>
      </c>
      <c r="BZ337" s="472">
        <v>0.0</v>
      </c>
      <c r="CA337" s="474">
        <v>0.0</v>
      </c>
      <c r="CB337" s="474">
        <v>0.0</v>
      </c>
      <c r="CC337" s="474">
        <v>0.0</v>
      </c>
      <c r="CD337" s="474">
        <v>0.0</v>
      </c>
      <c r="CE337" s="474">
        <v>0.0</v>
      </c>
      <c r="CF337" s="474">
        <v>0.0</v>
      </c>
      <c r="CG337" s="474">
        <v>0.0</v>
      </c>
      <c r="CH337" s="65">
        <v>0.0</v>
      </c>
      <c r="CI337" s="65">
        <v>0.0</v>
      </c>
      <c r="CJ337" s="65">
        <v>0.0</v>
      </c>
      <c r="CK337" s="65">
        <v>0.0</v>
      </c>
      <c r="CL337" s="65">
        <v>0.0</v>
      </c>
      <c r="CM337" s="65">
        <v>0.0</v>
      </c>
      <c r="CN337" s="65">
        <v>0.0</v>
      </c>
    </row>
    <row r="338" ht="15.75" customHeight="1">
      <c r="A338" s="462" t="s">
        <v>2346</v>
      </c>
      <c r="B338" s="176" t="s">
        <v>1500</v>
      </c>
      <c r="C338" s="141">
        <v>34113.0</v>
      </c>
      <c r="D338" s="63" t="s">
        <v>120</v>
      </c>
      <c r="E338" s="63" t="s">
        <v>91</v>
      </c>
      <c r="F338" s="81" t="s">
        <v>521</v>
      </c>
      <c r="G338" s="47" t="str">
        <f t="shared" si="1"/>
        <v>Breno</v>
      </c>
      <c r="H338" s="142" t="s">
        <v>183</v>
      </c>
      <c r="I338" s="74" t="s">
        <v>66</v>
      </c>
      <c r="J338" s="63" t="str">
        <f t="shared" si="4"/>
        <v>Não</v>
      </c>
      <c r="K338" s="194">
        <v>45040.0</v>
      </c>
      <c r="L338" s="62"/>
      <c r="M338" s="81" t="s">
        <v>231</v>
      </c>
      <c r="N338" s="464">
        <v>0.025</v>
      </c>
      <c r="O338" s="141" t="s">
        <v>233</v>
      </c>
      <c r="P338" s="145">
        <v>0.2</v>
      </c>
      <c r="Q338" s="158"/>
      <c r="R338" s="158"/>
      <c r="S338" s="62" t="s">
        <v>194</v>
      </c>
      <c r="T338" s="22" t="s">
        <v>1502</v>
      </c>
      <c r="U338" s="22" t="s">
        <v>221</v>
      </c>
      <c r="V338" s="49" t="str">
        <f t="shared" si="3"/>
        <v>Ativo</v>
      </c>
      <c r="W338" s="150"/>
      <c r="X338" s="150"/>
      <c r="Y338" s="30" t="s">
        <v>244</v>
      </c>
      <c r="Z338" s="81"/>
      <c r="AA338" s="467">
        <v>45040.0</v>
      </c>
      <c r="AB338" s="30">
        <v>4.9075100007901E13</v>
      </c>
      <c r="AC338" s="482"/>
      <c r="AD338" s="482"/>
      <c r="AE338" s="482"/>
      <c r="AF338" s="482"/>
      <c r="AG338" s="482"/>
      <c r="AH338" s="482"/>
      <c r="AI338" s="482"/>
      <c r="AJ338" s="482"/>
      <c r="AK338" s="482"/>
      <c r="AL338" s="482"/>
      <c r="AM338" s="482"/>
      <c r="AN338" s="482"/>
      <c r="AO338" s="482"/>
      <c r="AP338" s="96"/>
      <c r="AQ338" s="471"/>
      <c r="AR338" s="471"/>
      <c r="AS338" s="471"/>
      <c r="AT338" s="471"/>
      <c r="AU338" s="471"/>
      <c r="AV338" s="96"/>
      <c r="AW338" s="96"/>
      <c r="AX338" s="96"/>
      <c r="AY338" s="96"/>
      <c r="AZ338" s="96"/>
      <c r="BA338" s="96"/>
      <c r="BB338" s="96"/>
      <c r="BC338" s="96"/>
      <c r="BD338" s="96"/>
      <c r="BE338" s="96"/>
      <c r="BF338" s="96"/>
      <c r="BG338" s="472"/>
      <c r="BH338" s="472"/>
      <c r="BI338" s="472"/>
      <c r="BJ338" s="472"/>
      <c r="BK338" s="472"/>
      <c r="BL338" s="472"/>
      <c r="BM338" s="472"/>
      <c r="BN338" s="472"/>
      <c r="BO338" s="472"/>
      <c r="BP338" s="472"/>
      <c r="BQ338" s="472">
        <v>0.0</v>
      </c>
      <c r="BR338" s="472">
        <v>12596.21</v>
      </c>
      <c r="BS338" s="472">
        <v>22963.62</v>
      </c>
      <c r="BT338" s="472">
        <v>38499.54</v>
      </c>
      <c r="BU338" s="472">
        <v>53394.05</v>
      </c>
      <c r="BV338" s="472">
        <v>62998.04</v>
      </c>
      <c r="BW338" s="472">
        <v>60444.3</v>
      </c>
      <c r="BX338" s="472">
        <v>57558.98</v>
      </c>
      <c r="BY338" s="472">
        <v>62030.87</v>
      </c>
      <c r="BZ338" s="472">
        <v>64872.79</v>
      </c>
      <c r="CA338" s="474">
        <v>60701.42</v>
      </c>
      <c r="CB338" s="474">
        <v>61893.34</v>
      </c>
      <c r="CC338" s="474">
        <v>72281.82</v>
      </c>
      <c r="CD338" s="474">
        <v>78208.44</v>
      </c>
      <c r="CE338" s="474">
        <v>76949.17</v>
      </c>
      <c r="CF338" s="474">
        <v>95578.65</v>
      </c>
      <c r="CG338" s="474">
        <v>94400.37</v>
      </c>
      <c r="CH338" s="65">
        <v>119691.19</v>
      </c>
      <c r="CI338" s="65">
        <v>126817.92</v>
      </c>
      <c r="CJ338" s="65">
        <v>121050.88</v>
      </c>
      <c r="CK338" s="65">
        <v>741.67</v>
      </c>
      <c r="CL338" s="65">
        <v>0.0</v>
      </c>
      <c r="CM338" s="65">
        <v>0.0</v>
      </c>
      <c r="CN338" s="65">
        <v>0.0</v>
      </c>
    </row>
    <row r="339" ht="15.75" customHeight="1">
      <c r="A339" s="462" t="s">
        <v>2346</v>
      </c>
      <c r="B339" s="176" t="s">
        <v>1500</v>
      </c>
      <c r="C339" s="141">
        <v>32948.0</v>
      </c>
      <c r="D339" s="63" t="s">
        <v>120</v>
      </c>
      <c r="E339" s="63" t="s">
        <v>91</v>
      </c>
      <c r="F339" s="81" t="s">
        <v>521</v>
      </c>
      <c r="G339" s="47" t="str">
        <f t="shared" si="1"/>
        <v>Breno</v>
      </c>
      <c r="H339" s="142" t="s">
        <v>183</v>
      </c>
      <c r="I339" s="74" t="s">
        <v>66</v>
      </c>
      <c r="J339" s="63" t="str">
        <f t="shared" si="4"/>
        <v>Não</v>
      </c>
      <c r="K339" s="194">
        <v>44644.0</v>
      </c>
      <c r="L339" s="62"/>
      <c r="M339" s="81" t="s">
        <v>34</v>
      </c>
      <c r="N339" s="464">
        <v>0.012</v>
      </c>
      <c r="O339" s="141" t="s">
        <v>66</v>
      </c>
      <c r="P339" s="145">
        <v>0.0</v>
      </c>
      <c r="Q339" s="158"/>
      <c r="R339" s="158"/>
      <c r="S339" s="62" t="s">
        <v>194</v>
      </c>
      <c r="T339" s="22" t="s">
        <v>1502</v>
      </c>
      <c r="U339" s="95" t="s">
        <v>221</v>
      </c>
      <c r="V339" s="49" t="str">
        <f t="shared" si="3"/>
        <v>Ativo</v>
      </c>
      <c r="W339" s="150"/>
      <c r="X339" s="150"/>
      <c r="Y339" s="30" t="s">
        <v>244</v>
      </c>
      <c r="Z339" s="81"/>
      <c r="AA339" s="467">
        <v>44644.0</v>
      </c>
      <c r="AB339" s="30">
        <v>4.9075100004511E13</v>
      </c>
      <c r="AC339" s="482"/>
      <c r="AD339" s="482"/>
      <c r="AE339" s="482"/>
      <c r="AF339" s="482"/>
      <c r="AG339" s="482"/>
      <c r="AH339" s="482"/>
      <c r="AI339" s="482"/>
      <c r="AJ339" s="482"/>
      <c r="AK339" s="482"/>
      <c r="AL339" s="482"/>
      <c r="AM339" s="482"/>
      <c r="AN339" s="482"/>
      <c r="AO339" s="482"/>
      <c r="AP339" s="96"/>
      <c r="AQ339" s="471"/>
      <c r="AR339" s="471"/>
      <c r="AS339" s="471"/>
      <c r="AT339" s="471"/>
      <c r="AU339" s="471"/>
      <c r="AV339" s="96"/>
      <c r="AW339" s="96"/>
      <c r="AX339" s="96"/>
      <c r="AY339" s="96"/>
      <c r="AZ339" s="96"/>
      <c r="BA339" s="96"/>
      <c r="BB339" s="96"/>
      <c r="BC339" s="96"/>
      <c r="BD339" s="96"/>
      <c r="BE339" s="96">
        <v>615955.51</v>
      </c>
      <c r="BF339" s="96">
        <v>614629.92</v>
      </c>
      <c r="BG339" s="472">
        <v>547078.91</v>
      </c>
      <c r="BH339" s="472">
        <v>545981.14</v>
      </c>
      <c r="BI339" s="472">
        <v>551443.85</v>
      </c>
      <c r="BJ339" s="472">
        <v>558193.25</v>
      </c>
      <c r="BK339" s="472">
        <v>563192.86</v>
      </c>
      <c r="BL339" s="472">
        <v>575705.71</v>
      </c>
      <c r="BM339" s="472">
        <v>573823.41</v>
      </c>
      <c r="BN339" s="472">
        <v>579042.71</v>
      </c>
      <c r="BO339" s="472">
        <v>585520.34</v>
      </c>
      <c r="BP339" s="472">
        <v>590635.89</v>
      </c>
      <c r="BQ339" s="472">
        <v>598021.74</v>
      </c>
      <c r="BR339" s="472">
        <v>605946.86</v>
      </c>
      <c r="BS339" s="472">
        <v>603104.85</v>
      </c>
      <c r="BT339" s="472">
        <v>595785.46</v>
      </c>
      <c r="BU339" s="472">
        <v>589471.01</v>
      </c>
      <c r="BV339" s="472">
        <v>588746.55</v>
      </c>
      <c r="BW339" s="472">
        <v>588202.65</v>
      </c>
      <c r="BX339" s="472">
        <v>588697.15</v>
      </c>
      <c r="BY339" s="472">
        <v>599378.93</v>
      </c>
      <c r="BZ339" s="472">
        <v>607658.32</v>
      </c>
      <c r="CA339" s="474">
        <v>575078.17</v>
      </c>
      <c r="CB339" s="474">
        <v>610149.06</v>
      </c>
      <c r="CC339" s="474">
        <v>576823.85</v>
      </c>
      <c r="CD339" s="474">
        <v>607012.48</v>
      </c>
      <c r="CE339" s="474">
        <v>601678.03</v>
      </c>
      <c r="CF339" s="474">
        <v>609797.1</v>
      </c>
      <c r="CG339" s="474">
        <v>611121.6</v>
      </c>
      <c r="CH339" s="65">
        <v>613975.36</v>
      </c>
      <c r="CI339" s="65">
        <v>624037.66</v>
      </c>
      <c r="CJ339" s="65">
        <v>624197.59</v>
      </c>
      <c r="CK339" s="65">
        <v>675.39</v>
      </c>
      <c r="CL339" s="65">
        <v>0.0</v>
      </c>
      <c r="CM339" s="65">
        <v>0.0</v>
      </c>
      <c r="CN339" s="65">
        <v>0.0</v>
      </c>
    </row>
    <row r="340" ht="15.75" customHeight="1">
      <c r="A340" s="140" t="s">
        <v>2346</v>
      </c>
      <c r="B340" s="43" t="s">
        <v>1500</v>
      </c>
      <c r="C340" s="141">
        <v>738272.0</v>
      </c>
      <c r="D340" s="141" t="s">
        <v>120</v>
      </c>
      <c r="E340" s="141" t="s">
        <v>91</v>
      </c>
      <c r="F340" s="81" t="s">
        <v>521</v>
      </c>
      <c r="G340" s="47" t="str">
        <f t="shared" si="1"/>
        <v>Breno</v>
      </c>
      <c r="H340" s="152" t="s">
        <v>183</v>
      </c>
      <c r="I340" s="49" t="s">
        <v>66</v>
      </c>
      <c r="J340" s="63" t="str">
        <f t="shared" si="4"/>
        <v>Não</v>
      </c>
      <c r="K340" s="55">
        <v>45363.0</v>
      </c>
      <c r="L340" s="62"/>
      <c r="M340" s="30" t="s">
        <v>213</v>
      </c>
      <c r="N340" s="738">
        <v>0.005</v>
      </c>
      <c r="O340" s="141" t="s">
        <v>66</v>
      </c>
      <c r="P340" s="162">
        <v>0.0</v>
      </c>
      <c r="Q340" s="158"/>
      <c r="R340" s="153" t="s">
        <v>1518</v>
      </c>
      <c r="S340" s="32" t="s">
        <v>194</v>
      </c>
      <c r="T340" s="22" t="s">
        <v>1502</v>
      </c>
      <c r="U340" s="95" t="s">
        <v>221</v>
      </c>
      <c r="V340" s="49" t="str">
        <f t="shared" si="3"/>
        <v>Ativo</v>
      </c>
      <c r="W340" s="150"/>
      <c r="X340" s="150"/>
      <c r="Y340" s="30" t="s">
        <v>244</v>
      </c>
      <c r="Z340" s="81"/>
      <c r="AA340" s="151">
        <v>45363.0</v>
      </c>
      <c r="AB340" s="30">
        <v>4.9075100013977E13</v>
      </c>
      <c r="AC340" s="482"/>
      <c r="AD340" s="482"/>
      <c r="AE340" s="482"/>
      <c r="AF340" s="482"/>
      <c r="AG340" s="482"/>
      <c r="AH340" s="482"/>
      <c r="AI340" s="482"/>
      <c r="AJ340" s="482"/>
      <c r="AK340" s="482"/>
      <c r="AL340" s="482"/>
      <c r="AM340" s="482"/>
      <c r="AN340" s="482"/>
      <c r="AO340" s="482"/>
      <c r="AP340" s="96"/>
      <c r="AQ340" s="471"/>
      <c r="AR340" s="471"/>
      <c r="AS340" s="471"/>
      <c r="AT340" s="471"/>
      <c r="AU340" s="471"/>
      <c r="AV340" s="96"/>
      <c r="AW340" s="96"/>
      <c r="AX340" s="96"/>
      <c r="AY340" s="96"/>
      <c r="AZ340" s="96"/>
      <c r="BA340" s="96"/>
      <c r="BB340" s="96"/>
      <c r="BC340" s="96"/>
      <c r="BD340" s="96"/>
      <c r="BE340" s="96"/>
      <c r="BF340" s="96"/>
      <c r="BG340" s="472"/>
      <c r="BH340" s="472"/>
      <c r="BI340" s="472"/>
      <c r="BJ340" s="472"/>
      <c r="BK340" s="472"/>
      <c r="BL340" s="472"/>
      <c r="BM340" s="472"/>
      <c r="BN340" s="472"/>
      <c r="BO340" s="472"/>
      <c r="BP340" s="472"/>
      <c r="BQ340" s="472"/>
      <c r="BR340" s="472"/>
      <c r="BS340" s="472"/>
      <c r="BT340" s="472"/>
      <c r="BU340" s="472"/>
      <c r="BV340" s="472"/>
      <c r="BW340" s="472"/>
      <c r="BX340" s="472"/>
      <c r="BY340" s="472"/>
      <c r="BZ340" s="472"/>
      <c r="CA340" s="474"/>
      <c r="CB340" s="474"/>
      <c r="CC340" s="474">
        <v>20440.68</v>
      </c>
      <c r="CD340" s="474">
        <v>28445.12</v>
      </c>
      <c r="CE340" s="474">
        <v>32513.74</v>
      </c>
      <c r="CF340" s="474">
        <v>39799.51</v>
      </c>
      <c r="CG340" s="474">
        <v>46689.45</v>
      </c>
      <c r="CH340" s="65">
        <v>55536.17</v>
      </c>
      <c r="CI340" s="65">
        <v>55990.45</v>
      </c>
      <c r="CJ340" s="65">
        <v>59522.87</v>
      </c>
      <c r="CK340" s="65">
        <v>0.0</v>
      </c>
      <c r="CL340" s="65">
        <v>0.0</v>
      </c>
      <c r="CM340" s="65">
        <v>0.0</v>
      </c>
      <c r="CN340" s="65">
        <v>0.0</v>
      </c>
    </row>
    <row r="341" ht="15.75" customHeight="1">
      <c r="A341" s="462" t="s">
        <v>2346</v>
      </c>
      <c r="B341" s="510" t="s">
        <v>5268</v>
      </c>
      <c r="C341" s="141">
        <v>34048.0</v>
      </c>
      <c r="D341" s="63" t="s">
        <v>669</v>
      </c>
      <c r="E341" s="63" t="s">
        <v>199</v>
      </c>
      <c r="F341" s="81" t="s">
        <v>2388</v>
      </c>
      <c r="G341" s="47" t="str">
        <f t="shared" si="1"/>
        <v>Breno</v>
      </c>
      <c r="H341" s="152" t="s">
        <v>224</v>
      </c>
      <c r="I341" s="74" t="s">
        <v>66</v>
      </c>
      <c r="J341" s="63" t="str">
        <f t="shared" si="4"/>
        <v>Não</v>
      </c>
      <c r="K341" s="467">
        <v>43607.0</v>
      </c>
      <c r="L341" s="467">
        <v>44448.0</v>
      </c>
      <c r="M341" s="81" t="s">
        <v>209</v>
      </c>
      <c r="N341" s="478">
        <v>0.01</v>
      </c>
      <c r="O341" s="63" t="s">
        <v>35</v>
      </c>
      <c r="P341" s="145">
        <v>0.1</v>
      </c>
      <c r="Q341" s="158"/>
      <c r="R341" s="190"/>
      <c r="S341" s="62" t="s">
        <v>194</v>
      </c>
      <c r="T341" s="30" t="s">
        <v>7102</v>
      </c>
      <c r="U341" s="81" t="s">
        <v>199</v>
      </c>
      <c r="V341" s="49" t="str">
        <f t="shared" si="3"/>
        <v>Encerrado</v>
      </c>
      <c r="W341" s="150"/>
      <c r="X341" s="150"/>
      <c r="Y341" s="81"/>
      <c r="Z341" s="81"/>
      <c r="AA341" s="81"/>
      <c r="AB341" s="30"/>
      <c r="AC341" s="96">
        <v>1036574.26</v>
      </c>
      <c r="AD341" s="96">
        <v>1008979.05</v>
      </c>
      <c r="AE341" s="96">
        <v>962090.78</v>
      </c>
      <c r="AF341" s="96">
        <v>976628.06</v>
      </c>
      <c r="AG341" s="96">
        <v>984391.65</v>
      </c>
      <c r="AH341" s="96">
        <v>813260.29</v>
      </c>
      <c r="AI341" s="96">
        <v>829766.98</v>
      </c>
      <c r="AJ341" s="96">
        <v>820529.95</v>
      </c>
      <c r="AK341" s="96">
        <v>811723.72</v>
      </c>
      <c r="AL341" s="96">
        <v>534566.21</v>
      </c>
      <c r="AM341" s="96">
        <v>549357.25</v>
      </c>
      <c r="AN341" s="96">
        <v>558000.06</v>
      </c>
      <c r="AO341" s="96">
        <v>553644.42</v>
      </c>
      <c r="AP341" s="96">
        <v>545049.51</v>
      </c>
      <c r="AQ341" s="96">
        <v>546450.87</v>
      </c>
      <c r="AR341" s="96">
        <v>548553.21</v>
      </c>
      <c r="AS341" s="96">
        <v>566018.01</v>
      </c>
      <c r="AT341" s="96">
        <v>553823.97</v>
      </c>
      <c r="AU341" s="96">
        <v>560239.4</v>
      </c>
      <c r="AV341" s="96">
        <v>560039.44</v>
      </c>
      <c r="AW341" s="96">
        <v>558892.47</v>
      </c>
      <c r="AX341" s="96">
        <v>555581.44</v>
      </c>
      <c r="AY341" s="96">
        <v>552879.15</v>
      </c>
      <c r="AZ341" s="96"/>
      <c r="BA341" s="96"/>
      <c r="BB341" s="96"/>
      <c r="BC341" s="96"/>
      <c r="BD341" s="96">
        <v>0.0</v>
      </c>
      <c r="BE341" s="96">
        <v>0.0</v>
      </c>
      <c r="BF341" s="96">
        <v>0.0</v>
      </c>
      <c r="BG341" s="505" t="s">
        <v>377</v>
      </c>
      <c r="BH341" s="96">
        <v>0.0</v>
      </c>
      <c r="BI341" s="96" t="s">
        <v>377</v>
      </c>
      <c r="BJ341" s="96">
        <v>0.0</v>
      </c>
      <c r="BK341" s="472">
        <v>0.0</v>
      </c>
      <c r="BL341" s="472">
        <v>0.0</v>
      </c>
      <c r="BM341" s="472">
        <v>0.0</v>
      </c>
      <c r="BN341" s="472">
        <v>0.0</v>
      </c>
      <c r="BO341" s="472">
        <v>0.0</v>
      </c>
      <c r="BP341" s="472">
        <v>0.0</v>
      </c>
      <c r="BQ341" s="472">
        <v>0.0</v>
      </c>
      <c r="BR341" s="472">
        <v>0.0</v>
      </c>
      <c r="BS341" s="472">
        <v>0.0</v>
      </c>
      <c r="BT341" s="472">
        <v>0.0</v>
      </c>
      <c r="BU341" s="472">
        <v>0.0</v>
      </c>
      <c r="BV341" s="472">
        <v>0.0</v>
      </c>
      <c r="BW341" s="472">
        <v>0.0</v>
      </c>
      <c r="BX341" s="472">
        <v>0.0</v>
      </c>
      <c r="BY341" s="472">
        <v>0.0</v>
      </c>
      <c r="BZ341" s="472">
        <v>0.0</v>
      </c>
      <c r="CA341" s="474">
        <v>0.0</v>
      </c>
      <c r="CB341" s="474">
        <v>0.0</v>
      </c>
      <c r="CC341" s="474">
        <v>0.0</v>
      </c>
      <c r="CD341" s="474">
        <v>0.0</v>
      </c>
      <c r="CE341" s="474">
        <v>0.0</v>
      </c>
      <c r="CF341" s="474">
        <v>0.0</v>
      </c>
      <c r="CG341" s="474">
        <v>0.0</v>
      </c>
      <c r="CH341" s="65">
        <v>0.0</v>
      </c>
      <c r="CI341" s="65">
        <v>0.0</v>
      </c>
      <c r="CJ341" s="65">
        <v>0.0</v>
      </c>
      <c r="CK341" s="65">
        <v>0.0</v>
      </c>
      <c r="CL341" s="65">
        <v>0.0</v>
      </c>
      <c r="CM341" s="65">
        <v>0.0</v>
      </c>
      <c r="CN341" s="65">
        <v>0.0</v>
      </c>
    </row>
    <row r="342" ht="15.75" customHeight="1">
      <c r="A342" s="462" t="s">
        <v>2346</v>
      </c>
      <c r="B342" s="176" t="s">
        <v>7111</v>
      </c>
      <c r="C342" s="141">
        <v>32311.0</v>
      </c>
      <c r="D342" s="63" t="s">
        <v>120</v>
      </c>
      <c r="E342" s="63" t="s">
        <v>91</v>
      </c>
      <c r="F342" s="63" t="s">
        <v>521</v>
      </c>
      <c r="G342" s="47" t="str">
        <f t="shared" si="1"/>
        <v>Breno</v>
      </c>
      <c r="H342" s="142" t="s">
        <v>295</v>
      </c>
      <c r="I342" s="49" t="s">
        <v>382</v>
      </c>
      <c r="J342" s="63" t="str">
        <f t="shared" si="4"/>
        <v>Não</v>
      </c>
      <c r="K342" s="143">
        <v>44595.0</v>
      </c>
      <c r="L342" s="62"/>
      <c r="M342" s="81" t="s">
        <v>209</v>
      </c>
      <c r="N342" s="464">
        <v>0.015</v>
      </c>
      <c r="O342" s="63" t="s">
        <v>35</v>
      </c>
      <c r="P342" s="145">
        <v>0.1</v>
      </c>
      <c r="Q342" s="190"/>
      <c r="R342" s="158" t="s">
        <v>7116</v>
      </c>
      <c r="S342" s="62" t="s">
        <v>194</v>
      </c>
      <c r="T342" s="22" t="s">
        <v>7117</v>
      </c>
      <c r="U342" s="95" t="s">
        <v>221</v>
      </c>
      <c r="V342" s="49" t="str">
        <f t="shared" si="3"/>
        <v>Inativo</v>
      </c>
      <c r="W342" s="150"/>
      <c r="X342" s="150"/>
      <c r="Y342" s="30" t="s">
        <v>244</v>
      </c>
      <c r="Z342" s="81"/>
      <c r="AA342" s="467">
        <v>44595.0</v>
      </c>
      <c r="AB342" s="30">
        <v>4.9075100010102E13</v>
      </c>
      <c r="AC342" s="482"/>
      <c r="AD342" s="482"/>
      <c r="AE342" s="482"/>
      <c r="AF342" s="482"/>
      <c r="AG342" s="482"/>
      <c r="AH342" s="482"/>
      <c r="AI342" s="482"/>
      <c r="AJ342" s="482"/>
      <c r="AK342" s="482"/>
      <c r="AL342" s="482"/>
      <c r="AM342" s="482"/>
      <c r="AN342" s="482"/>
      <c r="AO342" s="482"/>
      <c r="AP342" s="96"/>
      <c r="AQ342" s="471"/>
      <c r="AR342" s="471"/>
      <c r="AS342" s="471"/>
      <c r="AT342" s="471"/>
      <c r="AU342" s="471"/>
      <c r="AV342" s="96"/>
      <c r="AW342" s="96"/>
      <c r="AX342" s="96"/>
      <c r="AY342" s="96"/>
      <c r="AZ342" s="96"/>
      <c r="BA342" s="96"/>
      <c r="BB342" s="96"/>
      <c r="BC342" s="96"/>
      <c r="BD342" s="96">
        <v>89854.71</v>
      </c>
      <c r="BE342" s="96">
        <v>93377.16</v>
      </c>
      <c r="BF342" s="96">
        <v>91923.88</v>
      </c>
      <c r="BG342" s="472">
        <v>91543.23</v>
      </c>
      <c r="BH342" s="472">
        <v>91986.67</v>
      </c>
      <c r="BI342" s="472">
        <v>93532.34</v>
      </c>
      <c r="BJ342" s="472">
        <v>94571.87</v>
      </c>
      <c r="BK342" s="472">
        <v>95359.44</v>
      </c>
      <c r="BL342" s="472">
        <v>98451.51</v>
      </c>
      <c r="BM342" s="472">
        <v>97454.55</v>
      </c>
      <c r="BN342" s="472">
        <v>98254.55</v>
      </c>
      <c r="BO342" s="472">
        <v>99452.14</v>
      </c>
      <c r="BP342" s="472">
        <v>100148.49</v>
      </c>
      <c r="BQ342" s="472">
        <v>101405.23</v>
      </c>
      <c r="BR342" s="472">
        <v>101752.69</v>
      </c>
      <c r="BS342" s="472">
        <v>104423.47</v>
      </c>
      <c r="BT342" s="472">
        <v>102509.81</v>
      </c>
      <c r="BU342" s="472">
        <v>18.03</v>
      </c>
      <c r="BV342" s="472">
        <v>18.03</v>
      </c>
      <c r="BW342" s="472">
        <v>0.0</v>
      </c>
      <c r="BX342" s="472">
        <v>0.01</v>
      </c>
      <c r="BY342" s="472">
        <v>0.0</v>
      </c>
      <c r="BZ342" s="472">
        <v>0.0</v>
      </c>
      <c r="CA342" s="474">
        <v>0.0</v>
      </c>
      <c r="CB342" s="474">
        <v>0.0</v>
      </c>
      <c r="CC342" s="474">
        <v>0.0</v>
      </c>
      <c r="CD342" s="474">
        <v>0.0</v>
      </c>
      <c r="CE342" s="474">
        <v>0.0</v>
      </c>
      <c r="CF342" s="474">
        <v>0.0</v>
      </c>
      <c r="CG342" s="474">
        <v>0.0</v>
      </c>
      <c r="CH342" s="65">
        <v>0.0</v>
      </c>
      <c r="CI342" s="65">
        <v>0.0</v>
      </c>
      <c r="CJ342" s="65">
        <v>0.0</v>
      </c>
      <c r="CK342" s="65">
        <v>0.0</v>
      </c>
      <c r="CL342" s="65">
        <v>0.0</v>
      </c>
      <c r="CM342" s="65">
        <v>0.0</v>
      </c>
      <c r="CN342" s="65">
        <v>0.0</v>
      </c>
    </row>
    <row r="343" ht="15.75" customHeight="1">
      <c r="A343" s="462" t="s">
        <v>2346</v>
      </c>
      <c r="B343" s="176" t="s">
        <v>7111</v>
      </c>
      <c r="C343" s="141">
        <v>476032.0</v>
      </c>
      <c r="D343" s="63" t="s">
        <v>120</v>
      </c>
      <c r="E343" s="63" t="s">
        <v>91</v>
      </c>
      <c r="F343" s="63" t="s">
        <v>521</v>
      </c>
      <c r="G343" s="47" t="str">
        <f t="shared" si="1"/>
        <v>Breno</v>
      </c>
      <c r="H343" s="142" t="s">
        <v>295</v>
      </c>
      <c r="I343" s="49" t="s">
        <v>382</v>
      </c>
      <c r="J343" s="63" t="str">
        <f t="shared" si="4"/>
        <v>Não</v>
      </c>
      <c r="K343" s="63"/>
      <c r="L343" s="62"/>
      <c r="M343" s="62" t="s">
        <v>4910</v>
      </c>
      <c r="N343" s="464">
        <v>0.01</v>
      </c>
      <c r="O343" s="141" t="s">
        <v>66</v>
      </c>
      <c r="P343" s="145">
        <v>0.0</v>
      </c>
      <c r="Q343" s="158"/>
      <c r="R343" s="158"/>
      <c r="S343" s="62" t="s">
        <v>194</v>
      </c>
      <c r="T343" s="22" t="s">
        <v>7117</v>
      </c>
      <c r="U343" s="95" t="s">
        <v>221</v>
      </c>
      <c r="V343" s="49" t="str">
        <f t="shared" si="3"/>
        <v>Inativo</v>
      </c>
      <c r="W343" s="150"/>
      <c r="X343" s="150"/>
      <c r="Y343" s="30" t="s">
        <v>269</v>
      </c>
      <c r="Z343" s="81"/>
      <c r="AA343" s="81"/>
      <c r="AB343" s="30"/>
      <c r="AC343" s="482"/>
      <c r="AD343" s="482"/>
      <c r="AE343" s="482"/>
      <c r="AF343" s="482"/>
      <c r="AG343" s="482"/>
      <c r="AH343" s="482"/>
      <c r="AI343" s="482"/>
      <c r="AJ343" s="482"/>
      <c r="AK343" s="482"/>
      <c r="AL343" s="482"/>
      <c r="AM343" s="482"/>
      <c r="AN343" s="482"/>
      <c r="AO343" s="482"/>
      <c r="AP343" s="96"/>
      <c r="AQ343" s="471"/>
      <c r="AR343" s="471"/>
      <c r="AS343" s="471"/>
      <c r="AT343" s="471"/>
      <c r="AU343" s="471"/>
      <c r="AV343" s="96"/>
      <c r="AW343" s="96"/>
      <c r="AX343" s="96"/>
      <c r="AY343" s="96"/>
      <c r="AZ343" s="96"/>
      <c r="BA343" s="96"/>
      <c r="BB343" s="96"/>
      <c r="BC343" s="96"/>
      <c r="BD343" s="96">
        <v>0.0</v>
      </c>
      <c r="BE343" s="96">
        <v>0.0</v>
      </c>
      <c r="BF343" s="96">
        <v>0.0</v>
      </c>
      <c r="BG343" s="472" t="s">
        <v>377</v>
      </c>
      <c r="BH343" s="472">
        <v>0.0</v>
      </c>
      <c r="BI343" s="472" t="s">
        <v>377</v>
      </c>
      <c r="BJ343" s="472">
        <v>0.0</v>
      </c>
      <c r="BK343" s="472">
        <v>0.0</v>
      </c>
      <c r="BL343" s="472">
        <v>98451.51</v>
      </c>
      <c r="BM343" s="472">
        <v>0.0</v>
      </c>
      <c r="BN343" s="472">
        <v>0.0</v>
      </c>
      <c r="BO343" s="472">
        <v>0.0</v>
      </c>
      <c r="BP343" s="472">
        <v>0.0</v>
      </c>
      <c r="BQ343" s="472">
        <v>0.0</v>
      </c>
      <c r="BR343" s="472">
        <v>0.0</v>
      </c>
      <c r="BS343" s="472">
        <v>0.0</v>
      </c>
      <c r="BT343" s="472">
        <v>0.0</v>
      </c>
      <c r="BU343" s="472">
        <v>0.0</v>
      </c>
      <c r="BV343" s="472">
        <v>0.0</v>
      </c>
      <c r="BW343" s="472">
        <v>0.0</v>
      </c>
      <c r="BX343" s="472">
        <v>0.0</v>
      </c>
      <c r="BY343" s="472">
        <v>0.0</v>
      </c>
      <c r="BZ343" s="472">
        <v>0.0</v>
      </c>
      <c r="CA343" s="474">
        <v>0.0</v>
      </c>
      <c r="CB343" s="474">
        <v>0.0</v>
      </c>
      <c r="CC343" s="474">
        <v>0.0</v>
      </c>
      <c r="CD343" s="474">
        <v>0.0</v>
      </c>
      <c r="CE343" s="474">
        <v>0.0</v>
      </c>
      <c r="CF343" s="474">
        <v>0.0</v>
      </c>
      <c r="CG343" s="474">
        <v>0.0</v>
      </c>
      <c r="CH343" s="65">
        <v>0.0</v>
      </c>
      <c r="CI343" s="65">
        <v>0.0</v>
      </c>
      <c r="CJ343" s="65">
        <v>0.0</v>
      </c>
      <c r="CK343" s="65">
        <v>0.0</v>
      </c>
      <c r="CL343" s="65">
        <v>0.0</v>
      </c>
      <c r="CM343" s="65">
        <v>0.0</v>
      </c>
      <c r="CN343" s="65">
        <v>0.0</v>
      </c>
    </row>
    <row r="344" ht="15.75" customHeight="1">
      <c r="A344" s="462" t="s">
        <v>2346</v>
      </c>
      <c r="B344" s="477" t="s">
        <v>6608</v>
      </c>
      <c r="C344" s="141">
        <v>456920.0</v>
      </c>
      <c r="D344" s="63" t="s">
        <v>1096</v>
      </c>
      <c r="E344" s="63" t="s">
        <v>199</v>
      </c>
      <c r="F344" s="81" t="s">
        <v>1096</v>
      </c>
      <c r="G344" s="47" t="str">
        <f t="shared" si="1"/>
        <v>Breno</v>
      </c>
      <c r="H344" s="152" t="s">
        <v>224</v>
      </c>
      <c r="I344" s="74" t="s">
        <v>66</v>
      </c>
      <c r="J344" s="63" t="str">
        <f t="shared" si="4"/>
        <v>Não</v>
      </c>
      <c r="K344" s="467">
        <v>43990.0</v>
      </c>
      <c r="L344" s="467">
        <v>44425.0</v>
      </c>
      <c r="M344" s="81" t="s">
        <v>231</v>
      </c>
      <c r="N344" s="478">
        <v>0.025</v>
      </c>
      <c r="O344" s="141" t="s">
        <v>233</v>
      </c>
      <c r="P344" s="145">
        <v>0.2</v>
      </c>
      <c r="Q344" s="158"/>
      <c r="R344" s="158"/>
      <c r="S344" s="62" t="s">
        <v>194</v>
      </c>
      <c r="T344" s="30" t="s">
        <v>7129</v>
      </c>
      <c r="U344" s="81" t="s">
        <v>199</v>
      </c>
      <c r="V344" s="49" t="str">
        <f t="shared" si="3"/>
        <v>Encerrado</v>
      </c>
      <c r="W344" s="150"/>
      <c r="X344" s="150"/>
      <c r="Y344" s="81"/>
      <c r="Z344" s="81"/>
      <c r="AA344" s="81"/>
      <c r="AB344" s="30"/>
      <c r="AC344" s="96">
        <v>0.0</v>
      </c>
      <c r="AD344" s="96">
        <v>0.0</v>
      </c>
      <c r="AE344" s="96">
        <v>0.0</v>
      </c>
      <c r="AF344" s="96">
        <v>0.0</v>
      </c>
      <c r="AG344" s="96">
        <v>53304.93</v>
      </c>
      <c r="AH344" s="96">
        <v>93660.76</v>
      </c>
      <c r="AI344" s="96">
        <v>112000.61</v>
      </c>
      <c r="AJ344" s="96">
        <v>104193.81</v>
      </c>
      <c r="AK344" s="96">
        <v>97925.58</v>
      </c>
      <c r="AL344" s="96">
        <v>99160.52</v>
      </c>
      <c r="AM344" s="96">
        <v>113097.3</v>
      </c>
      <c r="AN344" s="96">
        <v>116761.44</v>
      </c>
      <c r="AO344" s="96">
        <v>111357.92</v>
      </c>
      <c r="AP344" s="96">
        <v>104711.64</v>
      </c>
      <c r="AQ344" s="96">
        <v>102348.31</v>
      </c>
      <c r="AR344" s="96">
        <v>110108.2</v>
      </c>
      <c r="AS344" s="96">
        <v>110017.32</v>
      </c>
      <c r="AT344" s="96">
        <v>110842.62</v>
      </c>
      <c r="AU344" s="96">
        <v>115578.85</v>
      </c>
      <c r="AV344" s="96">
        <v>114235.82</v>
      </c>
      <c r="AW344" s="96">
        <v>110571.37</v>
      </c>
      <c r="AX344" s="96">
        <v>104698.62</v>
      </c>
      <c r="AY344" s="96">
        <v>82266.66</v>
      </c>
      <c r="AZ344" s="96"/>
      <c r="BA344" s="96"/>
      <c r="BB344" s="96"/>
      <c r="BC344" s="96"/>
      <c r="BD344" s="96">
        <v>0.0</v>
      </c>
      <c r="BE344" s="96">
        <v>0.0</v>
      </c>
      <c r="BF344" s="96">
        <v>0.0</v>
      </c>
      <c r="BG344" s="96" t="s">
        <v>377</v>
      </c>
      <c r="BH344" s="96">
        <v>0.0</v>
      </c>
      <c r="BI344" s="96" t="s">
        <v>377</v>
      </c>
      <c r="BJ344" s="96">
        <v>0.0</v>
      </c>
      <c r="BK344" s="472">
        <v>0.0</v>
      </c>
      <c r="BL344" s="472">
        <v>0.0</v>
      </c>
      <c r="BM344" s="472">
        <v>0.0</v>
      </c>
      <c r="BN344" s="472">
        <v>0.0</v>
      </c>
      <c r="BO344" s="472">
        <v>0.0</v>
      </c>
      <c r="BP344" s="472">
        <v>0.0</v>
      </c>
      <c r="BQ344" s="472">
        <v>0.0</v>
      </c>
      <c r="BR344" s="472">
        <v>0.0</v>
      </c>
      <c r="BS344" s="472">
        <v>0.0</v>
      </c>
      <c r="BT344" s="472">
        <v>0.0</v>
      </c>
      <c r="BU344" s="472">
        <v>0.0</v>
      </c>
      <c r="BV344" s="472">
        <v>0.0</v>
      </c>
      <c r="BW344" s="472">
        <v>0.0</v>
      </c>
      <c r="BX344" s="472">
        <v>0.0</v>
      </c>
      <c r="BY344" s="472">
        <v>0.0</v>
      </c>
      <c r="BZ344" s="472">
        <v>0.0</v>
      </c>
      <c r="CA344" s="474">
        <v>0.0</v>
      </c>
      <c r="CB344" s="474">
        <v>0.0</v>
      </c>
      <c r="CC344" s="474">
        <v>0.0</v>
      </c>
      <c r="CD344" s="474">
        <v>0.0</v>
      </c>
      <c r="CE344" s="474">
        <v>0.0</v>
      </c>
      <c r="CF344" s="474">
        <v>0.0</v>
      </c>
      <c r="CG344" s="474">
        <v>0.0</v>
      </c>
      <c r="CH344" s="65">
        <v>0.0</v>
      </c>
      <c r="CI344" s="65">
        <v>0.0</v>
      </c>
      <c r="CJ344" s="65">
        <v>0.0</v>
      </c>
      <c r="CK344" s="65">
        <v>0.0</v>
      </c>
      <c r="CL344" s="65">
        <v>0.0</v>
      </c>
      <c r="CM344" s="65">
        <v>0.0</v>
      </c>
      <c r="CN344" s="65">
        <v>0.0</v>
      </c>
    </row>
    <row r="345" ht="15.75" customHeight="1">
      <c r="A345" s="462" t="s">
        <v>2346</v>
      </c>
      <c r="B345" s="50" t="s">
        <v>7134</v>
      </c>
      <c r="C345" s="141">
        <v>451228.0</v>
      </c>
      <c r="D345" s="63" t="s">
        <v>120</v>
      </c>
      <c r="E345" s="63" t="s">
        <v>91</v>
      </c>
      <c r="F345" s="81" t="s">
        <v>699</v>
      </c>
      <c r="G345" s="47" t="str">
        <f t="shared" si="1"/>
        <v>Breno</v>
      </c>
      <c r="H345" s="152" t="s">
        <v>224</v>
      </c>
      <c r="I345" s="74" t="s">
        <v>66</v>
      </c>
      <c r="J345" s="63" t="str">
        <f t="shared" si="4"/>
        <v>Não</v>
      </c>
      <c r="K345" s="467">
        <v>44322.0</v>
      </c>
      <c r="L345" s="194">
        <v>44634.0</v>
      </c>
      <c r="M345" s="81" t="s">
        <v>34</v>
      </c>
      <c r="N345" s="478">
        <v>0.012</v>
      </c>
      <c r="O345" s="141" t="s">
        <v>66</v>
      </c>
      <c r="P345" s="145">
        <v>0.0</v>
      </c>
      <c r="Q345" s="368"/>
      <c r="R345" s="70" t="s">
        <v>7136</v>
      </c>
      <c r="S345" s="62" t="s">
        <v>194</v>
      </c>
      <c r="T345" s="22" t="s">
        <v>7137</v>
      </c>
      <c r="U345" s="95" t="s">
        <v>221</v>
      </c>
      <c r="V345" s="49" t="str">
        <f t="shared" si="3"/>
        <v>Encerrado</v>
      </c>
      <c r="W345" s="150"/>
      <c r="X345" s="150"/>
      <c r="Y345" s="30" t="s">
        <v>244</v>
      </c>
      <c r="Z345" s="81"/>
      <c r="AA345" s="81"/>
      <c r="AB345" s="30"/>
      <c r="AC345" s="476"/>
      <c r="AD345" s="476"/>
      <c r="AE345" s="476"/>
      <c r="AF345" s="476"/>
      <c r="AG345" s="476"/>
      <c r="AH345" s="476"/>
      <c r="AI345" s="476"/>
      <c r="AJ345" s="476"/>
      <c r="AK345" s="476"/>
      <c r="AL345" s="476"/>
      <c r="AM345" s="476"/>
      <c r="AN345" s="476"/>
      <c r="AO345" s="476"/>
      <c r="AP345" s="96"/>
      <c r="AQ345" s="96"/>
      <c r="AR345" s="96"/>
      <c r="AS345" s="96"/>
      <c r="AT345" s="96"/>
      <c r="AU345" s="96">
        <v>115212.58</v>
      </c>
      <c r="AV345" s="96">
        <v>121490.1</v>
      </c>
      <c r="AW345" s="96">
        <v>125887.2</v>
      </c>
      <c r="AX345" s="96">
        <v>123643.26</v>
      </c>
      <c r="AY345" s="96">
        <v>107050.14</v>
      </c>
      <c r="AZ345" s="96">
        <v>117867.2</v>
      </c>
      <c r="BA345" s="96">
        <v>116259.01</v>
      </c>
      <c r="BB345" s="96">
        <v>116143.11</v>
      </c>
      <c r="BC345" s="96">
        <v>117357.67</v>
      </c>
      <c r="BD345" s="96">
        <v>118082.79</v>
      </c>
      <c r="BE345" s="96">
        <v>121123.48</v>
      </c>
      <c r="BF345" s="96">
        <v>211.61</v>
      </c>
      <c r="BG345" s="96" t="s">
        <v>377</v>
      </c>
      <c r="BH345" s="96">
        <v>0.0</v>
      </c>
      <c r="BI345" s="96" t="s">
        <v>377</v>
      </c>
      <c r="BJ345" s="96">
        <v>0.0</v>
      </c>
      <c r="BK345" s="472">
        <v>0.0</v>
      </c>
      <c r="BL345" s="472">
        <v>0.0</v>
      </c>
      <c r="BM345" s="472">
        <v>0.0</v>
      </c>
      <c r="BN345" s="472">
        <v>0.0</v>
      </c>
      <c r="BO345" s="472">
        <v>0.0</v>
      </c>
      <c r="BP345" s="472">
        <v>0.0</v>
      </c>
      <c r="BQ345" s="472">
        <v>0.0</v>
      </c>
      <c r="BR345" s="472">
        <v>0.0</v>
      </c>
      <c r="BS345" s="472">
        <v>0.0</v>
      </c>
      <c r="BT345" s="472">
        <v>0.0</v>
      </c>
      <c r="BU345" s="472">
        <v>0.0</v>
      </c>
      <c r="BV345" s="472">
        <v>0.0</v>
      </c>
      <c r="BW345" s="472">
        <v>0.0</v>
      </c>
      <c r="BX345" s="472">
        <v>0.0</v>
      </c>
      <c r="BY345" s="472">
        <v>0.0</v>
      </c>
      <c r="BZ345" s="472">
        <v>0.0</v>
      </c>
      <c r="CA345" s="474">
        <v>0.0</v>
      </c>
      <c r="CB345" s="474">
        <v>0.0</v>
      </c>
      <c r="CC345" s="474">
        <v>0.0</v>
      </c>
      <c r="CD345" s="474">
        <v>0.0</v>
      </c>
      <c r="CE345" s="474">
        <v>0.0</v>
      </c>
      <c r="CF345" s="474">
        <v>0.0</v>
      </c>
      <c r="CG345" s="474">
        <v>0.0</v>
      </c>
      <c r="CH345" s="65">
        <v>0.0</v>
      </c>
      <c r="CI345" s="65">
        <v>0.0</v>
      </c>
      <c r="CJ345" s="65">
        <v>0.0</v>
      </c>
      <c r="CK345" s="65">
        <v>0.0</v>
      </c>
      <c r="CL345" s="65">
        <v>0.0</v>
      </c>
      <c r="CM345" s="65">
        <v>0.0</v>
      </c>
      <c r="CN345" s="65">
        <v>0.0</v>
      </c>
    </row>
    <row r="346" ht="15.75" customHeight="1">
      <c r="A346" s="462" t="s">
        <v>2346</v>
      </c>
      <c r="B346" s="477" t="s">
        <v>6228</v>
      </c>
      <c r="C346" s="141">
        <v>32250.0</v>
      </c>
      <c r="D346" s="63" t="s">
        <v>120</v>
      </c>
      <c r="E346" s="63" t="s">
        <v>91</v>
      </c>
      <c r="F346" s="63" t="s">
        <v>521</v>
      </c>
      <c r="G346" s="47" t="str">
        <f t="shared" si="1"/>
        <v>Breno</v>
      </c>
      <c r="H346" s="152" t="s">
        <v>295</v>
      </c>
      <c r="I346" s="49" t="s">
        <v>382</v>
      </c>
      <c r="J346" s="63" t="str">
        <f t="shared" si="4"/>
        <v>Não</v>
      </c>
      <c r="K346" s="143">
        <v>44280.0</v>
      </c>
      <c r="L346" s="62"/>
      <c r="M346" s="81" t="s">
        <v>361</v>
      </c>
      <c r="N346" s="478">
        <v>0.02</v>
      </c>
      <c r="O346" s="63" t="s">
        <v>35</v>
      </c>
      <c r="P346" s="145">
        <v>0.2</v>
      </c>
      <c r="Q346" s="146"/>
      <c r="R346" s="153" t="s">
        <v>7145</v>
      </c>
      <c r="S346" s="62" t="s">
        <v>194</v>
      </c>
      <c r="T346" s="30" t="s">
        <v>7147</v>
      </c>
      <c r="U346" s="30" t="s">
        <v>475</v>
      </c>
      <c r="V346" s="49" t="str">
        <f t="shared" si="3"/>
        <v>Ativo</v>
      </c>
      <c r="W346" s="150"/>
      <c r="X346" s="150"/>
      <c r="Y346" s="30" t="s">
        <v>244</v>
      </c>
      <c r="Z346" s="81"/>
      <c r="AA346" s="467">
        <v>44280.0</v>
      </c>
      <c r="AB346" s="30">
        <v>4.9075100004706E13</v>
      </c>
      <c r="AC346" s="482"/>
      <c r="AD346" s="482"/>
      <c r="AE346" s="482"/>
      <c r="AF346" s="482"/>
      <c r="AG346" s="482"/>
      <c r="AH346" s="482"/>
      <c r="AI346" s="482"/>
      <c r="AJ346" s="482"/>
      <c r="AK346" s="482"/>
      <c r="AL346" s="482"/>
      <c r="AM346" s="482"/>
      <c r="AN346" s="482"/>
      <c r="AO346" s="482"/>
      <c r="AP346" s="96"/>
      <c r="AQ346" s="471">
        <v>304974.56</v>
      </c>
      <c r="AR346" s="471">
        <v>303408.68</v>
      </c>
      <c r="AS346" s="471"/>
      <c r="AT346" s="471">
        <v>258979.7</v>
      </c>
      <c r="AU346" s="471">
        <v>264709.48</v>
      </c>
      <c r="AV346" s="96">
        <v>214149.48</v>
      </c>
      <c r="AW346" s="96">
        <v>161082.44</v>
      </c>
      <c r="AX346" s="96">
        <v>156449.36</v>
      </c>
      <c r="AY346" s="96">
        <v>133454.28</v>
      </c>
      <c r="AZ346" s="96">
        <v>145850.55</v>
      </c>
      <c r="BA346" s="96">
        <v>112475.22</v>
      </c>
      <c r="BB346" s="96">
        <v>112600.64</v>
      </c>
      <c r="BC346" s="96">
        <v>116273.5</v>
      </c>
      <c r="BD346" s="96">
        <v>117074.34</v>
      </c>
      <c r="BE346" s="96">
        <v>123136.74</v>
      </c>
      <c r="BF346" s="96">
        <v>119713.91</v>
      </c>
      <c r="BG346" s="788">
        <v>118537.6</v>
      </c>
      <c r="BH346" s="472">
        <v>116046.62</v>
      </c>
      <c r="BI346" s="472">
        <v>119192.68</v>
      </c>
      <c r="BJ346" s="472">
        <v>70209.08</v>
      </c>
      <c r="BK346" s="472">
        <v>71148.98</v>
      </c>
      <c r="BL346" s="472">
        <v>74443.36</v>
      </c>
      <c r="BM346" s="472">
        <v>73511.01</v>
      </c>
      <c r="BN346" s="472">
        <v>73831.26</v>
      </c>
      <c r="BO346" s="472">
        <v>74761.0</v>
      </c>
      <c r="BP346" s="472">
        <v>74441.89</v>
      </c>
      <c r="BQ346" s="472">
        <v>74885.81</v>
      </c>
      <c r="BR346" s="472">
        <v>3904.04</v>
      </c>
      <c r="BS346" s="472">
        <v>3896.03</v>
      </c>
      <c r="BT346" s="472">
        <v>3967.31</v>
      </c>
      <c r="BU346" s="472">
        <v>3998.22</v>
      </c>
      <c r="BV346" s="472">
        <v>4085.04</v>
      </c>
      <c r="BW346" s="472">
        <v>4085.48</v>
      </c>
      <c r="BX346" s="472">
        <v>4110.94</v>
      </c>
      <c r="BY346" s="472">
        <v>4069.53</v>
      </c>
      <c r="BZ346" s="472">
        <v>12.51</v>
      </c>
      <c r="CA346" s="474">
        <v>12.51</v>
      </c>
      <c r="CB346" s="474">
        <v>12.51</v>
      </c>
      <c r="CC346" s="474">
        <v>12.51</v>
      </c>
      <c r="CD346" s="474">
        <v>0.0</v>
      </c>
      <c r="CE346" s="474">
        <v>0.0</v>
      </c>
      <c r="CF346" s="474">
        <v>0.0</v>
      </c>
      <c r="CG346" s="474">
        <v>0.0</v>
      </c>
      <c r="CH346" s="65">
        <v>0.0</v>
      </c>
      <c r="CI346" s="65">
        <v>0.0</v>
      </c>
      <c r="CJ346" s="65">
        <v>0.0</v>
      </c>
      <c r="CK346" s="65">
        <v>0.0</v>
      </c>
      <c r="CL346" s="65">
        <v>0.0</v>
      </c>
      <c r="CM346" s="65">
        <v>0.0</v>
      </c>
      <c r="CN346" s="65">
        <v>0.0</v>
      </c>
    </row>
    <row r="347" ht="15.75" customHeight="1">
      <c r="A347" s="462" t="s">
        <v>2346</v>
      </c>
      <c r="B347" s="176" t="s">
        <v>1520</v>
      </c>
      <c r="C347" s="141">
        <v>559843.0</v>
      </c>
      <c r="D347" s="63" t="s">
        <v>120</v>
      </c>
      <c r="E347" s="63" t="s">
        <v>91</v>
      </c>
      <c r="F347" s="63" t="s">
        <v>193</v>
      </c>
      <c r="G347" s="47" t="str">
        <f t="shared" si="1"/>
        <v>Breno</v>
      </c>
      <c r="H347" s="152" t="s">
        <v>295</v>
      </c>
      <c r="I347" s="49" t="s">
        <v>382</v>
      </c>
      <c r="J347" s="63" t="str">
        <f t="shared" si="4"/>
        <v>Não</v>
      </c>
      <c r="K347" s="143">
        <v>44615.0</v>
      </c>
      <c r="L347" s="62"/>
      <c r="M347" s="81" t="s">
        <v>34</v>
      </c>
      <c r="N347" s="478">
        <v>0.012</v>
      </c>
      <c r="O347" s="141" t="s">
        <v>66</v>
      </c>
      <c r="P347" s="145">
        <v>0.0</v>
      </c>
      <c r="Q347" s="70"/>
      <c r="R347" s="70"/>
      <c r="S347" s="62" t="s">
        <v>194</v>
      </c>
      <c r="T347" s="22" t="s">
        <v>1524</v>
      </c>
      <c r="U347" s="62" t="s">
        <v>475</v>
      </c>
      <c r="V347" s="49" t="str">
        <f t="shared" si="3"/>
        <v>Ativo</v>
      </c>
      <c r="W347" s="150"/>
      <c r="X347" s="150"/>
      <c r="Y347" s="30" t="s">
        <v>244</v>
      </c>
      <c r="Z347" s="81"/>
      <c r="AA347" s="467">
        <v>44615.0</v>
      </c>
      <c r="AB347" s="30">
        <v>4.9075100004714E13</v>
      </c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96"/>
      <c r="AN347" s="96"/>
      <c r="AO347" s="96"/>
      <c r="AP347" s="471"/>
      <c r="AQ347" s="471"/>
      <c r="AR347" s="471"/>
      <c r="AS347" s="471"/>
      <c r="AT347" s="471"/>
      <c r="AU347" s="96"/>
      <c r="AV347" s="96"/>
      <c r="AW347" s="96"/>
      <c r="AX347" s="379"/>
      <c r="AY347" s="96"/>
      <c r="AZ347" s="96"/>
      <c r="BA347" s="96"/>
      <c r="BB347" s="96"/>
      <c r="BC347" s="96"/>
      <c r="BD347" s="96">
        <v>169627.77</v>
      </c>
      <c r="BE347" s="96">
        <v>173550.07</v>
      </c>
      <c r="BF347" s="96">
        <v>173063.78</v>
      </c>
      <c r="BG347" s="472">
        <v>173395.34</v>
      </c>
      <c r="BH347" s="472">
        <v>168505.43</v>
      </c>
      <c r="BI347" s="472">
        <v>152030.41</v>
      </c>
      <c r="BJ347" s="472">
        <v>153115.5</v>
      </c>
      <c r="BK347" s="472">
        <v>154173.46</v>
      </c>
      <c r="BL347" s="472">
        <v>157135.56</v>
      </c>
      <c r="BM347" s="472">
        <v>157235.18</v>
      </c>
      <c r="BN347" s="472">
        <v>158348.48</v>
      </c>
      <c r="BO347" s="472">
        <v>159585.98</v>
      </c>
      <c r="BP347" s="472">
        <v>160800.97</v>
      </c>
      <c r="BQ347" s="472">
        <v>162272.6</v>
      </c>
      <c r="BR347" s="472">
        <v>163246.83</v>
      </c>
      <c r="BS347" s="472">
        <v>204827.67</v>
      </c>
      <c r="BT347" s="472">
        <v>166661.2</v>
      </c>
      <c r="BU347" s="472">
        <v>167742.8</v>
      </c>
      <c r="BV347" s="472">
        <v>169326.13</v>
      </c>
      <c r="BW347" s="472">
        <v>169011.67</v>
      </c>
      <c r="BX347" s="472">
        <v>53.12</v>
      </c>
      <c r="BY347" s="472">
        <v>23.12</v>
      </c>
      <c r="BZ347" s="472">
        <v>23.12</v>
      </c>
      <c r="CA347" s="474">
        <v>0.0</v>
      </c>
      <c r="CB347" s="474">
        <v>0.0</v>
      </c>
      <c r="CC347" s="474">
        <v>0.0</v>
      </c>
      <c r="CD347" s="474">
        <v>0.0</v>
      </c>
      <c r="CE347" s="474">
        <v>0.0</v>
      </c>
      <c r="CF347" s="474">
        <v>0.0</v>
      </c>
      <c r="CG347" s="474">
        <v>0.0</v>
      </c>
      <c r="CH347" s="65">
        <v>0.0</v>
      </c>
      <c r="CI347" s="65">
        <v>17.97</v>
      </c>
      <c r="CJ347" s="65">
        <v>17.97</v>
      </c>
      <c r="CK347" s="65">
        <v>8.93</v>
      </c>
      <c r="CL347" s="65">
        <v>0.0</v>
      </c>
      <c r="CM347" s="65">
        <v>0.0</v>
      </c>
      <c r="CN347" s="65">
        <v>0.0</v>
      </c>
    </row>
    <row r="348" ht="15.75" customHeight="1">
      <c r="A348" s="462" t="s">
        <v>2346</v>
      </c>
      <c r="B348" s="176" t="s">
        <v>1527</v>
      </c>
      <c r="C348" s="141">
        <v>434160.0</v>
      </c>
      <c r="D348" s="63" t="s">
        <v>120</v>
      </c>
      <c r="E348" s="63" t="s">
        <v>91</v>
      </c>
      <c r="F348" s="66" t="s">
        <v>193</v>
      </c>
      <c r="G348" s="47" t="str">
        <f t="shared" si="1"/>
        <v>Breno</v>
      </c>
      <c r="H348" s="142" t="s">
        <v>295</v>
      </c>
      <c r="I348" s="49" t="s">
        <v>382</v>
      </c>
      <c r="J348" s="63" t="str">
        <f t="shared" si="4"/>
        <v>Não</v>
      </c>
      <c r="K348" s="194">
        <v>44462.0</v>
      </c>
      <c r="L348" s="62"/>
      <c r="M348" s="81" t="s">
        <v>361</v>
      </c>
      <c r="N348" s="478">
        <v>0.02</v>
      </c>
      <c r="O348" s="63" t="s">
        <v>35</v>
      </c>
      <c r="P348" s="145">
        <v>0.2</v>
      </c>
      <c r="Q348" s="70"/>
      <c r="R348" s="70"/>
      <c r="S348" s="62" t="s">
        <v>194</v>
      </c>
      <c r="T348" s="22" t="s">
        <v>1524</v>
      </c>
      <c r="U348" s="62" t="s">
        <v>475</v>
      </c>
      <c r="V348" s="49" t="str">
        <f t="shared" si="3"/>
        <v>Ativo</v>
      </c>
      <c r="W348" s="150"/>
      <c r="X348" s="150"/>
      <c r="Y348" s="30" t="s">
        <v>244</v>
      </c>
      <c r="Z348" s="81"/>
      <c r="AA348" s="467">
        <v>44462.0</v>
      </c>
      <c r="AB348" s="30">
        <v>4.9075100004722E13</v>
      </c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96"/>
      <c r="AN348" s="96"/>
      <c r="AO348" s="96"/>
      <c r="AP348" s="471"/>
      <c r="AQ348" s="471"/>
      <c r="AR348" s="471"/>
      <c r="AS348" s="471"/>
      <c r="AT348" s="471"/>
      <c r="AU348" s="96"/>
      <c r="AV348" s="96"/>
      <c r="AW348" s="96"/>
      <c r="AX348" s="379"/>
      <c r="AY348" s="96">
        <v>81783.04</v>
      </c>
      <c r="AZ348" s="96">
        <v>89300.47</v>
      </c>
      <c r="BA348" s="96">
        <v>87295.85</v>
      </c>
      <c r="BB348" s="96">
        <v>87554.33</v>
      </c>
      <c r="BC348" s="96">
        <v>90276.18</v>
      </c>
      <c r="BD348" s="96">
        <v>100104.49</v>
      </c>
      <c r="BE348" s="96">
        <v>105945.64</v>
      </c>
      <c r="BF348" s="96">
        <v>65492.95</v>
      </c>
      <c r="BG348" s="472">
        <v>64815.13</v>
      </c>
      <c r="BH348" s="472">
        <v>63475.37</v>
      </c>
      <c r="BI348" s="472">
        <v>58751.91</v>
      </c>
      <c r="BJ348" s="472">
        <v>99983.07</v>
      </c>
      <c r="BK348" s="472">
        <v>120502.97</v>
      </c>
      <c r="BL348" s="472">
        <v>103859.96</v>
      </c>
      <c r="BM348" s="472">
        <v>50681.38</v>
      </c>
      <c r="BN348" s="472">
        <v>64830.77</v>
      </c>
      <c r="BO348" s="472">
        <v>102246.71</v>
      </c>
      <c r="BP348" s="472">
        <v>100538.43</v>
      </c>
      <c r="BQ348" s="472">
        <v>101362.25</v>
      </c>
      <c r="BR348" s="472">
        <v>118736.28</v>
      </c>
      <c r="BS348" s="472">
        <v>121055.97</v>
      </c>
      <c r="BT348" s="472">
        <v>123782.54</v>
      </c>
      <c r="BU348" s="472">
        <v>85455.37</v>
      </c>
      <c r="BV348" s="472">
        <v>146164.66</v>
      </c>
      <c r="BW348" s="472">
        <v>16832.4</v>
      </c>
      <c r="BX348" s="472">
        <v>160.58</v>
      </c>
      <c r="BY348" s="472">
        <v>127.67</v>
      </c>
      <c r="BZ348" s="472">
        <v>80.4</v>
      </c>
      <c r="CA348" s="474">
        <v>0.0</v>
      </c>
      <c r="CB348" s="474">
        <v>80.4</v>
      </c>
      <c r="CC348" s="474">
        <v>0.0</v>
      </c>
      <c r="CD348" s="474">
        <v>0.0</v>
      </c>
      <c r="CE348" s="474">
        <v>0.0</v>
      </c>
      <c r="CF348" s="474">
        <v>0.0</v>
      </c>
      <c r="CG348" s="474">
        <v>0.0</v>
      </c>
      <c r="CH348" s="65">
        <v>0.0</v>
      </c>
      <c r="CI348" s="65">
        <v>0.0</v>
      </c>
      <c r="CJ348" s="65">
        <v>0.0</v>
      </c>
      <c r="CK348" s="65">
        <v>0.0</v>
      </c>
      <c r="CL348" s="65">
        <v>19.66</v>
      </c>
      <c r="CM348" s="65">
        <v>19.66</v>
      </c>
      <c r="CN348" s="65">
        <v>19.66</v>
      </c>
    </row>
    <row r="349" ht="15.75" customHeight="1">
      <c r="A349" s="462" t="s">
        <v>2346</v>
      </c>
      <c r="B349" s="462" t="s">
        <v>1537</v>
      </c>
      <c r="C349" s="141">
        <v>87493.0</v>
      </c>
      <c r="D349" s="63" t="s">
        <v>1096</v>
      </c>
      <c r="E349" s="63" t="s">
        <v>199</v>
      </c>
      <c r="F349" s="63" t="s">
        <v>1096</v>
      </c>
      <c r="G349" s="47" t="str">
        <f t="shared" si="1"/>
        <v>Breno</v>
      </c>
      <c r="H349" s="142" t="s">
        <v>183</v>
      </c>
      <c r="I349" s="74" t="s">
        <v>66</v>
      </c>
      <c r="J349" s="63" t="str">
        <f t="shared" si="4"/>
        <v>Não</v>
      </c>
      <c r="K349" s="143">
        <v>43537.0</v>
      </c>
      <c r="L349" s="81"/>
      <c r="M349" s="81" t="s">
        <v>231</v>
      </c>
      <c r="N349" s="464">
        <v>0.01</v>
      </c>
      <c r="O349" s="141" t="s">
        <v>66</v>
      </c>
      <c r="P349" s="145">
        <v>0.0</v>
      </c>
      <c r="Q349" s="158"/>
      <c r="R349" s="158"/>
      <c r="S349" s="62" t="s">
        <v>194</v>
      </c>
      <c r="T349" s="141" t="s">
        <v>1540</v>
      </c>
      <c r="U349" s="81" t="s">
        <v>199</v>
      </c>
      <c r="V349" s="49" t="str">
        <f t="shared" si="3"/>
        <v>Ativo</v>
      </c>
      <c r="W349" s="150"/>
      <c r="X349" s="150"/>
      <c r="Y349" s="30" t="s">
        <v>244</v>
      </c>
      <c r="Z349" s="81"/>
      <c r="AA349" s="467">
        <v>43537.0</v>
      </c>
      <c r="AB349" s="30">
        <v>4.907510000473E13</v>
      </c>
      <c r="AC349" s="96">
        <v>67651.86</v>
      </c>
      <c r="AD349" s="96">
        <v>64436.02</v>
      </c>
      <c r="AE349" s="96">
        <v>49356.19</v>
      </c>
      <c r="AF349" s="96">
        <v>53755.21</v>
      </c>
      <c r="AG349" s="96">
        <v>55454.56</v>
      </c>
      <c r="AH349" s="96">
        <v>58588.93</v>
      </c>
      <c r="AI349" s="96">
        <v>79830.49</v>
      </c>
      <c r="AJ349" s="96">
        <v>74764.62</v>
      </c>
      <c r="AK349" s="96">
        <v>71337.55</v>
      </c>
      <c r="AL349" s="96">
        <v>74234.73</v>
      </c>
      <c r="AM349" s="96">
        <v>85833.22</v>
      </c>
      <c r="AN349" s="96">
        <v>90262.77</v>
      </c>
      <c r="AO349" s="96">
        <v>86032.05</v>
      </c>
      <c r="AP349" s="96">
        <v>80788.68</v>
      </c>
      <c r="AQ349" s="471">
        <v>79770.96</v>
      </c>
      <c r="AR349" s="471">
        <v>78293.38</v>
      </c>
      <c r="AS349" s="471">
        <v>83625.89</v>
      </c>
      <c r="AT349" s="471">
        <v>84101.97</v>
      </c>
      <c r="AU349" s="471">
        <v>86516.47</v>
      </c>
      <c r="AV349" s="96">
        <v>85064.17</v>
      </c>
      <c r="AW349" s="96">
        <v>82680.15</v>
      </c>
      <c r="AX349" s="96">
        <v>79148.57</v>
      </c>
      <c r="AY349" s="96">
        <v>75486.79</v>
      </c>
      <c r="AZ349" s="96">
        <v>71241.43</v>
      </c>
      <c r="BA349" s="96">
        <v>69234.64</v>
      </c>
      <c r="BB349" s="96">
        <v>69269.92</v>
      </c>
      <c r="BC349" s="96">
        <v>73315.15</v>
      </c>
      <c r="BD349" s="96">
        <v>74052.72</v>
      </c>
      <c r="BE349" s="96">
        <v>79390.31</v>
      </c>
      <c r="BF349" s="96">
        <v>75940.98</v>
      </c>
      <c r="BG349" s="472">
        <v>74093.17</v>
      </c>
      <c r="BH349" s="472">
        <v>70564.56</v>
      </c>
      <c r="BI349" s="472">
        <v>74060.9</v>
      </c>
      <c r="BJ349" s="472">
        <v>75106.91</v>
      </c>
      <c r="BK349" s="472">
        <v>75764.34</v>
      </c>
      <c r="BL349" s="472">
        <v>81526.61</v>
      </c>
      <c r="BM349" s="472">
        <v>79892.7</v>
      </c>
      <c r="BN349" s="472">
        <v>79425.34</v>
      </c>
      <c r="BO349" s="472">
        <v>81863.15</v>
      </c>
      <c r="BP349" s="472">
        <v>78976.19</v>
      </c>
      <c r="BQ349" s="472">
        <v>78515.06</v>
      </c>
      <c r="BR349" s="472">
        <v>76916.66</v>
      </c>
      <c r="BS349" s="472">
        <v>80265.82</v>
      </c>
      <c r="BT349" s="472">
        <v>86443.86</v>
      </c>
      <c r="BU349" s="472">
        <v>82397.55</v>
      </c>
      <c r="BV349" s="472">
        <v>89957.37</v>
      </c>
      <c r="BW349" s="472">
        <v>86763.65</v>
      </c>
      <c r="BX349" s="472">
        <v>82580.54</v>
      </c>
      <c r="BY349" s="472">
        <v>88709.1</v>
      </c>
      <c r="BZ349" s="472">
        <v>92483.65</v>
      </c>
      <c r="CA349" s="474">
        <v>87073.46</v>
      </c>
      <c r="CB349" s="474">
        <v>88726.67</v>
      </c>
      <c r="CC349" s="474">
        <v>89837.33</v>
      </c>
      <c r="CD349" s="474">
        <v>74977.83</v>
      </c>
      <c r="CE349" s="474">
        <v>74004.51</v>
      </c>
      <c r="CF349" s="474">
        <v>84943.74</v>
      </c>
      <c r="CG349" s="474">
        <v>82673.38</v>
      </c>
      <c r="CH349" s="65">
        <v>88131.25</v>
      </c>
      <c r="CI349" s="65">
        <v>86291.79</v>
      </c>
      <c r="CJ349" s="65">
        <v>82970.75</v>
      </c>
      <c r="CK349" s="65">
        <v>79607.13</v>
      </c>
      <c r="CL349" s="65">
        <v>73910.31</v>
      </c>
      <c r="CM349" s="65">
        <v>75890.45</v>
      </c>
      <c r="CN349" s="65">
        <v>75131.99</v>
      </c>
    </row>
    <row r="350" ht="15.75" customHeight="1">
      <c r="A350" s="462" t="s">
        <v>2346</v>
      </c>
      <c r="B350" s="510" t="s">
        <v>6692</v>
      </c>
      <c r="C350" s="141">
        <v>576290.0</v>
      </c>
      <c r="D350" s="63" t="s">
        <v>669</v>
      </c>
      <c r="E350" s="63" t="s">
        <v>199</v>
      </c>
      <c r="F350" s="81" t="s">
        <v>2388</v>
      </c>
      <c r="G350" s="47" t="str">
        <f t="shared" si="1"/>
        <v>Breno</v>
      </c>
      <c r="H350" s="152" t="s">
        <v>224</v>
      </c>
      <c r="I350" s="74" t="s">
        <v>66</v>
      </c>
      <c r="J350" s="63" t="str">
        <f t="shared" si="4"/>
        <v>Não</v>
      </c>
      <c r="K350" s="467">
        <v>43539.0</v>
      </c>
      <c r="L350" s="194">
        <v>44439.0</v>
      </c>
      <c r="M350" s="81" t="s">
        <v>209</v>
      </c>
      <c r="N350" s="478">
        <v>0.015</v>
      </c>
      <c r="O350" s="63" t="s">
        <v>35</v>
      </c>
      <c r="P350" s="145">
        <v>0.1</v>
      </c>
      <c r="Q350" s="158"/>
      <c r="R350" s="158"/>
      <c r="S350" s="62" t="s">
        <v>194</v>
      </c>
      <c r="T350" s="30" t="s">
        <v>7169</v>
      </c>
      <c r="U350" s="81" t="s">
        <v>199</v>
      </c>
      <c r="V350" s="49" t="str">
        <f t="shared" si="3"/>
        <v>Encerrado</v>
      </c>
      <c r="W350" s="150"/>
      <c r="X350" s="150"/>
      <c r="Y350" s="81"/>
      <c r="Z350" s="81"/>
      <c r="AA350" s="81"/>
      <c r="AB350" s="30"/>
      <c r="AC350" s="96">
        <v>148013.0</v>
      </c>
      <c r="AD350" s="96">
        <v>148203.34</v>
      </c>
      <c r="AE350" s="96">
        <v>333231.22</v>
      </c>
      <c r="AF350" s="96">
        <v>351736.14</v>
      </c>
      <c r="AG350" s="96">
        <v>358678.55</v>
      </c>
      <c r="AH350" s="96">
        <v>366821.91</v>
      </c>
      <c r="AI350" s="96">
        <v>394691.32</v>
      </c>
      <c r="AJ350" s="96">
        <v>395355.86</v>
      </c>
      <c r="AK350" s="96">
        <v>396231.11</v>
      </c>
      <c r="AL350" s="96">
        <v>401902.5</v>
      </c>
      <c r="AM350" s="96">
        <v>424841.73</v>
      </c>
      <c r="AN350" s="96">
        <v>431268.58</v>
      </c>
      <c r="AO350" s="96">
        <v>427128.85</v>
      </c>
      <c r="AP350" s="96">
        <v>416729.29</v>
      </c>
      <c r="AQ350" s="96">
        <v>418725.44</v>
      </c>
      <c r="AR350" s="96">
        <v>432670.2</v>
      </c>
      <c r="AS350" s="96">
        <v>447614.9</v>
      </c>
      <c r="AT350" s="96">
        <v>449894.71</v>
      </c>
      <c r="AU350" s="96">
        <v>460104.84</v>
      </c>
      <c r="AV350" s="96">
        <v>463097.55</v>
      </c>
      <c r="AW350" s="96">
        <v>397214.14</v>
      </c>
      <c r="AX350" s="96">
        <v>364487.58</v>
      </c>
      <c r="AY350" s="96">
        <v>244453.69</v>
      </c>
      <c r="AZ350" s="96">
        <v>14173.09</v>
      </c>
      <c r="BA350" s="96"/>
      <c r="BB350" s="96"/>
      <c r="BC350" s="96"/>
      <c r="BD350" s="96">
        <v>0.0</v>
      </c>
      <c r="BE350" s="96">
        <v>0.0</v>
      </c>
      <c r="BF350" s="96">
        <v>0.0</v>
      </c>
      <c r="BG350" s="96" t="s">
        <v>377</v>
      </c>
      <c r="BH350" s="96">
        <v>0.0</v>
      </c>
      <c r="BI350" s="96" t="s">
        <v>377</v>
      </c>
      <c r="BJ350" s="96">
        <v>0.0</v>
      </c>
      <c r="BK350" s="472">
        <v>0.0</v>
      </c>
      <c r="BL350" s="472">
        <v>0.0</v>
      </c>
      <c r="BM350" s="472">
        <v>0.0</v>
      </c>
      <c r="BN350" s="472">
        <v>0.0</v>
      </c>
      <c r="BO350" s="472">
        <v>0.0</v>
      </c>
      <c r="BP350" s="472">
        <v>0.0</v>
      </c>
      <c r="BQ350" s="472">
        <v>0.0</v>
      </c>
      <c r="BR350" s="472">
        <v>0.0</v>
      </c>
      <c r="BS350" s="472">
        <v>0.0</v>
      </c>
      <c r="BT350" s="472">
        <v>0.0</v>
      </c>
      <c r="BU350" s="472">
        <v>0.0</v>
      </c>
      <c r="BV350" s="472">
        <v>0.0</v>
      </c>
      <c r="BW350" s="472">
        <v>0.0</v>
      </c>
      <c r="BX350" s="472">
        <v>0.0</v>
      </c>
      <c r="BY350" s="472">
        <v>0.0</v>
      </c>
      <c r="BZ350" s="472">
        <v>0.0</v>
      </c>
      <c r="CA350" s="474">
        <v>0.0</v>
      </c>
      <c r="CB350" s="474">
        <v>0.0</v>
      </c>
      <c r="CC350" s="474">
        <v>0.0</v>
      </c>
      <c r="CD350" s="474">
        <v>0.0</v>
      </c>
      <c r="CE350" s="474">
        <v>0.0</v>
      </c>
      <c r="CF350" s="474">
        <v>0.0</v>
      </c>
      <c r="CG350" s="474">
        <v>0.0</v>
      </c>
      <c r="CH350" s="65">
        <v>0.0</v>
      </c>
      <c r="CI350" s="65">
        <v>0.0</v>
      </c>
      <c r="CJ350" s="65">
        <v>0.0</v>
      </c>
      <c r="CK350" s="65">
        <v>0.0</v>
      </c>
      <c r="CL350" s="65">
        <v>0.0</v>
      </c>
      <c r="CM350" s="65">
        <v>0.0</v>
      </c>
      <c r="CN350" s="65">
        <v>0.0</v>
      </c>
    </row>
    <row r="351" ht="15.75" customHeight="1">
      <c r="A351" s="462" t="s">
        <v>2346</v>
      </c>
      <c r="B351" s="510" t="s">
        <v>6692</v>
      </c>
      <c r="C351" s="141">
        <v>576301.0</v>
      </c>
      <c r="D351" s="63" t="s">
        <v>669</v>
      </c>
      <c r="E351" s="63" t="s">
        <v>199</v>
      </c>
      <c r="F351" s="81" t="s">
        <v>2388</v>
      </c>
      <c r="G351" s="47" t="str">
        <f t="shared" si="1"/>
        <v>Breno</v>
      </c>
      <c r="H351" s="152" t="s">
        <v>224</v>
      </c>
      <c r="I351" s="74" t="s">
        <v>66</v>
      </c>
      <c r="J351" s="63" t="str">
        <f t="shared" si="4"/>
        <v>Não</v>
      </c>
      <c r="K351" s="467">
        <v>44397.0</v>
      </c>
      <c r="L351" s="194">
        <v>44439.0</v>
      </c>
      <c r="M351" s="81" t="s">
        <v>1142</v>
      </c>
      <c r="N351" s="478">
        <v>0.008</v>
      </c>
      <c r="O351" s="141" t="s">
        <v>66</v>
      </c>
      <c r="P351" s="145">
        <v>0.0</v>
      </c>
      <c r="Q351" s="158"/>
      <c r="R351" s="158"/>
      <c r="S351" s="62" t="s">
        <v>194</v>
      </c>
      <c r="T351" s="30" t="s">
        <v>7169</v>
      </c>
      <c r="U351" s="81" t="s">
        <v>199</v>
      </c>
      <c r="V351" s="49" t="str">
        <f t="shared" si="3"/>
        <v>Encerrado</v>
      </c>
      <c r="W351" s="150"/>
      <c r="X351" s="150"/>
      <c r="Y351" s="81"/>
      <c r="Z351" s="81"/>
      <c r="AA351" s="81"/>
      <c r="AB351" s="30"/>
      <c r="AC351" s="96">
        <v>186373.41</v>
      </c>
      <c r="AD351" s="96">
        <v>173865.69</v>
      </c>
      <c r="AE351" s="96">
        <v>6751.6</v>
      </c>
      <c r="AF351" s="96">
        <v>6790.23</v>
      </c>
      <c r="AG351" s="96">
        <v>1511.37</v>
      </c>
      <c r="AH351" s="96">
        <v>0.0</v>
      </c>
      <c r="AI351" s="96">
        <v>0.0</v>
      </c>
      <c r="AJ351" s="482"/>
      <c r="AK351" s="482"/>
      <c r="AL351" s="482"/>
      <c r="AM351" s="482"/>
      <c r="AN351" s="482"/>
      <c r="AO351" s="482"/>
      <c r="AP351" s="96"/>
      <c r="AQ351" s="96"/>
      <c r="AR351" s="96"/>
      <c r="AS351" s="96"/>
      <c r="AT351" s="96"/>
      <c r="AU351" s="96"/>
      <c r="AV351" s="482"/>
      <c r="AW351" s="96">
        <v>40150.79</v>
      </c>
      <c r="AX351" s="96">
        <v>86320.52</v>
      </c>
      <c r="AY351" s="96">
        <v>649.34</v>
      </c>
      <c r="AZ351" s="96"/>
      <c r="BA351" s="96"/>
      <c r="BB351" s="96"/>
      <c r="BC351" s="96"/>
      <c r="BD351" s="96">
        <v>0.0</v>
      </c>
      <c r="BE351" s="96">
        <v>0.0</v>
      </c>
      <c r="BF351" s="96">
        <v>0.0</v>
      </c>
      <c r="BG351" s="96" t="s">
        <v>377</v>
      </c>
      <c r="BH351" s="96">
        <v>0.0</v>
      </c>
      <c r="BI351" s="96" t="s">
        <v>377</v>
      </c>
      <c r="BJ351" s="96">
        <v>0.0</v>
      </c>
      <c r="BK351" s="472">
        <v>0.0</v>
      </c>
      <c r="BL351" s="472">
        <v>0.0</v>
      </c>
      <c r="BM351" s="472">
        <v>0.0</v>
      </c>
      <c r="BN351" s="472">
        <v>0.0</v>
      </c>
      <c r="BO351" s="472">
        <v>0.0</v>
      </c>
      <c r="BP351" s="472">
        <v>0.0</v>
      </c>
      <c r="BQ351" s="472">
        <v>0.0</v>
      </c>
      <c r="BR351" s="472">
        <v>0.0</v>
      </c>
      <c r="BS351" s="472">
        <v>0.0</v>
      </c>
      <c r="BT351" s="472">
        <v>0.0</v>
      </c>
      <c r="BU351" s="472">
        <v>0.0</v>
      </c>
      <c r="BV351" s="472">
        <v>0.0</v>
      </c>
      <c r="BW351" s="472">
        <v>0.0</v>
      </c>
      <c r="BX351" s="472">
        <v>0.0</v>
      </c>
      <c r="BY351" s="472">
        <v>0.0</v>
      </c>
      <c r="BZ351" s="472">
        <v>0.0</v>
      </c>
      <c r="CA351" s="474">
        <v>0.0</v>
      </c>
      <c r="CB351" s="474">
        <v>0.0</v>
      </c>
      <c r="CC351" s="474">
        <v>0.0</v>
      </c>
      <c r="CD351" s="474">
        <v>0.0</v>
      </c>
      <c r="CE351" s="474">
        <v>0.0</v>
      </c>
      <c r="CF351" s="474">
        <v>0.0</v>
      </c>
      <c r="CG351" s="474">
        <v>0.0</v>
      </c>
      <c r="CH351" s="65">
        <v>0.0</v>
      </c>
      <c r="CI351" s="65">
        <v>0.0</v>
      </c>
      <c r="CJ351" s="65">
        <v>0.0</v>
      </c>
      <c r="CK351" s="65">
        <v>0.0</v>
      </c>
      <c r="CL351" s="65">
        <v>0.0</v>
      </c>
      <c r="CM351" s="65">
        <v>0.0</v>
      </c>
      <c r="CN351" s="65">
        <v>0.0</v>
      </c>
    </row>
    <row r="352" ht="15.75" customHeight="1">
      <c r="A352" s="462" t="s">
        <v>2346</v>
      </c>
      <c r="B352" s="477" t="s">
        <v>7176</v>
      </c>
      <c r="C352" s="141">
        <v>86956.0</v>
      </c>
      <c r="D352" s="63" t="s">
        <v>120</v>
      </c>
      <c r="E352" s="63" t="s">
        <v>91</v>
      </c>
      <c r="F352" s="63" t="s">
        <v>193</v>
      </c>
      <c r="G352" s="47" t="str">
        <f t="shared" si="1"/>
        <v>Breno</v>
      </c>
      <c r="H352" s="152" t="s">
        <v>224</v>
      </c>
      <c r="I352" s="74" t="s">
        <v>66</v>
      </c>
      <c r="J352" s="63" t="str">
        <f t="shared" si="4"/>
        <v>Não</v>
      </c>
      <c r="K352" s="143">
        <v>44280.0</v>
      </c>
      <c r="L352" s="467">
        <v>44809.0</v>
      </c>
      <c r="M352" s="81" t="s">
        <v>231</v>
      </c>
      <c r="N352" s="464">
        <v>0.025</v>
      </c>
      <c r="O352" s="141" t="s">
        <v>233</v>
      </c>
      <c r="P352" s="145">
        <v>0.2</v>
      </c>
      <c r="Q352" s="158"/>
      <c r="R352" s="158"/>
      <c r="S352" s="62" t="s">
        <v>194</v>
      </c>
      <c r="T352" s="30" t="s">
        <v>7178</v>
      </c>
      <c r="U352" s="95" t="s">
        <v>221</v>
      </c>
      <c r="V352" s="49" t="str">
        <f t="shared" si="3"/>
        <v>Encerrado</v>
      </c>
      <c r="W352" s="150"/>
      <c r="X352" s="150"/>
      <c r="Y352" s="30" t="s">
        <v>244</v>
      </c>
      <c r="Z352" s="81"/>
      <c r="AA352" s="81"/>
      <c r="AB352" s="30"/>
      <c r="AC352" s="482"/>
      <c r="AD352" s="482"/>
      <c r="AE352" s="482"/>
      <c r="AF352" s="482"/>
      <c r="AG352" s="482"/>
      <c r="AH352" s="482"/>
      <c r="AI352" s="482"/>
      <c r="AJ352" s="482"/>
      <c r="AK352" s="482"/>
      <c r="AL352" s="482"/>
      <c r="AM352" s="482"/>
      <c r="AN352" s="482"/>
      <c r="AO352" s="482"/>
      <c r="AP352" s="96"/>
      <c r="AQ352" s="471"/>
      <c r="AR352" s="471">
        <v>355880.21</v>
      </c>
      <c r="AS352" s="471"/>
      <c r="AT352" s="471">
        <v>354100.37</v>
      </c>
      <c r="AU352" s="471">
        <v>360998.06</v>
      </c>
      <c r="AV352" s="96">
        <v>361867.68</v>
      </c>
      <c r="AW352" s="96">
        <v>357441.72</v>
      </c>
      <c r="AX352" s="96">
        <v>347578.95</v>
      </c>
      <c r="AY352" s="96">
        <v>341965.02</v>
      </c>
      <c r="AZ352" s="96">
        <v>316515.34</v>
      </c>
      <c r="BA352" s="96">
        <v>305434.72</v>
      </c>
      <c r="BB352" s="96">
        <v>306215.09</v>
      </c>
      <c r="BC352" s="96">
        <v>324082.08</v>
      </c>
      <c r="BD352" s="96">
        <v>325909.17</v>
      </c>
      <c r="BE352" s="96">
        <v>350593.84</v>
      </c>
      <c r="BF352" s="96">
        <v>334180.35</v>
      </c>
      <c r="BG352" s="472">
        <v>326240.22</v>
      </c>
      <c r="BH352" s="472">
        <v>310702.94</v>
      </c>
      <c r="BI352" s="472">
        <v>325781.95</v>
      </c>
      <c r="BJ352" s="472">
        <v>43299.24</v>
      </c>
      <c r="BK352" s="472">
        <v>3402.17</v>
      </c>
      <c r="BL352" s="472">
        <v>3385.99</v>
      </c>
      <c r="BM352" s="472">
        <v>3379.34</v>
      </c>
      <c r="BN352" s="472">
        <v>3383.1</v>
      </c>
      <c r="BO352" s="472">
        <v>4893.75</v>
      </c>
      <c r="BP352" s="472">
        <v>4923.93</v>
      </c>
      <c r="BQ352" s="472">
        <v>0.0</v>
      </c>
      <c r="BR352" s="472">
        <v>0.0</v>
      </c>
      <c r="BS352" s="472">
        <v>0.0</v>
      </c>
      <c r="BT352" s="472">
        <v>0.0</v>
      </c>
      <c r="BU352" s="472">
        <v>0.0</v>
      </c>
      <c r="BV352" s="472">
        <v>0.0</v>
      </c>
      <c r="BW352" s="472">
        <v>0.0</v>
      </c>
      <c r="BX352" s="472">
        <v>0.0</v>
      </c>
      <c r="BY352" s="472">
        <v>0.0</v>
      </c>
      <c r="BZ352" s="472">
        <v>0.0</v>
      </c>
      <c r="CA352" s="474">
        <v>0.0</v>
      </c>
      <c r="CB352" s="474">
        <v>0.0</v>
      </c>
      <c r="CC352" s="474">
        <v>0.0</v>
      </c>
      <c r="CD352" s="474">
        <v>0.0</v>
      </c>
      <c r="CE352" s="474">
        <v>0.0</v>
      </c>
      <c r="CF352" s="474">
        <v>0.0</v>
      </c>
      <c r="CG352" s="474">
        <v>0.0</v>
      </c>
      <c r="CH352" s="65">
        <v>0.0</v>
      </c>
      <c r="CI352" s="65">
        <v>0.0</v>
      </c>
      <c r="CJ352" s="65">
        <v>0.0</v>
      </c>
      <c r="CK352" s="65">
        <v>0.0</v>
      </c>
      <c r="CL352" s="65">
        <v>0.0</v>
      </c>
      <c r="CM352" s="65">
        <v>0.0</v>
      </c>
      <c r="CN352" s="65">
        <v>0.0</v>
      </c>
    </row>
    <row r="353" ht="15.75" customHeight="1">
      <c r="A353" s="462" t="s">
        <v>2346</v>
      </c>
      <c r="B353" s="477" t="s">
        <v>5505</v>
      </c>
      <c r="C353" s="141">
        <v>465187.0</v>
      </c>
      <c r="D353" s="63" t="s">
        <v>669</v>
      </c>
      <c r="E353" s="63" t="s">
        <v>199</v>
      </c>
      <c r="F353" s="81" t="s">
        <v>1228</v>
      </c>
      <c r="G353" s="47" t="str">
        <f t="shared" si="1"/>
        <v>Breno</v>
      </c>
      <c r="H353" s="152" t="s">
        <v>224</v>
      </c>
      <c r="I353" s="74" t="s">
        <v>66</v>
      </c>
      <c r="J353" s="63" t="str">
        <f t="shared" si="4"/>
        <v>Não</v>
      </c>
      <c r="K353" s="467">
        <v>44041.0</v>
      </c>
      <c r="L353" s="467">
        <v>44329.0</v>
      </c>
      <c r="M353" s="81" t="s">
        <v>209</v>
      </c>
      <c r="N353" s="478">
        <v>0.015</v>
      </c>
      <c r="O353" s="63" t="s">
        <v>35</v>
      </c>
      <c r="P353" s="145">
        <v>0.1</v>
      </c>
      <c r="Q353" s="158"/>
      <c r="R353" s="158"/>
      <c r="S353" s="62" t="s">
        <v>194</v>
      </c>
      <c r="T353" s="30" t="s">
        <v>7184</v>
      </c>
      <c r="U353" s="81" t="s">
        <v>199</v>
      </c>
      <c r="V353" s="49" t="str">
        <f t="shared" si="3"/>
        <v>Encerrado</v>
      </c>
      <c r="W353" s="150"/>
      <c r="X353" s="150"/>
      <c r="Y353" s="81"/>
      <c r="Z353" s="81"/>
      <c r="AA353" s="81"/>
      <c r="AB353" s="30"/>
      <c r="AC353" s="96">
        <v>0.0</v>
      </c>
      <c r="AD353" s="96">
        <v>0.0</v>
      </c>
      <c r="AE353" s="96">
        <v>0.0</v>
      </c>
      <c r="AF353" s="96">
        <v>0.0</v>
      </c>
      <c r="AG353" s="96">
        <v>0.0</v>
      </c>
      <c r="AH353" s="96">
        <v>0.0</v>
      </c>
      <c r="AI353" s="96">
        <v>7400000.0</v>
      </c>
      <c r="AJ353" s="96">
        <v>7219444.13</v>
      </c>
      <c r="AK353" s="96">
        <v>4370936.25</v>
      </c>
      <c r="AL353" s="96">
        <v>3720021.19</v>
      </c>
      <c r="AM353" s="96">
        <v>1499137.42</v>
      </c>
      <c r="AN353" s="96">
        <v>1535657.74</v>
      </c>
      <c r="AO353" s="96">
        <v>1484268.74</v>
      </c>
      <c r="AP353" s="96">
        <v>469204.16</v>
      </c>
      <c r="AQ353" s="96">
        <v>20609.44</v>
      </c>
      <c r="AR353" s="96">
        <v>21118.12</v>
      </c>
      <c r="AS353" s="96">
        <v>17208.62</v>
      </c>
      <c r="AT353" s="96">
        <v>13320.06</v>
      </c>
      <c r="AU353" s="96"/>
      <c r="AV353" s="482"/>
      <c r="AW353" s="482"/>
      <c r="AX353" s="482"/>
      <c r="AY353" s="96"/>
      <c r="AZ353" s="96"/>
      <c r="BA353" s="96"/>
      <c r="BB353" s="96"/>
      <c r="BC353" s="96"/>
      <c r="BD353" s="96">
        <v>0.0</v>
      </c>
      <c r="BE353" s="96">
        <v>0.0</v>
      </c>
      <c r="BF353" s="96">
        <v>0.0</v>
      </c>
      <c r="BG353" s="96" t="s">
        <v>377</v>
      </c>
      <c r="BH353" s="96">
        <v>0.0</v>
      </c>
      <c r="BI353" s="96" t="s">
        <v>377</v>
      </c>
      <c r="BJ353" s="96">
        <v>0.0</v>
      </c>
      <c r="BK353" s="472">
        <v>0.0</v>
      </c>
      <c r="BL353" s="472">
        <v>0.0</v>
      </c>
      <c r="BM353" s="472">
        <v>0.0</v>
      </c>
      <c r="BN353" s="472">
        <v>0.0</v>
      </c>
      <c r="BO353" s="472">
        <v>0.0</v>
      </c>
      <c r="BP353" s="472">
        <v>0.0</v>
      </c>
      <c r="BQ353" s="472">
        <v>0.0</v>
      </c>
      <c r="BR353" s="472">
        <v>0.0</v>
      </c>
      <c r="BS353" s="472">
        <v>0.0</v>
      </c>
      <c r="BT353" s="472">
        <v>0.0</v>
      </c>
      <c r="BU353" s="472">
        <v>0.0</v>
      </c>
      <c r="BV353" s="472">
        <v>0.0</v>
      </c>
      <c r="BW353" s="472">
        <v>0.0</v>
      </c>
      <c r="BX353" s="472">
        <v>0.0</v>
      </c>
      <c r="BY353" s="472">
        <v>0.0</v>
      </c>
      <c r="BZ353" s="472">
        <v>0.0</v>
      </c>
      <c r="CA353" s="474">
        <v>0.0</v>
      </c>
      <c r="CB353" s="474">
        <v>0.0</v>
      </c>
      <c r="CC353" s="474">
        <v>0.0</v>
      </c>
      <c r="CD353" s="474">
        <v>0.0</v>
      </c>
      <c r="CE353" s="474">
        <v>0.0</v>
      </c>
      <c r="CF353" s="474">
        <v>0.0</v>
      </c>
      <c r="CG353" s="474">
        <v>0.0</v>
      </c>
      <c r="CH353" s="65">
        <v>0.0</v>
      </c>
      <c r="CI353" s="65">
        <v>0.0</v>
      </c>
      <c r="CJ353" s="65">
        <v>0.0</v>
      </c>
      <c r="CK353" s="65">
        <v>0.0</v>
      </c>
      <c r="CL353" s="65">
        <v>0.0</v>
      </c>
      <c r="CM353" s="65">
        <v>0.0</v>
      </c>
      <c r="CN353" s="65">
        <v>0.0</v>
      </c>
    </row>
    <row r="354" ht="15.75" customHeight="1">
      <c r="A354" s="462" t="s">
        <v>2346</v>
      </c>
      <c r="B354" s="176" t="s">
        <v>7192</v>
      </c>
      <c r="C354" s="141">
        <v>577297.0</v>
      </c>
      <c r="D354" s="63" t="s">
        <v>120</v>
      </c>
      <c r="E354" s="63" t="s">
        <v>91</v>
      </c>
      <c r="F354" s="95" t="s">
        <v>521</v>
      </c>
      <c r="G354" s="47" t="str">
        <f t="shared" si="1"/>
        <v>Breno</v>
      </c>
      <c r="H354" s="152" t="s">
        <v>224</v>
      </c>
      <c r="I354" s="74" t="s">
        <v>66</v>
      </c>
      <c r="J354" s="63" t="str">
        <f t="shared" si="4"/>
        <v>Não</v>
      </c>
      <c r="K354" s="194">
        <v>44411.0</v>
      </c>
      <c r="L354" s="557">
        <v>44512.0</v>
      </c>
      <c r="M354" s="81" t="s">
        <v>209</v>
      </c>
      <c r="N354" s="478">
        <v>0.015</v>
      </c>
      <c r="O354" s="63" t="s">
        <v>35</v>
      </c>
      <c r="P354" s="145">
        <v>0.1</v>
      </c>
      <c r="Q354" s="158"/>
      <c r="R354" s="158"/>
      <c r="S354" s="62" t="s">
        <v>194</v>
      </c>
      <c r="T354" s="22" t="s">
        <v>7193</v>
      </c>
      <c r="U354" s="95" t="s">
        <v>221</v>
      </c>
      <c r="V354" s="49" t="str">
        <f t="shared" si="3"/>
        <v>Encerrado</v>
      </c>
      <c r="W354" s="150"/>
      <c r="X354" s="150"/>
      <c r="Y354" s="30" t="s">
        <v>244</v>
      </c>
      <c r="Z354" s="81"/>
      <c r="AA354" s="81"/>
      <c r="AB354" s="30"/>
      <c r="AC354" s="246"/>
      <c r="AD354" s="246"/>
      <c r="AE354" s="246"/>
      <c r="AF354" s="246"/>
      <c r="AG354" s="246"/>
      <c r="AH354" s="246"/>
      <c r="AI354" s="246"/>
      <c r="AJ354" s="246"/>
      <c r="AK354" s="246"/>
      <c r="AL354" s="246"/>
      <c r="AM354" s="246"/>
      <c r="AN354" s="96"/>
      <c r="AO354" s="96"/>
      <c r="AP354" s="96"/>
      <c r="AQ354" s="96"/>
      <c r="AR354" s="96"/>
      <c r="AS354" s="96"/>
      <c r="AT354" s="96"/>
      <c r="AU354" s="96"/>
      <c r="AV354" s="476"/>
      <c r="AW354" s="96">
        <v>55888.38</v>
      </c>
      <c r="AX354" s="96">
        <v>55097.01</v>
      </c>
      <c r="AY354" s="96">
        <v>54804.5</v>
      </c>
      <c r="AZ354" s="96">
        <v>53176.66</v>
      </c>
      <c r="BA354" s="96">
        <v>-63.72</v>
      </c>
      <c r="BB354" s="96">
        <v>-63.72</v>
      </c>
      <c r="BC354" s="96">
        <v>-52.72</v>
      </c>
      <c r="BD354" s="96">
        <v>11.0</v>
      </c>
      <c r="BE354" s="96">
        <v>11.0</v>
      </c>
      <c r="BF354" s="96">
        <v>11.0</v>
      </c>
      <c r="BG354" s="96" t="s">
        <v>377</v>
      </c>
      <c r="BH354" s="96">
        <v>0.0</v>
      </c>
      <c r="BI354" s="96" t="s">
        <v>377</v>
      </c>
      <c r="BJ354" s="96">
        <v>0.0</v>
      </c>
      <c r="BK354" s="472">
        <v>0.0</v>
      </c>
      <c r="BL354" s="472">
        <v>0.0</v>
      </c>
      <c r="BM354" s="472">
        <v>0.0</v>
      </c>
      <c r="BN354" s="472">
        <v>0.0</v>
      </c>
      <c r="BO354" s="472">
        <v>0.0</v>
      </c>
      <c r="BP354" s="472">
        <v>0.0</v>
      </c>
      <c r="BQ354" s="472">
        <v>0.0</v>
      </c>
      <c r="BR354" s="472">
        <v>0.0</v>
      </c>
      <c r="BS354" s="472">
        <v>0.0</v>
      </c>
      <c r="BT354" s="472">
        <v>0.0</v>
      </c>
      <c r="BU354" s="472">
        <v>0.0</v>
      </c>
      <c r="BV354" s="472">
        <v>0.0</v>
      </c>
      <c r="BW354" s="472">
        <v>0.0</v>
      </c>
      <c r="BX354" s="472">
        <v>0.0</v>
      </c>
      <c r="BY354" s="472">
        <v>0.0</v>
      </c>
      <c r="BZ354" s="472">
        <v>0.0</v>
      </c>
      <c r="CA354" s="474">
        <v>0.0</v>
      </c>
      <c r="CB354" s="474">
        <v>0.0</v>
      </c>
      <c r="CC354" s="474">
        <v>0.0</v>
      </c>
      <c r="CD354" s="474">
        <v>0.0</v>
      </c>
      <c r="CE354" s="474">
        <v>0.0</v>
      </c>
      <c r="CF354" s="474">
        <v>0.0</v>
      </c>
      <c r="CG354" s="474">
        <v>0.0</v>
      </c>
      <c r="CH354" s="65">
        <v>0.0</v>
      </c>
      <c r="CI354" s="65">
        <v>0.0</v>
      </c>
      <c r="CJ354" s="65">
        <v>0.0</v>
      </c>
      <c r="CK354" s="65">
        <v>0.0</v>
      </c>
      <c r="CL354" s="65">
        <v>0.0</v>
      </c>
      <c r="CM354" s="65">
        <v>0.0</v>
      </c>
      <c r="CN354" s="65">
        <v>0.0</v>
      </c>
    </row>
    <row r="355" ht="15.75" customHeight="1">
      <c r="A355" s="462" t="s">
        <v>2346</v>
      </c>
      <c r="B355" s="510" t="s">
        <v>6761</v>
      </c>
      <c r="C355" s="141">
        <v>88264.0</v>
      </c>
      <c r="D355" s="63" t="s">
        <v>1096</v>
      </c>
      <c r="E355" s="63" t="s">
        <v>199</v>
      </c>
      <c r="F355" s="81" t="s">
        <v>1096</v>
      </c>
      <c r="G355" s="47" t="str">
        <f t="shared" si="1"/>
        <v>Breno</v>
      </c>
      <c r="H355" s="152" t="s">
        <v>224</v>
      </c>
      <c r="I355" s="74" t="s">
        <v>66</v>
      </c>
      <c r="J355" s="63" t="str">
        <f t="shared" si="4"/>
        <v>Não</v>
      </c>
      <c r="K355" s="467">
        <v>43441.0</v>
      </c>
      <c r="L355" s="467">
        <v>44448.0</v>
      </c>
      <c r="M355" s="81" t="s">
        <v>231</v>
      </c>
      <c r="N355" s="478">
        <v>0.01</v>
      </c>
      <c r="O355" s="141" t="s">
        <v>233</v>
      </c>
      <c r="P355" s="145">
        <v>0.2</v>
      </c>
      <c r="Q355" s="158"/>
      <c r="R355" s="158"/>
      <c r="S355" s="62" t="s">
        <v>194</v>
      </c>
      <c r="T355" s="30" t="s">
        <v>7212</v>
      </c>
      <c r="U355" s="81" t="s">
        <v>199</v>
      </c>
      <c r="V355" s="49" t="str">
        <f t="shared" si="3"/>
        <v>Encerrado</v>
      </c>
      <c r="W355" s="150"/>
      <c r="X355" s="150"/>
      <c r="Y355" s="81"/>
      <c r="Z355" s="81"/>
      <c r="AA355" s="81"/>
      <c r="AB355" s="30"/>
      <c r="AC355" s="96">
        <v>77841.67</v>
      </c>
      <c r="AD355" s="96">
        <v>84133.51</v>
      </c>
      <c r="AE355" s="96">
        <v>65856.95</v>
      </c>
      <c r="AF355" s="96">
        <v>70511.97</v>
      </c>
      <c r="AG355" s="96">
        <v>72462.63</v>
      </c>
      <c r="AH355" s="96">
        <v>76167.31</v>
      </c>
      <c r="AI355" s="96">
        <v>83361.7</v>
      </c>
      <c r="AJ355" s="96">
        <v>78749.02</v>
      </c>
      <c r="AK355" s="96">
        <v>75234.18</v>
      </c>
      <c r="AL355" s="96">
        <v>78058.06</v>
      </c>
      <c r="AM355" s="96">
        <v>90608.87</v>
      </c>
      <c r="AN355" s="96">
        <v>144153.12</v>
      </c>
      <c r="AO355" s="96">
        <v>137498.88</v>
      </c>
      <c r="AP355" s="96">
        <v>130172.66</v>
      </c>
      <c r="AQ355" s="96">
        <v>127007.11</v>
      </c>
      <c r="AR355" s="96">
        <v>131245.19</v>
      </c>
      <c r="AS355" s="96">
        <v>136013.95</v>
      </c>
      <c r="AT355" s="96">
        <v>136519.71</v>
      </c>
      <c r="AU355" s="96">
        <v>142066.65</v>
      </c>
      <c r="AV355" s="96">
        <v>139881.13</v>
      </c>
      <c r="AW355" s="96">
        <v>135954.11</v>
      </c>
      <c r="AX355" s="96">
        <v>130029.24</v>
      </c>
      <c r="AY355" s="96">
        <v>123458.32</v>
      </c>
      <c r="AZ355" s="96"/>
      <c r="BA355" s="96"/>
      <c r="BB355" s="96"/>
      <c r="BC355" s="96"/>
      <c r="BD355" s="96">
        <v>0.0</v>
      </c>
      <c r="BE355" s="96">
        <v>0.0</v>
      </c>
      <c r="BF355" s="96">
        <v>0.0</v>
      </c>
      <c r="BG355" s="505" t="s">
        <v>377</v>
      </c>
      <c r="BH355" s="96">
        <v>0.0</v>
      </c>
      <c r="BI355" s="96" t="s">
        <v>377</v>
      </c>
      <c r="BJ355" s="96">
        <v>0.0</v>
      </c>
      <c r="BK355" s="472">
        <v>0.0</v>
      </c>
      <c r="BL355" s="472">
        <v>0.0</v>
      </c>
      <c r="BM355" s="472">
        <v>0.0</v>
      </c>
      <c r="BN355" s="472">
        <v>0.0</v>
      </c>
      <c r="BO355" s="472">
        <v>0.0</v>
      </c>
      <c r="BP355" s="472">
        <v>0.0</v>
      </c>
      <c r="BQ355" s="472">
        <v>0.0</v>
      </c>
      <c r="BR355" s="472">
        <v>0.0</v>
      </c>
      <c r="BS355" s="472">
        <v>0.0</v>
      </c>
      <c r="BT355" s="472">
        <v>0.0</v>
      </c>
      <c r="BU355" s="472">
        <v>0.0</v>
      </c>
      <c r="BV355" s="472">
        <v>0.0</v>
      </c>
      <c r="BW355" s="472">
        <v>0.0</v>
      </c>
      <c r="BX355" s="472">
        <v>0.0</v>
      </c>
      <c r="BY355" s="472">
        <v>0.0</v>
      </c>
      <c r="BZ355" s="472">
        <v>0.0</v>
      </c>
      <c r="CA355" s="474">
        <v>0.0</v>
      </c>
      <c r="CB355" s="474">
        <v>0.0</v>
      </c>
      <c r="CC355" s="474">
        <v>0.0</v>
      </c>
      <c r="CD355" s="474">
        <v>0.0</v>
      </c>
      <c r="CE355" s="474">
        <v>0.0</v>
      </c>
      <c r="CF355" s="474">
        <v>0.0</v>
      </c>
      <c r="CG355" s="474">
        <v>0.0</v>
      </c>
      <c r="CH355" s="65">
        <v>0.0</v>
      </c>
      <c r="CI355" s="65">
        <v>0.0</v>
      </c>
      <c r="CJ355" s="65">
        <v>0.0</v>
      </c>
      <c r="CK355" s="65">
        <v>0.0</v>
      </c>
      <c r="CL355" s="65">
        <v>0.0</v>
      </c>
      <c r="CM355" s="65">
        <v>0.0</v>
      </c>
      <c r="CN355" s="65">
        <v>0.0</v>
      </c>
    </row>
    <row r="356" ht="15.75" customHeight="1">
      <c r="A356" s="462" t="s">
        <v>2346</v>
      </c>
      <c r="B356" s="176" t="s">
        <v>7217</v>
      </c>
      <c r="C356" s="141">
        <v>459393.0</v>
      </c>
      <c r="D356" s="63" t="s">
        <v>120</v>
      </c>
      <c r="E356" s="63" t="s">
        <v>91</v>
      </c>
      <c r="F356" s="63" t="s">
        <v>193</v>
      </c>
      <c r="G356" s="47" t="str">
        <f t="shared" si="1"/>
        <v>Breno</v>
      </c>
      <c r="H356" s="152" t="s">
        <v>295</v>
      </c>
      <c r="I356" s="49" t="s">
        <v>382</v>
      </c>
      <c r="J356" s="63" t="str">
        <f t="shared" si="4"/>
        <v>Não</v>
      </c>
      <c r="K356" s="194">
        <v>44638.0</v>
      </c>
      <c r="L356" s="81"/>
      <c r="M356" s="81" t="s">
        <v>34</v>
      </c>
      <c r="N356" s="464">
        <v>0.012</v>
      </c>
      <c r="O356" s="141" t="s">
        <v>66</v>
      </c>
      <c r="P356" s="145">
        <v>0.0</v>
      </c>
      <c r="Q356" s="158"/>
      <c r="R356" s="158"/>
      <c r="S356" s="62" t="s">
        <v>194</v>
      </c>
      <c r="T356" s="22" t="s">
        <v>7221</v>
      </c>
      <c r="U356" s="95" t="s">
        <v>221</v>
      </c>
      <c r="V356" s="49" t="str">
        <f t="shared" si="3"/>
        <v>Inativo</v>
      </c>
      <c r="W356" s="150"/>
      <c r="X356" s="150"/>
      <c r="Y356" s="30" t="s">
        <v>244</v>
      </c>
      <c r="Z356" s="81"/>
      <c r="AA356" s="467">
        <v>44638.0</v>
      </c>
      <c r="AB356" s="30">
        <v>4.9075100004757E13</v>
      </c>
      <c r="AC356" s="482"/>
      <c r="AD356" s="482"/>
      <c r="AE356" s="482"/>
      <c r="AF356" s="482"/>
      <c r="AG356" s="482"/>
      <c r="AH356" s="482"/>
      <c r="AI356" s="482"/>
      <c r="AJ356" s="482"/>
      <c r="AK356" s="482"/>
      <c r="AL356" s="482"/>
      <c r="AM356" s="482"/>
      <c r="AN356" s="482"/>
      <c r="AO356" s="482"/>
      <c r="AP356" s="96"/>
      <c r="AQ356" s="471"/>
      <c r="AR356" s="471"/>
      <c r="AS356" s="471"/>
      <c r="AT356" s="471"/>
      <c r="AU356" s="471"/>
      <c r="AV356" s="96"/>
      <c r="AW356" s="96"/>
      <c r="AX356" s="96"/>
      <c r="AY356" s="96"/>
      <c r="AZ356" s="96"/>
      <c r="BA356" s="96">
        <v>355283.95</v>
      </c>
      <c r="BB356" s="96">
        <v>357504.26</v>
      </c>
      <c r="BC356" s="96">
        <v>362346.82</v>
      </c>
      <c r="BD356" s="96">
        <v>103386.68</v>
      </c>
      <c r="BE356" s="96">
        <v>106226.72</v>
      </c>
      <c r="BF356" s="96">
        <v>106195.38</v>
      </c>
      <c r="BG356" s="472">
        <v>106335.55</v>
      </c>
      <c r="BH356" s="472">
        <v>106476.23</v>
      </c>
      <c r="BI356" s="472">
        <v>107383.32</v>
      </c>
      <c r="BJ356" s="472">
        <v>108872.17</v>
      </c>
      <c r="BK356" s="472">
        <v>109892.5</v>
      </c>
      <c r="BL356" s="472">
        <v>111886.77</v>
      </c>
      <c r="BM356" s="472">
        <v>111556.78</v>
      </c>
      <c r="BN356" s="472">
        <v>112534.31</v>
      </c>
      <c r="BO356" s="472">
        <v>214444.71</v>
      </c>
      <c r="BP356" s="472">
        <v>216201.88</v>
      </c>
      <c r="BQ356" s="472">
        <v>218825.99</v>
      </c>
      <c r="BR356" s="472">
        <v>220476.47</v>
      </c>
      <c r="BS356" s="472">
        <v>222942.58</v>
      </c>
      <c r="BT356" s="472">
        <v>224994.21</v>
      </c>
      <c r="BU356" s="472">
        <v>226091.78</v>
      </c>
      <c r="BV356" s="472">
        <v>17219.81</v>
      </c>
      <c r="BW356" s="472">
        <v>17197.26</v>
      </c>
      <c r="BX356" s="472">
        <v>17382.15</v>
      </c>
      <c r="BY356" s="472">
        <v>17268.01</v>
      </c>
      <c r="BZ356" s="472">
        <v>0.0</v>
      </c>
      <c r="CA356" s="474">
        <v>0.0</v>
      </c>
      <c r="CB356" s="474">
        <v>0.0</v>
      </c>
      <c r="CC356" s="474">
        <v>0.0</v>
      </c>
      <c r="CD356" s="474">
        <v>0.0</v>
      </c>
      <c r="CE356" s="474">
        <v>0.0</v>
      </c>
      <c r="CF356" s="474">
        <v>0.0</v>
      </c>
      <c r="CG356" s="474">
        <v>0.0</v>
      </c>
      <c r="CH356" s="65">
        <v>0.0</v>
      </c>
      <c r="CI356" s="65">
        <v>0.0</v>
      </c>
      <c r="CJ356" s="65">
        <v>0.0</v>
      </c>
      <c r="CK356" s="65">
        <v>0.0</v>
      </c>
      <c r="CL356" s="65">
        <v>0.0</v>
      </c>
      <c r="CM356" s="65">
        <v>0.0</v>
      </c>
      <c r="CN356" s="65">
        <v>0.0</v>
      </c>
    </row>
    <row r="357" ht="15.75" customHeight="1">
      <c r="A357" s="462" t="s">
        <v>2346</v>
      </c>
      <c r="B357" s="50" t="s">
        <v>7230</v>
      </c>
      <c r="C357" s="141">
        <v>612431.0</v>
      </c>
      <c r="D357" s="63" t="s">
        <v>120</v>
      </c>
      <c r="E357" s="63" t="s">
        <v>91</v>
      </c>
      <c r="F357" s="81" t="s">
        <v>521</v>
      </c>
      <c r="G357" s="47" t="str">
        <f t="shared" si="1"/>
        <v>Breno</v>
      </c>
      <c r="H357" s="152" t="s">
        <v>295</v>
      </c>
      <c r="I357" s="49" t="s">
        <v>382</v>
      </c>
      <c r="J357" s="63" t="str">
        <f t="shared" si="4"/>
        <v>Não</v>
      </c>
      <c r="K357" s="194">
        <v>44365.0</v>
      </c>
      <c r="L357" s="81"/>
      <c r="M357" s="81" t="s">
        <v>34</v>
      </c>
      <c r="N357" s="464">
        <v>0.012</v>
      </c>
      <c r="O357" s="141" t="s">
        <v>66</v>
      </c>
      <c r="P357" s="145">
        <v>0.0</v>
      </c>
      <c r="Q357" s="70"/>
      <c r="R357" s="70"/>
      <c r="S357" s="62" t="s">
        <v>194</v>
      </c>
      <c r="T357" s="22" t="s">
        <v>7234</v>
      </c>
      <c r="U357" s="95" t="s">
        <v>221</v>
      </c>
      <c r="V357" s="49" t="str">
        <f t="shared" si="3"/>
        <v>Inativo</v>
      </c>
      <c r="W357" s="150"/>
      <c r="X357" s="150"/>
      <c r="Y357" s="30" t="s">
        <v>244</v>
      </c>
      <c r="Z357" s="81"/>
      <c r="AA357" s="467">
        <v>44365.0</v>
      </c>
      <c r="AB357" s="30">
        <v>4.9075100004765E13</v>
      </c>
      <c r="AC357" s="476"/>
      <c r="AD357" s="476"/>
      <c r="AE357" s="476"/>
      <c r="AF357" s="476"/>
      <c r="AG357" s="476"/>
      <c r="AH357" s="476"/>
      <c r="AI357" s="476"/>
      <c r="AJ357" s="476"/>
      <c r="AK357" s="476"/>
      <c r="AL357" s="476"/>
      <c r="AM357" s="476"/>
      <c r="AN357" s="476"/>
      <c r="AO357" s="476"/>
      <c r="AP357" s="471"/>
      <c r="AQ357" s="471"/>
      <c r="AR357" s="471"/>
      <c r="AS357" s="471"/>
      <c r="AT357" s="471"/>
      <c r="AU357" s="476"/>
      <c r="AV357" s="96">
        <v>368924.89</v>
      </c>
      <c r="AW357" s="96">
        <v>368102.84</v>
      </c>
      <c r="AX357" s="96">
        <v>365570.1</v>
      </c>
      <c r="AY357" s="96">
        <v>363223.78</v>
      </c>
      <c r="AZ357" s="96">
        <v>356287.55</v>
      </c>
      <c r="BA357" s="96"/>
      <c r="BB357" s="96"/>
      <c r="BC357" s="96"/>
      <c r="BD357" s="96">
        <v>364767.61</v>
      </c>
      <c r="BE357" s="96">
        <v>376509.59</v>
      </c>
      <c r="BF357" s="96">
        <v>373892.1</v>
      </c>
      <c r="BG357" s="472">
        <v>374659.59</v>
      </c>
      <c r="BH357" s="472">
        <v>374171.24</v>
      </c>
      <c r="BI357" s="472">
        <v>376373.36</v>
      </c>
      <c r="BJ357" s="472">
        <v>380748.46</v>
      </c>
      <c r="BK357" s="472">
        <v>383325.19</v>
      </c>
      <c r="BL357" s="472">
        <v>390877.9</v>
      </c>
      <c r="BM357" s="472">
        <v>388965.44</v>
      </c>
      <c r="BN357" s="472">
        <v>392750.26</v>
      </c>
      <c r="BO357" s="472">
        <v>527140.25</v>
      </c>
      <c r="BP357" s="472">
        <v>532514.14</v>
      </c>
      <c r="BQ357" s="472">
        <v>539329.62</v>
      </c>
      <c r="BR357" s="472">
        <v>543618.94</v>
      </c>
      <c r="BS357" s="472">
        <v>549325.51</v>
      </c>
      <c r="BT357" s="472">
        <v>555219.23</v>
      </c>
      <c r="BU357" s="472">
        <v>556445.44</v>
      </c>
      <c r="BV357" s="472">
        <v>562374.35</v>
      </c>
      <c r="BW357" s="472">
        <v>558142.95</v>
      </c>
      <c r="BX357" s="472">
        <v>2349.98</v>
      </c>
      <c r="BY357" s="472">
        <v>91.07</v>
      </c>
      <c r="BZ357" s="472">
        <v>91.07</v>
      </c>
      <c r="CA357" s="474">
        <v>0.0</v>
      </c>
      <c r="CB357" s="474">
        <v>0.0</v>
      </c>
      <c r="CC357" s="474">
        <v>0.0</v>
      </c>
      <c r="CD357" s="474">
        <v>0.0</v>
      </c>
      <c r="CE357" s="474">
        <v>0.0</v>
      </c>
      <c r="CF357" s="474">
        <v>0.0</v>
      </c>
      <c r="CG357" s="474">
        <v>0.0</v>
      </c>
      <c r="CH357" s="65">
        <v>0.0</v>
      </c>
      <c r="CI357" s="65">
        <v>0.0</v>
      </c>
      <c r="CJ357" s="65">
        <v>0.0</v>
      </c>
      <c r="CK357" s="65">
        <v>0.0</v>
      </c>
      <c r="CL357" s="65">
        <v>0.0</v>
      </c>
      <c r="CM357" s="65">
        <v>0.0</v>
      </c>
      <c r="CN357" s="65">
        <v>0.0</v>
      </c>
    </row>
    <row r="358" ht="15.75" customHeight="1">
      <c r="A358" s="462" t="s">
        <v>2346</v>
      </c>
      <c r="B358" s="518" t="s">
        <v>6769</v>
      </c>
      <c r="C358" s="141">
        <v>38387.0</v>
      </c>
      <c r="D358" s="63" t="s">
        <v>120</v>
      </c>
      <c r="E358" s="63" t="s">
        <v>91</v>
      </c>
      <c r="F358" s="63" t="s">
        <v>521</v>
      </c>
      <c r="G358" s="47" t="str">
        <f t="shared" si="1"/>
        <v>Breno</v>
      </c>
      <c r="H358" s="142" t="s">
        <v>295</v>
      </c>
      <c r="I358" s="49" t="s">
        <v>382</v>
      </c>
      <c r="J358" s="63" t="str">
        <f t="shared" si="4"/>
        <v>Não</v>
      </c>
      <c r="K358" s="467">
        <v>44263.0</v>
      </c>
      <c r="L358" s="81"/>
      <c r="M358" s="81" t="s">
        <v>34</v>
      </c>
      <c r="N358" s="464">
        <v>0.012</v>
      </c>
      <c r="O358" s="141" t="s">
        <v>66</v>
      </c>
      <c r="P358" s="145">
        <v>0.0</v>
      </c>
      <c r="Q358" s="190"/>
      <c r="R358" s="158" t="s">
        <v>7239</v>
      </c>
      <c r="S358" s="62" t="s">
        <v>194</v>
      </c>
      <c r="T358" s="141" t="s">
        <v>7240</v>
      </c>
      <c r="U358" s="95" t="s">
        <v>221</v>
      </c>
      <c r="V358" s="49" t="str">
        <f t="shared" si="3"/>
        <v>Inativo</v>
      </c>
      <c r="W358" s="150"/>
      <c r="X358" s="150"/>
      <c r="Y358" s="30" t="s">
        <v>244</v>
      </c>
      <c r="Z358" s="81"/>
      <c r="AA358" s="467">
        <v>44263.0</v>
      </c>
      <c r="AB358" s="30">
        <v>4.9075100010961E13</v>
      </c>
      <c r="AC358" s="482"/>
      <c r="AD358" s="482"/>
      <c r="AE358" s="482"/>
      <c r="AF358" s="482"/>
      <c r="AG358" s="482"/>
      <c r="AH358" s="482"/>
      <c r="AI358" s="482"/>
      <c r="AJ358" s="482"/>
      <c r="AK358" s="482"/>
      <c r="AL358" s="482"/>
      <c r="AM358" s="482"/>
      <c r="AN358" s="482"/>
      <c r="AO358" s="482"/>
      <c r="AP358" s="96"/>
      <c r="AQ358" s="471">
        <v>2018443.12</v>
      </c>
      <c r="AR358" s="471">
        <v>2022951.65</v>
      </c>
      <c r="AS358" s="471"/>
      <c r="AT358" s="471">
        <v>2057804.37</v>
      </c>
      <c r="AU358" s="471">
        <v>2137888.69</v>
      </c>
      <c r="AV358" s="96">
        <v>2051190.98</v>
      </c>
      <c r="AW358" s="96">
        <v>1994005.81</v>
      </c>
      <c r="AX358" s="96">
        <v>1888337.3</v>
      </c>
      <c r="AY358" s="96">
        <v>1791811.54</v>
      </c>
      <c r="AZ358" s="96">
        <v>1632843.8</v>
      </c>
      <c r="BA358" s="96">
        <v>1533952.63</v>
      </c>
      <c r="BB358" s="96">
        <v>1458416.28</v>
      </c>
      <c r="BC358" s="96">
        <v>869350.73</v>
      </c>
      <c r="BD358" s="96">
        <v>876037.91</v>
      </c>
      <c r="BE358" s="96">
        <v>909097.94</v>
      </c>
      <c r="BF358" s="96">
        <v>901617.88</v>
      </c>
      <c r="BG358" s="472">
        <v>908189.69</v>
      </c>
      <c r="BH358" s="472">
        <v>906394.23</v>
      </c>
      <c r="BI358" s="472">
        <v>847516.91</v>
      </c>
      <c r="BJ358" s="472">
        <v>859111.69</v>
      </c>
      <c r="BK358" s="472">
        <v>432923.88</v>
      </c>
      <c r="BL358" s="472">
        <v>82252.46</v>
      </c>
      <c r="BM358" s="472">
        <v>82405.02</v>
      </c>
      <c r="BN358" s="472">
        <v>82937.9</v>
      </c>
      <c r="BO358" s="472">
        <v>84482.32</v>
      </c>
      <c r="BP358" s="472">
        <v>77927.54</v>
      </c>
      <c r="BQ358" s="472">
        <v>188.52</v>
      </c>
      <c r="BR358" s="472">
        <v>179.88</v>
      </c>
      <c r="BS358" s="472">
        <v>0.0</v>
      </c>
      <c r="BT358" s="472">
        <v>0.0</v>
      </c>
      <c r="BU358" s="472">
        <v>0.0</v>
      </c>
      <c r="BV358" s="472">
        <v>0.0</v>
      </c>
      <c r="BW358" s="472">
        <v>0.0</v>
      </c>
      <c r="BX358" s="472">
        <v>0.0</v>
      </c>
      <c r="BY358" s="472">
        <v>0.0</v>
      </c>
      <c r="BZ358" s="472">
        <v>0.0</v>
      </c>
      <c r="CA358" s="474">
        <v>0.0</v>
      </c>
      <c r="CB358" s="474">
        <v>0.0</v>
      </c>
      <c r="CC358" s="474">
        <v>0.0</v>
      </c>
      <c r="CD358" s="474">
        <v>0.0</v>
      </c>
      <c r="CE358" s="474">
        <v>0.0</v>
      </c>
      <c r="CF358" s="474">
        <v>0.0</v>
      </c>
      <c r="CG358" s="474">
        <v>0.0</v>
      </c>
      <c r="CH358" s="65">
        <v>0.0</v>
      </c>
      <c r="CI358" s="65">
        <v>0.0</v>
      </c>
      <c r="CJ358" s="65">
        <v>0.0</v>
      </c>
      <c r="CK358" s="65">
        <v>0.0</v>
      </c>
      <c r="CL358" s="65">
        <v>0.0</v>
      </c>
      <c r="CM358" s="65">
        <v>0.0</v>
      </c>
      <c r="CN358" s="65">
        <v>0.0</v>
      </c>
    </row>
    <row r="359" ht="15.75" customHeight="1">
      <c r="A359" s="462" t="s">
        <v>2346</v>
      </c>
      <c r="B359" s="518" t="s">
        <v>6769</v>
      </c>
      <c r="C359" s="141">
        <v>85872.0</v>
      </c>
      <c r="D359" s="63" t="s">
        <v>120</v>
      </c>
      <c r="E359" s="63" t="s">
        <v>91</v>
      </c>
      <c r="F359" s="66" t="s">
        <v>521</v>
      </c>
      <c r="G359" s="47" t="str">
        <f t="shared" si="1"/>
        <v>Breno</v>
      </c>
      <c r="H359" s="142" t="s">
        <v>295</v>
      </c>
      <c r="I359" s="49" t="s">
        <v>382</v>
      </c>
      <c r="J359" s="63" t="str">
        <f t="shared" si="4"/>
        <v>Sim</v>
      </c>
      <c r="K359" s="467">
        <v>44585.0</v>
      </c>
      <c r="L359" s="62"/>
      <c r="M359" s="81" t="s">
        <v>61</v>
      </c>
      <c r="N359" s="464">
        <v>0.007</v>
      </c>
      <c r="O359" s="141" t="s">
        <v>66</v>
      </c>
      <c r="P359" s="145">
        <v>0.0</v>
      </c>
      <c r="Q359" s="70" t="s">
        <v>7250</v>
      </c>
      <c r="R359" s="70"/>
      <c r="S359" s="62" t="s">
        <v>194</v>
      </c>
      <c r="T359" s="141" t="s">
        <v>7240</v>
      </c>
      <c r="U359" s="95" t="s">
        <v>221</v>
      </c>
      <c r="V359" s="49" t="str">
        <f t="shared" si="3"/>
        <v>Inativo</v>
      </c>
      <c r="W359" s="150"/>
      <c r="X359" s="150"/>
      <c r="Y359" s="30" t="s">
        <v>244</v>
      </c>
      <c r="Z359" s="81"/>
      <c r="AA359" s="467">
        <v>44585.0</v>
      </c>
      <c r="AB359" s="30">
        <v>4.9075100010978E13</v>
      </c>
      <c r="AC359" s="379"/>
      <c r="AD359" s="379"/>
      <c r="AE359" s="379"/>
      <c r="AF359" s="379"/>
      <c r="AG359" s="379"/>
      <c r="AH359" s="379"/>
      <c r="AI359" s="379"/>
      <c r="AJ359" s="379"/>
      <c r="AK359" s="379"/>
      <c r="AL359" s="379"/>
      <c r="AM359" s="379"/>
      <c r="AN359" s="379"/>
      <c r="AO359" s="379"/>
      <c r="AP359" s="471"/>
      <c r="AQ359" s="471"/>
      <c r="AR359" s="471"/>
      <c r="AS359" s="471"/>
      <c r="AT359" s="471"/>
      <c r="AU359" s="96"/>
      <c r="AV359" s="96"/>
      <c r="AW359" s="96"/>
      <c r="AX359" s="96"/>
      <c r="AY359" s="96"/>
      <c r="AZ359" s="96"/>
      <c r="BA359" s="96"/>
      <c r="BB359" s="379"/>
      <c r="BC359" s="96">
        <v>681701.31</v>
      </c>
      <c r="BD359" s="96">
        <v>633961.45</v>
      </c>
      <c r="BE359" s="96">
        <v>591403.87</v>
      </c>
      <c r="BF359" s="96">
        <v>545727.06</v>
      </c>
      <c r="BG359" s="472">
        <v>505384.37</v>
      </c>
      <c r="BH359" s="472">
        <v>459703.61</v>
      </c>
      <c r="BI359" s="472">
        <v>451985.98</v>
      </c>
      <c r="BJ359" s="472">
        <v>390613.66</v>
      </c>
      <c r="BK359" s="472">
        <v>235823.49</v>
      </c>
      <c r="BL359" s="472">
        <v>217627.79</v>
      </c>
      <c r="BM359" s="472">
        <v>174173.72</v>
      </c>
      <c r="BN359" s="472">
        <v>118987.86</v>
      </c>
      <c r="BO359" s="472">
        <v>44849.02</v>
      </c>
      <c r="BP359" s="472">
        <v>317.02</v>
      </c>
      <c r="BQ359" s="472">
        <v>317.49</v>
      </c>
      <c r="BR359" s="472">
        <v>317.73</v>
      </c>
      <c r="BS359" s="472">
        <v>0.0</v>
      </c>
      <c r="BT359" s="472">
        <v>0.0</v>
      </c>
      <c r="BU359" s="472">
        <v>0.0</v>
      </c>
      <c r="BV359" s="472">
        <v>0.0</v>
      </c>
      <c r="BW359" s="472">
        <v>0.0</v>
      </c>
      <c r="BX359" s="472">
        <v>0.0</v>
      </c>
      <c r="BY359" s="472">
        <v>0.0</v>
      </c>
      <c r="BZ359" s="472">
        <v>0.0</v>
      </c>
      <c r="CA359" s="474">
        <v>0.0</v>
      </c>
      <c r="CB359" s="474">
        <v>0.0</v>
      </c>
      <c r="CC359" s="474">
        <v>0.0</v>
      </c>
      <c r="CD359" s="474">
        <v>0.0</v>
      </c>
      <c r="CE359" s="474">
        <v>0.0</v>
      </c>
      <c r="CF359" s="474">
        <v>0.0</v>
      </c>
      <c r="CG359" s="474">
        <v>0.0</v>
      </c>
      <c r="CH359" s="65">
        <v>0.0</v>
      </c>
      <c r="CI359" s="65">
        <v>0.0</v>
      </c>
      <c r="CJ359" s="65">
        <v>0.0</v>
      </c>
      <c r="CK359" s="65">
        <v>0.0</v>
      </c>
      <c r="CL359" s="65">
        <v>0.0</v>
      </c>
      <c r="CM359" s="65">
        <v>0.0</v>
      </c>
      <c r="CN359" s="65">
        <v>0.0</v>
      </c>
    </row>
    <row r="360" ht="15.75" customHeight="1">
      <c r="A360" s="462" t="s">
        <v>2346</v>
      </c>
      <c r="B360" s="462" t="s">
        <v>7260</v>
      </c>
      <c r="C360" s="141">
        <v>438274.0</v>
      </c>
      <c r="D360" s="63" t="s">
        <v>669</v>
      </c>
      <c r="E360" s="63" t="s">
        <v>199</v>
      </c>
      <c r="F360" s="63" t="s">
        <v>1228</v>
      </c>
      <c r="G360" s="47" t="str">
        <f t="shared" si="1"/>
        <v>Breno</v>
      </c>
      <c r="H360" s="142" t="s">
        <v>295</v>
      </c>
      <c r="I360" s="49" t="s">
        <v>382</v>
      </c>
      <c r="J360" s="63" t="str">
        <f t="shared" si="4"/>
        <v>Não</v>
      </c>
      <c r="K360" s="143">
        <v>43804.0</v>
      </c>
      <c r="L360" s="62"/>
      <c r="M360" s="81" t="s">
        <v>209</v>
      </c>
      <c r="N360" s="464">
        <v>0.015</v>
      </c>
      <c r="O360" s="63" t="s">
        <v>35</v>
      </c>
      <c r="P360" s="145">
        <v>0.1</v>
      </c>
      <c r="Q360" s="190"/>
      <c r="R360" s="158" t="s">
        <v>7263</v>
      </c>
      <c r="S360" s="62" t="s">
        <v>194</v>
      </c>
      <c r="T360" s="141" t="s">
        <v>7264</v>
      </c>
      <c r="U360" s="81" t="s">
        <v>54</v>
      </c>
      <c r="V360" s="49" t="str">
        <f t="shared" si="3"/>
        <v>Inativo</v>
      </c>
      <c r="W360" s="150"/>
      <c r="X360" s="150"/>
      <c r="Y360" s="30" t="s">
        <v>244</v>
      </c>
      <c r="Z360" s="81"/>
      <c r="AA360" s="467">
        <v>43804.0</v>
      </c>
      <c r="AB360" s="30">
        <v>4.9075100014272E13</v>
      </c>
      <c r="AC360" s="96">
        <v>99984.97</v>
      </c>
      <c r="AD360" s="96">
        <v>98133.83</v>
      </c>
      <c r="AE360" s="96">
        <v>91668.93</v>
      </c>
      <c r="AF360" s="96">
        <v>93521.41</v>
      </c>
      <c r="AG360" s="96">
        <v>94384.39</v>
      </c>
      <c r="AH360" s="96">
        <v>96173.09</v>
      </c>
      <c r="AI360" s="96">
        <v>99350.23</v>
      </c>
      <c r="AJ360" s="96">
        <v>97806.72</v>
      </c>
      <c r="AK360" s="96">
        <v>96125.12</v>
      </c>
      <c r="AL360" s="96">
        <v>98116.39</v>
      </c>
      <c r="AM360" s="96">
        <v>101467.04</v>
      </c>
      <c r="AN360" s="96">
        <v>101942.81</v>
      </c>
      <c r="AO360" s="96">
        <v>99759.47</v>
      </c>
      <c r="AP360" s="96">
        <v>97432.49</v>
      </c>
      <c r="AQ360" s="471">
        <v>96783.94</v>
      </c>
      <c r="AR360" s="471">
        <v>99419.1</v>
      </c>
      <c r="AS360" s="471">
        <v>99652.64</v>
      </c>
      <c r="AT360" s="471">
        <v>99609.21</v>
      </c>
      <c r="AU360" s="471">
        <v>101096.01</v>
      </c>
      <c r="AV360" s="96">
        <v>100571.03</v>
      </c>
      <c r="AW360" s="96">
        <v>99753.66</v>
      </c>
      <c r="AX360" s="96">
        <v>98247.04</v>
      </c>
      <c r="AY360" s="96">
        <v>80018.58</v>
      </c>
      <c r="AZ360" s="96">
        <v>94355.65</v>
      </c>
      <c r="BA360" s="96">
        <v>94095.44</v>
      </c>
      <c r="BB360" s="96">
        <v>94630.69</v>
      </c>
      <c r="BC360" s="96">
        <v>96188.44</v>
      </c>
      <c r="BD360" s="96">
        <v>96652.21</v>
      </c>
      <c r="BE360" s="96">
        <v>100002.85</v>
      </c>
      <c r="BF360" s="96">
        <v>99050.17</v>
      </c>
      <c r="BG360" s="472">
        <v>99298.55</v>
      </c>
      <c r="BH360" s="472">
        <v>98928.07</v>
      </c>
      <c r="BI360" s="472">
        <v>176.82</v>
      </c>
      <c r="BJ360" s="472">
        <v>188.4</v>
      </c>
      <c r="BK360" s="472">
        <v>188.4</v>
      </c>
      <c r="BL360" s="472">
        <v>188.4</v>
      </c>
      <c r="BM360" s="472">
        <v>188.4</v>
      </c>
      <c r="BN360" s="472">
        <v>188.4</v>
      </c>
      <c r="BO360" s="472">
        <v>293.89</v>
      </c>
      <c r="BP360" s="472">
        <v>293.89</v>
      </c>
      <c r="BQ360" s="472">
        <v>293.89</v>
      </c>
      <c r="BR360" s="472">
        <v>293.89</v>
      </c>
      <c r="BS360" s="472">
        <v>0.0</v>
      </c>
      <c r="BT360" s="472">
        <v>0.0</v>
      </c>
      <c r="BU360" s="472">
        <v>0.0</v>
      </c>
      <c r="BV360" s="472">
        <v>0.0</v>
      </c>
      <c r="BW360" s="472">
        <v>0.0</v>
      </c>
      <c r="BX360" s="472">
        <v>0.0</v>
      </c>
      <c r="BY360" s="472">
        <v>0.0</v>
      </c>
      <c r="BZ360" s="472">
        <v>0.0</v>
      </c>
      <c r="CA360" s="474">
        <v>0.0</v>
      </c>
      <c r="CB360" s="474">
        <v>0.0</v>
      </c>
      <c r="CC360" s="474">
        <v>0.0</v>
      </c>
      <c r="CD360" s="474">
        <v>0.0</v>
      </c>
      <c r="CE360" s="474">
        <v>0.0</v>
      </c>
      <c r="CF360" s="474">
        <v>0.0</v>
      </c>
      <c r="CG360" s="474">
        <v>0.0</v>
      </c>
      <c r="CH360" s="65">
        <v>0.0</v>
      </c>
      <c r="CI360" s="65">
        <v>0.0</v>
      </c>
      <c r="CJ360" s="65">
        <v>0.0</v>
      </c>
      <c r="CK360" s="65">
        <v>0.0</v>
      </c>
      <c r="CL360" s="65">
        <v>0.0</v>
      </c>
      <c r="CM360" s="65">
        <v>0.0</v>
      </c>
      <c r="CN360" s="65">
        <v>0.0</v>
      </c>
    </row>
    <row r="361" ht="15.75" customHeight="1">
      <c r="A361" s="462" t="s">
        <v>2346</v>
      </c>
      <c r="B361" s="477" t="s">
        <v>5180</v>
      </c>
      <c r="C361" s="141">
        <v>435113.0</v>
      </c>
      <c r="D361" s="63" t="s">
        <v>669</v>
      </c>
      <c r="E361" s="63" t="s">
        <v>199</v>
      </c>
      <c r="F361" s="81" t="s">
        <v>1228</v>
      </c>
      <c r="G361" s="47" t="str">
        <f t="shared" si="1"/>
        <v>Breno</v>
      </c>
      <c r="H361" s="152" t="s">
        <v>224</v>
      </c>
      <c r="I361" s="74" t="s">
        <v>66</v>
      </c>
      <c r="J361" s="63" t="str">
        <f t="shared" si="4"/>
        <v>Não</v>
      </c>
      <c r="K361" s="467">
        <v>43717.0</v>
      </c>
      <c r="L361" s="467">
        <v>44581.0</v>
      </c>
      <c r="M361" s="81" t="s">
        <v>209</v>
      </c>
      <c r="N361" s="478">
        <v>0.01</v>
      </c>
      <c r="O361" s="63" t="s">
        <v>35</v>
      </c>
      <c r="P361" s="145">
        <v>0.1</v>
      </c>
      <c r="Q361" s="158"/>
      <c r="R361" s="158"/>
      <c r="S361" s="62" t="s">
        <v>194</v>
      </c>
      <c r="T361" s="30" t="s">
        <v>7278</v>
      </c>
      <c r="U361" s="81" t="s">
        <v>199</v>
      </c>
      <c r="V361" s="49" t="str">
        <f t="shared" si="3"/>
        <v>Encerrado</v>
      </c>
      <c r="W361" s="150"/>
      <c r="X361" s="150"/>
      <c r="Y361" s="30" t="s">
        <v>244</v>
      </c>
      <c r="Z361" s="81"/>
      <c r="AA361" s="81"/>
      <c r="AB361" s="30"/>
      <c r="AC361" s="96">
        <v>101829.05</v>
      </c>
      <c r="AD361" s="96">
        <v>94200.2</v>
      </c>
      <c r="AE361" s="96">
        <v>88953.45</v>
      </c>
      <c r="AF361" s="96">
        <v>90797.2</v>
      </c>
      <c r="AG361" s="96">
        <v>100057.73</v>
      </c>
      <c r="AH361" s="96">
        <v>94101.72</v>
      </c>
      <c r="AI361" s="96">
        <v>95206.62</v>
      </c>
      <c r="AJ361" s="96">
        <v>83653.63</v>
      </c>
      <c r="AK361" s="96">
        <v>79515.88</v>
      </c>
      <c r="AL361" s="96">
        <v>74811.14</v>
      </c>
      <c r="AM361" s="96">
        <v>71278.06</v>
      </c>
      <c r="AN361" s="96">
        <v>65989.92</v>
      </c>
      <c r="AO361" s="96">
        <v>65142.93</v>
      </c>
      <c r="AP361" s="96">
        <v>57023.89</v>
      </c>
      <c r="AQ361" s="96">
        <v>56142.43</v>
      </c>
      <c r="AR361" s="96">
        <v>56645.42</v>
      </c>
      <c r="AS361" s="96">
        <v>49415.81</v>
      </c>
      <c r="AT361" s="96">
        <v>49154.42</v>
      </c>
      <c r="AU361" s="96">
        <v>39990.3</v>
      </c>
      <c r="AV361" s="96">
        <v>40057.84</v>
      </c>
      <c r="AW361" s="96">
        <v>39776.65</v>
      </c>
      <c r="AX361" s="96">
        <v>39903.21</v>
      </c>
      <c r="AY361" s="96">
        <v>19955.69</v>
      </c>
      <c r="AZ361" s="96">
        <v>20062.4</v>
      </c>
      <c r="BA361" s="96">
        <v>20030.92</v>
      </c>
      <c r="BB361" s="96">
        <v>8954.45</v>
      </c>
      <c r="BC361" s="96">
        <v>141.15</v>
      </c>
      <c r="BD361" s="96">
        <v>-1.07</v>
      </c>
      <c r="BE361" s="96">
        <v>-38.89</v>
      </c>
      <c r="BF361" s="96">
        <v>-38.89</v>
      </c>
      <c r="BG361" s="96" t="s">
        <v>377</v>
      </c>
      <c r="BH361" s="96">
        <v>0.0</v>
      </c>
      <c r="BI361" s="96">
        <v>-30.77</v>
      </c>
      <c r="BJ361" s="96">
        <v>0.0</v>
      </c>
      <c r="BK361" s="472">
        <v>0.0</v>
      </c>
      <c r="BL361" s="472">
        <v>0.0</v>
      </c>
      <c r="BM361" s="472">
        <v>0.0</v>
      </c>
      <c r="BN361" s="472">
        <v>0.0</v>
      </c>
      <c r="BO361" s="472">
        <v>0.0</v>
      </c>
      <c r="BP361" s="472">
        <v>0.0</v>
      </c>
      <c r="BQ361" s="472">
        <v>0.0</v>
      </c>
      <c r="BR361" s="472">
        <v>0.0</v>
      </c>
      <c r="BS361" s="472">
        <v>0.0</v>
      </c>
      <c r="BT361" s="472">
        <v>0.0</v>
      </c>
      <c r="BU361" s="472">
        <v>0.0</v>
      </c>
      <c r="BV361" s="472">
        <v>0.0</v>
      </c>
      <c r="BW361" s="472">
        <v>0.0</v>
      </c>
      <c r="BX361" s="472">
        <v>0.0</v>
      </c>
      <c r="BY361" s="472">
        <v>0.0</v>
      </c>
      <c r="BZ361" s="472">
        <v>0.0</v>
      </c>
      <c r="CA361" s="474">
        <v>0.0</v>
      </c>
      <c r="CB361" s="474">
        <v>0.0</v>
      </c>
      <c r="CC361" s="474">
        <v>0.0</v>
      </c>
      <c r="CD361" s="474">
        <v>0.0</v>
      </c>
      <c r="CE361" s="474">
        <v>0.0</v>
      </c>
      <c r="CF361" s="474">
        <v>0.0</v>
      </c>
      <c r="CG361" s="474">
        <v>0.0</v>
      </c>
      <c r="CH361" s="65">
        <v>0.0</v>
      </c>
      <c r="CI361" s="65">
        <v>0.0</v>
      </c>
      <c r="CJ361" s="65">
        <v>0.0</v>
      </c>
      <c r="CK361" s="65">
        <v>0.0</v>
      </c>
      <c r="CL361" s="65">
        <v>0.0</v>
      </c>
      <c r="CM361" s="65">
        <v>0.0</v>
      </c>
      <c r="CN361" s="65">
        <v>0.0</v>
      </c>
    </row>
    <row r="362" ht="15.75" customHeight="1">
      <c r="A362" s="462" t="s">
        <v>2346</v>
      </c>
      <c r="B362" s="462" t="s">
        <v>7291</v>
      </c>
      <c r="C362" s="141">
        <v>82133.0</v>
      </c>
      <c r="D362" s="63" t="s">
        <v>1096</v>
      </c>
      <c r="E362" s="63" t="s">
        <v>199</v>
      </c>
      <c r="F362" s="63" t="s">
        <v>1096</v>
      </c>
      <c r="G362" s="47" t="str">
        <f t="shared" si="1"/>
        <v>Breno</v>
      </c>
      <c r="H362" s="152" t="s">
        <v>224</v>
      </c>
      <c r="I362" s="74" t="s">
        <v>66</v>
      </c>
      <c r="J362" s="63" t="str">
        <f t="shared" si="4"/>
        <v>Não</v>
      </c>
      <c r="K362" s="143">
        <v>43375.0</v>
      </c>
      <c r="L362" s="467">
        <v>44713.0</v>
      </c>
      <c r="M362" s="81" t="s">
        <v>231</v>
      </c>
      <c r="N362" s="464">
        <v>0.01</v>
      </c>
      <c r="O362" s="141" t="s">
        <v>233</v>
      </c>
      <c r="P362" s="145">
        <v>0.2</v>
      </c>
      <c r="Q362" s="158"/>
      <c r="R362" s="158"/>
      <c r="S362" s="62" t="s">
        <v>194</v>
      </c>
      <c r="T362" s="141" t="s">
        <v>7292</v>
      </c>
      <c r="U362" s="81" t="s">
        <v>199</v>
      </c>
      <c r="V362" s="49" t="str">
        <f t="shared" si="3"/>
        <v>Encerrado</v>
      </c>
      <c r="W362" s="150"/>
      <c r="X362" s="150"/>
      <c r="Y362" s="30" t="s">
        <v>244</v>
      </c>
      <c r="Z362" s="81"/>
      <c r="AA362" s="81"/>
      <c r="AB362" s="30"/>
      <c r="AC362" s="96">
        <v>225929.22</v>
      </c>
      <c r="AD362" s="96">
        <v>213808.49</v>
      </c>
      <c r="AE362" s="96">
        <v>167641.73</v>
      </c>
      <c r="AF362" s="96">
        <v>179033.67</v>
      </c>
      <c r="AG362" s="96">
        <v>186083.66</v>
      </c>
      <c r="AH362" s="96">
        <v>195153.33</v>
      </c>
      <c r="AI362" s="96">
        <v>208313.87</v>
      </c>
      <c r="AJ362" s="96">
        <v>199708.2</v>
      </c>
      <c r="AK362" s="96">
        <v>190243.0</v>
      </c>
      <c r="AL362" s="96">
        <v>196268.87</v>
      </c>
      <c r="AM362" s="96">
        <v>223505.4</v>
      </c>
      <c r="AN362" s="96">
        <v>229234.7</v>
      </c>
      <c r="AO362" s="96">
        <v>218951.48</v>
      </c>
      <c r="AP362" s="96">
        <v>207003.32</v>
      </c>
      <c r="AQ362" s="471">
        <v>201857.71</v>
      </c>
      <c r="AR362" s="471">
        <v>210190.07</v>
      </c>
      <c r="AS362" s="471">
        <v>219657.66</v>
      </c>
      <c r="AT362" s="471">
        <v>221244.53</v>
      </c>
      <c r="AU362" s="471">
        <v>230689.52</v>
      </c>
      <c r="AV362" s="96">
        <v>227371.2</v>
      </c>
      <c r="AW362" s="96">
        <v>221017.2</v>
      </c>
      <c r="AX362" s="96">
        <v>211357.8</v>
      </c>
      <c r="AY362" s="96">
        <v>201485.57</v>
      </c>
      <c r="AZ362" s="96">
        <v>189440.1</v>
      </c>
      <c r="BA362" s="96">
        <v>183482.39</v>
      </c>
      <c r="BB362" s="96">
        <v>184227.92</v>
      </c>
      <c r="BC362" s="96">
        <v>195472.08</v>
      </c>
      <c r="BD362" s="96">
        <v>196925.15</v>
      </c>
      <c r="BE362" s="96">
        <v>211577.22</v>
      </c>
      <c r="BF362" s="96">
        <v>201996.09</v>
      </c>
      <c r="BG362" s="788">
        <v>1888.2</v>
      </c>
      <c r="BH362" s="472">
        <v>1795.66</v>
      </c>
      <c r="BI362" s="472" t="s">
        <v>377</v>
      </c>
      <c r="BJ362" s="472">
        <v>0.0</v>
      </c>
      <c r="BK362" s="472">
        <v>0.0</v>
      </c>
      <c r="BL362" s="472">
        <v>0.0</v>
      </c>
      <c r="BM362" s="472">
        <v>0.0</v>
      </c>
      <c r="BN362" s="472">
        <v>0.0</v>
      </c>
      <c r="BO362" s="472">
        <v>0.0</v>
      </c>
      <c r="BP362" s="472">
        <v>0.0</v>
      </c>
      <c r="BQ362" s="472">
        <v>0.0</v>
      </c>
      <c r="BR362" s="472">
        <v>0.0</v>
      </c>
      <c r="BS362" s="472">
        <v>0.0</v>
      </c>
      <c r="BT362" s="472">
        <v>0.0</v>
      </c>
      <c r="BU362" s="472">
        <v>0.0</v>
      </c>
      <c r="BV362" s="472">
        <v>0.0</v>
      </c>
      <c r="BW362" s="472">
        <v>0.0</v>
      </c>
      <c r="BX362" s="472">
        <v>0.0</v>
      </c>
      <c r="BY362" s="472">
        <v>0.0</v>
      </c>
      <c r="BZ362" s="472">
        <v>0.0</v>
      </c>
      <c r="CA362" s="474">
        <v>0.0</v>
      </c>
      <c r="CB362" s="474">
        <v>0.0</v>
      </c>
      <c r="CC362" s="474">
        <v>0.0</v>
      </c>
      <c r="CD362" s="474">
        <v>0.0</v>
      </c>
      <c r="CE362" s="474">
        <v>0.0</v>
      </c>
      <c r="CF362" s="474">
        <v>0.0</v>
      </c>
      <c r="CG362" s="474">
        <v>0.0</v>
      </c>
      <c r="CH362" s="65">
        <v>0.0</v>
      </c>
      <c r="CI362" s="65">
        <v>0.0</v>
      </c>
      <c r="CJ362" s="65">
        <v>0.0</v>
      </c>
      <c r="CK362" s="65">
        <v>0.0</v>
      </c>
      <c r="CL362" s="65">
        <v>0.0</v>
      </c>
      <c r="CM362" s="65">
        <v>0.0</v>
      </c>
      <c r="CN362" s="65">
        <v>0.0</v>
      </c>
    </row>
    <row r="363" ht="15.75" customHeight="1">
      <c r="A363" s="462" t="s">
        <v>2346</v>
      </c>
      <c r="B363" s="477" t="s">
        <v>7300</v>
      </c>
      <c r="C363" s="141">
        <v>370249.0</v>
      </c>
      <c r="D363" s="63" t="s">
        <v>120</v>
      </c>
      <c r="E363" s="63" t="s">
        <v>199</v>
      </c>
      <c r="F363" s="63" t="s">
        <v>1148</v>
      </c>
      <c r="G363" s="47" t="str">
        <f t="shared" si="1"/>
        <v>Breno</v>
      </c>
      <c r="H363" s="152" t="s">
        <v>224</v>
      </c>
      <c r="I363" s="49" t="s">
        <v>66</v>
      </c>
      <c r="J363" s="63" t="str">
        <f t="shared" si="4"/>
        <v>Não</v>
      </c>
      <c r="K363" s="143">
        <v>44592.0</v>
      </c>
      <c r="L363" s="55">
        <v>45552.0</v>
      </c>
      <c r="M363" s="81" t="s">
        <v>61</v>
      </c>
      <c r="N363" s="464">
        <v>0.01</v>
      </c>
      <c r="O363" s="141" t="s">
        <v>66</v>
      </c>
      <c r="P363" s="145">
        <v>0.0</v>
      </c>
      <c r="Q363" s="158"/>
      <c r="R363" s="158"/>
      <c r="S363" s="62" t="s">
        <v>194</v>
      </c>
      <c r="T363" s="30" t="s">
        <v>7304</v>
      </c>
      <c r="U363" s="22" t="s">
        <v>199</v>
      </c>
      <c r="V363" s="49" t="str">
        <f t="shared" si="3"/>
        <v>Encerrado</v>
      </c>
      <c r="W363" s="150"/>
      <c r="X363" s="150"/>
      <c r="Y363" s="30" t="s">
        <v>244</v>
      </c>
      <c r="Z363" s="81"/>
      <c r="AA363" s="467">
        <v>44592.0</v>
      </c>
      <c r="AB363" s="30">
        <v>4.907510001428E13</v>
      </c>
      <c r="AC363" s="482"/>
      <c r="AD363" s="482"/>
      <c r="AE363" s="482"/>
      <c r="AF363" s="482"/>
      <c r="AG363" s="482"/>
      <c r="AH363" s="482"/>
      <c r="AI363" s="482"/>
      <c r="AJ363" s="482"/>
      <c r="AK363" s="482"/>
      <c r="AL363" s="482"/>
      <c r="AM363" s="482"/>
      <c r="AN363" s="482"/>
      <c r="AO363" s="482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472"/>
      <c r="BH363" s="472"/>
      <c r="BI363" s="472"/>
      <c r="BJ363" s="472"/>
      <c r="BK363" s="472"/>
      <c r="BL363" s="472"/>
      <c r="BM363" s="472">
        <v>0.0</v>
      </c>
      <c r="BN363" s="472">
        <v>0.0</v>
      </c>
      <c r="BO363" s="472">
        <v>28801.02</v>
      </c>
      <c r="BP363" s="472">
        <v>116819.08</v>
      </c>
      <c r="BQ363" s="472">
        <v>122749.68</v>
      </c>
      <c r="BR363" s="472">
        <v>124637.2</v>
      </c>
      <c r="BS363" s="472">
        <v>130407.01</v>
      </c>
      <c r="BT363" s="472">
        <v>136460.56</v>
      </c>
      <c r="BU363" s="472">
        <v>137687.87</v>
      </c>
      <c r="BV363" s="472">
        <v>140964.07</v>
      </c>
      <c r="BW363" s="472">
        <v>143362.63</v>
      </c>
      <c r="BX363" s="472">
        <v>152080.49</v>
      </c>
      <c r="BY363" s="472">
        <v>153415.76</v>
      </c>
      <c r="BZ363" s="472">
        <v>155818.79</v>
      </c>
      <c r="CA363" s="474">
        <v>165661.86</v>
      </c>
      <c r="CB363" s="474">
        <v>160074.82</v>
      </c>
      <c r="CC363" s="474">
        <v>161366.75</v>
      </c>
      <c r="CD363" s="474">
        <v>163430.84</v>
      </c>
      <c r="CE363" s="474">
        <v>165482.06</v>
      </c>
      <c r="CF363" s="474">
        <v>146432.14</v>
      </c>
      <c r="CG363" s="474">
        <v>170019.37</v>
      </c>
      <c r="CH363" s="65">
        <v>171581.28</v>
      </c>
      <c r="CI363" s="65">
        <v>168766.56</v>
      </c>
      <c r="CJ363" s="65">
        <v>174325.79</v>
      </c>
      <c r="CK363" s="65">
        <v>175854.69</v>
      </c>
      <c r="CL363" s="65">
        <v>169808.84</v>
      </c>
      <c r="CM363" s="65">
        <v>0.0</v>
      </c>
      <c r="CN363" s="65">
        <v>0.0</v>
      </c>
    </row>
    <row r="364" ht="15.75" customHeight="1">
      <c r="A364" s="462" t="s">
        <v>2346</v>
      </c>
      <c r="B364" s="477" t="s">
        <v>7315</v>
      </c>
      <c r="C364" s="141">
        <v>81772.0</v>
      </c>
      <c r="D364" s="63" t="s">
        <v>120</v>
      </c>
      <c r="E364" s="63" t="s">
        <v>91</v>
      </c>
      <c r="F364" s="63" t="s">
        <v>193</v>
      </c>
      <c r="G364" s="47" t="str">
        <f t="shared" si="1"/>
        <v>Breno</v>
      </c>
      <c r="H364" s="142" t="s">
        <v>295</v>
      </c>
      <c r="I364" s="49" t="s">
        <v>382</v>
      </c>
      <c r="J364" s="63" t="str">
        <f t="shared" si="4"/>
        <v>Não</v>
      </c>
      <c r="K364" s="143">
        <v>44279.0</v>
      </c>
      <c r="L364" s="62"/>
      <c r="M364" s="81" t="s">
        <v>361</v>
      </c>
      <c r="N364" s="464">
        <v>0.02</v>
      </c>
      <c r="O364" s="63" t="s">
        <v>35</v>
      </c>
      <c r="P364" s="145">
        <v>0.2</v>
      </c>
      <c r="Q364" s="146"/>
      <c r="R364" s="153" t="s">
        <v>7321</v>
      </c>
      <c r="S364" s="62" t="s">
        <v>194</v>
      </c>
      <c r="T364" s="30" t="s">
        <v>7322</v>
      </c>
      <c r="U364" s="95" t="s">
        <v>221</v>
      </c>
      <c r="V364" s="49" t="str">
        <f t="shared" si="3"/>
        <v>Inativo</v>
      </c>
      <c r="W364" s="150"/>
      <c r="X364" s="150"/>
      <c r="Y364" s="30" t="s">
        <v>269</v>
      </c>
      <c r="Z364" s="81"/>
      <c r="AA364" s="467">
        <v>44279.0</v>
      </c>
      <c r="AB364" s="30">
        <v>4.9075100014299E13</v>
      </c>
      <c r="AC364" s="482"/>
      <c r="AD364" s="482"/>
      <c r="AE364" s="482"/>
      <c r="AF364" s="482"/>
      <c r="AG364" s="482"/>
      <c r="AH364" s="482"/>
      <c r="AI364" s="482"/>
      <c r="AJ364" s="482"/>
      <c r="AK364" s="482"/>
      <c r="AL364" s="482"/>
      <c r="AM364" s="482"/>
      <c r="AN364" s="482"/>
      <c r="AO364" s="482"/>
      <c r="AP364" s="96"/>
      <c r="AQ364" s="96"/>
      <c r="AR364" s="96">
        <v>1217340.63</v>
      </c>
      <c r="AS364" s="96"/>
      <c r="AT364" s="96">
        <v>1105252.61</v>
      </c>
      <c r="AU364" s="96">
        <v>1253383.66</v>
      </c>
      <c r="AV364" s="96">
        <v>1243291.21</v>
      </c>
      <c r="AW364" s="96">
        <v>1222085.5</v>
      </c>
      <c r="AX364" s="96">
        <v>1184904.95</v>
      </c>
      <c r="AY364" s="96">
        <v>1152445.18</v>
      </c>
      <c r="AZ364" s="96">
        <v>982558.67</v>
      </c>
      <c r="BA364" s="96">
        <v>1079810.51</v>
      </c>
      <c r="BB364" s="96">
        <v>1089387.83</v>
      </c>
      <c r="BC364" s="96">
        <v>1128068.68</v>
      </c>
      <c r="BD364" s="96">
        <v>1136806.29</v>
      </c>
      <c r="BE364" s="96">
        <v>1197731.68</v>
      </c>
      <c r="BF364" s="96">
        <v>1164072.13</v>
      </c>
      <c r="BG364" s="472">
        <v>1151365.05</v>
      </c>
      <c r="BH364" s="472">
        <v>1121421.78</v>
      </c>
      <c r="BI364" s="472">
        <v>1152193.31</v>
      </c>
      <c r="BJ364" s="472">
        <v>995498.9</v>
      </c>
      <c r="BK364" s="472">
        <v>1004925.63</v>
      </c>
      <c r="BL364" s="472">
        <v>1052218.85</v>
      </c>
      <c r="BM364" s="472">
        <v>1041465.67</v>
      </c>
      <c r="BN364" s="472">
        <v>1043877.53</v>
      </c>
      <c r="BO364" s="472">
        <v>1057851.01</v>
      </c>
      <c r="BP364" s="472">
        <v>1048486.21</v>
      </c>
      <c r="BQ364" s="472">
        <v>1058101.95</v>
      </c>
      <c r="BR364" s="472">
        <v>7893.43</v>
      </c>
      <c r="BS364" s="472">
        <v>0.0</v>
      </c>
      <c r="BT364" s="472">
        <v>0.0</v>
      </c>
      <c r="BU364" s="472">
        <v>0.0</v>
      </c>
      <c r="BV364" s="472">
        <v>0.0</v>
      </c>
      <c r="BW364" s="472">
        <v>0.0</v>
      </c>
      <c r="BX364" s="472">
        <v>0.0</v>
      </c>
      <c r="BY364" s="472">
        <v>0.0</v>
      </c>
      <c r="BZ364" s="472">
        <v>0.0</v>
      </c>
      <c r="CA364" s="474">
        <v>0.0</v>
      </c>
      <c r="CB364" s="474">
        <v>0.0</v>
      </c>
      <c r="CC364" s="474">
        <v>0.0</v>
      </c>
      <c r="CD364" s="474">
        <v>0.0</v>
      </c>
      <c r="CE364" s="474">
        <v>0.0</v>
      </c>
      <c r="CF364" s="474">
        <v>0.0</v>
      </c>
      <c r="CG364" s="474">
        <v>0.0</v>
      </c>
      <c r="CH364" s="65">
        <v>0.0</v>
      </c>
      <c r="CI364" s="65">
        <v>0.0</v>
      </c>
      <c r="CJ364" s="65">
        <v>0.0</v>
      </c>
      <c r="CK364" s="65">
        <v>0.0</v>
      </c>
      <c r="CL364" s="65">
        <v>0.0</v>
      </c>
      <c r="CM364" s="65">
        <v>0.0</v>
      </c>
      <c r="CN364" s="65">
        <v>0.0</v>
      </c>
    </row>
    <row r="365" ht="15.75" customHeight="1">
      <c r="A365" s="462" t="s">
        <v>2346</v>
      </c>
      <c r="B365" s="249" t="s">
        <v>7325</v>
      </c>
      <c r="C365" s="141">
        <v>43617.0</v>
      </c>
      <c r="D365" s="63" t="s">
        <v>120</v>
      </c>
      <c r="E365" s="63" t="s">
        <v>91</v>
      </c>
      <c r="F365" s="63" t="s">
        <v>521</v>
      </c>
      <c r="G365" s="47" t="str">
        <f t="shared" si="1"/>
        <v>Breno</v>
      </c>
      <c r="H365" s="152" t="s">
        <v>224</v>
      </c>
      <c r="I365" s="74" t="s">
        <v>66</v>
      </c>
      <c r="J365" s="63" t="str">
        <f t="shared" si="4"/>
        <v>Sim</v>
      </c>
      <c r="K365" s="143">
        <v>44599.0</v>
      </c>
      <c r="L365" s="55">
        <v>45000.0</v>
      </c>
      <c r="M365" s="81" t="s">
        <v>209</v>
      </c>
      <c r="N365" s="464">
        <v>0.015</v>
      </c>
      <c r="O365" s="63" t="s">
        <v>35</v>
      </c>
      <c r="P365" s="145">
        <v>0.1</v>
      </c>
      <c r="Q365" s="70" t="s">
        <v>7328</v>
      </c>
      <c r="R365" s="70"/>
      <c r="S365" s="62" t="s">
        <v>234</v>
      </c>
      <c r="T365" s="27" t="s">
        <v>7330</v>
      </c>
      <c r="U365" s="62" t="s">
        <v>221</v>
      </c>
      <c r="V365" s="49" t="str">
        <f t="shared" si="3"/>
        <v>Encerrado</v>
      </c>
      <c r="W365" s="150"/>
      <c r="X365" s="150"/>
      <c r="Y365" s="30" t="s">
        <v>244</v>
      </c>
      <c r="Z365" s="81"/>
      <c r="AA365" s="81"/>
      <c r="AB365" s="30"/>
      <c r="AC365" s="476"/>
      <c r="AD365" s="476"/>
      <c r="AE365" s="476"/>
      <c r="AF365" s="476"/>
      <c r="AG365" s="476"/>
      <c r="AH365" s="476"/>
      <c r="AI365" s="476"/>
      <c r="AJ365" s="476"/>
      <c r="AK365" s="476"/>
      <c r="AL365" s="476"/>
      <c r="AM365" s="476"/>
      <c r="AN365" s="476"/>
      <c r="AO365" s="476"/>
      <c r="AP365" s="476"/>
      <c r="AQ365" s="476"/>
      <c r="AR365" s="93">
        <v>1217340.63</v>
      </c>
      <c r="AS365" s="476"/>
      <c r="AT365" s="93">
        <v>1105252.61</v>
      </c>
      <c r="AU365" s="93">
        <v>1253383.66</v>
      </c>
      <c r="AV365" s="93">
        <v>1243291.21</v>
      </c>
      <c r="AW365" s="93">
        <v>1222085.5</v>
      </c>
      <c r="AX365" s="93">
        <v>1184904.95</v>
      </c>
      <c r="AY365" s="93">
        <v>1152445.18</v>
      </c>
      <c r="AZ365" s="93">
        <v>982558.67</v>
      </c>
      <c r="BA365" s="93">
        <v>1079810.51</v>
      </c>
      <c r="BB365" s="93">
        <v>1089387.83</v>
      </c>
      <c r="BC365" s="96">
        <v>256471.38</v>
      </c>
      <c r="BD365" s="96">
        <v>256592.64</v>
      </c>
      <c r="BE365" s="96">
        <v>266164.67</v>
      </c>
      <c r="BF365" s="96">
        <v>262220.14</v>
      </c>
      <c r="BG365" s="472">
        <v>261119.99</v>
      </c>
      <c r="BH365" s="472">
        <v>259469.99</v>
      </c>
      <c r="BI365" s="472">
        <v>260326.59</v>
      </c>
      <c r="BJ365" s="472">
        <v>261971.5</v>
      </c>
      <c r="BK365" s="472">
        <v>263250.71</v>
      </c>
      <c r="BL365" s="472">
        <v>264787.45</v>
      </c>
      <c r="BM365" s="472">
        <v>106049.56</v>
      </c>
      <c r="BN365" s="472">
        <v>106585.06</v>
      </c>
      <c r="BO365" s="472">
        <v>108052.87</v>
      </c>
      <c r="BP365" s="472">
        <v>52740.74</v>
      </c>
      <c r="BQ365" s="472">
        <v>53252.09</v>
      </c>
      <c r="BR365" s="472">
        <v>42504.02</v>
      </c>
      <c r="BS365" s="472">
        <v>42379.86</v>
      </c>
      <c r="BT365" s="472">
        <v>43255.77</v>
      </c>
      <c r="BU365" s="472">
        <v>0.0</v>
      </c>
      <c r="BV365" s="472">
        <v>0.0</v>
      </c>
      <c r="BW365" s="472">
        <v>0.0</v>
      </c>
      <c r="BX365" s="472">
        <v>0.0</v>
      </c>
      <c r="BY365" s="472">
        <v>0.0</v>
      </c>
      <c r="BZ365" s="472">
        <v>0.0</v>
      </c>
      <c r="CA365" s="474">
        <v>0.0</v>
      </c>
      <c r="CB365" s="474">
        <v>0.0</v>
      </c>
      <c r="CC365" s="474">
        <v>0.0</v>
      </c>
      <c r="CD365" s="474">
        <v>0.0</v>
      </c>
      <c r="CE365" s="474">
        <v>0.0</v>
      </c>
      <c r="CF365" s="474">
        <v>0.0</v>
      </c>
      <c r="CG365" s="474">
        <v>0.0</v>
      </c>
      <c r="CH365" s="65">
        <v>0.0</v>
      </c>
      <c r="CI365" s="65">
        <v>0.0</v>
      </c>
      <c r="CJ365" s="65">
        <v>0.0</v>
      </c>
      <c r="CK365" s="65">
        <v>0.0</v>
      </c>
      <c r="CL365" s="65">
        <v>0.0</v>
      </c>
      <c r="CM365" s="65">
        <v>0.0</v>
      </c>
      <c r="CN365" s="65">
        <v>0.0</v>
      </c>
    </row>
    <row r="366" ht="15.75" customHeight="1">
      <c r="A366" s="462" t="s">
        <v>2346</v>
      </c>
      <c r="B366" s="510" t="s">
        <v>7072</v>
      </c>
      <c r="C366" s="141">
        <v>584243.0</v>
      </c>
      <c r="D366" s="63" t="s">
        <v>669</v>
      </c>
      <c r="E366" s="63" t="s">
        <v>199</v>
      </c>
      <c r="F366" s="81" t="s">
        <v>2388</v>
      </c>
      <c r="G366" s="47" t="str">
        <f t="shared" si="1"/>
        <v>Breno</v>
      </c>
      <c r="H366" s="152" t="s">
        <v>224</v>
      </c>
      <c r="I366" s="74" t="s">
        <v>66</v>
      </c>
      <c r="J366" s="63" t="str">
        <f t="shared" si="4"/>
        <v>Não</v>
      </c>
      <c r="K366" s="151">
        <v>43606.0</v>
      </c>
      <c r="L366" s="480">
        <v>44484.0</v>
      </c>
      <c r="M366" s="81" t="s">
        <v>34</v>
      </c>
      <c r="N366" s="478">
        <v>0.005</v>
      </c>
      <c r="O366" s="141" t="s">
        <v>66</v>
      </c>
      <c r="P366" s="145">
        <v>0.0</v>
      </c>
      <c r="Q366" s="158"/>
      <c r="R366" s="158"/>
      <c r="S366" s="62" t="s">
        <v>234</v>
      </c>
      <c r="T366" s="30" t="s">
        <v>7339</v>
      </c>
      <c r="U366" s="81" t="s">
        <v>54</v>
      </c>
      <c r="V366" s="49" t="str">
        <f t="shared" si="3"/>
        <v>Encerrado</v>
      </c>
      <c r="W366" s="150"/>
      <c r="X366" s="150"/>
      <c r="Y366" s="81"/>
      <c r="Z366" s="81"/>
      <c r="AA366" s="81"/>
      <c r="AB366" s="30"/>
      <c r="AC366" s="96">
        <v>0.0</v>
      </c>
      <c r="AD366" s="96">
        <v>0.0</v>
      </c>
      <c r="AE366" s="96">
        <v>0.0</v>
      </c>
      <c r="AF366" s="96">
        <v>0.0</v>
      </c>
      <c r="AG366" s="96">
        <v>0.0</v>
      </c>
      <c r="AH366" s="96">
        <v>0.0</v>
      </c>
      <c r="AI366" s="96">
        <v>0.0</v>
      </c>
      <c r="AJ366" s="482"/>
      <c r="AK366" s="482"/>
      <c r="AL366" s="482"/>
      <c r="AM366" s="482"/>
      <c r="AN366" s="482"/>
      <c r="AO366" s="482"/>
      <c r="AP366" s="96"/>
      <c r="AQ366" s="96"/>
      <c r="AR366" s="96"/>
      <c r="AS366" s="96"/>
      <c r="AT366" s="96"/>
      <c r="AU366" s="96"/>
      <c r="AV366" s="482"/>
      <c r="AW366" s="482"/>
      <c r="AX366" s="482"/>
      <c r="AY366" s="96"/>
      <c r="AZ366" s="96"/>
      <c r="BA366" s="96"/>
      <c r="BB366" s="96"/>
      <c r="BC366" s="96"/>
      <c r="BD366" s="96">
        <v>0.0</v>
      </c>
      <c r="BE366" s="96">
        <v>0.0</v>
      </c>
      <c r="BF366" s="96">
        <v>0.0</v>
      </c>
      <c r="BG366" s="96" t="s">
        <v>377</v>
      </c>
      <c r="BH366" s="96">
        <v>0.0</v>
      </c>
      <c r="BI366" s="96" t="s">
        <v>377</v>
      </c>
      <c r="BJ366" s="96">
        <v>0.0</v>
      </c>
      <c r="BK366" s="472">
        <v>0.0</v>
      </c>
      <c r="BL366" s="472">
        <v>0.0</v>
      </c>
      <c r="BM366" s="472">
        <v>0.0</v>
      </c>
      <c r="BN366" s="472">
        <v>0.0</v>
      </c>
      <c r="BO366" s="472">
        <v>0.0</v>
      </c>
      <c r="BP366" s="472">
        <v>0.0</v>
      </c>
      <c r="BQ366" s="472">
        <v>0.0</v>
      </c>
      <c r="BR366" s="472">
        <v>0.0</v>
      </c>
      <c r="BS366" s="472">
        <v>0.0</v>
      </c>
      <c r="BT366" s="472">
        <v>0.0</v>
      </c>
      <c r="BU366" s="472">
        <v>0.0</v>
      </c>
      <c r="BV366" s="472">
        <v>0.0</v>
      </c>
      <c r="BW366" s="472">
        <v>0.0</v>
      </c>
      <c r="BX366" s="472">
        <v>0.0</v>
      </c>
      <c r="BY366" s="472">
        <v>0.0</v>
      </c>
      <c r="BZ366" s="472">
        <v>0.0</v>
      </c>
      <c r="CA366" s="474">
        <v>0.0</v>
      </c>
      <c r="CB366" s="474">
        <v>0.0</v>
      </c>
      <c r="CC366" s="474">
        <v>0.0</v>
      </c>
      <c r="CD366" s="474">
        <v>0.0</v>
      </c>
      <c r="CE366" s="474">
        <v>0.0</v>
      </c>
      <c r="CF366" s="474">
        <v>0.0</v>
      </c>
      <c r="CG366" s="474">
        <v>0.0</v>
      </c>
      <c r="CH366" s="65">
        <v>0.0</v>
      </c>
      <c r="CI366" s="65">
        <v>0.0</v>
      </c>
      <c r="CJ366" s="65">
        <v>0.0</v>
      </c>
      <c r="CK366" s="65">
        <v>0.0</v>
      </c>
      <c r="CL366" s="65">
        <v>0.0</v>
      </c>
      <c r="CM366" s="65">
        <v>0.0</v>
      </c>
      <c r="CN366" s="65">
        <v>0.0</v>
      </c>
    </row>
    <row r="367" ht="15.75" customHeight="1">
      <c r="A367" s="462" t="s">
        <v>2346</v>
      </c>
      <c r="B367" s="510" t="s">
        <v>7072</v>
      </c>
      <c r="C367" s="141">
        <v>43312.0</v>
      </c>
      <c r="D367" s="63" t="s">
        <v>669</v>
      </c>
      <c r="E367" s="63" t="s">
        <v>199</v>
      </c>
      <c r="F367" s="81" t="s">
        <v>2388</v>
      </c>
      <c r="G367" s="47" t="str">
        <f t="shared" si="1"/>
        <v>Breno</v>
      </c>
      <c r="H367" s="152" t="s">
        <v>224</v>
      </c>
      <c r="I367" s="74" t="s">
        <v>66</v>
      </c>
      <c r="J367" s="63" t="str">
        <f t="shared" si="4"/>
        <v>Não</v>
      </c>
      <c r="K367" s="151">
        <v>43606.0</v>
      </c>
      <c r="L367" s="480">
        <v>44484.0</v>
      </c>
      <c r="M367" s="81" t="s">
        <v>231</v>
      </c>
      <c r="N367" s="478">
        <v>0.02</v>
      </c>
      <c r="O367" s="141" t="s">
        <v>233</v>
      </c>
      <c r="P367" s="145">
        <v>0.2</v>
      </c>
      <c r="Q367" s="158"/>
      <c r="R367" s="158"/>
      <c r="S367" s="62" t="s">
        <v>234</v>
      </c>
      <c r="T367" s="30" t="s">
        <v>7349</v>
      </c>
      <c r="U367" s="81" t="s">
        <v>54</v>
      </c>
      <c r="V367" s="49" t="str">
        <f t="shared" si="3"/>
        <v>Encerrado</v>
      </c>
      <c r="W367" s="150"/>
      <c r="X367" s="150"/>
      <c r="Y367" s="81"/>
      <c r="Z367" s="81"/>
      <c r="AA367" s="81"/>
      <c r="AB367" s="30"/>
      <c r="AC367" s="96">
        <v>0.0</v>
      </c>
      <c r="AD367" s="96">
        <v>0.0</v>
      </c>
      <c r="AE367" s="96">
        <v>0.0</v>
      </c>
      <c r="AF367" s="96">
        <v>0.0</v>
      </c>
      <c r="AG367" s="96">
        <v>0.0</v>
      </c>
      <c r="AH367" s="96">
        <v>0.0</v>
      </c>
      <c r="AI367" s="96">
        <v>0.0</v>
      </c>
      <c r="AJ367" s="482"/>
      <c r="AK367" s="482"/>
      <c r="AL367" s="482"/>
      <c r="AM367" s="482"/>
      <c r="AN367" s="482"/>
      <c r="AO367" s="482"/>
      <c r="AP367" s="96"/>
      <c r="AQ367" s="96"/>
      <c r="AR367" s="96"/>
      <c r="AS367" s="96"/>
      <c r="AT367" s="96"/>
      <c r="AU367" s="96"/>
      <c r="AV367" s="482"/>
      <c r="AW367" s="482"/>
      <c r="AX367" s="482"/>
      <c r="AY367" s="96"/>
      <c r="AZ367" s="96"/>
      <c r="BA367" s="96"/>
      <c r="BB367" s="96"/>
      <c r="BC367" s="96"/>
      <c r="BD367" s="96">
        <v>0.0</v>
      </c>
      <c r="BE367" s="96">
        <v>0.0</v>
      </c>
      <c r="BF367" s="96">
        <v>0.0</v>
      </c>
      <c r="BG367" s="96" t="s">
        <v>377</v>
      </c>
      <c r="BH367" s="96">
        <v>0.0</v>
      </c>
      <c r="BI367" s="96" t="s">
        <v>377</v>
      </c>
      <c r="BJ367" s="96">
        <v>0.0</v>
      </c>
      <c r="BK367" s="472">
        <v>0.0</v>
      </c>
      <c r="BL367" s="472">
        <v>0.0</v>
      </c>
      <c r="BM367" s="472">
        <v>0.0</v>
      </c>
      <c r="BN367" s="472">
        <v>0.0</v>
      </c>
      <c r="BO367" s="472">
        <v>0.0</v>
      </c>
      <c r="BP367" s="472">
        <v>0.0</v>
      </c>
      <c r="BQ367" s="472">
        <v>0.0</v>
      </c>
      <c r="BR367" s="472">
        <v>0.0</v>
      </c>
      <c r="BS367" s="472">
        <v>0.0</v>
      </c>
      <c r="BT367" s="472">
        <v>0.0</v>
      </c>
      <c r="BU367" s="472">
        <v>0.0</v>
      </c>
      <c r="BV367" s="472">
        <v>0.0</v>
      </c>
      <c r="BW367" s="472">
        <v>0.0</v>
      </c>
      <c r="BX367" s="472">
        <v>0.0</v>
      </c>
      <c r="BY367" s="472">
        <v>0.0</v>
      </c>
      <c r="BZ367" s="472">
        <v>0.0</v>
      </c>
      <c r="CA367" s="474">
        <v>0.0</v>
      </c>
      <c r="CB367" s="474">
        <v>0.0</v>
      </c>
      <c r="CC367" s="474">
        <v>0.0</v>
      </c>
      <c r="CD367" s="474">
        <v>0.0</v>
      </c>
      <c r="CE367" s="474">
        <v>0.0</v>
      </c>
      <c r="CF367" s="474">
        <v>0.0</v>
      </c>
      <c r="CG367" s="474">
        <v>0.0</v>
      </c>
      <c r="CH367" s="65">
        <v>0.0</v>
      </c>
      <c r="CI367" s="65">
        <v>0.0</v>
      </c>
      <c r="CJ367" s="65">
        <v>0.0</v>
      </c>
      <c r="CK367" s="65">
        <v>0.0</v>
      </c>
      <c r="CL367" s="65">
        <v>0.0</v>
      </c>
      <c r="CM367" s="65">
        <v>0.0</v>
      </c>
      <c r="CN367" s="65">
        <v>0.0</v>
      </c>
    </row>
    <row r="368" ht="15.75" customHeight="1">
      <c r="A368" s="462" t="s">
        <v>2346</v>
      </c>
      <c r="B368" s="477" t="s">
        <v>7356</v>
      </c>
      <c r="C368" s="141">
        <v>263535.0</v>
      </c>
      <c r="D368" s="63" t="s">
        <v>669</v>
      </c>
      <c r="E368" s="63" t="s">
        <v>199</v>
      </c>
      <c r="F368" s="81" t="s">
        <v>2388</v>
      </c>
      <c r="G368" s="47" t="str">
        <f t="shared" si="1"/>
        <v>Breno</v>
      </c>
      <c r="H368" s="152" t="s">
        <v>224</v>
      </c>
      <c r="I368" s="74" t="s">
        <v>66</v>
      </c>
      <c r="J368" s="63" t="str">
        <f t="shared" si="4"/>
        <v>Não</v>
      </c>
      <c r="K368" s="467">
        <v>43710.0</v>
      </c>
      <c r="L368" s="467">
        <v>44309.0</v>
      </c>
      <c r="M368" s="81" t="s">
        <v>209</v>
      </c>
      <c r="N368" s="478">
        <v>0.01</v>
      </c>
      <c r="O368" s="63" t="s">
        <v>35</v>
      </c>
      <c r="P368" s="145">
        <v>0.1</v>
      </c>
      <c r="Q368" s="158"/>
      <c r="R368" s="158" t="s">
        <v>7359</v>
      </c>
      <c r="S368" s="62" t="s">
        <v>194</v>
      </c>
      <c r="T368" s="30" t="s">
        <v>7360</v>
      </c>
      <c r="U368" s="81" t="s">
        <v>199</v>
      </c>
      <c r="V368" s="49" t="str">
        <f t="shared" si="3"/>
        <v>Encerrado</v>
      </c>
      <c r="W368" s="150"/>
      <c r="X368" s="150"/>
      <c r="Y368" s="81"/>
      <c r="Z368" s="81"/>
      <c r="AA368" s="81"/>
      <c r="AB368" s="30"/>
      <c r="AC368" s="96">
        <v>171948.74</v>
      </c>
      <c r="AD368" s="96">
        <v>170580.43</v>
      </c>
      <c r="AE368" s="96">
        <v>183129.57</v>
      </c>
      <c r="AF368" s="96">
        <v>185953.1</v>
      </c>
      <c r="AG368" s="96">
        <v>187410.67</v>
      </c>
      <c r="AH368" s="96">
        <v>192428.67</v>
      </c>
      <c r="AI368" s="96">
        <v>197074.3</v>
      </c>
      <c r="AJ368" s="96">
        <v>196887.41</v>
      </c>
      <c r="AK368" s="96">
        <v>196201.43</v>
      </c>
      <c r="AL368" s="96">
        <v>196229.64</v>
      </c>
      <c r="AM368" s="96">
        <v>197621.18</v>
      </c>
      <c r="AN368" s="96">
        <v>198444.05</v>
      </c>
      <c r="AO368" s="96">
        <v>196781.86</v>
      </c>
      <c r="AP368" s="96">
        <v>159303.99</v>
      </c>
      <c r="AQ368" s="96">
        <v>106032.22</v>
      </c>
      <c r="AR368" s="96"/>
      <c r="AS368" s="96"/>
      <c r="AT368" s="96"/>
      <c r="AU368" s="96"/>
      <c r="AV368" s="482"/>
      <c r="AW368" s="482"/>
      <c r="AX368" s="482"/>
      <c r="AY368" s="96"/>
      <c r="AZ368" s="96"/>
      <c r="BA368" s="96"/>
      <c r="BB368" s="96"/>
      <c r="BC368" s="96"/>
      <c r="BD368" s="96">
        <v>0.0</v>
      </c>
      <c r="BE368" s="96">
        <v>0.0</v>
      </c>
      <c r="BF368" s="96">
        <v>0.0</v>
      </c>
      <c r="BG368" s="96" t="s">
        <v>377</v>
      </c>
      <c r="BH368" s="96">
        <v>0.0</v>
      </c>
      <c r="BI368" s="96" t="s">
        <v>377</v>
      </c>
      <c r="BJ368" s="96">
        <v>0.0</v>
      </c>
      <c r="BK368" s="472">
        <v>0.0</v>
      </c>
      <c r="BL368" s="472">
        <v>0.0</v>
      </c>
      <c r="BM368" s="472">
        <v>0.0</v>
      </c>
      <c r="BN368" s="472">
        <v>0.0</v>
      </c>
      <c r="BO368" s="472">
        <v>0.0</v>
      </c>
      <c r="BP368" s="472">
        <v>0.0</v>
      </c>
      <c r="BQ368" s="472">
        <v>0.0</v>
      </c>
      <c r="BR368" s="472">
        <v>0.0</v>
      </c>
      <c r="BS368" s="472">
        <v>0.0</v>
      </c>
      <c r="BT368" s="472">
        <v>0.0</v>
      </c>
      <c r="BU368" s="472">
        <v>0.0</v>
      </c>
      <c r="BV368" s="472">
        <v>0.0</v>
      </c>
      <c r="BW368" s="472">
        <v>0.0</v>
      </c>
      <c r="BX368" s="472">
        <v>0.0</v>
      </c>
      <c r="BY368" s="472">
        <v>0.0</v>
      </c>
      <c r="BZ368" s="472">
        <v>0.0</v>
      </c>
      <c r="CA368" s="474">
        <v>0.0</v>
      </c>
      <c r="CB368" s="474">
        <v>0.0</v>
      </c>
      <c r="CC368" s="474">
        <v>0.0</v>
      </c>
      <c r="CD368" s="474">
        <v>0.0</v>
      </c>
      <c r="CE368" s="474">
        <v>0.0</v>
      </c>
      <c r="CF368" s="474">
        <v>0.0</v>
      </c>
      <c r="CG368" s="474">
        <v>0.0</v>
      </c>
      <c r="CH368" s="65">
        <v>0.0</v>
      </c>
      <c r="CI368" s="65">
        <v>0.0</v>
      </c>
      <c r="CJ368" s="65">
        <v>0.0</v>
      </c>
      <c r="CK368" s="65">
        <v>0.0</v>
      </c>
      <c r="CL368" s="65">
        <v>0.0</v>
      </c>
      <c r="CM368" s="65">
        <v>0.0</v>
      </c>
      <c r="CN368" s="65">
        <v>0.0</v>
      </c>
    </row>
    <row r="369" ht="15.75" customHeight="1">
      <c r="A369" s="462" t="s">
        <v>2346</v>
      </c>
      <c r="B369" s="50" t="s">
        <v>7368</v>
      </c>
      <c r="C369" s="141">
        <v>261278.0</v>
      </c>
      <c r="D369" s="63" t="s">
        <v>120</v>
      </c>
      <c r="E369" s="63" t="s">
        <v>91</v>
      </c>
      <c r="F369" s="66" t="s">
        <v>193</v>
      </c>
      <c r="G369" s="47" t="str">
        <f t="shared" si="1"/>
        <v>Breno</v>
      </c>
      <c r="H369" s="152" t="s">
        <v>224</v>
      </c>
      <c r="I369" s="74" t="s">
        <v>66</v>
      </c>
      <c r="J369" s="63" t="str">
        <f t="shared" si="4"/>
        <v>Não</v>
      </c>
      <c r="K369" s="143">
        <v>44340.0</v>
      </c>
      <c r="L369" s="467">
        <v>44903.0</v>
      </c>
      <c r="M369" s="81" t="s">
        <v>34</v>
      </c>
      <c r="N369" s="464">
        <v>0.01</v>
      </c>
      <c r="O369" s="141" t="s">
        <v>66</v>
      </c>
      <c r="P369" s="145">
        <v>0.0</v>
      </c>
      <c r="Q369" s="190"/>
      <c r="R369" s="70" t="s">
        <v>7369</v>
      </c>
      <c r="S369" s="62" t="s">
        <v>194</v>
      </c>
      <c r="T369" s="22" t="s">
        <v>7371</v>
      </c>
      <c r="U369" s="95" t="s">
        <v>221</v>
      </c>
      <c r="V369" s="49" t="str">
        <f t="shared" si="3"/>
        <v>Encerrado</v>
      </c>
      <c r="W369" s="150"/>
      <c r="X369" s="150"/>
      <c r="Y369" s="30" t="s">
        <v>244</v>
      </c>
      <c r="Z369" s="81"/>
      <c r="AA369" s="81"/>
      <c r="AB369" s="30"/>
      <c r="AC369" s="476"/>
      <c r="AD369" s="476"/>
      <c r="AE369" s="476"/>
      <c r="AF369" s="476"/>
      <c r="AG369" s="476"/>
      <c r="AH369" s="476"/>
      <c r="AI369" s="476"/>
      <c r="AJ369" s="476"/>
      <c r="AK369" s="476"/>
      <c r="AL369" s="476"/>
      <c r="AM369" s="476"/>
      <c r="AN369" s="476"/>
      <c r="AO369" s="476"/>
      <c r="AP369" s="476"/>
      <c r="AQ369" s="471"/>
      <c r="AR369" s="471"/>
      <c r="AS369" s="471"/>
      <c r="AT369" s="476"/>
      <c r="AU369" s="476">
        <v>150393.36</v>
      </c>
      <c r="AV369" s="96">
        <v>150270.22</v>
      </c>
      <c r="AW369" s="96">
        <v>149816.69</v>
      </c>
      <c r="AX369" s="96">
        <v>148643.62</v>
      </c>
      <c r="AY369" s="96">
        <v>129444.37</v>
      </c>
      <c r="AZ369" s="96">
        <v>145449.15</v>
      </c>
      <c r="BA369" s="96">
        <v>128521.81</v>
      </c>
      <c r="BB369" s="96">
        <v>146875.19</v>
      </c>
      <c r="BC369" s="96">
        <v>42443.57</v>
      </c>
      <c r="BD369" s="96">
        <v>42688.22</v>
      </c>
      <c r="BE369" s="96">
        <v>43139.9</v>
      </c>
      <c r="BF369" s="96">
        <v>43481.52</v>
      </c>
      <c r="BG369" s="472">
        <v>43979.57</v>
      </c>
      <c r="BH369" s="472">
        <v>44278.28</v>
      </c>
      <c r="BI369" s="472">
        <v>44573.81</v>
      </c>
      <c r="BJ369" s="472">
        <v>40734.44</v>
      </c>
      <c r="BK369" s="472">
        <v>40915.65</v>
      </c>
      <c r="BL369" s="472">
        <v>41113.71</v>
      </c>
      <c r="BM369" s="472">
        <v>460.33</v>
      </c>
      <c r="BN369" s="472">
        <v>434.18</v>
      </c>
      <c r="BO369" s="472">
        <v>0.0</v>
      </c>
      <c r="BP369" s="472">
        <v>0.0</v>
      </c>
      <c r="BQ369" s="472">
        <v>0.0</v>
      </c>
      <c r="BR369" s="472">
        <v>0.0</v>
      </c>
      <c r="BS369" s="472">
        <v>0.0</v>
      </c>
      <c r="BT369" s="472">
        <v>0.0</v>
      </c>
      <c r="BU369" s="472">
        <v>0.0</v>
      </c>
      <c r="BV369" s="472">
        <v>0.0</v>
      </c>
      <c r="BW369" s="472">
        <v>0.0</v>
      </c>
      <c r="BX369" s="472">
        <v>0.0</v>
      </c>
      <c r="BY369" s="472">
        <v>0.0</v>
      </c>
      <c r="BZ369" s="472">
        <v>0.0</v>
      </c>
      <c r="CA369" s="474">
        <v>0.0</v>
      </c>
      <c r="CB369" s="474">
        <v>0.0</v>
      </c>
      <c r="CC369" s="474">
        <v>0.0</v>
      </c>
      <c r="CD369" s="474">
        <v>0.0</v>
      </c>
      <c r="CE369" s="474">
        <v>0.0</v>
      </c>
      <c r="CF369" s="474">
        <v>0.0</v>
      </c>
      <c r="CG369" s="474">
        <v>0.0</v>
      </c>
      <c r="CH369" s="65">
        <v>0.0</v>
      </c>
      <c r="CI369" s="65">
        <v>0.0</v>
      </c>
      <c r="CJ369" s="65">
        <v>0.0</v>
      </c>
      <c r="CK369" s="65">
        <v>0.0</v>
      </c>
      <c r="CL369" s="65">
        <v>0.0</v>
      </c>
      <c r="CM369" s="65">
        <v>0.0</v>
      </c>
      <c r="CN369" s="65">
        <v>0.0</v>
      </c>
    </row>
    <row r="370" ht="15.75" customHeight="1">
      <c r="A370" s="462" t="s">
        <v>2346</v>
      </c>
      <c r="B370" s="477" t="s">
        <v>7376</v>
      </c>
      <c r="C370" s="141">
        <v>31787.0</v>
      </c>
      <c r="D370" s="63" t="s">
        <v>120</v>
      </c>
      <c r="E370" s="63" t="s">
        <v>91</v>
      </c>
      <c r="F370" s="141" t="s">
        <v>884</v>
      </c>
      <c r="G370" s="47" t="str">
        <f t="shared" si="1"/>
        <v>Breno</v>
      </c>
      <c r="H370" s="142" t="s">
        <v>295</v>
      </c>
      <c r="I370" s="49" t="s">
        <v>382</v>
      </c>
      <c r="J370" s="63" t="str">
        <f t="shared" si="4"/>
        <v>Não</v>
      </c>
      <c r="K370" s="143">
        <v>44272.0</v>
      </c>
      <c r="L370" s="81"/>
      <c r="M370" s="81" t="s">
        <v>34</v>
      </c>
      <c r="N370" s="478">
        <v>0.012</v>
      </c>
      <c r="O370" s="141" t="s">
        <v>66</v>
      </c>
      <c r="P370" s="145">
        <v>0.0</v>
      </c>
      <c r="Q370" s="158"/>
      <c r="R370" s="158"/>
      <c r="S370" s="62" t="s">
        <v>194</v>
      </c>
      <c r="T370" s="30" t="s">
        <v>7380</v>
      </c>
      <c r="U370" s="95" t="s">
        <v>221</v>
      </c>
      <c r="V370" s="49" t="str">
        <f t="shared" si="3"/>
        <v>Inativo</v>
      </c>
      <c r="W370" s="150"/>
      <c r="X370" s="150"/>
      <c r="Y370" s="30" t="s">
        <v>244</v>
      </c>
      <c r="Z370" s="81"/>
      <c r="AA370" s="467">
        <v>44272.0</v>
      </c>
      <c r="AB370" s="30">
        <v>4.9075100014302E13</v>
      </c>
      <c r="AC370" s="482"/>
      <c r="AD370" s="482"/>
      <c r="AE370" s="482"/>
      <c r="AF370" s="482"/>
      <c r="AG370" s="482"/>
      <c r="AH370" s="482"/>
      <c r="AI370" s="482"/>
      <c r="AJ370" s="482"/>
      <c r="AK370" s="482"/>
      <c r="AL370" s="482"/>
      <c r="AM370" s="482"/>
      <c r="AN370" s="482"/>
      <c r="AO370" s="482"/>
      <c r="AP370" s="96"/>
      <c r="AQ370" s="471"/>
      <c r="AR370" s="471">
        <v>223866.63</v>
      </c>
      <c r="AS370" s="471">
        <v>224633.43</v>
      </c>
      <c r="AT370" s="471">
        <v>225162.73</v>
      </c>
      <c r="AU370" s="471">
        <v>227397.18</v>
      </c>
      <c r="AV370" s="96">
        <v>226932.61</v>
      </c>
      <c r="AW370" s="96">
        <v>226122.7</v>
      </c>
      <c r="AX370" s="96">
        <v>224226.11</v>
      </c>
      <c r="AY370" s="96">
        <v>222970.57</v>
      </c>
      <c r="AZ370" s="96">
        <v>221133.89</v>
      </c>
      <c r="BA370" s="96">
        <v>220471.38</v>
      </c>
      <c r="BB370" s="96">
        <v>221190.11</v>
      </c>
      <c r="BC370" s="96">
        <v>224440.71</v>
      </c>
      <c r="BD370" s="96">
        <v>225921.62</v>
      </c>
      <c r="BE370" s="96">
        <v>230614.48</v>
      </c>
      <c r="BF370" s="96">
        <v>230015.1</v>
      </c>
      <c r="BG370" s="472">
        <v>230941.6</v>
      </c>
      <c r="BH370" s="472">
        <v>232161.07</v>
      </c>
      <c r="BI370" s="472">
        <v>234801.06</v>
      </c>
      <c r="BJ370" s="472">
        <v>236815.82</v>
      </c>
      <c r="BK370" s="472">
        <v>238932.3</v>
      </c>
      <c r="BL370" s="472">
        <v>242767.55</v>
      </c>
      <c r="BM370" s="472">
        <v>243804.96</v>
      </c>
      <c r="BN370" s="472">
        <v>245663.8</v>
      </c>
      <c r="BO370" s="472">
        <v>247260.31</v>
      </c>
      <c r="BP370" s="472">
        <v>249129.19</v>
      </c>
      <c r="BQ370" s="472">
        <v>0.0</v>
      </c>
      <c r="BR370" s="472">
        <v>0.0</v>
      </c>
      <c r="BS370" s="472">
        <v>101040.49</v>
      </c>
      <c r="BT370" s="472">
        <v>91262.2</v>
      </c>
      <c r="BU370" s="472">
        <v>5984.32</v>
      </c>
      <c r="BV370" s="472">
        <v>140.29</v>
      </c>
      <c r="BW370" s="472">
        <v>0.0</v>
      </c>
      <c r="BX370" s="472">
        <v>140.29</v>
      </c>
      <c r="BY370" s="472">
        <v>0.0</v>
      </c>
      <c r="BZ370" s="472">
        <v>0.0</v>
      </c>
      <c r="CA370" s="474">
        <v>0.0</v>
      </c>
      <c r="CB370" s="474">
        <v>0.0</v>
      </c>
      <c r="CC370" s="474">
        <v>0.0</v>
      </c>
      <c r="CD370" s="474">
        <v>0.0</v>
      </c>
      <c r="CE370" s="474">
        <v>0.0</v>
      </c>
      <c r="CF370" s="474">
        <v>0.0</v>
      </c>
      <c r="CG370" s="474">
        <v>0.0</v>
      </c>
      <c r="CH370" s="65">
        <v>0.0</v>
      </c>
      <c r="CI370" s="65">
        <v>0.0</v>
      </c>
      <c r="CJ370" s="65">
        <v>0.0</v>
      </c>
      <c r="CK370" s="65">
        <v>0.0</v>
      </c>
      <c r="CL370" s="65">
        <v>0.0</v>
      </c>
      <c r="CM370" s="65">
        <v>0.0</v>
      </c>
      <c r="CN370" s="65">
        <v>0.0</v>
      </c>
    </row>
    <row r="371" ht="15.75" customHeight="1">
      <c r="A371" s="462" t="s">
        <v>2346</v>
      </c>
      <c r="B371" s="462" t="s">
        <v>1548</v>
      </c>
      <c r="C371" s="141">
        <v>86818.0</v>
      </c>
      <c r="D371" s="63" t="s">
        <v>1096</v>
      </c>
      <c r="E371" s="63" t="s">
        <v>199</v>
      </c>
      <c r="F371" s="63" t="s">
        <v>1096</v>
      </c>
      <c r="G371" s="47" t="str">
        <f t="shared" si="1"/>
        <v>Breno</v>
      </c>
      <c r="H371" s="142" t="s">
        <v>183</v>
      </c>
      <c r="I371" s="74" t="s">
        <v>66</v>
      </c>
      <c r="J371" s="63" t="str">
        <f t="shared" si="4"/>
        <v>Não</v>
      </c>
      <c r="K371" s="479">
        <v>43384.0</v>
      </c>
      <c r="L371" s="81"/>
      <c r="M371" s="81" t="s">
        <v>231</v>
      </c>
      <c r="N371" s="464">
        <v>0.01</v>
      </c>
      <c r="O371" s="141" t="s">
        <v>66</v>
      </c>
      <c r="P371" s="145">
        <v>0.0</v>
      </c>
      <c r="Q371" s="158"/>
      <c r="R371" s="158"/>
      <c r="S371" s="62" t="s">
        <v>194</v>
      </c>
      <c r="T371" s="141" t="s">
        <v>1550</v>
      </c>
      <c r="U371" s="81" t="s">
        <v>199</v>
      </c>
      <c r="V371" s="49" t="str">
        <f t="shared" si="3"/>
        <v>Ativo</v>
      </c>
      <c r="W371" s="150"/>
      <c r="X371" s="150"/>
      <c r="Y371" s="30" t="s">
        <v>244</v>
      </c>
      <c r="Z371" s="81"/>
      <c r="AA371" s="480">
        <v>43384.0</v>
      </c>
      <c r="AB371" s="30">
        <v>4.907510001431E13</v>
      </c>
      <c r="AC371" s="96">
        <v>132252.1</v>
      </c>
      <c r="AD371" s="96">
        <v>125939.42</v>
      </c>
      <c r="AE371" s="96">
        <v>93811.81</v>
      </c>
      <c r="AF371" s="96">
        <v>102249.03</v>
      </c>
      <c r="AG371" s="96">
        <v>107442.06</v>
      </c>
      <c r="AH371" s="96">
        <v>113549.39</v>
      </c>
      <c r="AI371" s="96">
        <v>123925.61</v>
      </c>
      <c r="AJ371" s="96">
        <v>113735.35</v>
      </c>
      <c r="AK371" s="96">
        <v>108392.89</v>
      </c>
      <c r="AL371" s="96">
        <v>113674.62</v>
      </c>
      <c r="AM371" s="96">
        <v>128680.11</v>
      </c>
      <c r="AN371" s="96">
        <v>132908.08</v>
      </c>
      <c r="AO371" s="96">
        <v>127315.02</v>
      </c>
      <c r="AP371" s="96">
        <v>120813.34</v>
      </c>
      <c r="AQ371" s="471">
        <v>118338.19</v>
      </c>
      <c r="AR371" s="471">
        <v>122317.11</v>
      </c>
      <c r="AS371" s="471">
        <v>127891.97</v>
      </c>
      <c r="AT371" s="471">
        <v>128162.84</v>
      </c>
      <c r="AU371" s="471">
        <v>133612.49</v>
      </c>
      <c r="AV371" s="96">
        <v>131498.98</v>
      </c>
      <c r="AW371" s="96">
        <v>127649.0</v>
      </c>
      <c r="AX371" s="96">
        <v>121996.93</v>
      </c>
      <c r="AY371" s="96">
        <v>115719.8</v>
      </c>
      <c r="AZ371" s="96">
        <v>108474.13</v>
      </c>
      <c r="BA371" s="96">
        <v>105127.52</v>
      </c>
      <c r="BB371" s="96">
        <v>104998.3</v>
      </c>
      <c r="BC371" s="96">
        <v>110301.44</v>
      </c>
      <c r="BD371" s="96">
        <v>112234.18</v>
      </c>
      <c r="BE371" s="96">
        <v>120778.44</v>
      </c>
      <c r="BF371" s="96">
        <v>114851.09</v>
      </c>
      <c r="BG371" s="472">
        <v>111951.16</v>
      </c>
      <c r="BH371" s="472">
        <v>107146.87</v>
      </c>
      <c r="BI371" s="472">
        <v>112172.13</v>
      </c>
      <c r="BJ371" s="472">
        <v>113735.7</v>
      </c>
      <c r="BK371" s="472">
        <v>114661.76</v>
      </c>
      <c r="BL371" s="472">
        <v>123383.94</v>
      </c>
      <c r="BM371" s="472">
        <v>120921.19</v>
      </c>
      <c r="BN371" s="472">
        <v>120267.0</v>
      </c>
      <c r="BO371" s="472">
        <v>123860.69</v>
      </c>
      <c r="BP371" s="472">
        <v>119563.96</v>
      </c>
      <c r="BQ371" s="472">
        <v>119202.1</v>
      </c>
      <c r="BR371" s="472">
        <v>116778.53</v>
      </c>
      <c r="BS371" s="472">
        <v>121984.43</v>
      </c>
      <c r="BT371" s="472">
        <v>131434.72</v>
      </c>
      <c r="BU371" s="472">
        <v>136756.2</v>
      </c>
      <c r="BV371" s="472">
        <v>136881.38</v>
      </c>
      <c r="BW371" s="472">
        <v>132197.29</v>
      </c>
      <c r="BX371" s="472">
        <v>125876.64</v>
      </c>
      <c r="BY371" s="472">
        <v>135417.51</v>
      </c>
      <c r="BZ371" s="472">
        <v>141335.27</v>
      </c>
      <c r="CA371" s="474">
        <v>131919.94</v>
      </c>
      <c r="CB371" s="474">
        <v>134689.7</v>
      </c>
      <c r="CC371" s="474">
        <v>135915.69</v>
      </c>
      <c r="CD371" s="474">
        <v>116991.7</v>
      </c>
      <c r="CE371" s="474">
        <v>112645.71</v>
      </c>
      <c r="CF371" s="474">
        <v>129351.02</v>
      </c>
      <c r="CG371" s="474">
        <v>116546.3</v>
      </c>
      <c r="CH371" s="65">
        <v>135212.32</v>
      </c>
      <c r="CI371" s="65">
        <v>132552.65</v>
      </c>
      <c r="CJ371" s="65">
        <v>126884.15</v>
      </c>
      <c r="CK371" s="65">
        <v>121761.05</v>
      </c>
      <c r="CL371" s="65">
        <v>112128.44</v>
      </c>
      <c r="CM371" s="65">
        <v>115132.54</v>
      </c>
      <c r="CN371" s="65">
        <v>113840.63</v>
      </c>
    </row>
    <row r="372" ht="15.75" customHeight="1">
      <c r="A372" s="462" t="s">
        <v>2346</v>
      </c>
      <c r="B372" s="510" t="s">
        <v>5580</v>
      </c>
      <c r="C372" s="141">
        <v>82667.0</v>
      </c>
      <c r="D372" s="63" t="s">
        <v>1096</v>
      </c>
      <c r="E372" s="63" t="s">
        <v>199</v>
      </c>
      <c r="F372" s="81" t="s">
        <v>1096</v>
      </c>
      <c r="G372" s="47" t="str">
        <f t="shared" si="1"/>
        <v>Breno</v>
      </c>
      <c r="H372" s="152" t="s">
        <v>224</v>
      </c>
      <c r="I372" s="74" t="s">
        <v>66</v>
      </c>
      <c r="J372" s="63" t="str">
        <f t="shared" si="4"/>
        <v>Não</v>
      </c>
      <c r="K372" s="467">
        <v>43494.0</v>
      </c>
      <c r="L372" s="480">
        <v>44132.0</v>
      </c>
      <c r="M372" s="81" t="s">
        <v>231</v>
      </c>
      <c r="N372" s="478">
        <v>0.01</v>
      </c>
      <c r="O372" s="141" t="s">
        <v>233</v>
      </c>
      <c r="P372" s="145">
        <v>0.2</v>
      </c>
      <c r="Q372" s="158"/>
      <c r="R372" s="158"/>
      <c r="S372" s="62" t="s">
        <v>194</v>
      </c>
      <c r="T372" s="30" t="s">
        <v>7398</v>
      </c>
      <c r="U372" s="81" t="s">
        <v>199</v>
      </c>
      <c r="V372" s="49" t="str">
        <f t="shared" si="3"/>
        <v>Encerrado</v>
      </c>
      <c r="W372" s="150"/>
      <c r="X372" s="150"/>
      <c r="Y372" s="81"/>
      <c r="Z372" s="81"/>
      <c r="AA372" s="81"/>
      <c r="AB372" s="30"/>
      <c r="AC372" s="96">
        <v>204035.21</v>
      </c>
      <c r="AD372" s="96">
        <v>193952.68</v>
      </c>
      <c r="AE372" s="96">
        <v>149618.53</v>
      </c>
      <c r="AF372" s="96">
        <v>159618.03</v>
      </c>
      <c r="AG372" s="96">
        <v>166210.44</v>
      </c>
      <c r="AH372" s="96">
        <v>175629.47</v>
      </c>
      <c r="AI372" s="96">
        <v>187375.04</v>
      </c>
      <c r="AJ372" s="96">
        <v>178660.46</v>
      </c>
      <c r="AK372" s="96">
        <v>191544.71</v>
      </c>
      <c r="AL372" s="96">
        <v>199190.36</v>
      </c>
      <c r="AM372" s="482"/>
      <c r="AN372" s="482"/>
      <c r="AO372" s="482"/>
      <c r="AP372" s="96"/>
      <c r="AQ372" s="96"/>
      <c r="AR372" s="96"/>
      <c r="AS372" s="96"/>
      <c r="AT372" s="96"/>
      <c r="AU372" s="96"/>
      <c r="AV372" s="482"/>
      <c r="AW372" s="482"/>
      <c r="AX372" s="482"/>
      <c r="AY372" s="96"/>
      <c r="AZ372" s="96"/>
      <c r="BA372" s="96"/>
      <c r="BB372" s="96"/>
      <c r="BC372" s="96"/>
      <c r="BD372" s="96">
        <v>0.0</v>
      </c>
      <c r="BE372" s="96">
        <v>0.0</v>
      </c>
      <c r="BF372" s="96">
        <v>0.0</v>
      </c>
      <c r="BG372" s="96" t="s">
        <v>377</v>
      </c>
      <c r="BH372" s="96">
        <v>0.0</v>
      </c>
      <c r="BI372" s="96" t="s">
        <v>377</v>
      </c>
      <c r="BJ372" s="96">
        <v>0.0</v>
      </c>
      <c r="BK372" s="472">
        <v>0.0</v>
      </c>
      <c r="BL372" s="472">
        <v>0.0</v>
      </c>
      <c r="BM372" s="472">
        <v>0.0</v>
      </c>
      <c r="BN372" s="472">
        <v>0.0</v>
      </c>
      <c r="BO372" s="472">
        <v>0.0</v>
      </c>
      <c r="BP372" s="472">
        <v>0.0</v>
      </c>
      <c r="BQ372" s="472">
        <v>0.0</v>
      </c>
      <c r="BR372" s="472">
        <v>0.0</v>
      </c>
      <c r="BS372" s="472">
        <v>0.0</v>
      </c>
      <c r="BT372" s="472">
        <v>0.0</v>
      </c>
      <c r="BU372" s="472">
        <v>0.0</v>
      </c>
      <c r="BV372" s="472">
        <v>0.0</v>
      </c>
      <c r="BW372" s="472">
        <v>0.0</v>
      </c>
      <c r="BX372" s="472">
        <v>0.0</v>
      </c>
      <c r="BY372" s="472">
        <v>0.0</v>
      </c>
      <c r="BZ372" s="472">
        <v>0.0</v>
      </c>
      <c r="CA372" s="474">
        <v>0.0</v>
      </c>
      <c r="CB372" s="474">
        <v>0.0</v>
      </c>
      <c r="CC372" s="474">
        <v>0.0</v>
      </c>
      <c r="CD372" s="474">
        <v>0.0</v>
      </c>
      <c r="CE372" s="474">
        <v>0.0</v>
      </c>
      <c r="CF372" s="474">
        <v>0.0</v>
      </c>
      <c r="CG372" s="474">
        <v>0.0</v>
      </c>
      <c r="CH372" s="65">
        <v>0.0</v>
      </c>
      <c r="CI372" s="65">
        <v>0.0</v>
      </c>
      <c r="CJ372" s="65">
        <v>0.0</v>
      </c>
      <c r="CK372" s="65">
        <v>0.0</v>
      </c>
      <c r="CL372" s="65">
        <v>0.0</v>
      </c>
      <c r="CM372" s="65">
        <v>0.0</v>
      </c>
      <c r="CN372" s="65">
        <v>0.0</v>
      </c>
    </row>
    <row r="373" ht="15.75" customHeight="1">
      <c r="A373" s="462" t="s">
        <v>2346</v>
      </c>
      <c r="B373" s="50" t="s">
        <v>7408</v>
      </c>
      <c r="C373" s="141">
        <v>261079.0</v>
      </c>
      <c r="D373" s="63" t="s">
        <v>120</v>
      </c>
      <c r="E373" s="63" t="s">
        <v>91</v>
      </c>
      <c r="F373" s="63" t="s">
        <v>521</v>
      </c>
      <c r="G373" s="47" t="str">
        <f t="shared" si="1"/>
        <v>Breno</v>
      </c>
      <c r="H373" s="152" t="s">
        <v>224</v>
      </c>
      <c r="I373" s="74" t="s">
        <v>66</v>
      </c>
      <c r="J373" s="63" t="str">
        <f t="shared" si="4"/>
        <v>Não</v>
      </c>
      <c r="K373" s="143">
        <v>44319.0</v>
      </c>
      <c r="L373" s="194">
        <v>44949.0</v>
      </c>
      <c r="M373" s="81" t="s">
        <v>209</v>
      </c>
      <c r="N373" s="464">
        <v>0.015</v>
      </c>
      <c r="O373" s="63" t="s">
        <v>35</v>
      </c>
      <c r="P373" s="145">
        <v>0.1</v>
      </c>
      <c r="Q373" s="70"/>
      <c r="R373" s="160" t="s">
        <v>4264</v>
      </c>
      <c r="S373" s="62" t="s">
        <v>194</v>
      </c>
      <c r="T373" s="22" t="s">
        <v>7413</v>
      </c>
      <c r="U373" s="95" t="s">
        <v>221</v>
      </c>
      <c r="V373" s="49" t="str">
        <f t="shared" si="3"/>
        <v>Encerrado</v>
      </c>
      <c r="W373" s="150"/>
      <c r="X373" s="150"/>
      <c r="Y373" s="30" t="s">
        <v>244</v>
      </c>
      <c r="Z373" s="81"/>
      <c r="AA373" s="81"/>
      <c r="AB373" s="30"/>
      <c r="AC373" s="476"/>
      <c r="AD373" s="476"/>
      <c r="AE373" s="476"/>
      <c r="AF373" s="476"/>
      <c r="AG373" s="476"/>
      <c r="AH373" s="476"/>
      <c r="AI373" s="476"/>
      <c r="AJ373" s="476"/>
      <c r="AK373" s="476"/>
      <c r="AL373" s="476"/>
      <c r="AM373" s="476"/>
      <c r="AN373" s="476"/>
      <c r="AO373" s="476"/>
      <c r="AP373" s="96"/>
      <c r="AQ373" s="471"/>
      <c r="AR373" s="471"/>
      <c r="AS373" s="471"/>
      <c r="AT373" s="471"/>
      <c r="AU373" s="471">
        <v>143470.59</v>
      </c>
      <c r="AV373" s="96">
        <v>142716.91</v>
      </c>
      <c r="AW373" s="96">
        <v>141316.93</v>
      </c>
      <c r="AX373" s="96">
        <v>138661.1</v>
      </c>
      <c r="AY373" s="96">
        <v>130167.83</v>
      </c>
      <c r="AZ373" s="96">
        <v>132874.06</v>
      </c>
      <c r="BA373" s="96">
        <v>131348.54</v>
      </c>
      <c r="BB373" s="96">
        <v>131749.4</v>
      </c>
      <c r="BC373" s="96">
        <v>134227.15</v>
      </c>
      <c r="BD373" s="96">
        <v>134907.74</v>
      </c>
      <c r="BE373" s="96">
        <v>141396.03</v>
      </c>
      <c r="BF373" s="96">
        <v>138863.47</v>
      </c>
      <c r="BG373" s="472">
        <v>138429.71</v>
      </c>
      <c r="BH373" s="472">
        <v>136540.27</v>
      </c>
      <c r="BI373" s="472">
        <v>138826.91</v>
      </c>
      <c r="BJ373" s="472">
        <v>140648.83</v>
      </c>
      <c r="BK373" s="472">
        <v>141942.4</v>
      </c>
      <c r="BL373" s="472">
        <v>147215.7</v>
      </c>
      <c r="BM373" s="472">
        <v>145845.48</v>
      </c>
      <c r="BN373" s="472">
        <v>147049.59</v>
      </c>
      <c r="BO373" s="472">
        <v>722.43</v>
      </c>
      <c r="BP373" s="472">
        <v>728.44</v>
      </c>
      <c r="BQ373" s="472">
        <v>743.05</v>
      </c>
      <c r="BR373" s="472">
        <v>748.2</v>
      </c>
      <c r="BS373" s="472">
        <v>754.67</v>
      </c>
      <c r="BT373" s="472">
        <v>0.0</v>
      </c>
      <c r="BU373" s="472">
        <v>0.0</v>
      </c>
      <c r="BV373" s="472">
        <v>0.0</v>
      </c>
      <c r="BW373" s="472">
        <v>0.0</v>
      </c>
      <c r="BX373" s="472">
        <v>0.0</v>
      </c>
      <c r="BY373" s="472">
        <v>0.0</v>
      </c>
      <c r="BZ373" s="472">
        <v>0.0</v>
      </c>
      <c r="CA373" s="474">
        <v>0.0</v>
      </c>
      <c r="CB373" s="474">
        <v>0.0</v>
      </c>
      <c r="CC373" s="474">
        <v>0.0</v>
      </c>
      <c r="CD373" s="474">
        <v>0.0</v>
      </c>
      <c r="CE373" s="474">
        <v>0.0</v>
      </c>
      <c r="CF373" s="474">
        <v>0.0</v>
      </c>
      <c r="CG373" s="474">
        <v>0.0</v>
      </c>
      <c r="CH373" s="65">
        <v>0.0</v>
      </c>
      <c r="CI373" s="65">
        <v>0.0</v>
      </c>
      <c r="CJ373" s="65">
        <v>0.0</v>
      </c>
      <c r="CK373" s="65">
        <v>0.0</v>
      </c>
      <c r="CL373" s="65">
        <v>0.0</v>
      </c>
      <c r="CM373" s="65">
        <v>0.0</v>
      </c>
      <c r="CN373" s="65">
        <v>0.0</v>
      </c>
    </row>
    <row r="374" ht="15.75" customHeight="1">
      <c r="A374" s="462" t="s">
        <v>2346</v>
      </c>
      <c r="B374" s="462" t="s">
        <v>5758</v>
      </c>
      <c r="C374" s="141">
        <v>440078.0</v>
      </c>
      <c r="D374" s="63" t="s">
        <v>669</v>
      </c>
      <c r="E374" s="63" t="s">
        <v>199</v>
      </c>
      <c r="F374" s="63" t="s">
        <v>2388</v>
      </c>
      <c r="G374" s="47" t="str">
        <f t="shared" si="1"/>
        <v>Breno</v>
      </c>
      <c r="H374" s="142" t="s">
        <v>295</v>
      </c>
      <c r="I374" s="49" t="s">
        <v>382</v>
      </c>
      <c r="J374" s="63" t="str">
        <f t="shared" si="4"/>
        <v>Sim</v>
      </c>
      <c r="K374" s="479">
        <v>43822.0</v>
      </c>
      <c r="L374" s="81"/>
      <c r="M374" s="81" t="s">
        <v>34</v>
      </c>
      <c r="N374" s="478">
        <v>0.012</v>
      </c>
      <c r="O374" s="141" t="s">
        <v>66</v>
      </c>
      <c r="P374" s="145">
        <v>0.0</v>
      </c>
      <c r="Q374" s="158" t="s">
        <v>7427</v>
      </c>
      <c r="R374" s="158"/>
      <c r="S374" s="62" t="s">
        <v>194</v>
      </c>
      <c r="T374" s="141" t="s">
        <v>7428</v>
      </c>
      <c r="U374" s="81" t="s">
        <v>199</v>
      </c>
      <c r="V374" s="49" t="str">
        <f t="shared" si="3"/>
        <v>Inativo</v>
      </c>
      <c r="W374" s="150"/>
      <c r="X374" s="150"/>
      <c r="Y374" s="30" t="s">
        <v>244</v>
      </c>
      <c r="Z374" s="81"/>
      <c r="AA374" s="480">
        <v>43822.0</v>
      </c>
      <c r="AB374" s="30">
        <v>4.9075100014329E13</v>
      </c>
      <c r="AC374" s="96">
        <v>113079.77</v>
      </c>
      <c r="AD374" s="96">
        <v>118513.92</v>
      </c>
      <c r="AE374" s="96">
        <v>113047.14</v>
      </c>
      <c r="AF374" s="96">
        <v>146406.61</v>
      </c>
      <c r="AG374" s="96">
        <v>164629.46</v>
      </c>
      <c r="AH374" s="96">
        <v>186103.16</v>
      </c>
      <c r="AI374" s="96">
        <v>218003.35</v>
      </c>
      <c r="AJ374" s="96">
        <v>225209.02</v>
      </c>
      <c r="AK374" s="96">
        <v>222609.95</v>
      </c>
      <c r="AL374" s="96">
        <v>223262.65</v>
      </c>
      <c r="AM374" s="96">
        <v>250432.14</v>
      </c>
      <c r="AN374" s="96">
        <v>265317.83</v>
      </c>
      <c r="AO374" s="96">
        <v>251869.46</v>
      </c>
      <c r="AP374" s="96">
        <v>254396.72</v>
      </c>
      <c r="AQ374" s="471">
        <v>253351.22</v>
      </c>
      <c r="AR374" s="471">
        <v>253361.43</v>
      </c>
      <c r="AS374" s="471">
        <v>234260.6</v>
      </c>
      <c r="AT374" s="471">
        <v>234335.05</v>
      </c>
      <c r="AU374" s="471">
        <v>236678.91</v>
      </c>
      <c r="AV374" s="96">
        <v>236193.39</v>
      </c>
      <c r="AW374" s="96">
        <v>235519.03</v>
      </c>
      <c r="AX374" s="96">
        <v>233635.09</v>
      </c>
      <c r="AY374" s="96">
        <v>188415.31</v>
      </c>
      <c r="AZ374" s="96">
        <v>230178.43</v>
      </c>
      <c r="BA374" s="96">
        <v>229739.65</v>
      </c>
      <c r="BB374" s="96">
        <v>230748.79</v>
      </c>
      <c r="BC374" s="96">
        <v>220709.25</v>
      </c>
      <c r="BD374" s="96">
        <v>222329.46</v>
      </c>
      <c r="BE374" s="96">
        <v>227577.4</v>
      </c>
      <c r="BF374" s="96">
        <v>226784.07</v>
      </c>
      <c r="BG374" s="472">
        <v>227375.82</v>
      </c>
      <c r="BH374" s="472">
        <v>227402.83</v>
      </c>
      <c r="BI374" s="472">
        <v>230388.2</v>
      </c>
      <c r="BJ374" s="472">
        <v>232213.58</v>
      </c>
      <c r="BK374" s="472">
        <v>234423.99</v>
      </c>
      <c r="BL374" s="472">
        <v>239377.93</v>
      </c>
      <c r="BM374" s="472">
        <v>133998.43</v>
      </c>
      <c r="BN374" s="472">
        <v>134915.47</v>
      </c>
      <c r="BO374" s="472">
        <v>85992.36</v>
      </c>
      <c r="BP374" s="472">
        <v>86540.44</v>
      </c>
      <c r="BQ374" s="472">
        <v>87180.32</v>
      </c>
      <c r="BR374" s="472">
        <v>87698.59</v>
      </c>
      <c r="BS374" s="472">
        <v>85.15</v>
      </c>
      <c r="BT374" s="472">
        <v>0.0</v>
      </c>
      <c r="BU374" s="472">
        <v>0.0</v>
      </c>
      <c r="BV374" s="472">
        <v>0.0</v>
      </c>
      <c r="BW374" s="472">
        <v>0.0</v>
      </c>
      <c r="BX374" s="472">
        <v>0.0</v>
      </c>
      <c r="BY374" s="472">
        <v>0.0</v>
      </c>
      <c r="BZ374" s="472">
        <v>0.0</v>
      </c>
      <c r="CA374" s="474">
        <v>0.0</v>
      </c>
      <c r="CB374" s="474">
        <v>0.0</v>
      </c>
      <c r="CC374" s="474">
        <v>0.0</v>
      </c>
      <c r="CD374" s="474">
        <v>0.0</v>
      </c>
      <c r="CE374" s="474">
        <v>0.0</v>
      </c>
      <c r="CF374" s="474">
        <v>0.0</v>
      </c>
      <c r="CG374" s="474">
        <v>0.0</v>
      </c>
      <c r="CH374" s="65">
        <v>0.0</v>
      </c>
      <c r="CI374" s="65">
        <v>0.0</v>
      </c>
      <c r="CJ374" s="65">
        <v>0.0</v>
      </c>
      <c r="CK374" s="65">
        <v>0.0</v>
      </c>
      <c r="CL374" s="65">
        <v>0.0</v>
      </c>
      <c r="CM374" s="65">
        <v>0.0</v>
      </c>
      <c r="CN374" s="65">
        <v>0.0</v>
      </c>
    </row>
    <row r="375" ht="15.75" customHeight="1">
      <c r="A375" s="462" t="s">
        <v>2346</v>
      </c>
      <c r="B375" s="462" t="s">
        <v>7431</v>
      </c>
      <c r="C375" s="141">
        <v>88816.0</v>
      </c>
      <c r="D375" s="63" t="s">
        <v>1096</v>
      </c>
      <c r="E375" s="63" t="s">
        <v>199</v>
      </c>
      <c r="F375" s="63" t="s">
        <v>1096</v>
      </c>
      <c r="G375" s="47" t="str">
        <f t="shared" si="1"/>
        <v>Breno</v>
      </c>
      <c r="H375" s="152" t="s">
        <v>295</v>
      </c>
      <c r="I375" s="49" t="s">
        <v>382</v>
      </c>
      <c r="J375" s="63" t="str">
        <f t="shared" si="4"/>
        <v>Não</v>
      </c>
      <c r="K375" s="143">
        <v>43538.0</v>
      </c>
      <c r="L375" s="81"/>
      <c r="M375" s="81" t="s">
        <v>231</v>
      </c>
      <c r="N375" s="464">
        <v>0.01</v>
      </c>
      <c r="O375" s="141" t="s">
        <v>66</v>
      </c>
      <c r="P375" s="145">
        <v>0.0</v>
      </c>
      <c r="Q375" s="158"/>
      <c r="R375" s="158"/>
      <c r="S375" s="62" t="s">
        <v>194</v>
      </c>
      <c r="T375" s="141" t="s">
        <v>7435</v>
      </c>
      <c r="U375" s="81" t="s">
        <v>199</v>
      </c>
      <c r="V375" s="49" t="str">
        <f t="shared" si="3"/>
        <v>Ativo</v>
      </c>
      <c r="W375" s="150"/>
      <c r="X375" s="150"/>
      <c r="Y375" s="30" t="s">
        <v>244</v>
      </c>
      <c r="Z375" s="81"/>
      <c r="AA375" s="467">
        <v>43538.0</v>
      </c>
      <c r="AB375" s="30">
        <v>4.9075100014337E13</v>
      </c>
      <c r="AC375" s="96">
        <v>61568.09</v>
      </c>
      <c r="AD375" s="96">
        <v>57643.36</v>
      </c>
      <c r="AE375" s="96">
        <v>44479.31</v>
      </c>
      <c r="AF375" s="96">
        <v>47885.73</v>
      </c>
      <c r="AG375" s="96">
        <v>49575.03</v>
      </c>
      <c r="AH375" s="96">
        <v>50605.52</v>
      </c>
      <c r="AI375" s="96">
        <v>54540.78</v>
      </c>
      <c r="AJ375" s="96">
        <v>50953.25</v>
      </c>
      <c r="AK375" s="96">
        <v>48495.78</v>
      </c>
      <c r="AL375" s="96">
        <v>49483.06</v>
      </c>
      <c r="AM375" s="96">
        <v>57526.87</v>
      </c>
      <c r="AN375" s="96">
        <v>59380.71</v>
      </c>
      <c r="AO375" s="96">
        <v>55356.68</v>
      </c>
      <c r="AP375" s="96">
        <v>51269.96</v>
      </c>
      <c r="AQ375" s="471">
        <v>50075.55</v>
      </c>
      <c r="AR375" s="471">
        <v>49906.87</v>
      </c>
      <c r="AS375" s="471">
        <v>53854.46</v>
      </c>
      <c r="AT375" s="471">
        <v>54208.11</v>
      </c>
      <c r="AU375" s="471">
        <v>55759.29</v>
      </c>
      <c r="AV375" s="96">
        <v>54954.62</v>
      </c>
      <c r="AW375" s="96">
        <v>53368.97</v>
      </c>
      <c r="AX375" s="96">
        <v>51056.55</v>
      </c>
      <c r="AY375" s="96">
        <v>48767.41</v>
      </c>
      <c r="AZ375" s="96">
        <v>45969.79</v>
      </c>
      <c r="BA375" s="96">
        <v>44618.23</v>
      </c>
      <c r="BB375" s="96">
        <v>44435.26</v>
      </c>
      <c r="BC375" s="96">
        <v>47094.65</v>
      </c>
      <c r="BD375" s="96">
        <v>47475.79</v>
      </c>
      <c r="BE375" s="96">
        <v>50947.76</v>
      </c>
      <c r="BF375" s="96">
        <v>48555.2</v>
      </c>
      <c r="BG375" s="472">
        <v>47430.8</v>
      </c>
      <c r="BH375" s="472">
        <v>45534.18</v>
      </c>
      <c r="BI375" s="472">
        <v>47430.48</v>
      </c>
      <c r="BJ375" s="472">
        <v>47875.8</v>
      </c>
      <c r="BK375" s="472">
        <v>48332.21</v>
      </c>
      <c r="BL375" s="472">
        <v>52027.8</v>
      </c>
      <c r="BM375" s="472">
        <v>50954.12</v>
      </c>
      <c r="BN375" s="472">
        <v>50604.24</v>
      </c>
      <c r="BO375" s="472">
        <v>52068.97</v>
      </c>
      <c r="BP375" s="472">
        <v>50313.78</v>
      </c>
      <c r="BQ375" s="472">
        <v>50137.28</v>
      </c>
      <c r="BR375" s="472">
        <v>49088.26</v>
      </c>
      <c r="BS375" s="472">
        <v>50958.41</v>
      </c>
      <c r="BT375" s="472">
        <v>54677.04</v>
      </c>
      <c r="BU375" s="472">
        <v>57457.41</v>
      </c>
      <c r="BV375" s="472">
        <v>56991.41</v>
      </c>
      <c r="BW375" s="472">
        <v>52372.1</v>
      </c>
      <c r="BX375" s="472">
        <v>52577.79</v>
      </c>
      <c r="BY375" s="472">
        <v>56470.03</v>
      </c>
      <c r="BZ375" s="472">
        <v>58830.8</v>
      </c>
      <c r="CA375" s="474">
        <v>55447.09</v>
      </c>
      <c r="CB375" s="474">
        <v>36875.32</v>
      </c>
      <c r="CC375" s="474">
        <v>17494.42</v>
      </c>
      <c r="CD375" s="474">
        <v>226.21</v>
      </c>
      <c r="CE375" s="474">
        <v>217.39</v>
      </c>
      <c r="CF375" s="474">
        <v>201.01</v>
      </c>
      <c r="CG375" s="474">
        <v>191.24</v>
      </c>
      <c r="CH375" s="65">
        <v>191.24</v>
      </c>
      <c r="CI375" s="65">
        <v>177.64</v>
      </c>
      <c r="CJ375" s="65">
        <v>162.79</v>
      </c>
      <c r="CK375" s="65">
        <v>137.41</v>
      </c>
      <c r="CL375" s="65">
        <v>0.0</v>
      </c>
      <c r="CM375" s="65">
        <v>0.0</v>
      </c>
      <c r="CN375" s="65">
        <v>0.0</v>
      </c>
    </row>
    <row r="376" ht="15.75" customHeight="1">
      <c r="A376" s="462" t="s">
        <v>2346</v>
      </c>
      <c r="B376" s="510" t="s">
        <v>7443</v>
      </c>
      <c r="C376" s="141">
        <v>32407.0</v>
      </c>
      <c r="D376" s="63" t="s">
        <v>120</v>
      </c>
      <c r="E376" s="63" t="s">
        <v>91</v>
      </c>
      <c r="F376" s="81" t="s">
        <v>521</v>
      </c>
      <c r="G376" s="47" t="str">
        <f t="shared" si="1"/>
        <v>Breno</v>
      </c>
      <c r="H376" s="142" t="s">
        <v>295</v>
      </c>
      <c r="I376" s="49" t="s">
        <v>382</v>
      </c>
      <c r="J376" s="63" t="str">
        <f t="shared" si="4"/>
        <v>Não</v>
      </c>
      <c r="K376" s="553">
        <v>44789.0</v>
      </c>
      <c r="L376" s="780"/>
      <c r="M376" s="81" t="s">
        <v>61</v>
      </c>
      <c r="N376" s="478">
        <v>0.007</v>
      </c>
      <c r="O376" s="141" t="s">
        <v>66</v>
      </c>
      <c r="P376" s="145">
        <v>0.0</v>
      </c>
      <c r="Q376" s="158"/>
      <c r="R376" s="158"/>
      <c r="S376" s="62" t="s">
        <v>194</v>
      </c>
      <c r="T376" s="30" t="s">
        <v>7458</v>
      </c>
      <c r="U376" s="30" t="s">
        <v>221</v>
      </c>
      <c r="V376" s="49" t="str">
        <f t="shared" si="3"/>
        <v>Inativo</v>
      </c>
      <c r="W376" s="150"/>
      <c r="X376" s="150"/>
      <c r="Y376" s="30" t="s">
        <v>244</v>
      </c>
      <c r="Z376" s="81"/>
      <c r="AA376" s="553">
        <v>44789.0</v>
      </c>
      <c r="AB376" s="30">
        <v>4.9075100014345E13</v>
      </c>
      <c r="AC376" s="96"/>
      <c r="AD376" s="96"/>
      <c r="AE376" s="96"/>
      <c r="AF376" s="96"/>
      <c r="AG376" s="96"/>
      <c r="AH376" s="96"/>
      <c r="AI376" s="96"/>
      <c r="AJ376" s="482"/>
      <c r="AK376" s="482"/>
      <c r="AL376" s="482"/>
      <c r="AM376" s="482"/>
      <c r="AN376" s="482"/>
      <c r="AO376" s="482"/>
      <c r="AP376" s="96"/>
      <c r="AQ376" s="96"/>
      <c r="AR376" s="96"/>
      <c r="AS376" s="96"/>
      <c r="AT376" s="96"/>
      <c r="AU376" s="96"/>
      <c r="AV376" s="482"/>
      <c r="AW376" s="482"/>
      <c r="AX376" s="482"/>
      <c r="AY376" s="96"/>
      <c r="AZ376" s="96"/>
      <c r="BA376" s="96"/>
      <c r="BB376" s="96"/>
      <c r="BC376" s="96"/>
      <c r="BD376" s="96"/>
      <c r="BE376" s="96"/>
      <c r="BF376" s="96"/>
      <c r="BG376" s="472"/>
      <c r="BH376" s="472"/>
      <c r="BI376" s="472">
        <v>83000.0</v>
      </c>
      <c r="BJ376" s="472">
        <v>100944.2</v>
      </c>
      <c r="BK376" s="472">
        <v>101975.23</v>
      </c>
      <c r="BL376" s="472">
        <v>102834.61</v>
      </c>
      <c r="BM376" s="472">
        <v>103228.64</v>
      </c>
      <c r="BN376" s="472">
        <v>104288.03</v>
      </c>
      <c r="BO376" s="472">
        <v>105447.91</v>
      </c>
      <c r="BP376" s="472">
        <v>106284.44</v>
      </c>
      <c r="BQ376" s="472">
        <v>107551.41</v>
      </c>
      <c r="BR376" s="472">
        <v>108351.52</v>
      </c>
      <c r="BS376" s="472">
        <v>78953.18</v>
      </c>
      <c r="BT376" s="472">
        <v>0.0</v>
      </c>
      <c r="BU376" s="472">
        <v>0.0</v>
      </c>
      <c r="BV376" s="472">
        <v>0.0</v>
      </c>
      <c r="BW376" s="472">
        <v>0.0</v>
      </c>
      <c r="BX376" s="472">
        <v>0.0</v>
      </c>
      <c r="BY376" s="472">
        <v>0.0</v>
      </c>
      <c r="BZ376" s="472">
        <v>0.0</v>
      </c>
      <c r="CA376" s="474">
        <v>0.0</v>
      </c>
      <c r="CB376" s="474">
        <v>0.0</v>
      </c>
      <c r="CC376" s="474">
        <v>0.0</v>
      </c>
      <c r="CD376" s="474">
        <v>0.0</v>
      </c>
      <c r="CE376" s="474">
        <v>0.0</v>
      </c>
      <c r="CF376" s="474">
        <v>0.0</v>
      </c>
      <c r="CG376" s="474">
        <v>0.0</v>
      </c>
      <c r="CH376" s="65">
        <v>0.0</v>
      </c>
      <c r="CI376" s="65">
        <v>0.0</v>
      </c>
      <c r="CJ376" s="65">
        <v>0.0</v>
      </c>
      <c r="CK376" s="65">
        <v>0.0</v>
      </c>
      <c r="CL376" s="65">
        <v>0.0</v>
      </c>
      <c r="CM376" s="65">
        <v>0.0</v>
      </c>
      <c r="CN376" s="65">
        <v>0.0</v>
      </c>
    </row>
    <row r="377" ht="15.75" customHeight="1">
      <c r="A377" s="462" t="s">
        <v>2346</v>
      </c>
      <c r="B377" s="176" t="s">
        <v>1557</v>
      </c>
      <c r="C377" s="141">
        <v>582421.0</v>
      </c>
      <c r="D377" s="63" t="s">
        <v>120</v>
      </c>
      <c r="E377" s="63" t="s">
        <v>91</v>
      </c>
      <c r="F377" s="81" t="s">
        <v>193</v>
      </c>
      <c r="G377" s="47" t="str">
        <f t="shared" si="1"/>
        <v>Breno</v>
      </c>
      <c r="H377" s="142" t="s">
        <v>295</v>
      </c>
      <c r="I377" s="49" t="s">
        <v>382</v>
      </c>
      <c r="J377" s="63" t="str">
        <f t="shared" si="4"/>
        <v>Não</v>
      </c>
      <c r="K377" s="553">
        <v>44781.0</v>
      </c>
      <c r="L377" s="780"/>
      <c r="M377" s="81" t="s">
        <v>61</v>
      </c>
      <c r="N377" s="478">
        <v>0.007</v>
      </c>
      <c r="O377" s="141" t="s">
        <v>66</v>
      </c>
      <c r="P377" s="145">
        <v>0.0</v>
      </c>
      <c r="Q377" s="146"/>
      <c r="R377" s="153" t="s">
        <v>1562</v>
      </c>
      <c r="S377" s="62" t="s">
        <v>194</v>
      </c>
      <c r="T377" s="22" t="s">
        <v>1563</v>
      </c>
      <c r="U377" s="30" t="s">
        <v>221</v>
      </c>
      <c r="V377" s="49" t="str">
        <f t="shared" si="3"/>
        <v>Inativo</v>
      </c>
      <c r="W377" s="150"/>
      <c r="X377" s="150"/>
      <c r="Y377" s="30" t="s">
        <v>244</v>
      </c>
      <c r="Z377" s="81"/>
      <c r="AA377" s="553">
        <v>44781.0</v>
      </c>
      <c r="AB377" s="30">
        <v>4.9075100005877E13</v>
      </c>
      <c r="AC377" s="96"/>
      <c r="AD377" s="96"/>
      <c r="AE377" s="96"/>
      <c r="AF377" s="96"/>
      <c r="AG377" s="96"/>
      <c r="AH377" s="96"/>
      <c r="AI377" s="96"/>
      <c r="AJ377" s="482"/>
      <c r="AK377" s="482"/>
      <c r="AL377" s="482"/>
      <c r="AM377" s="482"/>
      <c r="AN377" s="482"/>
      <c r="AO377" s="482"/>
      <c r="AP377" s="96"/>
      <c r="AQ377" s="96"/>
      <c r="AR377" s="96"/>
      <c r="AS377" s="96"/>
      <c r="AT377" s="96"/>
      <c r="AU377" s="96"/>
      <c r="AV377" s="482"/>
      <c r="AW377" s="482"/>
      <c r="AX377" s="482"/>
      <c r="AY377" s="96"/>
      <c r="AZ377" s="96"/>
      <c r="BA377" s="96"/>
      <c r="BB377" s="96"/>
      <c r="BC377" s="96"/>
      <c r="BD377" s="96"/>
      <c r="BE377" s="96"/>
      <c r="BF377" s="96"/>
      <c r="BG377" s="472"/>
      <c r="BH377" s="472"/>
      <c r="BI377" s="472">
        <v>0.0</v>
      </c>
      <c r="BJ377" s="472">
        <v>187347.2</v>
      </c>
      <c r="BK377" s="472">
        <v>176053.2</v>
      </c>
      <c r="BL377" s="472">
        <v>177613.87</v>
      </c>
      <c r="BM377" s="472">
        <v>179150.41</v>
      </c>
      <c r="BN377" s="472">
        <v>140002.05</v>
      </c>
      <c r="BO377" s="472">
        <v>141528.64</v>
      </c>
      <c r="BP377" s="472">
        <v>0.0</v>
      </c>
      <c r="BQ377" s="472">
        <v>144050.43</v>
      </c>
      <c r="BR377" s="472">
        <v>0.0</v>
      </c>
      <c r="BS377" s="472">
        <v>0.0</v>
      </c>
      <c r="BT377" s="472">
        <v>0.0</v>
      </c>
      <c r="BU377" s="472">
        <v>0.0</v>
      </c>
      <c r="BV377" s="472">
        <v>0.0</v>
      </c>
      <c r="BW377" s="472">
        <v>0.0</v>
      </c>
      <c r="BX377" s="472">
        <v>0.0</v>
      </c>
      <c r="BY377" s="472">
        <v>0.0</v>
      </c>
      <c r="BZ377" s="472">
        <v>0.0</v>
      </c>
      <c r="CA377" s="474">
        <v>0.0</v>
      </c>
      <c r="CB377" s="474">
        <v>0.0</v>
      </c>
      <c r="CC377" s="474">
        <v>0.0</v>
      </c>
      <c r="CD377" s="474">
        <v>0.0</v>
      </c>
      <c r="CE377" s="474">
        <v>0.0</v>
      </c>
      <c r="CF377" s="474">
        <v>0.0</v>
      </c>
      <c r="CG377" s="474">
        <v>0.0</v>
      </c>
      <c r="CH377" s="65">
        <v>0.0</v>
      </c>
      <c r="CI377" s="65">
        <v>0.0</v>
      </c>
      <c r="CJ377" s="65">
        <v>0.0</v>
      </c>
      <c r="CK377" s="65">
        <v>0.0</v>
      </c>
      <c r="CL377" s="65">
        <v>0.0</v>
      </c>
      <c r="CM377" s="65">
        <v>0.0</v>
      </c>
      <c r="CN377" s="65">
        <v>0.0</v>
      </c>
    </row>
    <row r="378" ht="15.75" customHeight="1">
      <c r="A378" s="462" t="s">
        <v>2346</v>
      </c>
      <c r="B378" s="176" t="s">
        <v>7475</v>
      </c>
      <c r="C378" s="141">
        <v>358322.0</v>
      </c>
      <c r="D378" s="63" t="s">
        <v>120</v>
      </c>
      <c r="E378" s="63" t="s">
        <v>91</v>
      </c>
      <c r="F378" s="81" t="s">
        <v>699</v>
      </c>
      <c r="G378" s="47" t="str">
        <f t="shared" si="1"/>
        <v>Breno</v>
      </c>
      <c r="H378" s="142" t="s">
        <v>295</v>
      </c>
      <c r="I378" s="49" t="s">
        <v>382</v>
      </c>
      <c r="J378" s="63" t="str">
        <f t="shared" si="4"/>
        <v>Não</v>
      </c>
      <c r="K378" s="553"/>
      <c r="L378" s="780"/>
      <c r="M378" s="81" t="s">
        <v>61</v>
      </c>
      <c r="N378" s="478">
        <v>0.007</v>
      </c>
      <c r="O378" s="141" t="s">
        <v>66</v>
      </c>
      <c r="P378" s="145">
        <v>0.0</v>
      </c>
      <c r="Q378" s="158"/>
      <c r="R378" s="158"/>
      <c r="S378" s="62" t="s">
        <v>194</v>
      </c>
      <c r="T378" s="22" t="s">
        <v>7477</v>
      </c>
      <c r="U378" s="30" t="s">
        <v>221</v>
      </c>
      <c r="V378" s="49" t="str">
        <f t="shared" si="3"/>
        <v>Inativo</v>
      </c>
      <c r="W378" s="150"/>
      <c r="X378" s="150"/>
      <c r="Y378" s="30" t="s">
        <v>244</v>
      </c>
      <c r="Z378" s="81"/>
      <c r="AA378" s="81"/>
      <c r="AB378" s="30"/>
      <c r="AC378" s="96"/>
      <c r="AD378" s="96"/>
      <c r="AE378" s="96"/>
      <c r="AF378" s="96"/>
      <c r="AG378" s="96"/>
      <c r="AH378" s="96"/>
      <c r="AI378" s="96"/>
      <c r="AJ378" s="482"/>
      <c r="AK378" s="482"/>
      <c r="AL378" s="482"/>
      <c r="AM378" s="482"/>
      <c r="AN378" s="482"/>
      <c r="AO378" s="482"/>
      <c r="AP378" s="96"/>
      <c r="AQ378" s="96"/>
      <c r="AR378" s="96"/>
      <c r="AS378" s="96"/>
      <c r="AT378" s="96"/>
      <c r="AU378" s="96"/>
      <c r="AV378" s="482"/>
      <c r="AW378" s="482"/>
      <c r="AX378" s="482"/>
      <c r="AY378" s="96"/>
      <c r="AZ378" s="96"/>
      <c r="BA378" s="96"/>
      <c r="BB378" s="96"/>
      <c r="BC378" s="96"/>
      <c r="BD378" s="96"/>
      <c r="BE378" s="96"/>
      <c r="BF378" s="96"/>
      <c r="BG378" s="472"/>
      <c r="BH378" s="472"/>
      <c r="BI378" s="472"/>
      <c r="BJ378" s="472">
        <v>0.0</v>
      </c>
      <c r="BK378" s="472">
        <v>0.0</v>
      </c>
      <c r="BL378" s="472">
        <v>0.0</v>
      </c>
      <c r="BM378" s="472">
        <v>0.0</v>
      </c>
      <c r="BN378" s="472">
        <v>0.0</v>
      </c>
      <c r="BO378" s="472">
        <v>0.0</v>
      </c>
      <c r="BP378" s="472">
        <v>0.0</v>
      </c>
      <c r="BQ378" s="472">
        <v>0.0</v>
      </c>
      <c r="BR378" s="472">
        <v>0.0</v>
      </c>
      <c r="BS378" s="472">
        <v>0.0</v>
      </c>
      <c r="BT378" s="472">
        <v>0.0</v>
      </c>
      <c r="BU378" s="472">
        <v>0.0</v>
      </c>
      <c r="BV378" s="472">
        <v>0.0</v>
      </c>
      <c r="BW378" s="472">
        <v>0.0</v>
      </c>
      <c r="BX378" s="472">
        <v>0.0</v>
      </c>
      <c r="BY378" s="472">
        <v>0.0</v>
      </c>
      <c r="BZ378" s="472">
        <v>0.0</v>
      </c>
      <c r="CA378" s="474">
        <v>0.0</v>
      </c>
      <c r="CB378" s="474">
        <v>0.0</v>
      </c>
      <c r="CC378" s="474">
        <v>0.0</v>
      </c>
      <c r="CD378" s="474">
        <v>0.0</v>
      </c>
      <c r="CE378" s="474">
        <v>0.0</v>
      </c>
      <c r="CF378" s="474">
        <v>0.0</v>
      </c>
      <c r="CG378" s="474">
        <v>0.0</v>
      </c>
      <c r="CH378" s="65">
        <v>0.0</v>
      </c>
      <c r="CI378" s="65">
        <v>0.0</v>
      </c>
      <c r="CJ378" s="65">
        <v>0.0</v>
      </c>
      <c r="CK378" s="65">
        <v>0.0</v>
      </c>
      <c r="CL378" s="65">
        <v>0.0</v>
      </c>
      <c r="CM378" s="65">
        <v>0.0</v>
      </c>
      <c r="CN378" s="65">
        <v>0.0</v>
      </c>
    </row>
    <row r="379" ht="15.75" customHeight="1">
      <c r="A379" s="462" t="s">
        <v>2346</v>
      </c>
      <c r="B379" s="510" t="s">
        <v>5033</v>
      </c>
      <c r="C379" s="141">
        <v>296193.0</v>
      </c>
      <c r="D379" s="63" t="s">
        <v>120</v>
      </c>
      <c r="E379" s="63" t="s">
        <v>199</v>
      </c>
      <c r="F379" s="81" t="s">
        <v>439</v>
      </c>
      <c r="G379" s="47" t="str">
        <f t="shared" si="1"/>
        <v>Breno</v>
      </c>
      <c r="H379" s="152" t="s">
        <v>224</v>
      </c>
      <c r="I379" s="74" t="s">
        <v>66</v>
      </c>
      <c r="J379" s="63" t="str">
        <f t="shared" si="4"/>
        <v>Não</v>
      </c>
      <c r="K379" s="480">
        <v>43461.0</v>
      </c>
      <c r="L379" s="780">
        <v>43862.0</v>
      </c>
      <c r="M379" s="81" t="s">
        <v>209</v>
      </c>
      <c r="N379" s="478">
        <v>0.01</v>
      </c>
      <c r="O379" s="63" t="s">
        <v>35</v>
      </c>
      <c r="P379" s="145">
        <v>0.1</v>
      </c>
      <c r="Q379" s="158"/>
      <c r="R379" s="158"/>
      <c r="S379" s="62" t="s">
        <v>194</v>
      </c>
      <c r="T379" s="30" t="s">
        <v>7480</v>
      </c>
      <c r="U379" s="81" t="s">
        <v>199</v>
      </c>
      <c r="V379" s="49" t="str">
        <f t="shared" si="3"/>
        <v>Encerrado</v>
      </c>
      <c r="W379" s="150"/>
      <c r="X379" s="150"/>
      <c r="Y379" s="81"/>
      <c r="Z379" s="81"/>
      <c r="AA379" s="81"/>
      <c r="AB379" s="30"/>
      <c r="AC379" s="96">
        <v>0.0</v>
      </c>
      <c r="AD379" s="96">
        <v>0.0</v>
      </c>
      <c r="AE379" s="96">
        <v>0.0</v>
      </c>
      <c r="AF379" s="96">
        <v>0.0</v>
      </c>
      <c r="AG379" s="96">
        <v>0.0</v>
      </c>
      <c r="AH379" s="96">
        <v>0.0</v>
      </c>
      <c r="AI379" s="96">
        <v>0.0</v>
      </c>
      <c r="AJ379" s="482"/>
      <c r="AK379" s="482"/>
      <c r="AL379" s="482"/>
      <c r="AM379" s="482"/>
      <c r="AN379" s="482"/>
      <c r="AO379" s="482"/>
      <c r="AP379" s="96"/>
      <c r="AQ379" s="96"/>
      <c r="AR379" s="96"/>
      <c r="AS379" s="96"/>
      <c r="AT379" s="96"/>
      <c r="AU379" s="96"/>
      <c r="AV379" s="482"/>
      <c r="AW379" s="482"/>
      <c r="AX379" s="482"/>
      <c r="AY379" s="96"/>
      <c r="AZ379" s="96"/>
      <c r="BA379" s="96"/>
      <c r="BB379" s="96"/>
      <c r="BC379" s="96"/>
      <c r="BD379" s="96">
        <v>0.0</v>
      </c>
      <c r="BE379" s="96">
        <v>0.0</v>
      </c>
      <c r="BF379" s="96">
        <v>0.0</v>
      </c>
      <c r="BG379" s="96" t="s">
        <v>377</v>
      </c>
      <c r="BH379" s="96">
        <v>0.0</v>
      </c>
      <c r="BI379" s="96">
        <v>0.0</v>
      </c>
      <c r="BJ379" s="96">
        <v>0.0</v>
      </c>
      <c r="BK379" s="472">
        <v>0.0</v>
      </c>
      <c r="BL379" s="472">
        <v>0.0</v>
      </c>
      <c r="BM379" s="472">
        <v>0.0</v>
      </c>
      <c r="BN379" s="472">
        <v>0.0</v>
      </c>
      <c r="BO379" s="472">
        <v>0.0</v>
      </c>
      <c r="BP379" s="472">
        <v>0.0</v>
      </c>
      <c r="BQ379" s="472">
        <v>0.0</v>
      </c>
      <c r="BR379" s="472">
        <v>0.0</v>
      </c>
      <c r="BS379" s="472">
        <v>0.0</v>
      </c>
      <c r="BT379" s="472">
        <v>0.0</v>
      </c>
      <c r="BU379" s="472">
        <v>0.0</v>
      </c>
      <c r="BV379" s="472">
        <v>0.0</v>
      </c>
      <c r="BW379" s="472">
        <v>0.0</v>
      </c>
      <c r="BX379" s="472">
        <v>0.0</v>
      </c>
      <c r="BY379" s="472">
        <v>0.0</v>
      </c>
      <c r="BZ379" s="472">
        <v>0.0</v>
      </c>
      <c r="CA379" s="474">
        <v>0.0</v>
      </c>
      <c r="CB379" s="474">
        <v>0.0</v>
      </c>
      <c r="CC379" s="474">
        <v>0.0</v>
      </c>
      <c r="CD379" s="474">
        <v>0.0</v>
      </c>
      <c r="CE379" s="474">
        <v>0.0</v>
      </c>
      <c r="CF379" s="474">
        <v>0.0</v>
      </c>
      <c r="CG379" s="474">
        <v>0.0</v>
      </c>
      <c r="CH379" s="65">
        <v>0.0</v>
      </c>
      <c r="CI379" s="65">
        <v>0.0</v>
      </c>
      <c r="CJ379" s="65">
        <v>0.0</v>
      </c>
      <c r="CK379" s="65">
        <v>0.0</v>
      </c>
      <c r="CL379" s="65">
        <v>0.0</v>
      </c>
      <c r="CM379" s="65">
        <v>0.0</v>
      </c>
      <c r="CN379" s="65">
        <v>0.0</v>
      </c>
    </row>
    <row r="380" ht="15.75" customHeight="1">
      <c r="A380" s="462" t="s">
        <v>2346</v>
      </c>
      <c r="B380" s="50" t="s">
        <v>7492</v>
      </c>
      <c r="C380" s="141">
        <v>494175.0</v>
      </c>
      <c r="D380" s="63" t="s">
        <v>120</v>
      </c>
      <c r="E380" s="63" t="s">
        <v>91</v>
      </c>
      <c r="F380" s="95" t="s">
        <v>193</v>
      </c>
      <c r="G380" s="47" t="str">
        <f t="shared" si="1"/>
        <v>Breno</v>
      </c>
      <c r="H380" s="152" t="s">
        <v>224</v>
      </c>
      <c r="I380" s="74" t="s">
        <v>66</v>
      </c>
      <c r="J380" s="63" t="str">
        <f t="shared" si="4"/>
        <v>Não</v>
      </c>
      <c r="K380" s="467">
        <v>44335.0</v>
      </c>
      <c r="L380" s="194">
        <v>44746.0</v>
      </c>
      <c r="M380" s="81" t="s">
        <v>209</v>
      </c>
      <c r="N380" s="478">
        <v>0.015</v>
      </c>
      <c r="O380" s="63" t="s">
        <v>35</v>
      </c>
      <c r="P380" s="145">
        <v>0.1</v>
      </c>
      <c r="Q380" s="70"/>
      <c r="R380" s="70"/>
      <c r="S380" s="62" t="s">
        <v>194</v>
      </c>
      <c r="T380" s="22" t="s">
        <v>7494</v>
      </c>
      <c r="U380" s="95" t="s">
        <v>221</v>
      </c>
      <c r="V380" s="49" t="str">
        <f t="shared" si="3"/>
        <v>Encerrado</v>
      </c>
      <c r="W380" s="150"/>
      <c r="X380" s="150"/>
      <c r="Y380" s="30" t="s">
        <v>244</v>
      </c>
      <c r="Z380" s="81"/>
      <c r="AA380" s="81"/>
      <c r="AB380" s="30"/>
      <c r="AC380" s="476"/>
      <c r="AD380" s="476"/>
      <c r="AE380" s="476"/>
      <c r="AF380" s="476"/>
      <c r="AG380" s="476"/>
      <c r="AH380" s="476"/>
      <c r="AI380" s="476"/>
      <c r="AJ380" s="476"/>
      <c r="AK380" s="476"/>
      <c r="AL380" s="476"/>
      <c r="AM380" s="476"/>
      <c r="AN380" s="476"/>
      <c r="AO380" s="476"/>
      <c r="AP380" s="476"/>
      <c r="AQ380" s="96"/>
      <c r="AR380" s="96"/>
      <c r="AS380" s="96"/>
      <c r="AT380" s="476"/>
      <c r="AU380" s="476">
        <v>162252.64</v>
      </c>
      <c r="AV380" s="96">
        <v>162120.22</v>
      </c>
      <c r="AW380" s="96">
        <v>160265.39</v>
      </c>
      <c r="AX380" s="96">
        <v>157867.39</v>
      </c>
      <c r="AY380" s="96">
        <v>136536.87</v>
      </c>
      <c r="AZ380" s="96">
        <v>151144.51</v>
      </c>
      <c r="BA380" s="96">
        <v>150086.86</v>
      </c>
      <c r="BB380" s="96">
        <v>151343.42</v>
      </c>
      <c r="BC380" s="96">
        <v>154477.4</v>
      </c>
      <c r="BD380" s="96">
        <v>65452.99</v>
      </c>
      <c r="BE380" s="96">
        <v>57707.36</v>
      </c>
      <c r="BF380" s="96">
        <v>56444.7</v>
      </c>
      <c r="BG380" s="96">
        <v>55803.7</v>
      </c>
      <c r="BH380" s="96">
        <v>0.0</v>
      </c>
      <c r="BI380" s="96">
        <v>113.72</v>
      </c>
      <c r="BJ380" s="96">
        <v>0.0</v>
      </c>
      <c r="BK380" s="472">
        <v>0.0</v>
      </c>
      <c r="BL380" s="472">
        <v>0.0</v>
      </c>
      <c r="BM380" s="472">
        <v>0.0</v>
      </c>
      <c r="BN380" s="472">
        <v>0.0</v>
      </c>
      <c r="BO380" s="472">
        <v>0.0</v>
      </c>
      <c r="BP380" s="472">
        <v>0.0</v>
      </c>
      <c r="BQ380" s="472">
        <v>0.0</v>
      </c>
      <c r="BR380" s="472">
        <v>0.0</v>
      </c>
      <c r="BS380" s="472">
        <v>0.0</v>
      </c>
      <c r="BT380" s="472">
        <v>0.0</v>
      </c>
      <c r="BU380" s="472">
        <v>0.0</v>
      </c>
      <c r="BV380" s="472">
        <v>0.0</v>
      </c>
      <c r="BW380" s="472">
        <v>0.0</v>
      </c>
      <c r="BX380" s="472">
        <v>0.0</v>
      </c>
      <c r="BY380" s="472">
        <v>0.0</v>
      </c>
      <c r="BZ380" s="472">
        <v>0.0</v>
      </c>
      <c r="CA380" s="474">
        <v>0.0</v>
      </c>
      <c r="CB380" s="474">
        <v>0.0</v>
      </c>
      <c r="CC380" s="474">
        <v>0.0</v>
      </c>
      <c r="CD380" s="474">
        <v>0.0</v>
      </c>
      <c r="CE380" s="474">
        <v>0.0</v>
      </c>
      <c r="CF380" s="474">
        <v>0.0</v>
      </c>
      <c r="CG380" s="474">
        <v>0.0</v>
      </c>
      <c r="CH380" s="65">
        <v>0.0</v>
      </c>
      <c r="CI380" s="65">
        <v>0.0</v>
      </c>
      <c r="CJ380" s="65">
        <v>0.0</v>
      </c>
      <c r="CK380" s="65">
        <v>0.0</v>
      </c>
      <c r="CL380" s="65">
        <v>0.0</v>
      </c>
      <c r="CM380" s="65">
        <v>0.0</v>
      </c>
      <c r="CN380" s="65">
        <v>0.0</v>
      </c>
    </row>
    <row r="381" ht="15.75" customHeight="1">
      <c r="A381" s="462" t="s">
        <v>2346</v>
      </c>
      <c r="B381" s="510" t="s">
        <v>5147</v>
      </c>
      <c r="C381" s="141">
        <v>433204.0</v>
      </c>
      <c r="D381" s="63" t="s">
        <v>669</v>
      </c>
      <c r="E381" s="63" t="s">
        <v>199</v>
      </c>
      <c r="F381" s="81" t="s">
        <v>1228</v>
      </c>
      <c r="G381" s="47" t="str">
        <f t="shared" si="1"/>
        <v>Breno</v>
      </c>
      <c r="H381" s="152" t="s">
        <v>224</v>
      </c>
      <c r="I381" s="74" t="s">
        <v>66</v>
      </c>
      <c r="J381" s="63" t="str">
        <f t="shared" si="4"/>
        <v>Não</v>
      </c>
      <c r="K381" s="467">
        <v>43738.0</v>
      </c>
      <c r="L381" s="467">
        <v>44053.0</v>
      </c>
      <c r="M381" s="81" t="s">
        <v>231</v>
      </c>
      <c r="N381" s="478">
        <v>0.02</v>
      </c>
      <c r="O381" s="141" t="s">
        <v>233</v>
      </c>
      <c r="P381" s="145">
        <v>0.2</v>
      </c>
      <c r="Q381" s="158"/>
      <c r="R381" s="158"/>
      <c r="S381" s="62" t="s">
        <v>194</v>
      </c>
      <c r="T381" s="30" t="s">
        <v>7503</v>
      </c>
      <c r="U381" s="81" t="s">
        <v>199</v>
      </c>
      <c r="V381" s="49" t="str">
        <f t="shared" si="3"/>
        <v>Encerrado</v>
      </c>
      <c r="W381" s="150"/>
      <c r="X381" s="150"/>
      <c r="Y381" s="81"/>
      <c r="Z381" s="81"/>
      <c r="AA381" s="81"/>
      <c r="AB381" s="30"/>
      <c r="AC381" s="96">
        <v>386485.02</v>
      </c>
      <c r="AD381" s="96">
        <v>364419.14</v>
      </c>
      <c r="AE381" s="96">
        <v>280299.83</v>
      </c>
      <c r="AF381" s="96">
        <v>216396.43</v>
      </c>
      <c r="AG381" s="96">
        <v>125696.53</v>
      </c>
      <c r="AH381" s="96">
        <v>0.0</v>
      </c>
      <c r="AI381" s="96">
        <v>0.0</v>
      </c>
      <c r="AJ381" s="482"/>
      <c r="AK381" s="482"/>
      <c r="AL381" s="482"/>
      <c r="AM381" s="482"/>
      <c r="AN381" s="482"/>
      <c r="AO381" s="482"/>
      <c r="AP381" s="96"/>
      <c r="AQ381" s="96"/>
      <c r="AR381" s="96"/>
      <c r="AS381" s="96"/>
      <c r="AT381" s="96"/>
      <c r="AU381" s="96"/>
      <c r="AV381" s="482"/>
      <c r="AW381" s="482"/>
      <c r="AX381" s="482"/>
      <c r="AY381" s="96"/>
      <c r="AZ381" s="96"/>
      <c r="BA381" s="96"/>
      <c r="BB381" s="96"/>
      <c r="BC381" s="96"/>
      <c r="BD381" s="96">
        <v>0.0</v>
      </c>
      <c r="BE381" s="96">
        <v>0.0</v>
      </c>
      <c r="BF381" s="96">
        <v>0.0</v>
      </c>
      <c r="BG381" s="96" t="s">
        <v>377</v>
      </c>
      <c r="BH381" s="96">
        <v>0.0</v>
      </c>
      <c r="BI381" s="96">
        <v>0.0</v>
      </c>
      <c r="BJ381" s="96">
        <v>0.0</v>
      </c>
      <c r="BK381" s="472">
        <v>0.0</v>
      </c>
      <c r="BL381" s="472">
        <v>0.0</v>
      </c>
      <c r="BM381" s="472">
        <v>0.0</v>
      </c>
      <c r="BN381" s="472">
        <v>0.0</v>
      </c>
      <c r="BO381" s="472">
        <v>0.0</v>
      </c>
      <c r="BP381" s="472">
        <v>0.0</v>
      </c>
      <c r="BQ381" s="472">
        <v>0.0</v>
      </c>
      <c r="BR381" s="472">
        <v>0.0</v>
      </c>
      <c r="BS381" s="472">
        <v>0.0</v>
      </c>
      <c r="BT381" s="472">
        <v>0.0</v>
      </c>
      <c r="BU381" s="472">
        <v>0.0</v>
      </c>
      <c r="BV381" s="472">
        <v>0.0</v>
      </c>
      <c r="BW381" s="472">
        <v>0.0</v>
      </c>
      <c r="BX381" s="472">
        <v>0.0</v>
      </c>
      <c r="BY381" s="472">
        <v>0.0</v>
      </c>
      <c r="BZ381" s="472">
        <v>0.0</v>
      </c>
      <c r="CA381" s="474">
        <v>0.0</v>
      </c>
      <c r="CB381" s="474">
        <v>0.0</v>
      </c>
      <c r="CC381" s="474">
        <v>0.0</v>
      </c>
      <c r="CD381" s="474">
        <v>0.0</v>
      </c>
      <c r="CE381" s="474">
        <v>0.0</v>
      </c>
      <c r="CF381" s="474">
        <v>0.0</v>
      </c>
      <c r="CG381" s="474">
        <v>0.0</v>
      </c>
      <c r="CH381" s="65">
        <v>0.0</v>
      </c>
      <c r="CI381" s="65">
        <v>0.0</v>
      </c>
      <c r="CJ381" s="65">
        <v>0.0</v>
      </c>
      <c r="CK381" s="65">
        <v>0.0</v>
      </c>
      <c r="CL381" s="65">
        <v>0.0</v>
      </c>
      <c r="CM381" s="65">
        <v>0.0</v>
      </c>
      <c r="CN381" s="65">
        <v>0.0</v>
      </c>
    </row>
    <row r="382" ht="15.75" customHeight="1">
      <c r="A382" s="462" t="s">
        <v>2346</v>
      </c>
      <c r="B382" s="510" t="s">
        <v>5357</v>
      </c>
      <c r="C382" s="141">
        <v>574599.0</v>
      </c>
      <c r="D382" s="63" t="s">
        <v>669</v>
      </c>
      <c r="E382" s="63" t="s">
        <v>199</v>
      </c>
      <c r="F382" s="81" t="s">
        <v>1228</v>
      </c>
      <c r="G382" s="47" t="str">
        <f t="shared" si="1"/>
        <v>Breno</v>
      </c>
      <c r="H382" s="152" t="s">
        <v>224</v>
      </c>
      <c r="I382" s="74" t="s">
        <v>66</v>
      </c>
      <c r="J382" s="63" t="str">
        <f t="shared" si="4"/>
        <v>Não</v>
      </c>
      <c r="K382" s="467">
        <v>43538.0</v>
      </c>
      <c r="L382" s="467">
        <v>44025.0</v>
      </c>
      <c r="M382" s="81" t="s">
        <v>209</v>
      </c>
      <c r="N382" s="478">
        <v>0.005</v>
      </c>
      <c r="O382" s="63" t="s">
        <v>35</v>
      </c>
      <c r="P382" s="145">
        <v>0.1</v>
      </c>
      <c r="Q382" s="158"/>
      <c r="R382" s="190"/>
      <c r="S382" s="62" t="s">
        <v>194</v>
      </c>
      <c r="T382" s="30" t="s">
        <v>7516</v>
      </c>
      <c r="U382" s="81" t="s">
        <v>199</v>
      </c>
      <c r="V382" s="49" t="str">
        <f t="shared" si="3"/>
        <v>Encerrado</v>
      </c>
      <c r="W382" s="150"/>
      <c r="X382" s="150"/>
      <c r="Y382" s="81"/>
      <c r="Z382" s="81"/>
      <c r="AA382" s="81"/>
      <c r="AB382" s="30"/>
      <c r="AC382" s="96">
        <v>646888.15</v>
      </c>
      <c r="AD382" s="96">
        <v>667001.7</v>
      </c>
      <c r="AE382" s="96">
        <v>1888.84</v>
      </c>
      <c r="AF382" s="96">
        <v>0.0</v>
      </c>
      <c r="AG382" s="96">
        <v>462.41</v>
      </c>
      <c r="AH382" s="96">
        <v>0.0</v>
      </c>
      <c r="AI382" s="96">
        <v>0.0</v>
      </c>
      <c r="AJ382" s="482"/>
      <c r="AK382" s="482"/>
      <c r="AL382" s="482"/>
      <c r="AM382" s="482"/>
      <c r="AN382" s="482"/>
      <c r="AO382" s="482"/>
      <c r="AP382" s="96">
        <v>232737.17</v>
      </c>
      <c r="AQ382" s="96">
        <v>233229.84</v>
      </c>
      <c r="AR382" s="96"/>
      <c r="AS382" s="96"/>
      <c r="AT382" s="96"/>
      <c r="AU382" s="96"/>
      <c r="AV382" s="482"/>
      <c r="AW382" s="482"/>
      <c r="AX382" s="482"/>
      <c r="AY382" s="96"/>
      <c r="AZ382" s="96"/>
      <c r="BA382" s="96"/>
      <c r="BB382" s="96"/>
      <c r="BC382" s="96"/>
      <c r="BD382" s="96">
        <v>0.0</v>
      </c>
      <c r="BE382" s="96">
        <v>0.0</v>
      </c>
      <c r="BF382" s="96">
        <v>0.0</v>
      </c>
      <c r="BG382" s="96" t="s">
        <v>377</v>
      </c>
      <c r="BH382" s="96">
        <v>0.0</v>
      </c>
      <c r="BI382" s="96">
        <v>0.0</v>
      </c>
      <c r="BJ382" s="96">
        <v>0.0</v>
      </c>
      <c r="BK382" s="472">
        <v>0.0</v>
      </c>
      <c r="BL382" s="472">
        <v>0.0</v>
      </c>
      <c r="BM382" s="472">
        <v>0.0</v>
      </c>
      <c r="BN382" s="472">
        <v>0.0</v>
      </c>
      <c r="BO382" s="472">
        <v>0.0</v>
      </c>
      <c r="BP382" s="472">
        <v>0.0</v>
      </c>
      <c r="BQ382" s="472">
        <v>0.0</v>
      </c>
      <c r="BR382" s="472">
        <v>0.0</v>
      </c>
      <c r="BS382" s="472">
        <v>0.0</v>
      </c>
      <c r="BT382" s="472">
        <v>0.0</v>
      </c>
      <c r="BU382" s="472">
        <v>0.0</v>
      </c>
      <c r="BV382" s="472">
        <v>0.0</v>
      </c>
      <c r="BW382" s="472">
        <v>0.0</v>
      </c>
      <c r="BX382" s="472">
        <v>0.0</v>
      </c>
      <c r="BY382" s="472">
        <v>0.0</v>
      </c>
      <c r="BZ382" s="472">
        <v>0.0</v>
      </c>
      <c r="CA382" s="474">
        <v>0.0</v>
      </c>
      <c r="CB382" s="474">
        <v>0.0</v>
      </c>
      <c r="CC382" s="474">
        <v>0.0</v>
      </c>
      <c r="CD382" s="474">
        <v>0.0</v>
      </c>
      <c r="CE382" s="474">
        <v>0.0</v>
      </c>
      <c r="CF382" s="474">
        <v>0.0</v>
      </c>
      <c r="CG382" s="474">
        <v>0.0</v>
      </c>
      <c r="CH382" s="65">
        <v>0.0</v>
      </c>
      <c r="CI382" s="65">
        <v>0.0</v>
      </c>
      <c r="CJ382" s="65">
        <v>0.0</v>
      </c>
      <c r="CK382" s="65">
        <v>0.0</v>
      </c>
      <c r="CL382" s="65">
        <v>0.0</v>
      </c>
      <c r="CM382" s="65">
        <v>0.0</v>
      </c>
      <c r="CN382" s="65">
        <v>0.0</v>
      </c>
    </row>
    <row r="383" ht="15.75" customHeight="1">
      <c r="A383" s="462" t="s">
        <v>2346</v>
      </c>
      <c r="B383" s="510" t="s">
        <v>5357</v>
      </c>
      <c r="C383" s="141">
        <v>575296.0</v>
      </c>
      <c r="D383" s="63" t="s">
        <v>669</v>
      </c>
      <c r="E383" s="63" t="s">
        <v>199</v>
      </c>
      <c r="F383" s="81" t="s">
        <v>1228</v>
      </c>
      <c r="G383" s="47" t="str">
        <f t="shared" si="1"/>
        <v>Breno</v>
      </c>
      <c r="H383" s="152" t="s">
        <v>224</v>
      </c>
      <c r="I383" s="74" t="s">
        <v>66</v>
      </c>
      <c r="J383" s="63" t="str">
        <f t="shared" si="4"/>
        <v>Não</v>
      </c>
      <c r="K383" s="467">
        <v>43538.0</v>
      </c>
      <c r="L383" s="467">
        <v>44025.0</v>
      </c>
      <c r="M383" s="81" t="s">
        <v>231</v>
      </c>
      <c r="N383" s="478">
        <v>0.025</v>
      </c>
      <c r="O383" s="141" t="s">
        <v>233</v>
      </c>
      <c r="P383" s="145">
        <v>0.2</v>
      </c>
      <c r="Q383" s="158"/>
      <c r="R383" s="158"/>
      <c r="S383" s="62" t="s">
        <v>194</v>
      </c>
      <c r="T383" s="30" t="s">
        <v>7516</v>
      </c>
      <c r="U383" s="81" t="s">
        <v>199</v>
      </c>
      <c r="V383" s="49" t="str">
        <f t="shared" si="3"/>
        <v>Encerrado</v>
      </c>
      <c r="W383" s="150"/>
      <c r="X383" s="150"/>
      <c r="Y383" s="81"/>
      <c r="Z383" s="81"/>
      <c r="AA383" s="81"/>
      <c r="AB383" s="30"/>
      <c r="AC383" s="96">
        <v>0.0</v>
      </c>
      <c r="AD383" s="96">
        <v>0.0</v>
      </c>
      <c r="AE383" s="96">
        <v>0.0</v>
      </c>
      <c r="AF383" s="96">
        <v>0.0</v>
      </c>
      <c r="AG383" s="96">
        <v>0.0</v>
      </c>
      <c r="AH383" s="96">
        <v>0.0</v>
      </c>
      <c r="AI383" s="96">
        <v>0.0</v>
      </c>
      <c r="AJ383" s="482"/>
      <c r="AK383" s="482"/>
      <c r="AL383" s="482"/>
      <c r="AM383" s="482"/>
      <c r="AN383" s="482"/>
      <c r="AO383" s="482"/>
      <c r="AP383" s="96"/>
      <c r="AQ383" s="96"/>
      <c r="AR383" s="96"/>
      <c r="AS383" s="96"/>
      <c r="AT383" s="96"/>
      <c r="AU383" s="96"/>
      <c r="AV383" s="482"/>
      <c r="AW383" s="482"/>
      <c r="AX383" s="482"/>
      <c r="AY383" s="96"/>
      <c r="AZ383" s="96"/>
      <c r="BA383" s="96"/>
      <c r="BB383" s="96"/>
      <c r="BC383" s="96"/>
      <c r="BD383" s="96">
        <v>0.0</v>
      </c>
      <c r="BE383" s="96">
        <v>0.0</v>
      </c>
      <c r="BF383" s="96">
        <v>0.0</v>
      </c>
      <c r="BG383" s="96" t="s">
        <v>377</v>
      </c>
      <c r="BH383" s="96">
        <v>0.0</v>
      </c>
      <c r="BI383" s="96">
        <v>0.0</v>
      </c>
      <c r="BJ383" s="96">
        <v>0.0</v>
      </c>
      <c r="BK383" s="472">
        <v>0.0</v>
      </c>
      <c r="BL383" s="472">
        <v>0.0</v>
      </c>
      <c r="BM383" s="472">
        <v>0.0</v>
      </c>
      <c r="BN383" s="472">
        <v>0.0</v>
      </c>
      <c r="BO383" s="472">
        <v>0.0</v>
      </c>
      <c r="BP383" s="472">
        <v>0.0</v>
      </c>
      <c r="BQ383" s="472">
        <v>0.0</v>
      </c>
      <c r="BR383" s="472">
        <v>0.0</v>
      </c>
      <c r="BS383" s="472">
        <v>0.0</v>
      </c>
      <c r="BT383" s="472">
        <v>0.0</v>
      </c>
      <c r="BU383" s="472">
        <v>0.0</v>
      </c>
      <c r="BV383" s="472">
        <v>0.0</v>
      </c>
      <c r="BW383" s="472">
        <v>0.0</v>
      </c>
      <c r="BX383" s="472">
        <v>0.0</v>
      </c>
      <c r="BY383" s="472">
        <v>0.0</v>
      </c>
      <c r="BZ383" s="472">
        <v>0.0</v>
      </c>
      <c r="CA383" s="474">
        <v>0.0</v>
      </c>
      <c r="CB383" s="474">
        <v>0.0</v>
      </c>
      <c r="CC383" s="474">
        <v>0.0</v>
      </c>
      <c r="CD383" s="474">
        <v>0.0</v>
      </c>
      <c r="CE383" s="474">
        <v>0.0</v>
      </c>
      <c r="CF383" s="474">
        <v>0.0</v>
      </c>
      <c r="CG383" s="474">
        <v>0.0</v>
      </c>
      <c r="CH383" s="65">
        <v>0.0</v>
      </c>
      <c r="CI383" s="65">
        <v>0.0</v>
      </c>
      <c r="CJ383" s="65">
        <v>0.0</v>
      </c>
      <c r="CK383" s="65">
        <v>0.0</v>
      </c>
      <c r="CL383" s="65">
        <v>0.0</v>
      </c>
      <c r="CM383" s="65">
        <v>0.0</v>
      </c>
      <c r="CN383" s="65">
        <v>0.0</v>
      </c>
    </row>
    <row r="384" ht="15.75" customHeight="1">
      <c r="A384" s="462" t="s">
        <v>2346</v>
      </c>
      <c r="B384" s="477" t="s">
        <v>6828</v>
      </c>
      <c r="C384" s="141">
        <v>424312.0</v>
      </c>
      <c r="D384" s="63" t="s">
        <v>669</v>
      </c>
      <c r="E384" s="63" t="s">
        <v>199</v>
      </c>
      <c r="F384" s="81" t="s">
        <v>1228</v>
      </c>
      <c r="G384" s="47" t="str">
        <f t="shared" si="1"/>
        <v>Breno</v>
      </c>
      <c r="H384" s="152" t="s">
        <v>224</v>
      </c>
      <c r="I384" s="74" t="s">
        <v>66</v>
      </c>
      <c r="J384" s="63" t="str">
        <f t="shared" si="4"/>
        <v>Não</v>
      </c>
      <c r="K384" s="467">
        <v>43843.0</v>
      </c>
      <c r="L384" s="467">
        <v>44455.0</v>
      </c>
      <c r="M384" s="81" t="s">
        <v>34</v>
      </c>
      <c r="N384" s="478">
        <v>0.012</v>
      </c>
      <c r="O384" s="141" t="s">
        <v>66</v>
      </c>
      <c r="P384" s="145">
        <v>0.0</v>
      </c>
      <c r="Q384" s="158"/>
      <c r="R384" s="158"/>
      <c r="S384" s="62" t="s">
        <v>194</v>
      </c>
      <c r="T384" s="30" t="s">
        <v>7552</v>
      </c>
      <c r="U384" s="81" t="s">
        <v>199</v>
      </c>
      <c r="V384" s="49" t="str">
        <f t="shared" si="3"/>
        <v>Encerrado</v>
      </c>
      <c r="W384" s="150"/>
      <c r="X384" s="150"/>
      <c r="Y384" s="81"/>
      <c r="Z384" s="81"/>
      <c r="AA384" s="81"/>
      <c r="AB384" s="30"/>
      <c r="AC384" s="96">
        <v>109611.63</v>
      </c>
      <c r="AD384" s="96">
        <v>107961.36</v>
      </c>
      <c r="AE384" s="96">
        <v>104081.71</v>
      </c>
      <c r="AF384" s="96">
        <v>104855.32</v>
      </c>
      <c r="AG384" s="96">
        <v>105522.73</v>
      </c>
      <c r="AH384" s="96">
        <v>105886.34</v>
      </c>
      <c r="AI384" s="96">
        <v>107432.66</v>
      </c>
      <c r="AJ384" s="96">
        <v>106053.85</v>
      </c>
      <c r="AK384" s="96">
        <v>104717.5</v>
      </c>
      <c r="AL384" s="96">
        <v>104601.62</v>
      </c>
      <c r="AM384" s="96">
        <v>107063.13</v>
      </c>
      <c r="AN384" s="96">
        <v>108445.55</v>
      </c>
      <c r="AO384" s="96">
        <v>107142.67</v>
      </c>
      <c r="AP384" s="96">
        <v>105722.6</v>
      </c>
      <c r="AQ384" s="96">
        <v>105412.75</v>
      </c>
      <c r="AR384" s="96">
        <v>107078.35</v>
      </c>
      <c r="AS384" s="96">
        <v>108222.44</v>
      </c>
      <c r="AT384" s="96">
        <v>108105.33</v>
      </c>
      <c r="AU384" s="96">
        <v>108984.02</v>
      </c>
      <c r="AV384" s="96">
        <v>108716.13</v>
      </c>
      <c r="AW384" s="96">
        <v>108542.37</v>
      </c>
      <c r="AX384" s="96">
        <v>107666.91</v>
      </c>
      <c r="AY384" s="96">
        <v>107081.25</v>
      </c>
      <c r="AZ384" s="96">
        <v>106320.71</v>
      </c>
      <c r="BA384" s="96"/>
      <c r="BB384" s="96"/>
      <c r="BC384" s="96"/>
      <c r="BD384" s="96">
        <v>0.0</v>
      </c>
      <c r="BE384" s="96">
        <v>0.0</v>
      </c>
      <c r="BF384" s="96">
        <v>0.0</v>
      </c>
      <c r="BG384" s="96" t="s">
        <v>377</v>
      </c>
      <c r="BH384" s="96">
        <v>0.0</v>
      </c>
      <c r="BI384" s="96">
        <v>0.0</v>
      </c>
      <c r="BJ384" s="96">
        <v>0.0</v>
      </c>
      <c r="BK384" s="472">
        <v>0.0</v>
      </c>
      <c r="BL384" s="472">
        <v>0.0</v>
      </c>
      <c r="BM384" s="472">
        <v>0.0</v>
      </c>
      <c r="BN384" s="472">
        <v>0.0</v>
      </c>
      <c r="BO384" s="472">
        <v>0.0</v>
      </c>
      <c r="BP384" s="472">
        <v>0.0</v>
      </c>
      <c r="BQ384" s="472">
        <v>0.0</v>
      </c>
      <c r="BR384" s="472">
        <v>0.0</v>
      </c>
      <c r="BS384" s="472">
        <v>0.0</v>
      </c>
      <c r="BT384" s="472">
        <v>0.0</v>
      </c>
      <c r="BU384" s="472">
        <v>0.0</v>
      </c>
      <c r="BV384" s="472">
        <v>0.0</v>
      </c>
      <c r="BW384" s="472">
        <v>0.0</v>
      </c>
      <c r="BX384" s="472">
        <v>0.0</v>
      </c>
      <c r="BY384" s="472">
        <v>0.0</v>
      </c>
      <c r="BZ384" s="472">
        <v>0.0</v>
      </c>
      <c r="CA384" s="474">
        <v>0.0</v>
      </c>
      <c r="CB384" s="474">
        <v>0.0</v>
      </c>
      <c r="CC384" s="474">
        <v>0.0</v>
      </c>
      <c r="CD384" s="474">
        <v>0.0</v>
      </c>
      <c r="CE384" s="474">
        <v>0.0</v>
      </c>
      <c r="CF384" s="474">
        <v>0.0</v>
      </c>
      <c r="CG384" s="474">
        <v>0.0</v>
      </c>
      <c r="CH384" s="65">
        <v>0.0</v>
      </c>
      <c r="CI384" s="65">
        <v>0.0</v>
      </c>
      <c r="CJ384" s="65">
        <v>0.0</v>
      </c>
      <c r="CK384" s="65">
        <v>0.0</v>
      </c>
      <c r="CL384" s="65">
        <v>0.0</v>
      </c>
      <c r="CM384" s="65">
        <v>0.0</v>
      </c>
      <c r="CN384" s="65">
        <v>0.0</v>
      </c>
    </row>
    <row r="385" ht="15.75" customHeight="1">
      <c r="A385" s="462" t="s">
        <v>2346</v>
      </c>
      <c r="B385" s="518" t="s">
        <v>6011</v>
      </c>
      <c r="C385" s="141">
        <v>47922.0</v>
      </c>
      <c r="D385" s="63" t="s">
        <v>120</v>
      </c>
      <c r="E385" s="63" t="s">
        <v>91</v>
      </c>
      <c r="F385" s="63" t="s">
        <v>193</v>
      </c>
      <c r="G385" s="47" t="str">
        <f t="shared" si="1"/>
        <v>Breno</v>
      </c>
      <c r="H385" s="142" t="s">
        <v>295</v>
      </c>
      <c r="I385" s="49" t="s">
        <v>382</v>
      </c>
      <c r="J385" s="63" t="str">
        <f t="shared" si="4"/>
        <v>Não</v>
      </c>
      <c r="K385" s="467">
        <v>44273.0</v>
      </c>
      <c r="L385" s="62"/>
      <c r="M385" s="81" t="s">
        <v>209</v>
      </c>
      <c r="N385" s="478">
        <v>0.012</v>
      </c>
      <c r="O385" s="63" t="s">
        <v>35</v>
      </c>
      <c r="P385" s="145">
        <v>0.1</v>
      </c>
      <c r="Q385" s="158"/>
      <c r="R385" s="158"/>
      <c r="S385" s="62" t="s">
        <v>194</v>
      </c>
      <c r="T385" s="141" t="s">
        <v>7567</v>
      </c>
      <c r="U385" s="95" t="s">
        <v>221</v>
      </c>
      <c r="V385" s="49" t="str">
        <f t="shared" si="3"/>
        <v>Inativo</v>
      </c>
      <c r="W385" s="150"/>
      <c r="X385" s="150"/>
      <c r="Y385" s="30" t="s">
        <v>244</v>
      </c>
      <c r="Z385" s="81"/>
      <c r="AA385" s="467">
        <v>44273.0</v>
      </c>
      <c r="AB385" s="30">
        <v>4.90751000049E13</v>
      </c>
      <c r="AC385" s="482"/>
      <c r="AD385" s="482"/>
      <c r="AE385" s="482"/>
      <c r="AF385" s="482"/>
      <c r="AG385" s="482"/>
      <c r="AH385" s="482"/>
      <c r="AI385" s="482"/>
      <c r="AJ385" s="482"/>
      <c r="AK385" s="482"/>
      <c r="AL385" s="482"/>
      <c r="AM385" s="482"/>
      <c r="AN385" s="482"/>
      <c r="AO385" s="482"/>
      <c r="AP385" s="96"/>
      <c r="AQ385" s="471">
        <v>295500.0</v>
      </c>
      <c r="AR385" s="471">
        <v>293919.3</v>
      </c>
      <c r="AS385" s="471"/>
      <c r="AT385" s="471">
        <v>96359.51</v>
      </c>
      <c r="AU385" s="471">
        <v>98018.91</v>
      </c>
      <c r="AV385" s="96">
        <v>97659.97</v>
      </c>
      <c r="AW385" s="96">
        <v>96671.15</v>
      </c>
      <c r="AX385" s="96">
        <v>94590.76</v>
      </c>
      <c r="AY385" s="96">
        <v>93260.87</v>
      </c>
      <c r="AZ385" s="96">
        <v>90581.97</v>
      </c>
      <c r="BA385" s="96">
        <v>89659.09</v>
      </c>
      <c r="BB385" s="96">
        <v>90000.48</v>
      </c>
      <c r="BC385" s="96">
        <v>92231.5</v>
      </c>
      <c r="BD385" s="96">
        <v>92773.75</v>
      </c>
      <c r="BE385" s="96">
        <v>96610.36</v>
      </c>
      <c r="BF385" s="96">
        <v>95093.41</v>
      </c>
      <c r="BG385" s="472">
        <v>94883.7</v>
      </c>
      <c r="BH385" s="472">
        <v>94280.35</v>
      </c>
      <c r="BI385" s="472">
        <v>95513.04</v>
      </c>
      <c r="BJ385" s="472">
        <v>96775.12</v>
      </c>
      <c r="BK385" s="472">
        <v>97609.54</v>
      </c>
      <c r="BL385" s="472">
        <v>100656.17</v>
      </c>
      <c r="BM385" s="472">
        <v>99771.72</v>
      </c>
      <c r="BN385" s="472">
        <v>100669.91</v>
      </c>
      <c r="BO385" s="472">
        <v>102001.86</v>
      </c>
      <c r="BP385" s="472">
        <v>102836.26</v>
      </c>
      <c r="BQ385" s="472">
        <v>14480.79</v>
      </c>
      <c r="BR385" s="472">
        <v>0.0</v>
      </c>
      <c r="BS385" s="472">
        <v>0.25</v>
      </c>
      <c r="BT385" s="472">
        <v>0.0</v>
      </c>
      <c r="BU385" s="472">
        <v>0.0</v>
      </c>
      <c r="BV385" s="472">
        <v>0.0</v>
      </c>
      <c r="BW385" s="472">
        <v>0.0</v>
      </c>
      <c r="BX385" s="472">
        <v>0.0</v>
      </c>
      <c r="BY385" s="472">
        <v>0.0</v>
      </c>
      <c r="BZ385" s="472">
        <v>0.0</v>
      </c>
      <c r="CA385" s="474">
        <v>0.0</v>
      </c>
      <c r="CB385" s="474">
        <v>0.0</v>
      </c>
      <c r="CC385" s="474">
        <v>0.0</v>
      </c>
      <c r="CD385" s="474">
        <v>0.0</v>
      </c>
      <c r="CE385" s="474">
        <v>0.0</v>
      </c>
      <c r="CF385" s="474">
        <v>0.0</v>
      </c>
      <c r="CG385" s="474">
        <v>0.0</v>
      </c>
      <c r="CH385" s="65">
        <v>0.0</v>
      </c>
      <c r="CI385" s="65">
        <v>0.0</v>
      </c>
      <c r="CJ385" s="65">
        <v>0.0</v>
      </c>
      <c r="CK385" s="65">
        <v>0.0</v>
      </c>
      <c r="CL385" s="65">
        <v>0.0</v>
      </c>
      <c r="CM385" s="65">
        <v>0.0</v>
      </c>
      <c r="CN385" s="65">
        <v>0.0</v>
      </c>
    </row>
    <row r="386" ht="15.75" customHeight="1">
      <c r="A386" s="462" t="s">
        <v>2346</v>
      </c>
      <c r="B386" s="477" t="s">
        <v>6638</v>
      </c>
      <c r="C386" s="141">
        <v>467548.0</v>
      </c>
      <c r="D386" s="63" t="s">
        <v>120</v>
      </c>
      <c r="E386" s="63" t="s">
        <v>91</v>
      </c>
      <c r="F386" s="63" t="s">
        <v>699</v>
      </c>
      <c r="G386" s="47" t="str">
        <f t="shared" si="1"/>
        <v>Breno</v>
      </c>
      <c r="H386" s="152" t="s">
        <v>224</v>
      </c>
      <c r="I386" s="74" t="s">
        <v>66</v>
      </c>
      <c r="J386" s="63" t="str">
        <f t="shared" si="4"/>
        <v>Não</v>
      </c>
      <c r="K386" s="467">
        <v>44267.0</v>
      </c>
      <c r="L386" s="557">
        <v>44908.0</v>
      </c>
      <c r="M386" s="81" t="s">
        <v>209</v>
      </c>
      <c r="N386" s="478">
        <v>0.015</v>
      </c>
      <c r="O386" s="63" t="s">
        <v>35</v>
      </c>
      <c r="P386" s="145">
        <v>0.1</v>
      </c>
      <c r="Q386" s="160"/>
      <c r="R386" s="158" t="s">
        <v>7577</v>
      </c>
      <c r="S386" s="62" t="s">
        <v>194</v>
      </c>
      <c r="T386" s="30" t="s">
        <v>7578</v>
      </c>
      <c r="U386" s="95" t="s">
        <v>221</v>
      </c>
      <c r="V386" s="49" t="str">
        <f t="shared" si="3"/>
        <v>Encerrado</v>
      </c>
      <c r="W386" s="150"/>
      <c r="X386" s="150"/>
      <c r="Y386" s="30" t="s">
        <v>244</v>
      </c>
      <c r="Z386" s="81"/>
      <c r="AA386" s="81"/>
      <c r="AB386" s="30"/>
      <c r="AC386" s="482"/>
      <c r="AD386" s="482"/>
      <c r="AE386" s="482"/>
      <c r="AF386" s="482"/>
      <c r="AG386" s="482"/>
      <c r="AH386" s="482"/>
      <c r="AI386" s="482"/>
      <c r="AJ386" s="482"/>
      <c r="AK386" s="482"/>
      <c r="AL386" s="482"/>
      <c r="AM386" s="482"/>
      <c r="AN386" s="482"/>
      <c r="AO386" s="482"/>
      <c r="AP386" s="96"/>
      <c r="AQ386" s="471">
        <v>308627.75</v>
      </c>
      <c r="AR386" s="471">
        <v>314732.39</v>
      </c>
      <c r="AS386" s="471"/>
      <c r="AT386" s="471">
        <v>318794.19</v>
      </c>
      <c r="AU386" s="471">
        <v>326027.34</v>
      </c>
      <c r="AV386" s="96">
        <v>324095.86</v>
      </c>
      <c r="AW386" s="96">
        <v>318675.94</v>
      </c>
      <c r="AX386" s="96">
        <v>303444.86</v>
      </c>
      <c r="AY386" s="96">
        <v>296222.95</v>
      </c>
      <c r="AZ386" s="96">
        <v>283524.06</v>
      </c>
      <c r="BA386" s="96">
        <v>276998.58</v>
      </c>
      <c r="BB386" s="96">
        <v>276712.22</v>
      </c>
      <c r="BC386" s="96">
        <v>274501.9</v>
      </c>
      <c r="BD386" s="96">
        <v>275832.73</v>
      </c>
      <c r="BE386" s="96">
        <v>289042.2</v>
      </c>
      <c r="BF386" s="96">
        <v>281175.94</v>
      </c>
      <c r="BG386" s="472">
        <v>279257.59</v>
      </c>
      <c r="BH386" s="472">
        <v>270445.53</v>
      </c>
      <c r="BI386" s="472">
        <v>276038.02</v>
      </c>
      <c r="BJ386" s="472">
        <v>279352.55</v>
      </c>
      <c r="BK386" s="472">
        <v>282382.0</v>
      </c>
      <c r="BL386" s="472">
        <v>70026.76</v>
      </c>
      <c r="BM386" s="472">
        <v>16670.41</v>
      </c>
      <c r="BN386" s="472">
        <v>16733.54</v>
      </c>
      <c r="BO386" s="472">
        <v>24338.57</v>
      </c>
      <c r="BP386" s="472">
        <v>54363.6</v>
      </c>
      <c r="BQ386" s="472">
        <v>0.0</v>
      </c>
      <c r="BR386" s="472">
        <v>0.0</v>
      </c>
      <c r="BS386" s="472">
        <v>0.0</v>
      </c>
      <c r="BT386" s="472">
        <v>0.0</v>
      </c>
      <c r="BU386" s="472">
        <v>0.0</v>
      </c>
      <c r="BV386" s="472">
        <v>0.0</v>
      </c>
      <c r="BW386" s="472">
        <v>0.0</v>
      </c>
      <c r="BX386" s="472">
        <v>0.0</v>
      </c>
      <c r="BY386" s="472">
        <v>0.0</v>
      </c>
      <c r="BZ386" s="472">
        <v>0.0</v>
      </c>
      <c r="CA386" s="474">
        <v>0.0</v>
      </c>
      <c r="CB386" s="474">
        <v>0.0</v>
      </c>
      <c r="CC386" s="474">
        <v>0.0</v>
      </c>
      <c r="CD386" s="474">
        <v>0.0</v>
      </c>
      <c r="CE386" s="474">
        <v>0.0</v>
      </c>
      <c r="CF386" s="474">
        <v>0.0</v>
      </c>
      <c r="CG386" s="474">
        <v>0.0</v>
      </c>
      <c r="CH386" s="65">
        <v>0.0</v>
      </c>
      <c r="CI386" s="65">
        <v>0.0</v>
      </c>
      <c r="CJ386" s="65">
        <v>0.0</v>
      </c>
      <c r="CK386" s="65">
        <v>0.0</v>
      </c>
      <c r="CL386" s="65">
        <v>0.0</v>
      </c>
      <c r="CM386" s="65">
        <v>0.0</v>
      </c>
      <c r="CN386" s="65">
        <v>0.0</v>
      </c>
    </row>
    <row r="387" ht="15.75" customHeight="1">
      <c r="A387" s="462" t="s">
        <v>2346</v>
      </c>
      <c r="B387" s="176" t="s">
        <v>6638</v>
      </c>
      <c r="C387" s="141">
        <v>0.0</v>
      </c>
      <c r="D387" s="63" t="s">
        <v>120</v>
      </c>
      <c r="E387" s="63" t="s">
        <v>91</v>
      </c>
      <c r="F387" s="63" t="s">
        <v>699</v>
      </c>
      <c r="G387" s="47" t="str">
        <f t="shared" si="1"/>
        <v>Breno</v>
      </c>
      <c r="H387" s="152" t="s">
        <v>224</v>
      </c>
      <c r="I387" s="74" t="s">
        <v>66</v>
      </c>
      <c r="J387" s="63" t="str">
        <f t="shared" si="4"/>
        <v>Não</v>
      </c>
      <c r="K387" s="81"/>
      <c r="L387" s="480">
        <v>44908.0</v>
      </c>
      <c r="M387" s="62" t="s">
        <v>4910</v>
      </c>
      <c r="N387" s="464">
        <v>0.01</v>
      </c>
      <c r="O387" s="141" t="s">
        <v>66</v>
      </c>
      <c r="P387" s="145">
        <v>0.0</v>
      </c>
      <c r="Q387" s="158"/>
      <c r="R387" s="158"/>
      <c r="S387" s="62" t="s">
        <v>194</v>
      </c>
      <c r="T387" s="22" t="s">
        <v>7578</v>
      </c>
      <c r="U387" s="95" t="s">
        <v>221</v>
      </c>
      <c r="V387" s="49" t="str">
        <f t="shared" si="3"/>
        <v>Encerrado</v>
      </c>
      <c r="W387" s="150"/>
      <c r="X387" s="150"/>
      <c r="Y387" s="81"/>
      <c r="Z387" s="81"/>
      <c r="AA387" s="81"/>
      <c r="AB387" s="30"/>
      <c r="AC387" s="482"/>
      <c r="AD387" s="482"/>
      <c r="AE387" s="482"/>
      <c r="AF387" s="482"/>
      <c r="AG387" s="482"/>
      <c r="AH387" s="482"/>
      <c r="AI387" s="482"/>
      <c r="AJ387" s="482"/>
      <c r="AK387" s="482"/>
      <c r="AL387" s="482"/>
      <c r="AM387" s="482"/>
      <c r="AN387" s="482"/>
      <c r="AO387" s="482"/>
      <c r="AP387" s="482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>
        <v>49015.46</v>
      </c>
      <c r="BB387" s="96">
        <v>48735.19</v>
      </c>
      <c r="BC387" s="96">
        <v>50980.29</v>
      </c>
      <c r="BD387" s="96"/>
      <c r="BE387" s="96"/>
      <c r="BF387" s="96">
        <v>0.0</v>
      </c>
      <c r="BG387" s="472" t="s">
        <v>377</v>
      </c>
      <c r="BH387" s="472">
        <v>0.0</v>
      </c>
      <c r="BI387" s="472">
        <v>0.0</v>
      </c>
      <c r="BJ387" s="472">
        <v>0.0</v>
      </c>
      <c r="BK387" s="472">
        <v>0.0</v>
      </c>
      <c r="BL387" s="472">
        <v>70026.76</v>
      </c>
      <c r="BM387" s="472">
        <v>0.0</v>
      </c>
      <c r="BN387" s="472">
        <v>0.0</v>
      </c>
      <c r="BO387" s="472">
        <v>0.0</v>
      </c>
      <c r="BP387" s="472">
        <v>0.0</v>
      </c>
      <c r="BQ387" s="472">
        <v>0.0</v>
      </c>
      <c r="BR387" s="472">
        <v>0.0</v>
      </c>
      <c r="BS387" s="472">
        <v>0.0</v>
      </c>
      <c r="BT387" s="472">
        <v>0.0</v>
      </c>
      <c r="BU387" s="472">
        <v>0.0</v>
      </c>
      <c r="BV387" s="472">
        <v>0.0</v>
      </c>
      <c r="BW387" s="472">
        <v>0.0</v>
      </c>
      <c r="BX387" s="472">
        <v>0.0</v>
      </c>
      <c r="BY387" s="472">
        <v>0.0</v>
      </c>
      <c r="BZ387" s="472">
        <v>0.0</v>
      </c>
      <c r="CA387" s="474">
        <v>0.0</v>
      </c>
      <c r="CB387" s="474">
        <v>0.0</v>
      </c>
      <c r="CC387" s="474">
        <v>0.0</v>
      </c>
      <c r="CD387" s="474">
        <v>0.0</v>
      </c>
      <c r="CE387" s="474">
        <v>0.0</v>
      </c>
      <c r="CF387" s="474">
        <v>0.0</v>
      </c>
      <c r="CG387" s="474">
        <v>0.0</v>
      </c>
      <c r="CH387" s="65">
        <v>0.0</v>
      </c>
      <c r="CI387" s="65">
        <v>0.0</v>
      </c>
      <c r="CJ387" s="65">
        <v>0.0</v>
      </c>
      <c r="CK387" s="65">
        <v>0.0</v>
      </c>
      <c r="CL387" s="65">
        <v>0.0</v>
      </c>
      <c r="CM387" s="65">
        <v>0.0</v>
      </c>
      <c r="CN387" s="65">
        <v>0.0</v>
      </c>
    </row>
    <row r="388" ht="15.75" customHeight="1">
      <c r="A388" s="462" t="s">
        <v>2346</v>
      </c>
      <c r="B388" s="462" t="s">
        <v>5071</v>
      </c>
      <c r="C388" s="141">
        <v>577392.0</v>
      </c>
      <c r="D388" s="63" t="s">
        <v>669</v>
      </c>
      <c r="E388" s="63" t="s">
        <v>199</v>
      </c>
      <c r="F388" s="63" t="s">
        <v>1228</v>
      </c>
      <c r="G388" s="47" t="str">
        <f t="shared" si="1"/>
        <v>Breno</v>
      </c>
      <c r="H388" s="142" t="s">
        <v>295</v>
      </c>
      <c r="I388" s="49" t="s">
        <v>382</v>
      </c>
      <c r="J388" s="63" t="str">
        <f t="shared" si="4"/>
        <v>Não</v>
      </c>
      <c r="K388" s="143">
        <v>43567.0</v>
      </c>
      <c r="L388" s="81"/>
      <c r="M388" s="81" t="s">
        <v>209</v>
      </c>
      <c r="N388" s="464">
        <v>0.01</v>
      </c>
      <c r="O388" s="63" t="s">
        <v>35</v>
      </c>
      <c r="P388" s="145">
        <v>0.1</v>
      </c>
      <c r="Q388" s="368"/>
      <c r="R388" s="153" t="s">
        <v>7595</v>
      </c>
      <c r="S388" s="62" t="s">
        <v>194</v>
      </c>
      <c r="T388" s="141" t="s">
        <v>7596</v>
      </c>
      <c r="U388" s="81" t="s">
        <v>199</v>
      </c>
      <c r="V388" s="49" t="str">
        <f t="shared" si="3"/>
        <v>Inativo</v>
      </c>
      <c r="W388" s="150"/>
      <c r="X388" s="150"/>
      <c r="Y388" s="30" t="s">
        <v>244</v>
      </c>
      <c r="Z388" s="81"/>
      <c r="AA388" s="467">
        <v>43567.0</v>
      </c>
      <c r="AB388" s="30">
        <v>4.9075100011028E13</v>
      </c>
      <c r="AC388" s="96">
        <v>272123.15</v>
      </c>
      <c r="AD388" s="96">
        <v>269477.65</v>
      </c>
      <c r="AE388" s="96">
        <v>234023.17</v>
      </c>
      <c r="AF388" s="96">
        <v>236637.7</v>
      </c>
      <c r="AG388" s="96">
        <v>239746.38</v>
      </c>
      <c r="AH388" s="96">
        <v>242739.15</v>
      </c>
      <c r="AI388" s="96">
        <v>247056.74</v>
      </c>
      <c r="AJ388" s="96">
        <v>243834.84</v>
      </c>
      <c r="AK388" s="96">
        <v>227207.33</v>
      </c>
      <c r="AL388" s="96">
        <v>228633.96</v>
      </c>
      <c r="AM388" s="96">
        <v>205187.21</v>
      </c>
      <c r="AN388" s="96">
        <v>158268.14</v>
      </c>
      <c r="AO388" s="96">
        <v>156455.1</v>
      </c>
      <c r="AP388" s="96">
        <v>198891.2</v>
      </c>
      <c r="AQ388" s="471">
        <v>198716.37</v>
      </c>
      <c r="AR388" s="471">
        <v>197540.84</v>
      </c>
      <c r="AS388" s="471">
        <v>202178.74</v>
      </c>
      <c r="AT388" s="471">
        <v>202436.68</v>
      </c>
      <c r="AU388" s="471">
        <v>204170.01</v>
      </c>
      <c r="AV388" s="96">
        <v>203953.72</v>
      </c>
      <c r="AW388" s="96">
        <v>203513.91</v>
      </c>
      <c r="AX388" s="96">
        <v>284596.45</v>
      </c>
      <c r="AY388" s="96">
        <v>269220.36</v>
      </c>
      <c r="AZ388" s="96">
        <v>280443.0</v>
      </c>
      <c r="BA388" s="96"/>
      <c r="BB388" s="96"/>
      <c r="BC388" s="96"/>
      <c r="BD388" s="96">
        <v>53049.83</v>
      </c>
      <c r="BE388" s="96">
        <v>55663.23</v>
      </c>
      <c r="BF388" s="96">
        <v>53571.59</v>
      </c>
      <c r="BG388" s="472">
        <v>53851.99</v>
      </c>
      <c r="BH388" s="472">
        <v>23513.4</v>
      </c>
      <c r="BI388" s="472">
        <v>953.62</v>
      </c>
      <c r="BJ388" s="472">
        <v>992.06</v>
      </c>
      <c r="BK388" s="472">
        <v>999.78</v>
      </c>
      <c r="BL388" s="472">
        <v>1007.16</v>
      </c>
      <c r="BM388" s="472">
        <v>1014.5</v>
      </c>
      <c r="BN388" s="472">
        <v>1022.72</v>
      </c>
      <c r="BO388" s="472">
        <v>1178.91</v>
      </c>
      <c r="BP388" s="472">
        <v>1185.66</v>
      </c>
      <c r="BQ388" s="472">
        <v>1192.34</v>
      </c>
      <c r="BR388" s="472">
        <v>1192.38</v>
      </c>
      <c r="BS388" s="472">
        <v>0.04</v>
      </c>
      <c r="BT388" s="472">
        <v>0.0</v>
      </c>
      <c r="BU388" s="472">
        <v>0.0</v>
      </c>
      <c r="BV388" s="472">
        <v>0.0</v>
      </c>
      <c r="BW388" s="472">
        <v>0.0</v>
      </c>
      <c r="BX388" s="472">
        <v>0.0</v>
      </c>
      <c r="BY388" s="472">
        <v>0.0</v>
      </c>
      <c r="BZ388" s="472">
        <v>0.0</v>
      </c>
      <c r="CA388" s="474">
        <v>0.0</v>
      </c>
      <c r="CB388" s="474">
        <v>0.0</v>
      </c>
      <c r="CC388" s="474">
        <v>0.0</v>
      </c>
      <c r="CD388" s="474">
        <v>0.0</v>
      </c>
      <c r="CE388" s="474">
        <v>0.0</v>
      </c>
      <c r="CF388" s="474">
        <v>0.0</v>
      </c>
      <c r="CG388" s="474">
        <v>0.0</v>
      </c>
      <c r="CH388" s="65">
        <v>0.0</v>
      </c>
      <c r="CI388" s="65">
        <v>0.0</v>
      </c>
      <c r="CJ388" s="65">
        <v>0.0</v>
      </c>
      <c r="CK388" s="65">
        <v>0.0</v>
      </c>
      <c r="CL388" s="65">
        <v>0.0</v>
      </c>
      <c r="CM388" s="65">
        <v>0.0</v>
      </c>
      <c r="CN388" s="65">
        <v>0.0</v>
      </c>
    </row>
    <row r="389" ht="15.75" customHeight="1">
      <c r="A389" s="462" t="s">
        <v>2346</v>
      </c>
      <c r="B389" s="249" t="s">
        <v>1570</v>
      </c>
      <c r="C389" s="141">
        <v>384538.0</v>
      </c>
      <c r="D389" s="63" t="s">
        <v>120</v>
      </c>
      <c r="E389" s="63" t="s">
        <v>199</v>
      </c>
      <c r="F389" s="63" t="s">
        <v>1340</v>
      </c>
      <c r="G389" s="47" t="str">
        <f t="shared" si="1"/>
        <v>Breno</v>
      </c>
      <c r="H389" s="152" t="s">
        <v>295</v>
      </c>
      <c r="I389" s="49" t="s">
        <v>694</v>
      </c>
      <c r="J389" s="63" t="str">
        <f t="shared" si="4"/>
        <v>Não</v>
      </c>
      <c r="K389" s="143">
        <v>45106.0</v>
      </c>
      <c r="L389" s="81"/>
      <c r="M389" s="81" t="s">
        <v>209</v>
      </c>
      <c r="N389" s="464">
        <v>0.015</v>
      </c>
      <c r="O389" s="63" t="s">
        <v>35</v>
      </c>
      <c r="P389" s="145">
        <v>0.1</v>
      </c>
      <c r="Q389" s="158"/>
      <c r="R389" s="158"/>
      <c r="S389" s="62" t="s">
        <v>194</v>
      </c>
      <c r="T389" s="27" t="s">
        <v>1574</v>
      </c>
      <c r="U389" s="30" t="s">
        <v>618</v>
      </c>
      <c r="V389" s="49" t="str">
        <f t="shared" si="3"/>
        <v>Ativo</v>
      </c>
      <c r="W389" s="150"/>
      <c r="X389" s="150"/>
      <c r="Y389" s="30" t="s">
        <v>269</v>
      </c>
      <c r="Z389" s="81"/>
      <c r="AA389" s="467">
        <v>45106.0</v>
      </c>
      <c r="AB389" s="30">
        <v>4.9075100011036E13</v>
      </c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  <c r="AO389" s="96"/>
      <c r="AP389" s="96"/>
      <c r="AQ389" s="471"/>
      <c r="AR389" s="471"/>
      <c r="AS389" s="471"/>
      <c r="AT389" s="471"/>
      <c r="AU389" s="471"/>
      <c r="AV389" s="96"/>
      <c r="AW389" s="96"/>
      <c r="AX389" s="96"/>
      <c r="AY389" s="96"/>
      <c r="AZ389" s="96"/>
      <c r="BA389" s="96"/>
      <c r="BB389" s="96"/>
      <c r="BC389" s="96"/>
      <c r="BD389" s="96"/>
      <c r="BE389" s="96"/>
      <c r="BF389" s="96"/>
      <c r="BG389" s="472"/>
      <c r="BH389" s="472"/>
      <c r="BI389" s="472"/>
      <c r="BJ389" s="472"/>
      <c r="BK389" s="472"/>
      <c r="BL389" s="472"/>
      <c r="BM389" s="472"/>
      <c r="BN389" s="472"/>
      <c r="BO389" s="472"/>
      <c r="BP389" s="472"/>
      <c r="BQ389" s="472"/>
      <c r="BR389" s="472"/>
      <c r="BS389" s="472"/>
      <c r="BT389" s="472">
        <v>0.0</v>
      </c>
      <c r="BU389" s="472">
        <v>20022.05</v>
      </c>
      <c r="BV389" s="472">
        <v>20164.87</v>
      </c>
      <c r="BW389" s="472">
        <v>20040.2</v>
      </c>
      <c r="BX389" s="472">
        <v>19973.58</v>
      </c>
      <c r="BY389" s="472">
        <v>20595.73</v>
      </c>
      <c r="BZ389" s="472">
        <v>32879.95</v>
      </c>
      <c r="CA389" s="474">
        <v>33700.61</v>
      </c>
      <c r="CB389" s="474">
        <v>44041.59</v>
      </c>
      <c r="CC389" s="474">
        <v>42504.0</v>
      </c>
      <c r="CD389" s="474">
        <v>62426.46</v>
      </c>
      <c r="CE389" s="474">
        <v>75179.25</v>
      </c>
      <c r="CF389" s="474">
        <v>85556.93</v>
      </c>
      <c r="CG389" s="474">
        <v>63642.14</v>
      </c>
      <c r="CH389" s="65">
        <v>64236.59</v>
      </c>
      <c r="CI389" s="65">
        <v>78690.3</v>
      </c>
      <c r="CJ389" s="65">
        <v>95533.49</v>
      </c>
      <c r="CK389" s="65">
        <v>96404.75</v>
      </c>
      <c r="CL389" s="65">
        <v>88108.27</v>
      </c>
      <c r="CM389" s="65">
        <v>107695.59</v>
      </c>
      <c r="CN389" s="65">
        <v>15821.06</v>
      </c>
    </row>
    <row r="390" ht="15.75" customHeight="1">
      <c r="A390" s="462" t="s">
        <v>2346</v>
      </c>
      <c r="B390" s="176" t="s">
        <v>7616</v>
      </c>
      <c r="C390" s="141">
        <v>576246.0</v>
      </c>
      <c r="D390" s="63" t="s">
        <v>120</v>
      </c>
      <c r="E390" s="63" t="s">
        <v>91</v>
      </c>
      <c r="F390" s="63" t="s">
        <v>521</v>
      </c>
      <c r="G390" s="47" t="str">
        <f t="shared" si="1"/>
        <v>Breno</v>
      </c>
      <c r="H390" s="142" t="s">
        <v>295</v>
      </c>
      <c r="I390" s="49" t="s">
        <v>382</v>
      </c>
      <c r="J390" s="63" t="str">
        <f t="shared" si="4"/>
        <v>Não</v>
      </c>
      <c r="K390" s="467">
        <v>44599.0</v>
      </c>
      <c r="L390" s="81"/>
      <c r="M390" s="81" t="s">
        <v>209</v>
      </c>
      <c r="N390" s="464">
        <v>0.015</v>
      </c>
      <c r="O390" s="63" t="s">
        <v>35</v>
      </c>
      <c r="P390" s="145">
        <v>0.1</v>
      </c>
      <c r="Q390" s="70"/>
      <c r="R390" s="70"/>
      <c r="S390" s="62" t="s">
        <v>194</v>
      </c>
      <c r="T390" s="22" t="s">
        <v>7617</v>
      </c>
      <c r="U390" s="95" t="s">
        <v>221</v>
      </c>
      <c r="V390" s="49" t="str">
        <f t="shared" si="3"/>
        <v>Inativo</v>
      </c>
      <c r="W390" s="150"/>
      <c r="X390" s="150"/>
      <c r="Y390" s="30" t="s">
        <v>244</v>
      </c>
      <c r="Z390" s="81"/>
      <c r="AA390" s="467">
        <v>44599.0</v>
      </c>
      <c r="AB390" s="30">
        <v>4.9075100004927E13</v>
      </c>
      <c r="AC390" s="476"/>
      <c r="AD390" s="476"/>
      <c r="AE390" s="476"/>
      <c r="AF390" s="476"/>
      <c r="AG390" s="476"/>
      <c r="AH390" s="476"/>
      <c r="AI390" s="476"/>
      <c r="AJ390" s="476"/>
      <c r="AK390" s="476"/>
      <c r="AL390" s="476"/>
      <c r="AM390" s="476"/>
      <c r="AN390" s="476"/>
      <c r="AO390" s="476"/>
      <c r="AP390" s="482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>
        <v>292422.39</v>
      </c>
      <c r="BD390" s="96">
        <v>292483.05</v>
      </c>
      <c r="BE390" s="96">
        <v>302991.76</v>
      </c>
      <c r="BF390" s="96">
        <v>299508.34</v>
      </c>
      <c r="BG390" s="472">
        <v>299344.15</v>
      </c>
      <c r="BH390" s="472">
        <v>298572.35</v>
      </c>
      <c r="BI390" s="472">
        <v>300966.9</v>
      </c>
      <c r="BJ390" s="472">
        <v>305046.06</v>
      </c>
      <c r="BK390" s="472">
        <v>307912.37</v>
      </c>
      <c r="BL390" s="472">
        <v>316541.65</v>
      </c>
      <c r="BM390" s="472">
        <v>314552.76</v>
      </c>
      <c r="BN390" s="472">
        <v>317217.74</v>
      </c>
      <c r="BO390" s="472">
        <v>320640.91</v>
      </c>
      <c r="BP390" s="472">
        <v>323152.65</v>
      </c>
      <c r="BQ390" s="472">
        <v>5892.77</v>
      </c>
      <c r="BR390" s="472">
        <v>123.54</v>
      </c>
      <c r="BS390" s="472">
        <v>125.16</v>
      </c>
      <c r="BT390" s="472">
        <v>0.0</v>
      </c>
      <c r="BU390" s="472">
        <v>0.0</v>
      </c>
      <c r="BV390" s="472">
        <v>0.0</v>
      </c>
      <c r="BW390" s="472">
        <v>0.0</v>
      </c>
      <c r="BX390" s="472">
        <v>0.0</v>
      </c>
      <c r="BY390" s="472">
        <v>0.0</v>
      </c>
      <c r="BZ390" s="472">
        <v>0.0</v>
      </c>
      <c r="CA390" s="474">
        <v>0.0</v>
      </c>
      <c r="CB390" s="474">
        <v>0.0</v>
      </c>
      <c r="CC390" s="474">
        <v>0.0</v>
      </c>
      <c r="CD390" s="474">
        <v>0.0</v>
      </c>
      <c r="CE390" s="474">
        <v>0.0</v>
      </c>
      <c r="CF390" s="474">
        <v>0.0</v>
      </c>
      <c r="CG390" s="474">
        <v>0.0</v>
      </c>
      <c r="CH390" s="65">
        <v>0.0</v>
      </c>
      <c r="CI390" s="65">
        <v>0.0</v>
      </c>
      <c r="CJ390" s="65">
        <v>0.0</v>
      </c>
      <c r="CK390" s="65">
        <v>0.0</v>
      </c>
      <c r="CL390" s="65">
        <v>0.0</v>
      </c>
      <c r="CM390" s="65">
        <v>0.0</v>
      </c>
      <c r="CN390" s="65">
        <v>0.0</v>
      </c>
    </row>
    <row r="391" ht="15.75" customHeight="1">
      <c r="A391" s="462" t="s">
        <v>2346</v>
      </c>
      <c r="B391" s="176" t="s">
        <v>7616</v>
      </c>
      <c r="C391" s="141">
        <v>557385.0</v>
      </c>
      <c r="D391" s="63" t="s">
        <v>120</v>
      </c>
      <c r="E391" s="63" t="s">
        <v>91</v>
      </c>
      <c r="F391" s="63" t="s">
        <v>521</v>
      </c>
      <c r="G391" s="47" t="str">
        <f t="shared" si="1"/>
        <v>Breno</v>
      </c>
      <c r="H391" s="142" t="s">
        <v>295</v>
      </c>
      <c r="I391" s="49" t="s">
        <v>382</v>
      </c>
      <c r="J391" s="63" t="str">
        <f t="shared" si="4"/>
        <v>Não</v>
      </c>
      <c r="K391" s="81"/>
      <c r="L391" s="81"/>
      <c r="M391" s="62" t="s">
        <v>4910</v>
      </c>
      <c r="N391" s="464">
        <v>0.01</v>
      </c>
      <c r="O391" s="141" t="s">
        <v>66</v>
      </c>
      <c r="P391" s="145">
        <v>0.0</v>
      </c>
      <c r="Q391" s="70"/>
      <c r="R391" s="70"/>
      <c r="S391" s="62" t="s">
        <v>194</v>
      </c>
      <c r="T391" s="22" t="s">
        <v>7617</v>
      </c>
      <c r="U391" s="95" t="s">
        <v>221</v>
      </c>
      <c r="V391" s="49" t="str">
        <f t="shared" si="3"/>
        <v>Inativo</v>
      </c>
      <c r="W391" s="150"/>
      <c r="X391" s="150"/>
      <c r="Y391" s="30" t="s">
        <v>244</v>
      </c>
      <c r="Z391" s="81"/>
      <c r="AA391" s="81"/>
      <c r="AB391" s="30"/>
      <c r="AC391" s="476"/>
      <c r="AD391" s="476"/>
      <c r="AE391" s="476"/>
      <c r="AF391" s="476"/>
      <c r="AG391" s="476"/>
      <c r="AH391" s="476"/>
      <c r="AI391" s="476"/>
      <c r="AJ391" s="476"/>
      <c r="AK391" s="476"/>
      <c r="AL391" s="476"/>
      <c r="AM391" s="476"/>
      <c r="AN391" s="476"/>
      <c r="AO391" s="476"/>
      <c r="AP391" s="482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>
        <v>346341.61</v>
      </c>
      <c r="BB391" s="96">
        <v>348400.36</v>
      </c>
      <c r="BC391" s="96">
        <v>369612.9</v>
      </c>
      <c r="BD391" s="96">
        <v>0.0</v>
      </c>
      <c r="BE391" s="96">
        <v>0.0</v>
      </c>
      <c r="BF391" s="96">
        <v>0.0</v>
      </c>
      <c r="BG391" s="472" t="s">
        <v>377</v>
      </c>
      <c r="BH391" s="472">
        <v>0.0</v>
      </c>
      <c r="BI391" s="472">
        <v>0.0</v>
      </c>
      <c r="BJ391" s="472">
        <v>0.0</v>
      </c>
      <c r="BK391" s="472">
        <v>0.0</v>
      </c>
      <c r="BL391" s="472">
        <v>316541.65</v>
      </c>
      <c r="BM391" s="472">
        <v>0.0</v>
      </c>
      <c r="BN391" s="472">
        <v>0.0</v>
      </c>
      <c r="BO391" s="472">
        <v>0.0</v>
      </c>
      <c r="BP391" s="472">
        <v>0.0</v>
      </c>
      <c r="BQ391" s="472">
        <v>0.0</v>
      </c>
      <c r="BR391" s="472">
        <v>0.0</v>
      </c>
      <c r="BS391" s="472">
        <v>0.0</v>
      </c>
      <c r="BT391" s="472">
        <v>0.0</v>
      </c>
      <c r="BU391" s="472">
        <v>0.0</v>
      </c>
      <c r="BV391" s="472">
        <v>0.0</v>
      </c>
      <c r="BW391" s="472">
        <v>0.0</v>
      </c>
      <c r="BX391" s="472">
        <v>0.0</v>
      </c>
      <c r="BY391" s="472">
        <v>0.0</v>
      </c>
      <c r="BZ391" s="472">
        <v>0.0</v>
      </c>
      <c r="CA391" s="474">
        <v>0.0</v>
      </c>
      <c r="CB391" s="474">
        <v>0.0</v>
      </c>
      <c r="CC391" s="474">
        <v>0.0</v>
      </c>
      <c r="CD391" s="474">
        <v>0.0</v>
      </c>
      <c r="CE391" s="474">
        <v>0.0</v>
      </c>
      <c r="CF391" s="474">
        <v>0.0</v>
      </c>
      <c r="CG391" s="474">
        <v>0.0</v>
      </c>
      <c r="CH391" s="65">
        <v>0.0</v>
      </c>
      <c r="CI391" s="65">
        <v>0.0</v>
      </c>
      <c r="CJ391" s="65">
        <v>0.0</v>
      </c>
      <c r="CK391" s="65">
        <v>0.0</v>
      </c>
      <c r="CL391" s="65">
        <v>0.0</v>
      </c>
      <c r="CM391" s="65">
        <v>0.0</v>
      </c>
      <c r="CN391" s="65">
        <v>0.0</v>
      </c>
    </row>
    <row r="392" ht="15.75" customHeight="1">
      <c r="A392" s="462" t="s">
        <v>2346</v>
      </c>
      <c r="B392" s="176" t="s">
        <v>1581</v>
      </c>
      <c r="C392" s="141">
        <v>379727.0</v>
      </c>
      <c r="D392" s="63" t="s">
        <v>120</v>
      </c>
      <c r="E392" s="63" t="s">
        <v>199</v>
      </c>
      <c r="F392" s="63" t="s">
        <v>1340</v>
      </c>
      <c r="G392" s="47" t="str">
        <f t="shared" si="1"/>
        <v>Bruno</v>
      </c>
      <c r="H392" s="152" t="s">
        <v>295</v>
      </c>
      <c r="I392" s="49" t="s">
        <v>694</v>
      </c>
      <c r="J392" s="63" t="str">
        <f t="shared" si="4"/>
        <v>Não</v>
      </c>
      <c r="K392" s="467">
        <v>45021.0</v>
      </c>
      <c r="L392" s="81"/>
      <c r="M392" s="81" t="s">
        <v>209</v>
      </c>
      <c r="N392" s="464">
        <v>0.015</v>
      </c>
      <c r="O392" s="63" t="s">
        <v>35</v>
      </c>
      <c r="P392" s="145">
        <v>0.1</v>
      </c>
      <c r="Q392" s="70"/>
      <c r="R392" s="70"/>
      <c r="S392" s="62" t="s">
        <v>194</v>
      </c>
      <c r="T392" s="22" t="s">
        <v>1591</v>
      </c>
      <c r="U392" s="22" t="s">
        <v>618</v>
      </c>
      <c r="V392" s="49" t="str">
        <f t="shared" si="3"/>
        <v>Ativo</v>
      </c>
      <c r="W392" s="150"/>
      <c r="X392" s="150"/>
      <c r="Y392" s="30" t="s">
        <v>244</v>
      </c>
      <c r="Z392" s="81"/>
      <c r="AA392" s="467">
        <v>45021.0</v>
      </c>
      <c r="AB392" s="30">
        <v>4.9075100013985E13</v>
      </c>
      <c r="AC392" s="476"/>
      <c r="AD392" s="476"/>
      <c r="AE392" s="476"/>
      <c r="AF392" s="476"/>
      <c r="AG392" s="476"/>
      <c r="AH392" s="476"/>
      <c r="AI392" s="476"/>
      <c r="AJ392" s="476"/>
      <c r="AK392" s="476"/>
      <c r="AL392" s="476"/>
      <c r="AM392" s="476"/>
      <c r="AN392" s="476"/>
      <c r="AO392" s="476"/>
      <c r="AP392" s="482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  <c r="BB392" s="96"/>
      <c r="BC392" s="96"/>
      <c r="BD392" s="96"/>
      <c r="BE392" s="96"/>
      <c r="BF392" s="96"/>
      <c r="BG392" s="472"/>
      <c r="BH392" s="472"/>
      <c r="BI392" s="472"/>
      <c r="BJ392" s="472"/>
      <c r="BK392" s="472"/>
      <c r="BL392" s="472"/>
      <c r="BM392" s="472"/>
      <c r="BN392" s="472"/>
      <c r="BO392" s="472"/>
      <c r="BP392" s="472"/>
      <c r="BQ392" s="472">
        <v>0.0</v>
      </c>
      <c r="BR392" s="472">
        <v>401338.47</v>
      </c>
      <c r="BS392" s="472">
        <v>407634.76</v>
      </c>
      <c r="BT392" s="472">
        <v>403198.74</v>
      </c>
      <c r="BU392" s="472">
        <v>329582.01</v>
      </c>
      <c r="BV392" s="472">
        <v>414536.08</v>
      </c>
      <c r="BW392" s="472">
        <v>393471.55</v>
      </c>
      <c r="BX392" s="472">
        <v>231333.12</v>
      </c>
      <c r="BY392" s="472">
        <v>241212.62</v>
      </c>
      <c r="BZ392" s="472">
        <v>246716.78</v>
      </c>
      <c r="CA392" s="474">
        <v>250412.46</v>
      </c>
      <c r="CB392" s="474">
        <v>262217.23</v>
      </c>
      <c r="CC392" s="474">
        <v>300485.7</v>
      </c>
      <c r="CD392" s="474">
        <v>362245.68</v>
      </c>
      <c r="CE392" s="474">
        <v>350847.82</v>
      </c>
      <c r="CF392" s="474">
        <v>347748.28</v>
      </c>
      <c r="CG392" s="474">
        <v>342557.94</v>
      </c>
      <c r="CH392" s="65">
        <v>276191.97</v>
      </c>
      <c r="CI392" s="65">
        <v>304198.79</v>
      </c>
      <c r="CJ392" s="65">
        <v>297337.32</v>
      </c>
      <c r="CK392" s="65">
        <v>294121.16</v>
      </c>
      <c r="CL392" s="65">
        <v>287243.2</v>
      </c>
      <c r="CM392" s="65">
        <v>281154.98</v>
      </c>
      <c r="CN392" s="65">
        <v>279978.29</v>
      </c>
    </row>
    <row r="393" ht="15.75" customHeight="1">
      <c r="A393" s="462" t="s">
        <v>2346</v>
      </c>
      <c r="B393" s="50" t="s">
        <v>1593</v>
      </c>
      <c r="C393" s="141">
        <v>46143.0</v>
      </c>
      <c r="D393" s="63" t="s">
        <v>120</v>
      </c>
      <c r="E393" s="63" t="s">
        <v>91</v>
      </c>
      <c r="F393" s="63" t="s">
        <v>193</v>
      </c>
      <c r="G393" s="47" t="str">
        <f t="shared" si="1"/>
        <v>Breno</v>
      </c>
      <c r="H393" s="142" t="s">
        <v>295</v>
      </c>
      <c r="I393" s="49" t="s">
        <v>382</v>
      </c>
      <c r="J393" s="63" t="str">
        <f t="shared" si="4"/>
        <v>Não</v>
      </c>
      <c r="K393" s="143">
        <v>44319.0</v>
      </c>
      <c r="L393" s="81"/>
      <c r="M393" s="81" t="s">
        <v>231</v>
      </c>
      <c r="N393" s="464">
        <v>0.025</v>
      </c>
      <c r="O393" s="141" t="s">
        <v>233</v>
      </c>
      <c r="P393" s="145">
        <v>0.2</v>
      </c>
      <c r="Q393" s="70"/>
      <c r="R393" s="70" t="s">
        <v>1601</v>
      </c>
      <c r="S393" s="62" t="s">
        <v>194</v>
      </c>
      <c r="T393" s="22" t="s">
        <v>1604</v>
      </c>
      <c r="U393" s="95" t="s">
        <v>221</v>
      </c>
      <c r="V393" s="49" t="str">
        <f t="shared" si="3"/>
        <v>Ativo</v>
      </c>
      <c r="W393" s="150"/>
      <c r="X393" s="150"/>
      <c r="Y393" s="30" t="s">
        <v>244</v>
      </c>
      <c r="Z393" s="81"/>
      <c r="AA393" s="467">
        <v>44319.0</v>
      </c>
      <c r="AB393" s="30">
        <v>4.9075100015317E13</v>
      </c>
      <c r="AC393" s="476"/>
      <c r="AD393" s="476"/>
      <c r="AE393" s="476"/>
      <c r="AF393" s="476"/>
      <c r="AG393" s="476"/>
      <c r="AH393" s="476"/>
      <c r="AI393" s="476"/>
      <c r="AJ393" s="476"/>
      <c r="AK393" s="476"/>
      <c r="AL393" s="476"/>
      <c r="AM393" s="476"/>
      <c r="AN393" s="476"/>
      <c r="AO393" s="476"/>
      <c r="AP393" s="482"/>
      <c r="AQ393" s="96"/>
      <c r="AR393" s="96"/>
      <c r="AS393" s="96"/>
      <c r="AT393" s="96"/>
      <c r="AU393" s="96">
        <v>443766.58</v>
      </c>
      <c r="AV393" s="96">
        <v>435930.07</v>
      </c>
      <c r="AW393" s="96">
        <v>422792.33</v>
      </c>
      <c r="AX393" s="96">
        <v>402115.31</v>
      </c>
      <c r="AY393" s="96">
        <v>382671.01</v>
      </c>
      <c r="AZ393" s="96">
        <v>358254.41</v>
      </c>
      <c r="BA393" s="96"/>
      <c r="BB393" s="96"/>
      <c r="BC393" s="96"/>
      <c r="BD393" s="96">
        <v>372267.36</v>
      </c>
      <c r="BE393" s="96">
        <v>399847.03</v>
      </c>
      <c r="BF393" s="96">
        <v>380185.27</v>
      </c>
      <c r="BG393" s="472">
        <v>277602.99</v>
      </c>
      <c r="BH393" s="472">
        <v>261490.33</v>
      </c>
      <c r="BI393" s="472">
        <v>272607.75</v>
      </c>
      <c r="BJ393" s="472">
        <v>281270.37</v>
      </c>
      <c r="BK393" s="472">
        <v>281431.85</v>
      </c>
      <c r="BL393" s="472">
        <v>308409.67</v>
      </c>
      <c r="BM393" s="472">
        <v>298581.92</v>
      </c>
      <c r="BN393" s="472">
        <v>294391.81</v>
      </c>
      <c r="BO393" s="472">
        <v>294336.19</v>
      </c>
      <c r="BP393" s="472">
        <v>284792.33</v>
      </c>
      <c r="BQ393" s="472">
        <v>0.0</v>
      </c>
      <c r="BR393" s="472">
        <v>0.0</v>
      </c>
      <c r="BS393" s="472">
        <v>0.0</v>
      </c>
      <c r="BT393" s="472">
        <v>0.0</v>
      </c>
      <c r="BU393" s="472">
        <v>0.0</v>
      </c>
      <c r="BV393" s="472">
        <v>0.0</v>
      </c>
      <c r="BW393" s="472">
        <v>281261.39</v>
      </c>
      <c r="BX393" s="472">
        <v>269647.51</v>
      </c>
      <c r="BY393" s="472">
        <v>3513.86</v>
      </c>
      <c r="BZ393" s="472">
        <v>2842.53</v>
      </c>
      <c r="CA393" s="474">
        <v>2842.53</v>
      </c>
      <c r="CB393" s="474">
        <v>2842.53</v>
      </c>
      <c r="CC393" s="474">
        <v>2049.49</v>
      </c>
      <c r="CD393" s="474">
        <v>1326.87</v>
      </c>
      <c r="CE393" s="474">
        <v>1250.83</v>
      </c>
      <c r="CF393" s="474">
        <v>1250.83</v>
      </c>
      <c r="CG393" s="474">
        <v>1250.83</v>
      </c>
      <c r="CH393" s="65">
        <v>1250.83</v>
      </c>
      <c r="CI393" s="65">
        <v>1250.83</v>
      </c>
      <c r="CJ393" s="65">
        <v>1250.83</v>
      </c>
      <c r="CK393" s="65">
        <v>893.22</v>
      </c>
      <c r="CL393" s="65">
        <v>1063.24</v>
      </c>
      <c r="CM393" s="65">
        <v>1063.24</v>
      </c>
      <c r="CN393" s="65">
        <v>1063.24</v>
      </c>
    </row>
    <row r="394" ht="15.75" customHeight="1">
      <c r="A394" s="462" t="s">
        <v>2346</v>
      </c>
      <c r="B394" s="176" t="s">
        <v>1610</v>
      </c>
      <c r="C394" s="141">
        <v>443359.0</v>
      </c>
      <c r="D394" s="63" t="s">
        <v>120</v>
      </c>
      <c r="E394" s="63" t="s">
        <v>91</v>
      </c>
      <c r="F394" s="63" t="s">
        <v>193</v>
      </c>
      <c r="G394" s="47" t="str">
        <f t="shared" si="1"/>
        <v>Breno</v>
      </c>
      <c r="H394" s="142" t="s">
        <v>295</v>
      </c>
      <c r="I394" s="49" t="s">
        <v>5227</v>
      </c>
      <c r="J394" s="63" t="str">
        <f t="shared" si="4"/>
        <v>Não</v>
      </c>
      <c r="K394" s="143">
        <v>44651.0</v>
      </c>
      <c r="L394" s="81"/>
      <c r="M394" s="81" t="s">
        <v>209</v>
      </c>
      <c r="N394" s="464">
        <v>0.015</v>
      </c>
      <c r="O394" s="63" t="s">
        <v>35</v>
      </c>
      <c r="P394" s="145">
        <v>0.1</v>
      </c>
      <c r="Q394" s="158"/>
      <c r="R394" s="158"/>
      <c r="S394" s="62" t="s">
        <v>194</v>
      </c>
      <c r="T394" s="22" t="s">
        <v>1616</v>
      </c>
      <c r="U394" s="95" t="s">
        <v>221</v>
      </c>
      <c r="V394" s="49" t="str">
        <f t="shared" si="3"/>
        <v>Ativo</v>
      </c>
      <c r="W394" s="150"/>
      <c r="X394" s="150"/>
      <c r="Y394" s="30" t="s">
        <v>244</v>
      </c>
      <c r="Z394" s="81"/>
      <c r="AA394" s="81"/>
      <c r="AB394" s="30"/>
      <c r="AC394" s="482"/>
      <c r="AD394" s="482"/>
      <c r="AE394" s="482"/>
      <c r="AF394" s="482"/>
      <c r="AG394" s="482"/>
      <c r="AH394" s="482"/>
      <c r="AI394" s="482"/>
      <c r="AJ394" s="482"/>
      <c r="AK394" s="482"/>
      <c r="AL394" s="482"/>
      <c r="AM394" s="482"/>
      <c r="AN394" s="482"/>
      <c r="AO394" s="482"/>
      <c r="AP394" s="482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  <c r="BB394" s="96"/>
      <c r="BC394" s="96"/>
      <c r="BD394" s="96"/>
      <c r="BE394" s="96">
        <v>157846.0</v>
      </c>
      <c r="BF394" s="96">
        <v>155682.04</v>
      </c>
      <c r="BG394" s="472">
        <v>155403.72</v>
      </c>
      <c r="BH394" s="472">
        <v>154194.66</v>
      </c>
      <c r="BI394" s="472">
        <v>156108.12</v>
      </c>
      <c r="BJ394" s="472">
        <v>157844.22</v>
      </c>
      <c r="BK394" s="472">
        <v>159790.92</v>
      </c>
      <c r="BL394" s="472">
        <v>155345.94</v>
      </c>
      <c r="BM394" s="472">
        <v>199693.95</v>
      </c>
      <c r="BN394" s="472">
        <v>201489.33</v>
      </c>
      <c r="BO394" s="472">
        <v>203827.87</v>
      </c>
      <c r="BP394" s="472">
        <v>204853.56</v>
      </c>
      <c r="BQ394" s="472">
        <v>212310.89</v>
      </c>
      <c r="BR394" s="472">
        <v>218031.16</v>
      </c>
      <c r="BS394" s="472">
        <v>223651.37</v>
      </c>
      <c r="BT394" s="472">
        <v>226778.18</v>
      </c>
      <c r="BU394" s="472">
        <v>206497.91</v>
      </c>
      <c r="BV394" s="472">
        <v>16801.63</v>
      </c>
      <c r="BW394" s="472">
        <v>16791.99</v>
      </c>
      <c r="BX394" s="472">
        <v>16939.66</v>
      </c>
      <c r="BY394" s="472">
        <v>0.0</v>
      </c>
      <c r="BZ394" s="472">
        <v>0.0</v>
      </c>
      <c r="CA394" s="474">
        <v>0.0</v>
      </c>
      <c r="CB394" s="474">
        <v>0.0</v>
      </c>
      <c r="CC394" s="474">
        <v>0.0</v>
      </c>
      <c r="CD394" s="474">
        <v>0.0</v>
      </c>
      <c r="CE394" s="474">
        <v>0.0</v>
      </c>
      <c r="CF394" s="474">
        <v>0.0</v>
      </c>
      <c r="CG394" s="474">
        <v>0.0</v>
      </c>
      <c r="CH394" s="65">
        <v>0.0</v>
      </c>
      <c r="CI394" s="65">
        <v>0.0</v>
      </c>
      <c r="CJ394" s="65">
        <v>0.0</v>
      </c>
      <c r="CK394" s="65">
        <v>0.0</v>
      </c>
      <c r="CL394" s="65">
        <v>0.02</v>
      </c>
      <c r="CM394" s="65">
        <v>0.02</v>
      </c>
      <c r="CN394" s="65">
        <v>0.02</v>
      </c>
    </row>
    <row r="395" ht="15.75" customHeight="1">
      <c r="A395" s="462" t="s">
        <v>2346</v>
      </c>
      <c r="B395" s="477" t="s">
        <v>7673</v>
      </c>
      <c r="C395" s="141">
        <v>478832.0</v>
      </c>
      <c r="D395" s="63" t="s">
        <v>120</v>
      </c>
      <c r="E395" s="63" t="s">
        <v>91</v>
      </c>
      <c r="F395" s="63" t="s">
        <v>193</v>
      </c>
      <c r="G395" s="47" t="str">
        <f t="shared" si="1"/>
        <v>Breno</v>
      </c>
      <c r="H395" s="152" t="s">
        <v>295</v>
      </c>
      <c r="I395" s="49" t="s">
        <v>427</v>
      </c>
      <c r="J395" s="63" t="str">
        <f t="shared" si="4"/>
        <v>Não</v>
      </c>
      <c r="K395" s="143">
        <v>44291.0</v>
      </c>
      <c r="L395" s="62"/>
      <c r="M395" s="81" t="s">
        <v>209</v>
      </c>
      <c r="N395" s="464">
        <v>0.015</v>
      </c>
      <c r="O395" s="63" t="s">
        <v>35</v>
      </c>
      <c r="P395" s="145">
        <v>0.1</v>
      </c>
      <c r="Q395" s="158"/>
      <c r="R395" s="158"/>
      <c r="S395" s="62" t="s">
        <v>234</v>
      </c>
      <c r="T395" s="22" t="s">
        <v>7675</v>
      </c>
      <c r="U395" s="95" t="s">
        <v>221</v>
      </c>
      <c r="V395" s="49" t="str">
        <f t="shared" si="3"/>
        <v>Ativo</v>
      </c>
      <c r="W395" s="150"/>
      <c r="X395" s="150"/>
      <c r="Y395" s="30" t="s">
        <v>244</v>
      </c>
      <c r="Z395" s="81"/>
      <c r="AA395" s="467">
        <v>44291.0</v>
      </c>
      <c r="AB395" s="30">
        <v>4.9075100013993E13</v>
      </c>
      <c r="AC395" s="482"/>
      <c r="AD395" s="482"/>
      <c r="AE395" s="482"/>
      <c r="AF395" s="482"/>
      <c r="AG395" s="482"/>
      <c r="AH395" s="482"/>
      <c r="AI395" s="482"/>
      <c r="AJ395" s="482"/>
      <c r="AK395" s="482"/>
      <c r="AL395" s="482"/>
      <c r="AM395" s="482"/>
      <c r="AN395" s="482"/>
      <c r="AO395" s="482"/>
      <c r="AP395" s="482"/>
      <c r="AQ395" s="96"/>
      <c r="AR395" s="96">
        <v>349273.79</v>
      </c>
      <c r="AS395" s="96">
        <v>349112.26</v>
      </c>
      <c r="AT395" s="96">
        <v>350590.79</v>
      </c>
      <c r="AU395" s="96">
        <v>357097.85</v>
      </c>
      <c r="AV395" s="96">
        <v>355424.12</v>
      </c>
      <c r="AW395" s="96">
        <v>351629.74</v>
      </c>
      <c r="AX395" s="96">
        <v>345220.12</v>
      </c>
      <c r="AY395" s="96">
        <v>340486.75</v>
      </c>
      <c r="AZ395" s="96">
        <v>332908.61</v>
      </c>
      <c r="BA395" s="96">
        <v>330002.32</v>
      </c>
      <c r="BB395" s="96">
        <v>329784.52</v>
      </c>
      <c r="BC395" s="96">
        <v>337537.46</v>
      </c>
      <c r="BD395" s="96">
        <v>340008.2</v>
      </c>
      <c r="BE395" s="96">
        <v>351355.78</v>
      </c>
      <c r="BF395" s="96">
        <v>346070.38</v>
      </c>
      <c r="BG395" s="472">
        <v>345128.93</v>
      </c>
      <c r="BH395" s="472">
        <v>343400.35</v>
      </c>
      <c r="BI395" s="472">
        <v>349758.99</v>
      </c>
      <c r="BJ395" s="472">
        <v>453721.55</v>
      </c>
      <c r="BK395" s="472">
        <v>107957.64</v>
      </c>
      <c r="BL395" s="472">
        <v>108449.2</v>
      </c>
      <c r="BM395" s="472">
        <v>109167.21</v>
      </c>
      <c r="BN395" s="472">
        <v>109804.14</v>
      </c>
      <c r="BO395" s="472">
        <v>111389.18</v>
      </c>
      <c r="BP395" s="472">
        <v>111451.43</v>
      </c>
      <c r="BQ395" s="472">
        <v>112346.35</v>
      </c>
      <c r="BR395" s="472">
        <v>112946.91</v>
      </c>
      <c r="BS395" s="472">
        <v>114051.38</v>
      </c>
      <c r="BT395" s="472">
        <v>117215.37</v>
      </c>
      <c r="BU395" s="472">
        <v>118181.19</v>
      </c>
      <c r="BV395" s="472">
        <v>119773.64</v>
      </c>
      <c r="BW395" s="472">
        <v>64206.48</v>
      </c>
      <c r="BX395" s="472">
        <v>120042.64</v>
      </c>
      <c r="BY395" s="472">
        <v>61206.62</v>
      </c>
      <c r="BZ395" s="472">
        <v>61870.78</v>
      </c>
      <c r="CA395" s="474">
        <v>62677.66</v>
      </c>
      <c r="CB395" s="474">
        <v>62155.27</v>
      </c>
      <c r="CC395" s="474">
        <v>62932.38</v>
      </c>
      <c r="CD395" s="474">
        <v>63620.74</v>
      </c>
      <c r="CE395" s="474">
        <v>64428.69</v>
      </c>
      <c r="CF395" s="474">
        <v>65366.53</v>
      </c>
      <c r="CG395" s="474">
        <v>66197.06</v>
      </c>
      <c r="CH395" s="65">
        <v>66996.75</v>
      </c>
      <c r="CI395" s="65">
        <v>3148.2</v>
      </c>
      <c r="CJ395" s="65">
        <v>3317.22</v>
      </c>
      <c r="CK395" s="65">
        <v>3625.65</v>
      </c>
      <c r="CL395" s="65">
        <v>0.0</v>
      </c>
      <c r="CM395" s="65">
        <v>0.0</v>
      </c>
      <c r="CN395" s="65">
        <v>0.0</v>
      </c>
    </row>
    <row r="396" ht="15.75" customHeight="1">
      <c r="A396" s="251"/>
      <c r="B396" s="251"/>
      <c r="C396" s="252"/>
      <c r="D396" s="253"/>
      <c r="E396" s="253"/>
      <c r="F396" s="253"/>
      <c r="G396" s="254"/>
      <c r="H396" s="255"/>
      <c r="I396" s="254"/>
      <c r="J396" s="253"/>
      <c r="K396" s="253"/>
      <c r="L396" s="256"/>
      <c r="M396" s="256"/>
      <c r="N396" s="257"/>
      <c r="O396" s="257"/>
      <c r="P396" s="257"/>
      <c r="Q396" s="258"/>
      <c r="R396" s="258"/>
      <c r="S396" s="256"/>
      <c r="T396" s="253"/>
      <c r="U396" s="256"/>
      <c r="V396" s="256"/>
      <c r="W396" s="259"/>
      <c r="X396" s="259"/>
      <c r="Y396" s="256"/>
      <c r="Z396" s="256"/>
      <c r="AA396" s="256"/>
      <c r="AB396" s="256"/>
      <c r="AC396" s="835"/>
      <c r="AD396" s="835"/>
      <c r="AE396" s="835"/>
      <c r="AF396" s="835"/>
      <c r="AG396" s="835"/>
      <c r="AH396" s="835"/>
      <c r="AI396" s="835"/>
      <c r="AJ396" s="835"/>
      <c r="AK396" s="835"/>
      <c r="AL396" s="835"/>
      <c r="AM396" s="835"/>
      <c r="AN396" s="835"/>
      <c r="AO396" s="835"/>
      <c r="AP396" s="835"/>
      <c r="AQ396" s="835"/>
      <c r="AR396" s="835"/>
      <c r="AS396" s="835"/>
      <c r="AT396" s="835"/>
      <c r="AU396" s="835"/>
      <c r="AV396" s="835"/>
      <c r="AW396" s="835"/>
      <c r="AX396" s="835"/>
      <c r="AY396" s="835"/>
      <c r="AZ396" s="835"/>
      <c r="BA396" s="835"/>
      <c r="BB396" s="835"/>
      <c r="BC396" s="835"/>
      <c r="BD396" s="835"/>
      <c r="BE396" s="835"/>
      <c r="BF396" s="835"/>
      <c r="BG396" s="260"/>
      <c r="BH396" s="260"/>
      <c r="BI396" s="260"/>
      <c r="BJ396" s="260"/>
      <c r="BK396" s="260"/>
      <c r="BL396" s="260"/>
      <c r="BM396" s="260"/>
      <c r="BN396" s="260"/>
      <c r="BO396" s="260"/>
      <c r="BP396" s="260"/>
      <c r="BQ396" s="260"/>
      <c r="BR396" s="260"/>
      <c r="BS396" s="260"/>
      <c r="BT396" s="260"/>
      <c r="BU396" s="260"/>
      <c r="BV396" s="260"/>
      <c r="BW396" s="260"/>
      <c r="BX396" s="260"/>
      <c r="BY396" s="260"/>
      <c r="BZ396" s="260"/>
      <c r="CA396" s="260"/>
      <c r="CB396" s="260"/>
      <c r="CC396" s="260"/>
      <c r="CD396" s="260"/>
      <c r="CE396" s="260"/>
      <c r="CF396" s="260"/>
      <c r="CG396" s="260"/>
      <c r="CH396" s="260"/>
      <c r="CI396" s="260"/>
      <c r="CJ396" s="260"/>
      <c r="CK396" s="260"/>
      <c r="CL396" s="260"/>
      <c r="CM396" s="260"/>
      <c r="CN396" s="260"/>
    </row>
    <row r="397" ht="15.75" customHeight="1">
      <c r="A397" s="261"/>
      <c r="B397" s="262" t="s">
        <v>1353</v>
      </c>
      <c r="C397" s="263">
        <f>COUNTIF(H:H,"Ativo")</f>
        <v>35</v>
      </c>
      <c r="D397" s="264"/>
      <c r="E397" s="264"/>
      <c r="F397" s="265"/>
      <c r="G397" s="254"/>
      <c r="H397" s="255"/>
      <c r="I397" s="254"/>
      <c r="J397" s="264"/>
      <c r="K397" s="264"/>
      <c r="L397" s="264"/>
      <c r="M397" s="264"/>
      <c r="N397" s="264"/>
      <c r="O397" s="264"/>
      <c r="P397" s="264"/>
      <c r="Q397" s="266"/>
      <c r="R397" s="266"/>
      <c r="S397" s="264"/>
      <c r="T397" s="267"/>
      <c r="U397" s="264"/>
      <c r="V397" s="264"/>
      <c r="W397" s="268"/>
      <c r="X397" s="268"/>
      <c r="Y397" s="264"/>
      <c r="Z397" s="264"/>
      <c r="AA397" s="264"/>
      <c r="AB397" s="264"/>
      <c r="AC397" s="837">
        <f t="shared" ref="AC397:BO397" si="5">SUM(AC3:AC395)</f>
        <v>32441336.7</v>
      </c>
      <c r="AD397" s="837">
        <f t="shared" si="5"/>
        <v>34905705.6</v>
      </c>
      <c r="AE397" s="837">
        <f t="shared" si="5"/>
        <v>32184030.73</v>
      </c>
      <c r="AF397" s="837">
        <f t="shared" si="5"/>
        <v>33876867.34</v>
      </c>
      <c r="AG397" s="837">
        <f t="shared" si="5"/>
        <v>34333699.9</v>
      </c>
      <c r="AH397" s="837">
        <f t="shared" si="5"/>
        <v>41299206.55</v>
      </c>
      <c r="AI397" s="837">
        <f t="shared" si="5"/>
        <v>58663189.9</v>
      </c>
      <c r="AJ397" s="837">
        <f t="shared" si="5"/>
        <v>52949921.98</v>
      </c>
      <c r="AK397" s="837">
        <f t="shared" si="5"/>
        <v>50377885.41</v>
      </c>
      <c r="AL397" s="837">
        <f t="shared" si="5"/>
        <v>48768160.66</v>
      </c>
      <c r="AM397" s="837">
        <f t="shared" si="5"/>
        <v>48328473.05</v>
      </c>
      <c r="AN397" s="837">
        <f t="shared" si="5"/>
        <v>49863517.49</v>
      </c>
      <c r="AO397" s="837">
        <f t="shared" si="5"/>
        <v>46666925.07</v>
      </c>
      <c r="AP397" s="837">
        <f t="shared" si="5"/>
        <v>43656750.3</v>
      </c>
      <c r="AQ397" s="837">
        <f t="shared" si="5"/>
        <v>83530383.47</v>
      </c>
      <c r="AR397" s="837">
        <f t="shared" si="5"/>
        <v>98496601.59</v>
      </c>
      <c r="AS397" s="837">
        <f t="shared" si="5"/>
        <v>47286245.14</v>
      </c>
      <c r="AT397" s="837">
        <f t="shared" si="5"/>
        <v>97651618.36</v>
      </c>
      <c r="AU397" s="837">
        <f t="shared" si="5"/>
        <v>124773500.3</v>
      </c>
      <c r="AV397" s="837">
        <f t="shared" si="5"/>
        <v>128563623</v>
      </c>
      <c r="AW397" s="837">
        <f t="shared" si="5"/>
        <v>128013078</v>
      </c>
      <c r="AX397" s="837">
        <f t="shared" si="5"/>
        <v>123649093.6</v>
      </c>
      <c r="AY397" s="837">
        <f t="shared" si="5"/>
        <v>115877875.1</v>
      </c>
      <c r="AZ397" s="837">
        <f t="shared" si="5"/>
        <v>110741172.8</v>
      </c>
      <c r="BA397" s="837">
        <f t="shared" si="5"/>
        <v>104936756.3</v>
      </c>
      <c r="BB397" s="837">
        <f t="shared" si="5"/>
        <v>103838404.1</v>
      </c>
      <c r="BC397" s="837">
        <f t="shared" si="5"/>
        <v>103873922.2</v>
      </c>
      <c r="BD397" s="837">
        <f t="shared" si="5"/>
        <v>103988106.3</v>
      </c>
      <c r="BE397" s="837">
        <f t="shared" si="5"/>
        <v>107723751.7</v>
      </c>
      <c r="BF397" s="838">
        <f t="shared" si="5"/>
        <v>113224168.2</v>
      </c>
      <c r="BG397" s="838">
        <f t="shared" si="5"/>
        <v>93638259.73</v>
      </c>
      <c r="BH397" s="838">
        <f t="shared" si="5"/>
        <v>95849391.11</v>
      </c>
      <c r="BI397" s="838">
        <f t="shared" si="5"/>
        <v>97924397.21</v>
      </c>
      <c r="BJ397" s="838">
        <f t="shared" si="5"/>
        <v>96618915.29</v>
      </c>
      <c r="BK397" s="838">
        <f t="shared" si="5"/>
        <v>95075852.84</v>
      </c>
      <c r="BL397" s="838">
        <f t="shared" si="5"/>
        <v>96562992.22</v>
      </c>
      <c r="BM397" s="838">
        <f t="shared" si="5"/>
        <v>92194871.52</v>
      </c>
      <c r="BN397" s="838">
        <f t="shared" si="5"/>
        <v>91201604</v>
      </c>
      <c r="BO397" s="838">
        <f t="shared" si="5"/>
        <v>90258199.55</v>
      </c>
      <c r="BP397" s="838">
        <f t="shared" ref="BP397:BS397" si="6">SUM(BP3:BP396)</f>
        <v>89585440.28</v>
      </c>
      <c r="BQ397" s="838">
        <f t="shared" si="6"/>
        <v>84062748.48</v>
      </c>
      <c r="BR397" s="838">
        <f t="shared" si="6"/>
        <v>60716129.54</v>
      </c>
      <c r="BS397" s="838">
        <f t="shared" si="6"/>
        <v>50232651.97</v>
      </c>
      <c r="BT397" s="838">
        <f t="shared" ref="BT397:CN397" si="7">SUM(BT3:BT395)</f>
        <v>46503199.57</v>
      </c>
      <c r="BU397" s="269">
        <f t="shared" si="7"/>
        <v>41948834.41</v>
      </c>
      <c r="BV397" s="269">
        <f t="shared" si="7"/>
        <v>35532207.76</v>
      </c>
      <c r="BW397" s="269">
        <f t="shared" si="7"/>
        <v>33732373.67</v>
      </c>
      <c r="BX397" s="269">
        <f t="shared" si="7"/>
        <v>29769253.07</v>
      </c>
      <c r="BY397" s="269">
        <f t="shared" si="7"/>
        <v>24301285.02</v>
      </c>
      <c r="BZ397" s="269">
        <f t="shared" si="7"/>
        <v>22315793.08</v>
      </c>
      <c r="CA397" s="269">
        <f t="shared" si="7"/>
        <v>20623662.73</v>
      </c>
      <c r="CB397" s="269">
        <f t="shared" si="7"/>
        <v>19534663.28</v>
      </c>
      <c r="CC397" s="269">
        <f t="shared" si="7"/>
        <v>17533313.23</v>
      </c>
      <c r="CD397" s="269">
        <f t="shared" si="7"/>
        <v>18123650.28</v>
      </c>
      <c r="CE397" s="269">
        <f t="shared" si="7"/>
        <v>17255985.08</v>
      </c>
      <c r="CF397" s="269">
        <f t="shared" si="7"/>
        <v>17736140.36</v>
      </c>
      <c r="CG397" s="269">
        <f t="shared" si="7"/>
        <v>17552161.67</v>
      </c>
      <c r="CH397" s="269">
        <f t="shared" si="7"/>
        <v>17304917.79</v>
      </c>
      <c r="CI397" s="269">
        <f t="shared" si="7"/>
        <v>16748432.87</v>
      </c>
      <c r="CJ397" s="269">
        <f t="shared" si="7"/>
        <v>16328781.69</v>
      </c>
      <c r="CK397" s="269">
        <f t="shared" si="7"/>
        <v>9401345.06</v>
      </c>
      <c r="CL397" s="269">
        <f t="shared" si="7"/>
        <v>7566150.41</v>
      </c>
      <c r="CM397" s="269">
        <f t="shared" si="7"/>
        <v>8445736.88</v>
      </c>
      <c r="CN397" s="269">
        <f t="shared" si="7"/>
        <v>7634872.14</v>
      </c>
    </row>
    <row r="398" ht="15.75" customHeight="1">
      <c r="A398" s="270"/>
      <c r="B398" s="271" t="s">
        <v>1407</v>
      </c>
      <c r="C398" s="272">
        <f>COUNTIF(H:H,"Encerrado")</f>
        <v>174</v>
      </c>
      <c r="D398" s="254"/>
      <c r="E398" s="254"/>
      <c r="G398" s="254"/>
      <c r="H398" s="255"/>
      <c r="I398" s="254"/>
      <c r="J398" s="254"/>
      <c r="K398" s="254"/>
      <c r="L398" s="254"/>
      <c r="M398" s="254"/>
      <c r="N398" s="273"/>
      <c r="O398" s="273"/>
      <c r="P398" s="273"/>
      <c r="Q398" s="274"/>
      <c r="R398" s="274"/>
      <c r="S398" s="267"/>
      <c r="T398" s="267"/>
      <c r="U398" s="267"/>
      <c r="V398" s="267"/>
      <c r="W398" s="275"/>
      <c r="X398" s="275"/>
      <c r="Y398" s="267"/>
      <c r="Z398" s="267"/>
      <c r="AA398" s="267"/>
      <c r="AB398" s="267"/>
      <c r="AC398" s="276"/>
      <c r="AD398" s="276"/>
      <c r="AE398" s="276"/>
      <c r="AF398" s="276"/>
      <c r="AG398" s="276"/>
      <c r="AH398" s="276"/>
      <c r="AI398" s="276"/>
      <c r="AJ398" s="276"/>
      <c r="AK398" s="276"/>
      <c r="AL398" s="276"/>
      <c r="AM398" s="276"/>
      <c r="AN398" s="276"/>
      <c r="AO398" s="276"/>
      <c r="AP398" s="276"/>
      <c r="AQ398" s="276"/>
      <c r="AR398" s="276"/>
      <c r="AS398" s="276"/>
      <c r="AT398" s="276"/>
      <c r="AU398" s="276"/>
      <c r="AV398" s="276"/>
      <c r="AW398" s="276"/>
      <c r="AX398" s="276"/>
      <c r="AY398" s="276"/>
      <c r="AZ398" s="276"/>
      <c r="BA398" s="276"/>
      <c r="BB398" s="276"/>
      <c r="BC398" s="276"/>
      <c r="BD398" s="276"/>
      <c r="BE398" s="276"/>
      <c r="BF398" s="276"/>
      <c r="BG398" s="276"/>
      <c r="BH398" s="276"/>
      <c r="BI398" s="276"/>
      <c r="BJ398" s="276"/>
      <c r="BK398" s="276"/>
      <c r="BL398" s="276"/>
      <c r="BM398" s="276"/>
      <c r="BN398" s="276"/>
      <c r="BO398" s="276"/>
      <c r="BP398" s="276"/>
      <c r="BQ398" s="276"/>
      <c r="BR398" s="276"/>
      <c r="BS398" s="276"/>
      <c r="BT398" s="276"/>
      <c r="BU398" s="276"/>
      <c r="BV398" s="276"/>
      <c r="BW398" s="276"/>
      <c r="BX398" s="276"/>
      <c r="BY398" s="276"/>
      <c r="BZ398" s="276"/>
      <c r="CA398" s="276"/>
      <c r="CB398" s="276"/>
      <c r="CC398" s="276"/>
      <c r="CD398" s="276"/>
      <c r="CE398" s="276"/>
      <c r="CF398" s="276"/>
      <c r="CG398" s="276"/>
      <c r="CH398" s="276"/>
      <c r="CI398" s="276"/>
      <c r="CJ398" s="276"/>
      <c r="CK398" s="276"/>
      <c r="CL398" s="276"/>
      <c r="CM398" s="276"/>
      <c r="CN398" s="276"/>
    </row>
    <row r="399" ht="15.75" customHeight="1">
      <c r="A399" s="270"/>
      <c r="B399" s="271" t="s">
        <v>1643</v>
      </c>
      <c r="C399" s="272">
        <f>COUNTIF(H:H,"Inativo")</f>
        <v>184</v>
      </c>
      <c r="D399" s="254"/>
      <c r="E399" s="254"/>
      <c r="F399" s="254"/>
      <c r="G399" s="254"/>
      <c r="H399" s="255"/>
      <c r="I399" s="254"/>
      <c r="J399" s="254"/>
      <c r="K399" s="254"/>
      <c r="L399" s="254"/>
      <c r="M399" s="254"/>
      <c r="N399" s="254"/>
      <c r="O399" s="254"/>
      <c r="P399" s="254"/>
      <c r="Q399" s="274"/>
      <c r="R399" s="274"/>
      <c r="S399" s="267"/>
      <c r="T399" s="267"/>
      <c r="U399" s="267"/>
      <c r="V399" s="267"/>
      <c r="W399" s="275"/>
      <c r="X399" s="275"/>
      <c r="Y399" s="267"/>
      <c r="Z399" s="267"/>
      <c r="AA399" s="267"/>
      <c r="AB399" s="267"/>
      <c r="AC399" s="276"/>
      <c r="AD399" s="276"/>
      <c r="AE399" s="276"/>
      <c r="AF399" s="276"/>
      <c r="AG399" s="276"/>
      <c r="AH399" s="276"/>
      <c r="AI399" s="276"/>
      <c r="AJ399" s="276"/>
      <c r="AK399" s="276"/>
      <c r="AL399" s="276"/>
      <c r="AM399" s="276"/>
      <c r="AN399" s="276"/>
      <c r="AO399" s="276"/>
      <c r="AP399" s="276"/>
      <c r="AQ399" s="276"/>
      <c r="AR399" s="276"/>
      <c r="AS399" s="276"/>
      <c r="AT399" s="276"/>
      <c r="AU399" s="276"/>
      <c r="AV399" s="276"/>
      <c r="AW399" s="276"/>
      <c r="AX399" s="276"/>
      <c r="AY399" s="276"/>
      <c r="AZ399" s="276"/>
      <c r="BA399" s="276"/>
      <c r="BB399" s="276"/>
      <c r="BC399" s="276"/>
      <c r="BD399" s="276"/>
      <c r="BE399" s="276"/>
      <c r="BF399" s="276"/>
      <c r="BG399" s="276"/>
      <c r="BH399" s="276"/>
      <c r="BI399" s="276"/>
      <c r="BJ399" s="276"/>
      <c r="BK399" s="276"/>
      <c r="BL399" s="276"/>
      <c r="BM399" s="276"/>
      <c r="BN399" s="276"/>
      <c r="BO399" s="276"/>
      <c r="BP399" s="276"/>
      <c r="BQ399" s="276"/>
      <c r="BR399" s="276"/>
      <c r="BS399" s="276"/>
      <c r="BT399" s="276"/>
      <c r="BU399" s="276"/>
      <c r="BV399" s="276"/>
      <c r="BW399" s="276"/>
      <c r="BX399" s="276"/>
      <c r="BY399" s="276"/>
      <c r="BZ399" s="276"/>
      <c r="CA399" s="276"/>
      <c r="CB399" s="276"/>
      <c r="CC399" s="276"/>
      <c r="CD399" s="276"/>
      <c r="CE399" s="276"/>
      <c r="CF399" s="276"/>
      <c r="CG399" s="276"/>
      <c r="CH399" s="276"/>
      <c r="CI399" s="276"/>
      <c r="CJ399" s="276"/>
      <c r="CK399" s="276"/>
      <c r="CL399" s="276"/>
      <c r="CM399" s="276"/>
      <c r="CN399" s="276"/>
    </row>
    <row r="400" ht="15.75" customHeight="1">
      <c r="A400" s="277"/>
      <c r="B400" s="278" t="s">
        <v>1426</v>
      </c>
      <c r="C400" s="279">
        <f>COUNTIF(H:H,"Pode operar")</f>
        <v>0</v>
      </c>
      <c r="D400" s="254"/>
      <c r="E400" s="254"/>
      <c r="F400" s="254"/>
      <c r="G400" s="254"/>
      <c r="H400" s="255"/>
      <c r="I400" s="254"/>
      <c r="J400" s="254"/>
      <c r="K400" s="254"/>
      <c r="L400" s="254"/>
      <c r="M400" s="254"/>
      <c r="N400" s="273"/>
      <c r="O400" s="273"/>
      <c r="P400" s="273"/>
      <c r="Q400" s="274"/>
      <c r="R400" s="274"/>
      <c r="S400" s="267"/>
      <c r="T400" s="267"/>
      <c r="U400" s="267"/>
      <c r="V400" s="267"/>
      <c r="W400" s="275"/>
      <c r="X400" s="275"/>
      <c r="Y400" s="267"/>
      <c r="Z400" s="267"/>
      <c r="AA400" s="267"/>
      <c r="AB400" s="267"/>
      <c r="AC400" s="276"/>
      <c r="AD400" s="276"/>
      <c r="AE400" s="276"/>
      <c r="AF400" s="276"/>
      <c r="AG400" s="276"/>
      <c r="AH400" s="276"/>
      <c r="AI400" s="276"/>
      <c r="AJ400" s="276"/>
      <c r="AK400" s="276"/>
      <c r="AL400" s="276"/>
      <c r="AM400" s="276"/>
      <c r="AN400" s="276"/>
      <c r="AO400" s="276"/>
      <c r="AP400" s="276"/>
      <c r="AQ400" s="276"/>
      <c r="AR400" s="276"/>
      <c r="AS400" s="276"/>
      <c r="AT400" s="276"/>
      <c r="AU400" s="276"/>
      <c r="AV400" s="276"/>
      <c r="AW400" s="276"/>
      <c r="AX400" s="276"/>
      <c r="AY400" s="276"/>
      <c r="AZ400" s="276"/>
      <c r="BA400" s="276"/>
      <c r="BB400" s="276"/>
      <c r="BC400" s="276"/>
      <c r="BD400" s="276"/>
      <c r="BE400" s="276"/>
      <c r="BF400" s="276"/>
      <c r="BG400" s="276"/>
      <c r="BH400" s="276"/>
      <c r="BI400" s="276"/>
      <c r="BJ400" s="276"/>
      <c r="BK400" s="276"/>
      <c r="BL400" s="276"/>
      <c r="BM400" s="276"/>
      <c r="BN400" s="276"/>
      <c r="BO400" s="276"/>
      <c r="BP400" s="276"/>
      <c r="BQ400" s="276"/>
      <c r="BR400" s="276"/>
      <c r="BS400" s="276"/>
      <c r="BT400" s="276"/>
      <c r="BU400" s="276"/>
      <c r="BV400" s="276"/>
      <c r="BW400" s="276"/>
      <c r="BX400" s="276"/>
      <c r="BY400" s="276"/>
      <c r="BZ400" s="276"/>
      <c r="CA400" s="276"/>
      <c r="CB400" s="276"/>
      <c r="CC400" s="276"/>
      <c r="CD400" s="276"/>
      <c r="CE400" s="276"/>
      <c r="CF400" s="276"/>
      <c r="CG400" s="276"/>
      <c r="CH400" s="276"/>
      <c r="CI400" s="276"/>
      <c r="CJ400" s="276"/>
      <c r="CK400" s="276"/>
      <c r="CL400" s="276"/>
      <c r="CM400" s="276"/>
      <c r="CN400" s="276"/>
    </row>
    <row r="401" ht="15.75" customHeight="1">
      <c r="A401" s="280"/>
      <c r="B401" s="280"/>
      <c r="C401" s="281"/>
      <c r="D401" s="254"/>
      <c r="E401" s="254"/>
      <c r="F401" s="254"/>
      <c r="G401" s="254"/>
      <c r="H401" s="255"/>
      <c r="I401" s="254"/>
      <c r="J401" s="254"/>
      <c r="K401" s="254"/>
      <c r="L401" s="254"/>
      <c r="M401" s="254"/>
      <c r="N401" s="273"/>
      <c r="O401" s="273"/>
      <c r="P401" s="273"/>
      <c r="Q401" s="274"/>
      <c r="R401" s="274"/>
      <c r="S401" s="267"/>
      <c r="T401" s="267"/>
      <c r="U401" s="267"/>
      <c r="V401" s="267"/>
      <c r="W401" s="275"/>
      <c r="X401" s="275"/>
      <c r="Y401" s="267"/>
      <c r="Z401" s="267"/>
      <c r="AA401" s="267"/>
      <c r="AB401" s="267"/>
      <c r="AC401" s="276"/>
      <c r="AD401" s="276"/>
      <c r="AE401" s="276"/>
      <c r="AF401" s="276"/>
      <c r="AG401" s="276"/>
      <c r="AH401" s="276"/>
      <c r="AI401" s="276"/>
      <c r="AJ401" s="276"/>
      <c r="AK401" s="276"/>
      <c r="AL401" s="276"/>
      <c r="AM401" s="276"/>
      <c r="AN401" s="276"/>
      <c r="AO401" s="276"/>
      <c r="AP401" s="276"/>
      <c r="AQ401" s="276"/>
      <c r="AR401" s="276"/>
      <c r="AS401" s="276"/>
      <c r="AT401" s="276"/>
      <c r="AU401" s="276"/>
      <c r="AV401" s="276"/>
      <c r="AW401" s="276"/>
      <c r="AX401" s="276"/>
      <c r="AY401" s="276"/>
      <c r="AZ401" s="276"/>
      <c r="BA401" s="276"/>
      <c r="BB401" s="276"/>
      <c r="BC401" s="276"/>
      <c r="BD401" s="276"/>
      <c r="BE401" s="276"/>
      <c r="BF401" s="276"/>
      <c r="BG401" s="276"/>
      <c r="BH401" s="276"/>
      <c r="BI401" s="276"/>
      <c r="BJ401" s="276"/>
      <c r="BK401" s="276"/>
      <c r="BL401" s="276"/>
      <c r="BM401" s="276"/>
      <c r="BN401" s="276"/>
      <c r="BO401" s="276"/>
      <c r="BP401" s="276"/>
      <c r="BQ401" s="276"/>
      <c r="BR401" s="276"/>
      <c r="BS401" s="276"/>
      <c r="BT401" s="276"/>
      <c r="BU401" s="276"/>
      <c r="BV401" s="276"/>
      <c r="BW401" s="276"/>
      <c r="BX401" s="276"/>
      <c r="BY401" s="276"/>
      <c r="BZ401" s="276"/>
      <c r="CA401" s="276"/>
      <c r="CB401" s="276"/>
      <c r="CC401" s="276"/>
      <c r="CD401" s="276"/>
      <c r="CE401" s="276"/>
      <c r="CF401" s="276"/>
      <c r="CG401" s="276"/>
      <c r="CH401" s="276"/>
      <c r="CI401" s="276"/>
      <c r="CJ401" s="276"/>
      <c r="CK401" s="276"/>
      <c r="CL401" s="276"/>
      <c r="CM401" s="276"/>
      <c r="CN401" s="276"/>
    </row>
    <row r="402" ht="15.75" customHeight="1">
      <c r="A402" s="280"/>
      <c r="B402" s="280"/>
      <c r="C402" s="281"/>
      <c r="D402" s="254"/>
      <c r="E402" s="254"/>
      <c r="F402" s="254"/>
      <c r="G402" s="254"/>
      <c r="H402" s="255"/>
      <c r="I402" s="254"/>
      <c r="J402" s="254"/>
      <c r="K402" s="254"/>
      <c r="L402" s="254"/>
      <c r="M402" s="254"/>
      <c r="N402" s="273"/>
      <c r="O402" s="273"/>
      <c r="P402" s="273"/>
      <c r="Q402" s="274"/>
      <c r="R402" s="274"/>
      <c r="S402" s="267"/>
      <c r="T402" s="254"/>
      <c r="U402" s="267"/>
      <c r="V402" s="267"/>
      <c r="W402" s="275"/>
      <c r="X402" s="275"/>
      <c r="Y402" s="267"/>
      <c r="Z402" s="267"/>
      <c r="AA402" s="267"/>
      <c r="AB402" s="267"/>
      <c r="AC402" s="276"/>
      <c r="AD402" s="276"/>
      <c r="AE402" s="276"/>
      <c r="AF402" s="276"/>
      <c r="AG402" s="276"/>
      <c r="AH402" s="276"/>
      <c r="AI402" s="276"/>
      <c r="AJ402" s="276"/>
      <c r="AK402" s="276"/>
      <c r="AL402" s="276"/>
      <c r="AM402" s="276"/>
      <c r="AN402" s="276"/>
      <c r="AO402" s="276"/>
      <c r="AP402" s="276"/>
      <c r="AQ402" s="276"/>
      <c r="AR402" s="276"/>
      <c r="AS402" s="276"/>
      <c r="AT402" s="276"/>
      <c r="AU402" s="276"/>
      <c r="AV402" s="276"/>
      <c r="AW402" s="276"/>
      <c r="AX402" s="276"/>
      <c r="AY402" s="276"/>
      <c r="AZ402" s="276"/>
      <c r="BA402" s="276"/>
      <c r="BB402" s="276"/>
      <c r="BC402" s="276"/>
      <c r="BD402" s="276"/>
      <c r="BE402" s="276"/>
      <c r="BF402" s="276"/>
      <c r="BG402" s="276"/>
      <c r="BH402" s="276"/>
      <c r="BI402" s="276"/>
      <c r="BJ402" s="276"/>
      <c r="BK402" s="276"/>
      <c r="BL402" s="276"/>
      <c r="BM402" s="276"/>
      <c r="BN402" s="276"/>
      <c r="BO402" s="276"/>
      <c r="BP402" s="276"/>
      <c r="BQ402" s="276"/>
      <c r="BR402" s="276"/>
      <c r="BS402" s="276"/>
      <c r="BT402" s="276"/>
      <c r="BU402" s="276"/>
      <c r="BV402" s="276"/>
      <c r="BW402" s="276"/>
      <c r="BX402" s="276"/>
      <c r="BY402" s="276"/>
      <c r="BZ402" s="276"/>
      <c r="CA402" s="276"/>
      <c r="CB402" s="276"/>
      <c r="CC402" s="276"/>
      <c r="CD402" s="276"/>
      <c r="CE402" s="276"/>
      <c r="CF402" s="276"/>
      <c r="CG402" s="276"/>
      <c r="CH402" s="276"/>
      <c r="CI402" s="276"/>
      <c r="CJ402" s="276"/>
      <c r="CK402" s="276"/>
      <c r="CL402" s="276"/>
      <c r="CM402" s="276"/>
      <c r="CN402" s="276"/>
    </row>
    <row r="403" ht="15.75" customHeight="1">
      <c r="A403" s="280"/>
      <c r="B403" s="280"/>
      <c r="C403" s="281"/>
      <c r="D403" s="254"/>
      <c r="E403" s="254"/>
      <c r="F403" s="254"/>
      <c r="G403" s="254"/>
      <c r="H403" s="255"/>
      <c r="I403" s="254"/>
      <c r="J403" s="254"/>
      <c r="K403" s="254"/>
      <c r="L403" s="254"/>
      <c r="M403" s="254"/>
      <c r="N403" s="273"/>
      <c r="O403" s="273"/>
      <c r="P403" s="273"/>
      <c r="Q403" s="274"/>
      <c r="R403" s="274"/>
      <c r="S403" s="267"/>
      <c r="T403" s="254"/>
      <c r="U403" s="267"/>
      <c r="V403" s="267"/>
      <c r="W403" s="275"/>
      <c r="X403" s="275"/>
      <c r="Y403" s="267"/>
      <c r="Z403" s="267"/>
      <c r="AA403" s="267"/>
      <c r="AB403" s="267"/>
      <c r="AC403" s="276"/>
      <c r="AD403" s="276"/>
      <c r="AE403" s="276"/>
      <c r="AF403" s="276"/>
      <c r="AG403" s="276"/>
      <c r="AH403" s="276"/>
      <c r="AI403" s="276"/>
      <c r="AJ403" s="276"/>
      <c r="AK403" s="276"/>
      <c r="AL403" s="276"/>
      <c r="AM403" s="276"/>
      <c r="AN403" s="276"/>
      <c r="AO403" s="276"/>
      <c r="AP403" s="276"/>
      <c r="AQ403" s="276"/>
      <c r="AR403" s="276"/>
      <c r="AS403" s="276"/>
      <c r="AT403" s="276"/>
      <c r="AU403" s="276"/>
      <c r="AV403" s="276"/>
      <c r="AW403" s="276"/>
      <c r="AX403" s="276"/>
      <c r="AY403" s="276"/>
      <c r="AZ403" s="276"/>
      <c r="BA403" s="276"/>
      <c r="BB403" s="276"/>
      <c r="BC403" s="276"/>
      <c r="BD403" s="276"/>
      <c r="BE403" s="276"/>
      <c r="BF403" s="276"/>
      <c r="BG403" s="276"/>
      <c r="BH403" s="276"/>
      <c r="BI403" s="276"/>
      <c r="BJ403" s="276"/>
      <c r="BK403" s="276"/>
      <c r="BL403" s="276"/>
      <c r="BM403" s="276"/>
      <c r="BN403" s="276"/>
      <c r="BO403" s="276"/>
      <c r="BP403" s="276"/>
      <c r="BQ403" s="276"/>
      <c r="BR403" s="276"/>
      <c r="BS403" s="276"/>
      <c r="BT403" s="276"/>
      <c r="BU403" s="276"/>
      <c r="BV403" s="276"/>
      <c r="BW403" s="276"/>
      <c r="BX403" s="276"/>
      <c r="BY403" s="276"/>
      <c r="BZ403" s="276"/>
      <c r="CA403" s="276"/>
      <c r="CB403" s="276"/>
      <c r="CC403" s="276"/>
      <c r="CD403" s="276"/>
      <c r="CE403" s="276"/>
      <c r="CF403" s="276"/>
      <c r="CG403" s="276"/>
      <c r="CH403" s="276"/>
      <c r="CI403" s="276"/>
      <c r="CJ403" s="276"/>
      <c r="CK403" s="276"/>
      <c r="CL403" s="276"/>
      <c r="CM403" s="276"/>
      <c r="CN403" s="276"/>
    </row>
  </sheetData>
  <customSheetViews>
    <customSheetView guid="{CAA79F67-A6A3-4ED0-A1B0-0DAAC59C98FC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CE2411D1-E1EA-4B10-9A09-B64AA7454FEF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5D99C391-A582-4147-B89C-A2E2E90FF18D}" filter="1" showAutoFilter="1">
      <autoFilter ref="$K$2:$P$403">
        <filterColumn colId="0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13/3/2023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C62C338D-6DD7-4E1D-BD83-DBDE22838042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7B595886-3679-4CE5-8338-C329E3005A7E}" filter="1" showAutoFilter="1">
      <autoFilter ref="$A$2:$CB$395">
        <filterColumn colId="7">
          <filters>
            <filter val="Encerrado"/>
          </filters>
        </filterColumn>
        <filterColumn colId="11">
          <filters blank="1">
            <filter val="26/01/2023"/>
            <filter val="24/05/2022"/>
            <filter val="August/2020"/>
            <filter val="17/09/2024"/>
            <filter val="06/11/2024"/>
            <filter val="30/03/2023"/>
            <filter val="09/03/2020"/>
            <filter val="13/02/2023"/>
            <filter val="15/03/2023"/>
            <filter val="03/03/2023"/>
            <filter val="22/07/2024"/>
          </filters>
        </filterColumn>
      </autoFilter>
    </customSheetView>
    <customSheetView guid="{A214FC91-2926-4021-8CFF-EA2F61021101}" filter="1" showAutoFilter="1">
      <autoFilter ref="$L$2:$L$403">
        <filterColumn colId="0">
          <filters>
            <filter val="15/05/2020"/>
            <filter val="08/12/2022"/>
            <filter val="15/05/2023"/>
            <filter val="08/09/2022"/>
            <filter val="26/01/2023"/>
            <filter val="24/10/2022"/>
            <filter val="24/05/2022"/>
            <filter val="13/12/2022"/>
            <filter val="August/2020"/>
            <filter val="22/03/2023"/>
            <filter val="09/02/2023"/>
            <filter val="17/09/2024"/>
            <filter val="01/06/2022"/>
            <filter val="06/11/2024"/>
            <filter val="30/03/2023"/>
            <filter val="16/08/2023"/>
            <filter val="31/10/2022"/>
            <filter val="24/01/2023"/>
            <filter val="23/03/2023"/>
            <filter val="16/12/2022"/>
            <filter val="11/01/2023"/>
            <filter val="13/10/2022"/>
            <filter val="23/01/2023"/>
            <filter val="09/03/2020"/>
            <filter val="15/02/2023"/>
            <filter val="11/03/2022"/>
            <filter val="13/02/2023"/>
            <filter val="15/03/2023"/>
            <filter val="08/02/2023"/>
            <filter val="03/03/2023"/>
            <filter val="12/12/2022"/>
            <filter val="10/01/2023"/>
            <filter val="22/07/2024"/>
            <filter val="27/09/2022"/>
          </filters>
        </filterColumn>
      </autoFilter>
    </customSheetView>
    <customSheetView guid="{03F8594D-D81D-41D8-8166-E0E039D1D75A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C47A8014-6FA4-42E4-9F12-F1011B9C099B}" filter="1" showAutoFilter="1">
      <autoFilter ref="$B$2:$P$403"/>
    </customSheetView>
    <customSheetView guid="{B2B469ED-065E-487B-B6B9-536EFFBE72EB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2689B0F3-C848-484D-8837-E91813906F10}" filter="1" showAutoFilter="1">
      <autoFilter ref="$A$1:$CC$395">
        <filterColumn colId="4">
          <filters>
            <filter val="UF"/>
            <filter val="DF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Hugo Motta"/>
            <filter val="Rodger"/>
            <filter val="Assessor"/>
            <filter val="Karla"/>
          </filters>
        </filterColumn>
        <filterColumn colId="3">
          <filters>
            <filter val="Bluemetrix"/>
          </filters>
        </filterColumn>
      </autoFilter>
    </customSheetView>
    <customSheetView guid="{8D8D3085-AB50-4CBA-97BF-5552334D2C30}" filter="1" showAutoFilter="1">
      <autoFilter ref="$B$2:$BS$403"/>
    </customSheetView>
    <customSheetView guid="{D32BF63B-B2CA-4C3E-931C-80018C77A928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67C01C50-489A-43C6-898D-F58DB0C2FE7C}" filter="1" showAutoFilter="1">
      <autoFilter ref="$B$2:$BU$395"/>
    </customSheetView>
    <customSheetView guid="{F2EF48BC-2DE2-4EAE-9B39-DF0524B366C9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9651023E-7900-4EB4-B4B6-58306FA6EAD7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3D9A4475-5E5C-4472-A129-35E6A30C6B54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65EDCAC3-8E22-4FB8-922B-0B495E11E5DB}" filter="1" showAutoFilter="1">
      <autoFilter ref="$A$2:$CB$395">
        <filterColumn colId="7">
          <filters>
            <filter val="Inativo"/>
          </filters>
        </filterColumn>
      </autoFilter>
    </customSheetView>
    <customSheetView guid="{2F696A84-E0A2-4357-AFCA-01998AF33B79}" filter="1" showAutoFilter="1">
      <autoFilter ref="$B$2:$BP$395"/>
    </customSheetView>
    <customSheetView guid="{06003629-F286-4216-A213-4AFE1E36A40B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60066A11-447C-4650-AEF7-9FE005963B06}" filter="1" showAutoFilter="1">
      <autoFilter ref="$B$2:$BQ$395"/>
    </customSheetView>
    <customSheetView guid="{D231C3E6-8F34-4669-BD4B-6375A5FD1A7D}" filter="1" showAutoFilter="1">
      <autoFilter ref="$A$1:$BZ$395"/>
    </customSheetView>
    <customSheetView guid="{A0B95A44-8FE9-47B9-8B52-DE67E8D5CD4F}" filter="1" showAutoFilter="1">
      <autoFilter ref="$A$1:$CC$395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Voga"/>
            <filter val="Bluemetrix"/>
            <filter val="Escritório"/>
          </filters>
        </filterColumn>
        <filterColumn colId="5">
          <filters>
            <filter val="Lucas Nascimento"/>
            <filter val="Lucas Zambrin"/>
            <filter val="Matrice"/>
            <filter val="Rafael"/>
            <filter val="Norton Jr.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Guilherme dos Santos"/>
            <filter val="Gustavo Amorim"/>
            <filter val="Hugo Motta"/>
            <filter val="Guilherme Sales"/>
            <filter val="Assessor"/>
          </filters>
        </filterColumn>
      </autoFilter>
    </customSheetView>
    <customSheetView guid="{0C67F5DA-14A5-47C5-91B5-988FF202FC69}" filter="1" showAutoFilter="1">
      <autoFilter ref="$A$1:$BY$403">
        <filterColumn colId="7">
          <filters>
            <filter val="Encerrado"/>
            <filter val="Ativo"/>
          </filters>
        </filterColumn>
      </autoFilter>
    </customSheetView>
    <customSheetView guid="{B720098B-70F4-44B5-833C-52F5E38957BF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97ED08F8-0902-4DF2-B169-6E35A244D709}" filter="1" showAutoFilter="1">
      <autoFilter ref="$K$2:$P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7228C4C0-6366-410B-999F-F4ED1D860199}" filter="1" showAutoFilter="1">
      <autoFilter ref="$A$2:$BZ$395"/>
    </customSheetView>
    <customSheetView guid="{3AF03EB6-56CC-4410-8FFA-3735BC7F66A2}" filter="1" showAutoFilter="1">
      <autoFilter ref="$B$2:$BQ$395">
        <filterColumn colId="4">
          <filters>
            <filter val="Bruno Henrique"/>
            <filter val="Rodrigo Milanez"/>
            <filter val="Luca Bueno"/>
            <filter val="Matheus Vilar"/>
            <filter val="Guilherme dos Santos"/>
          </filters>
        </filterColumn>
      </autoFilter>
    </customSheetView>
    <customSheetView guid="{FBD4E7F3-FBBA-4389-B8DB-C6E19298F85D}" filter="1" showAutoFilter="1">
      <autoFilter ref="$K$2:$P$241">
        <filterColumn colId="0">
          <filters>
            <filter val="27/11/2019"/>
            <filter val="28/03/2023"/>
            <filter val="03/04/2020"/>
            <filter val="21/06/2023"/>
            <filter val="09/02/2024"/>
            <filter val="14/02/2023"/>
            <filter val="02/05/2024"/>
            <filter val="04/04/2023"/>
            <filter val="29/12/2021"/>
            <filter val="14/03/2023"/>
            <filter val="13/02/2023"/>
            <filter val="09/04/2020"/>
            <filter val="25/05/2022"/>
            <filter val="08/02/2024"/>
            <filter val="26/10/2023"/>
            <filter val="08/08/2023"/>
            <filter val="21/05/2019"/>
            <filter val="05/04/2023"/>
          </filters>
        </filterColumn>
      </autoFilter>
    </customSheetView>
    <customSheetView guid="{D1D59EAF-0D63-4FBE-B89F-57DAF6BA1C2D}" filter="1" showAutoFilter="1">
      <autoFilter ref="$B$2:$BP$395"/>
    </customSheetView>
    <customSheetView guid="{E32AB26C-4D14-444C-AB57-6F022BBBD03C}" filter="1" showAutoFilter="1">
      <autoFilter ref="$A$1:$CA$395">
        <filterColumn colId="3">
          <filters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  <filter val="GO"/>
          </filters>
        </filterColumn>
        <filterColumn colId="20">
          <filters blank="1">
            <filter val="Pr"/>
            <filter val="BH"/>
          </filters>
        </filterColumn>
      </autoFilter>
    </customSheetView>
    <customSheetView guid="{C22C274A-8351-4552-955C-17C75AF11B50}" filter="1" showAutoFilter="1">
      <autoFilter ref="$A$2:$CA$395">
        <filterColumn colId="3">
          <filters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Rafael"/>
            <filter val="Norton Jr."/>
            <filter val="Norton Fritzsche"/>
            <filter val="Bruno Henrique"/>
            <filter val="Rodrigo Milanez"/>
            <filter val="Felipe Estevam"/>
            <filter val="Bruno Jaime"/>
            <filter val="Luca Bueno"/>
            <filter val="Conquest"/>
            <filter val="Tatiane Cavalcante"/>
            <filter val="Matheus Vilar"/>
            <filter val="Thiago Canabrava"/>
            <filter val="Renan Silva"/>
            <filter val="Rafael Vilela"/>
            <filter val="Flavio Miguel"/>
            <filter val="Guilherme dos Santos"/>
            <filter val="Gustavo Amorim"/>
            <filter val="Hugo Motta"/>
            <filter val="Rodger"/>
            <filter val="Guilherme Sales"/>
            <filter val="Karla"/>
          </filters>
        </filterColumn>
        <filterColumn colId="20">
          <filters blank="1">
            <filter val="Pr"/>
          </filters>
        </filterColumn>
      </autoFilter>
    </customSheetView>
    <customSheetView guid="{76811BFC-6AF1-42FD-933F-8DEF2DDC606B}" filter="1" showAutoFilter="1">
      <autoFilter ref="$A$1:$CA$395"/>
    </customSheetView>
    <customSheetView guid="{2B799362-B7B1-4E34-BAF1-CA385A7DA9EA}" filter="1" showAutoFilter="1">
      <autoFilter ref="$B$2:$BQ$395"/>
    </customSheetView>
    <customSheetView guid="{722B78C8-FCD4-4998-92AC-C08554C3B012}" filter="1" showAutoFilter="1">
      <autoFilter ref="$A$1:$CC$395">
        <filterColumn colId="3">
          <filters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GO"/>
            <filter val="SUL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Norton Fritzsche"/>
            <filter val="Bruno Henrique"/>
            <filter val="Felipe Estevam"/>
            <filter val="Bruno Jaime"/>
            <filter val="Conquest"/>
            <filter val="Tatiane Cavalcante"/>
            <filter val="Juliana Farias"/>
            <filter val="Renan Silva"/>
            <filter val="Rafael Vilela"/>
            <filter val="Hugo Motta"/>
            <filter val="Rodger"/>
            <filter val="Guilherme Sales"/>
            <filter val="Assessor"/>
            <filter val="Karla"/>
          </filters>
        </filterColumn>
      </autoFilter>
    </customSheetView>
    <customSheetView guid="{B40945C9-974D-43EF-AB93-58449A090935}" filter="1" showAutoFilter="1">
      <autoFilter ref="$A$2:$BZ$395"/>
    </customSheetView>
  </customSheetViews>
  <mergeCells count="4">
    <mergeCell ref="A1:F1"/>
    <mergeCell ref="H1:I1"/>
    <mergeCell ref="J1:P1"/>
    <mergeCell ref="S1:AB1"/>
  </mergeCells>
  <conditionalFormatting sqref="F25:F26 F28:F29 F81 F102:F103 F110">
    <cfRule type="cellIs" dxfId="1" priority="1" operator="equal">
      <formula>"Conquest"</formula>
    </cfRule>
  </conditionalFormatting>
  <conditionalFormatting sqref="F25:F26 F28:F29 F81 F102:F103 F110">
    <cfRule type="cellIs" dxfId="2" priority="2" operator="equal">
      <formula>"Voga"</formula>
    </cfRule>
  </conditionalFormatting>
  <conditionalFormatting sqref="F357">
    <cfRule type="cellIs" dxfId="1" priority="3" operator="equal">
      <formula>"Conquest"</formula>
    </cfRule>
  </conditionalFormatting>
  <conditionalFormatting sqref="F357">
    <cfRule type="cellIs" dxfId="2" priority="4" operator="equal">
      <formula>"Voga"</formula>
    </cfRule>
  </conditionalFormatting>
  <conditionalFormatting sqref="F277 F286">
    <cfRule type="cellIs" dxfId="1" priority="5" operator="equal">
      <formula>"Conquest"</formula>
    </cfRule>
  </conditionalFormatting>
  <conditionalFormatting sqref="F277 F286">
    <cfRule type="cellIs" dxfId="2" priority="6" operator="equal">
      <formula>"Voga"</formula>
    </cfRule>
  </conditionalFormatting>
  <conditionalFormatting sqref="F81">
    <cfRule type="cellIs" dxfId="1" priority="7" operator="equal">
      <formula>"Conquest"</formula>
    </cfRule>
  </conditionalFormatting>
  <conditionalFormatting sqref="F81">
    <cfRule type="cellIs" dxfId="2" priority="8" operator="equal">
      <formula>"Voga"</formula>
    </cfRule>
  </conditionalFormatting>
  <conditionalFormatting sqref="F236">
    <cfRule type="cellIs" dxfId="2" priority="9" operator="equal">
      <formula>"Voga"</formula>
    </cfRule>
  </conditionalFormatting>
  <conditionalFormatting sqref="F236">
    <cfRule type="cellIs" dxfId="1" priority="10" operator="equal">
      <formula>"Conquest"</formula>
    </cfRule>
  </conditionalFormatting>
  <conditionalFormatting sqref="F109 F116 F230:F231 F319">
    <cfRule type="cellIs" dxfId="1" priority="11" operator="equal">
      <formula>"Conquest"</formula>
    </cfRule>
  </conditionalFormatting>
  <conditionalFormatting sqref="F109 F116 F230:F231 F319">
    <cfRule type="cellIs" dxfId="2" priority="12" operator="equal">
      <formula>"Voga"</formula>
    </cfRule>
  </conditionalFormatting>
  <conditionalFormatting sqref="F22">
    <cfRule type="cellIs" dxfId="1" priority="13" operator="equal">
      <formula>"Conquest"</formula>
    </cfRule>
  </conditionalFormatting>
  <conditionalFormatting sqref="F22">
    <cfRule type="cellIs" dxfId="2" priority="14" operator="equal">
      <formula>"Voga"</formula>
    </cfRule>
  </conditionalFormatting>
  <conditionalFormatting sqref="F145:F148">
    <cfRule type="cellIs" dxfId="1" priority="15" operator="equal">
      <formula>"Conquest"</formula>
    </cfRule>
  </conditionalFormatting>
  <conditionalFormatting sqref="F145:F148">
    <cfRule type="cellIs" dxfId="2" priority="16" operator="equal">
      <formula>"Voga"</formula>
    </cfRule>
  </conditionalFormatting>
  <conditionalFormatting sqref="F170">
    <cfRule type="cellIs" dxfId="1" priority="17" operator="equal">
      <formula>"Conquest"</formula>
    </cfRule>
  </conditionalFormatting>
  <conditionalFormatting sqref="F170">
    <cfRule type="cellIs" dxfId="2" priority="18" operator="equal">
      <formula>"Voga"</formula>
    </cfRule>
  </conditionalFormatting>
  <conditionalFormatting sqref="F285">
    <cfRule type="cellIs" dxfId="1" priority="19" operator="equal">
      <formula>"Conquest"</formula>
    </cfRule>
  </conditionalFormatting>
  <conditionalFormatting sqref="F285">
    <cfRule type="cellIs" dxfId="2" priority="20" operator="equal">
      <formula>"Voga"</formula>
    </cfRule>
  </conditionalFormatting>
  <conditionalFormatting sqref="F345:F346">
    <cfRule type="cellIs" dxfId="1" priority="21" operator="equal">
      <formula>"Conquest"</formula>
    </cfRule>
  </conditionalFormatting>
  <conditionalFormatting sqref="F345:F346">
    <cfRule type="cellIs" dxfId="2" priority="22" operator="equal">
      <formula>"Voga"</formula>
    </cfRule>
  </conditionalFormatting>
  <conditionalFormatting sqref="F332">
    <cfRule type="cellIs" dxfId="1" priority="23" operator="equal">
      <formula>"Conquest"</formula>
    </cfRule>
  </conditionalFormatting>
  <conditionalFormatting sqref="F332">
    <cfRule type="cellIs" dxfId="2" priority="24" operator="equal">
      <formula>"Voga"</formula>
    </cfRule>
  </conditionalFormatting>
  <conditionalFormatting sqref="F65 F69">
    <cfRule type="cellIs" dxfId="1" priority="25" operator="equal">
      <formula>"Conquest"</formula>
    </cfRule>
  </conditionalFormatting>
  <conditionalFormatting sqref="F65 F69">
    <cfRule type="cellIs" dxfId="2" priority="26" operator="equal">
      <formula>"Voga"</formula>
    </cfRule>
  </conditionalFormatting>
  <conditionalFormatting sqref="F204">
    <cfRule type="cellIs" dxfId="1" priority="27" operator="equal">
      <formula>"Conquest"</formula>
    </cfRule>
  </conditionalFormatting>
  <conditionalFormatting sqref="F204">
    <cfRule type="cellIs" dxfId="2" priority="28" operator="equal">
      <formula>"Voga"</formula>
    </cfRule>
  </conditionalFormatting>
  <conditionalFormatting sqref="F144">
    <cfRule type="cellIs" dxfId="1" priority="29" operator="equal">
      <formula>"Conquest"</formula>
    </cfRule>
  </conditionalFormatting>
  <conditionalFormatting sqref="F144">
    <cfRule type="cellIs" dxfId="2" priority="30" operator="equal">
      <formula>"Voga"</formula>
    </cfRule>
  </conditionalFormatting>
  <conditionalFormatting sqref="F55">
    <cfRule type="cellIs" dxfId="2" priority="31" operator="equal">
      <formula>"Voga"</formula>
    </cfRule>
  </conditionalFormatting>
  <conditionalFormatting sqref="F55">
    <cfRule type="cellIs" dxfId="1" priority="32" operator="equal">
      <formula>"Conquest"</formula>
    </cfRule>
  </conditionalFormatting>
  <conditionalFormatting sqref="F48">
    <cfRule type="cellIs" dxfId="1" priority="33" operator="equal">
      <formula>"Conquest"</formula>
    </cfRule>
  </conditionalFormatting>
  <conditionalFormatting sqref="F48">
    <cfRule type="cellIs" dxfId="2" priority="34" operator="equal">
      <formula>"Voga"</formula>
    </cfRule>
  </conditionalFormatting>
  <conditionalFormatting sqref="F352">
    <cfRule type="cellIs" dxfId="1" priority="35" operator="equal">
      <formula>"Conquest"</formula>
    </cfRule>
  </conditionalFormatting>
  <conditionalFormatting sqref="F352">
    <cfRule type="cellIs" dxfId="2" priority="36" operator="equal">
      <formula>"Voga"</formula>
    </cfRule>
  </conditionalFormatting>
  <conditionalFormatting sqref="F94">
    <cfRule type="cellIs" dxfId="1" priority="37" operator="equal">
      <formula>"Conquest"</formula>
    </cfRule>
  </conditionalFormatting>
  <conditionalFormatting sqref="F94">
    <cfRule type="cellIs" dxfId="2" priority="38" operator="equal">
      <formula>"Voga"</formula>
    </cfRule>
  </conditionalFormatting>
  <conditionalFormatting sqref="F162">
    <cfRule type="cellIs" dxfId="1" priority="39" operator="equal">
      <formula>"Conquest"</formula>
    </cfRule>
  </conditionalFormatting>
  <conditionalFormatting sqref="F162">
    <cfRule type="cellIs" dxfId="2" priority="40" operator="equal">
      <formula>"Voga"</formula>
    </cfRule>
  </conditionalFormatting>
  <conditionalFormatting sqref="F283">
    <cfRule type="cellIs" dxfId="1" priority="41" operator="equal">
      <formula>"Conquest"</formula>
    </cfRule>
  </conditionalFormatting>
  <conditionalFormatting sqref="F283">
    <cfRule type="cellIs" dxfId="2" priority="42" operator="equal">
      <formula>"Voga"</formula>
    </cfRule>
  </conditionalFormatting>
  <conditionalFormatting sqref="F220">
    <cfRule type="cellIs" dxfId="1" priority="43" operator="equal">
      <formula>"Conquest"</formula>
    </cfRule>
  </conditionalFormatting>
  <conditionalFormatting sqref="F220">
    <cfRule type="cellIs" dxfId="2" priority="44" operator="equal">
      <formula>"Voga"</formula>
    </cfRule>
  </conditionalFormatting>
  <conditionalFormatting sqref="F317">
    <cfRule type="cellIs" dxfId="1" priority="45" operator="equal">
      <formula>"Conquest"</formula>
    </cfRule>
  </conditionalFormatting>
  <conditionalFormatting sqref="F317">
    <cfRule type="cellIs" dxfId="2" priority="46" operator="equal">
      <formula>"Voga"</formula>
    </cfRule>
  </conditionalFormatting>
  <conditionalFormatting sqref="F124">
    <cfRule type="cellIs" dxfId="1" priority="47" operator="equal">
      <formula>"Conquest"</formula>
    </cfRule>
  </conditionalFormatting>
  <conditionalFormatting sqref="F124">
    <cfRule type="cellIs" dxfId="2" priority="48" operator="equal">
      <formula>"Voga"</formula>
    </cfRule>
  </conditionalFormatting>
  <conditionalFormatting sqref="F84:F85">
    <cfRule type="cellIs" dxfId="1" priority="49" operator="equal">
      <formula>"Conquest"</formula>
    </cfRule>
  </conditionalFormatting>
  <conditionalFormatting sqref="F84:F85">
    <cfRule type="cellIs" dxfId="2" priority="50" operator="equal">
      <formula>"Voga"</formula>
    </cfRule>
  </conditionalFormatting>
  <conditionalFormatting sqref="F248">
    <cfRule type="cellIs" dxfId="1" priority="51" operator="equal">
      <formula>"Conquest"</formula>
    </cfRule>
  </conditionalFormatting>
  <conditionalFormatting sqref="F248">
    <cfRule type="cellIs" dxfId="2" priority="52" operator="equal">
      <formula>"Voga"</formula>
    </cfRule>
  </conditionalFormatting>
  <conditionalFormatting sqref="F257">
    <cfRule type="cellIs" dxfId="1" priority="53" operator="equal">
      <formula>"Conquest"</formula>
    </cfRule>
  </conditionalFormatting>
  <conditionalFormatting sqref="F257">
    <cfRule type="cellIs" dxfId="2" priority="54" operator="equal">
      <formula>"Voga"</formula>
    </cfRule>
  </conditionalFormatting>
  <conditionalFormatting sqref="F354">
    <cfRule type="cellIs" dxfId="1" priority="55" operator="equal">
      <formula>"Conquest"</formula>
    </cfRule>
  </conditionalFormatting>
  <conditionalFormatting sqref="F354">
    <cfRule type="cellIs" dxfId="2" priority="56" operator="equal">
      <formula>"Voga"</formula>
    </cfRule>
  </conditionalFormatting>
  <conditionalFormatting sqref="F115">
    <cfRule type="cellIs" dxfId="1" priority="57" operator="equal">
      <formula>"Conquest"</formula>
    </cfRule>
  </conditionalFormatting>
  <conditionalFormatting sqref="F115">
    <cfRule type="cellIs" dxfId="2" priority="58" operator="equal">
      <formula>"Voga"</formula>
    </cfRule>
  </conditionalFormatting>
  <conditionalFormatting sqref="F78">
    <cfRule type="cellIs" dxfId="1" priority="59" operator="equal">
      <formula>"Conquest"</formula>
    </cfRule>
  </conditionalFormatting>
  <conditionalFormatting sqref="F78">
    <cfRule type="cellIs" dxfId="2" priority="60" operator="equal">
      <formula>"Voga"</formula>
    </cfRule>
  </conditionalFormatting>
  <conditionalFormatting sqref="F60">
    <cfRule type="cellIs" dxfId="1" priority="61" operator="equal">
      <formula>"Conquest"</formula>
    </cfRule>
  </conditionalFormatting>
  <conditionalFormatting sqref="F60">
    <cfRule type="cellIs" dxfId="2" priority="62" operator="equal">
      <formula>"Voga"</formula>
    </cfRule>
  </conditionalFormatting>
  <conditionalFormatting sqref="F75 F289:F290 F294 F304">
    <cfRule type="cellIs" dxfId="1" priority="63" operator="equal">
      <formula>"Conquest"</formula>
    </cfRule>
  </conditionalFormatting>
  <conditionalFormatting sqref="F75 F289:F290 F294 F304">
    <cfRule type="cellIs" dxfId="2" priority="64" operator="equal">
      <formula>"Voga"</formula>
    </cfRule>
  </conditionalFormatting>
  <conditionalFormatting sqref="F58">
    <cfRule type="cellIs" dxfId="1" priority="65" operator="equal">
      <formula>"Conquest"</formula>
    </cfRule>
  </conditionalFormatting>
  <conditionalFormatting sqref="F58">
    <cfRule type="cellIs" dxfId="2" priority="66" operator="equal">
      <formula>"Voga"</formula>
    </cfRule>
  </conditionalFormatting>
  <conditionalFormatting sqref="F233:F234">
    <cfRule type="cellIs" dxfId="1" priority="67" operator="equal">
      <formula>"Conquest"</formula>
    </cfRule>
  </conditionalFormatting>
  <conditionalFormatting sqref="F233:F234">
    <cfRule type="cellIs" dxfId="2" priority="68" operator="equal">
      <formula>"Voga"</formula>
    </cfRule>
  </conditionalFormatting>
  <conditionalFormatting sqref="F233:F234">
    <cfRule type="cellIs" dxfId="3" priority="69" operator="equal">
      <formula>"Bluemetrix"</formula>
    </cfRule>
  </conditionalFormatting>
  <conditionalFormatting sqref="F189 F191">
    <cfRule type="cellIs" dxfId="3" priority="70" operator="equal">
      <formula>"Bluemetrix"</formula>
    </cfRule>
  </conditionalFormatting>
  <conditionalFormatting sqref="F189 F191">
    <cfRule type="cellIs" dxfId="2" priority="71" operator="equal">
      <formula>"Voga"</formula>
    </cfRule>
  </conditionalFormatting>
  <conditionalFormatting sqref="F189 F191">
    <cfRule type="cellIs" dxfId="1" priority="72" operator="equal">
      <formula>"Conquest"</formula>
    </cfRule>
  </conditionalFormatting>
  <conditionalFormatting sqref="F183">
    <cfRule type="cellIs" dxfId="3" priority="73" operator="equal">
      <formula>"Bluemetrix"</formula>
    </cfRule>
  </conditionalFormatting>
  <conditionalFormatting sqref="F183">
    <cfRule type="cellIs" dxfId="2" priority="74" operator="equal">
      <formula>"Voga"</formula>
    </cfRule>
  </conditionalFormatting>
  <conditionalFormatting sqref="F183">
    <cfRule type="cellIs" dxfId="1" priority="75" operator="equal">
      <formula>"Conquest"</formula>
    </cfRule>
  </conditionalFormatting>
  <conditionalFormatting sqref="F378">
    <cfRule type="cellIs" dxfId="3" priority="76" operator="equal">
      <formula>"Bluemetrix"</formula>
    </cfRule>
  </conditionalFormatting>
  <conditionalFormatting sqref="F378">
    <cfRule type="cellIs" dxfId="2" priority="77" operator="equal">
      <formula>"Voga"</formula>
    </cfRule>
  </conditionalFormatting>
  <conditionalFormatting sqref="F378">
    <cfRule type="cellIs" dxfId="1" priority="78" operator="equal">
      <formula>"Conquest"</formula>
    </cfRule>
  </conditionalFormatting>
  <conditionalFormatting sqref="F367">
    <cfRule type="cellIs" dxfId="3" priority="79" operator="equal">
      <formula>"Bluemetrix"</formula>
    </cfRule>
  </conditionalFormatting>
  <conditionalFormatting sqref="F367">
    <cfRule type="cellIs" dxfId="1" priority="80" operator="equal">
      <formula>"Conquest"</formula>
    </cfRule>
  </conditionalFormatting>
  <conditionalFormatting sqref="F367">
    <cfRule type="cellIs" dxfId="2" priority="81" operator="equal">
      <formula>"Voga"</formula>
    </cfRule>
  </conditionalFormatting>
  <conditionalFormatting sqref="F127">
    <cfRule type="cellIs" dxfId="1" priority="82" operator="equal">
      <formula>"Conquest"</formula>
    </cfRule>
  </conditionalFormatting>
  <conditionalFormatting sqref="F127">
    <cfRule type="cellIs" dxfId="2" priority="83" operator="equal">
      <formula>"Voga"</formula>
    </cfRule>
  </conditionalFormatting>
  <conditionalFormatting sqref="F127">
    <cfRule type="cellIs" dxfId="3" priority="84" operator="equal">
      <formula>"Bluemetrix"</formula>
    </cfRule>
  </conditionalFormatting>
  <conditionalFormatting sqref="F202">
    <cfRule type="cellIs" dxfId="1" priority="85" operator="equal">
      <formula>"Conquest"</formula>
    </cfRule>
  </conditionalFormatting>
  <conditionalFormatting sqref="F202">
    <cfRule type="cellIs" dxfId="2" priority="86" operator="equal">
      <formula>"Voga"</formula>
    </cfRule>
  </conditionalFormatting>
  <conditionalFormatting sqref="F202">
    <cfRule type="cellIs" dxfId="3" priority="87" operator="equal">
      <formula>"Bluemetrix"</formula>
    </cfRule>
  </conditionalFormatting>
  <conditionalFormatting sqref="F59">
    <cfRule type="cellIs" dxfId="1" priority="88" operator="equal">
      <formula>"Conquest"</formula>
    </cfRule>
  </conditionalFormatting>
  <conditionalFormatting sqref="F59">
    <cfRule type="cellIs" dxfId="2" priority="89" operator="equal">
      <formula>"Voga"</formula>
    </cfRule>
  </conditionalFormatting>
  <conditionalFormatting sqref="F59">
    <cfRule type="cellIs" dxfId="3" priority="90" operator="equal">
      <formula>"Bluemetrix"</formula>
    </cfRule>
  </conditionalFormatting>
  <conditionalFormatting sqref="F149">
    <cfRule type="cellIs" dxfId="1" priority="91" operator="equal">
      <formula>"Conquest"</formula>
    </cfRule>
  </conditionalFormatting>
  <conditionalFormatting sqref="F149">
    <cfRule type="cellIs" dxfId="2" priority="92" operator="equal">
      <formula>"Voga"</formula>
    </cfRule>
  </conditionalFormatting>
  <conditionalFormatting sqref="F149">
    <cfRule type="cellIs" dxfId="3" priority="93" operator="equal">
      <formula>"Bluemetrix"</formula>
    </cfRule>
  </conditionalFormatting>
  <conditionalFormatting sqref="F106">
    <cfRule type="cellIs" dxfId="1" priority="94" operator="equal">
      <formula>"Conquest"</formula>
    </cfRule>
  </conditionalFormatting>
  <conditionalFormatting sqref="F106">
    <cfRule type="cellIs" dxfId="2" priority="95" operator="equal">
      <formula>"Voga"</formula>
    </cfRule>
  </conditionalFormatting>
  <conditionalFormatting sqref="F106">
    <cfRule type="cellIs" dxfId="3" priority="96" operator="equal">
      <formula>"Bluemetrix"</formula>
    </cfRule>
  </conditionalFormatting>
  <conditionalFormatting sqref="F250">
    <cfRule type="cellIs" dxfId="1" priority="97" operator="equal">
      <formula>"Conquest"</formula>
    </cfRule>
  </conditionalFormatting>
  <conditionalFormatting sqref="F250">
    <cfRule type="cellIs" dxfId="2" priority="98" operator="equal">
      <formula>"Voga"</formula>
    </cfRule>
  </conditionalFormatting>
  <conditionalFormatting sqref="F250">
    <cfRule type="cellIs" dxfId="3" priority="99" operator="equal">
      <formula>"Bluemetrix"</formula>
    </cfRule>
  </conditionalFormatting>
  <dataValidations>
    <dataValidation type="list" allowBlank="1" showErrorMessage="1" sqref="E3:E395">
      <formula1>"DF,SUL,GO,BH"</formula1>
    </dataValidation>
    <dataValidation type="list" allowBlank="1" showErrorMessage="1" sqref="I3:I395">
      <formula1>"------,Sem Saldo,STVM Entrada,STVM Saída,Alteração de C.A,Monitoramento,Bloqueado,Resgate,Resgate Total,Troca de Assessoria,Distrato"</formula1>
    </dataValidation>
    <dataValidation type="list" allowBlank="1" showErrorMessage="1" sqref="W3:X395">
      <formula1>"Conservador,Moderado,Arrojado"</formula1>
    </dataValidation>
    <dataValidation type="list" allowBlank="1" showErrorMessage="1" sqref="V3:V395">
      <formula1>"Ativo,Inativo,Encerrado"</formula1>
    </dataValidation>
    <dataValidation type="list" allowBlank="1" showErrorMessage="1" sqref="D3:D395">
      <formula1>"Bluemetrix,Blanchor,Conquest,Voga,Matrice"</formula1>
    </dataValidation>
    <dataValidation type="list" allowBlank="1" showErrorMessage="1" sqref="P3:P210 P213:P395">
      <formula1>"0%,10%,15%,20%"</formula1>
    </dataValidation>
    <dataValidation type="list" allowBlank="1" showErrorMessage="1" sqref="O3:O230 O232:O395">
      <formula1>"CDI,IBOVESPA,IFIX,SMLL,S&amp;P500,------"</formula1>
    </dataValidation>
    <dataValidation type="list" allowBlank="1" showErrorMessage="1" sqref="H3:H395">
      <formula1>"Pode Operar,Ativo,Inativo,Encerrado"</formula1>
    </dataValidation>
    <dataValidation type="list" allowBlank="1" showErrorMessage="1" sqref="O231">
      <formula1>"IBOV,CDI,------,IFIX,SMALL,S&amp;P 500"</formula1>
    </dataValidation>
    <dataValidation type="list" allowBlank="1" showErrorMessage="1" sqref="S3:S39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14.5"/>
    <col customWidth="1" min="3" max="3" width="42.75"/>
    <col customWidth="1" min="4" max="4" width="8.25"/>
    <col customWidth="1" min="5" max="5" width="11.25"/>
    <col customWidth="1" min="6" max="6" width="5.75"/>
    <col customWidth="1" min="7" max="7" width="17.88"/>
    <col customWidth="1" hidden="1" min="8" max="8" width="16.0"/>
    <col customWidth="1" hidden="1" min="9" max="9" width="25.75"/>
    <col customWidth="1" min="10" max="10" width="15.0"/>
    <col customWidth="1" min="11" max="11" width="13.0"/>
    <col customWidth="1" min="12" max="12" width="17.5"/>
    <col customWidth="1" min="13" max="13" width="14.75"/>
    <col customWidth="1" min="14" max="14" width="10.25"/>
    <col customWidth="1" min="15" max="15" width="18.0"/>
    <col customWidth="1" min="16" max="16" width="13.13"/>
    <col customWidth="1" min="17" max="17" width="93.63"/>
    <col customWidth="1" min="18" max="18" width="15.5"/>
    <col customWidth="1" min="19" max="19" width="15.0"/>
    <col customWidth="1" min="20" max="20" width="8.88"/>
    <col customWidth="1" min="21" max="21" width="16.0"/>
    <col customWidth="1" min="22" max="22" width="9.63"/>
    <col customWidth="1" min="23" max="23" width="23.38"/>
    <col customWidth="1" min="24" max="24" width="23.25"/>
    <col customWidth="1" min="25" max="35" width="23.38"/>
    <col customWidth="1" min="36" max="36" width="23.25"/>
    <col customWidth="1" min="37" max="39" width="23.38"/>
    <col customWidth="1" min="40" max="71" width="18.75"/>
    <col customWidth="1" min="72" max="72" width="9.63"/>
  </cols>
  <sheetData>
    <row r="1" ht="15.75" customHeight="1">
      <c r="A1" s="432" t="s">
        <v>31</v>
      </c>
      <c r="B1" s="432" t="s">
        <v>17</v>
      </c>
      <c r="C1" s="433" t="s">
        <v>33</v>
      </c>
      <c r="D1" s="434" t="s">
        <v>2</v>
      </c>
      <c r="E1" s="435" t="s">
        <v>4</v>
      </c>
      <c r="F1" s="435" t="s">
        <v>5</v>
      </c>
      <c r="G1" s="435" t="s">
        <v>7</v>
      </c>
      <c r="H1" s="436" t="s">
        <v>2295</v>
      </c>
      <c r="I1" s="436" t="s">
        <v>2296</v>
      </c>
      <c r="J1" s="435" t="s">
        <v>37</v>
      </c>
      <c r="K1" s="436" t="s">
        <v>2297</v>
      </c>
      <c r="L1" s="433" t="s">
        <v>2298</v>
      </c>
      <c r="M1" s="434" t="s">
        <v>41</v>
      </c>
      <c r="N1" s="433" t="s">
        <v>42</v>
      </c>
      <c r="O1" s="434" t="s">
        <v>12</v>
      </c>
      <c r="P1" s="437" t="s">
        <v>45</v>
      </c>
      <c r="Q1" s="438" t="s">
        <v>2302</v>
      </c>
      <c r="R1" s="439" t="s">
        <v>2303</v>
      </c>
      <c r="S1" s="440" t="s">
        <v>2304</v>
      </c>
      <c r="T1" s="440" t="s">
        <v>2305</v>
      </c>
      <c r="U1" s="441" t="s">
        <v>2306</v>
      </c>
      <c r="V1" s="434" t="s">
        <v>22</v>
      </c>
      <c r="W1" s="434">
        <v>43769.0</v>
      </c>
      <c r="X1" s="434">
        <v>43799.0</v>
      </c>
      <c r="Y1" s="434">
        <v>43830.0</v>
      </c>
      <c r="Z1" s="434">
        <v>43861.0</v>
      </c>
      <c r="AA1" s="434">
        <v>43890.0</v>
      </c>
      <c r="AB1" s="434">
        <v>43921.0</v>
      </c>
      <c r="AC1" s="434">
        <v>43951.0</v>
      </c>
      <c r="AD1" s="434">
        <v>43982.0</v>
      </c>
      <c r="AE1" s="434">
        <v>44012.0</v>
      </c>
      <c r="AF1" s="434">
        <v>44043.0</v>
      </c>
      <c r="AG1" s="434">
        <v>44074.0</v>
      </c>
      <c r="AH1" s="434">
        <v>44104.0</v>
      </c>
      <c r="AI1" s="434">
        <v>44134.0</v>
      </c>
      <c r="AJ1" s="434">
        <v>44165.0</v>
      </c>
      <c r="AK1" s="441">
        <v>44196.0</v>
      </c>
      <c r="AL1" s="441">
        <v>44227.0</v>
      </c>
      <c r="AM1" s="441">
        <v>44255.0</v>
      </c>
      <c r="AN1" s="441">
        <v>44264.0</v>
      </c>
      <c r="AO1" s="441">
        <v>44286.0</v>
      </c>
      <c r="AP1" s="441">
        <v>44312.0</v>
      </c>
      <c r="AQ1" s="441">
        <v>44316.0</v>
      </c>
      <c r="AR1" s="441">
        <v>44347.0</v>
      </c>
      <c r="AS1" s="441">
        <v>44377.0</v>
      </c>
      <c r="AT1" s="441">
        <v>44408.0</v>
      </c>
      <c r="AU1" s="441">
        <v>44439.0</v>
      </c>
      <c r="AV1" s="441">
        <v>44469.0</v>
      </c>
      <c r="AW1" s="441">
        <v>44500.0</v>
      </c>
      <c r="AX1" s="441">
        <v>44530.0</v>
      </c>
      <c r="AY1" s="441">
        <v>44561.0</v>
      </c>
      <c r="AZ1" s="442">
        <v>44592.0</v>
      </c>
      <c r="BA1" s="442">
        <v>44620.0</v>
      </c>
      <c r="BB1" s="442">
        <v>44651.0</v>
      </c>
      <c r="BC1" s="442">
        <v>44680.0</v>
      </c>
      <c r="BD1" s="441">
        <v>44712.0</v>
      </c>
      <c r="BE1" s="442">
        <v>44742.0</v>
      </c>
      <c r="BF1" s="442">
        <v>44771.0</v>
      </c>
      <c r="BG1" s="442">
        <v>44804.0</v>
      </c>
      <c r="BH1" s="442">
        <v>44833.0</v>
      </c>
      <c r="BI1" s="442">
        <v>44865.0</v>
      </c>
      <c r="BJ1" s="442">
        <v>44895.0</v>
      </c>
      <c r="BK1" s="442">
        <v>44923.0</v>
      </c>
      <c r="BL1" s="442">
        <v>44957.0</v>
      </c>
      <c r="BM1" s="442">
        <v>44985.0</v>
      </c>
      <c r="BN1" s="442">
        <v>45016.0</v>
      </c>
      <c r="BO1" s="442">
        <v>45044.0</v>
      </c>
      <c r="BP1" s="442">
        <v>45077.0</v>
      </c>
      <c r="BQ1" s="442">
        <v>45103.0</v>
      </c>
      <c r="BR1" s="442">
        <v>45134.0</v>
      </c>
      <c r="BS1" s="443" t="s">
        <v>2311</v>
      </c>
      <c r="BT1" s="443"/>
    </row>
    <row r="2" ht="15.75" customHeight="1">
      <c r="A2" s="444" t="s">
        <v>98</v>
      </c>
      <c r="B2" s="445" t="s">
        <v>2313</v>
      </c>
      <c r="C2" s="316" t="s">
        <v>2314</v>
      </c>
      <c r="D2" s="446">
        <v>4926548.0</v>
      </c>
      <c r="E2" s="447" t="s">
        <v>120</v>
      </c>
      <c r="F2" s="448" t="s">
        <v>199</v>
      </c>
      <c r="G2" s="447" t="s">
        <v>628</v>
      </c>
      <c r="H2" s="447" t="str">
        <f>IFERROR(VLOOKUP(G2,'Cadastro de assessores'!A:B,2,FALSE),"Não Cadastrado")</f>
        <v>14739</v>
      </c>
      <c r="I2" s="447"/>
      <c r="J2" s="49" t="s">
        <v>2318</v>
      </c>
      <c r="K2" s="449" t="s">
        <v>183</v>
      </c>
      <c r="L2" s="450">
        <v>44475.0</v>
      </c>
      <c r="M2" s="451">
        <v>44482.0</v>
      </c>
      <c r="N2" s="446"/>
      <c r="O2" s="446" t="s">
        <v>2319</v>
      </c>
      <c r="P2" s="452">
        <v>0.02</v>
      </c>
      <c r="Q2" s="207"/>
      <c r="R2" s="453"/>
      <c r="S2" s="449" t="str">
        <f t="shared" ref="S2:S7" si="1">IF(BC2&lt;=0,"",IF(BC2&lt;=1000000,"Não Qualificado",IF(AND(BC2&gt;1000000,BC2&lt;=10000000),"Qualificado","Profissional")))</f>
        <v>Não Qualificado</v>
      </c>
      <c r="T2" s="449" t="s">
        <v>194</v>
      </c>
      <c r="U2" s="449" t="s">
        <v>2322</v>
      </c>
      <c r="V2" s="449" t="s">
        <v>54</v>
      </c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5"/>
      <c r="AH2" s="455"/>
      <c r="AI2" s="455"/>
      <c r="AJ2" s="456"/>
      <c r="AK2" s="456"/>
      <c r="AL2" s="456"/>
      <c r="AM2" s="456"/>
      <c r="AN2" s="456"/>
      <c r="AO2" s="456"/>
      <c r="AP2" s="456"/>
      <c r="AQ2" s="456"/>
      <c r="AR2" s="456"/>
      <c r="AS2" s="456"/>
      <c r="AT2" s="456"/>
      <c r="AU2" s="456"/>
      <c r="AV2" s="456"/>
      <c r="AW2" s="456">
        <v>114748.03</v>
      </c>
      <c r="AX2" s="456">
        <v>123862.49</v>
      </c>
      <c r="AY2" s="456">
        <v>125534.3</v>
      </c>
      <c r="AZ2" s="456">
        <v>130547.75</v>
      </c>
      <c r="BA2" s="456">
        <v>82966.01</v>
      </c>
      <c r="BB2" s="456">
        <v>377.27</v>
      </c>
      <c r="BC2" s="456">
        <v>376.7</v>
      </c>
      <c r="BD2" s="456">
        <v>377.39</v>
      </c>
      <c r="BE2" s="456">
        <v>377.39</v>
      </c>
      <c r="BF2" s="456">
        <v>377.39</v>
      </c>
      <c r="BG2" s="456">
        <v>377.39</v>
      </c>
      <c r="BH2" s="456">
        <v>377.39</v>
      </c>
      <c r="BI2" s="456">
        <v>377.39</v>
      </c>
      <c r="BJ2" s="456">
        <v>0.0</v>
      </c>
      <c r="BK2" s="456">
        <v>0.0</v>
      </c>
      <c r="BL2" s="456">
        <v>0.0</v>
      </c>
      <c r="BM2" s="456">
        <v>0.0</v>
      </c>
      <c r="BN2" s="456">
        <v>0.0</v>
      </c>
      <c r="BO2" s="456">
        <v>0.0</v>
      </c>
      <c r="BP2" s="456">
        <v>0.0</v>
      </c>
      <c r="BQ2" s="456">
        <v>0.0</v>
      </c>
      <c r="BR2" s="456">
        <v>0.0</v>
      </c>
      <c r="BS2" s="90">
        <v>0.0</v>
      </c>
      <c r="BT2" s="90"/>
    </row>
    <row r="3" ht="15.75" customHeight="1">
      <c r="A3" s="444" t="s">
        <v>98</v>
      </c>
      <c r="B3" s="445" t="s">
        <v>2337</v>
      </c>
      <c r="C3" s="458" t="s">
        <v>2338</v>
      </c>
      <c r="D3" s="449">
        <v>4653733.0</v>
      </c>
      <c r="E3" s="449" t="s">
        <v>120</v>
      </c>
      <c r="F3" s="449" t="s">
        <v>199</v>
      </c>
      <c r="G3" s="449" t="s">
        <v>2339</v>
      </c>
      <c r="H3" s="449" t="str">
        <f>IFERROR(VLOOKUP(G3,'Cadastro de assessores'!A:B,2,FALSE),"Não Cadastrado")</f>
        <v>17679</v>
      </c>
      <c r="I3" s="449"/>
      <c r="J3" s="49" t="s">
        <v>224</v>
      </c>
      <c r="K3" s="449" t="s">
        <v>2340</v>
      </c>
      <c r="L3" s="459">
        <v>44186.0</v>
      </c>
      <c r="M3" s="459">
        <v>44186.0</v>
      </c>
      <c r="N3" s="460">
        <v>44456.0</v>
      </c>
      <c r="O3" s="449" t="s">
        <v>2341</v>
      </c>
      <c r="P3" s="452">
        <v>0.015</v>
      </c>
      <c r="Q3" s="461" t="s">
        <v>2342</v>
      </c>
      <c r="R3" s="453"/>
      <c r="S3" s="449" t="str">
        <f t="shared" si="1"/>
        <v/>
      </c>
      <c r="T3" s="449" t="s">
        <v>194</v>
      </c>
      <c r="U3" s="449" t="s">
        <v>2343</v>
      </c>
      <c r="V3" s="449" t="s">
        <v>199</v>
      </c>
      <c r="W3" s="455" t="s">
        <v>2344</v>
      </c>
      <c r="X3" s="455" t="s">
        <v>2344</v>
      </c>
      <c r="Y3" s="455" t="s">
        <v>2344</v>
      </c>
      <c r="Z3" s="455" t="s">
        <v>2344</v>
      </c>
      <c r="AA3" s="455" t="s">
        <v>2344</v>
      </c>
      <c r="AB3" s="455" t="s">
        <v>2344</v>
      </c>
      <c r="AC3" s="455" t="s">
        <v>2344</v>
      </c>
      <c r="AD3" s="455" t="s">
        <v>2344</v>
      </c>
      <c r="AE3" s="455" t="s">
        <v>2344</v>
      </c>
      <c r="AF3" s="455" t="s">
        <v>2344</v>
      </c>
      <c r="AG3" s="455" t="s">
        <v>2344</v>
      </c>
      <c r="AH3" s="455" t="s">
        <v>2344</v>
      </c>
      <c r="AI3" s="455" t="s">
        <v>2344</v>
      </c>
      <c r="AJ3" s="455" t="s">
        <v>2344</v>
      </c>
      <c r="AK3" s="456">
        <v>100649.04</v>
      </c>
      <c r="AL3" s="456">
        <v>99628.9</v>
      </c>
      <c r="AM3" s="456">
        <v>96436.89</v>
      </c>
      <c r="AN3" s="456">
        <v>96168.94</v>
      </c>
      <c r="AO3" s="456">
        <v>99059.92</v>
      </c>
      <c r="AP3" s="456">
        <v>99757.35</v>
      </c>
      <c r="AQ3" s="456">
        <v>99387.09</v>
      </c>
      <c r="AR3" s="456">
        <v>101755.71</v>
      </c>
      <c r="AS3" s="456">
        <v>101052.42</v>
      </c>
      <c r="AT3" s="456">
        <v>99114.69</v>
      </c>
      <c r="AU3" s="456">
        <v>98559.47</v>
      </c>
      <c r="AV3" s="456"/>
      <c r="AW3" s="456"/>
      <c r="AX3" s="456"/>
      <c r="AY3" s="456"/>
      <c r="AZ3" s="456"/>
      <c r="BA3" s="456">
        <v>0.0</v>
      </c>
      <c r="BB3" s="456">
        <v>0.0</v>
      </c>
      <c r="BC3" s="456"/>
      <c r="BD3" s="456" t="s">
        <v>377</v>
      </c>
      <c r="BE3" s="456" t="s">
        <v>377</v>
      </c>
      <c r="BF3" s="456">
        <v>0.0</v>
      </c>
      <c r="BG3" s="456">
        <v>0.0</v>
      </c>
      <c r="BH3" s="456">
        <v>0.0</v>
      </c>
      <c r="BI3" s="456">
        <v>0.0</v>
      </c>
      <c r="BJ3" s="456">
        <v>0.0</v>
      </c>
      <c r="BK3" s="456">
        <v>0.0</v>
      </c>
      <c r="BL3" s="456">
        <v>0.0</v>
      </c>
      <c r="BM3" s="456">
        <v>0.0</v>
      </c>
      <c r="BN3" s="456">
        <v>0.0</v>
      </c>
      <c r="BO3" s="456">
        <v>0.0</v>
      </c>
      <c r="BP3" s="456">
        <v>0.0</v>
      </c>
      <c r="BQ3" s="456">
        <v>0.0</v>
      </c>
      <c r="BR3" s="456">
        <v>0.0</v>
      </c>
      <c r="BS3" s="90" t="s">
        <v>268</v>
      </c>
      <c r="BT3" s="90"/>
    </row>
    <row r="4" ht="15.75" customHeight="1">
      <c r="A4" s="444" t="s">
        <v>98</v>
      </c>
      <c r="B4" s="445" t="s">
        <v>2353</v>
      </c>
      <c r="C4" s="463" t="s">
        <v>2354</v>
      </c>
      <c r="D4" s="447">
        <v>4084071.0</v>
      </c>
      <c r="E4" s="447" t="s">
        <v>120</v>
      </c>
      <c r="F4" s="447" t="s">
        <v>199</v>
      </c>
      <c r="G4" s="447" t="s">
        <v>2355</v>
      </c>
      <c r="H4" s="447">
        <f>IFERROR(VLOOKUP(G4,'Cadastro de assessores'!A:B,2,FALSE),"Não Cadastrado")</f>
        <v>12336</v>
      </c>
      <c r="I4" s="447"/>
      <c r="J4" s="49" t="s">
        <v>2318</v>
      </c>
      <c r="K4" s="449" t="s">
        <v>183</v>
      </c>
      <c r="L4" s="450">
        <v>44323.0</v>
      </c>
      <c r="M4" s="450">
        <v>44326.0</v>
      </c>
      <c r="N4" s="449"/>
      <c r="O4" s="446" t="s">
        <v>2356</v>
      </c>
      <c r="P4" s="465">
        <v>0.007</v>
      </c>
      <c r="Q4" s="466"/>
      <c r="R4" s="453"/>
      <c r="S4" s="449" t="str">
        <f t="shared" si="1"/>
        <v>Não Qualificado</v>
      </c>
      <c r="T4" s="449" t="s">
        <v>194</v>
      </c>
      <c r="U4" s="449" t="s">
        <v>2357</v>
      </c>
      <c r="V4" s="449" t="s">
        <v>199</v>
      </c>
      <c r="W4" s="455"/>
      <c r="X4" s="455"/>
      <c r="Y4" s="455"/>
      <c r="Z4" s="455"/>
      <c r="AA4" s="455"/>
      <c r="AB4" s="455"/>
      <c r="AC4" s="455"/>
      <c r="AD4" s="455"/>
      <c r="AE4" s="455"/>
      <c r="AF4" s="455"/>
      <c r="AG4" s="455"/>
      <c r="AH4" s="455"/>
      <c r="AI4" s="455"/>
      <c r="AJ4" s="455"/>
      <c r="AK4" s="456"/>
      <c r="AL4" s="456"/>
      <c r="AM4" s="456"/>
      <c r="AN4" s="456"/>
      <c r="AO4" s="456"/>
      <c r="AP4" s="456"/>
      <c r="AQ4" s="456"/>
      <c r="AR4" s="456">
        <v>203522.45</v>
      </c>
      <c r="AS4" s="456">
        <v>202401.02</v>
      </c>
      <c r="AT4" s="456">
        <v>198315.41</v>
      </c>
      <c r="AU4" s="456">
        <v>197175.62</v>
      </c>
      <c r="AV4" s="456">
        <v>143976.94</v>
      </c>
      <c r="AW4" s="456">
        <v>139370.09</v>
      </c>
      <c r="AX4" s="456">
        <v>139313.39</v>
      </c>
      <c r="AY4" s="456">
        <v>140925.14</v>
      </c>
      <c r="AZ4" s="456">
        <v>144419.1</v>
      </c>
      <c r="BA4" s="456">
        <v>145659.2</v>
      </c>
      <c r="BB4" s="456">
        <v>150095.81</v>
      </c>
      <c r="BC4" s="456">
        <v>703678.73</v>
      </c>
      <c r="BD4" s="456">
        <v>133106.58</v>
      </c>
      <c r="BE4" s="456">
        <v>315.11</v>
      </c>
      <c r="BF4" s="456">
        <v>266.53</v>
      </c>
      <c r="BG4" s="456">
        <v>339.38</v>
      </c>
      <c r="BH4" s="456">
        <v>339.38</v>
      </c>
      <c r="BI4" s="456">
        <v>339.38</v>
      </c>
      <c r="BJ4" s="456">
        <v>339.38</v>
      </c>
      <c r="BK4" s="456">
        <v>339.38</v>
      </c>
      <c r="BL4" s="456">
        <v>543.45</v>
      </c>
      <c r="BM4" s="456">
        <v>543.45</v>
      </c>
      <c r="BN4" s="456">
        <v>543.45</v>
      </c>
      <c r="BO4" s="456">
        <v>543.45</v>
      </c>
      <c r="BP4" s="456">
        <v>543.45</v>
      </c>
      <c r="BQ4" s="456">
        <v>543.45</v>
      </c>
      <c r="BR4" s="456">
        <v>543.45</v>
      </c>
      <c r="BS4" s="90">
        <v>0.0</v>
      </c>
      <c r="BT4" s="90"/>
    </row>
    <row r="5" ht="15.75" customHeight="1">
      <c r="A5" s="444" t="s">
        <v>98</v>
      </c>
      <c r="B5" s="445" t="s">
        <v>449</v>
      </c>
      <c r="C5" s="468" t="s">
        <v>2363</v>
      </c>
      <c r="D5" s="469">
        <v>2602612.0</v>
      </c>
      <c r="E5" s="447" t="s">
        <v>120</v>
      </c>
      <c r="F5" s="447" t="s">
        <v>54</v>
      </c>
      <c r="G5" s="447" t="s">
        <v>348</v>
      </c>
      <c r="H5" s="447">
        <f>IFERROR(VLOOKUP(G5,'Cadastro de assessores'!A:B,2,FALSE),"Não Cadastrado")</f>
        <v>12331</v>
      </c>
      <c r="I5" s="447"/>
      <c r="J5" s="49" t="s">
        <v>2318</v>
      </c>
      <c r="K5" s="449" t="s">
        <v>183</v>
      </c>
      <c r="L5" s="470">
        <v>44642.0</v>
      </c>
      <c r="M5" s="470">
        <v>44642.0</v>
      </c>
      <c r="N5" s="446"/>
      <c r="O5" s="446" t="s">
        <v>2365</v>
      </c>
      <c r="P5" s="452">
        <v>0.012</v>
      </c>
      <c r="Q5" s="466" t="s">
        <v>2366</v>
      </c>
      <c r="R5" s="453"/>
      <c r="S5" s="449" t="str">
        <f t="shared" si="1"/>
        <v>Não Qualificado</v>
      </c>
      <c r="T5" s="449" t="s">
        <v>194</v>
      </c>
      <c r="U5" s="449"/>
      <c r="V5" s="449" t="s">
        <v>54</v>
      </c>
      <c r="W5" s="455"/>
      <c r="X5" s="455"/>
      <c r="Y5" s="455"/>
      <c r="Z5" s="455"/>
      <c r="AA5" s="455"/>
      <c r="AB5" s="455"/>
      <c r="AC5" s="455"/>
      <c r="AD5" s="455"/>
      <c r="AE5" s="455"/>
      <c r="AF5" s="455"/>
      <c r="AG5" s="455"/>
      <c r="AH5" s="455"/>
      <c r="AI5" s="455"/>
      <c r="AJ5" s="455"/>
      <c r="AK5" s="456"/>
      <c r="AL5" s="456"/>
      <c r="AM5" s="456"/>
      <c r="AN5" s="456"/>
      <c r="AO5" s="456"/>
      <c r="AP5" s="456"/>
      <c r="AQ5" s="456"/>
      <c r="AR5" s="456"/>
      <c r="AS5" s="456"/>
      <c r="AT5" s="456"/>
      <c r="AU5" s="456"/>
      <c r="AV5" s="456"/>
      <c r="AW5" s="456"/>
      <c r="AX5" s="456"/>
      <c r="AY5" s="456"/>
      <c r="AZ5" s="456"/>
      <c r="BA5" s="456"/>
      <c r="BB5" s="456"/>
      <c r="BC5" s="456">
        <v>612277.07</v>
      </c>
      <c r="BD5" s="456">
        <v>809132.82</v>
      </c>
      <c r="BE5" s="456">
        <v>785256.96</v>
      </c>
      <c r="BF5" s="456">
        <v>807670.01</v>
      </c>
      <c r="BG5" s="456">
        <v>819930.3965</v>
      </c>
      <c r="BH5" s="456">
        <v>817886.77</v>
      </c>
      <c r="BI5" s="456">
        <v>837354.72</v>
      </c>
      <c r="BJ5" s="456">
        <v>841120.48</v>
      </c>
      <c r="BK5" s="456">
        <v>834772.66</v>
      </c>
      <c r="BL5" s="456">
        <v>835832.58</v>
      </c>
      <c r="BM5" s="456">
        <v>840857.7</v>
      </c>
      <c r="BN5" s="456">
        <v>26.58</v>
      </c>
      <c r="BO5" s="456">
        <v>26.58</v>
      </c>
      <c r="BP5" s="456">
        <v>26.58</v>
      </c>
      <c r="BQ5" s="456">
        <v>26.58</v>
      </c>
      <c r="BR5" s="456">
        <v>26.58</v>
      </c>
      <c r="BS5" s="90">
        <v>0.0</v>
      </c>
      <c r="BT5" s="90"/>
    </row>
    <row r="6" ht="15.75" customHeight="1">
      <c r="A6" s="444" t="s">
        <v>98</v>
      </c>
      <c r="B6" s="445" t="s">
        <v>2369</v>
      </c>
      <c r="C6" s="473" t="s">
        <v>2370</v>
      </c>
      <c r="D6" s="475">
        <v>4442405.0</v>
      </c>
      <c r="E6" s="447" t="s">
        <v>120</v>
      </c>
      <c r="F6" s="447" t="s">
        <v>54</v>
      </c>
      <c r="G6" s="447" t="s">
        <v>379</v>
      </c>
      <c r="H6" s="447" t="str">
        <f>IFERROR(VLOOKUP(G6,'Cadastro de assessores'!A:B,2,FALSE),"Não Cadastrado")</f>
        <v>18009</v>
      </c>
      <c r="I6" s="447"/>
      <c r="J6" s="49" t="s">
        <v>2318</v>
      </c>
      <c r="K6" s="449" t="s">
        <v>183</v>
      </c>
      <c r="L6" s="450">
        <v>44084.0</v>
      </c>
      <c r="M6" s="450">
        <v>44084.0</v>
      </c>
      <c r="N6" s="449"/>
      <c r="O6" s="449" t="s">
        <v>2372</v>
      </c>
      <c r="P6" s="452">
        <v>0.025</v>
      </c>
      <c r="Q6" s="466" t="s">
        <v>2373</v>
      </c>
      <c r="R6" s="453"/>
      <c r="S6" s="449" t="str">
        <f t="shared" si="1"/>
        <v>Não Qualificado</v>
      </c>
      <c r="T6" s="449" t="s">
        <v>194</v>
      </c>
      <c r="U6" s="449" t="s">
        <v>2374</v>
      </c>
      <c r="V6" s="449" t="s">
        <v>199</v>
      </c>
      <c r="W6" s="455" t="s">
        <v>2344</v>
      </c>
      <c r="X6" s="455" t="s">
        <v>2344</v>
      </c>
      <c r="Y6" s="455" t="s">
        <v>2344</v>
      </c>
      <c r="Z6" s="455" t="s">
        <v>2344</v>
      </c>
      <c r="AA6" s="455" t="s">
        <v>2344</v>
      </c>
      <c r="AB6" s="455" t="s">
        <v>2344</v>
      </c>
      <c r="AC6" s="455" t="s">
        <v>2344</v>
      </c>
      <c r="AD6" s="455" t="s">
        <v>2344</v>
      </c>
      <c r="AE6" s="455" t="s">
        <v>2344</v>
      </c>
      <c r="AF6" s="455" t="s">
        <v>2344</v>
      </c>
      <c r="AG6" s="455" t="s">
        <v>2344</v>
      </c>
      <c r="AH6" s="455" t="s">
        <v>2375</v>
      </c>
      <c r="AI6" s="455" t="s">
        <v>2376</v>
      </c>
      <c r="AJ6" s="455" t="s">
        <v>2377</v>
      </c>
      <c r="AK6" s="456">
        <v>344817.66</v>
      </c>
      <c r="AL6" s="456">
        <v>330077.48</v>
      </c>
      <c r="AM6" s="456">
        <v>306962.09</v>
      </c>
      <c r="AN6" s="456">
        <v>304921.19</v>
      </c>
      <c r="AO6" s="456">
        <v>330112.72</v>
      </c>
      <c r="AP6" s="456">
        <v>334482.83</v>
      </c>
      <c r="AQ6" s="456">
        <v>331002.11</v>
      </c>
      <c r="AR6" s="456">
        <v>605334.2</v>
      </c>
      <c r="AS6" s="456">
        <v>738371.21</v>
      </c>
      <c r="AT6" s="456">
        <v>698930.16</v>
      </c>
      <c r="AU6" s="456">
        <v>682628.01</v>
      </c>
      <c r="AV6" s="456">
        <v>642724.51</v>
      </c>
      <c r="AW6" s="456">
        <v>594862.12</v>
      </c>
      <c r="AX6" s="456">
        <v>588418.12</v>
      </c>
      <c r="AY6" s="456">
        <v>594700.22</v>
      </c>
      <c r="AZ6" s="456">
        <v>637599.92</v>
      </c>
      <c r="BA6" s="456">
        <v>644225.03</v>
      </c>
      <c r="BB6" s="456">
        <v>616369.29</v>
      </c>
      <c r="BC6" s="456">
        <v>95442.29</v>
      </c>
      <c r="BD6" s="456">
        <v>7052.6</v>
      </c>
      <c r="BE6" s="456">
        <v>7174.74</v>
      </c>
      <c r="BF6" s="456">
        <v>67.18</v>
      </c>
      <c r="BG6" s="456">
        <v>991.14</v>
      </c>
      <c r="BH6" s="456">
        <v>991.14</v>
      </c>
      <c r="BI6" s="456">
        <v>991.14</v>
      </c>
      <c r="BJ6" s="456">
        <v>991.14</v>
      </c>
      <c r="BK6" s="456">
        <v>1.14</v>
      </c>
      <c r="BL6" s="456">
        <v>524.85</v>
      </c>
      <c r="BM6" s="456">
        <v>39.44</v>
      </c>
      <c r="BN6" s="456">
        <v>40.17</v>
      </c>
      <c r="BO6" s="456">
        <v>41.08</v>
      </c>
      <c r="BP6" s="456">
        <v>42.03</v>
      </c>
      <c r="BQ6" s="456">
        <v>45.95</v>
      </c>
      <c r="BR6" s="456">
        <v>44.27</v>
      </c>
      <c r="BS6" s="90">
        <v>0.15</v>
      </c>
      <c r="BT6" s="90"/>
    </row>
    <row r="7" ht="15.75" customHeight="1">
      <c r="A7" s="444" t="s">
        <v>98</v>
      </c>
      <c r="B7" s="445" t="s">
        <v>298</v>
      </c>
      <c r="C7" s="463" t="s">
        <v>291</v>
      </c>
      <c r="D7" s="447">
        <v>4461647.0</v>
      </c>
      <c r="E7" s="447" t="s">
        <v>120</v>
      </c>
      <c r="F7" s="447" t="s">
        <v>199</v>
      </c>
      <c r="G7" s="447" t="s">
        <v>290</v>
      </c>
      <c r="H7" s="447">
        <f>IFERROR(VLOOKUP(G7,'Cadastro de assessores'!A:B,2,FALSE),"Não Cadastrado")</f>
        <v>12332</v>
      </c>
      <c r="I7" s="447"/>
      <c r="J7" s="49" t="s">
        <v>2318</v>
      </c>
      <c r="K7" s="449" t="s">
        <v>183</v>
      </c>
      <c r="L7" s="450">
        <v>44090.0</v>
      </c>
      <c r="M7" s="450">
        <v>44092.0</v>
      </c>
      <c r="N7" s="449"/>
      <c r="O7" s="449" t="s">
        <v>2365</v>
      </c>
      <c r="P7" s="452">
        <v>0.012</v>
      </c>
      <c r="Q7" s="466" t="s">
        <v>2382</v>
      </c>
      <c r="R7" s="453"/>
      <c r="S7" s="449" t="str">
        <f t="shared" si="1"/>
        <v/>
      </c>
      <c r="T7" s="449" t="s">
        <v>194</v>
      </c>
      <c r="U7" s="449" t="s">
        <v>2383</v>
      </c>
      <c r="V7" s="449" t="s">
        <v>199</v>
      </c>
      <c r="W7" s="455" t="s">
        <v>2344</v>
      </c>
      <c r="X7" s="455" t="s">
        <v>2344</v>
      </c>
      <c r="Y7" s="455" t="s">
        <v>2344</v>
      </c>
      <c r="Z7" s="455" t="s">
        <v>2344</v>
      </c>
      <c r="AA7" s="455" t="s">
        <v>2344</v>
      </c>
      <c r="AB7" s="455" t="s">
        <v>2344</v>
      </c>
      <c r="AC7" s="455" t="s">
        <v>2344</v>
      </c>
      <c r="AD7" s="455" t="s">
        <v>2344</v>
      </c>
      <c r="AE7" s="455" t="s">
        <v>2344</v>
      </c>
      <c r="AF7" s="455" t="s">
        <v>2344</v>
      </c>
      <c r="AG7" s="455" t="s">
        <v>2344</v>
      </c>
      <c r="AH7" s="455" t="s">
        <v>2384</v>
      </c>
      <c r="AI7" s="455" t="s">
        <v>2385</v>
      </c>
      <c r="AJ7" s="455" t="s">
        <v>2386</v>
      </c>
      <c r="AK7" s="456">
        <v>363397.84</v>
      </c>
      <c r="AL7" s="456">
        <v>359498.99</v>
      </c>
      <c r="AM7" s="456">
        <v>352376.48</v>
      </c>
      <c r="AN7" s="456">
        <v>350686.02</v>
      </c>
      <c r="AO7" s="456">
        <v>355491.38</v>
      </c>
      <c r="AP7" s="456">
        <v>356674.15</v>
      </c>
      <c r="AQ7" s="456">
        <v>356027.31</v>
      </c>
      <c r="AR7" s="456">
        <v>360268.09</v>
      </c>
      <c r="AS7" s="456">
        <v>359567.88</v>
      </c>
      <c r="AT7" s="456">
        <v>356696.73</v>
      </c>
      <c r="AU7" s="456">
        <v>356464.05</v>
      </c>
      <c r="AV7" s="456">
        <v>403728.88</v>
      </c>
      <c r="AW7" s="456">
        <v>392764.94</v>
      </c>
      <c r="AX7" s="456">
        <v>396765.66</v>
      </c>
      <c r="AY7" s="456">
        <v>402295.61</v>
      </c>
      <c r="AZ7" s="456">
        <v>407270.58</v>
      </c>
      <c r="BA7" s="456">
        <v>408882.88</v>
      </c>
      <c r="BB7" s="456">
        <v>420273.26</v>
      </c>
      <c r="BC7" s="456"/>
      <c r="BD7" s="456">
        <v>427985.26</v>
      </c>
      <c r="BE7" s="456">
        <v>429182.03</v>
      </c>
      <c r="BF7" s="456">
        <v>434748.64</v>
      </c>
      <c r="BG7" s="456">
        <v>436369.8711</v>
      </c>
      <c r="BH7" s="456">
        <v>437723.9</v>
      </c>
      <c r="BI7" s="456">
        <v>445414.97</v>
      </c>
      <c r="BJ7" s="456">
        <v>446016.38</v>
      </c>
      <c r="BK7" s="456">
        <v>449211.57</v>
      </c>
      <c r="BL7" s="456">
        <v>453569.69</v>
      </c>
      <c r="BM7" s="456">
        <v>455013.65</v>
      </c>
      <c r="BN7" s="456">
        <v>124724.97</v>
      </c>
      <c r="BO7" s="456">
        <v>832.0</v>
      </c>
      <c r="BP7" s="456">
        <v>0.0</v>
      </c>
      <c r="BQ7" s="456">
        <v>0.0</v>
      </c>
      <c r="BR7" s="456">
        <v>0.0</v>
      </c>
      <c r="BS7" s="90">
        <v>0.01</v>
      </c>
      <c r="BT7" s="90"/>
    </row>
    <row r="8" ht="15.75" customHeight="1">
      <c r="A8" s="444" t="s">
        <v>98</v>
      </c>
      <c r="B8" s="445" t="s">
        <v>298</v>
      </c>
      <c r="C8" s="463" t="s">
        <v>291</v>
      </c>
      <c r="D8" s="447">
        <v>3345620.0</v>
      </c>
      <c r="E8" s="447" t="s">
        <v>120</v>
      </c>
      <c r="F8" s="447" t="s">
        <v>199</v>
      </c>
      <c r="G8" s="447" t="s">
        <v>290</v>
      </c>
      <c r="H8" s="447">
        <f>IFERROR(VLOOKUP(G8,'Cadastro de assessores'!A:B,2,FALSE),"Não Cadastrado")</f>
        <v>12332</v>
      </c>
      <c r="I8" s="447"/>
      <c r="J8" s="74" t="s">
        <v>183</v>
      </c>
      <c r="K8" s="449"/>
      <c r="L8" s="450"/>
      <c r="M8" s="450">
        <v>44960.0</v>
      </c>
      <c r="N8" s="449"/>
      <c r="O8" s="449" t="s">
        <v>2356</v>
      </c>
      <c r="P8" s="452">
        <v>0.01</v>
      </c>
      <c r="Q8" s="466"/>
      <c r="R8" s="453"/>
      <c r="S8" s="449"/>
      <c r="T8" s="449"/>
      <c r="U8" s="449"/>
      <c r="V8" s="449" t="s">
        <v>28</v>
      </c>
      <c r="W8" s="455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55"/>
      <c r="AK8" s="456"/>
      <c r="AL8" s="456"/>
      <c r="AM8" s="456"/>
      <c r="AN8" s="456"/>
      <c r="AO8" s="456"/>
      <c r="AP8" s="456"/>
      <c r="AQ8" s="456"/>
      <c r="AR8" s="456"/>
      <c r="AS8" s="456"/>
      <c r="AT8" s="456"/>
      <c r="AU8" s="456"/>
      <c r="AV8" s="456"/>
      <c r="AW8" s="456"/>
      <c r="AX8" s="456"/>
      <c r="AY8" s="456"/>
      <c r="AZ8" s="456"/>
      <c r="BA8" s="456"/>
      <c r="BB8" s="456"/>
      <c r="BC8" s="456"/>
      <c r="BD8" s="456"/>
      <c r="BE8" s="456"/>
      <c r="BF8" s="456"/>
      <c r="BG8" s="456"/>
      <c r="BH8" s="456"/>
      <c r="BI8" s="456"/>
      <c r="BJ8" s="456">
        <v>0.0</v>
      </c>
      <c r="BK8" s="456">
        <v>1737168.97</v>
      </c>
      <c r="BL8" s="456">
        <v>1760272.19</v>
      </c>
      <c r="BM8" s="456">
        <v>1769009.75</v>
      </c>
      <c r="BN8" s="456">
        <v>774232.52</v>
      </c>
      <c r="BO8" s="456">
        <v>775749.75</v>
      </c>
      <c r="BP8" s="456">
        <v>470109.41</v>
      </c>
      <c r="BQ8" s="456">
        <v>473139.71</v>
      </c>
      <c r="BR8" s="456">
        <v>446787.16</v>
      </c>
      <c r="BS8" s="90">
        <v>208597.8</v>
      </c>
      <c r="BT8" s="90"/>
    </row>
    <row r="9" ht="15.75" customHeight="1">
      <c r="A9" s="444" t="s">
        <v>98</v>
      </c>
      <c r="B9" s="445" t="s">
        <v>2391</v>
      </c>
      <c r="C9" s="458" t="s">
        <v>2392</v>
      </c>
      <c r="D9" s="447">
        <v>3679808.0</v>
      </c>
      <c r="E9" s="447" t="s">
        <v>120</v>
      </c>
      <c r="F9" s="447" t="s">
        <v>54</v>
      </c>
      <c r="G9" s="447" t="s">
        <v>2393</v>
      </c>
      <c r="H9" s="447">
        <f>IFERROR(VLOOKUP(G9,'Cadastro de assessores'!A:B,2,FALSE),"Não Cadastrado")</f>
        <v>12350</v>
      </c>
      <c r="I9" s="447" t="s">
        <v>563</v>
      </c>
      <c r="J9" s="49" t="s">
        <v>2318</v>
      </c>
      <c r="K9" s="449"/>
      <c r="L9" s="450"/>
      <c r="M9" s="450"/>
      <c r="N9" s="449"/>
      <c r="O9" s="449" t="s">
        <v>2341</v>
      </c>
      <c r="P9" s="452">
        <v>0.015</v>
      </c>
      <c r="Q9" s="466"/>
      <c r="R9" s="453"/>
      <c r="S9" s="449"/>
      <c r="T9" s="449"/>
      <c r="U9" s="449"/>
      <c r="V9" s="449" t="s">
        <v>54</v>
      </c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55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>
        <v>0.0</v>
      </c>
      <c r="BI9" s="456">
        <v>0.0</v>
      </c>
      <c r="BJ9" s="456">
        <v>0.0</v>
      </c>
      <c r="BK9" s="456">
        <v>0.0</v>
      </c>
      <c r="BL9" s="456">
        <v>0.0</v>
      </c>
      <c r="BM9" s="456">
        <v>0.0</v>
      </c>
      <c r="BN9" s="456">
        <v>0.0</v>
      </c>
      <c r="BO9" s="456">
        <v>0.0</v>
      </c>
      <c r="BP9" s="456">
        <v>0.0</v>
      </c>
      <c r="BQ9" s="456">
        <v>0.0</v>
      </c>
      <c r="BR9" s="456">
        <v>0.0</v>
      </c>
      <c r="BS9" s="90">
        <v>0.0</v>
      </c>
      <c r="BT9" s="90"/>
    </row>
    <row r="10" ht="15.75" customHeight="1">
      <c r="A10" s="444" t="s">
        <v>98</v>
      </c>
      <c r="B10" s="445" t="s">
        <v>629</v>
      </c>
      <c r="C10" s="458" t="s">
        <v>619</v>
      </c>
      <c r="D10" s="447">
        <v>2204868.0</v>
      </c>
      <c r="E10" s="447" t="s">
        <v>120</v>
      </c>
      <c r="F10" s="447" t="s">
        <v>199</v>
      </c>
      <c r="G10" s="447" t="s">
        <v>841</v>
      </c>
      <c r="H10" s="447" t="str">
        <f>IFERROR(VLOOKUP(G10,'Cadastro de assessores'!A:B,2,FALSE),"Não Cadastrado")</f>
        <v>18256</v>
      </c>
      <c r="I10" s="447"/>
      <c r="J10" s="49" t="s">
        <v>2318</v>
      </c>
      <c r="K10" s="449" t="s">
        <v>183</v>
      </c>
      <c r="L10" s="450">
        <v>44252.0</v>
      </c>
      <c r="M10" s="450">
        <v>44252.0</v>
      </c>
      <c r="N10" s="449"/>
      <c r="O10" s="449" t="s">
        <v>2341</v>
      </c>
      <c r="P10" s="452">
        <v>0.015</v>
      </c>
      <c r="Q10" s="466" t="s">
        <v>2400</v>
      </c>
      <c r="R10" s="453"/>
      <c r="S10" s="449" t="str">
        <f t="shared" ref="S10:S12" si="2">IF(BC10&lt;=0,"",IF(BC10&lt;=1000000,"Não Qualificado",IF(AND(BC10&gt;1000000,BC10&lt;=10000000),"Qualificado","Profissional")))</f>
        <v>Não Qualificado</v>
      </c>
      <c r="T10" s="449" t="s">
        <v>194</v>
      </c>
      <c r="U10" s="449" t="s">
        <v>2401</v>
      </c>
      <c r="V10" s="449" t="s">
        <v>199</v>
      </c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6"/>
      <c r="AL10" s="456"/>
      <c r="AM10" s="456">
        <v>235876.29</v>
      </c>
      <c r="AN10" s="456">
        <v>235783.9</v>
      </c>
      <c r="AO10" s="456">
        <v>250539.16</v>
      </c>
      <c r="AP10" s="456">
        <v>252073.3</v>
      </c>
      <c r="AQ10" s="456">
        <v>250679.05</v>
      </c>
      <c r="AR10" s="456">
        <v>257713.82</v>
      </c>
      <c r="AS10" s="456">
        <v>255353.62</v>
      </c>
      <c r="AT10" s="456">
        <v>249407.39</v>
      </c>
      <c r="AU10" s="456">
        <v>247206.51</v>
      </c>
      <c r="AV10" s="456">
        <v>241313.65</v>
      </c>
      <c r="AW10" s="456">
        <v>233732.72</v>
      </c>
      <c r="AX10" s="456">
        <v>233329.88</v>
      </c>
      <c r="AY10" s="456">
        <v>235669.41</v>
      </c>
      <c r="AZ10" s="456">
        <v>244081.21</v>
      </c>
      <c r="BA10" s="456">
        <v>246240.27</v>
      </c>
      <c r="BB10" s="456">
        <v>255112.93</v>
      </c>
      <c r="BC10" s="456">
        <v>846942.76</v>
      </c>
      <c r="BD10" s="456">
        <v>251995.16</v>
      </c>
      <c r="BE10" s="456">
        <v>250785.8</v>
      </c>
      <c r="BF10" s="456">
        <v>256570.19</v>
      </c>
      <c r="BG10" s="456">
        <v>259308.6609</v>
      </c>
      <c r="BH10" s="456">
        <v>466391.38</v>
      </c>
      <c r="BI10" s="456">
        <v>503023.88</v>
      </c>
      <c r="BJ10" s="456">
        <v>498973.71</v>
      </c>
      <c r="BK10" s="456">
        <v>498101.01</v>
      </c>
      <c r="BL10" s="456">
        <v>506337.29</v>
      </c>
      <c r="BM10" s="456">
        <v>311708.79</v>
      </c>
      <c r="BN10" s="456">
        <v>275.96</v>
      </c>
      <c r="BO10" s="456">
        <v>0.0</v>
      </c>
      <c r="BP10" s="456">
        <v>0.0</v>
      </c>
      <c r="BQ10" s="456">
        <v>0.0</v>
      </c>
      <c r="BR10" s="456">
        <v>0.0</v>
      </c>
      <c r="BS10" s="90">
        <v>0.0</v>
      </c>
      <c r="BT10" s="90"/>
    </row>
    <row r="11" ht="15.75" customHeight="1">
      <c r="A11" s="444" t="s">
        <v>98</v>
      </c>
      <c r="B11" s="445" t="s">
        <v>2407</v>
      </c>
      <c r="C11" s="468" t="s">
        <v>2408</v>
      </c>
      <c r="D11" s="446">
        <v>2697792.0</v>
      </c>
      <c r="E11" s="449" t="s">
        <v>120</v>
      </c>
      <c r="F11" s="449" t="s">
        <v>199</v>
      </c>
      <c r="G11" s="449" t="s">
        <v>1174</v>
      </c>
      <c r="H11" s="449" t="str">
        <f>IFERROR(VLOOKUP(G11,'Cadastro de assessores'!A:B,2,FALSE),"Não Cadastrado")</f>
        <v>18266</v>
      </c>
      <c r="I11" s="449"/>
      <c r="J11" s="49" t="s">
        <v>224</v>
      </c>
      <c r="K11" s="449" t="s">
        <v>2340</v>
      </c>
      <c r="L11" s="460">
        <v>44302.0</v>
      </c>
      <c r="M11" s="460">
        <v>44302.0</v>
      </c>
      <c r="N11" s="460">
        <v>44473.0</v>
      </c>
      <c r="O11" s="449" t="s">
        <v>2372</v>
      </c>
      <c r="P11" s="452">
        <v>0.025</v>
      </c>
      <c r="Q11" s="461" t="s">
        <v>2411</v>
      </c>
      <c r="R11" s="453"/>
      <c r="S11" s="449" t="str">
        <f t="shared" si="2"/>
        <v/>
      </c>
      <c r="T11" s="449" t="s">
        <v>194</v>
      </c>
      <c r="U11" s="449" t="s">
        <v>2412</v>
      </c>
      <c r="V11" s="449" t="s">
        <v>77</v>
      </c>
      <c r="W11" s="455"/>
      <c r="X11" s="455"/>
      <c r="Y11" s="455"/>
      <c r="Z11" s="455"/>
      <c r="AA11" s="455"/>
      <c r="AB11" s="455"/>
      <c r="AC11" s="455"/>
      <c r="AD11" s="455"/>
      <c r="AE11" s="455"/>
      <c r="AF11" s="455"/>
      <c r="AG11" s="455"/>
      <c r="AH11" s="455"/>
      <c r="AI11" s="455"/>
      <c r="AJ11" s="455"/>
      <c r="AK11" s="456"/>
      <c r="AL11" s="456"/>
      <c r="AM11" s="456"/>
      <c r="AN11" s="456"/>
      <c r="AO11" s="456"/>
      <c r="AP11" s="456">
        <v>109781.09</v>
      </c>
      <c r="AQ11" s="456">
        <v>108552.3</v>
      </c>
      <c r="AR11" s="456">
        <v>114860.59</v>
      </c>
      <c r="AS11" s="456">
        <v>112212.72</v>
      </c>
      <c r="AT11" s="456">
        <v>106275.8</v>
      </c>
      <c r="AU11" s="456">
        <v>103775.39</v>
      </c>
      <c r="AV11" s="456">
        <v>97752.81</v>
      </c>
      <c r="AW11" s="456"/>
      <c r="AX11" s="456"/>
      <c r="AY11" s="456"/>
      <c r="AZ11" s="456"/>
      <c r="BA11" s="456">
        <v>0.0</v>
      </c>
      <c r="BB11" s="456">
        <v>0.0</v>
      </c>
      <c r="BC11" s="456"/>
      <c r="BD11" s="456" t="s">
        <v>377</v>
      </c>
      <c r="BE11" s="456" t="s">
        <v>377</v>
      </c>
      <c r="BF11" s="456">
        <v>0.0</v>
      </c>
      <c r="BG11" s="456">
        <v>0.0</v>
      </c>
      <c r="BH11" s="456">
        <v>0.0</v>
      </c>
      <c r="BI11" s="456">
        <v>0.0</v>
      </c>
      <c r="BJ11" s="456">
        <v>0.0</v>
      </c>
      <c r="BK11" s="456">
        <v>0.0</v>
      </c>
      <c r="BL11" s="456">
        <v>0.0</v>
      </c>
      <c r="BM11" s="456">
        <v>0.0</v>
      </c>
      <c r="BN11" s="456">
        <v>0.0</v>
      </c>
      <c r="BO11" s="456">
        <v>0.0</v>
      </c>
      <c r="BP11" s="456">
        <v>0.0</v>
      </c>
      <c r="BQ11" s="456">
        <v>0.0</v>
      </c>
      <c r="BR11" s="456">
        <v>0.0</v>
      </c>
      <c r="BS11" s="90" t="s">
        <v>268</v>
      </c>
      <c r="BT11" s="90"/>
    </row>
    <row r="12" ht="15.75" customHeight="1">
      <c r="A12" s="444" t="s">
        <v>98</v>
      </c>
      <c r="B12" s="445" t="s">
        <v>2414</v>
      </c>
      <c r="C12" s="458" t="s">
        <v>2415</v>
      </c>
      <c r="D12" s="449">
        <v>4447856.0</v>
      </c>
      <c r="E12" s="449" t="s">
        <v>255</v>
      </c>
      <c r="F12" s="449" t="s">
        <v>199</v>
      </c>
      <c r="G12" s="449" t="s">
        <v>548</v>
      </c>
      <c r="H12" s="449" t="str">
        <f>IFERROR(VLOOKUP(G12,'Cadastro de assessores'!A:B,2,FALSE),"Não Cadastrado")</f>
        <v>14574</v>
      </c>
      <c r="I12" s="449"/>
      <c r="J12" s="49" t="s">
        <v>224</v>
      </c>
      <c r="K12" s="449" t="s">
        <v>2340</v>
      </c>
      <c r="L12" s="460">
        <v>44085.0</v>
      </c>
      <c r="M12" s="460">
        <v>44085.0</v>
      </c>
      <c r="N12" s="460">
        <v>44396.0</v>
      </c>
      <c r="O12" s="449" t="s">
        <v>2365</v>
      </c>
      <c r="P12" s="452">
        <v>0.012</v>
      </c>
      <c r="Q12" s="461" t="s">
        <v>2416</v>
      </c>
      <c r="R12" s="453"/>
      <c r="S12" s="449" t="str">
        <f t="shared" si="2"/>
        <v/>
      </c>
      <c r="T12" s="449" t="s">
        <v>194</v>
      </c>
      <c r="U12" s="449" t="s">
        <v>2417</v>
      </c>
      <c r="V12" s="449" t="s">
        <v>199</v>
      </c>
      <c r="W12" s="455" t="s">
        <v>2344</v>
      </c>
      <c r="X12" s="455" t="s">
        <v>2344</v>
      </c>
      <c r="Y12" s="455" t="s">
        <v>2344</v>
      </c>
      <c r="Z12" s="455" t="s">
        <v>2344</v>
      </c>
      <c r="AA12" s="455" t="s">
        <v>2344</v>
      </c>
      <c r="AB12" s="455" t="s">
        <v>2344</v>
      </c>
      <c r="AC12" s="455" t="s">
        <v>2344</v>
      </c>
      <c r="AD12" s="455" t="s">
        <v>2344</v>
      </c>
      <c r="AE12" s="455" t="s">
        <v>2344</v>
      </c>
      <c r="AF12" s="455" t="s">
        <v>2344</v>
      </c>
      <c r="AG12" s="455" t="s">
        <v>2344</v>
      </c>
      <c r="AH12" s="455" t="s">
        <v>2418</v>
      </c>
      <c r="AI12" s="455" t="s">
        <v>2419</v>
      </c>
      <c r="AJ12" s="455" t="s">
        <v>2420</v>
      </c>
      <c r="AK12" s="456">
        <v>102877.4</v>
      </c>
      <c r="AL12" s="456">
        <v>102062.38</v>
      </c>
      <c r="AM12" s="456">
        <v>100464.93</v>
      </c>
      <c r="AN12" s="456">
        <v>99977.53</v>
      </c>
      <c r="AO12" s="456">
        <v>101115.81</v>
      </c>
      <c r="AP12" s="456">
        <v>101403.53</v>
      </c>
      <c r="AQ12" s="456">
        <v>101179.05</v>
      </c>
      <c r="AR12" s="456">
        <v>102507.44</v>
      </c>
      <c r="AS12" s="456">
        <v>102285.21</v>
      </c>
      <c r="AT12" s="456"/>
      <c r="AU12" s="456"/>
      <c r="AV12" s="456"/>
      <c r="AW12" s="456"/>
      <c r="AX12" s="456"/>
      <c r="AY12" s="456"/>
      <c r="AZ12" s="456"/>
      <c r="BA12" s="456">
        <v>0.0</v>
      </c>
      <c r="BB12" s="456">
        <v>0.0</v>
      </c>
      <c r="BC12" s="456"/>
      <c r="BD12" s="456" t="s">
        <v>377</v>
      </c>
      <c r="BE12" s="456" t="s">
        <v>377</v>
      </c>
      <c r="BF12" s="456">
        <v>0.0</v>
      </c>
      <c r="BG12" s="456">
        <v>0.0</v>
      </c>
      <c r="BH12" s="456">
        <v>0.0</v>
      </c>
      <c r="BI12" s="456">
        <v>0.0</v>
      </c>
      <c r="BJ12" s="456">
        <v>0.0</v>
      </c>
      <c r="BK12" s="456">
        <v>0.0</v>
      </c>
      <c r="BL12" s="456">
        <v>0.0</v>
      </c>
      <c r="BM12" s="456">
        <v>0.0</v>
      </c>
      <c r="BN12" s="456">
        <v>0.0</v>
      </c>
      <c r="BO12" s="456">
        <v>0.0</v>
      </c>
      <c r="BP12" s="456">
        <v>0.0</v>
      </c>
      <c r="BQ12" s="456">
        <v>0.0</v>
      </c>
      <c r="BR12" s="456">
        <v>0.0</v>
      </c>
      <c r="BS12" s="90" t="s">
        <v>268</v>
      </c>
      <c r="BT12" s="90"/>
    </row>
    <row r="13" ht="15.75" customHeight="1">
      <c r="A13" s="444" t="s">
        <v>98</v>
      </c>
      <c r="B13" s="445" t="s">
        <v>2422</v>
      </c>
      <c r="C13" s="468" t="s">
        <v>2423</v>
      </c>
      <c r="D13" s="469">
        <v>8227775.0</v>
      </c>
      <c r="E13" s="447" t="s">
        <v>120</v>
      </c>
      <c r="F13" s="447" t="s">
        <v>199</v>
      </c>
      <c r="G13" s="447" t="s">
        <v>212</v>
      </c>
      <c r="H13" s="447">
        <f>IFERROR(VLOOKUP(G13,'Cadastro de assessores'!A:B,2,FALSE),"Não Cadastrado")</f>
        <v>12344</v>
      </c>
      <c r="I13" s="447"/>
      <c r="J13" s="49" t="s">
        <v>2318</v>
      </c>
      <c r="K13" s="449" t="s">
        <v>183</v>
      </c>
      <c r="L13" s="470">
        <v>44652.0</v>
      </c>
      <c r="M13" s="470">
        <v>44652.0</v>
      </c>
      <c r="N13" s="446"/>
      <c r="O13" s="446" t="s">
        <v>2356</v>
      </c>
      <c r="P13" s="465">
        <v>0.007</v>
      </c>
      <c r="Q13" s="466"/>
      <c r="R13" s="453"/>
      <c r="S13" s="449"/>
      <c r="T13" s="449" t="s">
        <v>194</v>
      </c>
      <c r="U13" s="449" t="s">
        <v>2374</v>
      </c>
      <c r="V13" s="449" t="s">
        <v>199</v>
      </c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6"/>
      <c r="AL13" s="456"/>
      <c r="AM13" s="456"/>
      <c r="AN13" s="456"/>
      <c r="AO13" s="456"/>
      <c r="AP13" s="456"/>
      <c r="AQ13" s="454"/>
      <c r="AR13" s="481"/>
      <c r="AS13" s="456"/>
      <c r="AT13" s="456"/>
      <c r="AU13" s="456"/>
      <c r="AV13" s="456"/>
      <c r="AW13" s="456"/>
      <c r="AX13" s="456"/>
      <c r="AY13" s="456"/>
      <c r="AZ13" s="456"/>
      <c r="BA13" s="456"/>
      <c r="BB13" s="456"/>
      <c r="BC13" s="456"/>
      <c r="BD13" s="456">
        <v>136876.82</v>
      </c>
      <c r="BE13" s="456">
        <v>137953.28</v>
      </c>
      <c r="BF13" s="456">
        <v>102958.08</v>
      </c>
      <c r="BG13" s="456">
        <v>104407.2682</v>
      </c>
      <c r="BH13" s="456">
        <v>44714.22</v>
      </c>
      <c r="BI13" s="456">
        <v>45094.14</v>
      </c>
      <c r="BJ13" s="456">
        <v>45513.52</v>
      </c>
      <c r="BK13" s="456">
        <v>38793.25</v>
      </c>
      <c r="BL13" s="456">
        <v>0.76</v>
      </c>
      <c r="BM13" s="456">
        <v>0.76</v>
      </c>
      <c r="BN13" s="456">
        <v>0.76</v>
      </c>
      <c r="BO13" s="456">
        <v>0.76</v>
      </c>
      <c r="BP13" s="456">
        <v>0.76</v>
      </c>
      <c r="BQ13" s="456">
        <v>0.76</v>
      </c>
      <c r="BR13" s="456">
        <v>0.76</v>
      </c>
      <c r="BS13" s="90">
        <v>0.0</v>
      </c>
      <c r="BT13" s="90"/>
    </row>
    <row r="14" ht="15.75" customHeight="1">
      <c r="A14" s="444" t="s">
        <v>98</v>
      </c>
      <c r="B14" s="445" t="s">
        <v>2433</v>
      </c>
      <c r="C14" s="468" t="s">
        <v>2434</v>
      </c>
      <c r="D14" s="469">
        <v>2406947.0</v>
      </c>
      <c r="E14" s="448" t="s">
        <v>120</v>
      </c>
      <c r="F14" s="448" t="s">
        <v>54</v>
      </c>
      <c r="G14" s="447" t="s">
        <v>348</v>
      </c>
      <c r="H14" s="447">
        <f>IFERROR(VLOOKUP(G14,'Cadastro de assessores'!A:B,2,FALSE),"Não Cadastrado")</f>
        <v>12331</v>
      </c>
      <c r="I14" s="447" t="s">
        <v>563</v>
      </c>
      <c r="J14" s="49" t="s">
        <v>2318</v>
      </c>
      <c r="K14" s="449" t="s">
        <v>183</v>
      </c>
      <c r="L14" s="470">
        <v>44453.0</v>
      </c>
      <c r="M14" s="470">
        <v>44609.0</v>
      </c>
      <c r="N14" s="490"/>
      <c r="O14" s="490" t="s">
        <v>2365</v>
      </c>
      <c r="P14" s="452">
        <v>0.012</v>
      </c>
      <c r="Q14" s="466" t="s">
        <v>2437</v>
      </c>
      <c r="R14" s="453"/>
      <c r="S14" s="449" t="str">
        <f t="shared" ref="S14:S17" si="3">IF(BC14&lt;=0,"",IF(BC14&lt;=1000000,"Não Qualificado",IF(AND(BC14&gt;1000000,BC14&lt;=10000000),"Qualificado","Profissional")))</f>
        <v/>
      </c>
      <c r="T14" s="449" t="s">
        <v>194</v>
      </c>
      <c r="U14" s="449" t="s">
        <v>2438</v>
      </c>
      <c r="V14" s="446" t="s">
        <v>54</v>
      </c>
      <c r="W14" s="454"/>
      <c r="X14" s="454"/>
      <c r="Y14" s="454"/>
      <c r="Z14" s="454"/>
      <c r="AA14" s="454"/>
      <c r="AB14" s="454"/>
      <c r="AC14" s="454"/>
      <c r="AD14" s="454"/>
      <c r="AE14" s="454"/>
      <c r="AF14" s="454"/>
      <c r="AG14" s="455"/>
      <c r="AH14" s="455"/>
      <c r="AI14" s="455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4"/>
      <c r="AY14" s="454"/>
      <c r="AZ14" s="455"/>
      <c r="BA14" s="455">
        <v>481706.07</v>
      </c>
      <c r="BB14" s="455">
        <v>407735.87</v>
      </c>
      <c r="BC14" s="455"/>
      <c r="BD14" s="456">
        <v>269449.12</v>
      </c>
      <c r="BE14" s="456">
        <v>271768.98</v>
      </c>
      <c r="BF14" s="456">
        <v>159421.38</v>
      </c>
      <c r="BG14" s="456">
        <v>160461.0477</v>
      </c>
      <c r="BH14" s="456">
        <v>161648.38</v>
      </c>
      <c r="BI14" s="456">
        <v>109528.2</v>
      </c>
      <c r="BJ14" s="456">
        <v>77368.19</v>
      </c>
      <c r="BK14" s="456">
        <v>67768.72</v>
      </c>
      <c r="BL14" s="456">
        <v>68568.02</v>
      </c>
      <c r="BM14" s="456">
        <v>68896.9</v>
      </c>
      <c r="BN14" s="456">
        <v>59941.78</v>
      </c>
      <c r="BO14" s="456">
        <v>60529.78</v>
      </c>
      <c r="BP14" s="456">
        <v>16907.35</v>
      </c>
      <c r="BQ14" s="456">
        <v>16968.02</v>
      </c>
      <c r="BR14" s="456">
        <v>17040.28</v>
      </c>
      <c r="BS14" s="90" t="s">
        <v>268</v>
      </c>
      <c r="BT14" s="90"/>
    </row>
    <row r="15" ht="15.75" customHeight="1">
      <c r="A15" s="444" t="s">
        <v>98</v>
      </c>
      <c r="B15" s="445" t="s">
        <v>1105</v>
      </c>
      <c r="C15" s="468" t="s">
        <v>1093</v>
      </c>
      <c r="D15" s="448">
        <v>3952119.0</v>
      </c>
      <c r="E15" s="447" t="s">
        <v>120</v>
      </c>
      <c r="F15" s="447" t="s">
        <v>199</v>
      </c>
      <c r="G15" s="447" t="s">
        <v>1340</v>
      </c>
      <c r="H15" s="447" t="str">
        <f>IFERROR(VLOOKUP(G15,'Cadastro de assessores'!A:B,2,FALSE),"Não Cadastrado")</f>
        <v>13444</v>
      </c>
      <c r="I15" s="447"/>
      <c r="J15" s="49" t="s">
        <v>2318</v>
      </c>
      <c r="K15" s="449" t="s">
        <v>183</v>
      </c>
      <c r="L15" s="450">
        <v>44335.0</v>
      </c>
      <c r="M15" s="450">
        <v>44335.0</v>
      </c>
      <c r="N15" s="446"/>
      <c r="O15" s="446" t="s">
        <v>2452</v>
      </c>
      <c r="P15" s="465">
        <v>0.008</v>
      </c>
      <c r="Q15" s="466"/>
      <c r="R15" s="453"/>
      <c r="S15" s="449" t="str">
        <f t="shared" si="3"/>
        <v>Não Qualificado</v>
      </c>
      <c r="T15" s="449" t="s">
        <v>194</v>
      </c>
      <c r="U15" s="449" t="s">
        <v>2343</v>
      </c>
      <c r="V15" s="449" t="s">
        <v>199</v>
      </c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6"/>
      <c r="AL15" s="456"/>
      <c r="AM15" s="456"/>
      <c r="AN15" s="456"/>
      <c r="AO15" s="456"/>
      <c r="AP15" s="456"/>
      <c r="AQ15" s="454"/>
      <c r="AR15" s="481">
        <v>138241.87</v>
      </c>
      <c r="AS15" s="456">
        <v>135092.06</v>
      </c>
      <c r="AT15" s="456">
        <v>137880.15</v>
      </c>
      <c r="AU15" s="456">
        <v>133766.76</v>
      </c>
      <c r="AV15" s="456">
        <v>132368.95</v>
      </c>
      <c r="AW15" s="456">
        <v>131061.88</v>
      </c>
      <c r="AX15" s="456">
        <v>124496.91</v>
      </c>
      <c r="AY15" s="456">
        <v>133048.61</v>
      </c>
      <c r="AZ15" s="456">
        <v>130485.14</v>
      </c>
      <c r="BA15" s="456">
        <v>128528.17</v>
      </c>
      <c r="BB15" s="456">
        <v>119627.14</v>
      </c>
      <c r="BC15" s="456">
        <v>210246.24</v>
      </c>
      <c r="BD15" s="456">
        <v>109168.84</v>
      </c>
      <c r="BE15" s="456">
        <v>104575.21</v>
      </c>
      <c r="BF15" s="456">
        <v>99122.67</v>
      </c>
      <c r="BG15" s="456">
        <v>96890.72</v>
      </c>
      <c r="BH15" s="456">
        <v>95722.23</v>
      </c>
      <c r="BI15" s="456">
        <v>91282.74</v>
      </c>
      <c r="BJ15" s="456">
        <v>82471.48</v>
      </c>
      <c r="BK15" s="456">
        <v>77339.87</v>
      </c>
      <c r="BL15" s="456">
        <v>66911.42</v>
      </c>
      <c r="BM15" s="456">
        <v>62772.9</v>
      </c>
      <c r="BN15" s="456">
        <v>59018.35</v>
      </c>
      <c r="BO15" s="456">
        <v>60744.01</v>
      </c>
      <c r="BP15" s="456">
        <v>63083.38</v>
      </c>
      <c r="BQ15" s="456">
        <v>65613.43</v>
      </c>
      <c r="BR15" s="456">
        <v>67382.42</v>
      </c>
      <c r="BS15" s="90" t="s">
        <v>268</v>
      </c>
      <c r="BT15" s="90"/>
    </row>
    <row r="16" ht="15.75" customHeight="1">
      <c r="A16" s="444" t="s">
        <v>98</v>
      </c>
      <c r="B16" s="445" t="s">
        <v>2466</v>
      </c>
      <c r="C16" s="506" t="s">
        <v>2467</v>
      </c>
      <c r="D16" s="446">
        <v>7435703.0</v>
      </c>
      <c r="E16" s="449" t="s">
        <v>120</v>
      </c>
      <c r="F16" s="507" t="s">
        <v>54</v>
      </c>
      <c r="G16" s="449" t="s">
        <v>379</v>
      </c>
      <c r="H16" s="449" t="str">
        <f>IFERROR(VLOOKUP(G16,'Cadastro de assessores'!A:B,2,FALSE),"Não Cadastrado")</f>
        <v>18009</v>
      </c>
      <c r="I16" s="449" t="s">
        <v>563</v>
      </c>
      <c r="J16" s="49" t="s">
        <v>224</v>
      </c>
      <c r="K16" s="449"/>
      <c r="L16" s="459">
        <v>44547.0</v>
      </c>
      <c r="M16" s="459">
        <v>44547.0</v>
      </c>
      <c r="N16" s="508">
        <v>44664.0</v>
      </c>
      <c r="O16" s="446" t="s">
        <v>2372</v>
      </c>
      <c r="P16" s="452">
        <v>0.025</v>
      </c>
      <c r="Q16" s="461" t="s">
        <v>2471</v>
      </c>
      <c r="R16" s="453"/>
      <c r="S16" s="449" t="str">
        <f t="shared" si="3"/>
        <v>Não Qualificado</v>
      </c>
      <c r="T16" s="449" t="s">
        <v>194</v>
      </c>
      <c r="U16" s="449" t="s">
        <v>2475</v>
      </c>
      <c r="V16" s="446" t="s">
        <v>618</v>
      </c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5"/>
      <c r="AH16" s="455"/>
      <c r="AI16" s="455"/>
      <c r="AJ16" s="456"/>
      <c r="AK16" s="456"/>
      <c r="AL16" s="456"/>
      <c r="AM16" s="456"/>
      <c r="AN16" s="456"/>
      <c r="AO16" s="456"/>
      <c r="AP16" s="456"/>
      <c r="AQ16" s="456"/>
      <c r="AR16" s="456"/>
      <c r="AS16" s="456"/>
      <c r="AT16" s="456"/>
      <c r="AU16" s="456"/>
      <c r="AV16" s="456"/>
      <c r="AW16" s="456"/>
      <c r="AX16" s="454"/>
      <c r="AY16" s="454"/>
      <c r="AZ16" s="455"/>
      <c r="BA16" s="455">
        <v>0.0</v>
      </c>
      <c r="BB16" s="455">
        <v>67365.6</v>
      </c>
      <c r="BC16" s="455">
        <v>542216.27</v>
      </c>
      <c r="BD16" s="456" t="s">
        <v>377</v>
      </c>
      <c r="BE16" s="456" t="s">
        <v>377</v>
      </c>
      <c r="BF16" s="456">
        <v>0.0</v>
      </c>
      <c r="BG16" s="456">
        <v>0.0</v>
      </c>
      <c r="BH16" s="456">
        <v>0.0</v>
      </c>
      <c r="BI16" s="456">
        <v>0.0</v>
      </c>
      <c r="BJ16" s="456">
        <v>0.0</v>
      </c>
      <c r="BK16" s="456">
        <v>0.0</v>
      </c>
      <c r="BL16" s="456">
        <v>0.0</v>
      </c>
      <c r="BM16" s="456">
        <v>0.0</v>
      </c>
      <c r="BN16" s="456">
        <v>0.0</v>
      </c>
      <c r="BO16" s="456">
        <v>0.0</v>
      </c>
      <c r="BP16" s="456">
        <v>0.0</v>
      </c>
      <c r="BQ16" s="456">
        <v>0.0</v>
      </c>
      <c r="BR16" s="456">
        <v>0.0</v>
      </c>
      <c r="BS16" s="90" t="s">
        <v>268</v>
      </c>
      <c r="BT16" s="90"/>
    </row>
    <row r="17" ht="15.75" customHeight="1">
      <c r="A17" s="444" t="s">
        <v>98</v>
      </c>
      <c r="B17" s="445" t="s">
        <v>1372</v>
      </c>
      <c r="C17" s="458" t="s">
        <v>1367</v>
      </c>
      <c r="D17" s="449">
        <v>4831456.0</v>
      </c>
      <c r="E17" s="447" t="s">
        <v>255</v>
      </c>
      <c r="F17" s="447" t="s">
        <v>199</v>
      </c>
      <c r="G17" s="447" t="s">
        <v>2489</v>
      </c>
      <c r="H17" s="447" t="str">
        <f>IFERROR(VLOOKUP(G17,'Cadastro de assessores'!A:B,2,FALSE),"Não Cadastrado")</f>
        <v>12624</v>
      </c>
      <c r="I17" s="447"/>
      <c r="J17" s="49" t="s">
        <v>2318</v>
      </c>
      <c r="K17" s="449" t="s">
        <v>183</v>
      </c>
      <c r="L17" s="450">
        <v>44231.0</v>
      </c>
      <c r="M17" s="450">
        <v>44231.0</v>
      </c>
      <c r="N17" s="449"/>
      <c r="O17" s="449" t="s">
        <v>2372</v>
      </c>
      <c r="P17" s="452">
        <v>0.025</v>
      </c>
      <c r="Q17" s="466" t="s">
        <v>2492</v>
      </c>
      <c r="R17" s="453"/>
      <c r="S17" s="449" t="str">
        <f t="shared" si="3"/>
        <v>Não Qualificado</v>
      </c>
      <c r="T17" s="449" t="s">
        <v>194</v>
      </c>
      <c r="U17" s="449" t="s">
        <v>2494</v>
      </c>
      <c r="V17" s="449" t="s">
        <v>199</v>
      </c>
      <c r="W17" s="455"/>
      <c r="X17" s="455"/>
      <c r="Y17" s="455"/>
      <c r="Z17" s="455"/>
      <c r="AA17" s="455"/>
      <c r="AB17" s="455"/>
      <c r="AC17" s="455"/>
      <c r="AD17" s="455"/>
      <c r="AE17" s="455"/>
      <c r="AF17" s="455"/>
      <c r="AG17" s="455"/>
      <c r="AH17" s="455"/>
      <c r="AI17" s="455"/>
      <c r="AJ17" s="455"/>
      <c r="AK17" s="456"/>
      <c r="AL17" s="456"/>
      <c r="AM17" s="456">
        <v>267665.98</v>
      </c>
      <c r="AN17" s="456">
        <v>266717.03</v>
      </c>
      <c r="AO17" s="456">
        <v>290348.86</v>
      </c>
      <c r="AP17" s="456">
        <v>294231.02</v>
      </c>
      <c r="AQ17" s="456">
        <v>291134.42</v>
      </c>
      <c r="AR17" s="456">
        <v>308071.32</v>
      </c>
      <c r="AS17" s="456">
        <v>300926.9</v>
      </c>
      <c r="AT17" s="456">
        <v>284923.16</v>
      </c>
      <c r="AU17" s="456">
        <v>278963.11</v>
      </c>
      <c r="AV17" s="456">
        <v>262666.62</v>
      </c>
      <c r="AW17" s="456">
        <v>243197.59</v>
      </c>
      <c r="AX17" s="456">
        <v>240932.76</v>
      </c>
      <c r="AY17" s="456">
        <v>245429.22</v>
      </c>
      <c r="AZ17" s="456">
        <v>262984.51</v>
      </c>
      <c r="BA17" s="456">
        <v>265615.61</v>
      </c>
      <c r="BB17" s="456">
        <v>283473.14</v>
      </c>
      <c r="BC17" s="456">
        <v>48857.02</v>
      </c>
      <c r="BD17" s="456">
        <v>266623.35</v>
      </c>
      <c r="BE17" s="456">
        <v>254758.57</v>
      </c>
      <c r="BF17" s="456">
        <v>286396.77</v>
      </c>
      <c r="BG17" s="456">
        <v>285394.8071</v>
      </c>
      <c r="BH17" s="456">
        <v>284620.64</v>
      </c>
      <c r="BI17" s="456">
        <v>310154.31</v>
      </c>
      <c r="BJ17" s="456">
        <v>300412.03</v>
      </c>
      <c r="BK17" s="456">
        <v>299135.56</v>
      </c>
      <c r="BL17" s="456">
        <v>305347.01</v>
      </c>
      <c r="BM17" s="456">
        <v>292288.46</v>
      </c>
      <c r="BN17" s="456">
        <v>288807.23</v>
      </c>
      <c r="BO17" s="456">
        <v>285078.29</v>
      </c>
      <c r="BP17" s="456">
        <v>291212.69</v>
      </c>
      <c r="BQ17" s="456">
        <v>308909.05</v>
      </c>
      <c r="BR17" s="456">
        <v>319939.46</v>
      </c>
      <c r="BS17" s="90">
        <v>0.0</v>
      </c>
      <c r="BT17" s="90"/>
    </row>
    <row r="18" ht="15.75" customHeight="1">
      <c r="A18" s="444" t="s">
        <v>98</v>
      </c>
      <c r="B18" s="445" t="s">
        <v>2506</v>
      </c>
      <c r="C18" s="463" t="s">
        <v>2507</v>
      </c>
      <c r="D18" s="511">
        <v>8742121.0</v>
      </c>
      <c r="E18" s="447" t="s">
        <v>120</v>
      </c>
      <c r="F18" s="447" t="s">
        <v>54</v>
      </c>
      <c r="G18" s="447" t="s">
        <v>1393</v>
      </c>
      <c r="H18" s="447" t="str">
        <f>IFERROR(VLOOKUP(G18,'Cadastro de assessores'!A:B,2,FALSE),"Não Cadastrado")</f>
        <v>17831</v>
      </c>
      <c r="I18" s="447"/>
      <c r="J18" s="49" t="s">
        <v>2318</v>
      </c>
      <c r="K18" s="449" t="s">
        <v>183</v>
      </c>
      <c r="L18" s="450">
        <v>44722.0</v>
      </c>
      <c r="M18" s="450">
        <v>44729.0</v>
      </c>
      <c r="N18" s="449"/>
      <c r="O18" s="449" t="s">
        <v>2365</v>
      </c>
      <c r="P18" s="452">
        <v>0.012</v>
      </c>
      <c r="Q18" s="461"/>
      <c r="R18" s="453"/>
      <c r="S18" s="449" t="s">
        <v>244</v>
      </c>
      <c r="T18" s="449" t="s">
        <v>194</v>
      </c>
      <c r="U18" s="449" t="s">
        <v>2374</v>
      </c>
      <c r="V18" s="449" t="s">
        <v>199</v>
      </c>
      <c r="W18" s="455"/>
      <c r="X18" s="455"/>
      <c r="Y18" s="455"/>
      <c r="Z18" s="455"/>
      <c r="AA18" s="455"/>
      <c r="AB18" s="455"/>
      <c r="AC18" s="455"/>
      <c r="AD18" s="455"/>
      <c r="AE18" s="455"/>
      <c r="AF18" s="455"/>
      <c r="AG18" s="455"/>
      <c r="AH18" s="455"/>
      <c r="AI18" s="455"/>
      <c r="AJ18" s="455"/>
      <c r="AK18" s="456"/>
      <c r="AL18" s="456"/>
      <c r="AM18" s="456"/>
      <c r="AN18" s="456"/>
      <c r="AO18" s="456"/>
      <c r="AP18" s="456"/>
      <c r="AQ18" s="456"/>
      <c r="AR18" s="456"/>
      <c r="AS18" s="456"/>
      <c r="AT18" s="456"/>
      <c r="AU18" s="456"/>
      <c r="AV18" s="456"/>
      <c r="AW18" s="456"/>
      <c r="AX18" s="456"/>
      <c r="AY18" s="456"/>
      <c r="AZ18" s="456"/>
      <c r="BA18" s="456"/>
      <c r="BB18" s="456"/>
      <c r="BC18" s="456"/>
      <c r="BD18" s="456"/>
      <c r="BE18" s="456" t="s">
        <v>377</v>
      </c>
      <c r="BF18" s="456">
        <v>76529.02</v>
      </c>
      <c r="BG18" s="456">
        <v>77300.90347</v>
      </c>
      <c r="BH18" s="456">
        <v>77735.58</v>
      </c>
      <c r="BI18" s="456">
        <v>78284.52</v>
      </c>
      <c r="BJ18" s="456">
        <v>78894.65</v>
      </c>
      <c r="BK18" s="456">
        <v>79605.9</v>
      </c>
      <c r="BL18" s="456">
        <v>80513.39</v>
      </c>
      <c r="BM18" s="456">
        <v>73613.56</v>
      </c>
      <c r="BN18" s="456">
        <v>0.5</v>
      </c>
      <c r="BO18" s="456">
        <v>0.5</v>
      </c>
      <c r="BP18" s="456">
        <v>0.5</v>
      </c>
      <c r="BQ18" s="456">
        <v>0.5</v>
      </c>
      <c r="BR18" s="456">
        <v>0.5</v>
      </c>
      <c r="BS18" s="90">
        <v>0.0</v>
      </c>
      <c r="BT18" s="90"/>
    </row>
    <row r="19" ht="15.75" customHeight="1">
      <c r="A19" s="444" t="s">
        <v>98</v>
      </c>
      <c r="B19" s="445" t="s">
        <v>1543</v>
      </c>
      <c r="C19" s="463" t="s">
        <v>2528</v>
      </c>
      <c r="D19" s="447">
        <v>2931994.0</v>
      </c>
      <c r="E19" s="447" t="s">
        <v>255</v>
      </c>
      <c r="F19" s="447" t="s">
        <v>199</v>
      </c>
      <c r="G19" s="447" t="s">
        <v>2531</v>
      </c>
      <c r="H19" s="447" t="str">
        <f>IFERROR(VLOOKUP(G19,'Cadastro de assessores'!A:B,2,FALSE),"Não Cadastrado")</f>
        <v>1441</v>
      </c>
      <c r="I19" s="447"/>
      <c r="J19" s="74" t="s">
        <v>183</v>
      </c>
      <c r="K19" s="449" t="s">
        <v>183</v>
      </c>
      <c r="L19" s="450">
        <v>44134.0</v>
      </c>
      <c r="M19" s="450">
        <v>44138.0</v>
      </c>
      <c r="N19" s="449"/>
      <c r="O19" s="449" t="s">
        <v>2372</v>
      </c>
      <c r="P19" s="452">
        <v>0.025</v>
      </c>
      <c r="Q19" s="461"/>
      <c r="R19" s="453"/>
      <c r="S19" s="449" t="str">
        <f t="shared" ref="S19:S33" si="4">IF(BC19&lt;=0,"",IF(BC19&lt;=1000000,"Não Qualificado",IF(AND(BC19&gt;1000000,BC19&lt;=10000000),"Qualificado","Profissional")))</f>
        <v>Não Qualificado</v>
      </c>
      <c r="T19" s="449" t="s">
        <v>194</v>
      </c>
      <c r="U19" s="449" t="s">
        <v>2374</v>
      </c>
      <c r="V19" s="449" t="s">
        <v>199</v>
      </c>
      <c r="W19" s="455" t="s">
        <v>2344</v>
      </c>
      <c r="X19" s="455" t="s">
        <v>2344</v>
      </c>
      <c r="Y19" s="455" t="s">
        <v>2344</v>
      </c>
      <c r="Z19" s="455" t="s">
        <v>2344</v>
      </c>
      <c r="AA19" s="455" t="s">
        <v>2344</v>
      </c>
      <c r="AB19" s="455" t="s">
        <v>2344</v>
      </c>
      <c r="AC19" s="455" t="s">
        <v>2344</v>
      </c>
      <c r="AD19" s="455" t="s">
        <v>2344</v>
      </c>
      <c r="AE19" s="455" t="s">
        <v>2344</v>
      </c>
      <c r="AF19" s="455" t="s">
        <v>2344</v>
      </c>
      <c r="AG19" s="455" t="s">
        <v>2344</v>
      </c>
      <c r="AH19" s="455" t="s">
        <v>2344</v>
      </c>
      <c r="AI19" s="455" t="s">
        <v>2546</v>
      </c>
      <c r="AJ19" s="455" t="s">
        <v>2549</v>
      </c>
      <c r="AK19" s="456">
        <v>102228.8</v>
      </c>
      <c r="AL19" s="456">
        <v>97365.65</v>
      </c>
      <c r="AM19" s="456">
        <v>90381.4</v>
      </c>
      <c r="AN19" s="456">
        <v>89560.07</v>
      </c>
      <c r="AO19" s="456">
        <v>95848.65</v>
      </c>
      <c r="AP19" s="456">
        <v>97123.35</v>
      </c>
      <c r="AQ19" s="456">
        <v>96126.83</v>
      </c>
      <c r="AR19" s="456">
        <v>101535.73</v>
      </c>
      <c r="AS19" s="456">
        <v>99180.92</v>
      </c>
      <c r="AT19" s="456">
        <v>93953.16</v>
      </c>
      <c r="AU19" s="456">
        <v>91973.81</v>
      </c>
      <c r="AV19" s="456">
        <v>86541.37</v>
      </c>
      <c r="AW19" s="456">
        <v>80264.05</v>
      </c>
      <c r="AX19" s="456">
        <v>79455.08</v>
      </c>
      <c r="AY19" s="456">
        <v>80870.74</v>
      </c>
      <c r="AZ19" s="456">
        <v>85730.27</v>
      </c>
      <c r="BA19" s="456">
        <v>86683.25</v>
      </c>
      <c r="BB19" s="456">
        <v>92742.3</v>
      </c>
      <c r="BC19" s="456">
        <v>583300.94</v>
      </c>
      <c r="BD19" s="456">
        <v>86873.03</v>
      </c>
      <c r="BE19" s="456">
        <v>83070.8</v>
      </c>
      <c r="BF19" s="456">
        <v>87198.12</v>
      </c>
      <c r="BG19" s="456">
        <v>88178.86</v>
      </c>
      <c r="BH19" s="456">
        <v>86831.14</v>
      </c>
      <c r="BI19" s="456">
        <v>94906.0</v>
      </c>
      <c r="BJ19" s="456">
        <v>91668.82</v>
      </c>
      <c r="BK19" s="456">
        <v>91104.12</v>
      </c>
      <c r="BL19" s="456">
        <v>93005.87</v>
      </c>
      <c r="BM19" s="456">
        <v>89810.7</v>
      </c>
      <c r="BN19" s="456">
        <v>60618.77</v>
      </c>
      <c r="BO19" s="456">
        <v>59028.55</v>
      </c>
      <c r="BP19" s="456">
        <v>22934.65</v>
      </c>
      <c r="BQ19" s="456">
        <v>24395.32</v>
      </c>
      <c r="BR19" s="456">
        <v>25745.65</v>
      </c>
      <c r="BS19" s="90">
        <v>84.04</v>
      </c>
      <c r="BT19" s="90"/>
    </row>
    <row r="20" ht="15.75" customHeight="1">
      <c r="A20" s="444" t="s">
        <v>98</v>
      </c>
      <c r="B20" s="445" t="s">
        <v>2561</v>
      </c>
      <c r="C20" s="463" t="s">
        <v>2563</v>
      </c>
      <c r="D20" s="447">
        <v>4608802.0</v>
      </c>
      <c r="E20" s="447" t="s">
        <v>669</v>
      </c>
      <c r="F20" s="447" t="s">
        <v>199</v>
      </c>
      <c r="G20" s="447" t="s">
        <v>669</v>
      </c>
      <c r="H20" s="447" t="str">
        <f>IFERROR(VLOOKUP(G20,'Cadastro de assessores'!A:B,2,FALSE),"Não Cadastrado")</f>
        <v>18986</v>
      </c>
      <c r="I20" s="447" t="s">
        <v>563</v>
      </c>
      <c r="J20" s="74" t="s">
        <v>183</v>
      </c>
      <c r="K20" s="449" t="s">
        <v>183</v>
      </c>
      <c r="L20" s="451">
        <v>44158.0</v>
      </c>
      <c r="M20" s="451">
        <v>44180.0</v>
      </c>
      <c r="N20" s="449"/>
      <c r="O20" s="449" t="s">
        <v>2341</v>
      </c>
      <c r="P20" s="452">
        <v>0.015</v>
      </c>
      <c r="Q20" s="466" t="s">
        <v>2569</v>
      </c>
      <c r="R20" s="453"/>
      <c r="S20" s="449" t="str">
        <f t="shared" si="4"/>
        <v/>
      </c>
      <c r="T20" s="447" t="s">
        <v>194</v>
      </c>
      <c r="U20" s="447" t="s">
        <v>2571</v>
      </c>
      <c r="V20" s="447" t="s">
        <v>199</v>
      </c>
      <c r="W20" s="455" t="s">
        <v>2344</v>
      </c>
      <c r="X20" s="455" t="s">
        <v>2344</v>
      </c>
      <c r="Y20" s="455" t="s">
        <v>2344</v>
      </c>
      <c r="Z20" s="455" t="s">
        <v>2344</v>
      </c>
      <c r="AA20" s="455" t="s">
        <v>2344</v>
      </c>
      <c r="AB20" s="455" t="s">
        <v>2344</v>
      </c>
      <c r="AC20" s="455" t="s">
        <v>2344</v>
      </c>
      <c r="AD20" s="455" t="s">
        <v>2344</v>
      </c>
      <c r="AE20" s="455" t="s">
        <v>2344</v>
      </c>
      <c r="AF20" s="455" t="s">
        <v>2344</v>
      </c>
      <c r="AG20" s="455" t="s">
        <v>2344</v>
      </c>
      <c r="AH20" s="455" t="s">
        <v>2344</v>
      </c>
      <c r="AI20" s="455" t="s">
        <v>2344</v>
      </c>
      <c r="AJ20" s="455" t="s">
        <v>2344</v>
      </c>
      <c r="AK20" s="456">
        <v>401271.13</v>
      </c>
      <c r="AL20" s="456">
        <v>396313.99</v>
      </c>
      <c r="AM20" s="456">
        <v>307499.44</v>
      </c>
      <c r="AN20" s="456">
        <v>307069.45</v>
      </c>
      <c r="AO20" s="456">
        <v>369448.21</v>
      </c>
      <c r="AP20" s="456">
        <v>370825.15</v>
      </c>
      <c r="AQ20" s="456">
        <v>369468.12</v>
      </c>
      <c r="AR20" s="456">
        <v>377254.61</v>
      </c>
      <c r="AS20" s="456">
        <v>374638.27</v>
      </c>
      <c r="AT20" s="456">
        <v>368914.18</v>
      </c>
      <c r="AU20" s="456">
        <v>223937.74</v>
      </c>
      <c r="AV20" s="456">
        <v>163700.43</v>
      </c>
      <c r="AW20" s="456">
        <v>210533.37</v>
      </c>
      <c r="AX20" s="456">
        <v>210191.29</v>
      </c>
      <c r="AY20" s="456">
        <v>206664.23</v>
      </c>
      <c r="AZ20" s="456">
        <v>213218.31</v>
      </c>
      <c r="BA20" s="456">
        <v>215505.02</v>
      </c>
      <c r="BB20" s="456">
        <v>215388.52</v>
      </c>
      <c r="BC20" s="456"/>
      <c r="BD20" s="456">
        <v>152784.15</v>
      </c>
      <c r="BE20" s="456">
        <v>141838.81</v>
      </c>
      <c r="BF20" s="456">
        <v>74081.33</v>
      </c>
      <c r="BG20" s="456">
        <v>309287.2032</v>
      </c>
      <c r="BH20" s="456">
        <v>295712.94</v>
      </c>
      <c r="BI20" s="456">
        <v>289884.55</v>
      </c>
      <c r="BJ20" s="456">
        <v>267259.66</v>
      </c>
      <c r="BK20" s="456">
        <v>220827.66</v>
      </c>
      <c r="BL20" s="456">
        <v>221933.93</v>
      </c>
      <c r="BM20" s="456">
        <v>202768.87</v>
      </c>
      <c r="BN20" s="456">
        <v>181541.28</v>
      </c>
      <c r="BO20" s="456">
        <v>159695.08</v>
      </c>
      <c r="BP20" s="456">
        <v>129017.97</v>
      </c>
      <c r="BQ20" s="456">
        <v>109362.56</v>
      </c>
      <c r="BR20" s="456">
        <v>43209.01</v>
      </c>
      <c r="BS20" s="90">
        <v>83360.46</v>
      </c>
      <c r="BT20" s="90"/>
    </row>
    <row r="21" ht="15.75" customHeight="1">
      <c r="A21" s="444" t="s">
        <v>98</v>
      </c>
      <c r="B21" s="445" t="s">
        <v>2584</v>
      </c>
      <c r="C21" s="463" t="s">
        <v>2585</v>
      </c>
      <c r="D21" s="447">
        <v>4441469.0</v>
      </c>
      <c r="E21" s="447" t="s">
        <v>255</v>
      </c>
      <c r="F21" s="447" t="s">
        <v>199</v>
      </c>
      <c r="G21" s="447" t="s">
        <v>2587</v>
      </c>
      <c r="H21" s="447" t="str">
        <f>IFERROR(VLOOKUP(G21,'Cadastro de assessores'!A:B,2,FALSE),"Não Cadastrado")</f>
        <v>1298</v>
      </c>
      <c r="I21" s="447"/>
      <c r="J21" s="49" t="s">
        <v>2318</v>
      </c>
      <c r="K21" s="449" t="s">
        <v>183</v>
      </c>
      <c r="L21" s="450">
        <v>44078.0</v>
      </c>
      <c r="M21" s="450">
        <v>44085.0</v>
      </c>
      <c r="N21" s="449"/>
      <c r="O21" s="449" t="s">
        <v>2341</v>
      </c>
      <c r="P21" s="452">
        <v>0.015</v>
      </c>
      <c r="Q21" s="461" t="s">
        <v>2597</v>
      </c>
      <c r="R21" s="453"/>
      <c r="S21" s="449" t="str">
        <f t="shared" si="4"/>
        <v>Não Qualificado</v>
      </c>
      <c r="T21" s="449" t="s">
        <v>194</v>
      </c>
      <c r="U21" s="449" t="s">
        <v>2357</v>
      </c>
      <c r="V21" s="449" t="s">
        <v>199</v>
      </c>
      <c r="W21" s="455" t="s">
        <v>2344</v>
      </c>
      <c r="X21" s="455" t="s">
        <v>2344</v>
      </c>
      <c r="Y21" s="455" t="s">
        <v>2344</v>
      </c>
      <c r="Z21" s="455" t="s">
        <v>2344</v>
      </c>
      <c r="AA21" s="455" t="s">
        <v>2344</v>
      </c>
      <c r="AB21" s="455" t="s">
        <v>2344</v>
      </c>
      <c r="AC21" s="455" t="s">
        <v>2344</v>
      </c>
      <c r="AD21" s="455" t="s">
        <v>2344</v>
      </c>
      <c r="AE21" s="455" t="s">
        <v>2344</v>
      </c>
      <c r="AF21" s="455" t="s">
        <v>2344</v>
      </c>
      <c r="AG21" s="455" t="s">
        <v>2344</v>
      </c>
      <c r="AH21" s="455" t="s">
        <v>2605</v>
      </c>
      <c r="AI21" s="455" t="s">
        <v>2606</v>
      </c>
      <c r="AJ21" s="455" t="s">
        <v>2607</v>
      </c>
      <c r="AK21" s="456">
        <v>264767.33</v>
      </c>
      <c r="AL21" s="456">
        <v>259012.26</v>
      </c>
      <c r="AM21" s="456">
        <v>249285.97</v>
      </c>
      <c r="AN21" s="456">
        <v>247929.82</v>
      </c>
      <c r="AO21" s="456">
        <v>254949.24</v>
      </c>
      <c r="AP21" s="456">
        <v>256376.85</v>
      </c>
      <c r="AQ21" s="456">
        <v>255350.8</v>
      </c>
      <c r="AR21" s="456">
        <v>261557.37</v>
      </c>
      <c r="AS21" s="456">
        <v>259503.84</v>
      </c>
      <c r="AT21" s="456">
        <v>255390.95</v>
      </c>
      <c r="AU21" s="456">
        <v>254967.87</v>
      </c>
      <c r="AV21" s="456">
        <v>251257.88</v>
      </c>
      <c r="AW21" s="456">
        <v>242466.76</v>
      </c>
      <c r="AX21" s="456">
        <v>243049.79</v>
      </c>
      <c r="AY21" s="456">
        <v>220912.08</v>
      </c>
      <c r="AZ21" s="456">
        <v>226611.95</v>
      </c>
      <c r="BA21" s="456">
        <v>228849.42</v>
      </c>
      <c r="BB21" s="456">
        <v>237539.78</v>
      </c>
      <c r="BC21" s="456">
        <v>47275.83</v>
      </c>
      <c r="BD21" s="456">
        <v>236661.8</v>
      </c>
      <c r="BE21" s="456">
        <v>221097.64</v>
      </c>
      <c r="BF21" s="456">
        <v>225018.96</v>
      </c>
      <c r="BG21" s="456">
        <v>226465.7362</v>
      </c>
      <c r="BH21" s="456">
        <v>228108.02</v>
      </c>
      <c r="BI21" s="456">
        <v>237354.06</v>
      </c>
      <c r="BJ21" s="456">
        <v>220948.95</v>
      </c>
      <c r="BK21" s="456">
        <v>222500.43</v>
      </c>
      <c r="BL21" s="456">
        <v>207079.45</v>
      </c>
      <c r="BM21" s="456">
        <v>9958.58</v>
      </c>
      <c r="BN21" s="456">
        <v>10191.6</v>
      </c>
      <c r="BO21" s="456">
        <v>9433.02</v>
      </c>
      <c r="BP21" s="456">
        <v>9524.42</v>
      </c>
      <c r="BQ21" s="456">
        <v>9594.53</v>
      </c>
      <c r="BR21" s="456">
        <v>9665.62</v>
      </c>
      <c r="BS21" s="90">
        <v>0.0</v>
      </c>
      <c r="BT21" s="90"/>
    </row>
    <row r="22" ht="15.75" customHeight="1">
      <c r="A22" s="444" t="s">
        <v>98</v>
      </c>
      <c r="B22" s="445" t="s">
        <v>2623</v>
      </c>
      <c r="C22" s="506" t="s">
        <v>2624</v>
      </c>
      <c r="D22" s="490">
        <v>6032020.0</v>
      </c>
      <c r="E22" s="447" t="s">
        <v>120</v>
      </c>
      <c r="F22" s="448" t="s">
        <v>199</v>
      </c>
      <c r="G22" s="490" t="s">
        <v>841</v>
      </c>
      <c r="H22" s="447" t="str">
        <f>IFERROR(VLOOKUP(G22,'Cadastro de assessores'!A:B,2,FALSE),"Não Cadastrado")</f>
        <v>18256</v>
      </c>
      <c r="I22" s="447"/>
      <c r="J22" s="49" t="s">
        <v>2318</v>
      </c>
      <c r="K22" s="449" t="s">
        <v>183</v>
      </c>
      <c r="L22" s="450">
        <v>44537.0</v>
      </c>
      <c r="M22" s="450">
        <v>44537.0</v>
      </c>
      <c r="N22" s="490"/>
      <c r="O22" s="490" t="s">
        <v>2356</v>
      </c>
      <c r="P22" s="465">
        <v>0.007</v>
      </c>
      <c r="Q22" s="207" t="s">
        <v>2634</v>
      </c>
      <c r="R22" s="453"/>
      <c r="S22" s="449" t="str">
        <f t="shared" si="4"/>
        <v>Não Qualificado</v>
      </c>
      <c r="T22" s="449" t="s">
        <v>194</v>
      </c>
      <c r="U22" s="449" t="s">
        <v>2343</v>
      </c>
      <c r="V22" s="449" t="s">
        <v>199</v>
      </c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5"/>
      <c r="AH22" s="455"/>
      <c r="AI22" s="455"/>
      <c r="AJ22" s="456"/>
      <c r="AK22" s="456"/>
      <c r="AL22" s="456"/>
      <c r="AM22" s="456"/>
      <c r="AN22" s="456"/>
      <c r="AO22" s="456"/>
      <c r="AP22" s="456"/>
      <c r="AQ22" s="456"/>
      <c r="AR22" s="456"/>
      <c r="AS22" s="456"/>
      <c r="AT22" s="456"/>
      <c r="AU22" s="456"/>
      <c r="AV22" s="456"/>
      <c r="AW22" s="454"/>
      <c r="AX22" s="481"/>
      <c r="AY22" s="481"/>
      <c r="AZ22" s="456"/>
      <c r="BA22" s="456">
        <v>0.0</v>
      </c>
      <c r="BB22" s="456">
        <v>155318.27</v>
      </c>
      <c r="BC22" s="456">
        <v>142474.3</v>
      </c>
      <c r="BD22" s="456">
        <v>201310.21</v>
      </c>
      <c r="BE22" s="456">
        <v>225266.76</v>
      </c>
      <c r="BF22" s="456">
        <v>243152.66</v>
      </c>
      <c r="BG22" s="456">
        <v>239039.0034</v>
      </c>
      <c r="BH22" s="456">
        <v>243799.78</v>
      </c>
      <c r="BI22" s="456">
        <v>252666.44</v>
      </c>
      <c r="BJ22" s="456">
        <v>257862.03</v>
      </c>
      <c r="BK22" s="456">
        <v>263023.17</v>
      </c>
      <c r="BL22" s="456">
        <v>268890.96</v>
      </c>
      <c r="BM22" s="456">
        <v>273823.68</v>
      </c>
      <c r="BN22" s="456">
        <v>184078.57</v>
      </c>
      <c r="BO22" s="456">
        <v>0.0</v>
      </c>
      <c r="BP22" s="456">
        <v>0.0</v>
      </c>
      <c r="BQ22" s="456">
        <v>0.0</v>
      </c>
      <c r="BR22" s="456">
        <v>0.0</v>
      </c>
      <c r="BS22" s="90">
        <v>0.0</v>
      </c>
      <c r="BT22" s="90"/>
    </row>
    <row r="23" ht="15.75" customHeight="1">
      <c r="A23" s="444" t="s">
        <v>98</v>
      </c>
      <c r="B23" s="445" t="s">
        <v>2673</v>
      </c>
      <c r="C23" s="458" t="s">
        <v>2674</v>
      </c>
      <c r="D23" s="449">
        <v>4656935.0</v>
      </c>
      <c r="E23" s="449" t="s">
        <v>255</v>
      </c>
      <c r="F23" s="449" t="s">
        <v>199</v>
      </c>
      <c r="G23" s="449" t="s">
        <v>2676</v>
      </c>
      <c r="H23" s="449" t="str">
        <f>IFERROR(VLOOKUP(G23,'Cadastro de assessores'!A:B,2,FALSE),"Não Cadastrado")</f>
        <v>13598</v>
      </c>
      <c r="I23" s="449"/>
      <c r="J23" s="49" t="s">
        <v>224</v>
      </c>
      <c r="K23" s="449" t="s">
        <v>2340</v>
      </c>
      <c r="L23" s="459">
        <v>44180.0</v>
      </c>
      <c r="M23" s="459">
        <v>44180.0</v>
      </c>
      <c r="N23" s="460">
        <v>44705.0</v>
      </c>
      <c r="O23" s="449" t="s">
        <v>2365</v>
      </c>
      <c r="P23" s="452">
        <v>0.012</v>
      </c>
      <c r="Q23" s="461" t="s">
        <v>2685</v>
      </c>
      <c r="R23" s="453"/>
      <c r="S23" s="449" t="str">
        <f t="shared" si="4"/>
        <v>Não Qualificado</v>
      </c>
      <c r="T23" s="449" t="s">
        <v>194</v>
      </c>
      <c r="U23" s="449" t="s">
        <v>2383</v>
      </c>
      <c r="V23" s="449" t="s">
        <v>199</v>
      </c>
      <c r="W23" s="455" t="s">
        <v>2344</v>
      </c>
      <c r="X23" s="455" t="s">
        <v>2344</v>
      </c>
      <c r="Y23" s="455" t="s">
        <v>2344</v>
      </c>
      <c r="Z23" s="455" t="s">
        <v>2344</v>
      </c>
      <c r="AA23" s="455" t="s">
        <v>2344</v>
      </c>
      <c r="AB23" s="455" t="s">
        <v>2344</v>
      </c>
      <c r="AC23" s="455" t="s">
        <v>2344</v>
      </c>
      <c r="AD23" s="455" t="s">
        <v>2344</v>
      </c>
      <c r="AE23" s="455" t="s">
        <v>2344</v>
      </c>
      <c r="AF23" s="455" t="s">
        <v>2344</v>
      </c>
      <c r="AG23" s="455" t="s">
        <v>2344</v>
      </c>
      <c r="AH23" s="455" t="s">
        <v>2344</v>
      </c>
      <c r="AI23" s="455" t="s">
        <v>2344</v>
      </c>
      <c r="AJ23" s="455" t="s">
        <v>2344</v>
      </c>
      <c r="AK23" s="456">
        <v>151252.96</v>
      </c>
      <c r="AL23" s="456">
        <v>147982.23</v>
      </c>
      <c r="AM23" s="456">
        <v>140940.63</v>
      </c>
      <c r="AN23" s="456">
        <v>140161.95</v>
      </c>
      <c r="AO23" s="456">
        <v>146044.08</v>
      </c>
      <c r="AP23" s="456">
        <v>168451.95</v>
      </c>
      <c r="AQ23" s="456">
        <v>610692.63</v>
      </c>
      <c r="AR23" s="456">
        <v>617674.96</v>
      </c>
      <c r="AS23" s="456">
        <v>508732.5</v>
      </c>
      <c r="AT23" s="456">
        <v>498845.63</v>
      </c>
      <c r="AU23" s="456">
        <v>459251.31</v>
      </c>
      <c r="AV23" s="456">
        <v>418847.74</v>
      </c>
      <c r="AW23" s="456">
        <v>397558.29</v>
      </c>
      <c r="AX23" s="456">
        <v>377822.42</v>
      </c>
      <c r="AY23" s="456">
        <v>398271.58</v>
      </c>
      <c r="AZ23" s="456">
        <v>397830.43</v>
      </c>
      <c r="BA23" s="456">
        <v>406699.46</v>
      </c>
      <c r="BB23" s="456">
        <v>392121.08</v>
      </c>
      <c r="BC23" s="456">
        <v>126423.01</v>
      </c>
      <c r="BD23" s="456">
        <v>141061.48</v>
      </c>
      <c r="BE23" s="456">
        <v>208.96</v>
      </c>
      <c r="BF23" s="456">
        <v>209.34</v>
      </c>
      <c r="BG23" s="456">
        <v>209.81</v>
      </c>
      <c r="BH23" s="456">
        <v>210.29</v>
      </c>
      <c r="BI23" s="456">
        <v>211.34</v>
      </c>
      <c r="BJ23" s="456">
        <v>210.06</v>
      </c>
      <c r="BK23" s="456">
        <v>210.06</v>
      </c>
      <c r="BL23" s="456">
        <v>210.06</v>
      </c>
      <c r="BM23" s="456">
        <v>210.06</v>
      </c>
      <c r="BN23" s="456">
        <v>210.06</v>
      </c>
      <c r="BO23" s="456">
        <v>210.06</v>
      </c>
      <c r="BP23" s="456">
        <v>210.06</v>
      </c>
      <c r="BQ23" s="456">
        <v>210.06</v>
      </c>
      <c r="BR23" s="456">
        <v>210.06</v>
      </c>
      <c r="BS23" s="90">
        <v>0.0</v>
      </c>
      <c r="BT23" s="90"/>
    </row>
    <row r="24" ht="15.75" customHeight="1">
      <c r="A24" s="444" t="s">
        <v>98</v>
      </c>
      <c r="B24" s="445" t="s">
        <v>2720</v>
      </c>
      <c r="C24" s="468" t="s">
        <v>2725</v>
      </c>
      <c r="D24" s="469">
        <v>7988957.0</v>
      </c>
      <c r="E24" s="447" t="s">
        <v>255</v>
      </c>
      <c r="F24" s="447" t="s">
        <v>199</v>
      </c>
      <c r="G24" s="447" t="s">
        <v>2729</v>
      </c>
      <c r="H24" s="447">
        <f>IFERROR(VLOOKUP(G24,'Cadastro de assessores'!A:B,2,FALSE),"Não Cadastrado")</f>
        <v>12356</v>
      </c>
      <c r="I24" s="447"/>
      <c r="J24" s="49" t="s">
        <v>2318</v>
      </c>
      <c r="K24" s="449" t="s">
        <v>183</v>
      </c>
      <c r="L24" s="450">
        <v>44636.0</v>
      </c>
      <c r="M24" s="450">
        <v>44655.0</v>
      </c>
      <c r="N24" s="449"/>
      <c r="O24" s="449" t="s">
        <v>2743</v>
      </c>
      <c r="P24" s="452">
        <v>0.01</v>
      </c>
      <c r="Q24" s="461" t="s">
        <v>2744</v>
      </c>
      <c r="R24" s="453"/>
      <c r="S24" s="449" t="str">
        <f t="shared" si="4"/>
        <v>Não Qualificado</v>
      </c>
      <c r="T24" s="449" t="s">
        <v>194</v>
      </c>
      <c r="U24" s="449" t="s">
        <v>2401</v>
      </c>
      <c r="V24" s="449" t="s">
        <v>199</v>
      </c>
      <c r="W24" s="455"/>
      <c r="X24" s="455"/>
      <c r="Y24" s="455"/>
      <c r="Z24" s="455"/>
      <c r="AA24" s="455"/>
      <c r="AB24" s="455"/>
      <c r="AC24" s="455"/>
      <c r="AD24" s="455"/>
      <c r="AE24" s="455"/>
      <c r="AF24" s="455"/>
      <c r="AG24" s="455"/>
      <c r="AH24" s="455"/>
      <c r="AI24" s="455"/>
      <c r="AJ24" s="455"/>
      <c r="AK24" s="456"/>
      <c r="AL24" s="456"/>
      <c r="AM24" s="456"/>
      <c r="AN24" s="456"/>
      <c r="AO24" s="456"/>
      <c r="AP24" s="456"/>
      <c r="AQ24" s="456"/>
      <c r="AR24" s="456"/>
      <c r="AS24" s="456"/>
      <c r="AT24" s="456"/>
      <c r="AU24" s="456"/>
      <c r="AV24" s="456"/>
      <c r="AW24" s="456"/>
      <c r="AX24" s="456"/>
      <c r="AY24" s="456"/>
      <c r="AZ24" s="456"/>
      <c r="BA24" s="456"/>
      <c r="BB24" s="456"/>
      <c r="BC24" s="456">
        <v>3303.44</v>
      </c>
      <c r="BD24" s="456">
        <v>709680.93</v>
      </c>
      <c r="BE24" s="456">
        <v>714295.99</v>
      </c>
      <c r="BF24" s="456">
        <v>720720.5</v>
      </c>
      <c r="BG24" s="456">
        <v>727499.4628</v>
      </c>
      <c r="BH24" s="456">
        <v>730970.42</v>
      </c>
      <c r="BI24" s="456">
        <v>736705.21</v>
      </c>
      <c r="BJ24" s="456">
        <v>735918.15</v>
      </c>
      <c r="BK24" s="456">
        <v>740808.97</v>
      </c>
      <c r="BL24" s="456">
        <v>747866.14</v>
      </c>
      <c r="BM24" s="456">
        <v>750050.8</v>
      </c>
      <c r="BN24" s="456">
        <v>752302.16</v>
      </c>
      <c r="BO24" s="456">
        <v>224182.06</v>
      </c>
      <c r="BP24" s="456">
        <v>3898.87</v>
      </c>
      <c r="BQ24" s="456">
        <v>3923.69</v>
      </c>
      <c r="BR24" s="456">
        <v>3959.71</v>
      </c>
      <c r="BS24" s="90">
        <v>0.0</v>
      </c>
      <c r="BT24" s="90"/>
    </row>
    <row r="25" ht="15.75" customHeight="1">
      <c r="A25" s="444" t="s">
        <v>98</v>
      </c>
      <c r="B25" s="445" t="s">
        <v>2778</v>
      </c>
      <c r="C25" s="463" t="s">
        <v>2779</v>
      </c>
      <c r="D25" s="447">
        <v>97869.0</v>
      </c>
      <c r="E25" s="447" t="s">
        <v>669</v>
      </c>
      <c r="F25" s="447" t="s">
        <v>199</v>
      </c>
      <c r="G25" s="447" t="s">
        <v>669</v>
      </c>
      <c r="H25" s="447" t="str">
        <f>IFERROR(VLOOKUP(G25,'Cadastro de assessores'!A:B,2,FALSE),"Não Cadastrado")</f>
        <v>18986</v>
      </c>
      <c r="I25" s="447" t="s">
        <v>563</v>
      </c>
      <c r="J25" s="49" t="s">
        <v>2318</v>
      </c>
      <c r="K25" s="449" t="s">
        <v>183</v>
      </c>
      <c r="L25" s="450">
        <v>44218.0</v>
      </c>
      <c r="M25" s="450">
        <v>44218.0</v>
      </c>
      <c r="N25" s="449"/>
      <c r="O25" s="449" t="s">
        <v>2341</v>
      </c>
      <c r="P25" s="452">
        <v>0.015</v>
      </c>
      <c r="Q25" s="461"/>
      <c r="R25" s="453"/>
      <c r="S25" s="449" t="str">
        <f t="shared" si="4"/>
        <v/>
      </c>
      <c r="T25" s="449" t="s">
        <v>194</v>
      </c>
      <c r="U25" s="449" t="s">
        <v>2374</v>
      </c>
      <c r="V25" s="449" t="s">
        <v>199</v>
      </c>
      <c r="W25" s="455"/>
      <c r="X25" s="455"/>
      <c r="Y25" s="455"/>
      <c r="Z25" s="455"/>
      <c r="AA25" s="455"/>
      <c r="AB25" s="455"/>
      <c r="AC25" s="455"/>
      <c r="AD25" s="455"/>
      <c r="AE25" s="455"/>
      <c r="AF25" s="455"/>
      <c r="AG25" s="455"/>
      <c r="AH25" s="455"/>
      <c r="AI25" s="455" t="s">
        <v>2344</v>
      </c>
      <c r="AJ25" s="455" t="s">
        <v>2344</v>
      </c>
      <c r="AK25" s="456">
        <v>115943.78</v>
      </c>
      <c r="AL25" s="456">
        <v>369135.68</v>
      </c>
      <c r="AM25" s="456">
        <v>163967.03</v>
      </c>
      <c r="AN25" s="456">
        <v>164324.57</v>
      </c>
      <c r="AO25" s="456">
        <v>168508.7</v>
      </c>
      <c r="AP25" s="456">
        <v>169484.21</v>
      </c>
      <c r="AQ25" s="456">
        <v>168835.53</v>
      </c>
      <c r="AR25" s="456">
        <v>172591.57</v>
      </c>
      <c r="AS25" s="456">
        <v>171439.82</v>
      </c>
      <c r="AT25" s="456">
        <v>168018.81</v>
      </c>
      <c r="AU25" s="456">
        <v>166976.08</v>
      </c>
      <c r="AV25" s="456">
        <v>164044.25</v>
      </c>
      <c r="AW25" s="456">
        <v>158768.71</v>
      </c>
      <c r="AX25" s="456">
        <v>158857.02</v>
      </c>
      <c r="AY25" s="456">
        <v>160919.97</v>
      </c>
      <c r="AZ25" s="456">
        <v>164311.6</v>
      </c>
      <c r="BA25" s="456">
        <v>165435.02</v>
      </c>
      <c r="BB25" s="456">
        <v>171561.3</v>
      </c>
      <c r="BC25" s="456"/>
      <c r="BD25" s="456">
        <v>170632.13</v>
      </c>
      <c r="BE25" s="456">
        <v>170023.95</v>
      </c>
      <c r="BF25" s="456">
        <v>172501.33</v>
      </c>
      <c r="BG25" s="456">
        <v>173236.4658</v>
      </c>
      <c r="BH25" s="456">
        <v>174010.16</v>
      </c>
      <c r="BI25" s="456">
        <v>179769.65</v>
      </c>
      <c r="BJ25" s="456">
        <v>179139.56</v>
      </c>
      <c r="BK25" s="456">
        <v>180104.75</v>
      </c>
      <c r="BL25" s="456">
        <v>181741.75</v>
      </c>
      <c r="BM25" s="456">
        <v>155111.39</v>
      </c>
      <c r="BN25" s="456">
        <v>0.0</v>
      </c>
      <c r="BO25" s="456">
        <v>0.0</v>
      </c>
      <c r="BP25" s="456">
        <v>0.0</v>
      </c>
      <c r="BQ25" s="456">
        <v>0.0</v>
      </c>
      <c r="BR25" s="456">
        <v>0.0</v>
      </c>
      <c r="BS25" s="90" t="s">
        <v>268</v>
      </c>
      <c r="BT25" s="90"/>
    </row>
    <row r="26" ht="15.75" customHeight="1">
      <c r="A26" s="444" t="s">
        <v>98</v>
      </c>
      <c r="B26" s="445" t="s">
        <v>2837</v>
      </c>
      <c r="C26" s="468" t="s">
        <v>2839</v>
      </c>
      <c r="D26" s="446">
        <v>5959474.0</v>
      </c>
      <c r="E26" s="449" t="s">
        <v>120</v>
      </c>
      <c r="F26" s="507" t="s">
        <v>54</v>
      </c>
      <c r="G26" s="449" t="s">
        <v>379</v>
      </c>
      <c r="H26" s="507" t="str">
        <f>IFERROR(VLOOKUP(G26,'Cadastro de assessores'!A:B,2,FALSE),"Não Cadastrado")</f>
        <v>18009</v>
      </c>
      <c r="I26" s="507" t="s">
        <v>563</v>
      </c>
      <c r="J26" s="49" t="s">
        <v>224</v>
      </c>
      <c r="K26" s="449" t="s">
        <v>2340</v>
      </c>
      <c r="L26" s="460">
        <v>44405.0</v>
      </c>
      <c r="M26" s="460">
        <v>44405.0</v>
      </c>
      <c r="N26" s="446"/>
      <c r="O26" s="446" t="s">
        <v>2372</v>
      </c>
      <c r="P26" s="452">
        <v>0.025</v>
      </c>
      <c r="Q26" s="330"/>
      <c r="R26" s="453"/>
      <c r="S26" s="449" t="str">
        <f t="shared" si="4"/>
        <v/>
      </c>
      <c r="T26" s="449" t="s">
        <v>194</v>
      </c>
      <c r="U26" s="449" t="s">
        <v>2852</v>
      </c>
      <c r="V26" s="449" t="s">
        <v>2854</v>
      </c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5"/>
      <c r="AI26" s="455"/>
      <c r="AJ26" s="456"/>
      <c r="AK26" s="456"/>
      <c r="AL26" s="456"/>
      <c r="AM26" s="456"/>
      <c r="AN26" s="456"/>
      <c r="AO26" s="456"/>
      <c r="AP26" s="456"/>
      <c r="AQ26" s="456"/>
      <c r="AR26" s="456"/>
      <c r="AS26" s="454"/>
      <c r="AT26" s="481">
        <v>38940.84</v>
      </c>
      <c r="AU26" s="481">
        <v>37977.25</v>
      </c>
      <c r="AV26" s="456">
        <v>35890.83</v>
      </c>
      <c r="AW26" s="456">
        <v>33015.63</v>
      </c>
      <c r="AX26" s="456">
        <v>32611.57</v>
      </c>
      <c r="AY26" s="456">
        <v>33155.74</v>
      </c>
      <c r="AZ26" s="456">
        <v>35146.96</v>
      </c>
      <c r="BA26" s="456">
        <v>35605.08</v>
      </c>
      <c r="BB26" s="456">
        <v>37741.27</v>
      </c>
      <c r="BC26" s="456"/>
      <c r="BD26" s="456">
        <v>35606.26</v>
      </c>
      <c r="BE26" s="456" t="s">
        <v>377</v>
      </c>
      <c r="BF26" s="456">
        <v>0.0</v>
      </c>
      <c r="BG26" s="456">
        <v>0.0</v>
      </c>
      <c r="BH26" s="456">
        <v>0.0</v>
      </c>
      <c r="BI26" s="456">
        <v>0.0</v>
      </c>
      <c r="BJ26" s="456">
        <v>0.0</v>
      </c>
      <c r="BK26" s="456">
        <v>0.0</v>
      </c>
      <c r="BL26" s="456">
        <v>0.0</v>
      </c>
      <c r="BM26" s="456">
        <v>0.0</v>
      </c>
      <c r="BN26" s="456">
        <v>0.0</v>
      </c>
      <c r="BO26" s="456">
        <v>0.0</v>
      </c>
      <c r="BP26" s="456">
        <v>0.0</v>
      </c>
      <c r="BQ26" s="456">
        <v>0.0</v>
      </c>
      <c r="BR26" s="456">
        <v>0.0</v>
      </c>
      <c r="BS26" s="90" t="s">
        <v>268</v>
      </c>
      <c r="BT26" s="90"/>
    </row>
    <row r="27" ht="15.75" customHeight="1">
      <c r="A27" s="444" t="s">
        <v>98</v>
      </c>
      <c r="B27" s="445" t="s">
        <v>2872</v>
      </c>
      <c r="C27" s="458" t="s">
        <v>2873</v>
      </c>
      <c r="D27" s="449">
        <v>4701151.0</v>
      </c>
      <c r="E27" s="449" t="s">
        <v>120</v>
      </c>
      <c r="F27" s="449" t="s">
        <v>199</v>
      </c>
      <c r="G27" s="449" t="s">
        <v>2339</v>
      </c>
      <c r="H27" s="449" t="str">
        <f>IFERROR(VLOOKUP(G27,'Cadastro de assessores'!A:B,2,FALSE),"Não Cadastrado")</f>
        <v>17679</v>
      </c>
      <c r="I27" s="449"/>
      <c r="J27" s="49" t="s">
        <v>224</v>
      </c>
      <c r="K27" s="449" t="s">
        <v>2340</v>
      </c>
      <c r="L27" s="460">
        <v>44245.0</v>
      </c>
      <c r="M27" s="460">
        <v>44245.0</v>
      </c>
      <c r="N27" s="460">
        <v>44442.0</v>
      </c>
      <c r="O27" s="449" t="s">
        <v>2341</v>
      </c>
      <c r="P27" s="452">
        <v>0.015</v>
      </c>
      <c r="Q27" s="461" t="s">
        <v>2883</v>
      </c>
      <c r="R27" s="453"/>
      <c r="S27" s="449" t="str">
        <f t="shared" si="4"/>
        <v>Não Qualificado</v>
      </c>
      <c r="T27" s="449" t="s">
        <v>194</v>
      </c>
      <c r="U27" s="449" t="s">
        <v>2343</v>
      </c>
      <c r="V27" s="449" t="s">
        <v>199</v>
      </c>
      <c r="W27" s="455"/>
      <c r="X27" s="455"/>
      <c r="Y27" s="455"/>
      <c r="Z27" s="455"/>
      <c r="AA27" s="455"/>
      <c r="AB27" s="455"/>
      <c r="AC27" s="455"/>
      <c r="AD27" s="455"/>
      <c r="AE27" s="455"/>
      <c r="AF27" s="455"/>
      <c r="AG27" s="455"/>
      <c r="AH27" s="455"/>
      <c r="AI27" s="455"/>
      <c r="AJ27" s="455"/>
      <c r="AK27" s="456"/>
      <c r="AL27" s="456"/>
      <c r="AM27" s="456">
        <v>96886.21</v>
      </c>
      <c r="AN27" s="456">
        <v>96864.77</v>
      </c>
      <c r="AO27" s="456">
        <v>99825.95</v>
      </c>
      <c r="AP27" s="456">
        <v>100391.23</v>
      </c>
      <c r="AQ27" s="456">
        <v>100053.73</v>
      </c>
      <c r="AR27" s="456">
        <v>102215.22</v>
      </c>
      <c r="AS27" s="456">
        <v>101594.81</v>
      </c>
      <c r="AT27" s="456">
        <v>99699.55</v>
      </c>
      <c r="AU27" s="456">
        <v>99154.98</v>
      </c>
      <c r="AV27" s="456"/>
      <c r="AW27" s="456"/>
      <c r="AX27" s="456"/>
      <c r="AY27" s="456"/>
      <c r="AZ27" s="456"/>
      <c r="BA27" s="456">
        <v>0.0</v>
      </c>
      <c r="BB27" s="456">
        <v>0.0</v>
      </c>
      <c r="BC27" s="456">
        <v>128936.35</v>
      </c>
      <c r="BD27" s="456" t="s">
        <v>377</v>
      </c>
      <c r="BE27" s="456" t="s">
        <v>377</v>
      </c>
      <c r="BF27" s="456">
        <v>0.0</v>
      </c>
      <c r="BG27" s="456">
        <v>0.0</v>
      </c>
      <c r="BH27" s="456">
        <v>0.0</v>
      </c>
      <c r="BI27" s="456">
        <v>0.0</v>
      </c>
      <c r="BJ27" s="456">
        <v>0.0</v>
      </c>
      <c r="BK27" s="456">
        <v>0.0</v>
      </c>
      <c r="BL27" s="456">
        <v>0.0</v>
      </c>
      <c r="BM27" s="456">
        <v>0.0</v>
      </c>
      <c r="BN27" s="456">
        <v>0.0</v>
      </c>
      <c r="BO27" s="456">
        <v>0.0</v>
      </c>
      <c r="BP27" s="456">
        <v>0.0</v>
      </c>
      <c r="BQ27" s="456">
        <v>0.0</v>
      </c>
      <c r="BR27" s="456">
        <v>0.0</v>
      </c>
      <c r="BS27" s="90" t="s">
        <v>268</v>
      </c>
      <c r="BT27" s="90"/>
    </row>
    <row r="28" ht="15.75" customHeight="1">
      <c r="A28" s="444" t="s">
        <v>98</v>
      </c>
      <c r="B28" s="445" t="s">
        <v>2903</v>
      </c>
      <c r="C28" s="458" t="s">
        <v>2904</v>
      </c>
      <c r="D28" s="449">
        <v>4711937.0</v>
      </c>
      <c r="E28" s="449" t="s">
        <v>255</v>
      </c>
      <c r="F28" s="449" t="s">
        <v>199</v>
      </c>
      <c r="G28" s="449" t="s">
        <v>2907</v>
      </c>
      <c r="H28" s="449" t="str">
        <f>IFERROR(VLOOKUP(G28,'Cadastro de assessores'!A:B,2,FALSE),"Não Cadastrado")</f>
        <v>14284</v>
      </c>
      <c r="I28" s="449"/>
      <c r="J28" s="49" t="s">
        <v>224</v>
      </c>
      <c r="K28" s="449" t="s">
        <v>2340</v>
      </c>
      <c r="L28" s="460">
        <v>44202.0</v>
      </c>
      <c r="M28" s="460">
        <v>44202.0</v>
      </c>
      <c r="N28" s="449" t="s">
        <v>2916</v>
      </c>
      <c r="O28" s="449" t="s">
        <v>2319</v>
      </c>
      <c r="P28" s="452">
        <v>0.02</v>
      </c>
      <c r="Q28" s="461" t="s">
        <v>2918</v>
      </c>
      <c r="R28" s="453"/>
      <c r="S28" s="449" t="str">
        <f t="shared" si="4"/>
        <v>Não Qualificado</v>
      </c>
      <c r="T28" s="449" t="s">
        <v>194</v>
      </c>
      <c r="U28" s="449" t="s">
        <v>2383</v>
      </c>
      <c r="V28" s="449" t="s">
        <v>199</v>
      </c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6"/>
      <c r="AL28" s="456">
        <v>195090.84</v>
      </c>
      <c r="AM28" s="456">
        <v>187715.54</v>
      </c>
      <c r="AN28" s="456">
        <v>187485.57</v>
      </c>
      <c r="AO28" s="456">
        <v>195621.78</v>
      </c>
      <c r="AP28" s="456">
        <v>197272.33</v>
      </c>
      <c r="AQ28" s="456">
        <v>196049.93</v>
      </c>
      <c r="AR28" s="456">
        <v>202928.14</v>
      </c>
      <c r="AS28" s="456">
        <v>200256.6</v>
      </c>
      <c r="AT28" s="456">
        <v>193919.94</v>
      </c>
      <c r="AU28" s="456">
        <v>191767.5</v>
      </c>
      <c r="AV28" s="456">
        <v>185697.92</v>
      </c>
      <c r="AW28" s="456">
        <v>177793.09</v>
      </c>
      <c r="AX28" s="456">
        <v>139706.64</v>
      </c>
      <c r="AY28" s="456">
        <v>96399.59</v>
      </c>
      <c r="AZ28" s="456"/>
      <c r="BA28" s="456">
        <v>0.0</v>
      </c>
      <c r="BB28" s="456">
        <v>0.0</v>
      </c>
      <c r="BC28" s="456">
        <v>39418.34</v>
      </c>
      <c r="BD28" s="456" t="s">
        <v>377</v>
      </c>
      <c r="BE28" s="456" t="s">
        <v>377</v>
      </c>
      <c r="BF28" s="456">
        <v>0.0</v>
      </c>
      <c r="BG28" s="456">
        <v>0.0</v>
      </c>
      <c r="BH28" s="456">
        <v>0.0</v>
      </c>
      <c r="BI28" s="456">
        <v>0.0</v>
      </c>
      <c r="BJ28" s="456">
        <v>0.0</v>
      </c>
      <c r="BK28" s="456">
        <v>0.0</v>
      </c>
      <c r="BL28" s="456">
        <v>0.0</v>
      </c>
      <c r="BM28" s="456">
        <v>0.0</v>
      </c>
      <c r="BN28" s="456">
        <v>0.0</v>
      </c>
      <c r="BO28" s="456">
        <v>0.0</v>
      </c>
      <c r="BP28" s="456">
        <v>0.0</v>
      </c>
      <c r="BQ28" s="456">
        <v>0.0</v>
      </c>
      <c r="BR28" s="456">
        <v>0.0</v>
      </c>
      <c r="BS28" s="90" t="s">
        <v>268</v>
      </c>
      <c r="BT28" s="90"/>
    </row>
    <row r="29" ht="15.75" customHeight="1">
      <c r="A29" s="444" t="s">
        <v>98</v>
      </c>
      <c r="B29" s="445" t="s">
        <v>2934</v>
      </c>
      <c r="C29" s="468" t="s">
        <v>2935</v>
      </c>
      <c r="D29" s="446">
        <v>5251498.0</v>
      </c>
      <c r="E29" s="447" t="s">
        <v>120</v>
      </c>
      <c r="F29" s="448" t="s">
        <v>54</v>
      </c>
      <c r="G29" s="447" t="s">
        <v>379</v>
      </c>
      <c r="H29" s="447" t="str">
        <f>IFERROR(VLOOKUP(G29,'Cadastro de assessores'!A:B,2,FALSE),"Não Cadastrado")</f>
        <v>18009</v>
      </c>
      <c r="I29" s="447"/>
      <c r="J29" s="49" t="s">
        <v>2318</v>
      </c>
      <c r="K29" s="449" t="s">
        <v>183</v>
      </c>
      <c r="L29" s="450">
        <v>44671.0</v>
      </c>
      <c r="M29" s="450">
        <v>44308.0</v>
      </c>
      <c r="N29" s="449"/>
      <c r="O29" s="449" t="s">
        <v>2372</v>
      </c>
      <c r="P29" s="452">
        <v>0.025</v>
      </c>
      <c r="Q29" s="330"/>
      <c r="R29" s="453"/>
      <c r="S29" s="449" t="str">
        <f t="shared" si="4"/>
        <v/>
      </c>
      <c r="T29" s="449" t="s">
        <v>194</v>
      </c>
      <c r="U29" s="449" t="s">
        <v>2475</v>
      </c>
      <c r="V29" s="446" t="s">
        <v>618</v>
      </c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6"/>
      <c r="AM29" s="456"/>
      <c r="AN29" s="456"/>
      <c r="AO29" s="456"/>
      <c r="AP29" s="456">
        <v>99413.12</v>
      </c>
      <c r="AQ29" s="456">
        <v>98282.49</v>
      </c>
      <c r="AR29" s="456">
        <v>103900.21</v>
      </c>
      <c r="AS29" s="456">
        <v>101484.62</v>
      </c>
      <c r="AT29" s="456">
        <v>96116.45</v>
      </c>
      <c r="AU29" s="456">
        <v>94096.92</v>
      </c>
      <c r="AV29" s="456">
        <v>88664.81</v>
      </c>
      <c r="AW29" s="456">
        <v>82049.96</v>
      </c>
      <c r="AX29" s="456">
        <v>81209.57</v>
      </c>
      <c r="AY29" s="456">
        <v>82486.52</v>
      </c>
      <c r="AZ29" s="456">
        <v>88378.28</v>
      </c>
      <c r="BA29" s="456">
        <v>89166.49</v>
      </c>
      <c r="BB29" s="456">
        <v>94891.31</v>
      </c>
      <c r="BC29" s="456"/>
      <c r="BD29" s="456">
        <v>89481.06</v>
      </c>
      <c r="BE29" s="456">
        <v>85465.52</v>
      </c>
      <c r="BF29" s="456">
        <v>90119.39</v>
      </c>
      <c r="BG29" s="456">
        <v>91444.67</v>
      </c>
      <c r="BH29" s="456">
        <v>89642.39</v>
      </c>
      <c r="BI29" s="456">
        <v>97387.51</v>
      </c>
      <c r="BJ29" s="456">
        <v>93998.24</v>
      </c>
      <c r="BK29" s="456">
        <v>93356.77</v>
      </c>
      <c r="BL29" s="456">
        <v>95762.9</v>
      </c>
      <c r="BM29" s="456">
        <v>92157.19</v>
      </c>
      <c r="BN29" s="456">
        <v>91325.47</v>
      </c>
      <c r="BO29" s="456">
        <v>90565.57</v>
      </c>
      <c r="BP29" s="456">
        <v>92344.64</v>
      </c>
      <c r="BQ29" s="456">
        <v>96934.01</v>
      </c>
      <c r="BR29" s="456">
        <v>0.0</v>
      </c>
      <c r="BS29" s="90" t="s">
        <v>268</v>
      </c>
      <c r="BT29" s="90"/>
    </row>
    <row r="30" ht="15.75" customHeight="1">
      <c r="A30" s="444" t="s">
        <v>98</v>
      </c>
      <c r="B30" s="445" t="s">
        <v>1949</v>
      </c>
      <c r="C30" s="463" t="s">
        <v>2964</v>
      </c>
      <c r="D30" s="447">
        <v>3403198.0</v>
      </c>
      <c r="E30" s="447" t="s">
        <v>120</v>
      </c>
      <c r="F30" s="447" t="s">
        <v>199</v>
      </c>
      <c r="G30" s="447" t="s">
        <v>388</v>
      </c>
      <c r="H30" s="447" t="str">
        <f>IFERROR(VLOOKUP(G30,'Cadastro de assessores'!A:B,2,FALSE),"Não Cadastrado")</f>
        <v>18993</v>
      </c>
      <c r="I30" s="447"/>
      <c r="J30" s="49" t="s">
        <v>2318</v>
      </c>
      <c r="K30" s="449" t="s">
        <v>183</v>
      </c>
      <c r="L30" s="450">
        <v>44188.0</v>
      </c>
      <c r="M30" s="450">
        <v>43675.0</v>
      </c>
      <c r="N30" s="449"/>
      <c r="O30" s="449" t="s">
        <v>2356</v>
      </c>
      <c r="P30" s="519">
        <v>1.0E-4</v>
      </c>
      <c r="Q30" s="461"/>
      <c r="R30" s="453"/>
      <c r="S30" s="449" t="str">
        <f t="shared" si="4"/>
        <v/>
      </c>
      <c r="T30" s="449" t="s">
        <v>194</v>
      </c>
      <c r="U30" s="449" t="s">
        <v>2383</v>
      </c>
      <c r="V30" s="449" t="s">
        <v>199</v>
      </c>
      <c r="W30" s="455" t="s">
        <v>2344</v>
      </c>
      <c r="X30" s="455" t="s">
        <v>2344</v>
      </c>
      <c r="Y30" s="455" t="s">
        <v>2344</v>
      </c>
      <c r="Z30" s="455" t="s">
        <v>2344</v>
      </c>
      <c r="AA30" s="455" t="s">
        <v>2344</v>
      </c>
      <c r="AB30" s="455" t="s">
        <v>2344</v>
      </c>
      <c r="AC30" s="455" t="s">
        <v>2344</v>
      </c>
      <c r="AD30" s="455" t="s">
        <v>2344</v>
      </c>
      <c r="AE30" s="455" t="s">
        <v>2344</v>
      </c>
      <c r="AF30" s="455" t="s">
        <v>2344</v>
      </c>
      <c r="AG30" s="455" t="s">
        <v>2344</v>
      </c>
      <c r="AH30" s="455"/>
      <c r="AI30" s="455"/>
      <c r="AJ30" s="455"/>
      <c r="AK30" s="456"/>
      <c r="AL30" s="456"/>
      <c r="AM30" s="456">
        <v>349437.65</v>
      </c>
      <c r="AN30" s="456">
        <v>350668.31</v>
      </c>
      <c r="AO30" s="456">
        <v>358395.3</v>
      </c>
      <c r="AP30" s="456">
        <v>475557.0</v>
      </c>
      <c r="AQ30" s="456">
        <v>476961.66</v>
      </c>
      <c r="AR30" s="456">
        <v>744057.52</v>
      </c>
      <c r="AS30" s="456">
        <v>739002.53</v>
      </c>
      <c r="AT30" s="456">
        <v>725600.33</v>
      </c>
      <c r="AU30" s="456">
        <v>713749.76</v>
      </c>
      <c r="AV30" s="456">
        <v>1219096.25</v>
      </c>
      <c r="AW30" s="456">
        <v>685634.25</v>
      </c>
      <c r="AX30" s="456">
        <v>669690.19</v>
      </c>
      <c r="AY30" s="456">
        <v>681523.28</v>
      </c>
      <c r="AZ30" s="456">
        <v>690523.35</v>
      </c>
      <c r="BA30" s="456">
        <v>681092.42</v>
      </c>
      <c r="BB30" s="456">
        <v>721330.63</v>
      </c>
      <c r="BC30" s="456"/>
      <c r="BD30" s="456">
        <v>1211442.63</v>
      </c>
      <c r="BE30" s="456">
        <v>1170781.43</v>
      </c>
      <c r="BF30" s="456">
        <v>1206989.31</v>
      </c>
      <c r="BG30" s="456">
        <v>1236418.08</v>
      </c>
      <c r="BH30" s="456">
        <v>1231761.34</v>
      </c>
      <c r="BI30" s="456">
        <v>1301969.04</v>
      </c>
      <c r="BJ30" s="456">
        <v>1290695.65</v>
      </c>
      <c r="BK30" s="456">
        <v>1289815.17</v>
      </c>
      <c r="BL30" s="456">
        <v>1307327.88</v>
      </c>
      <c r="BM30" s="456">
        <v>690123.72</v>
      </c>
      <c r="BN30" s="456">
        <v>669957.45</v>
      </c>
      <c r="BO30" s="456">
        <v>668590.21</v>
      </c>
      <c r="BP30" s="456">
        <v>650609.21</v>
      </c>
      <c r="BQ30" s="456">
        <v>671682.15</v>
      </c>
      <c r="BR30" s="456">
        <v>690180.51</v>
      </c>
      <c r="BS30" s="90">
        <v>0.0</v>
      </c>
      <c r="BT30" s="90"/>
    </row>
    <row r="31" ht="15.75" customHeight="1">
      <c r="A31" s="444" t="s">
        <v>98</v>
      </c>
      <c r="B31" s="445" t="s">
        <v>3006</v>
      </c>
      <c r="C31" s="468" t="s">
        <v>3008</v>
      </c>
      <c r="D31" s="446">
        <v>8446035.0</v>
      </c>
      <c r="E31" s="447" t="s">
        <v>120</v>
      </c>
      <c r="F31" s="447" t="s">
        <v>54</v>
      </c>
      <c r="G31" s="446" t="s">
        <v>1393</v>
      </c>
      <c r="H31" s="447" t="str">
        <f>IFERROR(VLOOKUP(G31,'Cadastro de assessores'!A:B,2,FALSE),"Não Cadastrado")</f>
        <v>17831</v>
      </c>
      <c r="I31" s="447" t="s">
        <v>563</v>
      </c>
      <c r="J31" s="49" t="s">
        <v>2318</v>
      </c>
      <c r="K31" s="449" t="s">
        <v>295</v>
      </c>
      <c r="L31" s="447" t="s">
        <v>3013</v>
      </c>
      <c r="M31" s="450">
        <v>44692.0</v>
      </c>
      <c r="N31" s="446"/>
      <c r="O31" s="446" t="s">
        <v>2341</v>
      </c>
      <c r="P31" s="452">
        <v>0.015</v>
      </c>
      <c r="Q31" s="330" t="s">
        <v>3015</v>
      </c>
      <c r="R31" s="453"/>
      <c r="S31" s="449" t="str">
        <f t="shared" si="4"/>
        <v>Não Qualificado</v>
      </c>
      <c r="T31" s="449" t="s">
        <v>194</v>
      </c>
      <c r="U31" s="449" t="s">
        <v>2438</v>
      </c>
      <c r="V31" s="446" t="s">
        <v>54</v>
      </c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6"/>
      <c r="AL31" s="456"/>
      <c r="AM31" s="456"/>
      <c r="AN31" s="456"/>
      <c r="AO31" s="456"/>
      <c r="AP31" s="456"/>
      <c r="AQ31" s="454"/>
      <c r="AR31" s="481"/>
      <c r="AS31" s="456"/>
      <c r="AT31" s="456"/>
      <c r="AU31" s="456"/>
      <c r="AV31" s="456"/>
      <c r="AW31" s="456"/>
      <c r="AX31" s="456"/>
      <c r="AY31" s="456"/>
      <c r="AZ31" s="456"/>
      <c r="BA31" s="456"/>
      <c r="BB31" s="456"/>
      <c r="BC31" s="456">
        <v>216.25</v>
      </c>
      <c r="BD31" s="456" t="s">
        <v>377</v>
      </c>
      <c r="BE31" s="456" t="s">
        <v>377</v>
      </c>
      <c r="BF31" s="456">
        <v>0.0</v>
      </c>
      <c r="BG31" s="456">
        <v>0.0</v>
      </c>
      <c r="BH31" s="456">
        <v>0.0</v>
      </c>
      <c r="BI31" s="456">
        <v>0.0</v>
      </c>
      <c r="BJ31" s="456">
        <v>0.0</v>
      </c>
      <c r="BK31" s="456">
        <v>0.0</v>
      </c>
      <c r="BL31" s="456">
        <v>0.0</v>
      </c>
      <c r="BM31" s="456">
        <v>0.0</v>
      </c>
      <c r="BN31" s="456">
        <v>0.0</v>
      </c>
      <c r="BO31" s="456">
        <v>0.0</v>
      </c>
      <c r="BP31" s="456">
        <v>0.0</v>
      </c>
      <c r="BQ31" s="456">
        <v>0.0</v>
      </c>
      <c r="BR31" s="456">
        <v>0.0</v>
      </c>
      <c r="BS31" s="90">
        <v>0.0</v>
      </c>
      <c r="BT31" s="90"/>
    </row>
    <row r="32" ht="15.75" customHeight="1">
      <c r="A32" s="444" t="s">
        <v>98</v>
      </c>
      <c r="B32" s="445" t="s">
        <v>1977</v>
      </c>
      <c r="C32" s="463" t="s">
        <v>3041</v>
      </c>
      <c r="D32" s="447">
        <v>4425564.0</v>
      </c>
      <c r="E32" s="447" t="s">
        <v>120</v>
      </c>
      <c r="F32" s="447" t="s">
        <v>199</v>
      </c>
      <c r="G32" s="447" t="s">
        <v>1914</v>
      </c>
      <c r="H32" s="447">
        <f>IFERROR(VLOOKUP(G32,'Cadastro de assessores'!A:B,2,FALSE),"Não Cadastrado")</f>
        <v>12359</v>
      </c>
      <c r="I32" s="447"/>
      <c r="J32" s="49" t="s">
        <v>2318</v>
      </c>
      <c r="K32" s="449" t="s">
        <v>183</v>
      </c>
      <c r="L32" s="450">
        <v>44076.0</v>
      </c>
      <c r="M32" s="450">
        <v>44076.0</v>
      </c>
      <c r="N32" s="449"/>
      <c r="O32" s="449" t="s">
        <v>2365</v>
      </c>
      <c r="P32" s="452">
        <v>0.012</v>
      </c>
      <c r="Q32" s="461" t="s">
        <v>3049</v>
      </c>
      <c r="R32" s="453"/>
      <c r="S32" s="449" t="str">
        <f t="shared" si="4"/>
        <v>Não Qualificado</v>
      </c>
      <c r="T32" s="449" t="s">
        <v>194</v>
      </c>
      <c r="U32" s="449" t="s">
        <v>2401</v>
      </c>
      <c r="V32" s="449" t="s">
        <v>199</v>
      </c>
      <c r="W32" s="455" t="s">
        <v>2344</v>
      </c>
      <c r="X32" s="455" t="s">
        <v>2344</v>
      </c>
      <c r="Y32" s="455" t="s">
        <v>2344</v>
      </c>
      <c r="Z32" s="455" t="s">
        <v>2344</v>
      </c>
      <c r="AA32" s="455" t="s">
        <v>2344</v>
      </c>
      <c r="AB32" s="455" t="s">
        <v>2344</v>
      </c>
      <c r="AC32" s="455" t="s">
        <v>2344</v>
      </c>
      <c r="AD32" s="455" t="s">
        <v>2344</v>
      </c>
      <c r="AE32" s="455" t="s">
        <v>2344</v>
      </c>
      <c r="AF32" s="455" t="s">
        <v>2344</v>
      </c>
      <c r="AG32" s="455" t="s">
        <v>2344</v>
      </c>
      <c r="AH32" s="455" t="s">
        <v>3057</v>
      </c>
      <c r="AI32" s="455" t="s">
        <v>3058</v>
      </c>
      <c r="AJ32" s="455" t="s">
        <v>3059</v>
      </c>
      <c r="AK32" s="456">
        <v>254941.98</v>
      </c>
      <c r="AL32" s="456">
        <v>253262.16</v>
      </c>
      <c r="AM32" s="456">
        <v>249263.64</v>
      </c>
      <c r="AN32" s="456">
        <v>248948.93</v>
      </c>
      <c r="AO32" s="456">
        <v>251186.63</v>
      </c>
      <c r="AP32" s="456">
        <v>251872.27</v>
      </c>
      <c r="AQ32" s="456">
        <v>251391.08</v>
      </c>
      <c r="AR32" s="456">
        <v>254760.48</v>
      </c>
      <c r="AS32" s="456">
        <v>254184.18</v>
      </c>
      <c r="AT32" s="456">
        <v>252202.53</v>
      </c>
      <c r="AU32" s="456">
        <v>251972.25</v>
      </c>
      <c r="AV32" s="456">
        <v>250092.59</v>
      </c>
      <c r="AW32" s="456">
        <v>244727.38</v>
      </c>
      <c r="AX32" s="456">
        <v>246998.73</v>
      </c>
      <c r="AY32" s="456">
        <v>250019.17</v>
      </c>
      <c r="AZ32" s="456">
        <v>253895.54</v>
      </c>
      <c r="BA32" s="456">
        <v>255364.64</v>
      </c>
      <c r="BB32" s="456">
        <v>262495.58</v>
      </c>
      <c r="BC32" s="456">
        <v>918261.13</v>
      </c>
      <c r="BD32" s="456">
        <v>266074.01</v>
      </c>
      <c r="BE32" s="456">
        <v>266511.04</v>
      </c>
      <c r="BF32" s="456">
        <v>270063.66</v>
      </c>
      <c r="BG32" s="456">
        <v>271001.3259</v>
      </c>
      <c r="BH32" s="456">
        <v>210219.07</v>
      </c>
      <c r="BI32" s="456">
        <v>215197.72</v>
      </c>
      <c r="BJ32" s="456">
        <v>215095.97</v>
      </c>
      <c r="BK32" s="456">
        <v>204777.37</v>
      </c>
      <c r="BL32" s="456">
        <v>207016.67</v>
      </c>
      <c r="BM32" s="456">
        <v>5.73</v>
      </c>
      <c r="BN32" s="456">
        <v>9.45</v>
      </c>
      <c r="BO32" s="456">
        <v>9.45</v>
      </c>
      <c r="BP32" s="456">
        <v>9.45</v>
      </c>
      <c r="BQ32" s="456">
        <v>9.45</v>
      </c>
      <c r="BR32" s="456">
        <v>9.45</v>
      </c>
      <c r="BS32" s="90">
        <v>0.0</v>
      </c>
      <c r="BT32" s="90"/>
    </row>
    <row r="33" ht="15.75" customHeight="1">
      <c r="A33" s="444" t="s">
        <v>98</v>
      </c>
      <c r="B33" s="445" t="s">
        <v>1984</v>
      </c>
      <c r="C33" s="468" t="s">
        <v>3081</v>
      </c>
      <c r="D33" s="446">
        <v>5613795.0</v>
      </c>
      <c r="E33" s="447" t="s">
        <v>120</v>
      </c>
      <c r="F33" s="448" t="s">
        <v>54</v>
      </c>
      <c r="G33" s="446" t="s">
        <v>1393</v>
      </c>
      <c r="H33" s="446" t="str">
        <f>IFERROR(VLOOKUP(G33,'Cadastro de assessores'!A:B,2,FALSE),"Não Cadastrado")</f>
        <v>17831</v>
      </c>
      <c r="I33" s="446" t="s">
        <v>563</v>
      </c>
      <c r="J33" s="49" t="s">
        <v>2318</v>
      </c>
      <c r="K33" s="449" t="s">
        <v>183</v>
      </c>
      <c r="L33" s="450">
        <v>44351.0</v>
      </c>
      <c r="M33" s="450">
        <v>44351.0</v>
      </c>
      <c r="N33" s="449"/>
      <c r="O33" s="449" t="s">
        <v>2341</v>
      </c>
      <c r="P33" s="452">
        <v>0.015</v>
      </c>
      <c r="Q33" s="330"/>
      <c r="R33" s="453"/>
      <c r="S33" s="449" t="str">
        <f t="shared" si="4"/>
        <v>Não Qualificado</v>
      </c>
      <c r="T33" s="449" t="s">
        <v>194</v>
      </c>
      <c r="U33" s="449" t="s">
        <v>3096</v>
      </c>
      <c r="V33" s="446" t="s">
        <v>54</v>
      </c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6"/>
      <c r="AL33" s="456"/>
      <c r="AM33" s="456"/>
      <c r="AN33" s="456"/>
      <c r="AO33" s="456"/>
      <c r="AP33" s="456"/>
      <c r="AQ33" s="454"/>
      <c r="AR33" s="481"/>
      <c r="AS33" s="456">
        <v>591790.74</v>
      </c>
      <c r="AT33" s="456">
        <v>580263.58</v>
      </c>
      <c r="AU33" s="456">
        <v>576592.41</v>
      </c>
      <c r="AV33" s="456">
        <v>566416.04</v>
      </c>
      <c r="AW33" s="456">
        <v>548375.7</v>
      </c>
      <c r="AX33" s="456">
        <v>547804.19</v>
      </c>
      <c r="AY33" s="456">
        <v>554567.83</v>
      </c>
      <c r="AZ33" s="456">
        <v>569903.58</v>
      </c>
      <c r="BA33" s="456">
        <v>575013.71</v>
      </c>
      <c r="BB33" s="456">
        <v>593874.88</v>
      </c>
      <c r="BC33" s="456">
        <v>902.16</v>
      </c>
      <c r="BD33" s="456">
        <v>588230.86</v>
      </c>
      <c r="BE33" s="456">
        <v>585525.8</v>
      </c>
      <c r="BF33" s="456">
        <v>595743.05</v>
      </c>
      <c r="BG33" s="456">
        <v>598695.0913</v>
      </c>
      <c r="BH33" s="456">
        <v>599894.14</v>
      </c>
      <c r="BI33" s="456">
        <v>614556.17</v>
      </c>
      <c r="BJ33" s="456">
        <v>621739.31</v>
      </c>
      <c r="BK33" s="456">
        <v>625782.7</v>
      </c>
      <c r="BL33" s="456">
        <v>143996.39</v>
      </c>
      <c r="BM33" s="456">
        <v>138481.49</v>
      </c>
      <c r="BN33" s="456">
        <v>24.75</v>
      </c>
      <c r="BO33" s="456">
        <v>24.75</v>
      </c>
      <c r="BP33" s="456">
        <v>24.75</v>
      </c>
      <c r="BQ33" s="456">
        <v>24.75</v>
      </c>
      <c r="BR33" s="456">
        <v>24.75</v>
      </c>
      <c r="BS33" s="90">
        <v>0.0</v>
      </c>
      <c r="BT33" s="90"/>
    </row>
    <row r="34" ht="15.75" customHeight="1">
      <c r="A34" s="444" t="s">
        <v>98</v>
      </c>
      <c r="B34" s="445" t="s">
        <v>3109</v>
      </c>
      <c r="C34" s="468" t="s">
        <v>1994</v>
      </c>
      <c r="D34" s="446">
        <v>429563.0</v>
      </c>
      <c r="E34" s="447" t="s">
        <v>120</v>
      </c>
      <c r="F34" s="447" t="s">
        <v>54</v>
      </c>
      <c r="G34" s="447" t="s">
        <v>348</v>
      </c>
      <c r="H34" s="446">
        <f>IFERROR(VLOOKUP(G34,'Cadastro de assessores'!A:B,2,FALSE),"Não Cadastrado")</f>
        <v>12331</v>
      </c>
      <c r="I34" s="447" t="s">
        <v>563</v>
      </c>
      <c r="J34" s="49" t="s">
        <v>2318</v>
      </c>
      <c r="K34" s="449" t="s">
        <v>183</v>
      </c>
      <c r="L34" s="470">
        <v>44820.0</v>
      </c>
      <c r="M34" s="470">
        <v>44820.0</v>
      </c>
      <c r="N34" s="449"/>
      <c r="O34" s="449" t="s">
        <v>2341</v>
      </c>
      <c r="P34" s="452">
        <v>0.015</v>
      </c>
      <c r="Q34" s="461"/>
      <c r="R34" s="453"/>
      <c r="S34" s="449"/>
      <c r="T34" s="449"/>
      <c r="U34" s="449"/>
      <c r="V34" s="449" t="s">
        <v>54</v>
      </c>
      <c r="W34" s="455"/>
      <c r="X34" s="455"/>
      <c r="Y34" s="455"/>
      <c r="Z34" s="455"/>
      <c r="AA34" s="455"/>
      <c r="AB34" s="455"/>
      <c r="AC34" s="455"/>
      <c r="AD34" s="455"/>
      <c r="AE34" s="455"/>
      <c r="AF34" s="455"/>
      <c r="AG34" s="455"/>
      <c r="AH34" s="455"/>
      <c r="AI34" s="455"/>
      <c r="AJ34" s="455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>
        <v>407621.49</v>
      </c>
      <c r="BI34" s="456">
        <v>424331.63</v>
      </c>
      <c r="BJ34" s="456">
        <v>424926.19</v>
      </c>
      <c r="BK34" s="456">
        <v>425582.54</v>
      </c>
      <c r="BL34" s="456">
        <v>424317.48</v>
      </c>
      <c r="BM34" s="456">
        <v>32166.13</v>
      </c>
      <c r="BN34" s="456">
        <v>549.65</v>
      </c>
      <c r="BO34" s="456">
        <v>0.0</v>
      </c>
      <c r="BP34" s="456">
        <v>0.0</v>
      </c>
      <c r="BQ34" s="456">
        <v>0.0</v>
      </c>
      <c r="BR34" s="456">
        <v>0.0</v>
      </c>
      <c r="BS34" s="90">
        <v>0.0</v>
      </c>
      <c r="BT34" s="90"/>
    </row>
    <row r="35" ht="15.75" customHeight="1">
      <c r="A35" s="444" t="s">
        <v>98</v>
      </c>
      <c r="B35" s="445" t="s">
        <v>2020</v>
      </c>
      <c r="C35" s="468" t="s">
        <v>2017</v>
      </c>
      <c r="D35" s="446">
        <v>4085020.0</v>
      </c>
      <c r="E35" s="447" t="s">
        <v>120</v>
      </c>
      <c r="F35" s="447" t="s">
        <v>54</v>
      </c>
      <c r="G35" s="447" t="s">
        <v>125</v>
      </c>
      <c r="H35" s="447" t="s">
        <v>3141</v>
      </c>
      <c r="I35" s="447" t="s">
        <v>563</v>
      </c>
      <c r="J35" s="74" t="s">
        <v>183</v>
      </c>
      <c r="K35" s="449" t="s">
        <v>183</v>
      </c>
      <c r="L35" s="470">
        <v>44767.0</v>
      </c>
      <c r="M35" s="470">
        <v>44767.0</v>
      </c>
      <c r="N35" s="449"/>
      <c r="O35" s="449" t="s">
        <v>2356</v>
      </c>
      <c r="P35" s="452">
        <v>0.007</v>
      </c>
      <c r="Q35" s="461" t="s">
        <v>3145</v>
      </c>
      <c r="R35" s="453"/>
      <c r="S35" s="449" t="s">
        <v>244</v>
      </c>
      <c r="T35" s="449" t="s">
        <v>194</v>
      </c>
      <c r="U35" s="449" t="s">
        <v>2438</v>
      </c>
      <c r="V35" s="449" t="s">
        <v>54</v>
      </c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  <c r="AG35" s="455"/>
      <c r="AH35" s="455"/>
      <c r="AI35" s="455"/>
      <c r="AJ35" s="455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 t="s">
        <v>377</v>
      </c>
      <c r="BE35" s="456" t="s">
        <v>377</v>
      </c>
      <c r="BF35" s="456">
        <v>31252.78</v>
      </c>
      <c r="BG35" s="456">
        <v>31613.26501</v>
      </c>
      <c r="BH35" s="456">
        <v>25479.87</v>
      </c>
      <c r="BI35" s="456">
        <v>25721.85</v>
      </c>
      <c r="BJ35" s="456">
        <v>19838.91</v>
      </c>
      <c r="BK35" s="456">
        <v>19997.22</v>
      </c>
      <c r="BL35" s="456">
        <v>14121.87</v>
      </c>
      <c r="BM35" s="456">
        <v>8703.53</v>
      </c>
      <c r="BN35" s="456">
        <v>3353.39</v>
      </c>
      <c r="BO35" s="456">
        <v>3383.83</v>
      </c>
      <c r="BP35" s="456">
        <v>3382.7</v>
      </c>
      <c r="BQ35" s="456">
        <v>3402.97</v>
      </c>
      <c r="BR35" s="456">
        <v>3439.16</v>
      </c>
      <c r="BS35" s="90">
        <v>3479.5</v>
      </c>
      <c r="BT35" s="90"/>
    </row>
    <row r="36" ht="15.75" customHeight="1">
      <c r="A36" s="444" t="s">
        <v>98</v>
      </c>
      <c r="B36" s="445" t="s">
        <v>3164</v>
      </c>
      <c r="C36" s="468" t="s">
        <v>3166</v>
      </c>
      <c r="D36" s="446">
        <v>6582452.0</v>
      </c>
      <c r="E36" s="447" t="s">
        <v>120</v>
      </c>
      <c r="F36" s="448" t="s">
        <v>54</v>
      </c>
      <c r="G36" s="447" t="s">
        <v>379</v>
      </c>
      <c r="H36" s="446" t="str">
        <f>IFERROR(VLOOKUP(G36,'Cadastro de assessores'!A:B,2,FALSE),"Não Cadastrado")</f>
        <v>18009</v>
      </c>
      <c r="I36" s="447" t="s">
        <v>563</v>
      </c>
      <c r="J36" s="49" t="s">
        <v>224</v>
      </c>
      <c r="K36" s="449" t="s">
        <v>183</v>
      </c>
      <c r="L36" s="508">
        <v>44454.0</v>
      </c>
      <c r="M36" s="508">
        <v>44460.0</v>
      </c>
      <c r="N36" s="528">
        <v>44838.0</v>
      </c>
      <c r="O36" s="490" t="s">
        <v>3177</v>
      </c>
      <c r="P36" s="452">
        <v>0.008</v>
      </c>
      <c r="Q36" s="330" t="s">
        <v>3180</v>
      </c>
      <c r="R36" s="453"/>
      <c r="S36" s="449" t="str">
        <f t="shared" ref="S36:S37" si="5">IF(BC36&lt;=0,"",IF(BC36&lt;=1000000,"Não Qualificado",IF(AND(BC36&gt;1000000,BC36&lt;=10000000),"Qualificado","Profissional")))</f>
        <v>Não Qualificado</v>
      </c>
      <c r="T36" s="449" t="s">
        <v>194</v>
      </c>
      <c r="U36" s="449" t="s">
        <v>2475</v>
      </c>
      <c r="V36" s="446" t="s">
        <v>618</v>
      </c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5"/>
      <c r="AH36" s="455"/>
      <c r="AI36" s="455"/>
      <c r="AJ36" s="456"/>
      <c r="AK36" s="456"/>
      <c r="AL36" s="456"/>
      <c r="AM36" s="456"/>
      <c r="AN36" s="456"/>
      <c r="AO36" s="456"/>
      <c r="AP36" s="456"/>
      <c r="AQ36" s="456"/>
      <c r="AR36" s="456"/>
      <c r="AS36" s="456"/>
      <c r="AT36" s="456"/>
      <c r="AU36" s="454"/>
      <c r="AV36" s="456"/>
      <c r="AW36" s="456" t="s">
        <v>3192</v>
      </c>
      <c r="AX36" s="456">
        <v>1012285.33</v>
      </c>
      <c r="AY36" s="456">
        <v>1019262.4</v>
      </c>
      <c r="AZ36" s="456">
        <v>1026250.25</v>
      </c>
      <c r="BA36" s="456">
        <v>1034164.92</v>
      </c>
      <c r="BB36" s="456">
        <v>1046873.4</v>
      </c>
      <c r="BC36" s="456">
        <v>352.33</v>
      </c>
      <c r="BD36" s="456">
        <v>1066405.59</v>
      </c>
      <c r="BE36" s="456">
        <v>102419.4</v>
      </c>
      <c r="BF36" s="456">
        <v>103121.06</v>
      </c>
      <c r="BG36" s="456">
        <v>103618.6016</v>
      </c>
      <c r="BH36" s="456">
        <v>104144.81</v>
      </c>
      <c r="BI36" s="456">
        <v>0.0</v>
      </c>
      <c r="BJ36" s="456">
        <v>0.0</v>
      </c>
      <c r="BK36" s="456">
        <v>0.0</v>
      </c>
      <c r="BL36" s="456">
        <v>0.0</v>
      </c>
      <c r="BM36" s="456">
        <v>0.0</v>
      </c>
      <c r="BN36" s="456">
        <v>0.0</v>
      </c>
      <c r="BO36" s="456">
        <v>0.0</v>
      </c>
      <c r="BP36" s="456">
        <v>0.0</v>
      </c>
      <c r="BQ36" s="456">
        <v>0.0</v>
      </c>
      <c r="BR36" s="456">
        <v>0.0</v>
      </c>
      <c r="BS36" s="90" t="s">
        <v>268</v>
      </c>
      <c r="BT36" s="90"/>
    </row>
    <row r="37" ht="15.75" customHeight="1">
      <c r="A37" s="444" t="s">
        <v>98</v>
      </c>
      <c r="B37" s="445" t="s">
        <v>3203</v>
      </c>
      <c r="C37" s="468" t="s">
        <v>3204</v>
      </c>
      <c r="D37" s="449">
        <v>4432780.0</v>
      </c>
      <c r="E37" s="447" t="s">
        <v>120</v>
      </c>
      <c r="F37" s="447" t="s">
        <v>54</v>
      </c>
      <c r="G37" s="447" t="s">
        <v>379</v>
      </c>
      <c r="H37" s="447" t="str">
        <f>IFERROR(VLOOKUP(G37,'Cadastro de assessores'!A:B,2,FALSE),"Não Cadastrado")</f>
        <v>18009</v>
      </c>
      <c r="I37" s="447" t="s">
        <v>563</v>
      </c>
      <c r="J37" s="49" t="s">
        <v>2318</v>
      </c>
      <c r="K37" s="449" t="s">
        <v>183</v>
      </c>
      <c r="L37" s="450">
        <v>44078.0</v>
      </c>
      <c r="M37" s="450">
        <v>44078.0</v>
      </c>
      <c r="N37" s="449"/>
      <c r="O37" s="449" t="s">
        <v>2372</v>
      </c>
      <c r="P37" s="452">
        <v>0.025</v>
      </c>
      <c r="Q37" s="466" t="s">
        <v>3211</v>
      </c>
      <c r="R37" s="453"/>
      <c r="S37" s="449" t="str">
        <f t="shared" si="5"/>
        <v>Não Qualificado</v>
      </c>
      <c r="T37" s="447" t="s">
        <v>234</v>
      </c>
      <c r="U37" s="447" t="s">
        <v>2343</v>
      </c>
      <c r="V37" s="447" t="s">
        <v>199</v>
      </c>
      <c r="W37" s="455" t="s">
        <v>2344</v>
      </c>
      <c r="X37" s="455" t="s">
        <v>2344</v>
      </c>
      <c r="Y37" s="455" t="s">
        <v>2344</v>
      </c>
      <c r="Z37" s="455" t="s">
        <v>2344</v>
      </c>
      <c r="AA37" s="455" t="s">
        <v>2344</v>
      </c>
      <c r="AB37" s="455" t="s">
        <v>2344</v>
      </c>
      <c r="AC37" s="455" t="s">
        <v>2344</v>
      </c>
      <c r="AD37" s="455" t="s">
        <v>2344</v>
      </c>
      <c r="AE37" s="455" t="s">
        <v>2344</v>
      </c>
      <c r="AF37" s="455" t="s">
        <v>2344</v>
      </c>
      <c r="AG37" s="455" t="s">
        <v>2344</v>
      </c>
      <c r="AH37" s="455" t="s">
        <v>3218</v>
      </c>
      <c r="AI37" s="455" t="s">
        <v>3220</v>
      </c>
      <c r="AJ37" s="455" t="s">
        <v>3222</v>
      </c>
      <c r="AK37" s="456">
        <v>111476.32</v>
      </c>
      <c r="AL37" s="456">
        <v>107002.08</v>
      </c>
      <c r="AM37" s="456">
        <v>97815.1</v>
      </c>
      <c r="AN37" s="456">
        <v>96658.02</v>
      </c>
      <c r="AO37" s="456">
        <v>104019.24</v>
      </c>
      <c r="AP37" s="456">
        <v>105400.11</v>
      </c>
      <c r="AQ37" s="456">
        <v>104315.0</v>
      </c>
      <c r="AR37" s="456">
        <v>110154.4</v>
      </c>
      <c r="AS37" s="456">
        <v>107647.1</v>
      </c>
      <c r="AT37" s="456">
        <v>102026.95</v>
      </c>
      <c r="AU37" s="456">
        <v>99908.48</v>
      </c>
      <c r="AV37" s="456">
        <v>94061.15</v>
      </c>
      <c r="AW37" s="456">
        <v>87282.93</v>
      </c>
      <c r="AX37" s="456">
        <v>86404.55</v>
      </c>
      <c r="AY37" s="456">
        <v>87970.72</v>
      </c>
      <c r="AZ37" s="456">
        <v>93749.27</v>
      </c>
      <c r="BA37" s="456">
        <v>94811.09</v>
      </c>
      <c r="BB37" s="456">
        <v>100691.32</v>
      </c>
      <c r="BC37" s="456">
        <v>46886.15</v>
      </c>
      <c r="BD37" s="456">
        <v>95564.32</v>
      </c>
      <c r="BE37" s="456">
        <v>90509.24</v>
      </c>
      <c r="BF37" s="456">
        <v>95193.14</v>
      </c>
      <c r="BG37" s="456">
        <v>96111.56</v>
      </c>
      <c r="BH37" s="456">
        <v>94926.1</v>
      </c>
      <c r="BI37" s="456">
        <v>104853.29</v>
      </c>
      <c r="BJ37" s="456">
        <v>102629.12</v>
      </c>
      <c r="BK37" s="456">
        <v>1683.08</v>
      </c>
      <c r="BL37" s="456">
        <v>1987.59</v>
      </c>
      <c r="BM37" s="456">
        <v>2110.67</v>
      </c>
      <c r="BN37" s="456">
        <v>2130.89</v>
      </c>
      <c r="BO37" s="456">
        <v>258.51</v>
      </c>
      <c r="BP37" s="456">
        <v>258.51</v>
      </c>
      <c r="BQ37" s="456">
        <v>258.51</v>
      </c>
      <c r="BR37" s="456">
        <v>258.51</v>
      </c>
      <c r="BS37" s="90" t="s">
        <v>268</v>
      </c>
      <c r="BT37" s="90"/>
    </row>
    <row r="38" ht="15.75" customHeight="1">
      <c r="A38" s="444" t="s">
        <v>98</v>
      </c>
      <c r="B38" s="445" t="s">
        <v>3241</v>
      </c>
      <c r="C38" s="458" t="s">
        <v>3242</v>
      </c>
      <c r="D38" s="529">
        <v>8104478.0</v>
      </c>
      <c r="E38" s="447" t="s">
        <v>120</v>
      </c>
      <c r="F38" s="447" t="s">
        <v>54</v>
      </c>
      <c r="G38" s="447" t="s">
        <v>2393</v>
      </c>
      <c r="H38" s="447">
        <f>IFERROR(VLOOKUP(G38,'Cadastro de assessores'!A:B,2,FALSE),"Não Cadastrado")</f>
        <v>12350</v>
      </c>
      <c r="I38" s="447"/>
      <c r="J38" s="49" t="s">
        <v>2318</v>
      </c>
      <c r="K38" s="449" t="s">
        <v>183</v>
      </c>
      <c r="L38" s="470">
        <v>44798.0</v>
      </c>
      <c r="M38" s="470">
        <v>44812.0</v>
      </c>
      <c r="N38" s="446"/>
      <c r="O38" s="446" t="s">
        <v>2356</v>
      </c>
      <c r="P38" s="452">
        <v>0.01</v>
      </c>
      <c r="Q38" s="461" t="s">
        <v>3255</v>
      </c>
      <c r="R38" s="453"/>
      <c r="S38" s="449"/>
      <c r="T38" s="447"/>
      <c r="U38" s="447"/>
      <c r="V38" s="447" t="s">
        <v>54</v>
      </c>
      <c r="W38" s="455"/>
      <c r="X38" s="455"/>
      <c r="Y38" s="455"/>
      <c r="Z38" s="455"/>
      <c r="AA38" s="455"/>
      <c r="AB38" s="455"/>
      <c r="AC38" s="455"/>
      <c r="AD38" s="455"/>
      <c r="AE38" s="455"/>
      <c r="AF38" s="455"/>
      <c r="AG38" s="455"/>
      <c r="AH38" s="455"/>
      <c r="AI38" s="455"/>
      <c r="AJ38" s="455"/>
      <c r="AK38" s="456"/>
      <c r="AL38" s="456"/>
      <c r="AM38" s="456"/>
      <c r="AN38" s="456"/>
      <c r="AO38" s="456"/>
      <c r="AP38" s="456"/>
      <c r="AQ38" s="456"/>
      <c r="AR38" s="456"/>
      <c r="AS38" s="456"/>
      <c r="AT38" s="456"/>
      <c r="AU38" s="456"/>
      <c r="AV38" s="456"/>
      <c r="AW38" s="456"/>
      <c r="AX38" s="456"/>
      <c r="AY38" s="456"/>
      <c r="AZ38" s="456"/>
      <c r="BA38" s="456"/>
      <c r="BB38" s="456"/>
      <c r="BC38" s="456"/>
      <c r="BD38" s="456"/>
      <c r="BE38" s="456"/>
      <c r="BF38" s="456"/>
      <c r="BG38" s="456">
        <v>0.0</v>
      </c>
      <c r="BH38" s="456">
        <v>212359.62</v>
      </c>
      <c r="BI38" s="456">
        <v>214441.51</v>
      </c>
      <c r="BJ38" s="456">
        <v>105516.56</v>
      </c>
      <c r="BK38" s="456">
        <v>106442.72</v>
      </c>
      <c r="BL38" s="456">
        <v>103408.42</v>
      </c>
      <c r="BM38" s="456">
        <v>94124.2</v>
      </c>
      <c r="BN38" s="456">
        <v>91425.48</v>
      </c>
      <c r="BO38" s="456">
        <v>72871.92</v>
      </c>
      <c r="BP38" s="456">
        <v>71580.65</v>
      </c>
      <c r="BQ38" s="456">
        <v>53980.23</v>
      </c>
      <c r="BR38" s="456">
        <v>49741.19</v>
      </c>
      <c r="BS38" s="90">
        <v>0.0</v>
      </c>
      <c r="BT38" s="90"/>
    </row>
    <row r="39" ht="15.75" customHeight="1">
      <c r="A39" s="444" t="s">
        <v>98</v>
      </c>
      <c r="B39" s="445" t="s">
        <v>2003</v>
      </c>
      <c r="C39" s="458" t="s">
        <v>2057</v>
      </c>
      <c r="D39" s="449">
        <v>8039639.0</v>
      </c>
      <c r="E39" s="447" t="s">
        <v>120</v>
      </c>
      <c r="F39" s="447" t="s">
        <v>199</v>
      </c>
      <c r="G39" s="447" t="s">
        <v>212</v>
      </c>
      <c r="H39" s="447">
        <f>IFERROR(VLOOKUP(G39,'Cadastro de assessores'!A:B,2,FALSE),"Não Cadastrado")</f>
        <v>12344</v>
      </c>
      <c r="I39" s="447"/>
      <c r="J39" s="49" t="s">
        <v>2318</v>
      </c>
      <c r="K39" s="449" t="s">
        <v>183</v>
      </c>
      <c r="L39" s="470">
        <v>44631.0</v>
      </c>
      <c r="M39" s="470">
        <v>44636.0</v>
      </c>
      <c r="N39" s="446"/>
      <c r="O39" s="446" t="s">
        <v>2356</v>
      </c>
      <c r="P39" s="452">
        <v>0.007</v>
      </c>
      <c r="Q39" s="461"/>
      <c r="R39" s="453"/>
      <c r="S39" s="449" t="str">
        <f t="shared" ref="S39:S43" si="6">IF(BC39&lt;=0,"",IF(BC39&lt;=1000000,"Não Qualificado",IF(AND(BC39&gt;1000000,BC39&lt;=10000000),"Qualificado","Profissional")))</f>
        <v>Não Qualificado</v>
      </c>
      <c r="T39" s="447" t="s">
        <v>194</v>
      </c>
      <c r="U39" s="447" t="s">
        <v>3281</v>
      </c>
      <c r="V39" s="447" t="s">
        <v>199</v>
      </c>
      <c r="W39" s="455"/>
      <c r="X39" s="455"/>
      <c r="Y39" s="455"/>
      <c r="Z39" s="455"/>
      <c r="AA39" s="455"/>
      <c r="AB39" s="455"/>
      <c r="AC39" s="455"/>
      <c r="AD39" s="455"/>
      <c r="AE39" s="455"/>
      <c r="AF39" s="455"/>
      <c r="AG39" s="455"/>
      <c r="AH39" s="455"/>
      <c r="AI39" s="455"/>
      <c r="AJ39" s="455"/>
      <c r="AK39" s="456"/>
      <c r="AL39" s="456"/>
      <c r="AM39" s="456"/>
      <c r="AN39" s="456"/>
      <c r="AO39" s="456"/>
      <c r="AP39" s="456"/>
      <c r="AQ39" s="456"/>
      <c r="AR39" s="456"/>
      <c r="AS39" s="456"/>
      <c r="AT39" s="456"/>
      <c r="AU39" s="456"/>
      <c r="AV39" s="456"/>
      <c r="AW39" s="456"/>
      <c r="AX39" s="456"/>
      <c r="AY39" s="456"/>
      <c r="AZ39" s="456"/>
      <c r="BA39" s="456"/>
      <c r="BB39" s="456">
        <v>0.0</v>
      </c>
      <c r="BC39" s="456">
        <v>63.88</v>
      </c>
      <c r="BD39" s="456">
        <v>334289.04</v>
      </c>
      <c r="BE39" s="456">
        <v>578891.44</v>
      </c>
      <c r="BF39" s="456">
        <v>584400.29</v>
      </c>
      <c r="BG39" s="456">
        <v>589060.5586</v>
      </c>
      <c r="BH39" s="456">
        <v>691064.51</v>
      </c>
      <c r="BI39" s="456">
        <v>747693.54</v>
      </c>
      <c r="BJ39" s="456">
        <v>817792.38</v>
      </c>
      <c r="BK39" s="456">
        <v>890638.44</v>
      </c>
      <c r="BL39" s="456">
        <v>901050.89</v>
      </c>
      <c r="BM39" s="456">
        <v>908070.33</v>
      </c>
      <c r="BN39" s="456">
        <v>0.0</v>
      </c>
      <c r="BO39" s="456">
        <v>0.0</v>
      </c>
      <c r="BP39" s="456">
        <v>0.0</v>
      </c>
      <c r="BQ39" s="456">
        <v>0.0</v>
      </c>
      <c r="BR39" s="456">
        <v>0.0</v>
      </c>
      <c r="BS39" s="90">
        <v>0.0</v>
      </c>
      <c r="BT39" s="90"/>
    </row>
    <row r="40" ht="15.75" customHeight="1">
      <c r="A40" s="444" t="s">
        <v>98</v>
      </c>
      <c r="B40" s="445" t="s">
        <v>3304</v>
      </c>
      <c r="C40" s="458" t="s">
        <v>3305</v>
      </c>
      <c r="D40" s="449">
        <v>4785856.0</v>
      </c>
      <c r="E40" s="447" t="s">
        <v>120</v>
      </c>
      <c r="F40" s="447" t="s">
        <v>199</v>
      </c>
      <c r="G40" s="447" t="s">
        <v>1914</v>
      </c>
      <c r="H40" s="447">
        <f>IFERROR(VLOOKUP(G40,'Cadastro de assessores'!A:B,2,FALSE),"Não Cadastrado")</f>
        <v>12359</v>
      </c>
      <c r="I40" s="447"/>
      <c r="J40" s="49" t="s">
        <v>2318</v>
      </c>
      <c r="K40" s="449" t="s">
        <v>183</v>
      </c>
      <c r="L40" s="450">
        <v>44582.0</v>
      </c>
      <c r="M40" s="450">
        <v>44217.0</v>
      </c>
      <c r="N40" s="449"/>
      <c r="O40" s="449" t="s">
        <v>2341</v>
      </c>
      <c r="P40" s="452">
        <v>0.015</v>
      </c>
      <c r="Q40" s="461" t="s">
        <v>3049</v>
      </c>
      <c r="R40" s="453"/>
      <c r="S40" s="449" t="str">
        <f t="shared" si="6"/>
        <v>Não Qualificado</v>
      </c>
      <c r="T40" s="447" t="s">
        <v>194</v>
      </c>
      <c r="U40" s="447" t="s">
        <v>2343</v>
      </c>
      <c r="V40" s="447" t="s">
        <v>199</v>
      </c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 t="s">
        <v>2344</v>
      </c>
      <c r="AJ40" s="455"/>
      <c r="AK40" s="456" t="s">
        <v>3320</v>
      </c>
      <c r="AL40" s="456">
        <v>152098.12</v>
      </c>
      <c r="AM40" s="456">
        <v>212183.15</v>
      </c>
      <c r="AN40" s="456">
        <v>212893.36</v>
      </c>
      <c r="AO40" s="456">
        <v>219672.34</v>
      </c>
      <c r="AP40" s="456">
        <v>221052.67</v>
      </c>
      <c r="AQ40" s="456">
        <v>220134.52</v>
      </c>
      <c r="AR40" s="456">
        <v>225138.42</v>
      </c>
      <c r="AS40" s="456">
        <v>223601.47</v>
      </c>
      <c r="AT40" s="456">
        <v>219103.13</v>
      </c>
      <c r="AU40" s="456">
        <v>217685.2</v>
      </c>
      <c r="AV40" s="456">
        <v>214468.76</v>
      </c>
      <c r="AW40" s="456">
        <v>206493.98</v>
      </c>
      <c r="AX40" s="456">
        <v>206371.87</v>
      </c>
      <c r="AY40" s="456">
        <v>209003.05</v>
      </c>
      <c r="AZ40" s="456">
        <v>214283.91</v>
      </c>
      <c r="BA40" s="456">
        <v>215384.03</v>
      </c>
      <c r="BB40" s="456">
        <v>223670.57</v>
      </c>
      <c r="BC40" s="456">
        <v>55227.14</v>
      </c>
      <c r="BD40" s="456">
        <v>222534.91</v>
      </c>
      <c r="BE40" s="456">
        <v>221491.58</v>
      </c>
      <c r="BF40" s="456">
        <v>226027.03</v>
      </c>
      <c r="BG40" s="456">
        <v>227957.0567</v>
      </c>
      <c r="BH40" s="456">
        <v>228670.85</v>
      </c>
      <c r="BI40" s="456">
        <v>227193.58</v>
      </c>
      <c r="BJ40" s="456">
        <v>225784.41</v>
      </c>
      <c r="BK40" s="456">
        <v>227212.31</v>
      </c>
      <c r="BL40" s="456">
        <v>229599.32</v>
      </c>
      <c r="BM40" s="456">
        <v>230682.43</v>
      </c>
      <c r="BN40" s="456">
        <v>232794.05</v>
      </c>
      <c r="BO40" s="456">
        <v>234763.26</v>
      </c>
      <c r="BP40" s="456">
        <v>241792.95</v>
      </c>
      <c r="BQ40" s="456">
        <v>243387.67</v>
      </c>
      <c r="BR40" s="456">
        <v>245669.14</v>
      </c>
      <c r="BS40" s="90">
        <v>0.0</v>
      </c>
      <c r="BT40" s="90"/>
    </row>
    <row r="41" ht="15.75" customHeight="1">
      <c r="A41" s="444" t="s">
        <v>98</v>
      </c>
      <c r="B41" s="445" t="s">
        <v>3337</v>
      </c>
      <c r="C41" s="468" t="s">
        <v>3338</v>
      </c>
      <c r="D41" s="446">
        <v>6456469.0</v>
      </c>
      <c r="E41" s="447" t="s">
        <v>120</v>
      </c>
      <c r="F41" s="448" t="s">
        <v>199</v>
      </c>
      <c r="G41" s="447" t="s">
        <v>803</v>
      </c>
      <c r="H41" s="447" t="str">
        <f>IFERROR(VLOOKUP(G41,'Cadastro de assessores'!A:B,2,FALSE),"Não Cadastrado")</f>
        <v>18467</v>
      </c>
      <c r="I41" s="447"/>
      <c r="J41" s="49" t="s">
        <v>224</v>
      </c>
      <c r="K41" s="449" t="s">
        <v>183</v>
      </c>
      <c r="L41" s="450">
        <v>44463.0</v>
      </c>
      <c r="M41" s="450">
        <v>44466.0</v>
      </c>
      <c r="N41" s="508">
        <v>45154.0</v>
      </c>
      <c r="O41" s="446" t="s">
        <v>2319</v>
      </c>
      <c r="P41" s="452">
        <v>0.02</v>
      </c>
      <c r="Q41" s="330" t="s">
        <v>3348</v>
      </c>
      <c r="R41" s="453"/>
      <c r="S41" s="449" t="str">
        <f t="shared" si="6"/>
        <v>Não Qualificado</v>
      </c>
      <c r="T41" s="449" t="s">
        <v>194</v>
      </c>
      <c r="U41" s="449" t="s">
        <v>3350</v>
      </c>
      <c r="V41" s="449" t="s">
        <v>199</v>
      </c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6"/>
      <c r="AK41" s="456"/>
      <c r="AL41" s="456"/>
      <c r="AM41" s="456"/>
      <c r="AN41" s="456"/>
      <c r="AO41" s="456"/>
      <c r="AP41" s="456"/>
      <c r="AQ41" s="454"/>
      <c r="AR41" s="456"/>
      <c r="AS41" s="456"/>
      <c r="AT41" s="456"/>
      <c r="AU41" s="454"/>
      <c r="AV41" s="456">
        <v>595025.5</v>
      </c>
      <c r="AW41" s="456">
        <v>564798.26</v>
      </c>
      <c r="AX41" s="456">
        <v>562790.33</v>
      </c>
      <c r="AY41" s="456">
        <v>570846.75</v>
      </c>
      <c r="AZ41" s="456">
        <v>597369.41</v>
      </c>
      <c r="BA41" s="456">
        <v>601965.7</v>
      </c>
      <c r="BB41" s="456">
        <v>628441.87</v>
      </c>
      <c r="BC41" s="456">
        <v>264187.05</v>
      </c>
      <c r="BD41" s="456">
        <v>610203.51</v>
      </c>
      <c r="BE41" s="456">
        <v>597962.02</v>
      </c>
      <c r="BF41" s="456">
        <v>617040.8</v>
      </c>
      <c r="BG41" s="456">
        <v>628086.0346</v>
      </c>
      <c r="BH41" s="456">
        <v>623661.17</v>
      </c>
      <c r="BI41" s="456">
        <v>609116.98</v>
      </c>
      <c r="BJ41" s="456">
        <v>606827.0</v>
      </c>
      <c r="BK41" s="456">
        <v>608724.99</v>
      </c>
      <c r="BL41" s="456">
        <v>609322.72</v>
      </c>
      <c r="BM41" s="456">
        <v>606513.76</v>
      </c>
      <c r="BN41" s="456">
        <v>608754.28</v>
      </c>
      <c r="BO41" s="456">
        <v>612612.36</v>
      </c>
      <c r="BP41" s="456">
        <v>619174.71</v>
      </c>
      <c r="BQ41" s="456">
        <v>629656.14</v>
      </c>
      <c r="BR41" s="456">
        <v>640647.86</v>
      </c>
      <c r="BS41" s="90">
        <v>643304.71</v>
      </c>
      <c r="BT41" s="90"/>
    </row>
    <row r="42" ht="15.75" customHeight="1">
      <c r="A42" s="444" t="s">
        <v>98</v>
      </c>
      <c r="B42" s="445" t="s">
        <v>3368</v>
      </c>
      <c r="C42" s="468" t="s">
        <v>3370</v>
      </c>
      <c r="D42" s="446">
        <v>5650271.0</v>
      </c>
      <c r="E42" s="449" t="s">
        <v>255</v>
      </c>
      <c r="F42" s="507" t="s">
        <v>199</v>
      </c>
      <c r="G42" s="507" t="s">
        <v>548</v>
      </c>
      <c r="H42" s="507" t="str">
        <f>IFERROR(VLOOKUP(G42,'Cadastro de assessores'!A:B,2,FALSE),"Não Cadastrado")</f>
        <v>14574</v>
      </c>
      <c r="I42" s="507"/>
      <c r="J42" s="49" t="s">
        <v>224</v>
      </c>
      <c r="K42" s="449" t="s">
        <v>2340</v>
      </c>
      <c r="L42" s="460">
        <v>44362.0</v>
      </c>
      <c r="M42" s="460">
        <v>44362.0</v>
      </c>
      <c r="N42" s="460">
        <v>44680.0</v>
      </c>
      <c r="O42" s="449" t="s">
        <v>2365</v>
      </c>
      <c r="P42" s="452">
        <v>0.012</v>
      </c>
      <c r="Q42" s="330" t="s">
        <v>3380</v>
      </c>
      <c r="R42" s="453"/>
      <c r="S42" s="449" t="str">
        <f t="shared" si="6"/>
        <v/>
      </c>
      <c r="T42" s="449" t="s">
        <v>194</v>
      </c>
      <c r="U42" s="449" t="s">
        <v>3383</v>
      </c>
      <c r="V42" s="446" t="s">
        <v>199</v>
      </c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6"/>
      <c r="AL42" s="456"/>
      <c r="AM42" s="456"/>
      <c r="AN42" s="456"/>
      <c r="AO42" s="456"/>
      <c r="AP42" s="456"/>
      <c r="AQ42" s="456"/>
      <c r="AR42" s="454"/>
      <c r="AS42" s="456">
        <v>253063.45</v>
      </c>
      <c r="AT42" s="456">
        <v>263755.96</v>
      </c>
      <c r="AU42" s="456">
        <v>260523.5</v>
      </c>
      <c r="AV42" s="456">
        <v>248814.02</v>
      </c>
      <c r="AW42" s="456">
        <v>216829.37</v>
      </c>
      <c r="AX42" s="456">
        <v>215871.04</v>
      </c>
      <c r="AY42" s="456">
        <v>218473.75</v>
      </c>
      <c r="AZ42" s="456">
        <v>228819.05</v>
      </c>
      <c r="BA42" s="456">
        <v>226727.27</v>
      </c>
      <c r="BB42" s="456">
        <v>161521.46</v>
      </c>
      <c r="BC42" s="456"/>
      <c r="BD42" s="456" t="s">
        <v>377</v>
      </c>
      <c r="BE42" s="456" t="s">
        <v>377</v>
      </c>
      <c r="BF42" s="456">
        <v>0.0</v>
      </c>
      <c r="BG42" s="456">
        <v>0.0</v>
      </c>
      <c r="BH42" s="456">
        <v>0.0</v>
      </c>
      <c r="BI42" s="456">
        <v>0.0</v>
      </c>
      <c r="BJ42" s="456">
        <v>0.0</v>
      </c>
      <c r="BK42" s="456">
        <v>0.0</v>
      </c>
      <c r="BL42" s="456">
        <v>0.0</v>
      </c>
      <c r="BM42" s="456">
        <v>0.0</v>
      </c>
      <c r="BN42" s="456">
        <v>0.0</v>
      </c>
      <c r="BO42" s="456">
        <v>0.0</v>
      </c>
      <c r="BP42" s="456">
        <v>0.0</v>
      </c>
      <c r="BQ42" s="456">
        <v>0.0</v>
      </c>
      <c r="BR42" s="456">
        <v>0.0</v>
      </c>
      <c r="BS42" s="90" t="s">
        <v>268</v>
      </c>
      <c r="BT42" s="90"/>
    </row>
    <row r="43" ht="15.75" customHeight="1">
      <c r="A43" s="444" t="s">
        <v>98</v>
      </c>
      <c r="B43" s="445" t="s">
        <v>3402</v>
      </c>
      <c r="C43" s="468" t="s">
        <v>3405</v>
      </c>
      <c r="D43" s="446">
        <v>5167097.0</v>
      </c>
      <c r="E43" s="447" t="s">
        <v>120</v>
      </c>
      <c r="F43" s="448" t="s">
        <v>54</v>
      </c>
      <c r="G43" s="447" t="s">
        <v>379</v>
      </c>
      <c r="H43" s="448" t="str">
        <f>IFERROR(VLOOKUP(G43,'Cadastro de assessores'!A:B,2,FALSE),"Não Cadastrado")</f>
        <v>18009</v>
      </c>
      <c r="I43" s="448"/>
      <c r="J43" s="49" t="s">
        <v>2318</v>
      </c>
      <c r="K43" s="449" t="s">
        <v>183</v>
      </c>
      <c r="L43" s="450">
        <v>44295.0</v>
      </c>
      <c r="M43" s="450">
        <v>44298.0</v>
      </c>
      <c r="N43" s="449"/>
      <c r="O43" s="449" t="s">
        <v>2365</v>
      </c>
      <c r="P43" s="452">
        <v>0.012</v>
      </c>
      <c r="Q43" s="330" t="s">
        <v>3415</v>
      </c>
      <c r="R43" s="453"/>
      <c r="S43" s="449" t="str">
        <f t="shared" si="6"/>
        <v/>
      </c>
      <c r="T43" s="449" t="s">
        <v>194</v>
      </c>
      <c r="U43" s="449" t="s">
        <v>2852</v>
      </c>
      <c r="V43" s="449" t="s">
        <v>2854</v>
      </c>
      <c r="W43" s="455"/>
      <c r="X43" s="455"/>
      <c r="Y43" s="455"/>
      <c r="Z43" s="455"/>
      <c r="AA43" s="455"/>
      <c r="AB43" s="455"/>
      <c r="AC43" s="455"/>
      <c r="AD43" s="455"/>
      <c r="AE43" s="455"/>
      <c r="AF43" s="455"/>
      <c r="AG43" s="455"/>
      <c r="AH43" s="455"/>
      <c r="AI43" s="455"/>
      <c r="AJ43" s="455"/>
      <c r="AK43" s="456"/>
      <c r="AL43" s="456"/>
      <c r="AM43" s="456"/>
      <c r="AN43" s="456"/>
      <c r="AO43" s="456"/>
      <c r="AP43" s="456">
        <v>55054.76</v>
      </c>
      <c r="AQ43" s="456">
        <v>54952.8</v>
      </c>
      <c r="AR43" s="456">
        <v>130044.64</v>
      </c>
      <c r="AS43" s="456">
        <v>116642.26</v>
      </c>
      <c r="AT43" s="456">
        <v>115821.65</v>
      </c>
      <c r="AU43" s="456">
        <v>115784.6</v>
      </c>
      <c r="AV43" s="456">
        <v>115292.28</v>
      </c>
      <c r="AW43" s="456">
        <v>113566.31</v>
      </c>
      <c r="AX43" s="456">
        <v>7783.84</v>
      </c>
      <c r="AY43" s="456">
        <v>2865.09</v>
      </c>
      <c r="AZ43" s="456">
        <v>2864.15</v>
      </c>
      <c r="BA43" s="456">
        <v>2871.24</v>
      </c>
      <c r="BB43" s="456">
        <v>2893.5</v>
      </c>
      <c r="BC43" s="456"/>
      <c r="BD43" s="456">
        <v>8.54</v>
      </c>
      <c r="BE43" s="456" t="s">
        <v>377</v>
      </c>
      <c r="BF43" s="456">
        <v>2.96</v>
      </c>
      <c r="BG43" s="456">
        <v>0.0</v>
      </c>
      <c r="BH43" s="456">
        <v>0.0</v>
      </c>
      <c r="BI43" s="456">
        <v>0.0</v>
      </c>
      <c r="BJ43" s="456">
        <v>0.0</v>
      </c>
      <c r="BK43" s="456">
        <v>0.0</v>
      </c>
      <c r="BL43" s="456">
        <v>0.0</v>
      </c>
      <c r="BM43" s="456">
        <v>0.0</v>
      </c>
      <c r="BN43" s="456">
        <v>0.0</v>
      </c>
      <c r="BO43" s="456">
        <v>0.0</v>
      </c>
      <c r="BP43" s="456">
        <v>0.0</v>
      </c>
      <c r="BQ43" s="456">
        <v>0.0</v>
      </c>
      <c r="BR43" s="456">
        <v>0.0</v>
      </c>
      <c r="BS43" s="90">
        <v>0.0</v>
      </c>
      <c r="BT43" s="90"/>
    </row>
    <row r="44" ht="15.75" customHeight="1">
      <c r="A44" s="444" t="s">
        <v>98</v>
      </c>
      <c r="B44" s="445" t="s">
        <v>3442</v>
      </c>
      <c r="C44" s="458" t="s">
        <v>3443</v>
      </c>
      <c r="D44" s="449">
        <v>3214407.0</v>
      </c>
      <c r="E44" s="447" t="s">
        <v>120</v>
      </c>
      <c r="F44" s="447" t="s">
        <v>54</v>
      </c>
      <c r="G44" s="447" t="s">
        <v>125</v>
      </c>
      <c r="H44" s="449" t="str">
        <f>IFERROR(VLOOKUP(G44,'Cadastro de assessores'!A:B,2,FALSE),"Não Cadastrado")</f>
        <v>18890</v>
      </c>
      <c r="I44" s="449"/>
      <c r="J44" s="49" t="s">
        <v>2318</v>
      </c>
      <c r="K44" s="449" t="s">
        <v>295</v>
      </c>
      <c r="L44" s="447" t="s">
        <v>3320</v>
      </c>
      <c r="M44" s="450"/>
      <c r="N44" s="449"/>
      <c r="O44" s="449" t="s">
        <v>2372</v>
      </c>
      <c r="P44" s="452">
        <v>0.025</v>
      </c>
      <c r="Q44" s="461"/>
      <c r="R44" s="453"/>
      <c r="S44" s="449"/>
      <c r="T44" s="449"/>
      <c r="U44" s="449"/>
      <c r="V44" s="449" t="s">
        <v>54</v>
      </c>
      <c r="W44" s="455"/>
      <c r="X44" s="455"/>
      <c r="Y44" s="455"/>
      <c r="Z44" s="455"/>
      <c r="AA44" s="455"/>
      <c r="AB44" s="455"/>
      <c r="AC44" s="455"/>
      <c r="AD44" s="455"/>
      <c r="AE44" s="455"/>
      <c r="AF44" s="455"/>
      <c r="AG44" s="455"/>
      <c r="AH44" s="455"/>
      <c r="AI44" s="455"/>
      <c r="AJ44" s="455"/>
      <c r="AK44" s="456"/>
      <c r="AL44" s="456"/>
      <c r="AM44" s="456"/>
      <c r="AN44" s="456"/>
      <c r="AO44" s="456"/>
      <c r="AP44" s="456"/>
      <c r="AQ44" s="456"/>
      <c r="AR44" s="456"/>
      <c r="AS44" s="456"/>
      <c r="AT44" s="456"/>
      <c r="AU44" s="456"/>
      <c r="AV44" s="456"/>
      <c r="AW44" s="456"/>
      <c r="AX44" s="456"/>
      <c r="AY44" s="456"/>
      <c r="AZ44" s="456"/>
      <c r="BA44" s="456"/>
      <c r="BB44" s="456"/>
      <c r="BC44" s="456"/>
      <c r="BD44" s="456"/>
      <c r="BE44" s="456"/>
      <c r="BF44" s="456">
        <v>0.0</v>
      </c>
      <c r="BG44" s="456">
        <v>0.0</v>
      </c>
      <c r="BH44" s="456">
        <v>0.0</v>
      </c>
      <c r="BI44" s="456">
        <v>0.0</v>
      </c>
      <c r="BJ44" s="456">
        <v>0.0</v>
      </c>
      <c r="BK44" s="456">
        <v>0.0</v>
      </c>
      <c r="BL44" s="456">
        <v>0.0</v>
      </c>
      <c r="BM44" s="456">
        <v>0.0</v>
      </c>
      <c r="BN44" s="456">
        <v>0.0</v>
      </c>
      <c r="BO44" s="456">
        <v>0.0</v>
      </c>
      <c r="BP44" s="456">
        <v>0.0</v>
      </c>
      <c r="BQ44" s="456">
        <v>0.0</v>
      </c>
      <c r="BR44" s="456">
        <v>0.0</v>
      </c>
      <c r="BS44" s="90">
        <v>0.0</v>
      </c>
      <c r="BT44" s="90"/>
    </row>
    <row r="45" ht="15.75" customHeight="1">
      <c r="A45" s="444" t="s">
        <v>98</v>
      </c>
      <c r="B45" s="445" t="s">
        <v>3464</v>
      </c>
      <c r="C45" s="458" t="s">
        <v>3465</v>
      </c>
      <c r="D45" s="449">
        <v>2352697.0</v>
      </c>
      <c r="E45" s="449" t="s">
        <v>669</v>
      </c>
      <c r="F45" s="449" t="s">
        <v>199</v>
      </c>
      <c r="G45" s="449" t="s">
        <v>669</v>
      </c>
      <c r="H45" s="449" t="str">
        <f>IFERROR(VLOOKUP(G45,'Cadastro de assessores'!A:B,2,FALSE),"Não Cadastrado")</f>
        <v>18986</v>
      </c>
      <c r="I45" s="449"/>
      <c r="J45" s="49" t="s">
        <v>224</v>
      </c>
      <c r="K45" s="449" t="s">
        <v>2340</v>
      </c>
      <c r="L45" s="460">
        <v>43838.0</v>
      </c>
      <c r="M45" s="460">
        <v>43838.0</v>
      </c>
      <c r="N45" s="460">
        <v>44042.0</v>
      </c>
      <c r="O45" s="449" t="s">
        <v>3470</v>
      </c>
      <c r="P45" s="452">
        <v>0.025</v>
      </c>
      <c r="Q45" s="461" t="s">
        <v>3473</v>
      </c>
      <c r="R45" s="453"/>
      <c r="S45" s="449" t="str">
        <f>IF(BC45&lt;=0,"",IF(BC45&lt;=1000000,"Não Qualificado",IF(AND(BC45&gt;1000000,BC45&lt;=10000000),"Qualificado","Profissional")))</f>
        <v>Não Qualificado</v>
      </c>
      <c r="T45" s="449" t="s">
        <v>194</v>
      </c>
      <c r="U45" s="449" t="s">
        <v>3350</v>
      </c>
      <c r="V45" s="449" t="s">
        <v>199</v>
      </c>
      <c r="W45" s="455" t="s">
        <v>2344</v>
      </c>
      <c r="X45" s="455" t="s">
        <v>2344</v>
      </c>
      <c r="Y45" s="455" t="s">
        <v>2344</v>
      </c>
      <c r="Z45" s="455" t="s">
        <v>3479</v>
      </c>
      <c r="AA45" s="455" t="s">
        <v>3482</v>
      </c>
      <c r="AB45" s="455" t="s">
        <v>3484</v>
      </c>
      <c r="AC45" s="455" t="s">
        <v>3485</v>
      </c>
      <c r="AD45" s="455" t="s">
        <v>3486</v>
      </c>
      <c r="AE45" s="455" t="s">
        <v>2344</v>
      </c>
      <c r="AF45" s="455" t="s">
        <v>2344</v>
      </c>
      <c r="AG45" s="455" t="s">
        <v>2344</v>
      </c>
      <c r="AH45" s="455"/>
      <c r="AI45" s="455"/>
      <c r="AJ45" s="455"/>
      <c r="AK45" s="456"/>
      <c r="AL45" s="456"/>
      <c r="AM45" s="456" t="s">
        <v>3320</v>
      </c>
      <c r="AN45" s="456"/>
      <c r="AO45" s="456"/>
      <c r="AP45" s="456"/>
      <c r="AQ45" s="456"/>
      <c r="AR45" s="456"/>
      <c r="AS45" s="456"/>
      <c r="AT45" s="456"/>
      <c r="AU45" s="456"/>
      <c r="AV45" s="456"/>
      <c r="AW45" s="456"/>
      <c r="AX45" s="456"/>
      <c r="AY45" s="456"/>
      <c r="AZ45" s="456"/>
      <c r="BA45" s="456">
        <v>0.0</v>
      </c>
      <c r="BB45" s="456">
        <v>0.0</v>
      </c>
      <c r="BC45" s="456">
        <v>94507.37</v>
      </c>
      <c r="BD45" s="456" t="s">
        <v>377</v>
      </c>
      <c r="BE45" s="456" t="s">
        <v>377</v>
      </c>
      <c r="BF45" s="456">
        <v>0.0</v>
      </c>
      <c r="BG45" s="456">
        <v>0.0</v>
      </c>
      <c r="BH45" s="456">
        <v>0.0</v>
      </c>
      <c r="BI45" s="456">
        <v>0.0</v>
      </c>
      <c r="BJ45" s="456">
        <v>0.0</v>
      </c>
      <c r="BK45" s="456">
        <v>0.0</v>
      </c>
      <c r="BL45" s="456">
        <v>0.0</v>
      </c>
      <c r="BM45" s="456">
        <v>0.0</v>
      </c>
      <c r="BN45" s="456">
        <v>0.0</v>
      </c>
      <c r="BO45" s="456">
        <v>0.0</v>
      </c>
      <c r="BP45" s="456">
        <v>0.0</v>
      </c>
      <c r="BQ45" s="456">
        <v>0.0</v>
      </c>
      <c r="BR45" s="456">
        <v>0.0</v>
      </c>
      <c r="BS45" s="90" t="s">
        <v>268</v>
      </c>
      <c r="BT45" s="90"/>
    </row>
    <row r="46" ht="15.75" customHeight="1">
      <c r="A46" s="444" t="s">
        <v>98</v>
      </c>
      <c r="B46" s="445" t="s">
        <v>3494</v>
      </c>
      <c r="C46" s="532" t="s">
        <v>3496</v>
      </c>
      <c r="D46" s="449">
        <v>3653911.0</v>
      </c>
      <c r="E46" s="447" t="s">
        <v>120</v>
      </c>
      <c r="F46" s="447" t="s">
        <v>54</v>
      </c>
      <c r="G46" s="447" t="s">
        <v>348</v>
      </c>
      <c r="H46" s="447"/>
      <c r="I46" s="447"/>
      <c r="J46" s="49" t="s">
        <v>2318</v>
      </c>
      <c r="K46" s="447"/>
      <c r="L46" s="450"/>
      <c r="M46" s="450">
        <v>44936.0</v>
      </c>
      <c r="N46" s="449"/>
      <c r="O46" s="449" t="s">
        <v>2356</v>
      </c>
      <c r="P46" s="452">
        <v>0.012</v>
      </c>
      <c r="Q46" s="461"/>
      <c r="R46" s="453"/>
      <c r="S46" s="449"/>
      <c r="T46" s="449"/>
      <c r="U46" s="449"/>
      <c r="V46" s="449" t="s">
        <v>54</v>
      </c>
      <c r="W46" s="455"/>
      <c r="X46" s="455"/>
      <c r="Y46" s="455"/>
      <c r="Z46" s="455"/>
      <c r="AA46" s="455"/>
      <c r="AB46" s="455"/>
      <c r="AC46" s="455"/>
      <c r="AD46" s="455"/>
      <c r="AE46" s="455"/>
      <c r="AF46" s="455"/>
      <c r="AG46" s="455"/>
      <c r="AH46" s="455"/>
      <c r="AI46" s="455"/>
      <c r="AJ46" s="455"/>
      <c r="AK46" s="456"/>
      <c r="AL46" s="456"/>
      <c r="AM46" s="456"/>
      <c r="AN46" s="456"/>
      <c r="AO46" s="456"/>
      <c r="AP46" s="456"/>
      <c r="AQ46" s="456"/>
      <c r="AR46" s="456"/>
      <c r="AS46" s="456"/>
      <c r="AT46" s="456"/>
      <c r="AU46" s="456"/>
      <c r="AV46" s="456"/>
      <c r="AW46" s="456"/>
      <c r="AX46" s="456"/>
      <c r="AY46" s="456"/>
      <c r="AZ46" s="456"/>
      <c r="BA46" s="456"/>
      <c r="BB46" s="456"/>
      <c r="BC46" s="456"/>
      <c r="BD46" s="456"/>
      <c r="BE46" s="456"/>
      <c r="BF46" s="456"/>
      <c r="BG46" s="456"/>
      <c r="BH46" s="456"/>
      <c r="BI46" s="456"/>
      <c r="BJ46" s="456"/>
      <c r="BK46" s="456"/>
      <c r="BL46" s="456">
        <v>168457.36</v>
      </c>
      <c r="BM46" s="456">
        <v>169543.1</v>
      </c>
      <c r="BN46" s="456">
        <v>0.0</v>
      </c>
      <c r="BO46" s="456">
        <v>0.0</v>
      </c>
      <c r="BP46" s="456">
        <v>0.0</v>
      </c>
      <c r="BQ46" s="456">
        <v>0.0</v>
      </c>
      <c r="BR46" s="456">
        <v>0.0</v>
      </c>
      <c r="BS46" s="90" t="s">
        <v>268</v>
      </c>
      <c r="BT46" s="90"/>
    </row>
    <row r="47" ht="15.75" customHeight="1">
      <c r="A47" s="444" t="s">
        <v>98</v>
      </c>
      <c r="B47" s="445" t="s">
        <v>3518</v>
      </c>
      <c r="C47" s="458" t="s">
        <v>3519</v>
      </c>
      <c r="D47" s="449">
        <v>3022313.0</v>
      </c>
      <c r="E47" s="447" t="s">
        <v>120</v>
      </c>
      <c r="F47" s="447" t="s">
        <v>199</v>
      </c>
      <c r="G47" s="447" t="s">
        <v>3521</v>
      </c>
      <c r="H47" s="447" t="str">
        <f>IFERROR(VLOOKUP(G47,'Cadastro de assessores'!A:B,2,FALSE),"Não Cadastrado")</f>
        <v>16855</v>
      </c>
      <c r="I47" s="447"/>
      <c r="J47" s="74" t="s">
        <v>183</v>
      </c>
      <c r="K47" s="447" t="s">
        <v>183</v>
      </c>
      <c r="L47" s="450">
        <v>43964.0</v>
      </c>
      <c r="M47" s="450">
        <v>44061.0</v>
      </c>
      <c r="N47" s="449"/>
      <c r="O47" s="449" t="s">
        <v>2341</v>
      </c>
      <c r="P47" s="452">
        <v>0.015</v>
      </c>
      <c r="Q47" s="461"/>
      <c r="R47" s="453"/>
      <c r="S47" s="449" t="str">
        <f t="shared" ref="S47:S52" si="7">IF(BC47&lt;=0,"",IF(BC47&lt;=1000000,"Não Qualificado",IF(AND(BC47&gt;1000000,BC47&lt;=10000000),"Qualificado","Profissional")))</f>
        <v/>
      </c>
      <c r="T47" s="449" t="s">
        <v>194</v>
      </c>
      <c r="U47" s="449" t="s">
        <v>3281</v>
      </c>
      <c r="V47" s="449" t="s">
        <v>199</v>
      </c>
      <c r="W47" s="455" t="s">
        <v>2344</v>
      </c>
      <c r="X47" s="455" t="s">
        <v>2344</v>
      </c>
      <c r="Y47" s="455" t="s">
        <v>2344</v>
      </c>
      <c r="Z47" s="455" t="s">
        <v>2344</v>
      </c>
      <c r="AA47" s="455" t="s">
        <v>2344</v>
      </c>
      <c r="AB47" s="455" t="s">
        <v>2344</v>
      </c>
      <c r="AC47" s="455" t="s">
        <v>2344</v>
      </c>
      <c r="AD47" s="455" t="s">
        <v>2344</v>
      </c>
      <c r="AE47" s="455" t="s">
        <v>2344</v>
      </c>
      <c r="AF47" s="455" t="s">
        <v>2344</v>
      </c>
      <c r="AG47" s="455" t="s">
        <v>3530</v>
      </c>
      <c r="AH47" s="455" t="s">
        <v>3531</v>
      </c>
      <c r="AI47" s="455" t="s">
        <v>3533</v>
      </c>
      <c r="AJ47" s="455" t="s">
        <v>3534</v>
      </c>
      <c r="AK47" s="456">
        <v>264282.33</v>
      </c>
      <c r="AL47" s="456">
        <v>259652.78</v>
      </c>
      <c r="AM47" s="456">
        <v>250761.85</v>
      </c>
      <c r="AN47" s="456">
        <v>249943.51</v>
      </c>
      <c r="AO47" s="456">
        <v>256506.49</v>
      </c>
      <c r="AP47" s="456">
        <v>257775.89</v>
      </c>
      <c r="AQ47" s="456">
        <v>256677.18</v>
      </c>
      <c r="AR47" s="456">
        <v>262891.34</v>
      </c>
      <c r="AS47" s="456">
        <v>260843.68</v>
      </c>
      <c r="AT47" s="456">
        <v>255782.75</v>
      </c>
      <c r="AU47" s="456">
        <v>254073.72</v>
      </c>
      <c r="AV47" s="456">
        <v>250024.06</v>
      </c>
      <c r="AW47" s="456">
        <v>240848.67</v>
      </c>
      <c r="AX47" s="456">
        <v>241369.06</v>
      </c>
      <c r="AY47" s="456">
        <v>244712.09</v>
      </c>
      <c r="AZ47" s="456">
        <v>199796.93</v>
      </c>
      <c r="BA47" s="456">
        <v>201197.42</v>
      </c>
      <c r="BB47" s="456">
        <v>208485.71</v>
      </c>
      <c r="BC47" s="456"/>
      <c r="BD47" s="456">
        <v>207521.63</v>
      </c>
      <c r="BE47" s="456">
        <v>206710.08</v>
      </c>
      <c r="BF47" s="456">
        <v>183005.1</v>
      </c>
      <c r="BG47" s="456">
        <v>158591.5779</v>
      </c>
      <c r="BH47" s="456">
        <v>132849.49</v>
      </c>
      <c r="BI47" s="456">
        <v>113362.93</v>
      </c>
      <c r="BJ47" s="456">
        <v>91724.55</v>
      </c>
      <c r="BK47" s="456">
        <v>142725.15</v>
      </c>
      <c r="BL47" s="456">
        <v>144482.26</v>
      </c>
      <c r="BM47" s="456">
        <v>145475.22</v>
      </c>
      <c r="BN47" s="456">
        <v>146608.43</v>
      </c>
      <c r="BO47" s="456">
        <v>147629.36</v>
      </c>
      <c r="BP47" s="456">
        <v>149065.62</v>
      </c>
      <c r="BQ47" s="456">
        <v>150083.68</v>
      </c>
      <c r="BR47" s="456">
        <v>6052.38</v>
      </c>
      <c r="BS47" s="90">
        <v>162129.41</v>
      </c>
      <c r="BT47" s="90"/>
    </row>
    <row r="48" ht="15.75" customHeight="1">
      <c r="A48" s="444" t="s">
        <v>98</v>
      </c>
      <c r="B48" s="445" t="s">
        <v>3547</v>
      </c>
      <c r="C48" s="458" t="s">
        <v>3549</v>
      </c>
      <c r="D48" s="449">
        <v>4744962.0</v>
      </c>
      <c r="E48" s="447" t="s">
        <v>669</v>
      </c>
      <c r="F48" s="447" t="s">
        <v>199</v>
      </c>
      <c r="G48" s="447" t="s">
        <v>1228</v>
      </c>
      <c r="H48" s="447" t="str">
        <f>IFERROR(VLOOKUP(G48,'Cadastro de assessores'!A:B,2,FALSE),"Não Cadastrado")</f>
        <v>17573</v>
      </c>
      <c r="I48" s="447"/>
      <c r="J48" s="49" t="s">
        <v>2318</v>
      </c>
      <c r="K48" s="449" t="s">
        <v>295</v>
      </c>
      <c r="L48" s="447" t="s">
        <v>3320</v>
      </c>
      <c r="M48" s="473"/>
      <c r="N48" s="449"/>
      <c r="O48" s="449" t="s">
        <v>2365</v>
      </c>
      <c r="P48" s="452">
        <v>0.012</v>
      </c>
      <c r="Q48" s="461"/>
      <c r="R48" s="453"/>
      <c r="S48" s="449" t="str">
        <f t="shared" si="7"/>
        <v>Não Qualificado</v>
      </c>
      <c r="T48" s="449" t="s">
        <v>194</v>
      </c>
      <c r="U48" s="449" t="s">
        <v>2475</v>
      </c>
      <c r="V48" s="449" t="s">
        <v>618</v>
      </c>
      <c r="W48" s="455"/>
      <c r="X48" s="455"/>
      <c r="Y48" s="455"/>
      <c r="Z48" s="455"/>
      <c r="AA48" s="455"/>
      <c r="AB48" s="455"/>
      <c r="AC48" s="455"/>
      <c r="AD48" s="455"/>
      <c r="AE48" s="455"/>
      <c r="AF48" s="455"/>
      <c r="AG48" s="455"/>
      <c r="AH48" s="455"/>
      <c r="AI48" s="455"/>
      <c r="AJ48" s="455"/>
      <c r="AK48" s="456"/>
      <c r="AL48" s="456"/>
      <c r="AM48" s="456"/>
      <c r="AN48" s="456"/>
      <c r="AO48" s="456"/>
      <c r="AP48" s="456"/>
      <c r="AQ48" s="456"/>
      <c r="AR48" s="456"/>
      <c r="AS48" s="456"/>
      <c r="AT48" s="456"/>
      <c r="AU48" s="456"/>
      <c r="AV48" s="456"/>
      <c r="AW48" s="456"/>
      <c r="AX48" s="456"/>
      <c r="AY48" s="456"/>
      <c r="AZ48" s="456"/>
      <c r="BA48" s="456">
        <v>0.0</v>
      </c>
      <c r="BB48" s="456">
        <v>0.0</v>
      </c>
      <c r="BC48" s="456">
        <v>96030.62</v>
      </c>
      <c r="BD48" s="456" t="s">
        <v>377</v>
      </c>
      <c r="BE48" s="456" t="s">
        <v>377</v>
      </c>
      <c r="BF48" s="456">
        <v>0.0</v>
      </c>
      <c r="BG48" s="456">
        <v>0.0</v>
      </c>
      <c r="BH48" s="456">
        <v>0.0</v>
      </c>
      <c r="BI48" s="456">
        <v>0.0</v>
      </c>
      <c r="BJ48" s="456">
        <v>0.0</v>
      </c>
      <c r="BK48" s="456">
        <v>0.0</v>
      </c>
      <c r="BL48" s="456">
        <v>0.0</v>
      </c>
      <c r="BM48" s="456">
        <v>0.0</v>
      </c>
      <c r="BN48" s="456">
        <v>0.0</v>
      </c>
      <c r="BO48" s="456">
        <v>0.0</v>
      </c>
      <c r="BP48" s="456">
        <v>0.0</v>
      </c>
      <c r="BQ48" s="456">
        <v>0.0</v>
      </c>
      <c r="BR48" s="456">
        <v>0.0</v>
      </c>
      <c r="BS48" s="90">
        <v>0.0</v>
      </c>
      <c r="BT48" s="90"/>
    </row>
    <row r="49" ht="15.75" customHeight="1">
      <c r="A49" s="444" t="s">
        <v>98</v>
      </c>
      <c r="B49" s="445" t="s">
        <v>3567</v>
      </c>
      <c r="C49" s="468" t="s">
        <v>3568</v>
      </c>
      <c r="D49" s="449">
        <v>4448534.0</v>
      </c>
      <c r="E49" s="447" t="s">
        <v>120</v>
      </c>
      <c r="F49" s="447" t="s">
        <v>54</v>
      </c>
      <c r="G49" s="447" t="s">
        <v>379</v>
      </c>
      <c r="H49" s="447" t="str">
        <f>IFERROR(VLOOKUP(G49,'Cadastro de assessores'!A:B,2,FALSE),"Não Cadastrado")</f>
        <v>18009</v>
      </c>
      <c r="I49" s="447"/>
      <c r="J49" s="49" t="s">
        <v>224</v>
      </c>
      <c r="K49" s="447" t="s">
        <v>183</v>
      </c>
      <c r="L49" s="450">
        <v>44090.0</v>
      </c>
      <c r="M49" s="450">
        <v>44090.0</v>
      </c>
      <c r="N49" s="460">
        <v>44942.0</v>
      </c>
      <c r="O49" s="449" t="s">
        <v>2372</v>
      </c>
      <c r="P49" s="452">
        <v>0.025</v>
      </c>
      <c r="Q49" s="461"/>
      <c r="R49" s="453"/>
      <c r="S49" s="449" t="str">
        <f t="shared" si="7"/>
        <v>Não Qualificado</v>
      </c>
      <c r="T49" s="449" t="s">
        <v>194</v>
      </c>
      <c r="U49" s="449" t="s">
        <v>2401</v>
      </c>
      <c r="V49" s="449" t="s">
        <v>199</v>
      </c>
      <c r="W49" s="455" t="s">
        <v>2344</v>
      </c>
      <c r="X49" s="455" t="s">
        <v>2344</v>
      </c>
      <c r="Y49" s="455" t="s">
        <v>2344</v>
      </c>
      <c r="Z49" s="455" t="s">
        <v>2344</v>
      </c>
      <c r="AA49" s="455" t="s">
        <v>2344</v>
      </c>
      <c r="AB49" s="455" t="s">
        <v>2344</v>
      </c>
      <c r="AC49" s="455" t="s">
        <v>2344</v>
      </c>
      <c r="AD49" s="455" t="s">
        <v>2344</v>
      </c>
      <c r="AE49" s="455" t="s">
        <v>2344</v>
      </c>
      <c r="AF49" s="455" t="s">
        <v>2344</v>
      </c>
      <c r="AG49" s="455" t="s">
        <v>2344</v>
      </c>
      <c r="AH49" s="455" t="s">
        <v>3575</v>
      </c>
      <c r="AI49" s="455" t="s">
        <v>3576</v>
      </c>
      <c r="AJ49" s="455" t="s">
        <v>3577</v>
      </c>
      <c r="AK49" s="456">
        <v>228444.35</v>
      </c>
      <c r="AL49" s="456">
        <v>219483.84</v>
      </c>
      <c r="AM49" s="456">
        <v>197886.96</v>
      </c>
      <c r="AN49" s="456">
        <v>195392.07</v>
      </c>
      <c r="AO49" s="456">
        <v>210963.63</v>
      </c>
      <c r="AP49" s="456">
        <v>213743.52</v>
      </c>
      <c r="AQ49" s="456">
        <v>211518.99</v>
      </c>
      <c r="AR49" s="456">
        <v>223582.59</v>
      </c>
      <c r="AS49" s="456">
        <v>218423.21</v>
      </c>
      <c r="AT49" s="456">
        <v>206889.21</v>
      </c>
      <c r="AU49" s="456">
        <v>202553.28</v>
      </c>
      <c r="AV49" s="456">
        <v>190760.77</v>
      </c>
      <c r="AW49" s="456">
        <v>176735.63</v>
      </c>
      <c r="AX49" s="456">
        <v>175057.39</v>
      </c>
      <c r="AY49" s="456">
        <v>178414.73</v>
      </c>
      <c r="AZ49" s="456">
        <v>191499.87</v>
      </c>
      <c r="BA49" s="456">
        <v>193446.97</v>
      </c>
      <c r="BB49" s="456">
        <v>207605.33</v>
      </c>
      <c r="BC49" s="456">
        <v>90564.85</v>
      </c>
      <c r="BD49" s="456">
        <v>194624.19</v>
      </c>
      <c r="BE49" s="456">
        <v>186028.19</v>
      </c>
      <c r="BF49" s="456">
        <v>195857.79</v>
      </c>
      <c r="BG49" s="456">
        <v>197901.5735</v>
      </c>
      <c r="BH49" s="456">
        <v>194542.34</v>
      </c>
      <c r="BI49" s="456">
        <v>212667.29</v>
      </c>
      <c r="BJ49" s="456">
        <v>206060.94</v>
      </c>
      <c r="BK49" s="456">
        <v>205698.89</v>
      </c>
      <c r="BL49" s="456">
        <v>0.0</v>
      </c>
      <c r="BM49" s="456">
        <v>0.0</v>
      </c>
      <c r="BN49" s="456">
        <v>0.0</v>
      </c>
      <c r="BO49" s="456">
        <v>0.0</v>
      </c>
      <c r="BP49" s="456">
        <v>0.0</v>
      </c>
      <c r="BQ49" s="456">
        <v>0.0</v>
      </c>
      <c r="BR49" s="456">
        <v>0.0</v>
      </c>
      <c r="BS49" s="90" t="s">
        <v>268</v>
      </c>
      <c r="BT49" s="90"/>
    </row>
    <row r="50" ht="15.75" customHeight="1">
      <c r="A50" s="444" t="s">
        <v>98</v>
      </c>
      <c r="B50" s="445" t="s">
        <v>3581</v>
      </c>
      <c r="C50" s="468" t="s">
        <v>3582</v>
      </c>
      <c r="D50" s="446">
        <v>3533638.0</v>
      </c>
      <c r="E50" s="449" t="s">
        <v>120</v>
      </c>
      <c r="F50" s="449" t="s">
        <v>199</v>
      </c>
      <c r="G50" s="449" t="s">
        <v>1174</v>
      </c>
      <c r="H50" s="449" t="str">
        <f>IFERROR(VLOOKUP(G50,'Cadastro de assessores'!A:B,2,FALSE),"Não Cadastrado")</f>
        <v>18266</v>
      </c>
      <c r="I50" s="449"/>
      <c r="J50" s="49" t="s">
        <v>224</v>
      </c>
      <c r="K50" s="449" t="s">
        <v>2340</v>
      </c>
      <c r="L50" s="460">
        <v>44354.0</v>
      </c>
      <c r="M50" s="460">
        <v>44354.0</v>
      </c>
      <c r="N50" s="459">
        <v>44559.0</v>
      </c>
      <c r="O50" s="449" t="s">
        <v>2372</v>
      </c>
      <c r="P50" s="452">
        <v>0.025</v>
      </c>
      <c r="Q50" s="461" t="s">
        <v>3586</v>
      </c>
      <c r="R50" s="453"/>
      <c r="S50" s="449" t="str">
        <f t="shared" si="7"/>
        <v>Não Qualificado</v>
      </c>
      <c r="T50" s="449" t="s">
        <v>194</v>
      </c>
      <c r="U50" s="449" t="s">
        <v>3587</v>
      </c>
      <c r="V50" s="446" t="s">
        <v>54</v>
      </c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6"/>
      <c r="AL50" s="456"/>
      <c r="AM50" s="456"/>
      <c r="AN50" s="456"/>
      <c r="AO50" s="456"/>
      <c r="AP50" s="456"/>
      <c r="AQ50" s="456"/>
      <c r="AR50" s="454"/>
      <c r="AS50" s="456">
        <v>103387.08</v>
      </c>
      <c r="AT50" s="456">
        <v>102882.68</v>
      </c>
      <c r="AU50" s="456">
        <v>104345.96</v>
      </c>
      <c r="AV50" s="456">
        <v>101885.27</v>
      </c>
      <c r="AW50" s="456">
        <v>93246.47</v>
      </c>
      <c r="AX50" s="456">
        <v>92017.73</v>
      </c>
      <c r="AY50" s="456">
        <v>97049.24</v>
      </c>
      <c r="AZ50" s="456"/>
      <c r="BA50" s="456">
        <v>0.0</v>
      </c>
      <c r="BB50" s="456">
        <v>0.0</v>
      </c>
      <c r="BC50" s="456">
        <v>247588.28</v>
      </c>
      <c r="BD50" s="456" t="s">
        <v>377</v>
      </c>
      <c r="BE50" s="456" t="s">
        <v>377</v>
      </c>
      <c r="BF50" s="456">
        <v>0.0</v>
      </c>
      <c r="BG50" s="456">
        <v>0.0</v>
      </c>
      <c r="BH50" s="456">
        <v>0.0</v>
      </c>
      <c r="BI50" s="456">
        <v>0.0</v>
      </c>
      <c r="BJ50" s="456">
        <v>0.0</v>
      </c>
      <c r="BK50" s="456">
        <v>0.0</v>
      </c>
      <c r="BL50" s="456">
        <v>0.0</v>
      </c>
      <c r="BM50" s="456">
        <v>0.0</v>
      </c>
      <c r="BN50" s="456">
        <v>0.0</v>
      </c>
      <c r="BO50" s="456">
        <v>0.0</v>
      </c>
      <c r="BP50" s="456">
        <v>0.0</v>
      </c>
      <c r="BQ50" s="456">
        <v>0.0</v>
      </c>
      <c r="BR50" s="456">
        <v>0.0</v>
      </c>
      <c r="BS50" s="90" t="s">
        <v>268</v>
      </c>
      <c r="BT50" s="90"/>
    </row>
    <row r="51" ht="15.75" customHeight="1">
      <c r="A51" s="444" t="s">
        <v>98</v>
      </c>
      <c r="B51" s="445" t="s">
        <v>3596</v>
      </c>
      <c r="C51" s="458" t="s">
        <v>3597</v>
      </c>
      <c r="D51" s="449">
        <v>4859203.0</v>
      </c>
      <c r="E51" s="449" t="s">
        <v>120</v>
      </c>
      <c r="F51" s="507" t="s">
        <v>54</v>
      </c>
      <c r="G51" s="449" t="s">
        <v>379</v>
      </c>
      <c r="H51" s="449" t="str">
        <f>IFERROR(VLOOKUP(G51,'Cadastro de assessores'!A:B,2,FALSE),"Não Cadastrado")</f>
        <v>18009</v>
      </c>
      <c r="I51" s="449"/>
      <c r="J51" s="49" t="s">
        <v>224</v>
      </c>
      <c r="K51" s="449" t="s">
        <v>2340</v>
      </c>
      <c r="L51" s="460">
        <v>44239.0</v>
      </c>
      <c r="M51" s="460">
        <v>44239.0</v>
      </c>
      <c r="N51" s="460">
        <v>44700.0</v>
      </c>
      <c r="O51" s="449" t="s">
        <v>2319</v>
      </c>
      <c r="P51" s="452">
        <v>0.02</v>
      </c>
      <c r="Q51" s="461" t="s">
        <v>3600</v>
      </c>
      <c r="R51" s="453"/>
      <c r="S51" s="449" t="str">
        <f t="shared" si="7"/>
        <v>Não Qualificado</v>
      </c>
      <c r="T51" s="449" t="s">
        <v>194</v>
      </c>
      <c r="U51" s="449" t="s">
        <v>2475</v>
      </c>
      <c r="V51" s="449" t="s">
        <v>618</v>
      </c>
      <c r="W51" s="455"/>
      <c r="X51" s="455"/>
      <c r="Y51" s="455"/>
      <c r="Z51" s="455"/>
      <c r="AA51" s="455"/>
      <c r="AB51" s="455"/>
      <c r="AC51" s="455"/>
      <c r="AD51" s="455"/>
      <c r="AE51" s="455"/>
      <c r="AF51" s="455"/>
      <c r="AG51" s="455"/>
      <c r="AH51" s="455"/>
      <c r="AI51" s="455"/>
      <c r="AJ51" s="455"/>
      <c r="AK51" s="456"/>
      <c r="AL51" s="456"/>
      <c r="AM51" s="456">
        <v>66229.27</v>
      </c>
      <c r="AN51" s="456">
        <v>66460.82</v>
      </c>
      <c r="AO51" s="456">
        <v>69471.68</v>
      </c>
      <c r="AP51" s="456">
        <v>70041.31</v>
      </c>
      <c r="AQ51" s="456">
        <v>69600.19</v>
      </c>
      <c r="AR51" s="456">
        <v>101644.8</v>
      </c>
      <c r="AS51" s="456">
        <v>100565.17</v>
      </c>
      <c r="AT51" s="456">
        <v>97350.58</v>
      </c>
      <c r="AU51" s="456">
        <v>96215.83</v>
      </c>
      <c r="AV51" s="456">
        <v>93537.39</v>
      </c>
      <c r="AW51" s="456">
        <v>88966.89</v>
      </c>
      <c r="AX51" s="456">
        <v>88505.22</v>
      </c>
      <c r="AY51" s="456">
        <v>89709.72</v>
      </c>
      <c r="AZ51" s="456">
        <v>93189.99</v>
      </c>
      <c r="BA51" s="456">
        <v>93670.43</v>
      </c>
      <c r="BB51" s="456">
        <v>98185.09</v>
      </c>
      <c r="BC51" s="456">
        <v>72096.69</v>
      </c>
      <c r="BD51" s="456" t="s">
        <v>377</v>
      </c>
      <c r="BE51" s="456" t="s">
        <v>377</v>
      </c>
      <c r="BF51" s="456">
        <v>0.0</v>
      </c>
      <c r="BG51" s="456">
        <v>0.0</v>
      </c>
      <c r="BH51" s="456">
        <v>0.0</v>
      </c>
      <c r="BI51" s="456">
        <v>0.0</v>
      </c>
      <c r="BJ51" s="456">
        <v>0.0</v>
      </c>
      <c r="BK51" s="456">
        <v>0.0</v>
      </c>
      <c r="BL51" s="456">
        <v>0.0</v>
      </c>
      <c r="BM51" s="456">
        <v>0.0</v>
      </c>
      <c r="BN51" s="456">
        <v>0.0</v>
      </c>
      <c r="BO51" s="456">
        <v>0.0</v>
      </c>
      <c r="BP51" s="456">
        <v>0.0</v>
      </c>
      <c r="BQ51" s="456">
        <v>0.0</v>
      </c>
      <c r="BR51" s="456">
        <v>0.0</v>
      </c>
      <c r="BS51" s="90" t="s">
        <v>268</v>
      </c>
      <c r="BT51" s="90"/>
    </row>
    <row r="52" ht="15.75" customHeight="1">
      <c r="A52" s="444" t="s">
        <v>98</v>
      </c>
      <c r="B52" s="445" t="s">
        <v>3604</v>
      </c>
      <c r="C52" s="458" t="s">
        <v>3605</v>
      </c>
      <c r="D52" s="449">
        <v>4409995.0</v>
      </c>
      <c r="E52" s="449" t="s">
        <v>255</v>
      </c>
      <c r="F52" s="449" t="s">
        <v>199</v>
      </c>
      <c r="G52" s="449" t="s">
        <v>3606</v>
      </c>
      <c r="H52" s="449" t="str">
        <f>IFERROR(VLOOKUP(G52,'Cadastro de assessores'!A:B,2,FALSE),"Não Cadastrado")</f>
        <v>16459</v>
      </c>
      <c r="I52" s="449"/>
      <c r="J52" s="49" t="s">
        <v>224</v>
      </c>
      <c r="K52" s="449" t="s">
        <v>2340</v>
      </c>
      <c r="L52" s="459">
        <v>44120.0</v>
      </c>
      <c r="M52" s="459">
        <v>44120.0</v>
      </c>
      <c r="N52" s="460">
        <v>44413.0</v>
      </c>
      <c r="O52" s="449" t="s">
        <v>2341</v>
      </c>
      <c r="P52" s="452">
        <v>0.015</v>
      </c>
      <c r="Q52" s="461" t="s">
        <v>3612</v>
      </c>
      <c r="R52" s="453"/>
      <c r="S52" s="449" t="str">
        <f t="shared" si="7"/>
        <v/>
      </c>
      <c r="T52" s="449" t="s">
        <v>194</v>
      </c>
      <c r="U52" s="449" t="s">
        <v>2383</v>
      </c>
      <c r="V52" s="449" t="s">
        <v>199</v>
      </c>
      <c r="W52" s="455" t="s">
        <v>2344</v>
      </c>
      <c r="X52" s="455" t="s">
        <v>2344</v>
      </c>
      <c r="Y52" s="455" t="s">
        <v>2344</v>
      </c>
      <c r="Z52" s="455" t="s">
        <v>2344</v>
      </c>
      <c r="AA52" s="455" t="s">
        <v>2344</v>
      </c>
      <c r="AB52" s="455" t="s">
        <v>2344</v>
      </c>
      <c r="AC52" s="455" t="s">
        <v>2344</v>
      </c>
      <c r="AD52" s="455" t="s">
        <v>2344</v>
      </c>
      <c r="AE52" s="455" t="s">
        <v>2344</v>
      </c>
      <c r="AF52" s="455" t="s">
        <v>2344</v>
      </c>
      <c r="AG52" s="455" t="s">
        <v>2344</v>
      </c>
      <c r="AH52" s="455" t="s">
        <v>2344</v>
      </c>
      <c r="AI52" s="455" t="s">
        <v>3616</v>
      </c>
      <c r="AJ52" s="455" t="s">
        <v>3617</v>
      </c>
      <c r="AK52" s="456">
        <v>206276.65</v>
      </c>
      <c r="AL52" s="456">
        <v>202074.54</v>
      </c>
      <c r="AM52" s="456">
        <v>195592.66</v>
      </c>
      <c r="AN52" s="456">
        <v>195144.17</v>
      </c>
      <c r="AO52" s="456">
        <v>200442.0</v>
      </c>
      <c r="AP52" s="456">
        <v>201639.45</v>
      </c>
      <c r="AQ52" s="456">
        <v>200810.92</v>
      </c>
      <c r="AR52" s="456">
        <v>205533.39</v>
      </c>
      <c r="AS52" s="456">
        <v>203901.48</v>
      </c>
      <c r="AT52" s="456">
        <v>199844.32</v>
      </c>
      <c r="AU52" s="456"/>
      <c r="AV52" s="456"/>
      <c r="AW52" s="456"/>
      <c r="AX52" s="456"/>
      <c r="AY52" s="456"/>
      <c r="AZ52" s="456"/>
      <c r="BA52" s="456">
        <v>0.0</v>
      </c>
      <c r="BB52" s="456">
        <v>0.0</v>
      </c>
      <c r="BC52" s="456">
        <v>0.0</v>
      </c>
      <c r="BD52" s="456" t="s">
        <v>377</v>
      </c>
      <c r="BE52" s="456" t="s">
        <v>377</v>
      </c>
      <c r="BF52" s="456">
        <v>0.0</v>
      </c>
      <c r="BG52" s="456">
        <v>0.0</v>
      </c>
      <c r="BH52" s="456">
        <v>0.0</v>
      </c>
      <c r="BI52" s="456">
        <v>0.0</v>
      </c>
      <c r="BJ52" s="456">
        <v>0.0</v>
      </c>
      <c r="BK52" s="456">
        <v>0.0</v>
      </c>
      <c r="BL52" s="456">
        <v>0.0</v>
      </c>
      <c r="BM52" s="456">
        <v>0.0</v>
      </c>
      <c r="BN52" s="456">
        <v>0.0</v>
      </c>
      <c r="BO52" s="456">
        <v>0.0</v>
      </c>
      <c r="BP52" s="456">
        <v>0.0</v>
      </c>
      <c r="BQ52" s="456">
        <v>0.0</v>
      </c>
      <c r="BR52" s="456">
        <v>0.0</v>
      </c>
      <c r="BS52" s="90" t="s">
        <v>268</v>
      </c>
      <c r="BT52" s="90"/>
    </row>
    <row r="53" ht="15.75" customHeight="1">
      <c r="A53" s="444" t="s">
        <v>98</v>
      </c>
      <c r="B53" s="445" t="s">
        <v>3621</v>
      </c>
      <c r="C53" s="458" t="s">
        <v>2426</v>
      </c>
      <c r="D53" s="449">
        <v>3281393.0</v>
      </c>
      <c r="E53" s="447" t="s">
        <v>120</v>
      </c>
      <c r="F53" s="447" t="s">
        <v>54</v>
      </c>
      <c r="G53" s="447" t="s">
        <v>348</v>
      </c>
      <c r="H53" s="449">
        <f>IFERROR(VLOOKUP(G53,'Cadastro de assessores'!A:B,2,FALSE),"Não Cadastrado")</f>
        <v>12331</v>
      </c>
      <c r="I53" s="449"/>
      <c r="J53" s="49" t="s">
        <v>2318</v>
      </c>
      <c r="K53" s="447" t="s">
        <v>183</v>
      </c>
      <c r="L53" s="450">
        <v>44795.0</v>
      </c>
      <c r="M53" s="450">
        <v>44795.0</v>
      </c>
      <c r="N53" s="449"/>
      <c r="O53" s="449" t="s">
        <v>2365</v>
      </c>
      <c r="P53" s="519">
        <v>0.012</v>
      </c>
      <c r="Q53" s="461"/>
      <c r="R53" s="453"/>
      <c r="S53" s="449"/>
      <c r="T53" s="449" t="s">
        <v>234</v>
      </c>
      <c r="U53" s="449"/>
      <c r="V53" s="449" t="s">
        <v>54</v>
      </c>
      <c r="W53" s="455"/>
      <c r="X53" s="455"/>
      <c r="Y53" s="455"/>
      <c r="Z53" s="455"/>
      <c r="AA53" s="455"/>
      <c r="AB53" s="455"/>
      <c r="AC53" s="455"/>
      <c r="AD53" s="455"/>
      <c r="AE53" s="455"/>
      <c r="AF53" s="455"/>
      <c r="AG53" s="455"/>
      <c r="AH53" s="455"/>
      <c r="AI53" s="455"/>
      <c r="AJ53" s="455"/>
      <c r="AK53" s="456"/>
      <c r="AL53" s="456"/>
      <c r="AM53" s="456"/>
      <c r="AN53" s="456"/>
      <c r="AO53" s="456"/>
      <c r="AP53" s="456"/>
      <c r="AQ53" s="456"/>
      <c r="AR53" s="456"/>
      <c r="AS53" s="456"/>
      <c r="AT53" s="456"/>
      <c r="AU53" s="456"/>
      <c r="AV53" s="456"/>
      <c r="AW53" s="456"/>
      <c r="AX53" s="456"/>
      <c r="AY53" s="456"/>
      <c r="AZ53" s="456"/>
      <c r="BA53" s="456"/>
      <c r="BB53" s="456"/>
      <c r="BC53" s="456"/>
      <c r="BD53" s="456"/>
      <c r="BE53" s="456"/>
      <c r="BF53" s="456"/>
      <c r="BG53" s="456">
        <v>399958.3304</v>
      </c>
      <c r="BH53" s="456">
        <v>404438.39</v>
      </c>
      <c r="BI53" s="456">
        <v>412873.19</v>
      </c>
      <c r="BJ53" s="456">
        <v>413726.5</v>
      </c>
      <c r="BK53" s="456">
        <v>417778.22</v>
      </c>
      <c r="BL53" s="456">
        <v>422753.52</v>
      </c>
      <c r="BM53" s="456">
        <v>6.22</v>
      </c>
      <c r="BN53" s="456">
        <v>6.57</v>
      </c>
      <c r="BO53" s="456">
        <v>6.57</v>
      </c>
      <c r="BP53" s="456">
        <v>6.57</v>
      </c>
      <c r="BQ53" s="456">
        <v>6.57</v>
      </c>
      <c r="BR53" s="456">
        <v>6.57</v>
      </c>
      <c r="BS53" s="90" t="s">
        <v>268</v>
      </c>
      <c r="BT53" s="90"/>
    </row>
    <row r="54" ht="15.75" customHeight="1">
      <c r="A54" s="444" t="s">
        <v>98</v>
      </c>
      <c r="B54" s="445" t="s">
        <v>2483</v>
      </c>
      <c r="C54" s="458" t="s">
        <v>2478</v>
      </c>
      <c r="D54" s="449">
        <v>1000249.0</v>
      </c>
      <c r="E54" s="447" t="s">
        <v>255</v>
      </c>
      <c r="F54" s="447" t="s">
        <v>199</v>
      </c>
      <c r="G54" s="447" t="s">
        <v>368</v>
      </c>
      <c r="H54" s="447" t="str">
        <f>IFERROR(VLOOKUP(G54,'Cadastro de assessores'!A:B,2,FALSE),"Não Cadastrado")</f>
        <v>17896</v>
      </c>
      <c r="I54" s="447"/>
      <c r="J54" s="49" t="s">
        <v>2318</v>
      </c>
      <c r="K54" s="447" t="s">
        <v>183</v>
      </c>
      <c r="L54" s="450">
        <v>44110.0</v>
      </c>
      <c r="M54" s="450">
        <v>44112.0</v>
      </c>
      <c r="N54" s="449"/>
      <c r="O54" s="449" t="s">
        <v>3638</v>
      </c>
      <c r="P54" s="519">
        <v>0.02</v>
      </c>
      <c r="Q54" s="461"/>
      <c r="R54" s="453"/>
      <c r="S54" s="449" t="str">
        <f t="shared" ref="S54:S68" si="8">IF(BC54&lt;=0,"",IF(BC54&lt;=1000000,"Não Qualificado",IF(AND(BC54&gt;1000000,BC54&lt;=10000000),"Qualificado","Profissional")))</f>
        <v>Não Qualificado</v>
      </c>
      <c r="T54" s="449" t="s">
        <v>234</v>
      </c>
      <c r="U54" s="449" t="s">
        <v>3641</v>
      </c>
      <c r="V54" s="449" t="s">
        <v>199</v>
      </c>
      <c r="W54" s="455" t="s">
        <v>2344</v>
      </c>
      <c r="X54" s="455" t="s">
        <v>2344</v>
      </c>
      <c r="Y54" s="455" t="s">
        <v>2344</v>
      </c>
      <c r="Z54" s="455" t="s">
        <v>2344</v>
      </c>
      <c r="AA54" s="455" t="s">
        <v>2344</v>
      </c>
      <c r="AB54" s="455" t="s">
        <v>2344</v>
      </c>
      <c r="AC54" s="455" t="s">
        <v>2344</v>
      </c>
      <c r="AD54" s="455" t="s">
        <v>2344</v>
      </c>
      <c r="AE54" s="455" t="s">
        <v>2344</v>
      </c>
      <c r="AF54" s="455" t="s">
        <v>2344</v>
      </c>
      <c r="AG54" s="455" t="s">
        <v>2344</v>
      </c>
      <c r="AH54" s="455" t="s">
        <v>2344</v>
      </c>
      <c r="AI54" s="455" t="s">
        <v>3645</v>
      </c>
      <c r="AJ54" s="455" t="s">
        <v>3647</v>
      </c>
      <c r="AK54" s="456">
        <v>2058796.83</v>
      </c>
      <c r="AL54" s="456">
        <v>1982078.24</v>
      </c>
      <c r="AM54" s="456">
        <v>2818391.51</v>
      </c>
      <c r="AN54" s="456">
        <v>2817783.28</v>
      </c>
      <c r="AO54" s="456">
        <v>3022338.76</v>
      </c>
      <c r="AP54" s="456">
        <v>3048553.25</v>
      </c>
      <c r="AQ54" s="456">
        <v>3027303.04</v>
      </c>
      <c r="AR54" s="456">
        <v>3177566.98</v>
      </c>
      <c r="AS54" s="456">
        <v>3117628.69</v>
      </c>
      <c r="AT54" s="456">
        <v>2982366.87</v>
      </c>
      <c r="AU54" s="456">
        <v>2931376.16</v>
      </c>
      <c r="AV54" s="456">
        <v>2795723.0</v>
      </c>
      <c r="AW54" s="456">
        <v>2629139.46</v>
      </c>
      <c r="AX54" s="456">
        <v>2595782.46</v>
      </c>
      <c r="AY54" s="456">
        <v>2637503.21</v>
      </c>
      <c r="AZ54" s="456">
        <v>2778938.78</v>
      </c>
      <c r="BA54" s="456">
        <v>2800364.15</v>
      </c>
      <c r="BB54" s="456">
        <v>2962403.25</v>
      </c>
      <c r="BC54" s="456">
        <v>93147.27</v>
      </c>
      <c r="BD54" s="456">
        <v>2851409.2</v>
      </c>
      <c r="BE54" s="456">
        <v>2757755.19</v>
      </c>
      <c r="BF54" s="456">
        <v>2874894.47</v>
      </c>
      <c r="BG54" s="456">
        <v>2947928.439</v>
      </c>
      <c r="BH54" s="456">
        <v>2922433.08</v>
      </c>
      <c r="BI54" s="456">
        <v>3123580.35</v>
      </c>
      <c r="BJ54" s="456">
        <v>3120882.45</v>
      </c>
      <c r="BK54" s="456">
        <v>3133695.75</v>
      </c>
      <c r="BL54" s="456">
        <v>3128131.67</v>
      </c>
      <c r="BM54" s="456">
        <v>3088642.64</v>
      </c>
      <c r="BN54" s="456">
        <v>746670.55</v>
      </c>
      <c r="BO54" s="456">
        <v>31318.91</v>
      </c>
      <c r="BP54" s="456">
        <v>31710.47</v>
      </c>
      <c r="BQ54" s="456">
        <v>31920.5</v>
      </c>
      <c r="BR54" s="456">
        <v>0.0</v>
      </c>
      <c r="BS54" s="90">
        <v>0.0</v>
      </c>
      <c r="BT54" s="90"/>
    </row>
    <row r="55" ht="15.75" customHeight="1">
      <c r="A55" s="444" t="s">
        <v>98</v>
      </c>
      <c r="B55" s="445" t="s">
        <v>2639</v>
      </c>
      <c r="C55" s="458" t="s">
        <v>3654</v>
      </c>
      <c r="D55" s="449">
        <v>552896.0</v>
      </c>
      <c r="E55" s="447" t="s">
        <v>120</v>
      </c>
      <c r="F55" s="447" t="s">
        <v>54</v>
      </c>
      <c r="G55" s="447" t="s">
        <v>3655</v>
      </c>
      <c r="H55" s="447">
        <f>IFERROR(VLOOKUP(G55,'Cadastro de assessores'!A:B,2,FALSE),"Não Cadastrado")</f>
        <v>12351</v>
      </c>
      <c r="I55" s="447"/>
      <c r="J55" s="74" t="s">
        <v>183</v>
      </c>
      <c r="K55" s="447" t="s">
        <v>183</v>
      </c>
      <c r="L55" s="450">
        <v>44694.0</v>
      </c>
      <c r="M55" s="450">
        <v>44694.0</v>
      </c>
      <c r="N55" s="449"/>
      <c r="O55" s="449" t="s">
        <v>2341</v>
      </c>
      <c r="P55" s="452">
        <v>0.015</v>
      </c>
      <c r="Q55" s="461"/>
      <c r="R55" s="453"/>
      <c r="S55" s="449" t="str">
        <f t="shared" si="8"/>
        <v>Não Qualificado</v>
      </c>
      <c r="T55" s="449" t="s">
        <v>194</v>
      </c>
      <c r="U55" s="449" t="s">
        <v>2438</v>
      </c>
      <c r="V55" s="449" t="s">
        <v>54</v>
      </c>
      <c r="W55" s="455"/>
      <c r="X55" s="455"/>
      <c r="Y55" s="455"/>
      <c r="Z55" s="455"/>
      <c r="AA55" s="455"/>
      <c r="AB55" s="455"/>
      <c r="AC55" s="455"/>
      <c r="AD55" s="455"/>
      <c r="AE55" s="455"/>
      <c r="AF55" s="455"/>
      <c r="AG55" s="455"/>
      <c r="AH55" s="455"/>
      <c r="AI55" s="455"/>
      <c r="AJ55" s="455"/>
      <c r="AK55" s="456"/>
      <c r="AL55" s="456"/>
      <c r="AM55" s="456"/>
      <c r="AN55" s="456"/>
      <c r="AO55" s="456"/>
      <c r="AP55" s="456"/>
      <c r="AQ55" s="456"/>
      <c r="AR55" s="456"/>
      <c r="AS55" s="456"/>
      <c r="AT55" s="456"/>
      <c r="AU55" s="456"/>
      <c r="AV55" s="456"/>
      <c r="AW55" s="456"/>
      <c r="AX55" s="456"/>
      <c r="AY55" s="456"/>
      <c r="AZ55" s="456"/>
      <c r="BA55" s="456"/>
      <c r="BB55" s="456"/>
      <c r="BC55" s="456">
        <v>296576.97</v>
      </c>
      <c r="BD55" s="456">
        <v>148800.55</v>
      </c>
      <c r="BE55" s="456">
        <v>148308.66</v>
      </c>
      <c r="BF55" s="456">
        <v>147898.56</v>
      </c>
      <c r="BG55" s="456">
        <v>147121.8228</v>
      </c>
      <c r="BH55" s="456">
        <v>201678.28</v>
      </c>
      <c r="BI55" s="456">
        <v>205868.51</v>
      </c>
      <c r="BJ55" s="456">
        <v>215261.23</v>
      </c>
      <c r="BK55" s="456">
        <v>209337.33</v>
      </c>
      <c r="BL55" s="456">
        <v>144265.47</v>
      </c>
      <c r="BM55" s="456">
        <v>122703.52</v>
      </c>
      <c r="BN55" s="456">
        <v>144969.99</v>
      </c>
      <c r="BO55" s="456">
        <v>168010.5</v>
      </c>
      <c r="BP55" s="456">
        <v>169171.26</v>
      </c>
      <c r="BQ55" s="456">
        <v>169774.87</v>
      </c>
      <c r="BR55" s="456">
        <v>170421.21</v>
      </c>
      <c r="BS55" s="90">
        <v>166326.06</v>
      </c>
      <c r="BT55" s="90"/>
    </row>
    <row r="56" ht="15.75" customHeight="1">
      <c r="A56" s="444" t="s">
        <v>98</v>
      </c>
      <c r="B56" s="445" t="s">
        <v>3657</v>
      </c>
      <c r="C56" s="458" t="s">
        <v>3658</v>
      </c>
      <c r="D56" s="449">
        <v>4743547.0</v>
      </c>
      <c r="E56" s="449" t="s">
        <v>120</v>
      </c>
      <c r="F56" s="507" t="s">
        <v>54</v>
      </c>
      <c r="G56" s="449" t="s">
        <v>379</v>
      </c>
      <c r="H56" s="449" t="str">
        <f>IFERROR(VLOOKUP(G56,'Cadastro de assessores'!A:B,2,FALSE),"Não Cadastrado")</f>
        <v>18009</v>
      </c>
      <c r="I56" s="449"/>
      <c r="J56" s="49" t="s">
        <v>224</v>
      </c>
      <c r="K56" s="449" t="s">
        <v>2340</v>
      </c>
      <c r="L56" s="460">
        <v>44252.0</v>
      </c>
      <c r="M56" s="460">
        <v>44252.0</v>
      </c>
      <c r="N56" s="460">
        <v>44657.0</v>
      </c>
      <c r="O56" s="449" t="s">
        <v>2319</v>
      </c>
      <c r="P56" s="452">
        <v>0.02</v>
      </c>
      <c r="Q56" s="461" t="s">
        <v>3659</v>
      </c>
      <c r="R56" s="453"/>
      <c r="S56" s="449" t="str">
        <f t="shared" si="8"/>
        <v>Não Qualificado</v>
      </c>
      <c r="T56" s="449" t="s">
        <v>194</v>
      </c>
      <c r="U56" s="449" t="s">
        <v>2475</v>
      </c>
      <c r="V56" s="449" t="s">
        <v>618</v>
      </c>
      <c r="W56" s="455"/>
      <c r="X56" s="455"/>
      <c r="Y56" s="455"/>
      <c r="Z56" s="455"/>
      <c r="AA56" s="455"/>
      <c r="AB56" s="455"/>
      <c r="AC56" s="455"/>
      <c r="AD56" s="455"/>
      <c r="AE56" s="455"/>
      <c r="AF56" s="455"/>
      <c r="AG56" s="455"/>
      <c r="AH56" s="455"/>
      <c r="AI56" s="455"/>
      <c r="AJ56" s="455"/>
      <c r="AK56" s="456"/>
      <c r="AL56" s="456"/>
      <c r="AM56" s="456">
        <v>146675.21</v>
      </c>
      <c r="AN56" s="456">
        <v>146359.4</v>
      </c>
      <c r="AO56" s="456">
        <v>152101.04</v>
      </c>
      <c r="AP56" s="456">
        <v>151670.01</v>
      </c>
      <c r="AQ56" s="456">
        <v>150891.63</v>
      </c>
      <c r="AR56" s="456">
        <v>153984.5</v>
      </c>
      <c r="AS56" s="456">
        <v>251324.57</v>
      </c>
      <c r="AT56" s="456">
        <v>242826.61</v>
      </c>
      <c r="AU56" s="456">
        <v>239152.25</v>
      </c>
      <c r="AV56" s="456">
        <v>232974.03</v>
      </c>
      <c r="AW56" s="456">
        <v>215001.82</v>
      </c>
      <c r="AX56" s="456">
        <v>214190.37</v>
      </c>
      <c r="AY56" s="456">
        <v>212226.73</v>
      </c>
      <c r="AZ56" s="456">
        <v>220340.15</v>
      </c>
      <c r="BA56" s="456">
        <v>221568.51</v>
      </c>
      <c r="BB56" s="456">
        <v>225722.39</v>
      </c>
      <c r="BC56" s="456">
        <v>150943.45</v>
      </c>
      <c r="BD56" s="456" t="s">
        <v>377</v>
      </c>
      <c r="BE56" s="456" t="s">
        <v>377</v>
      </c>
      <c r="BF56" s="456">
        <v>0.0</v>
      </c>
      <c r="BG56" s="456">
        <v>0.0</v>
      </c>
      <c r="BH56" s="456">
        <v>0.0</v>
      </c>
      <c r="BI56" s="456">
        <v>0.0</v>
      </c>
      <c r="BJ56" s="456">
        <v>0.0</v>
      </c>
      <c r="BK56" s="456">
        <v>0.0</v>
      </c>
      <c r="BL56" s="456">
        <v>0.0</v>
      </c>
      <c r="BM56" s="456">
        <v>0.0</v>
      </c>
      <c r="BN56" s="456">
        <v>0.0</v>
      </c>
      <c r="BO56" s="456">
        <v>0.0</v>
      </c>
      <c r="BP56" s="456">
        <v>0.0</v>
      </c>
      <c r="BQ56" s="456">
        <v>0.0</v>
      </c>
      <c r="BR56" s="456">
        <v>0.0</v>
      </c>
      <c r="BS56" s="90" t="s">
        <v>268</v>
      </c>
      <c r="BT56" s="90"/>
    </row>
    <row r="57" ht="15.75" customHeight="1">
      <c r="A57" s="444" t="s">
        <v>98</v>
      </c>
      <c r="B57" s="445" t="s">
        <v>445</v>
      </c>
      <c r="C57" s="458" t="s">
        <v>437</v>
      </c>
      <c r="D57" s="449">
        <v>4648767.0</v>
      </c>
      <c r="E57" s="447" t="s">
        <v>120</v>
      </c>
      <c r="F57" s="447" t="s">
        <v>199</v>
      </c>
      <c r="G57" s="447" t="s">
        <v>388</v>
      </c>
      <c r="H57" s="447" t="str">
        <f>IFERROR(VLOOKUP(G57,'Cadastro de assessores'!A:B,2,FALSE),"Não Cadastrado")</f>
        <v>18993</v>
      </c>
      <c r="I57" s="447"/>
      <c r="J57" s="49" t="s">
        <v>2318</v>
      </c>
      <c r="K57" s="447" t="s">
        <v>183</v>
      </c>
      <c r="L57" s="450">
        <v>44312.0</v>
      </c>
      <c r="M57" s="450">
        <v>44312.0</v>
      </c>
      <c r="N57" s="449"/>
      <c r="O57" s="449" t="s">
        <v>2319</v>
      </c>
      <c r="P57" s="452">
        <v>0.01</v>
      </c>
      <c r="Q57" s="461"/>
      <c r="R57" s="453"/>
      <c r="S57" s="449" t="str">
        <f t="shared" si="8"/>
        <v>Não Qualificado</v>
      </c>
      <c r="T57" s="449" t="s">
        <v>194</v>
      </c>
      <c r="U57" s="449" t="s">
        <v>3281</v>
      </c>
      <c r="V57" s="449" t="s">
        <v>199</v>
      </c>
      <c r="W57" s="455"/>
      <c r="X57" s="455"/>
      <c r="Y57" s="455"/>
      <c r="Z57" s="455"/>
      <c r="AA57" s="455"/>
      <c r="AB57" s="455"/>
      <c r="AC57" s="455"/>
      <c r="AD57" s="455"/>
      <c r="AE57" s="455"/>
      <c r="AF57" s="455"/>
      <c r="AG57" s="455"/>
      <c r="AH57" s="455"/>
      <c r="AI57" s="455"/>
      <c r="AJ57" s="455"/>
      <c r="AK57" s="456"/>
      <c r="AL57" s="456"/>
      <c r="AM57" s="456" t="s">
        <v>3320</v>
      </c>
      <c r="AN57" s="456" t="s">
        <v>3320</v>
      </c>
      <c r="AO57" s="456"/>
      <c r="AP57" s="456">
        <v>728041.67</v>
      </c>
      <c r="AQ57" s="456">
        <v>723817.15</v>
      </c>
      <c r="AR57" s="456">
        <v>744823.93</v>
      </c>
      <c r="AS57" s="456">
        <v>738369.48</v>
      </c>
      <c r="AT57" s="456">
        <v>717197.21</v>
      </c>
      <c r="AU57" s="456">
        <v>709298.71</v>
      </c>
      <c r="AV57" s="456">
        <v>783752.21</v>
      </c>
      <c r="AW57" s="456">
        <v>747191.59</v>
      </c>
      <c r="AX57" s="456">
        <v>745049.93</v>
      </c>
      <c r="AY57" s="456">
        <v>756811.43</v>
      </c>
      <c r="AZ57" s="456">
        <v>788215.37</v>
      </c>
      <c r="BA57" s="456">
        <v>795942.74</v>
      </c>
      <c r="BB57" s="456">
        <v>852409.27</v>
      </c>
      <c r="BC57" s="456">
        <v>304328.98</v>
      </c>
      <c r="BD57" s="456">
        <v>843046.76</v>
      </c>
      <c r="BE57" s="456">
        <v>826003.46</v>
      </c>
      <c r="BF57" s="456">
        <v>857967.68</v>
      </c>
      <c r="BG57" s="456">
        <v>853606.0773</v>
      </c>
      <c r="BH57" s="456">
        <v>955414.19</v>
      </c>
      <c r="BI57" s="456">
        <v>1007805.45</v>
      </c>
      <c r="BJ57" s="456">
        <v>1008981.65</v>
      </c>
      <c r="BK57" s="456">
        <v>1053013.1</v>
      </c>
      <c r="BL57" s="456">
        <v>1064743.39</v>
      </c>
      <c r="BM57" s="456">
        <v>987748.88</v>
      </c>
      <c r="BN57" s="456">
        <v>932134.39</v>
      </c>
      <c r="BO57" s="456">
        <v>65432.04</v>
      </c>
      <c r="BP57" s="456">
        <v>0.0</v>
      </c>
      <c r="BQ57" s="456">
        <v>0.0</v>
      </c>
      <c r="BR57" s="456">
        <v>0.0</v>
      </c>
      <c r="BS57" s="90">
        <v>0.0</v>
      </c>
      <c r="BT57" s="90"/>
    </row>
    <row r="58" ht="15.75" customHeight="1">
      <c r="A58" s="444" t="s">
        <v>98</v>
      </c>
      <c r="B58" s="445" t="s">
        <v>3667</v>
      </c>
      <c r="C58" s="468" t="s">
        <v>3668</v>
      </c>
      <c r="D58" s="448">
        <v>6889397.0</v>
      </c>
      <c r="E58" s="447" t="s">
        <v>120</v>
      </c>
      <c r="F58" s="448" t="s">
        <v>54</v>
      </c>
      <c r="G58" s="447" t="s">
        <v>379</v>
      </c>
      <c r="H58" s="447" t="str">
        <f>IFERROR(VLOOKUP(G58,'Cadastro de assessores'!A:B,2,FALSE),"Não Cadastrado")</f>
        <v>18009</v>
      </c>
      <c r="I58" s="447"/>
      <c r="J58" s="49" t="s">
        <v>2318</v>
      </c>
      <c r="K58" s="447" t="s">
        <v>183</v>
      </c>
      <c r="L58" s="451">
        <v>44519.0</v>
      </c>
      <c r="M58" s="451">
        <v>44522.0</v>
      </c>
      <c r="N58" s="446"/>
      <c r="O58" s="446" t="s">
        <v>2365</v>
      </c>
      <c r="P58" s="452">
        <v>0.012</v>
      </c>
      <c r="Q58" s="537" t="s">
        <v>427</v>
      </c>
      <c r="R58" s="453"/>
      <c r="S58" s="449" t="str">
        <f t="shared" si="8"/>
        <v>Não Qualificado</v>
      </c>
      <c r="T58" s="449" t="s">
        <v>194</v>
      </c>
      <c r="U58" s="449" t="s">
        <v>3383</v>
      </c>
      <c r="V58" s="446" t="s">
        <v>199</v>
      </c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5"/>
      <c r="AH58" s="455"/>
      <c r="AI58" s="455"/>
      <c r="AJ58" s="456"/>
      <c r="AK58" s="456"/>
      <c r="AL58" s="456"/>
      <c r="AM58" s="456"/>
      <c r="AN58" s="456"/>
      <c r="AO58" s="456"/>
      <c r="AP58" s="456"/>
      <c r="AQ58" s="456"/>
      <c r="AR58" s="456"/>
      <c r="AS58" s="456"/>
      <c r="AT58" s="456"/>
      <c r="AU58" s="456"/>
      <c r="AV58" s="456"/>
      <c r="AW58" s="456"/>
      <c r="AX58" s="456"/>
      <c r="AY58" s="456">
        <v>2676023.0</v>
      </c>
      <c r="AZ58" s="456">
        <v>2720856.68</v>
      </c>
      <c r="BA58" s="456">
        <v>2742116.63</v>
      </c>
      <c r="BB58" s="456">
        <v>2816876.17</v>
      </c>
      <c r="BC58" s="456">
        <v>574756.05</v>
      </c>
      <c r="BD58" s="456">
        <v>3185902.07</v>
      </c>
      <c r="BE58" s="456">
        <v>3182679.37</v>
      </c>
      <c r="BF58" s="456">
        <v>3213505.97</v>
      </c>
      <c r="BG58" s="456">
        <v>3237513.172</v>
      </c>
      <c r="BH58" s="456">
        <v>3255834.34</v>
      </c>
      <c r="BI58" s="456">
        <v>65.46</v>
      </c>
      <c r="BJ58" s="456">
        <v>65.46</v>
      </c>
      <c r="BK58" s="456">
        <v>65.46</v>
      </c>
      <c r="BL58" s="456">
        <v>2646.65</v>
      </c>
      <c r="BM58" s="456">
        <v>2646.65</v>
      </c>
      <c r="BN58" s="456">
        <v>0.0</v>
      </c>
      <c r="BO58" s="456">
        <v>0.0</v>
      </c>
      <c r="BP58" s="456">
        <v>0.0</v>
      </c>
      <c r="BQ58" s="456">
        <v>0.0</v>
      </c>
      <c r="BR58" s="456">
        <v>0.0</v>
      </c>
      <c r="BS58" s="90">
        <v>0.0</v>
      </c>
      <c r="BT58" s="90"/>
    </row>
    <row r="59" ht="15.75" customHeight="1">
      <c r="A59" s="444" t="s">
        <v>98</v>
      </c>
      <c r="B59" s="445" t="s">
        <v>3670</v>
      </c>
      <c r="C59" s="458" t="s">
        <v>3671</v>
      </c>
      <c r="D59" s="449">
        <v>3774100.0</v>
      </c>
      <c r="E59" s="447" t="s">
        <v>669</v>
      </c>
      <c r="F59" s="447" t="s">
        <v>199</v>
      </c>
      <c r="G59" s="447" t="s">
        <v>669</v>
      </c>
      <c r="H59" s="447" t="str">
        <f>IFERROR(VLOOKUP(G59,'Cadastro de assessores'!A:B,2,FALSE),"Não Cadastrado")</f>
        <v>18986</v>
      </c>
      <c r="I59" s="447"/>
      <c r="J59" s="49" t="s">
        <v>2318</v>
      </c>
      <c r="K59" s="449" t="s">
        <v>295</v>
      </c>
      <c r="L59" s="450">
        <v>43818.0</v>
      </c>
      <c r="M59" s="450">
        <v>43847.0</v>
      </c>
      <c r="N59" s="449"/>
      <c r="O59" s="449" t="s">
        <v>2341</v>
      </c>
      <c r="P59" s="452">
        <v>0.015</v>
      </c>
      <c r="Q59" s="461"/>
      <c r="R59" s="453"/>
      <c r="S59" s="449" t="str">
        <f t="shared" si="8"/>
        <v/>
      </c>
      <c r="T59" s="449" t="s">
        <v>194</v>
      </c>
      <c r="U59" s="449" t="s">
        <v>3672</v>
      </c>
      <c r="V59" s="449" t="s">
        <v>199</v>
      </c>
      <c r="W59" s="455" t="s">
        <v>2344</v>
      </c>
      <c r="X59" s="455" t="s">
        <v>2344</v>
      </c>
      <c r="Y59" s="455" t="s">
        <v>2344</v>
      </c>
      <c r="Z59" s="455" t="s">
        <v>3673</v>
      </c>
      <c r="AA59" s="455" t="s">
        <v>3674</v>
      </c>
      <c r="AB59" s="455" t="s">
        <v>3676</v>
      </c>
      <c r="AC59" s="455" t="s">
        <v>3677</v>
      </c>
      <c r="AD59" s="455" t="s">
        <v>3678</v>
      </c>
      <c r="AE59" s="455" t="s">
        <v>3679</v>
      </c>
      <c r="AF59" s="455" t="s">
        <v>3680</v>
      </c>
      <c r="AG59" s="455" t="s">
        <v>3681</v>
      </c>
      <c r="AH59" s="455" t="s">
        <v>3682</v>
      </c>
      <c r="AI59" s="455" t="s">
        <v>3683</v>
      </c>
      <c r="AJ59" s="455" t="s">
        <v>3684</v>
      </c>
      <c r="AK59" s="456">
        <v>98570.53</v>
      </c>
      <c r="AL59" s="456">
        <v>56742.84</v>
      </c>
      <c r="AM59" s="456">
        <v>33961.75</v>
      </c>
      <c r="AN59" s="456">
        <v>33655.04</v>
      </c>
      <c r="AO59" s="456">
        <v>243.51</v>
      </c>
      <c r="AP59" s="456">
        <v>243.36</v>
      </c>
      <c r="AQ59" s="456">
        <v>243.32</v>
      </c>
      <c r="AR59" s="456">
        <v>243.11</v>
      </c>
      <c r="AS59" s="456">
        <v>242.9</v>
      </c>
      <c r="AT59" s="456">
        <v>242.68</v>
      </c>
      <c r="AU59" s="456">
        <v>242.46</v>
      </c>
      <c r="AV59" s="456">
        <v>172.44</v>
      </c>
      <c r="AW59" s="456">
        <v>242.05</v>
      </c>
      <c r="AX59" s="456">
        <v>241.85</v>
      </c>
      <c r="AY59" s="456"/>
      <c r="AZ59" s="456"/>
      <c r="BA59" s="456">
        <v>0.0</v>
      </c>
      <c r="BB59" s="456">
        <v>0.0</v>
      </c>
      <c r="BC59" s="456">
        <v>0.0</v>
      </c>
      <c r="BD59" s="456" t="s">
        <v>377</v>
      </c>
      <c r="BE59" s="456" t="s">
        <v>377</v>
      </c>
      <c r="BF59" s="456">
        <v>0.0</v>
      </c>
      <c r="BG59" s="456">
        <v>0.0</v>
      </c>
      <c r="BH59" s="456">
        <v>0.0</v>
      </c>
      <c r="BI59" s="456">
        <v>0.0</v>
      </c>
      <c r="BJ59" s="456">
        <v>0.0</v>
      </c>
      <c r="BK59" s="456">
        <v>0.0</v>
      </c>
      <c r="BL59" s="456">
        <v>0.0</v>
      </c>
      <c r="BM59" s="456">
        <v>0.0</v>
      </c>
      <c r="BN59" s="456">
        <v>0.0</v>
      </c>
      <c r="BO59" s="456">
        <v>0.0</v>
      </c>
      <c r="BP59" s="456">
        <v>0.0</v>
      </c>
      <c r="BQ59" s="456">
        <v>0.0</v>
      </c>
      <c r="BR59" s="456">
        <v>0.0</v>
      </c>
      <c r="BS59" s="90">
        <v>0.0</v>
      </c>
      <c r="BT59" s="90"/>
    </row>
    <row r="60" ht="15.75" customHeight="1">
      <c r="A60" s="444" t="s">
        <v>98</v>
      </c>
      <c r="B60" s="445" t="s">
        <v>3688</v>
      </c>
      <c r="C60" s="468" t="s">
        <v>3689</v>
      </c>
      <c r="D60" s="446">
        <v>2588890.0</v>
      </c>
      <c r="E60" s="449" t="s">
        <v>669</v>
      </c>
      <c r="F60" s="507" t="s">
        <v>199</v>
      </c>
      <c r="G60" s="507" t="s">
        <v>669</v>
      </c>
      <c r="H60" s="507" t="str">
        <f>IFERROR(VLOOKUP(G60,'Cadastro de assessores'!A:B,2,FALSE),"Não Cadastrado")</f>
        <v>18986</v>
      </c>
      <c r="I60" s="507"/>
      <c r="J60" s="49" t="s">
        <v>224</v>
      </c>
      <c r="K60" s="449" t="s">
        <v>2340</v>
      </c>
      <c r="L60" s="460">
        <v>44390.0</v>
      </c>
      <c r="M60" s="460">
        <v>44390.0</v>
      </c>
      <c r="N60" s="459">
        <v>44524.0</v>
      </c>
      <c r="O60" s="449" t="s">
        <v>2341</v>
      </c>
      <c r="P60" s="452">
        <v>0.015</v>
      </c>
      <c r="Q60" s="461" t="s">
        <v>3691</v>
      </c>
      <c r="R60" s="453"/>
      <c r="S60" s="449" t="str">
        <f t="shared" si="8"/>
        <v>Não Qualificado</v>
      </c>
      <c r="T60" s="449" t="s">
        <v>194</v>
      </c>
      <c r="U60" s="446" t="s">
        <v>3692</v>
      </c>
      <c r="V60" s="446" t="s">
        <v>3693</v>
      </c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5"/>
      <c r="AJ60" s="456"/>
      <c r="AK60" s="456"/>
      <c r="AL60" s="456"/>
      <c r="AM60" s="456"/>
      <c r="AN60" s="456"/>
      <c r="AO60" s="456"/>
      <c r="AP60" s="456"/>
      <c r="AQ60" s="456"/>
      <c r="AR60" s="454"/>
      <c r="AS60" s="456">
        <v>106011.83</v>
      </c>
      <c r="AT60" s="456">
        <v>102334.76</v>
      </c>
      <c r="AU60" s="456">
        <v>101319.29</v>
      </c>
      <c r="AV60" s="456">
        <v>99354.17</v>
      </c>
      <c r="AW60" s="456">
        <v>97509.26</v>
      </c>
      <c r="AX60" s="456">
        <v>97806.26</v>
      </c>
      <c r="AY60" s="456"/>
      <c r="AZ60" s="456"/>
      <c r="BA60" s="456">
        <v>0.0</v>
      </c>
      <c r="BB60" s="456">
        <v>0.0</v>
      </c>
      <c r="BC60" s="456">
        <v>191013.63</v>
      </c>
      <c r="BD60" s="456" t="s">
        <v>377</v>
      </c>
      <c r="BE60" s="456" t="s">
        <v>377</v>
      </c>
      <c r="BF60" s="456">
        <v>0.0</v>
      </c>
      <c r="BG60" s="456">
        <v>0.0</v>
      </c>
      <c r="BH60" s="456">
        <v>0.0</v>
      </c>
      <c r="BI60" s="456">
        <v>0.0</v>
      </c>
      <c r="BJ60" s="456">
        <v>0.0</v>
      </c>
      <c r="BK60" s="456">
        <v>0.0</v>
      </c>
      <c r="BL60" s="456">
        <v>0.0</v>
      </c>
      <c r="BM60" s="456">
        <v>0.0</v>
      </c>
      <c r="BN60" s="456">
        <v>0.0</v>
      </c>
      <c r="BO60" s="456">
        <v>0.0</v>
      </c>
      <c r="BP60" s="456">
        <v>0.0</v>
      </c>
      <c r="BQ60" s="456">
        <v>0.0</v>
      </c>
      <c r="BR60" s="456">
        <v>0.0</v>
      </c>
      <c r="BS60" s="90" t="s">
        <v>268</v>
      </c>
      <c r="BT60" s="90"/>
    </row>
    <row r="61" ht="15.75" customHeight="1">
      <c r="A61" s="444" t="s">
        <v>98</v>
      </c>
      <c r="B61" s="445" t="s">
        <v>3698</v>
      </c>
      <c r="C61" s="468" t="s">
        <v>3699</v>
      </c>
      <c r="D61" s="446">
        <v>4742962.0</v>
      </c>
      <c r="E61" s="449" t="s">
        <v>120</v>
      </c>
      <c r="F61" s="507" t="s">
        <v>54</v>
      </c>
      <c r="G61" s="507" t="s">
        <v>379</v>
      </c>
      <c r="H61" s="507" t="str">
        <f>IFERROR(VLOOKUP(G61,'Cadastro de assessores'!A:B,2,FALSE),"Não Cadastrado")</f>
        <v>18009</v>
      </c>
      <c r="I61" s="507"/>
      <c r="J61" s="49" t="s">
        <v>224</v>
      </c>
      <c r="K61" s="449" t="s">
        <v>2340</v>
      </c>
      <c r="L61" s="460">
        <v>44204.0</v>
      </c>
      <c r="M61" s="460">
        <v>44204.0</v>
      </c>
      <c r="N61" s="460">
        <v>44657.0</v>
      </c>
      <c r="O61" s="449" t="s">
        <v>3701</v>
      </c>
      <c r="P61" s="452">
        <v>0.02</v>
      </c>
      <c r="Q61" s="461" t="s">
        <v>3659</v>
      </c>
      <c r="R61" s="453"/>
      <c r="S61" s="449" t="str">
        <f t="shared" si="8"/>
        <v>Não Qualificado</v>
      </c>
      <c r="T61" s="449" t="s">
        <v>194</v>
      </c>
      <c r="U61" s="449" t="s">
        <v>2475</v>
      </c>
      <c r="V61" s="449" t="s">
        <v>618</v>
      </c>
      <c r="W61" s="455"/>
      <c r="X61" s="455"/>
      <c r="Y61" s="455"/>
      <c r="Z61" s="455"/>
      <c r="AA61" s="455"/>
      <c r="AB61" s="455"/>
      <c r="AC61" s="455"/>
      <c r="AD61" s="455"/>
      <c r="AE61" s="455"/>
      <c r="AF61" s="455"/>
      <c r="AG61" s="455"/>
      <c r="AH61" s="455"/>
      <c r="AI61" s="455"/>
      <c r="AJ61" s="455"/>
      <c r="AK61" s="456"/>
      <c r="AL61" s="456">
        <v>434726.01</v>
      </c>
      <c r="AM61" s="456">
        <v>418475.72</v>
      </c>
      <c r="AN61" s="456">
        <v>417618.83</v>
      </c>
      <c r="AO61" s="456">
        <v>436143.66</v>
      </c>
      <c r="AP61" s="456">
        <v>439786.4</v>
      </c>
      <c r="AQ61" s="456">
        <v>437059.42</v>
      </c>
      <c r="AR61" s="456">
        <v>452443.61</v>
      </c>
      <c r="AS61" s="456">
        <v>446471.15</v>
      </c>
      <c r="AT61" s="456">
        <v>431450.69</v>
      </c>
      <c r="AU61" s="456">
        <v>425085.63</v>
      </c>
      <c r="AV61" s="456">
        <v>271862.24</v>
      </c>
      <c r="AW61" s="456">
        <v>251776.23</v>
      </c>
      <c r="AX61" s="456">
        <v>133073.58</v>
      </c>
      <c r="AY61" s="456">
        <v>135555.2</v>
      </c>
      <c r="AZ61" s="456">
        <v>1919.43</v>
      </c>
      <c r="BA61" s="456">
        <v>1927.67</v>
      </c>
      <c r="BB61" s="456">
        <v>1939.39</v>
      </c>
      <c r="BC61" s="456">
        <v>131733.32</v>
      </c>
      <c r="BD61" s="456" t="s">
        <v>377</v>
      </c>
      <c r="BE61" s="456" t="s">
        <v>377</v>
      </c>
      <c r="BF61" s="456">
        <v>0.0</v>
      </c>
      <c r="BG61" s="456">
        <v>0.0</v>
      </c>
      <c r="BH61" s="456">
        <v>0.0</v>
      </c>
      <c r="BI61" s="456">
        <v>0.0</v>
      </c>
      <c r="BJ61" s="456">
        <v>0.0</v>
      </c>
      <c r="BK61" s="456">
        <v>0.0</v>
      </c>
      <c r="BL61" s="456">
        <v>0.0</v>
      </c>
      <c r="BM61" s="456">
        <v>0.0</v>
      </c>
      <c r="BN61" s="456">
        <v>0.0</v>
      </c>
      <c r="BO61" s="456">
        <v>0.0</v>
      </c>
      <c r="BP61" s="456">
        <v>0.0</v>
      </c>
      <c r="BQ61" s="456">
        <v>0.0</v>
      </c>
      <c r="BR61" s="456">
        <v>0.0</v>
      </c>
      <c r="BS61" s="90" t="s">
        <v>268</v>
      </c>
      <c r="BT61" s="90"/>
    </row>
    <row r="62" ht="15.75" customHeight="1">
      <c r="A62" s="444" t="s">
        <v>98</v>
      </c>
      <c r="B62" s="445" t="s">
        <v>3698</v>
      </c>
      <c r="C62" s="468" t="s">
        <v>3699</v>
      </c>
      <c r="D62" s="446">
        <v>3556718.0</v>
      </c>
      <c r="E62" s="449" t="s">
        <v>120</v>
      </c>
      <c r="F62" s="507" t="s">
        <v>54</v>
      </c>
      <c r="G62" s="507" t="s">
        <v>379</v>
      </c>
      <c r="H62" s="507" t="str">
        <f>IFERROR(VLOOKUP(G62,'Cadastro de assessores'!A:B,2,FALSE),"Não Cadastrado")</f>
        <v>18009</v>
      </c>
      <c r="I62" s="507"/>
      <c r="J62" s="49" t="s">
        <v>224</v>
      </c>
      <c r="K62" s="449" t="s">
        <v>2340</v>
      </c>
      <c r="L62" s="460">
        <v>44426.0</v>
      </c>
      <c r="M62" s="460">
        <v>44426.0</v>
      </c>
      <c r="N62" s="460">
        <v>44657.0</v>
      </c>
      <c r="O62" s="449" t="s">
        <v>3706</v>
      </c>
      <c r="P62" s="452">
        <v>0.008</v>
      </c>
      <c r="Q62" s="461" t="s">
        <v>3659</v>
      </c>
      <c r="R62" s="453"/>
      <c r="S62" s="449" t="str">
        <f t="shared" si="8"/>
        <v>Não Qualificado</v>
      </c>
      <c r="T62" s="449" t="s">
        <v>194</v>
      </c>
      <c r="U62" s="449" t="s">
        <v>2475</v>
      </c>
      <c r="V62" s="449" t="s">
        <v>618</v>
      </c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5"/>
      <c r="AI62" s="455"/>
      <c r="AJ62" s="456"/>
      <c r="AK62" s="456"/>
      <c r="AL62" s="456"/>
      <c r="AM62" s="456"/>
      <c r="AN62" s="456"/>
      <c r="AO62" s="456"/>
      <c r="AP62" s="456"/>
      <c r="AQ62" s="456"/>
      <c r="AR62" s="456"/>
      <c r="AS62" s="538"/>
      <c r="AT62" s="481"/>
      <c r="AU62" s="481">
        <v>60288.99</v>
      </c>
      <c r="AV62" s="456">
        <v>2904051.38</v>
      </c>
      <c r="AW62" s="456">
        <v>2792162.39</v>
      </c>
      <c r="AX62" s="456">
        <v>2836438.21</v>
      </c>
      <c r="AY62" s="456">
        <v>2844691.05</v>
      </c>
      <c r="AZ62" s="456">
        <v>2864328.68</v>
      </c>
      <c r="BA62" s="456">
        <v>2882375.23</v>
      </c>
      <c r="BB62" s="456">
        <v>2961585.95</v>
      </c>
      <c r="BC62" s="456">
        <v>563979.42</v>
      </c>
      <c r="BD62" s="456" t="s">
        <v>377</v>
      </c>
      <c r="BE62" s="456" t="s">
        <v>377</v>
      </c>
      <c r="BF62" s="456">
        <v>0.0</v>
      </c>
      <c r="BG62" s="456">
        <v>0.0</v>
      </c>
      <c r="BH62" s="456">
        <v>0.0</v>
      </c>
      <c r="BI62" s="456">
        <v>0.0</v>
      </c>
      <c r="BJ62" s="456">
        <v>0.0</v>
      </c>
      <c r="BK62" s="456">
        <v>0.0</v>
      </c>
      <c r="BL62" s="456">
        <v>0.0</v>
      </c>
      <c r="BM62" s="456">
        <v>0.0</v>
      </c>
      <c r="BN62" s="456">
        <v>0.0</v>
      </c>
      <c r="BO62" s="456">
        <v>0.0</v>
      </c>
      <c r="BP62" s="456">
        <v>0.0</v>
      </c>
      <c r="BQ62" s="456">
        <v>0.0</v>
      </c>
      <c r="BR62" s="456">
        <v>0.0</v>
      </c>
      <c r="BS62" s="90" t="s">
        <v>268</v>
      </c>
      <c r="BT62" s="90"/>
    </row>
    <row r="63" ht="15.75" customHeight="1">
      <c r="A63" s="444" t="s">
        <v>98</v>
      </c>
      <c r="B63" s="445" t="s">
        <v>3215</v>
      </c>
      <c r="C63" s="506" t="s">
        <v>3200</v>
      </c>
      <c r="D63" s="446">
        <v>43315.0</v>
      </c>
      <c r="E63" s="448" t="s">
        <v>120</v>
      </c>
      <c r="F63" s="448" t="s">
        <v>91</v>
      </c>
      <c r="G63" s="448" t="s">
        <v>193</v>
      </c>
      <c r="H63" s="490" t="str">
        <f>IFERROR(VLOOKUP(G63,'Cadastro de assessores'!A:B,2,FALSE),"Não Cadastrado")</f>
        <v>28411</v>
      </c>
      <c r="I63" s="490"/>
      <c r="J63" s="49" t="s">
        <v>2318</v>
      </c>
      <c r="K63" s="447" t="s">
        <v>183</v>
      </c>
      <c r="L63" s="450">
        <v>44564.0</v>
      </c>
      <c r="M63" s="450">
        <v>44586.0</v>
      </c>
      <c r="N63" s="446"/>
      <c r="O63" s="446" t="s">
        <v>2356</v>
      </c>
      <c r="P63" s="452">
        <v>0.012</v>
      </c>
      <c r="Q63" s="461" t="s">
        <v>3711</v>
      </c>
      <c r="R63" s="453"/>
      <c r="S63" s="449" t="str">
        <f t="shared" si="8"/>
        <v/>
      </c>
      <c r="T63" s="449" t="s">
        <v>194</v>
      </c>
      <c r="U63" s="449" t="s">
        <v>3712</v>
      </c>
      <c r="V63" s="449" t="s">
        <v>221</v>
      </c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5"/>
      <c r="AJ63" s="456"/>
      <c r="AK63" s="456"/>
      <c r="AL63" s="456"/>
      <c r="AM63" s="456"/>
      <c r="AN63" s="456"/>
      <c r="AO63" s="456"/>
      <c r="AP63" s="456"/>
      <c r="AQ63" s="456"/>
      <c r="AR63" s="456"/>
      <c r="AS63" s="456"/>
      <c r="AT63" s="456"/>
      <c r="AU63" s="456"/>
      <c r="AV63" s="456"/>
      <c r="AW63" s="456"/>
      <c r="AX63" s="456"/>
      <c r="AY63" s="454"/>
      <c r="AZ63" s="455"/>
      <c r="BA63" s="455">
        <v>97879.36</v>
      </c>
      <c r="BB63" s="455">
        <v>95156.47</v>
      </c>
      <c r="BC63" s="455">
        <v>0.0</v>
      </c>
      <c r="BD63" s="456">
        <v>156957.35</v>
      </c>
      <c r="BE63" s="456">
        <v>158562.11</v>
      </c>
      <c r="BF63" s="456">
        <v>164970.11</v>
      </c>
      <c r="BG63" s="456">
        <v>179209.5745</v>
      </c>
      <c r="BH63" s="456">
        <v>184698.41</v>
      </c>
      <c r="BI63" s="456">
        <v>193407.34</v>
      </c>
      <c r="BJ63" s="456">
        <v>192307.34</v>
      </c>
      <c r="BK63" s="456">
        <v>166842.57</v>
      </c>
      <c r="BL63" s="456">
        <v>169422.92</v>
      </c>
      <c r="BM63" s="456">
        <v>171895.57</v>
      </c>
      <c r="BN63" s="456">
        <v>174217.07</v>
      </c>
      <c r="BO63" s="456">
        <v>176873.06</v>
      </c>
      <c r="BP63" s="456">
        <v>111695.7</v>
      </c>
      <c r="BQ63" s="456">
        <v>41482.47</v>
      </c>
      <c r="BR63" s="456">
        <v>42068.97</v>
      </c>
      <c r="BS63" s="90">
        <v>0.0</v>
      </c>
      <c r="BT63" s="90"/>
    </row>
    <row r="64" ht="15.75" customHeight="1">
      <c r="A64" s="444" t="s">
        <v>98</v>
      </c>
      <c r="B64" s="445" t="s">
        <v>3713</v>
      </c>
      <c r="C64" s="468" t="s">
        <v>3714</v>
      </c>
      <c r="D64" s="446">
        <v>3500160.0</v>
      </c>
      <c r="E64" s="447" t="s">
        <v>255</v>
      </c>
      <c r="F64" s="447" t="s">
        <v>199</v>
      </c>
      <c r="G64" s="446" t="s">
        <v>2489</v>
      </c>
      <c r="H64" s="490" t="str">
        <f>IFERROR(VLOOKUP(G64,'Cadastro de assessores'!A:B,2,FALSE),"Não Cadastrado")</f>
        <v>12624</v>
      </c>
      <c r="I64" s="490"/>
      <c r="J64" s="49" t="s">
        <v>224</v>
      </c>
      <c r="K64" s="447" t="s">
        <v>183</v>
      </c>
      <c r="L64" s="470">
        <v>44679.0</v>
      </c>
      <c r="M64" s="470">
        <v>44680.0</v>
      </c>
      <c r="N64" s="446"/>
      <c r="O64" s="446" t="s">
        <v>3716</v>
      </c>
      <c r="P64" s="452">
        <v>0.01</v>
      </c>
      <c r="Q64" s="461"/>
      <c r="R64" s="453"/>
      <c r="S64" s="449" t="str">
        <f t="shared" si="8"/>
        <v>Não Qualificado</v>
      </c>
      <c r="T64" s="449" t="s">
        <v>194</v>
      </c>
      <c r="U64" s="449"/>
      <c r="V64" s="449" t="s">
        <v>199</v>
      </c>
      <c r="W64" s="455"/>
      <c r="X64" s="455"/>
      <c r="Y64" s="455"/>
      <c r="Z64" s="455"/>
      <c r="AA64" s="455"/>
      <c r="AB64" s="455"/>
      <c r="AC64" s="455"/>
      <c r="AD64" s="455"/>
      <c r="AE64" s="455"/>
      <c r="AF64" s="455"/>
      <c r="AG64" s="455"/>
      <c r="AH64" s="455"/>
      <c r="AI64" s="455"/>
      <c r="AJ64" s="455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>
        <v>86712.35</v>
      </c>
      <c r="BD64" s="456">
        <v>551924.11</v>
      </c>
      <c r="BE64" s="456">
        <v>628893.41</v>
      </c>
      <c r="BF64" s="456">
        <v>644525.31</v>
      </c>
      <c r="BG64" s="456">
        <v>646468.5883</v>
      </c>
      <c r="BH64" s="456">
        <v>558183.69</v>
      </c>
      <c r="BI64" s="456">
        <v>564792.8</v>
      </c>
      <c r="BJ64" s="456">
        <v>566420.29</v>
      </c>
      <c r="BK64" s="456">
        <v>571031.62</v>
      </c>
      <c r="BL64" s="456">
        <v>577206.08</v>
      </c>
      <c r="BM64" s="456">
        <v>611318.23</v>
      </c>
      <c r="BN64" s="456">
        <v>617870.66</v>
      </c>
      <c r="BO64" s="456">
        <v>642670.84</v>
      </c>
      <c r="BP64" s="456">
        <v>668939.11</v>
      </c>
      <c r="BQ64" s="456">
        <v>693787.01</v>
      </c>
      <c r="BR64" s="456">
        <v>700310.25</v>
      </c>
      <c r="BS64" s="90">
        <v>937057.66</v>
      </c>
      <c r="BT64" s="90"/>
    </row>
    <row r="65" ht="15.75" customHeight="1">
      <c r="A65" s="444" t="s">
        <v>98</v>
      </c>
      <c r="B65" s="445" t="s">
        <v>3719</v>
      </c>
      <c r="C65" s="468" t="s">
        <v>3720</v>
      </c>
      <c r="D65" s="446">
        <v>4452023.0</v>
      </c>
      <c r="E65" s="447" t="s">
        <v>120</v>
      </c>
      <c r="F65" s="448" t="s">
        <v>199</v>
      </c>
      <c r="G65" s="448" t="s">
        <v>1340</v>
      </c>
      <c r="H65" s="448" t="str">
        <f>IFERROR(VLOOKUP(G65,'Cadastro de assessores'!A:B,2,FALSE),"Não Cadastrado")</f>
        <v>13444</v>
      </c>
      <c r="I65" s="448"/>
      <c r="J65" s="74" t="s">
        <v>183</v>
      </c>
      <c r="K65" s="447" t="s">
        <v>183</v>
      </c>
      <c r="L65" s="450">
        <v>44372.0</v>
      </c>
      <c r="M65" s="450">
        <v>44372.0</v>
      </c>
      <c r="N65" s="446"/>
      <c r="O65" s="446" t="s">
        <v>3721</v>
      </c>
      <c r="P65" s="452">
        <v>0.02</v>
      </c>
      <c r="Q65" s="461"/>
      <c r="R65" s="453"/>
      <c r="S65" s="449" t="str">
        <f t="shared" si="8"/>
        <v/>
      </c>
      <c r="T65" s="446" t="s">
        <v>194</v>
      </c>
      <c r="U65" s="449" t="s">
        <v>3722</v>
      </c>
      <c r="V65" s="449" t="s">
        <v>475</v>
      </c>
      <c r="W65" s="455"/>
      <c r="X65" s="455"/>
      <c r="Y65" s="455"/>
      <c r="Z65" s="455"/>
      <c r="AA65" s="455"/>
      <c r="AB65" s="455"/>
      <c r="AC65" s="455"/>
      <c r="AD65" s="455"/>
      <c r="AE65" s="455"/>
      <c r="AF65" s="455"/>
      <c r="AG65" s="455"/>
      <c r="AH65" s="455"/>
      <c r="AI65" s="455"/>
      <c r="AJ65" s="455"/>
      <c r="AK65" s="456"/>
      <c r="AL65" s="456"/>
      <c r="AM65" s="456"/>
      <c r="AN65" s="456"/>
      <c r="AO65" s="456"/>
      <c r="AP65" s="456"/>
      <c r="AQ65" s="456"/>
      <c r="AR65" s="456"/>
      <c r="AS65" s="456">
        <v>182806.02</v>
      </c>
      <c r="AT65" s="456">
        <v>171154.36</v>
      </c>
      <c r="AU65" s="456">
        <v>168038.4</v>
      </c>
      <c r="AV65" s="456">
        <v>154956.32</v>
      </c>
      <c r="AW65" s="456">
        <v>140763.67</v>
      </c>
      <c r="AX65" s="456">
        <v>128937.92</v>
      </c>
      <c r="AY65" s="456">
        <v>133320.07</v>
      </c>
      <c r="AZ65" s="456">
        <v>138203.26</v>
      </c>
      <c r="BA65" s="456">
        <v>142152.07</v>
      </c>
      <c r="BB65" s="456">
        <v>148950.83</v>
      </c>
      <c r="BC65" s="456">
        <v>0.0</v>
      </c>
      <c r="BD65" s="456">
        <v>141575.04</v>
      </c>
      <c r="BE65" s="456">
        <v>118174.81</v>
      </c>
      <c r="BF65" s="456">
        <v>127177.6</v>
      </c>
      <c r="BG65" s="456">
        <v>134964.46</v>
      </c>
      <c r="BH65" s="456">
        <v>129897.0</v>
      </c>
      <c r="BI65" s="456">
        <v>144781.6</v>
      </c>
      <c r="BJ65" s="456">
        <v>135596.28</v>
      </c>
      <c r="BK65" s="456">
        <v>132348.95</v>
      </c>
      <c r="BL65" s="456">
        <v>136152.09</v>
      </c>
      <c r="BM65" s="456">
        <v>125062.28</v>
      </c>
      <c r="BN65" s="456">
        <v>118241.11</v>
      </c>
      <c r="BO65" s="456">
        <v>116369.28</v>
      </c>
      <c r="BP65" s="456">
        <v>130009.61</v>
      </c>
      <c r="BQ65" s="456">
        <v>138819.23</v>
      </c>
      <c r="BR65" s="456">
        <v>144286.31</v>
      </c>
      <c r="BS65" s="90">
        <v>114705.59</v>
      </c>
      <c r="BT65" s="90"/>
    </row>
    <row r="66" ht="15.75" customHeight="1">
      <c r="A66" s="444" t="s">
        <v>98</v>
      </c>
      <c r="B66" s="445" t="s">
        <v>3728</v>
      </c>
      <c r="C66" s="458" t="s">
        <v>3729</v>
      </c>
      <c r="D66" s="449">
        <v>4765516.0</v>
      </c>
      <c r="E66" s="449" t="s">
        <v>255</v>
      </c>
      <c r="F66" s="449" t="s">
        <v>199</v>
      </c>
      <c r="G66" s="449" t="s">
        <v>548</v>
      </c>
      <c r="H66" s="449" t="str">
        <f>IFERROR(VLOOKUP(G66,'Cadastro de assessores'!A:B,2,FALSE),"Não Cadastrado")</f>
        <v>14574</v>
      </c>
      <c r="I66" s="449"/>
      <c r="J66" s="49" t="s">
        <v>224</v>
      </c>
      <c r="K66" s="449" t="s">
        <v>2340</v>
      </c>
      <c r="L66" s="460">
        <v>44228.0</v>
      </c>
      <c r="M66" s="460">
        <v>44228.0</v>
      </c>
      <c r="N66" s="460">
        <v>44418.0</v>
      </c>
      <c r="O66" s="449" t="s">
        <v>2319</v>
      </c>
      <c r="P66" s="452">
        <v>0.02</v>
      </c>
      <c r="Q66" s="461" t="s">
        <v>3730</v>
      </c>
      <c r="R66" s="453"/>
      <c r="S66" s="449" t="str">
        <f t="shared" si="8"/>
        <v>Não Qualificado</v>
      </c>
      <c r="T66" s="449" t="s">
        <v>194</v>
      </c>
      <c r="U66" s="449" t="s">
        <v>2374</v>
      </c>
      <c r="V66" s="449" t="s">
        <v>199</v>
      </c>
      <c r="W66" s="455"/>
      <c r="X66" s="455"/>
      <c r="Y66" s="455"/>
      <c r="Z66" s="455"/>
      <c r="AA66" s="455"/>
      <c r="AB66" s="455"/>
      <c r="AC66" s="455"/>
      <c r="AD66" s="455"/>
      <c r="AE66" s="455"/>
      <c r="AF66" s="455"/>
      <c r="AG66" s="455"/>
      <c r="AH66" s="455"/>
      <c r="AI66" s="455"/>
      <c r="AJ66" s="455"/>
      <c r="AK66" s="456"/>
      <c r="AL66" s="456"/>
      <c r="AM66" s="456">
        <v>98127.3</v>
      </c>
      <c r="AN66" s="456">
        <v>98424.99</v>
      </c>
      <c r="AO66" s="456">
        <v>102944.08</v>
      </c>
      <c r="AP66" s="456">
        <v>103795.79</v>
      </c>
      <c r="AQ66" s="456">
        <v>103154.55</v>
      </c>
      <c r="AR66" s="456">
        <v>868.66</v>
      </c>
      <c r="AS66" s="456">
        <v>531.53</v>
      </c>
      <c r="AT66" s="456">
        <v>434.96</v>
      </c>
      <c r="AU66" s="456"/>
      <c r="AV66" s="456"/>
      <c r="AW66" s="456"/>
      <c r="AX66" s="456"/>
      <c r="AY66" s="456"/>
      <c r="AZ66" s="456"/>
      <c r="BA66" s="456">
        <v>0.0</v>
      </c>
      <c r="BB66" s="456">
        <v>0.0</v>
      </c>
      <c r="BC66" s="456">
        <v>134083.35</v>
      </c>
      <c r="BD66" s="456" t="s">
        <v>377</v>
      </c>
      <c r="BE66" s="456" t="s">
        <v>377</v>
      </c>
      <c r="BF66" s="456">
        <v>0.0</v>
      </c>
      <c r="BG66" s="456">
        <v>0.0</v>
      </c>
      <c r="BH66" s="456">
        <v>0.0</v>
      </c>
      <c r="BI66" s="456">
        <v>0.0</v>
      </c>
      <c r="BJ66" s="456">
        <v>0.0</v>
      </c>
      <c r="BK66" s="456">
        <v>0.0</v>
      </c>
      <c r="BL66" s="456">
        <v>0.0</v>
      </c>
      <c r="BM66" s="456">
        <v>0.0</v>
      </c>
      <c r="BN66" s="456">
        <v>0.0</v>
      </c>
      <c r="BO66" s="456">
        <v>0.0</v>
      </c>
      <c r="BP66" s="456">
        <v>0.0</v>
      </c>
      <c r="BQ66" s="456">
        <v>0.0</v>
      </c>
      <c r="BR66" s="456">
        <v>0.0</v>
      </c>
      <c r="BS66" s="90" t="s">
        <v>268</v>
      </c>
      <c r="BT66" s="90"/>
    </row>
    <row r="67" ht="15.75" customHeight="1">
      <c r="A67" s="444" t="s">
        <v>98</v>
      </c>
      <c r="B67" s="445" t="s">
        <v>3734</v>
      </c>
      <c r="C67" s="468" t="s">
        <v>3735</v>
      </c>
      <c r="D67" s="540">
        <v>7119368.0</v>
      </c>
      <c r="E67" s="449" t="s">
        <v>120</v>
      </c>
      <c r="F67" s="507" t="s">
        <v>54</v>
      </c>
      <c r="G67" s="446" t="s">
        <v>125</v>
      </c>
      <c r="H67" s="449" t="str">
        <f>IFERROR(VLOOKUP(G67,'Cadastro de assessores'!A:B,2,FALSE),"Não Cadastrado")</f>
        <v>18890</v>
      </c>
      <c r="I67" s="449"/>
      <c r="J67" s="49" t="s">
        <v>224</v>
      </c>
      <c r="K67" s="449" t="s">
        <v>2340</v>
      </c>
      <c r="L67" s="459">
        <v>44523.0</v>
      </c>
      <c r="M67" s="459">
        <v>44523.0</v>
      </c>
      <c r="N67" s="508">
        <v>44700.0</v>
      </c>
      <c r="O67" s="446" t="s">
        <v>2356</v>
      </c>
      <c r="P67" s="452">
        <v>0.007</v>
      </c>
      <c r="Q67" s="330" t="s">
        <v>3600</v>
      </c>
      <c r="R67" s="453"/>
      <c r="S67" s="449" t="str">
        <f t="shared" si="8"/>
        <v>Não Qualificado</v>
      </c>
      <c r="T67" s="449" t="s">
        <v>194</v>
      </c>
      <c r="U67" s="449" t="s">
        <v>3587</v>
      </c>
      <c r="V67" s="507" t="s">
        <v>54</v>
      </c>
      <c r="W67" s="541"/>
      <c r="X67" s="541"/>
      <c r="Y67" s="541"/>
      <c r="Z67" s="541"/>
      <c r="AA67" s="541"/>
      <c r="AB67" s="541"/>
      <c r="AC67" s="541"/>
      <c r="AD67" s="541"/>
      <c r="AE67" s="541"/>
      <c r="AF67" s="541"/>
      <c r="AG67" s="455"/>
      <c r="AH67" s="455"/>
      <c r="AI67" s="455"/>
      <c r="AJ67" s="456"/>
      <c r="AK67" s="456"/>
      <c r="AL67" s="456"/>
      <c r="AM67" s="456"/>
      <c r="AN67" s="456"/>
      <c r="AO67" s="456"/>
      <c r="AP67" s="456"/>
      <c r="AQ67" s="456"/>
      <c r="AR67" s="456"/>
      <c r="AS67" s="456"/>
      <c r="AT67" s="456"/>
      <c r="AU67" s="456"/>
      <c r="AV67" s="456"/>
      <c r="AW67" s="541"/>
      <c r="AX67" s="542"/>
      <c r="AY67" s="542">
        <v>119386.22</v>
      </c>
      <c r="AZ67" s="456">
        <v>121994.07</v>
      </c>
      <c r="BA67" s="456">
        <v>122849.52</v>
      </c>
      <c r="BB67" s="456">
        <v>0.0</v>
      </c>
      <c r="BC67" s="456">
        <v>46556.07</v>
      </c>
      <c r="BD67" s="456" t="s">
        <v>377</v>
      </c>
      <c r="BE67" s="456" t="s">
        <v>377</v>
      </c>
      <c r="BF67" s="456">
        <v>0.0</v>
      </c>
      <c r="BG67" s="456">
        <v>0.0</v>
      </c>
      <c r="BH67" s="456">
        <v>0.0</v>
      </c>
      <c r="BI67" s="456">
        <v>0.0</v>
      </c>
      <c r="BJ67" s="456">
        <v>0.0</v>
      </c>
      <c r="BK67" s="456">
        <v>0.0</v>
      </c>
      <c r="BL67" s="456">
        <v>0.0</v>
      </c>
      <c r="BM67" s="456">
        <v>0.0</v>
      </c>
      <c r="BN67" s="456">
        <v>0.0</v>
      </c>
      <c r="BO67" s="456">
        <v>0.0</v>
      </c>
      <c r="BP67" s="456">
        <v>0.0</v>
      </c>
      <c r="BQ67" s="456">
        <v>0.0</v>
      </c>
      <c r="BR67" s="456">
        <v>0.0</v>
      </c>
      <c r="BS67" s="90" t="s">
        <v>268</v>
      </c>
      <c r="BT67" s="90"/>
    </row>
    <row r="68" ht="15.75" customHeight="1">
      <c r="A68" s="444" t="s">
        <v>98</v>
      </c>
      <c r="B68" s="445" t="s">
        <v>3734</v>
      </c>
      <c r="C68" s="468" t="s">
        <v>3735</v>
      </c>
      <c r="D68" s="446">
        <v>7207902.0</v>
      </c>
      <c r="E68" s="449" t="s">
        <v>120</v>
      </c>
      <c r="F68" s="507" t="s">
        <v>54</v>
      </c>
      <c r="G68" s="446" t="s">
        <v>125</v>
      </c>
      <c r="H68" s="449" t="str">
        <f>IFERROR(VLOOKUP(G68,'Cadastro de assessores'!A:B,2,FALSE),"Não Cadastrado")</f>
        <v>18890</v>
      </c>
      <c r="I68" s="449"/>
      <c r="J68" s="49" t="s">
        <v>224</v>
      </c>
      <c r="K68" s="449" t="s">
        <v>2340</v>
      </c>
      <c r="L68" s="459">
        <v>44523.0</v>
      </c>
      <c r="M68" s="459">
        <v>44523.0</v>
      </c>
      <c r="N68" s="508">
        <v>44700.0</v>
      </c>
      <c r="O68" s="446" t="s">
        <v>2356</v>
      </c>
      <c r="P68" s="452">
        <v>0.007</v>
      </c>
      <c r="Q68" s="330" t="s">
        <v>3600</v>
      </c>
      <c r="R68" s="453"/>
      <c r="S68" s="449" t="str">
        <f t="shared" si="8"/>
        <v>Não Qualificado</v>
      </c>
      <c r="T68" s="449" t="s">
        <v>194</v>
      </c>
      <c r="U68" s="449" t="s">
        <v>3587</v>
      </c>
      <c r="V68" s="507" t="s">
        <v>54</v>
      </c>
      <c r="W68" s="541"/>
      <c r="X68" s="541"/>
      <c r="Y68" s="541"/>
      <c r="Z68" s="541"/>
      <c r="AA68" s="541"/>
      <c r="AB68" s="541"/>
      <c r="AC68" s="541"/>
      <c r="AD68" s="541"/>
      <c r="AE68" s="541"/>
      <c r="AF68" s="541"/>
      <c r="AG68" s="455"/>
      <c r="AH68" s="455"/>
      <c r="AI68" s="455"/>
      <c r="AJ68" s="456"/>
      <c r="AK68" s="456"/>
      <c r="AL68" s="456"/>
      <c r="AM68" s="456"/>
      <c r="AN68" s="456"/>
      <c r="AO68" s="456"/>
      <c r="AP68" s="456"/>
      <c r="AQ68" s="456"/>
      <c r="AR68" s="456"/>
      <c r="AS68" s="456"/>
      <c r="AT68" s="456"/>
      <c r="AU68" s="456"/>
      <c r="AV68" s="456"/>
      <c r="AW68" s="541"/>
      <c r="AX68" s="542"/>
      <c r="AY68" s="542">
        <v>74609.09</v>
      </c>
      <c r="AZ68" s="456">
        <v>77633.97</v>
      </c>
      <c r="BA68" s="456">
        <v>78152.13</v>
      </c>
      <c r="BB68" s="456">
        <v>272.27</v>
      </c>
      <c r="BC68" s="456">
        <v>172455.66</v>
      </c>
      <c r="BD68" s="456" t="s">
        <v>377</v>
      </c>
      <c r="BE68" s="456" t="s">
        <v>377</v>
      </c>
      <c r="BF68" s="456">
        <v>0.0</v>
      </c>
      <c r="BG68" s="456">
        <v>0.0</v>
      </c>
      <c r="BH68" s="456">
        <v>0.0</v>
      </c>
      <c r="BI68" s="456">
        <v>0.0</v>
      </c>
      <c r="BJ68" s="456">
        <v>0.0</v>
      </c>
      <c r="BK68" s="456">
        <v>0.0</v>
      </c>
      <c r="BL68" s="456">
        <v>0.0</v>
      </c>
      <c r="BM68" s="456">
        <v>0.0</v>
      </c>
      <c r="BN68" s="456">
        <v>0.0</v>
      </c>
      <c r="BO68" s="456">
        <v>0.0</v>
      </c>
      <c r="BP68" s="456">
        <v>0.0</v>
      </c>
      <c r="BQ68" s="456">
        <v>0.0</v>
      </c>
      <c r="BR68" s="456">
        <v>0.0</v>
      </c>
      <c r="BS68" s="90" t="s">
        <v>268</v>
      </c>
      <c r="BT68" s="90"/>
    </row>
    <row r="69" ht="15.75" customHeight="1">
      <c r="A69" s="444" t="s">
        <v>98</v>
      </c>
      <c r="B69" s="445" t="s">
        <v>3543</v>
      </c>
      <c r="C69" s="543" t="s">
        <v>3749</v>
      </c>
      <c r="D69" s="544">
        <v>3286506.0</v>
      </c>
      <c r="E69" s="449" t="s">
        <v>120</v>
      </c>
      <c r="F69" s="449" t="s">
        <v>199</v>
      </c>
      <c r="G69" s="449" t="s">
        <v>1914</v>
      </c>
      <c r="H69" s="449"/>
      <c r="I69" s="449"/>
      <c r="J69" s="49" t="s">
        <v>2318</v>
      </c>
      <c r="K69" s="449"/>
      <c r="L69" s="459"/>
      <c r="M69" s="459">
        <v>44932.0</v>
      </c>
      <c r="N69" s="460"/>
      <c r="O69" s="449" t="s">
        <v>2341</v>
      </c>
      <c r="P69" s="452">
        <v>0.01</v>
      </c>
      <c r="Q69" s="545" t="s">
        <v>3750</v>
      </c>
      <c r="R69" s="453"/>
      <c r="S69" s="449"/>
      <c r="T69" s="449"/>
      <c r="U69" s="449"/>
      <c r="V69" s="449" t="s">
        <v>199</v>
      </c>
      <c r="W69" s="455"/>
      <c r="X69" s="455"/>
      <c r="Y69" s="455"/>
      <c r="Z69" s="455"/>
      <c r="AA69" s="455"/>
      <c r="AB69" s="455"/>
      <c r="AC69" s="455"/>
      <c r="AD69" s="455"/>
      <c r="AE69" s="455"/>
      <c r="AF69" s="455"/>
      <c r="AG69" s="455"/>
      <c r="AH69" s="455"/>
      <c r="AI69" s="455"/>
      <c r="AJ69" s="455"/>
      <c r="AK69" s="456"/>
      <c r="AL69" s="456"/>
      <c r="AM69" s="456"/>
      <c r="AN69" s="456"/>
      <c r="AO69" s="456"/>
      <c r="AP69" s="456"/>
      <c r="AQ69" s="456"/>
      <c r="AR69" s="456"/>
      <c r="AS69" s="456"/>
      <c r="AT69" s="456"/>
      <c r="AU69" s="456"/>
      <c r="AV69" s="456"/>
      <c r="AW69" s="456"/>
      <c r="AX69" s="456"/>
      <c r="AY69" s="456"/>
      <c r="AZ69" s="456"/>
      <c r="BA69" s="456"/>
      <c r="BB69" s="456"/>
      <c r="BC69" s="456"/>
      <c r="BD69" s="456"/>
      <c r="BE69" s="456"/>
      <c r="BF69" s="456"/>
      <c r="BG69" s="456"/>
      <c r="BH69" s="456"/>
      <c r="BI69" s="456"/>
      <c r="BJ69" s="456">
        <v>0.0</v>
      </c>
      <c r="BK69" s="456">
        <v>106829.09</v>
      </c>
      <c r="BL69" s="456">
        <v>101264.3</v>
      </c>
      <c r="BM69" s="456">
        <v>83344.02</v>
      </c>
      <c r="BN69" s="456">
        <v>3594.64</v>
      </c>
      <c r="BO69" s="456">
        <v>3625.08</v>
      </c>
      <c r="BP69" s="456">
        <v>0.0</v>
      </c>
      <c r="BQ69" s="456">
        <v>0.0</v>
      </c>
      <c r="BR69" s="456">
        <v>0.0</v>
      </c>
      <c r="BS69" s="90">
        <v>0.0</v>
      </c>
      <c r="BT69" s="90"/>
    </row>
    <row r="70" ht="15.75" customHeight="1">
      <c r="A70" s="444" t="s">
        <v>98</v>
      </c>
      <c r="B70" s="445" t="s">
        <v>3579</v>
      </c>
      <c r="C70" s="458" t="s">
        <v>3754</v>
      </c>
      <c r="D70" s="547">
        <v>3360893.0</v>
      </c>
      <c r="E70" s="447" t="s">
        <v>120</v>
      </c>
      <c r="F70" s="447" t="s">
        <v>54</v>
      </c>
      <c r="G70" s="447" t="s">
        <v>348</v>
      </c>
      <c r="H70" s="447">
        <f>IFERROR(VLOOKUP(G70,'Cadastro de assessores'!A:B,2,FALSE),"Não Cadastrado")</f>
        <v>12331</v>
      </c>
      <c r="I70" s="447"/>
      <c r="J70" s="49" t="s">
        <v>2318</v>
      </c>
      <c r="K70" s="447" t="s">
        <v>183</v>
      </c>
      <c r="L70" s="450">
        <v>44733.0</v>
      </c>
      <c r="M70" s="450">
        <v>44759.0</v>
      </c>
      <c r="N70" s="449"/>
      <c r="O70" s="449" t="s">
        <v>2356</v>
      </c>
      <c r="P70" s="452">
        <v>0.007</v>
      </c>
      <c r="Q70" s="461"/>
      <c r="R70" s="453"/>
      <c r="S70" s="449"/>
      <c r="T70" s="449" t="s">
        <v>194</v>
      </c>
      <c r="U70" s="449" t="s">
        <v>2438</v>
      </c>
      <c r="V70" s="449" t="s">
        <v>54</v>
      </c>
      <c r="W70" s="455"/>
      <c r="X70" s="455"/>
      <c r="Y70" s="455"/>
      <c r="Z70" s="455"/>
      <c r="AA70" s="455"/>
      <c r="AB70" s="455"/>
      <c r="AC70" s="455"/>
      <c r="AD70" s="455"/>
      <c r="AE70" s="455"/>
      <c r="AF70" s="455"/>
      <c r="AG70" s="455"/>
      <c r="AH70" s="455"/>
      <c r="AI70" s="455"/>
      <c r="AJ70" s="455"/>
      <c r="AK70" s="456"/>
      <c r="AL70" s="456"/>
      <c r="AM70" s="456"/>
      <c r="AN70" s="456"/>
      <c r="AO70" s="456"/>
      <c r="AP70" s="456"/>
      <c r="AQ70" s="456"/>
      <c r="AR70" s="456"/>
      <c r="AS70" s="456"/>
      <c r="AT70" s="456"/>
      <c r="AU70" s="456"/>
      <c r="AV70" s="456"/>
      <c r="AW70" s="456"/>
      <c r="AX70" s="456"/>
      <c r="AY70" s="456"/>
      <c r="AZ70" s="456"/>
      <c r="BA70" s="456"/>
      <c r="BB70" s="456"/>
      <c r="BC70" s="456"/>
      <c r="BD70" s="456"/>
      <c r="BE70" s="456"/>
      <c r="BF70" s="456">
        <v>69567.89</v>
      </c>
      <c r="BG70" s="456">
        <v>76389.15609</v>
      </c>
      <c r="BH70" s="456">
        <v>80467.68</v>
      </c>
      <c r="BI70" s="456">
        <v>87107.35</v>
      </c>
      <c r="BJ70" s="456">
        <v>87722.75</v>
      </c>
      <c r="BK70" s="456">
        <v>82402.94</v>
      </c>
      <c r="BL70" s="456">
        <v>83051.86</v>
      </c>
      <c r="BM70" s="456">
        <v>83632.16</v>
      </c>
      <c r="BN70" s="456">
        <v>84591.28</v>
      </c>
      <c r="BO70" s="456">
        <v>85447.09</v>
      </c>
      <c r="BP70" s="456">
        <v>86535.32</v>
      </c>
      <c r="BQ70" s="456">
        <v>0.0</v>
      </c>
      <c r="BR70" s="456">
        <v>0.0</v>
      </c>
      <c r="BS70" s="90">
        <v>0.0</v>
      </c>
      <c r="BT70" s="90"/>
    </row>
    <row r="71" ht="15.75" customHeight="1">
      <c r="A71" s="444" t="s">
        <v>98</v>
      </c>
      <c r="B71" s="445" t="s">
        <v>3760</v>
      </c>
      <c r="C71" s="458" t="s">
        <v>3761</v>
      </c>
      <c r="D71" s="216">
        <v>4618682.0</v>
      </c>
      <c r="E71" s="449" t="s">
        <v>255</v>
      </c>
      <c r="F71" s="449" t="s">
        <v>199</v>
      </c>
      <c r="G71" s="449" t="s">
        <v>548</v>
      </c>
      <c r="H71" s="449" t="str">
        <f>IFERROR(VLOOKUP(G71,'Cadastro de assessores'!A:B,2,FALSE),"Não Cadastrado")</f>
        <v>14574</v>
      </c>
      <c r="I71" s="449"/>
      <c r="J71" s="49" t="s">
        <v>224</v>
      </c>
      <c r="K71" s="449" t="s">
        <v>2340</v>
      </c>
      <c r="L71" s="459">
        <v>44160.0</v>
      </c>
      <c r="M71" s="459">
        <v>44160.0</v>
      </c>
      <c r="N71" s="460">
        <v>44806.0</v>
      </c>
      <c r="O71" s="449" t="s">
        <v>2341</v>
      </c>
      <c r="P71" s="452">
        <v>0.015</v>
      </c>
      <c r="Q71" s="461"/>
      <c r="R71" s="453"/>
      <c r="S71" s="449" t="str">
        <f t="shared" ref="S71:S79" si="9">IF(BC71&lt;=0,"",IF(BC71&lt;=1000000,"Não Qualificado",IF(AND(BC71&gt;1000000,BC71&lt;=10000000),"Qualificado","Profissional")))</f>
        <v>Não Qualificado</v>
      </c>
      <c r="T71" s="449" t="s">
        <v>194</v>
      </c>
      <c r="U71" s="449" t="s">
        <v>2401</v>
      </c>
      <c r="V71" s="449" t="s">
        <v>199</v>
      </c>
      <c r="W71" s="455" t="s">
        <v>2344</v>
      </c>
      <c r="X71" s="455" t="s">
        <v>2344</v>
      </c>
      <c r="Y71" s="455" t="s">
        <v>2344</v>
      </c>
      <c r="Z71" s="455" t="s">
        <v>2344</v>
      </c>
      <c r="AA71" s="455" t="s">
        <v>2344</v>
      </c>
      <c r="AB71" s="455" t="s">
        <v>2344</v>
      </c>
      <c r="AC71" s="455" t="s">
        <v>2344</v>
      </c>
      <c r="AD71" s="455" t="s">
        <v>2344</v>
      </c>
      <c r="AE71" s="455" t="s">
        <v>2344</v>
      </c>
      <c r="AF71" s="455" t="s">
        <v>2344</v>
      </c>
      <c r="AG71" s="455" t="s">
        <v>2344</v>
      </c>
      <c r="AH71" s="455" t="s">
        <v>2344</v>
      </c>
      <c r="AI71" s="455" t="s">
        <v>2344</v>
      </c>
      <c r="AJ71" s="455" t="s">
        <v>3765</v>
      </c>
      <c r="AK71" s="456">
        <v>115814.84</v>
      </c>
      <c r="AL71" s="456">
        <v>149621.17</v>
      </c>
      <c r="AM71" s="456">
        <v>144150.86</v>
      </c>
      <c r="AN71" s="456">
        <v>143839.42</v>
      </c>
      <c r="AO71" s="456">
        <v>148122.38</v>
      </c>
      <c r="AP71" s="456">
        <v>149009.2</v>
      </c>
      <c r="AQ71" s="456">
        <v>148407.48</v>
      </c>
      <c r="AR71" s="456">
        <v>67030.8</v>
      </c>
      <c r="AS71" s="456">
        <v>65661.04</v>
      </c>
      <c r="AT71" s="456">
        <v>62432.45</v>
      </c>
      <c r="AU71" s="456">
        <v>61254.4</v>
      </c>
      <c r="AV71" s="456">
        <v>58096.96</v>
      </c>
      <c r="AW71" s="456">
        <v>54197.71</v>
      </c>
      <c r="AX71" s="456">
        <v>53767.21</v>
      </c>
      <c r="AY71" s="456">
        <v>54599.46</v>
      </c>
      <c r="AZ71" s="456">
        <v>57403.82</v>
      </c>
      <c r="BA71" s="456">
        <v>58167.9</v>
      </c>
      <c r="BB71" s="456">
        <v>61253.19</v>
      </c>
      <c r="BC71" s="456">
        <v>153049.6</v>
      </c>
      <c r="BD71" s="456">
        <v>39905.31</v>
      </c>
      <c r="BE71" s="456">
        <v>39922.93</v>
      </c>
      <c r="BF71" s="456">
        <v>40534.68</v>
      </c>
      <c r="BG71" s="456">
        <v>40859.34327</v>
      </c>
      <c r="BH71" s="456">
        <v>0.0</v>
      </c>
      <c r="BI71" s="456">
        <v>0.0</v>
      </c>
      <c r="BJ71" s="456">
        <v>0.0</v>
      </c>
      <c r="BK71" s="456">
        <v>0.0</v>
      </c>
      <c r="BL71" s="456">
        <v>0.0</v>
      </c>
      <c r="BM71" s="456">
        <v>0.0</v>
      </c>
      <c r="BN71" s="456">
        <v>0.0</v>
      </c>
      <c r="BO71" s="456">
        <v>0.0</v>
      </c>
      <c r="BP71" s="456">
        <v>0.0</v>
      </c>
      <c r="BQ71" s="456">
        <v>0.0</v>
      </c>
      <c r="BR71" s="456">
        <v>0.0</v>
      </c>
      <c r="BS71" s="90" t="s">
        <v>268</v>
      </c>
      <c r="BT71" s="90"/>
    </row>
    <row r="72" ht="15.75" customHeight="1">
      <c r="A72" s="444" t="s">
        <v>98</v>
      </c>
      <c r="B72" s="445" t="s">
        <v>3771</v>
      </c>
      <c r="C72" s="458" t="s">
        <v>3772</v>
      </c>
      <c r="D72" s="447">
        <v>4805165.0</v>
      </c>
      <c r="E72" s="447" t="s">
        <v>669</v>
      </c>
      <c r="F72" s="447" t="s">
        <v>199</v>
      </c>
      <c r="G72" s="447" t="s">
        <v>669</v>
      </c>
      <c r="H72" s="447" t="str">
        <f>IFERROR(VLOOKUP(G72,'Cadastro de assessores'!A:B,2,FALSE),"Não Cadastrado")</f>
        <v>18986</v>
      </c>
      <c r="I72" s="447"/>
      <c r="J72" s="74" t="s">
        <v>183</v>
      </c>
      <c r="K72" s="447" t="s">
        <v>183</v>
      </c>
      <c r="L72" s="450">
        <v>44235.0</v>
      </c>
      <c r="M72" s="450">
        <v>44235.0</v>
      </c>
      <c r="N72" s="449"/>
      <c r="O72" s="449" t="s">
        <v>2341</v>
      </c>
      <c r="P72" s="452">
        <v>0.015</v>
      </c>
      <c r="Q72" s="461" t="s">
        <v>427</v>
      </c>
      <c r="R72" s="453" t="s">
        <v>3773</v>
      </c>
      <c r="S72" s="449" t="str">
        <f t="shared" si="9"/>
        <v/>
      </c>
      <c r="T72" s="449" t="s">
        <v>194</v>
      </c>
      <c r="U72" s="449" t="s">
        <v>2343</v>
      </c>
      <c r="V72" s="449" t="s">
        <v>199</v>
      </c>
      <c r="W72" s="455"/>
      <c r="X72" s="455"/>
      <c r="Y72" s="455"/>
      <c r="Z72" s="455"/>
      <c r="AA72" s="455"/>
      <c r="AB72" s="455"/>
      <c r="AC72" s="455"/>
      <c r="AD72" s="455"/>
      <c r="AE72" s="455"/>
      <c r="AF72" s="455"/>
      <c r="AG72" s="455"/>
      <c r="AH72" s="455"/>
      <c r="AI72" s="455"/>
      <c r="AJ72" s="455"/>
      <c r="AK72" s="456"/>
      <c r="AL72" s="456"/>
      <c r="AM72" s="456">
        <v>260900.44</v>
      </c>
      <c r="AN72" s="456">
        <v>489404.89</v>
      </c>
      <c r="AO72" s="456">
        <v>506667.73</v>
      </c>
      <c r="AP72" s="456">
        <v>509943.14</v>
      </c>
      <c r="AQ72" s="456">
        <v>507853.69</v>
      </c>
      <c r="AR72" s="456">
        <v>520688.31</v>
      </c>
      <c r="AS72" s="456">
        <v>516785.94</v>
      </c>
      <c r="AT72" s="456">
        <v>506566.99</v>
      </c>
      <c r="AU72" s="456">
        <v>348723.63</v>
      </c>
      <c r="AV72" s="456">
        <v>343566.64</v>
      </c>
      <c r="AW72" s="456">
        <v>335772.66</v>
      </c>
      <c r="AX72" s="456">
        <v>336100.48</v>
      </c>
      <c r="AY72" s="456">
        <v>136682.1</v>
      </c>
      <c r="AZ72" s="456">
        <v>142897.65</v>
      </c>
      <c r="BA72" s="456">
        <v>144696.78</v>
      </c>
      <c r="BB72" s="456">
        <v>152218.68</v>
      </c>
      <c r="BC72" s="456">
        <v>-254.98</v>
      </c>
      <c r="BD72" s="456">
        <v>147952.77</v>
      </c>
      <c r="BE72" s="456">
        <v>146014.16</v>
      </c>
      <c r="BF72" s="456">
        <v>1935.9</v>
      </c>
      <c r="BG72" s="456">
        <v>2069.36</v>
      </c>
      <c r="BH72" s="456">
        <v>2082.4</v>
      </c>
      <c r="BI72" s="456">
        <v>2096.32</v>
      </c>
      <c r="BJ72" s="456">
        <v>2110.08</v>
      </c>
      <c r="BK72" s="456">
        <v>2122.66</v>
      </c>
      <c r="BL72" s="456">
        <v>2451.18</v>
      </c>
      <c r="BM72" s="456">
        <v>2463.88</v>
      </c>
      <c r="BN72" s="456">
        <v>2481.85</v>
      </c>
      <c r="BO72" s="456">
        <v>2502.15</v>
      </c>
      <c r="BP72" s="456">
        <v>2501.39</v>
      </c>
      <c r="BQ72" s="456">
        <v>2517.66</v>
      </c>
      <c r="BR72" s="456">
        <v>2541.29</v>
      </c>
      <c r="BS72" s="90">
        <v>2582.01</v>
      </c>
      <c r="BT72" s="90"/>
    </row>
    <row r="73" ht="15.75" customHeight="1">
      <c r="A73" s="444" t="s">
        <v>98</v>
      </c>
      <c r="B73" s="445" t="s">
        <v>3631</v>
      </c>
      <c r="C73" s="468" t="s">
        <v>3779</v>
      </c>
      <c r="D73" s="448">
        <v>6480340.0</v>
      </c>
      <c r="E73" s="447" t="s">
        <v>120</v>
      </c>
      <c r="F73" s="448" t="s">
        <v>54</v>
      </c>
      <c r="G73" s="490" t="s">
        <v>379</v>
      </c>
      <c r="H73" s="490" t="str">
        <f>IFERROR(VLOOKUP(G73,'Cadastro de assessores'!A:B,2,FALSE),"Não Cadastrado")</f>
        <v>18009</v>
      </c>
      <c r="I73" s="490"/>
      <c r="J73" s="49" t="s">
        <v>2318</v>
      </c>
      <c r="K73" s="447" t="s">
        <v>183</v>
      </c>
      <c r="L73" s="450">
        <v>44439.0</v>
      </c>
      <c r="M73" s="450">
        <v>44447.0</v>
      </c>
      <c r="N73" s="490"/>
      <c r="O73" s="490" t="s">
        <v>2365</v>
      </c>
      <c r="P73" s="452">
        <v>0.012</v>
      </c>
      <c r="Q73" s="330"/>
      <c r="R73" s="453"/>
      <c r="S73" s="449" t="str">
        <f t="shared" si="9"/>
        <v>Não Qualificado</v>
      </c>
      <c r="T73" s="449" t="s">
        <v>194</v>
      </c>
      <c r="U73" s="449" t="s">
        <v>3587</v>
      </c>
      <c r="V73" s="446" t="s">
        <v>54</v>
      </c>
      <c r="W73" s="454"/>
      <c r="X73" s="454"/>
      <c r="Y73" s="454"/>
      <c r="Z73" s="454"/>
      <c r="AA73" s="454"/>
      <c r="AB73" s="454"/>
      <c r="AC73" s="454"/>
      <c r="AD73" s="454"/>
      <c r="AE73" s="454"/>
      <c r="AF73" s="454"/>
      <c r="AG73" s="454"/>
      <c r="AH73" s="455"/>
      <c r="AI73" s="455"/>
      <c r="AJ73" s="456"/>
      <c r="AK73" s="456"/>
      <c r="AL73" s="456"/>
      <c r="AM73" s="456"/>
      <c r="AN73" s="456"/>
      <c r="AO73" s="456"/>
      <c r="AP73" s="456"/>
      <c r="AQ73" s="456"/>
      <c r="AR73" s="456"/>
      <c r="AS73" s="538"/>
      <c r="AT73" s="481"/>
      <c r="AU73" s="481"/>
      <c r="AV73" s="456">
        <v>300221.63</v>
      </c>
      <c r="AW73" s="456">
        <v>296887.29</v>
      </c>
      <c r="AX73" s="456">
        <v>298045.15</v>
      </c>
      <c r="AY73" s="456">
        <v>300745.55</v>
      </c>
      <c r="AZ73" s="456">
        <v>305448.12</v>
      </c>
      <c r="BA73" s="456">
        <v>307697.7</v>
      </c>
      <c r="BB73" s="456">
        <v>313605.84</v>
      </c>
      <c r="BC73" s="456">
        <v>804678.88</v>
      </c>
      <c r="BD73" s="456">
        <v>314546.34</v>
      </c>
      <c r="BE73" s="456">
        <v>315227.88</v>
      </c>
      <c r="BF73" s="456">
        <v>318648.9</v>
      </c>
      <c r="BG73" s="456">
        <v>320787.9187</v>
      </c>
      <c r="BH73" s="456">
        <v>322650.32</v>
      </c>
      <c r="BI73" s="456">
        <v>328211.5</v>
      </c>
      <c r="BJ73" s="456">
        <v>328810.22</v>
      </c>
      <c r="BK73" s="456">
        <v>331150.08</v>
      </c>
      <c r="BL73" s="456">
        <v>5.47</v>
      </c>
      <c r="BM73" s="456">
        <v>18.74</v>
      </c>
      <c r="BN73" s="456">
        <v>18.75</v>
      </c>
      <c r="BO73" s="456">
        <v>18.75</v>
      </c>
      <c r="BP73" s="456">
        <v>18.75</v>
      </c>
      <c r="BQ73" s="456">
        <v>18.75</v>
      </c>
      <c r="BR73" s="456">
        <v>18.75</v>
      </c>
      <c r="BS73" s="90">
        <v>0.0</v>
      </c>
      <c r="BT73" s="90"/>
    </row>
    <row r="74" ht="15.75" customHeight="1">
      <c r="A74" s="444" t="s">
        <v>98</v>
      </c>
      <c r="B74" s="445" t="s">
        <v>3783</v>
      </c>
      <c r="C74" s="458" t="s">
        <v>3784</v>
      </c>
      <c r="D74" s="449">
        <v>260123.0</v>
      </c>
      <c r="E74" s="447" t="s">
        <v>1096</v>
      </c>
      <c r="F74" s="447" t="s">
        <v>199</v>
      </c>
      <c r="G74" s="447" t="s">
        <v>1096</v>
      </c>
      <c r="H74" s="447" t="str">
        <f>IFERROR(VLOOKUP(G74,'Cadastro de assessores'!A:B,2,FALSE),"Não Cadastrado")</f>
        <v>22400</v>
      </c>
      <c r="I74" s="447"/>
      <c r="J74" s="49" t="s">
        <v>2318</v>
      </c>
      <c r="K74" s="449" t="s">
        <v>295</v>
      </c>
      <c r="L74" s="449" t="s">
        <v>3320</v>
      </c>
      <c r="M74" s="548" t="s">
        <v>584</v>
      </c>
      <c r="N74" s="449"/>
      <c r="O74" s="449" t="s">
        <v>3721</v>
      </c>
      <c r="P74" s="452">
        <v>0.025</v>
      </c>
      <c r="Q74" s="461"/>
      <c r="R74" s="453"/>
      <c r="S74" s="449" t="str">
        <f t="shared" si="9"/>
        <v>Não Qualificado</v>
      </c>
      <c r="T74" s="449" t="s">
        <v>194</v>
      </c>
      <c r="U74" s="449" t="s">
        <v>2343</v>
      </c>
      <c r="V74" s="449" t="s">
        <v>199</v>
      </c>
      <c r="W74" s="455" t="s">
        <v>2344</v>
      </c>
      <c r="X74" s="455" t="s">
        <v>2344</v>
      </c>
      <c r="Y74" s="455" t="s">
        <v>2344</v>
      </c>
      <c r="Z74" s="455" t="s">
        <v>2344</v>
      </c>
      <c r="AA74" s="455" t="s">
        <v>2344</v>
      </c>
      <c r="AB74" s="455" t="s">
        <v>2344</v>
      </c>
      <c r="AC74" s="455" t="s">
        <v>2344</v>
      </c>
      <c r="AD74" s="455" t="s">
        <v>2344</v>
      </c>
      <c r="AE74" s="455" t="s">
        <v>2344</v>
      </c>
      <c r="AF74" s="455" t="s">
        <v>2344</v>
      </c>
      <c r="AG74" s="455" t="s">
        <v>2344</v>
      </c>
      <c r="AH74" s="455"/>
      <c r="AI74" s="455" t="s">
        <v>2344</v>
      </c>
      <c r="AJ74" s="455" t="s">
        <v>2344</v>
      </c>
      <c r="AK74" s="456" t="s">
        <v>3320</v>
      </c>
      <c r="AL74" s="456"/>
      <c r="AM74" s="456" t="s">
        <v>3320</v>
      </c>
      <c r="AN74" s="456" t="s">
        <v>3320</v>
      </c>
      <c r="AO74" s="456"/>
      <c r="AP74" s="456"/>
      <c r="AQ74" s="456"/>
      <c r="AR74" s="456"/>
      <c r="AS74" s="456"/>
      <c r="AT74" s="456"/>
      <c r="AU74" s="456"/>
      <c r="AV74" s="456"/>
      <c r="AW74" s="456"/>
      <c r="AX74" s="456"/>
      <c r="AY74" s="456"/>
      <c r="AZ74" s="456"/>
      <c r="BA74" s="456">
        <v>0.0</v>
      </c>
      <c r="BB74" s="456">
        <v>0.0</v>
      </c>
      <c r="BC74" s="456">
        <v>191727.95</v>
      </c>
      <c r="BD74" s="456" t="s">
        <v>377</v>
      </c>
      <c r="BE74" s="456" t="s">
        <v>377</v>
      </c>
      <c r="BF74" s="456">
        <v>0.0</v>
      </c>
      <c r="BG74" s="456">
        <v>0.0</v>
      </c>
      <c r="BH74" s="456">
        <v>0.0</v>
      </c>
      <c r="BI74" s="456">
        <v>0.0</v>
      </c>
      <c r="BJ74" s="456">
        <v>0.0</v>
      </c>
      <c r="BK74" s="456">
        <v>0.0</v>
      </c>
      <c r="BL74" s="456">
        <v>0.0</v>
      </c>
      <c r="BM74" s="456">
        <v>0.0</v>
      </c>
      <c r="BN74" s="456">
        <v>0.0</v>
      </c>
      <c r="BO74" s="456">
        <v>0.0</v>
      </c>
      <c r="BP74" s="456">
        <v>0.0</v>
      </c>
      <c r="BQ74" s="456">
        <v>0.0</v>
      </c>
      <c r="BR74" s="456">
        <v>0.0</v>
      </c>
      <c r="BS74" s="90">
        <v>0.0</v>
      </c>
      <c r="BT74" s="90"/>
    </row>
    <row r="75" ht="15.75" customHeight="1">
      <c r="A75" s="444" t="s">
        <v>98</v>
      </c>
      <c r="B75" s="445" t="s">
        <v>3789</v>
      </c>
      <c r="C75" s="458" t="s">
        <v>3790</v>
      </c>
      <c r="D75" s="449">
        <v>4522420.0</v>
      </c>
      <c r="E75" s="449" t="s">
        <v>120</v>
      </c>
      <c r="F75" s="449" t="s">
        <v>199</v>
      </c>
      <c r="G75" s="449" t="s">
        <v>2339</v>
      </c>
      <c r="H75" s="449" t="str">
        <f>IFERROR(VLOOKUP(G75,'Cadastro de assessores'!A:B,2,FALSE),"Não Cadastrado")</f>
        <v>17679</v>
      </c>
      <c r="I75" s="449"/>
      <c r="J75" s="49" t="s">
        <v>224</v>
      </c>
      <c r="K75" s="449" t="s">
        <v>2340</v>
      </c>
      <c r="L75" s="460">
        <v>44141.0</v>
      </c>
      <c r="M75" s="460">
        <v>44141.0</v>
      </c>
      <c r="N75" s="460">
        <v>44412.0</v>
      </c>
      <c r="O75" s="449" t="s">
        <v>2341</v>
      </c>
      <c r="P75" s="452">
        <v>0.015</v>
      </c>
      <c r="Q75" s="461" t="s">
        <v>3795</v>
      </c>
      <c r="R75" s="453"/>
      <c r="S75" s="449" t="str">
        <f t="shared" si="9"/>
        <v>Não Qualificado</v>
      </c>
      <c r="T75" s="449" t="s">
        <v>194</v>
      </c>
      <c r="U75" s="449" t="s">
        <v>3796</v>
      </c>
      <c r="V75" s="449" t="s">
        <v>28</v>
      </c>
      <c r="W75" s="455" t="s">
        <v>2344</v>
      </c>
      <c r="X75" s="455" t="s">
        <v>2344</v>
      </c>
      <c r="Y75" s="455" t="s">
        <v>2344</v>
      </c>
      <c r="Z75" s="455" t="s">
        <v>2344</v>
      </c>
      <c r="AA75" s="455" t="s">
        <v>2344</v>
      </c>
      <c r="AB75" s="455" t="s">
        <v>2344</v>
      </c>
      <c r="AC75" s="455" t="s">
        <v>2344</v>
      </c>
      <c r="AD75" s="455" t="s">
        <v>2344</v>
      </c>
      <c r="AE75" s="455" t="s">
        <v>2344</v>
      </c>
      <c r="AF75" s="455" t="s">
        <v>2344</v>
      </c>
      <c r="AG75" s="455" t="s">
        <v>2344</v>
      </c>
      <c r="AH75" s="455" t="s">
        <v>2344</v>
      </c>
      <c r="AI75" s="455" t="s">
        <v>2344</v>
      </c>
      <c r="AJ75" s="455" t="s">
        <v>3797</v>
      </c>
      <c r="AK75" s="456">
        <v>321829.32</v>
      </c>
      <c r="AL75" s="456">
        <v>317353.39</v>
      </c>
      <c r="AM75" s="456">
        <v>306672.86</v>
      </c>
      <c r="AN75" s="456">
        <v>306017.6</v>
      </c>
      <c r="AO75" s="456">
        <v>316312.3</v>
      </c>
      <c r="AP75" s="456">
        <v>318269.04</v>
      </c>
      <c r="AQ75" s="456">
        <v>316831.77</v>
      </c>
      <c r="AR75" s="456">
        <v>324552.59</v>
      </c>
      <c r="AS75" s="456">
        <v>321897.48</v>
      </c>
      <c r="AT75" s="456">
        <v>315429.71</v>
      </c>
      <c r="AU75" s="456"/>
      <c r="AV75" s="456"/>
      <c r="AW75" s="456"/>
      <c r="AX75" s="456"/>
      <c r="AY75" s="456"/>
      <c r="AZ75" s="456"/>
      <c r="BA75" s="456">
        <v>0.0</v>
      </c>
      <c r="BB75" s="456">
        <v>0.0</v>
      </c>
      <c r="BC75" s="456">
        <v>562933.26</v>
      </c>
      <c r="BD75" s="456" t="s">
        <v>377</v>
      </c>
      <c r="BE75" s="456" t="s">
        <v>377</v>
      </c>
      <c r="BF75" s="456">
        <v>0.0</v>
      </c>
      <c r="BG75" s="456">
        <v>0.0</v>
      </c>
      <c r="BH75" s="456">
        <v>0.0</v>
      </c>
      <c r="BI75" s="456">
        <v>0.0</v>
      </c>
      <c r="BJ75" s="456">
        <v>0.0</v>
      </c>
      <c r="BK75" s="456">
        <v>0.0</v>
      </c>
      <c r="BL75" s="456">
        <v>0.0</v>
      </c>
      <c r="BM75" s="456">
        <v>0.0</v>
      </c>
      <c r="BN75" s="456">
        <v>0.0</v>
      </c>
      <c r="BO75" s="456">
        <v>0.0</v>
      </c>
      <c r="BP75" s="456">
        <v>0.0</v>
      </c>
      <c r="BQ75" s="456">
        <v>0.0</v>
      </c>
      <c r="BR75" s="456">
        <v>0.0</v>
      </c>
      <c r="BS75" s="90" t="s">
        <v>268</v>
      </c>
      <c r="BT75" s="90"/>
    </row>
    <row r="76" ht="15.75" customHeight="1">
      <c r="A76" s="444" t="s">
        <v>98</v>
      </c>
      <c r="B76" s="445" t="s">
        <v>3803</v>
      </c>
      <c r="C76" s="468" t="s">
        <v>3804</v>
      </c>
      <c r="D76" s="446">
        <v>6592638.0</v>
      </c>
      <c r="E76" s="447" t="s">
        <v>120</v>
      </c>
      <c r="F76" s="448" t="s">
        <v>54</v>
      </c>
      <c r="G76" s="447" t="s">
        <v>379</v>
      </c>
      <c r="H76" s="447" t="str">
        <f>IFERROR(VLOOKUP(G76,'Cadastro de assessores'!A:B,2,FALSE),"Não Cadastrado")</f>
        <v>18009</v>
      </c>
      <c r="I76" s="447"/>
      <c r="J76" s="74" t="s">
        <v>183</v>
      </c>
      <c r="K76" s="447" t="s">
        <v>183</v>
      </c>
      <c r="L76" s="450">
        <v>44456.0</v>
      </c>
      <c r="M76" s="450">
        <v>44461.0</v>
      </c>
      <c r="N76" s="446"/>
      <c r="O76" s="446" t="s">
        <v>2341</v>
      </c>
      <c r="P76" s="452">
        <v>0.015</v>
      </c>
      <c r="Q76" s="330"/>
      <c r="R76" s="453"/>
      <c r="S76" s="449" t="str">
        <f t="shared" si="9"/>
        <v>Não Qualificado</v>
      </c>
      <c r="T76" s="449" t="s">
        <v>194</v>
      </c>
      <c r="U76" s="449" t="s">
        <v>2475</v>
      </c>
      <c r="V76" s="449" t="s">
        <v>618</v>
      </c>
      <c r="W76" s="454"/>
      <c r="X76" s="454"/>
      <c r="Y76" s="454"/>
      <c r="Z76" s="454"/>
      <c r="AA76" s="454"/>
      <c r="AB76" s="454"/>
      <c r="AC76" s="454"/>
      <c r="AD76" s="454"/>
      <c r="AE76" s="454"/>
      <c r="AF76" s="454"/>
      <c r="AG76" s="455"/>
      <c r="AH76" s="455"/>
      <c r="AI76" s="455"/>
      <c r="AJ76" s="456"/>
      <c r="AK76" s="456"/>
      <c r="AL76" s="456"/>
      <c r="AM76" s="456"/>
      <c r="AN76" s="456"/>
      <c r="AO76" s="456"/>
      <c r="AP76" s="456"/>
      <c r="AQ76" s="456"/>
      <c r="AR76" s="456"/>
      <c r="AS76" s="456"/>
      <c r="AT76" s="456"/>
      <c r="AU76" s="454"/>
      <c r="AV76" s="456"/>
      <c r="AW76" s="456">
        <v>48194.79</v>
      </c>
      <c r="AX76" s="456">
        <v>48234.73</v>
      </c>
      <c r="AY76" s="456">
        <v>48661.16</v>
      </c>
      <c r="AZ76" s="456">
        <v>50237.39</v>
      </c>
      <c r="BA76" s="456">
        <v>50600.33</v>
      </c>
      <c r="BB76" s="456">
        <v>72445.06</v>
      </c>
      <c r="BC76" s="456">
        <v>99.18</v>
      </c>
      <c r="BD76" s="456">
        <v>72112.21</v>
      </c>
      <c r="BE76" s="456">
        <v>71909.08</v>
      </c>
      <c r="BF76" s="456">
        <v>73168.03</v>
      </c>
      <c r="BG76" s="456">
        <v>73727.20212</v>
      </c>
      <c r="BH76" s="456">
        <v>74142.64</v>
      </c>
      <c r="BI76" s="456">
        <v>76511.78</v>
      </c>
      <c r="BJ76" s="456">
        <v>76070.37</v>
      </c>
      <c r="BK76" s="456">
        <v>76690.18</v>
      </c>
      <c r="BL76" s="456">
        <v>77459.83</v>
      </c>
      <c r="BM76" s="456">
        <v>78050.23</v>
      </c>
      <c r="BN76" s="456">
        <v>78502.98</v>
      </c>
      <c r="BO76" s="456">
        <v>79241.63</v>
      </c>
      <c r="BP76" s="456">
        <v>80135.93</v>
      </c>
      <c r="BQ76" s="456">
        <v>80168.36</v>
      </c>
      <c r="BR76" s="456">
        <v>80748.18</v>
      </c>
      <c r="BS76" s="90">
        <v>88224.19</v>
      </c>
      <c r="BT76" s="90"/>
    </row>
    <row r="77" ht="15.75" customHeight="1">
      <c r="A77" s="444" t="s">
        <v>98</v>
      </c>
      <c r="B77" s="445" t="s">
        <v>3809</v>
      </c>
      <c r="C77" s="458" t="s">
        <v>3810</v>
      </c>
      <c r="D77" s="449">
        <v>4572882.0</v>
      </c>
      <c r="E77" s="449" t="s">
        <v>255</v>
      </c>
      <c r="F77" s="449" t="s">
        <v>199</v>
      </c>
      <c r="G77" s="449" t="s">
        <v>548</v>
      </c>
      <c r="H77" s="449" t="str">
        <f>IFERROR(VLOOKUP(G77,'Cadastro de assessores'!A:B,2,FALSE),"Não Cadastrado")</f>
        <v>14574</v>
      </c>
      <c r="I77" s="449"/>
      <c r="J77" s="49" t="s">
        <v>224</v>
      </c>
      <c r="K77" s="449" t="s">
        <v>2340</v>
      </c>
      <c r="L77" s="459">
        <v>44165.0</v>
      </c>
      <c r="M77" s="459">
        <v>44165.0</v>
      </c>
      <c r="N77" s="460">
        <v>44295.0</v>
      </c>
      <c r="O77" s="449" t="s">
        <v>2341</v>
      </c>
      <c r="P77" s="452">
        <v>0.015</v>
      </c>
      <c r="Q77" s="461" t="s">
        <v>3812</v>
      </c>
      <c r="R77" s="453"/>
      <c r="S77" s="449" t="str">
        <f t="shared" si="9"/>
        <v/>
      </c>
      <c r="T77" s="449" t="s">
        <v>194</v>
      </c>
      <c r="U77" s="449" t="s">
        <v>3350</v>
      </c>
      <c r="V77" s="449" t="s">
        <v>199</v>
      </c>
      <c r="W77" s="455" t="s">
        <v>2344</v>
      </c>
      <c r="X77" s="455" t="s">
        <v>2344</v>
      </c>
      <c r="Y77" s="455" t="s">
        <v>2344</v>
      </c>
      <c r="Z77" s="455" t="s">
        <v>2344</v>
      </c>
      <c r="AA77" s="455" t="s">
        <v>2344</v>
      </c>
      <c r="AB77" s="455" t="s">
        <v>2344</v>
      </c>
      <c r="AC77" s="455" t="s">
        <v>2344</v>
      </c>
      <c r="AD77" s="455" t="s">
        <v>2344</v>
      </c>
      <c r="AE77" s="455" t="s">
        <v>2344</v>
      </c>
      <c r="AF77" s="455" t="s">
        <v>2344</v>
      </c>
      <c r="AG77" s="455" t="s">
        <v>2344</v>
      </c>
      <c r="AH77" s="455" t="s">
        <v>2344</v>
      </c>
      <c r="AI77" s="455" t="s">
        <v>2344</v>
      </c>
      <c r="AJ77" s="455" t="s">
        <v>3816</v>
      </c>
      <c r="AK77" s="456">
        <v>306411.41</v>
      </c>
      <c r="AL77" s="456">
        <v>301078.53</v>
      </c>
      <c r="AM77" s="456">
        <v>290629.55</v>
      </c>
      <c r="AN77" s="456">
        <v>288957.39</v>
      </c>
      <c r="AO77" s="456">
        <v>298191.46</v>
      </c>
      <c r="AP77" s="456"/>
      <c r="AQ77" s="456"/>
      <c r="AR77" s="456"/>
      <c r="AS77" s="456"/>
      <c r="AT77" s="456"/>
      <c r="AU77" s="456"/>
      <c r="AV77" s="456"/>
      <c r="AW77" s="456"/>
      <c r="AX77" s="456"/>
      <c r="AY77" s="456"/>
      <c r="AZ77" s="456"/>
      <c r="BA77" s="456">
        <v>0.0</v>
      </c>
      <c r="BB77" s="456">
        <v>0.0</v>
      </c>
      <c r="BC77" s="456">
        <v>0.0</v>
      </c>
      <c r="BD77" s="456" t="s">
        <v>377</v>
      </c>
      <c r="BE77" s="456" t="s">
        <v>377</v>
      </c>
      <c r="BF77" s="456">
        <v>0.0</v>
      </c>
      <c r="BG77" s="456">
        <v>0.0</v>
      </c>
      <c r="BH77" s="456">
        <v>0.0</v>
      </c>
      <c r="BI77" s="456">
        <v>0.0</v>
      </c>
      <c r="BJ77" s="456">
        <v>0.0</v>
      </c>
      <c r="BK77" s="456">
        <v>0.0</v>
      </c>
      <c r="BL77" s="456">
        <v>0.0</v>
      </c>
      <c r="BM77" s="456">
        <v>0.0</v>
      </c>
      <c r="BN77" s="456">
        <v>0.0</v>
      </c>
      <c r="BO77" s="456">
        <v>0.0</v>
      </c>
      <c r="BP77" s="456">
        <v>0.0</v>
      </c>
      <c r="BQ77" s="456">
        <v>0.0</v>
      </c>
      <c r="BR77" s="456">
        <v>0.0</v>
      </c>
      <c r="BS77" s="90" t="s">
        <v>268</v>
      </c>
      <c r="BT77" s="90"/>
    </row>
    <row r="78" ht="15.75" customHeight="1">
      <c r="A78" s="444" t="s">
        <v>98</v>
      </c>
      <c r="B78" s="445" t="s">
        <v>3818</v>
      </c>
      <c r="C78" s="549" t="s">
        <v>3819</v>
      </c>
      <c r="D78" s="550">
        <v>5956921.0</v>
      </c>
      <c r="E78" s="447" t="s">
        <v>120</v>
      </c>
      <c r="F78" s="448" t="s">
        <v>199</v>
      </c>
      <c r="G78" s="447" t="s">
        <v>1108</v>
      </c>
      <c r="H78" s="490" t="str">
        <f>IFERROR(VLOOKUP(G78,'Cadastro de assessores'!A:B,2,FALSE),"Não Cadastrado")</f>
        <v>18836</v>
      </c>
      <c r="I78" s="490"/>
      <c r="J78" s="49" t="s">
        <v>2318</v>
      </c>
      <c r="K78" s="447" t="s">
        <v>183</v>
      </c>
      <c r="L78" s="451">
        <v>44469.0</v>
      </c>
      <c r="M78" s="451">
        <v>44482.0</v>
      </c>
      <c r="N78" s="446"/>
      <c r="O78" s="446" t="s">
        <v>2341</v>
      </c>
      <c r="P78" s="452">
        <v>0.015</v>
      </c>
      <c r="Q78" s="330"/>
      <c r="R78" s="453"/>
      <c r="S78" s="449" t="str">
        <f t="shared" si="9"/>
        <v>Não Qualificado</v>
      </c>
      <c r="T78" s="449" t="s">
        <v>194</v>
      </c>
      <c r="U78" s="449" t="s">
        <v>3820</v>
      </c>
      <c r="V78" s="449" t="s">
        <v>397</v>
      </c>
      <c r="W78" s="454"/>
      <c r="X78" s="454"/>
      <c r="Y78" s="454"/>
      <c r="Z78" s="454"/>
      <c r="AA78" s="454"/>
      <c r="AB78" s="454"/>
      <c r="AC78" s="454"/>
      <c r="AD78" s="454"/>
      <c r="AE78" s="454"/>
      <c r="AF78" s="454"/>
      <c r="AG78" s="455"/>
      <c r="AH78" s="456"/>
      <c r="AI78" s="456"/>
      <c r="AJ78" s="456"/>
      <c r="AK78" s="456"/>
      <c r="AL78" s="456"/>
      <c r="AM78" s="456"/>
      <c r="AN78" s="456"/>
      <c r="AO78" s="456"/>
      <c r="AP78" s="456"/>
      <c r="AQ78" s="538"/>
      <c r="AR78" s="481"/>
      <c r="AS78" s="481"/>
      <c r="AT78" s="456"/>
      <c r="AU78" s="454"/>
      <c r="AV78" s="456"/>
      <c r="AW78" s="456">
        <v>145454.88</v>
      </c>
      <c r="AX78" s="456">
        <v>145509.19</v>
      </c>
      <c r="AY78" s="456">
        <v>135024.78</v>
      </c>
      <c r="AZ78" s="456">
        <v>138398.3</v>
      </c>
      <c r="BA78" s="456">
        <v>139725.06</v>
      </c>
      <c r="BB78" s="456">
        <v>144268.22</v>
      </c>
      <c r="BC78" s="456">
        <v>157335.81</v>
      </c>
      <c r="BD78" s="456">
        <v>142922.06</v>
      </c>
      <c r="BE78" s="456">
        <v>142228.75</v>
      </c>
      <c r="BF78" s="456">
        <v>144449.6</v>
      </c>
      <c r="BG78" s="456">
        <v>144940.0517</v>
      </c>
      <c r="BH78" s="456">
        <v>145662.78</v>
      </c>
      <c r="BI78" s="456">
        <v>150857.12</v>
      </c>
      <c r="BJ78" s="456">
        <v>149971.68</v>
      </c>
      <c r="BK78" s="456">
        <v>150773.1</v>
      </c>
      <c r="BL78" s="456">
        <v>152593.58</v>
      </c>
      <c r="BM78" s="456">
        <v>153794.58</v>
      </c>
      <c r="BN78" s="456">
        <v>155012.5</v>
      </c>
      <c r="BO78" s="456">
        <v>156119.79</v>
      </c>
      <c r="BP78" s="456">
        <v>157843.42</v>
      </c>
      <c r="BQ78" s="456">
        <v>0.0</v>
      </c>
      <c r="BR78" s="456">
        <v>0.0</v>
      </c>
      <c r="BS78" s="90" t="s">
        <v>268</v>
      </c>
      <c r="BT78" s="90"/>
    </row>
    <row r="79" ht="15.75" customHeight="1">
      <c r="A79" s="444" t="s">
        <v>98</v>
      </c>
      <c r="B79" s="445" t="s">
        <v>3786</v>
      </c>
      <c r="C79" s="468" t="s">
        <v>3825</v>
      </c>
      <c r="D79" s="469">
        <v>6866947.0</v>
      </c>
      <c r="E79" s="447" t="s">
        <v>120</v>
      </c>
      <c r="F79" s="448" t="s">
        <v>54</v>
      </c>
      <c r="G79" s="447" t="s">
        <v>379</v>
      </c>
      <c r="H79" s="490" t="str">
        <f>IFERROR(VLOOKUP(G79,'Cadastro de assessores'!A:B,2,FALSE),"Não Cadastrado")</f>
        <v>18009</v>
      </c>
      <c r="I79" s="490"/>
      <c r="J79" s="49" t="s">
        <v>2318</v>
      </c>
      <c r="K79" s="447" t="s">
        <v>183</v>
      </c>
      <c r="L79" s="451">
        <v>44495.0</v>
      </c>
      <c r="M79" s="451">
        <v>44497.0</v>
      </c>
      <c r="N79" s="446"/>
      <c r="O79" s="446" t="s">
        <v>2365</v>
      </c>
      <c r="P79" s="452">
        <v>0.012</v>
      </c>
      <c r="Q79" s="537" t="s">
        <v>3826</v>
      </c>
      <c r="R79" s="453"/>
      <c r="S79" s="449" t="str">
        <f t="shared" si="9"/>
        <v/>
      </c>
      <c r="T79" s="449" t="s">
        <v>194</v>
      </c>
      <c r="U79" s="449" t="s">
        <v>3383</v>
      </c>
      <c r="V79" s="446" t="s">
        <v>199</v>
      </c>
      <c r="W79" s="454"/>
      <c r="X79" s="454"/>
      <c r="Y79" s="454"/>
      <c r="Z79" s="454"/>
      <c r="AA79" s="454"/>
      <c r="AB79" s="454"/>
      <c r="AC79" s="454"/>
      <c r="AD79" s="454"/>
      <c r="AE79" s="454"/>
      <c r="AF79" s="454"/>
      <c r="AG79" s="455"/>
      <c r="AH79" s="455"/>
      <c r="AI79" s="456"/>
      <c r="AJ79" s="456"/>
      <c r="AK79" s="456"/>
      <c r="AL79" s="456"/>
      <c r="AM79" s="456"/>
      <c r="AN79" s="456"/>
      <c r="AO79" s="456"/>
      <c r="AP79" s="456"/>
      <c r="AQ79" s="456"/>
      <c r="AR79" s="538"/>
      <c r="AS79" s="481"/>
      <c r="AT79" s="481"/>
      <c r="AU79" s="456"/>
      <c r="AV79" s="456"/>
      <c r="AW79" s="456"/>
      <c r="AX79" s="456">
        <v>175207.43</v>
      </c>
      <c r="AY79" s="456">
        <v>176709.64</v>
      </c>
      <c r="AZ79" s="456">
        <v>179867.75</v>
      </c>
      <c r="BA79" s="456">
        <v>181436.51</v>
      </c>
      <c r="BB79" s="456">
        <v>185350.74</v>
      </c>
      <c r="BC79" s="456">
        <v>0.0</v>
      </c>
      <c r="BD79" s="456">
        <v>181389.0</v>
      </c>
      <c r="BE79" s="456">
        <v>181517.76</v>
      </c>
      <c r="BF79" s="456">
        <v>184170.45</v>
      </c>
      <c r="BG79" s="456">
        <v>185660.5459</v>
      </c>
      <c r="BH79" s="456">
        <v>182503.37</v>
      </c>
      <c r="BI79" s="456">
        <v>186090.02</v>
      </c>
      <c r="BJ79" s="456">
        <v>186319.9</v>
      </c>
      <c r="BK79" s="456">
        <v>187900.35</v>
      </c>
      <c r="BL79" s="456">
        <v>769.02</v>
      </c>
      <c r="BM79" s="456">
        <v>643.79</v>
      </c>
      <c r="BN79" s="456">
        <v>702.75</v>
      </c>
      <c r="BO79" s="456">
        <v>703.3</v>
      </c>
      <c r="BP79" s="456">
        <v>703.86</v>
      </c>
      <c r="BQ79" s="456">
        <v>704.23</v>
      </c>
      <c r="BR79" s="456">
        <v>704.8</v>
      </c>
      <c r="BS79" s="90">
        <v>0.0</v>
      </c>
      <c r="BT79" s="90"/>
    </row>
    <row r="80" ht="15.75" customHeight="1">
      <c r="A80" s="444" t="s">
        <v>98</v>
      </c>
      <c r="B80" s="445" t="s">
        <v>3792</v>
      </c>
      <c r="C80" s="468" t="s">
        <v>3788</v>
      </c>
      <c r="D80" s="550">
        <v>3241823.0</v>
      </c>
      <c r="E80" s="447" t="s">
        <v>120</v>
      </c>
      <c r="F80" s="448" t="s">
        <v>199</v>
      </c>
      <c r="G80" s="447" t="s">
        <v>290</v>
      </c>
      <c r="H80" s="490">
        <f>IFERROR(VLOOKUP(G80,'Cadastro de assessores'!A:B,2,FALSE),"Não Cadastrado")</f>
        <v>12332</v>
      </c>
      <c r="I80" s="490"/>
      <c r="J80" s="49" t="s">
        <v>2318</v>
      </c>
      <c r="K80" s="552"/>
      <c r="L80" s="447" t="s">
        <v>295</v>
      </c>
      <c r="M80" s="451">
        <v>44819.0</v>
      </c>
      <c r="N80" s="446"/>
      <c r="O80" s="446" t="s">
        <v>2365</v>
      </c>
      <c r="P80" s="452">
        <v>0.012</v>
      </c>
      <c r="Q80" s="537"/>
      <c r="R80" s="453"/>
      <c r="S80" s="449"/>
      <c r="T80" s="449"/>
      <c r="U80" s="449"/>
      <c r="V80" s="446" t="s">
        <v>199</v>
      </c>
      <c r="W80" s="454"/>
      <c r="X80" s="454"/>
      <c r="Y80" s="454"/>
      <c r="Z80" s="454"/>
      <c r="AA80" s="454"/>
      <c r="AB80" s="454"/>
      <c r="AC80" s="454"/>
      <c r="AD80" s="454"/>
      <c r="AE80" s="454"/>
      <c r="AF80" s="454"/>
      <c r="AG80" s="455"/>
      <c r="AH80" s="455"/>
      <c r="AI80" s="456"/>
      <c r="AJ80" s="456"/>
      <c r="AK80" s="456"/>
      <c r="AL80" s="456"/>
      <c r="AM80" s="456"/>
      <c r="AN80" s="456"/>
      <c r="AO80" s="456"/>
      <c r="AP80" s="456"/>
      <c r="AQ80" s="456"/>
      <c r="AR80" s="538"/>
      <c r="AS80" s="481"/>
      <c r="AT80" s="481"/>
      <c r="AU80" s="456"/>
      <c r="AV80" s="456"/>
      <c r="AW80" s="456"/>
      <c r="AX80" s="456"/>
      <c r="AY80" s="456"/>
      <c r="AZ80" s="456"/>
      <c r="BA80" s="456"/>
      <c r="BB80" s="456"/>
      <c r="BC80" s="456"/>
      <c r="BD80" s="456"/>
      <c r="BE80" s="456"/>
      <c r="BF80" s="456"/>
      <c r="BG80" s="456">
        <v>101721.38</v>
      </c>
      <c r="BH80" s="456">
        <v>254345.34</v>
      </c>
      <c r="BI80" s="456">
        <v>245604.15</v>
      </c>
      <c r="BJ80" s="456">
        <v>231121.95</v>
      </c>
      <c r="BK80" s="456">
        <v>231728.79</v>
      </c>
      <c r="BL80" s="456">
        <v>232108.26</v>
      </c>
      <c r="BM80" s="456">
        <v>230811.9</v>
      </c>
      <c r="BN80" s="456">
        <v>155799.92</v>
      </c>
      <c r="BO80" s="456">
        <v>156852.88</v>
      </c>
      <c r="BP80" s="456">
        <v>0.0</v>
      </c>
      <c r="BQ80" s="456">
        <v>0.0</v>
      </c>
      <c r="BR80" s="456">
        <v>0.0</v>
      </c>
      <c r="BS80" s="90">
        <v>0.0</v>
      </c>
      <c r="BT80" s="90"/>
    </row>
    <row r="81" ht="15.75" customHeight="1">
      <c r="A81" s="444" t="s">
        <v>98</v>
      </c>
      <c r="B81" s="445" t="s">
        <v>3835</v>
      </c>
      <c r="C81" s="458" t="s">
        <v>3836</v>
      </c>
      <c r="D81" s="449">
        <v>3960153.0</v>
      </c>
      <c r="E81" s="449" t="s">
        <v>120</v>
      </c>
      <c r="F81" s="449" t="s">
        <v>199</v>
      </c>
      <c r="G81" s="449" t="s">
        <v>1658</v>
      </c>
      <c r="H81" s="449"/>
      <c r="I81" s="449"/>
      <c r="J81" s="49" t="s">
        <v>2318</v>
      </c>
      <c r="K81" s="449"/>
      <c r="L81" s="459"/>
      <c r="M81" s="459"/>
      <c r="N81" s="460"/>
      <c r="O81" s="449" t="s">
        <v>2341</v>
      </c>
      <c r="P81" s="452">
        <v>0.012</v>
      </c>
      <c r="Q81" s="554" t="s">
        <v>2744</v>
      </c>
      <c r="R81" s="453"/>
      <c r="S81" s="449"/>
      <c r="T81" s="449"/>
      <c r="U81" s="449"/>
      <c r="V81" s="449" t="s">
        <v>1507</v>
      </c>
      <c r="W81" s="454"/>
      <c r="X81" s="454"/>
      <c r="Y81" s="454"/>
      <c r="Z81" s="454"/>
      <c r="AA81" s="454"/>
      <c r="AB81" s="454"/>
      <c r="AC81" s="454"/>
      <c r="AD81" s="454"/>
      <c r="AE81" s="454"/>
      <c r="AF81" s="454"/>
      <c r="AG81" s="454"/>
      <c r="AH81" s="455"/>
      <c r="AI81" s="455"/>
      <c r="AJ81" s="456"/>
      <c r="AK81" s="456"/>
      <c r="AL81" s="456"/>
      <c r="AM81" s="456"/>
      <c r="AN81" s="456"/>
      <c r="AO81" s="456"/>
      <c r="AP81" s="456"/>
      <c r="AQ81" s="456"/>
      <c r="AR81" s="456"/>
      <c r="AS81" s="538"/>
      <c r="AT81" s="481"/>
      <c r="AU81" s="481"/>
      <c r="AV81" s="456"/>
      <c r="AW81" s="456"/>
      <c r="AX81" s="456"/>
      <c r="AY81" s="456"/>
      <c r="AZ81" s="456"/>
      <c r="BA81" s="456"/>
      <c r="BB81" s="456"/>
      <c r="BC81" s="456"/>
      <c r="BD81" s="456"/>
      <c r="BE81" s="456"/>
      <c r="BF81" s="456"/>
      <c r="BG81" s="456"/>
      <c r="BH81" s="456"/>
      <c r="BI81" s="456"/>
      <c r="BJ81" s="456"/>
      <c r="BK81" s="456"/>
      <c r="BL81" s="456">
        <v>120757.99</v>
      </c>
      <c r="BM81" s="456">
        <v>75739.1</v>
      </c>
      <c r="BN81" s="456">
        <v>0.0</v>
      </c>
      <c r="BO81" s="456">
        <v>0.0</v>
      </c>
      <c r="BP81" s="456">
        <v>0.0</v>
      </c>
      <c r="BQ81" s="456">
        <v>0.0</v>
      </c>
      <c r="BR81" s="456">
        <v>0.0</v>
      </c>
      <c r="BS81" s="90" t="s">
        <v>268</v>
      </c>
      <c r="BT81" s="90"/>
    </row>
    <row r="82" ht="15.75" customHeight="1">
      <c r="A82" s="444" t="s">
        <v>98</v>
      </c>
      <c r="B82" s="445" t="s">
        <v>3839</v>
      </c>
      <c r="C82" s="458" t="s">
        <v>3840</v>
      </c>
      <c r="D82" s="449">
        <v>3432427.0</v>
      </c>
      <c r="E82" s="449" t="s">
        <v>120</v>
      </c>
      <c r="F82" s="449" t="s">
        <v>54</v>
      </c>
      <c r="G82" s="449" t="s">
        <v>379</v>
      </c>
      <c r="H82" s="449" t="str">
        <f>IFERROR(VLOOKUP(G82,'Cadastro de assessores'!A:B,2,FALSE),"Não Cadastrado")</f>
        <v>18009</v>
      </c>
      <c r="I82" s="449"/>
      <c r="J82" s="49" t="s">
        <v>224</v>
      </c>
      <c r="K82" s="449" t="s">
        <v>2340</v>
      </c>
      <c r="L82" s="459">
        <v>44445.0</v>
      </c>
      <c r="M82" s="459">
        <v>44445.0</v>
      </c>
      <c r="N82" s="460">
        <v>44658.0</v>
      </c>
      <c r="O82" s="449" t="s">
        <v>3706</v>
      </c>
      <c r="P82" s="452">
        <v>0.008</v>
      </c>
      <c r="Q82" s="461" t="s">
        <v>3841</v>
      </c>
      <c r="R82" s="453"/>
      <c r="S82" s="449" t="str">
        <f t="shared" ref="S82:S87" si="10">IF(BC82&lt;=0,"",IF(BC82&lt;=1000000,"Não Qualificado",IF(AND(BC82&gt;1000000,BC82&lt;=10000000),"Qualificado","Profissional")))</f>
        <v>Não Qualificado</v>
      </c>
      <c r="T82" s="449" t="s">
        <v>194</v>
      </c>
      <c r="U82" s="449" t="s">
        <v>2475</v>
      </c>
      <c r="V82" s="449" t="s">
        <v>618</v>
      </c>
      <c r="W82" s="454"/>
      <c r="X82" s="454"/>
      <c r="Y82" s="454"/>
      <c r="Z82" s="454"/>
      <c r="AA82" s="454"/>
      <c r="AB82" s="454"/>
      <c r="AC82" s="454"/>
      <c r="AD82" s="454"/>
      <c r="AE82" s="454"/>
      <c r="AF82" s="454"/>
      <c r="AG82" s="454"/>
      <c r="AH82" s="455"/>
      <c r="AI82" s="455"/>
      <c r="AJ82" s="456"/>
      <c r="AK82" s="456"/>
      <c r="AL82" s="456"/>
      <c r="AM82" s="456"/>
      <c r="AN82" s="456"/>
      <c r="AO82" s="456"/>
      <c r="AP82" s="456"/>
      <c r="AQ82" s="456"/>
      <c r="AR82" s="456"/>
      <c r="AS82" s="538"/>
      <c r="AT82" s="481"/>
      <c r="AU82" s="481">
        <v>94822.6</v>
      </c>
      <c r="AV82" s="456">
        <v>790036.52</v>
      </c>
      <c r="AW82" s="456">
        <v>726856.26</v>
      </c>
      <c r="AX82" s="456">
        <v>795364.26</v>
      </c>
      <c r="AY82" s="456">
        <v>797596.38</v>
      </c>
      <c r="AZ82" s="456">
        <v>802342.4</v>
      </c>
      <c r="BA82" s="456">
        <v>804114.28</v>
      </c>
      <c r="BB82" s="456">
        <v>812829.84</v>
      </c>
      <c r="BC82" s="456">
        <v>5153.82</v>
      </c>
      <c r="BD82" s="456" t="s">
        <v>377</v>
      </c>
      <c r="BE82" s="456" t="s">
        <v>377</v>
      </c>
      <c r="BF82" s="456">
        <v>0.0</v>
      </c>
      <c r="BG82" s="456">
        <v>0.0</v>
      </c>
      <c r="BH82" s="456">
        <v>0.0</v>
      </c>
      <c r="BI82" s="456">
        <v>0.0</v>
      </c>
      <c r="BJ82" s="456">
        <v>0.0</v>
      </c>
      <c r="BK82" s="456">
        <v>0.0</v>
      </c>
      <c r="BL82" s="456">
        <v>0.0</v>
      </c>
      <c r="BM82" s="456">
        <v>0.0</v>
      </c>
      <c r="BN82" s="456">
        <v>0.0</v>
      </c>
      <c r="BO82" s="456">
        <v>0.0</v>
      </c>
      <c r="BP82" s="456">
        <v>0.0</v>
      </c>
      <c r="BQ82" s="456">
        <v>0.0</v>
      </c>
      <c r="BR82" s="456">
        <v>0.0</v>
      </c>
      <c r="BS82" s="90" t="s">
        <v>268</v>
      </c>
      <c r="BT82" s="90"/>
    </row>
    <row r="83" ht="15.75" customHeight="1">
      <c r="A83" s="444" t="s">
        <v>98</v>
      </c>
      <c r="B83" s="445" t="s">
        <v>3853</v>
      </c>
      <c r="C83" s="458" t="s">
        <v>3854</v>
      </c>
      <c r="D83" s="449">
        <v>4478774.0</v>
      </c>
      <c r="E83" s="447" t="s">
        <v>255</v>
      </c>
      <c r="F83" s="447" t="s">
        <v>199</v>
      </c>
      <c r="G83" s="447" t="s">
        <v>3855</v>
      </c>
      <c r="H83" s="447" t="str">
        <f>IFERROR(VLOOKUP(G83,'Cadastro de assessores'!A:B,2,FALSE),"Não Cadastrado")</f>
        <v>19634</v>
      </c>
      <c r="I83" s="447"/>
      <c r="J83" s="49" t="s">
        <v>2318</v>
      </c>
      <c r="K83" s="447" t="s">
        <v>183</v>
      </c>
      <c r="L83" s="450">
        <v>44103.0</v>
      </c>
      <c r="M83" s="450">
        <v>44103.0</v>
      </c>
      <c r="N83" s="449"/>
      <c r="O83" s="449" t="s">
        <v>2365</v>
      </c>
      <c r="P83" s="452">
        <v>0.012</v>
      </c>
      <c r="Q83" s="461" t="s">
        <v>427</v>
      </c>
      <c r="R83" s="453" t="s">
        <v>3773</v>
      </c>
      <c r="S83" s="449" t="str">
        <f t="shared" si="10"/>
        <v>Não Qualificado</v>
      </c>
      <c r="T83" s="449" t="s">
        <v>194</v>
      </c>
      <c r="U83" s="449" t="s">
        <v>2383</v>
      </c>
      <c r="V83" s="449" t="s">
        <v>199</v>
      </c>
      <c r="W83" s="455" t="s">
        <v>2344</v>
      </c>
      <c r="X83" s="455" t="s">
        <v>2344</v>
      </c>
      <c r="Y83" s="455" t="s">
        <v>2344</v>
      </c>
      <c r="Z83" s="455" t="s">
        <v>2344</v>
      </c>
      <c r="AA83" s="455" t="s">
        <v>2344</v>
      </c>
      <c r="AB83" s="455" t="s">
        <v>2344</v>
      </c>
      <c r="AC83" s="455" t="s">
        <v>2344</v>
      </c>
      <c r="AD83" s="455" t="s">
        <v>2344</v>
      </c>
      <c r="AE83" s="455" t="s">
        <v>2344</v>
      </c>
      <c r="AF83" s="455" t="s">
        <v>2344</v>
      </c>
      <c r="AG83" s="455" t="s">
        <v>2344</v>
      </c>
      <c r="AH83" s="455" t="s">
        <v>3861</v>
      </c>
      <c r="AI83" s="455" t="s">
        <v>3862</v>
      </c>
      <c r="AJ83" s="455" t="s">
        <v>3863</v>
      </c>
      <c r="AK83" s="456">
        <v>1423465.95</v>
      </c>
      <c r="AL83" s="456">
        <v>1512359.88</v>
      </c>
      <c r="AM83" s="456">
        <v>1489838.71</v>
      </c>
      <c r="AN83" s="456">
        <v>1488019.84</v>
      </c>
      <c r="AO83" s="456">
        <v>1506734.11</v>
      </c>
      <c r="AP83" s="456">
        <v>1512062.63</v>
      </c>
      <c r="AQ83" s="456">
        <v>1509001.29</v>
      </c>
      <c r="AR83" s="456">
        <v>1528614.3</v>
      </c>
      <c r="AS83" s="456">
        <v>1524699.01</v>
      </c>
      <c r="AT83" s="456">
        <v>1512159.31</v>
      </c>
      <c r="AU83" s="456">
        <v>1510732.11</v>
      </c>
      <c r="AV83" s="456">
        <v>1501938.54</v>
      </c>
      <c r="AW83" s="456">
        <v>1465342.22</v>
      </c>
      <c r="AX83" s="456">
        <v>1477414.58</v>
      </c>
      <c r="AY83" s="456">
        <v>1496287.5</v>
      </c>
      <c r="AZ83" s="456">
        <v>1519718.74</v>
      </c>
      <c r="BA83" s="456">
        <v>1527633.84</v>
      </c>
      <c r="BB83" s="456">
        <v>1162706.87</v>
      </c>
      <c r="BC83" s="456">
        <v>174.69</v>
      </c>
      <c r="BD83" s="456">
        <v>1326567.3</v>
      </c>
      <c r="BE83" s="456">
        <v>2503.41</v>
      </c>
      <c r="BF83" s="456">
        <v>1495.38</v>
      </c>
      <c r="BG83" s="456">
        <v>1966.01</v>
      </c>
      <c r="BH83" s="456">
        <v>1976.82</v>
      </c>
      <c r="BI83" s="456">
        <v>1988.34</v>
      </c>
      <c r="BJ83" s="456">
        <v>1379.16</v>
      </c>
      <c r="BK83" s="456">
        <v>1211.4</v>
      </c>
      <c r="BL83" s="456">
        <v>2393.99</v>
      </c>
      <c r="BM83" s="456">
        <v>2412.31</v>
      </c>
      <c r="BN83" s="456">
        <v>2430.53</v>
      </c>
      <c r="BO83" s="456">
        <v>2450.83</v>
      </c>
      <c r="BP83" s="456">
        <v>2450.07</v>
      </c>
      <c r="BQ83" s="456">
        <v>2466.34</v>
      </c>
      <c r="BR83" s="456">
        <v>0.0</v>
      </c>
      <c r="BS83" s="90">
        <v>0.0</v>
      </c>
      <c r="BT83" s="90"/>
    </row>
    <row r="84" ht="15.75" customHeight="1">
      <c r="A84" s="444" t="s">
        <v>98</v>
      </c>
      <c r="B84" s="445" t="s">
        <v>3864</v>
      </c>
      <c r="C84" s="468" t="s">
        <v>3865</v>
      </c>
      <c r="D84" s="446">
        <v>5692353.0</v>
      </c>
      <c r="E84" s="449" t="s">
        <v>120</v>
      </c>
      <c r="F84" s="507" t="s">
        <v>54</v>
      </c>
      <c r="G84" s="449" t="s">
        <v>379</v>
      </c>
      <c r="H84" s="507" t="str">
        <f>IFERROR(VLOOKUP(G84,'Cadastro de assessores'!A:B,2,FALSE),"Não Cadastrado")</f>
        <v>18009</v>
      </c>
      <c r="I84" s="507"/>
      <c r="J84" s="49" t="s">
        <v>224</v>
      </c>
      <c r="K84" s="449" t="s">
        <v>2340</v>
      </c>
      <c r="L84" s="460">
        <v>44466.0</v>
      </c>
      <c r="M84" s="460">
        <v>44466.0</v>
      </c>
      <c r="N84" s="508">
        <v>44740.0</v>
      </c>
      <c r="O84" s="446" t="s">
        <v>2372</v>
      </c>
      <c r="P84" s="452">
        <v>0.025</v>
      </c>
      <c r="Q84" s="330" t="s">
        <v>3869</v>
      </c>
      <c r="R84" s="453"/>
      <c r="S84" s="449" t="str">
        <f t="shared" si="10"/>
        <v>Não Qualificado</v>
      </c>
      <c r="T84" s="446" t="s">
        <v>194</v>
      </c>
      <c r="U84" s="446" t="s">
        <v>2475</v>
      </c>
      <c r="V84" s="446" t="s">
        <v>618</v>
      </c>
      <c r="W84" s="454"/>
      <c r="X84" s="454"/>
      <c r="Y84" s="454"/>
      <c r="Z84" s="454"/>
      <c r="AA84" s="454"/>
      <c r="AB84" s="454"/>
      <c r="AC84" s="454"/>
      <c r="AD84" s="454"/>
      <c r="AE84" s="454"/>
      <c r="AF84" s="454"/>
      <c r="AG84" s="454"/>
      <c r="AH84" s="454"/>
      <c r="AI84" s="455"/>
      <c r="AJ84" s="456"/>
      <c r="AK84" s="456"/>
      <c r="AL84" s="456"/>
      <c r="AM84" s="456"/>
      <c r="AN84" s="456"/>
      <c r="AO84" s="456"/>
      <c r="AP84" s="456"/>
      <c r="AQ84" s="456"/>
      <c r="AR84" s="454"/>
      <c r="AS84" s="456"/>
      <c r="AT84" s="456"/>
      <c r="AU84" s="456"/>
      <c r="AV84" s="456">
        <v>97811.35</v>
      </c>
      <c r="AW84" s="456">
        <v>89906.87</v>
      </c>
      <c r="AX84" s="456">
        <v>88798.49</v>
      </c>
      <c r="AY84" s="456">
        <v>90813.47</v>
      </c>
      <c r="AZ84" s="456">
        <v>96367.88</v>
      </c>
      <c r="BA84" s="456">
        <v>97942.73</v>
      </c>
      <c r="BB84" s="456">
        <v>103896.13</v>
      </c>
      <c r="BC84" s="456">
        <v>864975.46</v>
      </c>
      <c r="BD84" s="456">
        <v>98036.14</v>
      </c>
      <c r="BE84" s="456">
        <v>94018.69</v>
      </c>
      <c r="BF84" s="456">
        <v>0.0</v>
      </c>
      <c r="BG84" s="456">
        <v>0.0</v>
      </c>
      <c r="BH84" s="456">
        <v>0.0</v>
      </c>
      <c r="BI84" s="456">
        <v>0.0</v>
      </c>
      <c r="BJ84" s="456">
        <v>0.0</v>
      </c>
      <c r="BK84" s="456">
        <v>0.0</v>
      </c>
      <c r="BL84" s="456">
        <v>0.0</v>
      </c>
      <c r="BM84" s="456">
        <v>0.0</v>
      </c>
      <c r="BN84" s="456">
        <v>0.0</v>
      </c>
      <c r="BO84" s="456">
        <v>0.0</v>
      </c>
      <c r="BP84" s="456">
        <v>0.0</v>
      </c>
      <c r="BQ84" s="456">
        <v>0.0</v>
      </c>
      <c r="BR84" s="456">
        <v>0.0</v>
      </c>
      <c r="BS84" s="90" t="s">
        <v>268</v>
      </c>
      <c r="BT84" s="90"/>
    </row>
    <row r="85" ht="15.75" customHeight="1">
      <c r="A85" s="444" t="s">
        <v>98</v>
      </c>
      <c r="B85" s="445" t="s">
        <v>3874</v>
      </c>
      <c r="C85" s="463" t="s">
        <v>3876</v>
      </c>
      <c r="D85" s="447">
        <v>4848604.0</v>
      </c>
      <c r="E85" s="447" t="s">
        <v>255</v>
      </c>
      <c r="F85" s="447" t="s">
        <v>199</v>
      </c>
      <c r="G85" s="447" t="s">
        <v>3877</v>
      </c>
      <c r="H85" s="447" t="str">
        <f>IFERROR(VLOOKUP(G85,'Cadastro de assessores'!A:B,2,FALSE),"Não Cadastrado")</f>
        <v>15049</v>
      </c>
      <c r="I85" s="447"/>
      <c r="J85" s="49" t="s">
        <v>2318</v>
      </c>
      <c r="K85" s="447" t="s">
        <v>183</v>
      </c>
      <c r="L85" s="450">
        <v>44236.0</v>
      </c>
      <c r="M85" s="450">
        <v>44236.0</v>
      </c>
      <c r="N85" s="449"/>
      <c r="O85" s="449" t="s">
        <v>2365</v>
      </c>
      <c r="P85" s="452">
        <v>0.012</v>
      </c>
      <c r="Q85" s="461"/>
      <c r="R85" s="453"/>
      <c r="S85" s="449" t="str">
        <f t="shared" si="10"/>
        <v/>
      </c>
      <c r="T85" s="449" t="s">
        <v>194</v>
      </c>
      <c r="U85" s="449" t="s">
        <v>2374</v>
      </c>
      <c r="V85" s="449" t="s">
        <v>199</v>
      </c>
      <c r="W85" s="455"/>
      <c r="X85" s="455"/>
      <c r="Y85" s="455"/>
      <c r="Z85" s="455"/>
      <c r="AA85" s="455"/>
      <c r="AB85" s="455"/>
      <c r="AC85" s="455"/>
      <c r="AD85" s="455"/>
      <c r="AE85" s="455"/>
      <c r="AF85" s="455"/>
      <c r="AG85" s="455"/>
      <c r="AH85" s="455"/>
      <c r="AI85" s="455"/>
      <c r="AJ85" s="455"/>
      <c r="AK85" s="456"/>
      <c r="AL85" s="456"/>
      <c r="AM85" s="456">
        <v>146955.88</v>
      </c>
      <c r="AN85" s="456">
        <v>147150.33</v>
      </c>
      <c r="AO85" s="456">
        <v>149418.72</v>
      </c>
      <c r="AP85" s="456">
        <v>149969.63</v>
      </c>
      <c r="AQ85" s="456">
        <v>149714.89</v>
      </c>
      <c r="AR85" s="456">
        <v>181886.53</v>
      </c>
      <c r="AS85" s="456">
        <v>181532.35</v>
      </c>
      <c r="AT85" s="456">
        <v>180125.23</v>
      </c>
      <c r="AU85" s="456">
        <v>179926.86</v>
      </c>
      <c r="AV85" s="456">
        <v>178909.18</v>
      </c>
      <c r="AW85" s="456">
        <v>176963.67</v>
      </c>
      <c r="AX85" s="456">
        <v>177283.61</v>
      </c>
      <c r="AY85" s="456">
        <v>179138.63</v>
      </c>
      <c r="AZ85" s="456">
        <v>182081.13</v>
      </c>
      <c r="BA85" s="456">
        <v>183317.3</v>
      </c>
      <c r="BB85" s="456">
        <v>187287.9</v>
      </c>
      <c r="BC85" s="456">
        <v>0.0</v>
      </c>
      <c r="BD85" s="456">
        <v>184765.22</v>
      </c>
      <c r="BE85" s="456">
        <v>185120.25</v>
      </c>
      <c r="BF85" s="456">
        <v>187260.3</v>
      </c>
      <c r="BG85" s="456">
        <v>188244.6059</v>
      </c>
      <c r="BH85" s="456">
        <v>189325.22</v>
      </c>
      <c r="BI85" s="456">
        <v>192673.31</v>
      </c>
      <c r="BJ85" s="456">
        <v>193423.34</v>
      </c>
      <c r="BK85" s="456">
        <v>194931.28</v>
      </c>
      <c r="BL85" s="456">
        <v>197098.51</v>
      </c>
      <c r="BM85" s="456">
        <v>3.44</v>
      </c>
      <c r="BN85" s="456">
        <v>3.45</v>
      </c>
      <c r="BO85" s="456">
        <v>3.45</v>
      </c>
      <c r="BP85" s="456">
        <v>3.45</v>
      </c>
      <c r="BQ85" s="456">
        <v>3.45</v>
      </c>
      <c r="BR85" s="456">
        <v>3.45</v>
      </c>
      <c r="BS85" s="90">
        <v>0.0</v>
      </c>
      <c r="BT85" s="90"/>
    </row>
    <row r="86" ht="15.75" customHeight="1">
      <c r="A86" s="444" t="s">
        <v>98</v>
      </c>
      <c r="B86" s="445" t="s">
        <v>3883</v>
      </c>
      <c r="C86" s="458" t="s">
        <v>3884</v>
      </c>
      <c r="D86" s="449">
        <v>4537911.0</v>
      </c>
      <c r="E86" s="447" t="s">
        <v>255</v>
      </c>
      <c r="F86" s="447" t="s">
        <v>199</v>
      </c>
      <c r="G86" s="447" t="s">
        <v>3885</v>
      </c>
      <c r="H86" s="447" t="str">
        <f>IFERROR(VLOOKUP(G86,'Cadastro de assessores'!A:B,2,FALSE),"Não Cadastrado")</f>
        <v>17243</v>
      </c>
      <c r="I86" s="447"/>
      <c r="J86" s="49" t="s">
        <v>224</v>
      </c>
      <c r="K86" s="447" t="s">
        <v>183</v>
      </c>
      <c r="L86" s="451">
        <v>44126.0</v>
      </c>
      <c r="M86" s="451">
        <v>44130.0</v>
      </c>
      <c r="N86" s="460">
        <v>44988.0</v>
      </c>
      <c r="O86" s="449" t="s">
        <v>2341</v>
      </c>
      <c r="P86" s="452">
        <v>0.015</v>
      </c>
      <c r="Q86" s="461" t="s">
        <v>3888</v>
      </c>
      <c r="R86" s="453"/>
      <c r="S86" s="449" t="str">
        <f t="shared" si="10"/>
        <v>Não Qualificado</v>
      </c>
      <c r="T86" s="449" t="s">
        <v>234</v>
      </c>
      <c r="U86" s="449" t="s">
        <v>3889</v>
      </c>
      <c r="V86" s="449" t="s">
        <v>199</v>
      </c>
      <c r="W86" s="455" t="s">
        <v>2344</v>
      </c>
      <c r="X86" s="455" t="s">
        <v>2344</v>
      </c>
      <c r="Y86" s="455" t="s">
        <v>2344</v>
      </c>
      <c r="Z86" s="455" t="s">
        <v>2344</v>
      </c>
      <c r="AA86" s="455" t="s">
        <v>2344</v>
      </c>
      <c r="AB86" s="455" t="s">
        <v>2344</v>
      </c>
      <c r="AC86" s="455" t="s">
        <v>2344</v>
      </c>
      <c r="AD86" s="455" t="s">
        <v>2344</v>
      </c>
      <c r="AE86" s="455" t="s">
        <v>2344</v>
      </c>
      <c r="AF86" s="455" t="s">
        <v>2344</v>
      </c>
      <c r="AG86" s="455" t="s">
        <v>2344</v>
      </c>
      <c r="AH86" s="455" t="s">
        <v>2344</v>
      </c>
      <c r="AI86" s="455" t="s">
        <v>3890</v>
      </c>
      <c r="AJ86" s="455" t="s">
        <v>3891</v>
      </c>
      <c r="AK86" s="456">
        <v>317786.8</v>
      </c>
      <c r="AL86" s="456">
        <v>312252.63</v>
      </c>
      <c r="AM86" s="456">
        <v>301575.39</v>
      </c>
      <c r="AN86" s="456">
        <v>301504.49</v>
      </c>
      <c r="AO86" s="456">
        <v>309518.36</v>
      </c>
      <c r="AP86" s="456">
        <v>310904.33</v>
      </c>
      <c r="AQ86" s="456">
        <v>309620.59</v>
      </c>
      <c r="AR86" s="456">
        <v>316856.43</v>
      </c>
      <c r="AS86" s="456">
        <v>314355.59</v>
      </c>
      <c r="AT86" s="456">
        <v>308287.7</v>
      </c>
      <c r="AU86" s="456">
        <v>306461.39</v>
      </c>
      <c r="AV86" s="456">
        <v>300470.19</v>
      </c>
      <c r="AW86" s="456">
        <v>291302.49</v>
      </c>
      <c r="AX86" s="456">
        <v>291250.23</v>
      </c>
      <c r="AY86" s="456">
        <v>295115.92</v>
      </c>
      <c r="AZ86" s="456">
        <v>303368.19</v>
      </c>
      <c r="BA86" s="456">
        <v>306023.4</v>
      </c>
      <c r="BB86" s="456">
        <v>316159.86</v>
      </c>
      <c r="BC86" s="456">
        <v>534309.17</v>
      </c>
      <c r="BD86" s="456">
        <v>313682.22</v>
      </c>
      <c r="BE86" s="456">
        <v>312332.84</v>
      </c>
      <c r="BF86" s="456">
        <v>317237.17</v>
      </c>
      <c r="BG86" s="456">
        <v>318375.9797</v>
      </c>
      <c r="BH86" s="456">
        <v>319532.1</v>
      </c>
      <c r="BI86" s="456">
        <v>327348.86</v>
      </c>
      <c r="BJ86" s="456">
        <v>327998.59</v>
      </c>
      <c r="BK86" s="456">
        <v>330047.99</v>
      </c>
      <c r="BL86" s="456">
        <v>333662.13</v>
      </c>
      <c r="BM86" s="456">
        <v>0.0</v>
      </c>
      <c r="BN86" s="456">
        <v>0.0</v>
      </c>
      <c r="BO86" s="456">
        <v>0.0</v>
      </c>
      <c r="BP86" s="456">
        <v>0.0</v>
      </c>
      <c r="BQ86" s="456">
        <v>0.0</v>
      </c>
      <c r="BR86" s="456">
        <v>0.0</v>
      </c>
      <c r="BS86" s="90" t="s">
        <v>268</v>
      </c>
      <c r="BT86" s="90"/>
    </row>
    <row r="87" ht="15.75" customHeight="1">
      <c r="A87" s="444" t="s">
        <v>98</v>
      </c>
      <c r="B87" s="445" t="s">
        <v>3894</v>
      </c>
      <c r="C87" s="559" t="s">
        <v>3895</v>
      </c>
      <c r="D87" s="469">
        <v>4068685.0</v>
      </c>
      <c r="E87" s="447" t="s">
        <v>120</v>
      </c>
      <c r="F87" s="448" t="s">
        <v>54</v>
      </c>
      <c r="G87" s="447" t="s">
        <v>379</v>
      </c>
      <c r="H87" s="447" t="str">
        <f>IFERROR(VLOOKUP(G87,'Cadastro de assessores'!A:B,2,FALSE),"Não Cadastrado")</f>
        <v>18009</v>
      </c>
      <c r="I87" s="447"/>
      <c r="J87" s="49" t="s">
        <v>2318</v>
      </c>
      <c r="K87" s="447" t="s">
        <v>183</v>
      </c>
      <c r="L87" s="450">
        <v>44427.0</v>
      </c>
      <c r="M87" s="450">
        <v>44454.0</v>
      </c>
      <c r="N87" s="446"/>
      <c r="O87" s="446" t="s">
        <v>2341</v>
      </c>
      <c r="P87" s="452">
        <v>0.015</v>
      </c>
      <c r="Q87" s="330" t="s">
        <v>3896</v>
      </c>
      <c r="R87" s="453"/>
      <c r="S87" s="449" t="str">
        <f t="shared" si="10"/>
        <v/>
      </c>
      <c r="T87" s="449" t="s">
        <v>194</v>
      </c>
      <c r="U87" s="449" t="s">
        <v>3898</v>
      </c>
      <c r="V87" s="446" t="s">
        <v>54</v>
      </c>
      <c r="W87" s="454"/>
      <c r="X87" s="454"/>
      <c r="Y87" s="454"/>
      <c r="Z87" s="454"/>
      <c r="AA87" s="454"/>
      <c r="AB87" s="454"/>
      <c r="AC87" s="454"/>
      <c r="AD87" s="454"/>
      <c r="AE87" s="454"/>
      <c r="AF87" s="454"/>
      <c r="AG87" s="454"/>
      <c r="AH87" s="454"/>
      <c r="AI87" s="456"/>
      <c r="AJ87" s="456"/>
      <c r="AK87" s="456"/>
      <c r="AL87" s="456"/>
      <c r="AM87" s="456"/>
      <c r="AN87" s="456"/>
      <c r="AO87" s="456"/>
      <c r="AP87" s="456"/>
      <c r="AQ87" s="454"/>
      <c r="AR87" s="454"/>
      <c r="AS87" s="481"/>
      <c r="AT87" s="481"/>
      <c r="AU87" s="454"/>
      <c r="AV87" s="456">
        <v>841460.79</v>
      </c>
      <c r="AW87" s="456">
        <v>771926.61</v>
      </c>
      <c r="AX87" s="456">
        <v>867575.17</v>
      </c>
      <c r="AY87" s="456">
        <v>879220.83</v>
      </c>
      <c r="AZ87" s="456">
        <v>980138.51</v>
      </c>
      <c r="BA87" s="456">
        <v>1486297.25</v>
      </c>
      <c r="BB87" s="456">
        <v>1523003.1</v>
      </c>
      <c r="BC87" s="456"/>
      <c r="BD87" s="456">
        <v>1322102.38</v>
      </c>
      <c r="BE87" s="456">
        <v>1065770.24</v>
      </c>
      <c r="BF87" s="456">
        <v>1015852.31</v>
      </c>
      <c r="BG87" s="456">
        <v>822465.4286</v>
      </c>
      <c r="BH87" s="456">
        <v>694072.65</v>
      </c>
      <c r="BI87" s="456">
        <v>601564.34</v>
      </c>
      <c r="BJ87" s="456">
        <v>398054.13</v>
      </c>
      <c r="BK87" s="456">
        <v>400120.56</v>
      </c>
      <c r="BL87" s="456">
        <v>402331.2</v>
      </c>
      <c r="BM87" s="456">
        <v>304281.3</v>
      </c>
      <c r="BN87" s="456">
        <v>308168.91</v>
      </c>
      <c r="BO87" s="456">
        <v>0.0</v>
      </c>
      <c r="BP87" s="456">
        <v>0.0</v>
      </c>
      <c r="BQ87" s="456">
        <v>0.0</v>
      </c>
      <c r="BR87" s="456">
        <v>0.0</v>
      </c>
      <c r="BS87" s="90" t="s">
        <v>268</v>
      </c>
      <c r="BT87" s="90"/>
    </row>
    <row r="88" ht="15.75" customHeight="1">
      <c r="A88" s="444" t="s">
        <v>98</v>
      </c>
      <c r="B88" s="445" t="s">
        <v>3905</v>
      </c>
      <c r="C88" s="559" t="s">
        <v>3906</v>
      </c>
      <c r="D88" s="469">
        <v>6200964.0</v>
      </c>
      <c r="E88" s="447" t="s">
        <v>120</v>
      </c>
      <c r="F88" s="448" t="s">
        <v>54</v>
      </c>
      <c r="G88" s="447" t="s">
        <v>348</v>
      </c>
      <c r="H88" s="447">
        <f>IFERROR(VLOOKUP(G88,'Cadastro de assessores'!A:B,2,FALSE),"Não Cadastrado")</f>
        <v>12331</v>
      </c>
      <c r="I88" s="447"/>
      <c r="J88" s="49" t="s">
        <v>2318</v>
      </c>
      <c r="K88" s="447"/>
      <c r="L88" s="450"/>
      <c r="M88" s="450">
        <v>44851.0</v>
      </c>
      <c r="N88" s="446"/>
      <c r="O88" s="446" t="s">
        <v>2341</v>
      </c>
      <c r="P88" s="452">
        <v>0.015</v>
      </c>
      <c r="Q88" s="330" t="s">
        <v>3908</v>
      </c>
      <c r="R88" s="453"/>
      <c r="S88" s="449"/>
      <c r="T88" s="449"/>
      <c r="U88" s="449"/>
      <c r="V88" s="446" t="s">
        <v>54</v>
      </c>
      <c r="W88" s="454"/>
      <c r="X88" s="454"/>
      <c r="Y88" s="454"/>
      <c r="Z88" s="454"/>
      <c r="AA88" s="454"/>
      <c r="AB88" s="454"/>
      <c r="AC88" s="454"/>
      <c r="AD88" s="454"/>
      <c r="AE88" s="454"/>
      <c r="AF88" s="454"/>
      <c r="AG88" s="454"/>
      <c r="AH88" s="454"/>
      <c r="AI88" s="456"/>
      <c r="AJ88" s="456"/>
      <c r="AK88" s="456"/>
      <c r="AL88" s="456"/>
      <c r="AM88" s="456"/>
      <c r="AN88" s="456"/>
      <c r="AO88" s="456"/>
      <c r="AP88" s="456"/>
      <c r="AQ88" s="454"/>
      <c r="AR88" s="454"/>
      <c r="AS88" s="481"/>
      <c r="AT88" s="481"/>
      <c r="AU88" s="454"/>
      <c r="AV88" s="456"/>
      <c r="AW88" s="456"/>
      <c r="AX88" s="456"/>
      <c r="AY88" s="456"/>
      <c r="AZ88" s="456"/>
      <c r="BA88" s="456"/>
      <c r="BB88" s="456"/>
      <c r="BC88" s="456"/>
      <c r="BD88" s="456"/>
      <c r="BE88" s="456"/>
      <c r="BF88" s="456"/>
      <c r="BG88" s="456"/>
      <c r="BH88" s="456"/>
      <c r="BI88" s="456">
        <v>100573.01</v>
      </c>
      <c r="BJ88" s="456">
        <v>101202.63</v>
      </c>
      <c r="BK88" s="456">
        <v>101938.92</v>
      </c>
      <c r="BL88" s="456">
        <v>102987.13</v>
      </c>
      <c r="BM88" s="456">
        <v>103762.49</v>
      </c>
      <c r="BN88" s="456">
        <v>4135.72</v>
      </c>
      <c r="BO88" s="456">
        <v>0.0</v>
      </c>
      <c r="BP88" s="456">
        <v>0.0</v>
      </c>
      <c r="BQ88" s="456">
        <v>0.0</v>
      </c>
      <c r="BR88" s="456">
        <v>0.0</v>
      </c>
      <c r="BS88" s="90">
        <v>0.0</v>
      </c>
      <c r="BT88" s="90"/>
    </row>
    <row r="89" ht="15.75" customHeight="1">
      <c r="A89" s="444" t="s">
        <v>98</v>
      </c>
      <c r="B89" s="445" t="s">
        <v>3913</v>
      </c>
      <c r="C89" s="468" t="s">
        <v>3914</v>
      </c>
      <c r="D89" s="540">
        <v>7911381.0</v>
      </c>
      <c r="E89" s="507" t="s">
        <v>120</v>
      </c>
      <c r="F89" s="507" t="s">
        <v>199</v>
      </c>
      <c r="G89" s="449" t="s">
        <v>290</v>
      </c>
      <c r="H89" s="446">
        <f>IFERROR(VLOOKUP(G89,'Cadastro de assessores'!A:B,2,FALSE),"Não Cadastrado")</f>
        <v>12332</v>
      </c>
      <c r="I89" s="446"/>
      <c r="J89" s="49" t="s">
        <v>224</v>
      </c>
      <c r="K89" s="449" t="s">
        <v>2340</v>
      </c>
      <c r="L89" s="460">
        <v>44655.0</v>
      </c>
      <c r="M89" s="460">
        <v>44655.0</v>
      </c>
      <c r="N89" s="508">
        <v>44723.0</v>
      </c>
      <c r="O89" s="446" t="s">
        <v>2356</v>
      </c>
      <c r="P89" s="452">
        <v>0.007</v>
      </c>
      <c r="Q89" s="330" t="s">
        <v>3919</v>
      </c>
      <c r="R89" s="453"/>
      <c r="S89" s="449" t="str">
        <f>IF(BC89&lt;=0,"",IF(BC89&lt;=1000000,"Não Qualificado",IF(AND(BC89&gt;1000000,BC89&lt;=10000000),"Qualificado","Profissional")))</f>
        <v>Não Qualificado</v>
      </c>
      <c r="T89" s="449" t="s">
        <v>194</v>
      </c>
      <c r="U89" s="449" t="s">
        <v>3383</v>
      </c>
      <c r="V89" s="449" t="s">
        <v>199</v>
      </c>
      <c r="W89" s="454"/>
      <c r="X89" s="454"/>
      <c r="Y89" s="454"/>
      <c r="Z89" s="454"/>
      <c r="AA89" s="454"/>
      <c r="AB89" s="454"/>
      <c r="AC89" s="454"/>
      <c r="AD89" s="454"/>
      <c r="AE89" s="454"/>
      <c r="AF89" s="454"/>
      <c r="AG89" s="454"/>
      <c r="AH89" s="454"/>
      <c r="AI89" s="455"/>
      <c r="AJ89" s="456"/>
      <c r="AK89" s="456"/>
      <c r="AL89" s="456"/>
      <c r="AM89" s="456"/>
      <c r="AN89" s="456"/>
      <c r="AO89" s="456"/>
      <c r="AP89" s="456"/>
      <c r="AQ89" s="456"/>
      <c r="AR89" s="456"/>
      <c r="AS89" s="454"/>
      <c r="AT89" s="481"/>
      <c r="AU89" s="481"/>
      <c r="AV89" s="456"/>
      <c r="AW89" s="456"/>
      <c r="AX89" s="456"/>
      <c r="AY89" s="456"/>
      <c r="AZ89" s="456"/>
      <c r="BA89" s="456"/>
      <c r="BB89" s="456"/>
      <c r="BC89" s="456">
        <v>238157.51</v>
      </c>
      <c r="BD89" s="456">
        <v>101108.1</v>
      </c>
      <c r="BE89" s="456">
        <v>101769.13</v>
      </c>
      <c r="BF89" s="456">
        <v>0.0</v>
      </c>
      <c r="BG89" s="456">
        <v>0.0</v>
      </c>
      <c r="BH89" s="456">
        <v>0.0</v>
      </c>
      <c r="BI89" s="456">
        <v>0.0</v>
      </c>
      <c r="BJ89" s="456">
        <v>0.0</v>
      </c>
      <c r="BK89" s="456">
        <v>0.0</v>
      </c>
      <c r="BL89" s="456">
        <v>0.0</v>
      </c>
      <c r="BM89" s="456">
        <v>0.0</v>
      </c>
      <c r="BN89" s="456">
        <v>0.0</v>
      </c>
      <c r="BO89" s="456">
        <v>0.0</v>
      </c>
      <c r="BP89" s="456">
        <v>0.0</v>
      </c>
      <c r="BQ89" s="456">
        <v>0.0</v>
      </c>
      <c r="BR89" s="456">
        <v>0.0</v>
      </c>
      <c r="BS89" s="90" t="s">
        <v>268</v>
      </c>
      <c r="BT89" s="90"/>
    </row>
    <row r="90" ht="15.75" customHeight="1">
      <c r="A90" s="444" t="s">
        <v>98</v>
      </c>
      <c r="B90" s="445" t="s">
        <v>3923</v>
      </c>
      <c r="C90" s="559" t="s">
        <v>3924</v>
      </c>
      <c r="D90" s="469">
        <v>9009694.0</v>
      </c>
      <c r="E90" s="447" t="s">
        <v>120</v>
      </c>
      <c r="F90" s="448" t="s">
        <v>54</v>
      </c>
      <c r="G90" s="447" t="s">
        <v>348</v>
      </c>
      <c r="H90" s="447">
        <f>IFERROR(VLOOKUP(G90,'Cadastro de assessores'!A:B,2,FALSE),"Não Cadastrado")</f>
        <v>12331</v>
      </c>
      <c r="I90" s="447"/>
      <c r="J90" s="49" t="s">
        <v>2318</v>
      </c>
      <c r="K90" s="447" t="s">
        <v>183</v>
      </c>
      <c r="L90" s="450">
        <v>44760.0</v>
      </c>
      <c r="M90" s="450">
        <v>44762.0</v>
      </c>
      <c r="N90" s="446"/>
      <c r="O90" s="446" t="s">
        <v>2365</v>
      </c>
      <c r="P90" s="452">
        <v>0.012</v>
      </c>
      <c r="Q90" s="461" t="s">
        <v>3925</v>
      </c>
      <c r="R90" s="453"/>
      <c r="S90" s="449"/>
      <c r="T90" s="449" t="s">
        <v>194</v>
      </c>
      <c r="U90" s="449"/>
      <c r="V90" s="446" t="s">
        <v>54</v>
      </c>
      <c r="W90" s="454"/>
      <c r="X90" s="454"/>
      <c r="Y90" s="454"/>
      <c r="Z90" s="454"/>
      <c r="AA90" s="454"/>
      <c r="AB90" s="454"/>
      <c r="AC90" s="454"/>
      <c r="AD90" s="454"/>
      <c r="AE90" s="454"/>
      <c r="AF90" s="454"/>
      <c r="AG90" s="454"/>
      <c r="AH90" s="454"/>
      <c r="AI90" s="456"/>
      <c r="AJ90" s="456"/>
      <c r="AK90" s="456"/>
      <c r="AL90" s="456"/>
      <c r="AM90" s="456"/>
      <c r="AN90" s="456"/>
      <c r="AO90" s="456"/>
      <c r="AP90" s="456"/>
      <c r="AQ90" s="454"/>
      <c r="AR90" s="454"/>
      <c r="AS90" s="481"/>
      <c r="AT90" s="481"/>
      <c r="AU90" s="454"/>
      <c r="AV90" s="456"/>
      <c r="AW90" s="456"/>
      <c r="AX90" s="456"/>
      <c r="AY90" s="456"/>
      <c r="AZ90" s="456"/>
      <c r="BA90" s="456"/>
      <c r="BB90" s="456"/>
      <c r="BC90" s="456"/>
      <c r="BD90" s="456"/>
      <c r="BE90" s="456"/>
      <c r="BF90" s="456">
        <v>150490.96</v>
      </c>
      <c r="BG90" s="456">
        <v>191744.6131</v>
      </c>
      <c r="BH90" s="456">
        <v>173541.41</v>
      </c>
      <c r="BI90" s="456">
        <v>177038.27</v>
      </c>
      <c r="BJ90" s="456">
        <v>177889.47</v>
      </c>
      <c r="BK90" s="456">
        <v>179567.29</v>
      </c>
      <c r="BL90" s="456">
        <v>6285.65</v>
      </c>
      <c r="BM90" s="456">
        <v>88.68</v>
      </c>
      <c r="BN90" s="456">
        <v>88.69</v>
      </c>
      <c r="BO90" s="456">
        <v>88.69</v>
      </c>
      <c r="BP90" s="456">
        <v>88.69</v>
      </c>
      <c r="BQ90" s="456">
        <v>88.69</v>
      </c>
      <c r="BR90" s="456">
        <v>88.69</v>
      </c>
      <c r="BS90" s="90">
        <v>0.0</v>
      </c>
      <c r="BT90" s="90"/>
    </row>
    <row r="91" ht="15.75" customHeight="1">
      <c r="A91" s="444" t="s">
        <v>98</v>
      </c>
      <c r="B91" s="445" t="s">
        <v>3933</v>
      </c>
      <c r="C91" s="468" t="s">
        <v>3934</v>
      </c>
      <c r="D91" s="446">
        <v>2218849.0</v>
      </c>
      <c r="E91" s="447" t="s">
        <v>120</v>
      </c>
      <c r="F91" s="448" t="s">
        <v>54</v>
      </c>
      <c r="G91" s="447" t="s">
        <v>379</v>
      </c>
      <c r="H91" s="446" t="str">
        <f>IFERROR(VLOOKUP(G91,'Cadastro de assessores'!A:B,2,FALSE),"Não Cadastrado")</f>
        <v>18009</v>
      </c>
      <c r="I91" s="446"/>
      <c r="J91" s="49" t="s">
        <v>2318</v>
      </c>
      <c r="K91" s="447" t="s">
        <v>183</v>
      </c>
      <c r="L91" s="450">
        <v>44407.0</v>
      </c>
      <c r="M91" s="450">
        <v>44407.0</v>
      </c>
      <c r="N91" s="446"/>
      <c r="O91" s="446" t="s">
        <v>3701</v>
      </c>
      <c r="P91" s="452">
        <v>0.02</v>
      </c>
      <c r="Q91" s="330" t="s">
        <v>3935</v>
      </c>
      <c r="R91" s="453"/>
      <c r="S91" s="449" t="str">
        <f t="shared" ref="S91:S108" si="11">IF(BC91&lt;=0,"",IF(BC91&lt;=1000000,"Não Qualificado",IF(AND(BC91&gt;1000000,BC91&lt;=10000000),"Qualificado","Profissional")))</f>
        <v>Não Qualificado</v>
      </c>
      <c r="T91" s="449" t="s">
        <v>194</v>
      </c>
      <c r="U91" s="449" t="s">
        <v>2475</v>
      </c>
      <c r="V91" s="449" t="s">
        <v>618</v>
      </c>
      <c r="W91" s="454"/>
      <c r="X91" s="454"/>
      <c r="Y91" s="454"/>
      <c r="Z91" s="454"/>
      <c r="AA91" s="454"/>
      <c r="AB91" s="454"/>
      <c r="AC91" s="454"/>
      <c r="AD91" s="454"/>
      <c r="AE91" s="454"/>
      <c r="AF91" s="454"/>
      <c r="AG91" s="454"/>
      <c r="AH91" s="455"/>
      <c r="AI91" s="456"/>
      <c r="AJ91" s="456"/>
      <c r="AK91" s="456"/>
      <c r="AL91" s="456"/>
      <c r="AM91" s="456"/>
      <c r="AN91" s="456"/>
      <c r="AO91" s="456"/>
      <c r="AP91" s="456"/>
      <c r="AQ91" s="456"/>
      <c r="AR91" s="454"/>
      <c r="AS91" s="454"/>
      <c r="AT91" s="481">
        <v>254666.05</v>
      </c>
      <c r="AU91" s="481">
        <v>252460.97</v>
      </c>
      <c r="AV91" s="456">
        <v>256694.45</v>
      </c>
      <c r="AW91" s="456">
        <v>241065.82</v>
      </c>
      <c r="AX91" s="456">
        <v>244859.61</v>
      </c>
      <c r="AY91" s="456">
        <v>243016.79</v>
      </c>
      <c r="AZ91" s="456">
        <v>249436.95</v>
      </c>
      <c r="BA91" s="456">
        <v>257266.38</v>
      </c>
      <c r="BB91" s="456">
        <v>241372.76</v>
      </c>
      <c r="BC91" s="456">
        <v>153467.55</v>
      </c>
      <c r="BD91" s="456">
        <v>239398.93</v>
      </c>
      <c r="BE91" s="456">
        <v>223029.79</v>
      </c>
      <c r="BF91" s="456">
        <v>218626.56</v>
      </c>
      <c r="BG91" s="456">
        <v>224454.5489</v>
      </c>
      <c r="BH91" s="456">
        <v>226595.59</v>
      </c>
      <c r="BI91" s="456">
        <v>245546.86</v>
      </c>
      <c r="BJ91" s="456">
        <v>233211.47</v>
      </c>
      <c r="BK91" s="456">
        <v>231295.8</v>
      </c>
      <c r="BL91" s="456">
        <v>229524.0</v>
      </c>
      <c r="BM91" s="456">
        <v>227321.7</v>
      </c>
      <c r="BN91" s="456">
        <v>229710.88</v>
      </c>
      <c r="BO91" s="456">
        <v>234156.92</v>
      </c>
      <c r="BP91" s="456">
        <v>233974.86</v>
      </c>
      <c r="BQ91" s="456">
        <v>240669.12</v>
      </c>
      <c r="BR91" s="456">
        <v>239327.8</v>
      </c>
      <c r="BS91" s="90">
        <v>0.0</v>
      </c>
      <c r="BT91" s="90"/>
    </row>
    <row r="92" ht="15.75" customHeight="1">
      <c r="A92" s="444" t="s">
        <v>98</v>
      </c>
      <c r="B92" s="445" t="s">
        <v>3943</v>
      </c>
      <c r="C92" s="468" t="s">
        <v>3944</v>
      </c>
      <c r="D92" s="446">
        <v>5900668.0</v>
      </c>
      <c r="E92" s="447" t="s">
        <v>120</v>
      </c>
      <c r="F92" s="448" t="s">
        <v>54</v>
      </c>
      <c r="G92" s="447" t="s">
        <v>379</v>
      </c>
      <c r="H92" s="446" t="str">
        <f>IFERROR(VLOOKUP(G92,'Cadastro de assessores'!A:B,2,FALSE),"Não Cadastrado")</f>
        <v>18009</v>
      </c>
      <c r="I92" s="446"/>
      <c r="J92" s="49" t="s">
        <v>2318</v>
      </c>
      <c r="K92" s="449" t="s">
        <v>295</v>
      </c>
      <c r="L92" s="449" t="s">
        <v>3320</v>
      </c>
      <c r="M92" s="548" t="s">
        <v>584</v>
      </c>
      <c r="N92" s="446"/>
      <c r="O92" s="446" t="s">
        <v>2319</v>
      </c>
      <c r="P92" s="452">
        <v>0.02</v>
      </c>
      <c r="Q92" s="330"/>
      <c r="R92" s="453"/>
      <c r="S92" s="449" t="str">
        <f t="shared" si="11"/>
        <v/>
      </c>
      <c r="T92" s="449" t="s">
        <v>194</v>
      </c>
      <c r="U92" s="449" t="s">
        <v>2475</v>
      </c>
      <c r="V92" s="449" t="s">
        <v>618</v>
      </c>
      <c r="W92" s="454"/>
      <c r="X92" s="454"/>
      <c r="Y92" s="454"/>
      <c r="Z92" s="454"/>
      <c r="AA92" s="454"/>
      <c r="AB92" s="454"/>
      <c r="AC92" s="454"/>
      <c r="AD92" s="454"/>
      <c r="AE92" s="454"/>
      <c r="AF92" s="454"/>
      <c r="AG92" s="454"/>
      <c r="AH92" s="454"/>
      <c r="AI92" s="455"/>
      <c r="AJ92" s="456"/>
      <c r="AK92" s="456"/>
      <c r="AL92" s="456"/>
      <c r="AM92" s="456"/>
      <c r="AN92" s="456"/>
      <c r="AO92" s="456"/>
      <c r="AP92" s="456"/>
      <c r="AQ92" s="456"/>
      <c r="AR92" s="456"/>
      <c r="AS92" s="454"/>
      <c r="AT92" s="481"/>
      <c r="AU92" s="481"/>
      <c r="AV92" s="456"/>
      <c r="AW92" s="456"/>
      <c r="AX92" s="456"/>
      <c r="AY92" s="456"/>
      <c r="AZ92" s="456"/>
      <c r="BA92" s="456">
        <v>0.0</v>
      </c>
      <c r="BB92" s="456">
        <v>0.0</v>
      </c>
      <c r="BC92" s="456">
        <v>0.0</v>
      </c>
      <c r="BD92" s="456" t="s">
        <v>377</v>
      </c>
      <c r="BE92" s="456" t="s">
        <v>377</v>
      </c>
      <c r="BF92" s="456">
        <v>0.0</v>
      </c>
      <c r="BG92" s="456">
        <v>0.0</v>
      </c>
      <c r="BH92" s="456">
        <v>0.0</v>
      </c>
      <c r="BI92" s="456">
        <v>0.0</v>
      </c>
      <c r="BJ92" s="456">
        <v>0.0</v>
      </c>
      <c r="BK92" s="456">
        <v>0.0</v>
      </c>
      <c r="BL92" s="456">
        <v>0.0</v>
      </c>
      <c r="BM92" s="456">
        <v>0.0</v>
      </c>
      <c r="BN92" s="456">
        <v>0.0</v>
      </c>
      <c r="BO92" s="456">
        <v>0.0</v>
      </c>
      <c r="BP92" s="456">
        <v>0.0</v>
      </c>
      <c r="BQ92" s="456">
        <v>0.0</v>
      </c>
      <c r="BR92" s="456">
        <v>0.0</v>
      </c>
      <c r="BS92" s="90">
        <v>0.0</v>
      </c>
      <c r="BT92" s="90"/>
    </row>
    <row r="93" ht="15.75" customHeight="1">
      <c r="A93" s="444" t="s">
        <v>98</v>
      </c>
      <c r="B93" s="445" t="s">
        <v>3947</v>
      </c>
      <c r="C93" s="458" t="s">
        <v>3948</v>
      </c>
      <c r="D93" s="449">
        <v>4748841.0</v>
      </c>
      <c r="E93" s="449" t="s">
        <v>669</v>
      </c>
      <c r="F93" s="449" t="s">
        <v>199</v>
      </c>
      <c r="G93" s="449" t="s">
        <v>669</v>
      </c>
      <c r="H93" s="449" t="str">
        <f>IFERROR(VLOOKUP(G93,'Cadastro de assessores'!A:B,2,FALSE),"Não Cadastrado")</f>
        <v>18986</v>
      </c>
      <c r="I93" s="449"/>
      <c r="J93" s="49" t="s">
        <v>224</v>
      </c>
      <c r="K93" s="449" t="s">
        <v>2340</v>
      </c>
      <c r="L93" s="460">
        <v>44215.0</v>
      </c>
      <c r="M93" s="460">
        <v>44215.0</v>
      </c>
      <c r="N93" s="460">
        <v>44719.0</v>
      </c>
      <c r="O93" s="449" t="s">
        <v>2372</v>
      </c>
      <c r="P93" s="452">
        <v>0.025</v>
      </c>
      <c r="Q93" s="461" t="s">
        <v>3949</v>
      </c>
      <c r="R93" s="453"/>
      <c r="S93" s="449" t="str">
        <f t="shared" si="11"/>
        <v/>
      </c>
      <c r="T93" s="449" t="s">
        <v>194</v>
      </c>
      <c r="U93" s="449" t="s">
        <v>3350</v>
      </c>
      <c r="V93" s="449" t="s">
        <v>199</v>
      </c>
      <c r="W93" s="455"/>
      <c r="X93" s="455"/>
      <c r="Y93" s="455"/>
      <c r="Z93" s="455"/>
      <c r="AA93" s="455"/>
      <c r="AB93" s="455"/>
      <c r="AC93" s="455"/>
      <c r="AD93" s="455"/>
      <c r="AE93" s="455"/>
      <c r="AF93" s="455"/>
      <c r="AG93" s="455"/>
      <c r="AH93" s="455"/>
      <c r="AI93" s="455"/>
      <c r="AJ93" s="455"/>
      <c r="AK93" s="456"/>
      <c r="AL93" s="456">
        <v>249727.0</v>
      </c>
      <c r="AM93" s="456">
        <v>243322.85</v>
      </c>
      <c r="AN93" s="456">
        <v>242818.18</v>
      </c>
      <c r="AO93" s="456">
        <v>250418.51</v>
      </c>
      <c r="AP93" s="456">
        <v>251699.24</v>
      </c>
      <c r="AQ93" s="456">
        <v>215492.57</v>
      </c>
      <c r="AR93" s="456">
        <v>221713.63</v>
      </c>
      <c r="AS93" s="456">
        <v>218723.89</v>
      </c>
      <c r="AT93" s="456">
        <v>174595.72</v>
      </c>
      <c r="AU93" s="456">
        <v>172223.71</v>
      </c>
      <c r="AV93" s="456">
        <v>244460.85</v>
      </c>
      <c r="AW93" s="456">
        <v>124071.75</v>
      </c>
      <c r="AX93" s="456">
        <v>121472.21</v>
      </c>
      <c r="AY93" s="456">
        <v>124413.65</v>
      </c>
      <c r="AZ93" s="456">
        <v>132440.34</v>
      </c>
      <c r="BA93" s="456">
        <v>34951.48</v>
      </c>
      <c r="BB93" s="456">
        <v>0.0</v>
      </c>
      <c r="BC93" s="456">
        <v>0.0</v>
      </c>
      <c r="BD93" s="456">
        <v>619.95</v>
      </c>
      <c r="BE93" s="456" t="s">
        <v>377</v>
      </c>
      <c r="BF93" s="456">
        <v>0.0</v>
      </c>
      <c r="BG93" s="456">
        <v>0.0</v>
      </c>
      <c r="BH93" s="456">
        <v>0.0</v>
      </c>
      <c r="BI93" s="456">
        <v>0.0</v>
      </c>
      <c r="BJ93" s="456">
        <v>0.0</v>
      </c>
      <c r="BK93" s="456">
        <v>0.0</v>
      </c>
      <c r="BL93" s="456">
        <v>0.0</v>
      </c>
      <c r="BM93" s="456">
        <v>0.0</v>
      </c>
      <c r="BN93" s="456">
        <v>0.0</v>
      </c>
      <c r="BO93" s="456">
        <v>0.0</v>
      </c>
      <c r="BP93" s="456">
        <v>0.0</v>
      </c>
      <c r="BQ93" s="456">
        <v>0.0</v>
      </c>
      <c r="BR93" s="456">
        <v>0.0</v>
      </c>
      <c r="BS93" s="90" t="s">
        <v>268</v>
      </c>
      <c r="BT93" s="90"/>
    </row>
    <row r="94" ht="15.75" customHeight="1">
      <c r="A94" s="444" t="s">
        <v>98</v>
      </c>
      <c r="B94" s="445" t="s">
        <v>3952</v>
      </c>
      <c r="C94" s="468" t="s">
        <v>3953</v>
      </c>
      <c r="D94" s="446">
        <v>5891248.0</v>
      </c>
      <c r="E94" s="449" t="s">
        <v>120</v>
      </c>
      <c r="F94" s="507" t="s">
        <v>54</v>
      </c>
      <c r="G94" s="449" t="s">
        <v>379</v>
      </c>
      <c r="H94" s="507" t="str">
        <f>IFERROR(VLOOKUP(G94,'Cadastro de assessores'!A:B,2,FALSE),"Não Cadastrado")</f>
        <v>18009</v>
      </c>
      <c r="I94" s="507"/>
      <c r="J94" s="49" t="s">
        <v>224</v>
      </c>
      <c r="K94" s="449" t="s">
        <v>2340</v>
      </c>
      <c r="L94" s="508">
        <v>44385.0</v>
      </c>
      <c r="M94" s="508">
        <v>44385.0</v>
      </c>
      <c r="N94" s="508">
        <v>44650.0</v>
      </c>
      <c r="O94" s="446" t="s">
        <v>2319</v>
      </c>
      <c r="P94" s="452">
        <v>0.02</v>
      </c>
      <c r="Q94" s="461" t="s">
        <v>3954</v>
      </c>
      <c r="R94" s="453"/>
      <c r="S94" s="449" t="str">
        <f t="shared" si="11"/>
        <v>Qualificado</v>
      </c>
      <c r="T94" s="449" t="s">
        <v>194</v>
      </c>
      <c r="U94" s="449" t="s">
        <v>3955</v>
      </c>
      <c r="V94" s="449" t="s">
        <v>618</v>
      </c>
      <c r="W94" s="455"/>
      <c r="X94" s="455"/>
      <c r="Y94" s="455"/>
      <c r="Z94" s="455"/>
      <c r="AA94" s="455"/>
      <c r="AB94" s="455"/>
      <c r="AC94" s="455"/>
      <c r="AD94" s="455"/>
      <c r="AE94" s="455"/>
      <c r="AF94" s="455"/>
      <c r="AG94" s="455"/>
      <c r="AH94" s="455"/>
      <c r="AI94" s="455"/>
      <c r="AJ94" s="455"/>
      <c r="AK94" s="456"/>
      <c r="AL94" s="456"/>
      <c r="AM94" s="456"/>
      <c r="AN94" s="456"/>
      <c r="AO94" s="456"/>
      <c r="AP94" s="456"/>
      <c r="AQ94" s="456"/>
      <c r="AR94" s="456"/>
      <c r="AS94" s="456"/>
      <c r="AT94" s="456">
        <v>150008.05</v>
      </c>
      <c r="AU94" s="456">
        <v>148076.54</v>
      </c>
      <c r="AV94" s="456">
        <v>143699.95</v>
      </c>
      <c r="AW94" s="456">
        <v>136925.11</v>
      </c>
      <c r="AX94" s="456">
        <v>136509.01</v>
      </c>
      <c r="AY94" s="456">
        <v>138172.22</v>
      </c>
      <c r="AZ94" s="456">
        <v>144484.64</v>
      </c>
      <c r="BA94" s="456">
        <v>145748.73</v>
      </c>
      <c r="BB94" s="456">
        <v>152597.54</v>
      </c>
      <c r="BC94" s="456">
        <v>2853631.15</v>
      </c>
      <c r="BD94" s="456" t="s">
        <v>377</v>
      </c>
      <c r="BE94" s="456" t="s">
        <v>377</v>
      </c>
      <c r="BF94" s="456">
        <v>0.0</v>
      </c>
      <c r="BG94" s="456">
        <v>0.0</v>
      </c>
      <c r="BH94" s="456">
        <v>0.0</v>
      </c>
      <c r="BI94" s="456">
        <v>0.0</v>
      </c>
      <c r="BJ94" s="456">
        <v>0.0</v>
      </c>
      <c r="BK94" s="456">
        <v>0.0</v>
      </c>
      <c r="BL94" s="456">
        <v>0.0</v>
      </c>
      <c r="BM94" s="456">
        <v>0.0</v>
      </c>
      <c r="BN94" s="456">
        <v>0.0</v>
      </c>
      <c r="BO94" s="456">
        <v>0.0</v>
      </c>
      <c r="BP94" s="456">
        <v>0.0</v>
      </c>
      <c r="BQ94" s="456">
        <v>0.0</v>
      </c>
      <c r="BR94" s="456">
        <v>0.0</v>
      </c>
      <c r="BS94" s="90" t="s">
        <v>268</v>
      </c>
      <c r="BT94" s="90"/>
    </row>
    <row r="95" ht="15.75" customHeight="1">
      <c r="A95" s="444" t="s">
        <v>98</v>
      </c>
      <c r="B95" s="445" t="s">
        <v>3957</v>
      </c>
      <c r="C95" s="458" t="s">
        <v>3958</v>
      </c>
      <c r="D95" s="449">
        <v>4947220.0</v>
      </c>
      <c r="E95" s="449" t="s">
        <v>120</v>
      </c>
      <c r="F95" s="449" t="s">
        <v>199</v>
      </c>
      <c r="G95" s="449" t="s">
        <v>3959</v>
      </c>
      <c r="H95" s="449">
        <f>IFERROR(VLOOKUP(G95,'Cadastro de assessores'!A:B,2,FALSE),"Não Cadastrado")</f>
        <v>12339</v>
      </c>
      <c r="I95" s="449"/>
      <c r="J95" s="49" t="s">
        <v>224</v>
      </c>
      <c r="K95" s="449" t="s">
        <v>2340</v>
      </c>
      <c r="L95" s="460">
        <v>44277.0</v>
      </c>
      <c r="M95" s="460">
        <v>44277.0</v>
      </c>
      <c r="N95" s="460">
        <v>44781.0</v>
      </c>
      <c r="O95" s="449" t="s">
        <v>2365</v>
      </c>
      <c r="P95" s="452">
        <v>0.012</v>
      </c>
      <c r="Q95" s="461" t="s">
        <v>3961</v>
      </c>
      <c r="R95" s="453"/>
      <c r="S95" s="449" t="str">
        <f t="shared" si="11"/>
        <v>Não Qualificado</v>
      </c>
      <c r="T95" s="449" t="s">
        <v>194</v>
      </c>
      <c r="U95" s="449" t="s">
        <v>2475</v>
      </c>
      <c r="V95" s="449" t="s">
        <v>618</v>
      </c>
      <c r="W95" s="455"/>
      <c r="X95" s="455"/>
      <c r="Y95" s="455"/>
      <c r="Z95" s="455"/>
      <c r="AA95" s="455"/>
      <c r="AB95" s="455"/>
      <c r="AC95" s="455"/>
      <c r="AD95" s="455"/>
      <c r="AE95" s="455"/>
      <c r="AF95" s="455"/>
      <c r="AG95" s="455"/>
      <c r="AH95" s="455"/>
      <c r="AI95" s="455"/>
      <c r="AJ95" s="455"/>
      <c r="AK95" s="456"/>
      <c r="AL95" s="456"/>
      <c r="AM95" s="456"/>
      <c r="AN95" s="456"/>
      <c r="AO95" s="456">
        <v>150812.69</v>
      </c>
      <c r="AP95" s="456">
        <v>151366.6</v>
      </c>
      <c r="AQ95" s="456">
        <v>151085.45</v>
      </c>
      <c r="AR95" s="456">
        <v>148417.9</v>
      </c>
      <c r="AS95" s="456">
        <v>148017.04</v>
      </c>
      <c r="AT95" s="456">
        <v>146721.57</v>
      </c>
      <c r="AU95" s="456">
        <v>146506.39</v>
      </c>
      <c r="AV95" s="456">
        <v>150122.96</v>
      </c>
      <c r="AW95" s="456">
        <v>144128.04</v>
      </c>
      <c r="AX95" s="456">
        <v>149443.76</v>
      </c>
      <c r="AY95" s="456">
        <v>150913.95</v>
      </c>
      <c r="AZ95" s="456">
        <v>152666.89</v>
      </c>
      <c r="BA95" s="456">
        <v>153760.43</v>
      </c>
      <c r="BB95" s="456">
        <v>158086.84</v>
      </c>
      <c r="BC95" s="456">
        <v>218875.33</v>
      </c>
      <c r="BD95" s="456">
        <v>157281.76</v>
      </c>
      <c r="BE95" s="456">
        <v>157002.07</v>
      </c>
      <c r="BF95" s="456">
        <v>159766.73</v>
      </c>
      <c r="BG95" s="456">
        <v>0.0</v>
      </c>
      <c r="BH95" s="456">
        <v>0.0</v>
      </c>
      <c r="BI95" s="456">
        <v>0.0</v>
      </c>
      <c r="BJ95" s="456">
        <v>0.0</v>
      </c>
      <c r="BK95" s="456">
        <v>0.0</v>
      </c>
      <c r="BL95" s="456">
        <v>0.0</v>
      </c>
      <c r="BM95" s="456">
        <v>0.0</v>
      </c>
      <c r="BN95" s="456">
        <v>0.0</v>
      </c>
      <c r="BO95" s="456">
        <v>0.0</v>
      </c>
      <c r="BP95" s="456">
        <v>0.0</v>
      </c>
      <c r="BQ95" s="456">
        <v>0.0</v>
      </c>
      <c r="BR95" s="456">
        <v>0.0</v>
      </c>
      <c r="BS95" s="90" t="s">
        <v>268</v>
      </c>
      <c r="BT95" s="90"/>
    </row>
    <row r="96" ht="15.75" customHeight="1">
      <c r="A96" s="444" t="s">
        <v>98</v>
      </c>
      <c r="B96" s="445" t="s">
        <v>3965</v>
      </c>
      <c r="C96" s="559" t="s">
        <v>3967</v>
      </c>
      <c r="D96" s="448">
        <v>6478648.0</v>
      </c>
      <c r="E96" s="447" t="s">
        <v>120</v>
      </c>
      <c r="F96" s="448" t="s">
        <v>54</v>
      </c>
      <c r="G96" s="490" t="s">
        <v>379</v>
      </c>
      <c r="H96" s="490" t="str">
        <f>IFERROR(VLOOKUP(G96,'Cadastro de assessores'!A:B,2,FALSE),"Não Cadastrado")</f>
        <v>18009</v>
      </c>
      <c r="I96" s="490"/>
      <c r="J96" s="49" t="s">
        <v>224</v>
      </c>
      <c r="K96" s="447" t="s">
        <v>183</v>
      </c>
      <c r="L96" s="450">
        <v>44442.0</v>
      </c>
      <c r="M96" s="450">
        <v>44445.0</v>
      </c>
      <c r="N96" s="459">
        <v>44914.0</v>
      </c>
      <c r="O96" s="449" t="s">
        <v>2356</v>
      </c>
      <c r="P96" s="452">
        <v>0.007</v>
      </c>
      <c r="Q96" s="330" t="s">
        <v>3971</v>
      </c>
      <c r="R96" s="453"/>
      <c r="S96" s="449" t="str">
        <f t="shared" si="11"/>
        <v>Não Qualificado</v>
      </c>
      <c r="T96" s="449" t="s">
        <v>194</v>
      </c>
      <c r="U96" s="449" t="s">
        <v>3587</v>
      </c>
      <c r="V96" s="446" t="s">
        <v>54</v>
      </c>
      <c r="W96" s="454"/>
      <c r="X96" s="454"/>
      <c r="Y96" s="454"/>
      <c r="Z96" s="454"/>
      <c r="AA96" s="454"/>
      <c r="AB96" s="454"/>
      <c r="AC96" s="454"/>
      <c r="AD96" s="454"/>
      <c r="AE96" s="454"/>
      <c r="AF96" s="454"/>
      <c r="AG96" s="454"/>
      <c r="AH96" s="455"/>
      <c r="AI96" s="455"/>
      <c r="AJ96" s="456"/>
      <c r="AK96" s="456"/>
      <c r="AL96" s="456"/>
      <c r="AM96" s="456"/>
      <c r="AN96" s="456"/>
      <c r="AO96" s="456"/>
      <c r="AP96" s="456"/>
      <c r="AQ96" s="456"/>
      <c r="AR96" s="456"/>
      <c r="AS96" s="538"/>
      <c r="AT96" s="481"/>
      <c r="AU96" s="481"/>
      <c r="AV96" s="456">
        <v>297488.08</v>
      </c>
      <c r="AW96" s="456">
        <v>294524.17</v>
      </c>
      <c r="AX96" s="456">
        <v>288767.11</v>
      </c>
      <c r="AY96" s="456">
        <v>291862.29</v>
      </c>
      <c r="AZ96" s="456">
        <v>294452.0</v>
      </c>
      <c r="BA96" s="456">
        <v>296620.5</v>
      </c>
      <c r="BB96" s="456">
        <v>299685.82</v>
      </c>
      <c r="BC96" s="456">
        <v>195987.57</v>
      </c>
      <c r="BD96" s="456">
        <v>236196.34</v>
      </c>
      <c r="BE96" s="456">
        <v>202739.8</v>
      </c>
      <c r="BF96" s="456">
        <v>170632.19</v>
      </c>
      <c r="BG96" s="456">
        <v>171250.6338</v>
      </c>
      <c r="BH96" s="456">
        <v>172148.08</v>
      </c>
      <c r="BI96" s="456">
        <v>142866.96</v>
      </c>
      <c r="BJ96" s="456">
        <v>144168.4</v>
      </c>
      <c r="BK96" s="456">
        <v>0.0</v>
      </c>
      <c r="BL96" s="456">
        <v>0.0</v>
      </c>
      <c r="BM96" s="456">
        <v>0.0</v>
      </c>
      <c r="BN96" s="456">
        <v>0.0</v>
      </c>
      <c r="BO96" s="456">
        <v>0.0</v>
      </c>
      <c r="BP96" s="456">
        <v>0.0</v>
      </c>
      <c r="BQ96" s="456">
        <v>0.0</v>
      </c>
      <c r="BR96" s="456">
        <v>0.0</v>
      </c>
      <c r="BS96" s="90" t="s">
        <v>268</v>
      </c>
      <c r="BT96" s="90"/>
    </row>
    <row r="97" ht="15.75" customHeight="1">
      <c r="A97" s="444" t="s">
        <v>98</v>
      </c>
      <c r="B97" s="445" t="s">
        <v>3977</v>
      </c>
      <c r="C97" s="458" t="s">
        <v>3978</v>
      </c>
      <c r="D97" s="449">
        <v>4553905.0</v>
      </c>
      <c r="E97" s="447" t="s">
        <v>255</v>
      </c>
      <c r="F97" s="447" t="s">
        <v>199</v>
      </c>
      <c r="G97" s="447" t="s">
        <v>3979</v>
      </c>
      <c r="H97" s="447" t="str">
        <f>IFERROR(VLOOKUP(G97,'Cadastro de assessores'!A:B,2,FALSE),"Não Cadastrado")</f>
        <v>19157</v>
      </c>
      <c r="I97" s="447"/>
      <c r="J97" s="49" t="s">
        <v>2318</v>
      </c>
      <c r="K97" s="449" t="s">
        <v>295</v>
      </c>
      <c r="L97" s="451">
        <v>44130.0</v>
      </c>
      <c r="M97" s="451">
        <v>44132.0</v>
      </c>
      <c r="N97" s="446"/>
      <c r="O97" s="446" t="s">
        <v>2319</v>
      </c>
      <c r="P97" s="452">
        <v>0.02</v>
      </c>
      <c r="Q97" s="461"/>
      <c r="R97" s="453"/>
      <c r="S97" s="449" t="str">
        <f t="shared" si="11"/>
        <v/>
      </c>
      <c r="T97" s="449" t="s">
        <v>194</v>
      </c>
      <c r="U97" s="449" t="s">
        <v>2383</v>
      </c>
      <c r="V97" s="449" t="s">
        <v>199</v>
      </c>
      <c r="W97" s="455" t="s">
        <v>2344</v>
      </c>
      <c r="X97" s="455" t="s">
        <v>2344</v>
      </c>
      <c r="Y97" s="455" t="s">
        <v>2344</v>
      </c>
      <c r="Z97" s="455" t="s">
        <v>2344</v>
      </c>
      <c r="AA97" s="455" t="s">
        <v>2344</v>
      </c>
      <c r="AB97" s="455" t="s">
        <v>2344</v>
      </c>
      <c r="AC97" s="455" t="s">
        <v>2344</v>
      </c>
      <c r="AD97" s="455" t="s">
        <v>2344</v>
      </c>
      <c r="AE97" s="455" t="s">
        <v>2344</v>
      </c>
      <c r="AF97" s="455" t="s">
        <v>2344</v>
      </c>
      <c r="AG97" s="455" t="s">
        <v>2344</v>
      </c>
      <c r="AH97" s="455" t="s">
        <v>2344</v>
      </c>
      <c r="AI97" s="455" t="s">
        <v>3982</v>
      </c>
      <c r="AJ97" s="455" t="s">
        <v>3983</v>
      </c>
      <c r="AK97" s="456">
        <v>336245.25</v>
      </c>
      <c r="AL97" s="456">
        <v>327508.7</v>
      </c>
      <c r="AM97" s="456">
        <v>2271.16</v>
      </c>
      <c r="AN97" s="456">
        <v>2283.37</v>
      </c>
      <c r="AO97" s="456">
        <v>673.61</v>
      </c>
      <c r="AP97" s="456">
        <v>672.82</v>
      </c>
      <c r="AQ97" s="456">
        <v>672.62</v>
      </c>
      <c r="AR97" s="456">
        <v>471.67</v>
      </c>
      <c r="AS97" s="456">
        <v>470.83</v>
      </c>
      <c r="AT97" s="456">
        <v>148.06</v>
      </c>
      <c r="AU97" s="456">
        <v>147.84</v>
      </c>
      <c r="AV97" s="456"/>
      <c r="AW97" s="456">
        <v>147.43</v>
      </c>
      <c r="AX97" s="456">
        <v>147.23</v>
      </c>
      <c r="AY97" s="456"/>
      <c r="AZ97" s="456"/>
      <c r="BA97" s="456">
        <v>0.0</v>
      </c>
      <c r="BB97" s="456">
        <v>0.0</v>
      </c>
      <c r="BC97" s="456"/>
      <c r="BD97" s="456" t="s">
        <v>377</v>
      </c>
      <c r="BE97" s="456" t="s">
        <v>377</v>
      </c>
      <c r="BF97" s="456">
        <v>0.0</v>
      </c>
      <c r="BG97" s="456">
        <v>0.0</v>
      </c>
      <c r="BH97" s="456">
        <v>0.0</v>
      </c>
      <c r="BI97" s="456">
        <v>0.0</v>
      </c>
      <c r="BJ97" s="456">
        <v>0.0</v>
      </c>
      <c r="BK97" s="456">
        <v>0.0</v>
      </c>
      <c r="BL97" s="456">
        <v>0.0</v>
      </c>
      <c r="BM97" s="456">
        <v>0.0</v>
      </c>
      <c r="BN97" s="456">
        <v>0.0</v>
      </c>
      <c r="BO97" s="456">
        <v>0.0</v>
      </c>
      <c r="BP97" s="456">
        <v>0.0</v>
      </c>
      <c r="BQ97" s="456">
        <v>0.0</v>
      </c>
      <c r="BR97" s="456">
        <v>0.0</v>
      </c>
      <c r="BS97" s="90">
        <v>0.0</v>
      </c>
      <c r="BT97" s="90"/>
    </row>
    <row r="98" ht="15.75" customHeight="1">
      <c r="A98" s="444" t="s">
        <v>98</v>
      </c>
      <c r="B98" s="445" t="s">
        <v>551</v>
      </c>
      <c r="C98" s="458" t="s">
        <v>544</v>
      </c>
      <c r="D98" s="449">
        <v>4425922.0</v>
      </c>
      <c r="E98" s="449" t="s">
        <v>255</v>
      </c>
      <c r="F98" s="449" t="s">
        <v>199</v>
      </c>
      <c r="G98" s="449" t="s">
        <v>548</v>
      </c>
      <c r="H98" s="449" t="str">
        <f>IFERROR(VLOOKUP(G98,'Cadastro de assessores'!A:B,2,FALSE),"Não Cadastrado")</f>
        <v>14574</v>
      </c>
      <c r="I98" s="449"/>
      <c r="J98" s="49" t="s">
        <v>224</v>
      </c>
      <c r="K98" s="449" t="s">
        <v>2340</v>
      </c>
      <c r="L98" s="460">
        <v>44076.0</v>
      </c>
      <c r="M98" s="460">
        <v>44076.0</v>
      </c>
      <c r="N98" s="449"/>
      <c r="O98" s="449" t="s">
        <v>2341</v>
      </c>
      <c r="P98" s="452">
        <v>0.015</v>
      </c>
      <c r="Q98" s="461" t="s">
        <v>3991</v>
      </c>
      <c r="R98" s="453"/>
      <c r="S98" s="449" t="str">
        <f t="shared" si="11"/>
        <v/>
      </c>
      <c r="T98" s="449" t="s">
        <v>194</v>
      </c>
      <c r="U98" s="449" t="s">
        <v>2401</v>
      </c>
      <c r="V98" s="449" t="s">
        <v>199</v>
      </c>
      <c r="W98" s="455" t="s">
        <v>2344</v>
      </c>
      <c r="X98" s="455" t="s">
        <v>2344</v>
      </c>
      <c r="Y98" s="455" t="s">
        <v>2344</v>
      </c>
      <c r="Z98" s="455" t="s">
        <v>2344</v>
      </c>
      <c r="AA98" s="455" t="s">
        <v>2344</v>
      </c>
      <c r="AB98" s="455" t="s">
        <v>2344</v>
      </c>
      <c r="AC98" s="455" t="s">
        <v>2344</v>
      </c>
      <c r="AD98" s="455" t="s">
        <v>2344</v>
      </c>
      <c r="AE98" s="455" t="s">
        <v>2344</v>
      </c>
      <c r="AF98" s="455" t="s">
        <v>2344</v>
      </c>
      <c r="AG98" s="455" t="s">
        <v>2344</v>
      </c>
      <c r="AH98" s="455" t="s">
        <v>3994</v>
      </c>
      <c r="AI98" s="455" t="s">
        <v>3996</v>
      </c>
      <c r="AJ98" s="455" t="s">
        <v>3997</v>
      </c>
      <c r="AK98" s="456">
        <v>332622.02</v>
      </c>
      <c r="AL98" s="456">
        <v>356716.66</v>
      </c>
      <c r="AM98" s="456">
        <v>350126.55</v>
      </c>
      <c r="AN98" s="456">
        <v>349090.27</v>
      </c>
      <c r="AO98" s="456">
        <v>353327.56</v>
      </c>
      <c r="AP98" s="456">
        <v>334305.97</v>
      </c>
      <c r="AQ98" s="456">
        <v>353443.95</v>
      </c>
      <c r="AR98" s="456">
        <v>360751.78</v>
      </c>
      <c r="AS98" s="456">
        <v>357800.14</v>
      </c>
      <c r="AT98" s="456">
        <v>350755.04</v>
      </c>
      <c r="AU98" s="456">
        <v>348476.75</v>
      </c>
      <c r="AV98" s="456">
        <v>342229.3</v>
      </c>
      <c r="AW98" s="456">
        <v>329338.04</v>
      </c>
      <c r="AX98" s="456">
        <v>330257.68</v>
      </c>
      <c r="AY98" s="456">
        <v>335131.51</v>
      </c>
      <c r="AZ98" s="456">
        <v>344623.91</v>
      </c>
      <c r="BA98" s="456">
        <v>347228.85</v>
      </c>
      <c r="BB98" s="456">
        <v>359653.09</v>
      </c>
      <c r="BC98" s="456"/>
      <c r="BD98" s="456">
        <v>357090.15</v>
      </c>
      <c r="BE98" s="456">
        <v>355228.29</v>
      </c>
      <c r="BF98" s="456">
        <v>142544.19</v>
      </c>
      <c r="BG98" s="456">
        <v>192.99</v>
      </c>
      <c r="BH98" s="456">
        <v>193.57</v>
      </c>
      <c r="BI98" s="456">
        <v>193.57</v>
      </c>
      <c r="BJ98" s="456">
        <v>193.57</v>
      </c>
      <c r="BK98" s="456">
        <v>193.57</v>
      </c>
      <c r="BL98" s="456">
        <v>0.0</v>
      </c>
      <c r="BM98" s="456">
        <v>0.0</v>
      </c>
      <c r="BN98" s="456">
        <v>0.0</v>
      </c>
      <c r="BO98" s="456">
        <v>0.0</v>
      </c>
      <c r="BP98" s="456">
        <v>0.0</v>
      </c>
      <c r="BQ98" s="456">
        <v>0.0</v>
      </c>
      <c r="BR98" s="456">
        <v>0.0</v>
      </c>
      <c r="BS98" s="90" t="s">
        <v>268</v>
      </c>
      <c r="BT98" s="90"/>
    </row>
    <row r="99" ht="21.75" customHeight="1">
      <c r="A99" s="444" t="s">
        <v>98</v>
      </c>
      <c r="B99" s="445" t="s">
        <v>4007</v>
      </c>
      <c r="C99" s="468" t="s">
        <v>4008</v>
      </c>
      <c r="D99" s="540">
        <v>3863949.0</v>
      </c>
      <c r="E99" s="507" t="s">
        <v>120</v>
      </c>
      <c r="F99" s="507" t="s">
        <v>54</v>
      </c>
      <c r="G99" s="449" t="s">
        <v>348</v>
      </c>
      <c r="H99" s="449">
        <f>IFERROR(VLOOKUP(G99,'Cadastro de assessores'!A:B,2,FALSE),"Não Cadastrado")</f>
        <v>12331</v>
      </c>
      <c r="I99" s="449"/>
      <c r="J99" s="49" t="s">
        <v>224</v>
      </c>
      <c r="K99" s="449" t="s">
        <v>2340</v>
      </c>
      <c r="L99" s="460">
        <v>44648.0</v>
      </c>
      <c r="M99" s="460">
        <v>44648.0</v>
      </c>
      <c r="N99" s="460">
        <v>44796.0</v>
      </c>
      <c r="O99" s="449" t="s">
        <v>2341</v>
      </c>
      <c r="P99" s="452">
        <v>0.0</v>
      </c>
      <c r="Q99" s="569" t="s">
        <v>4009</v>
      </c>
      <c r="R99" s="453"/>
      <c r="S99" s="449" t="str">
        <f t="shared" si="11"/>
        <v>Não Qualificado</v>
      </c>
      <c r="T99" s="449" t="s">
        <v>194</v>
      </c>
      <c r="U99" s="449" t="s">
        <v>2438</v>
      </c>
      <c r="V99" s="449" t="s">
        <v>54</v>
      </c>
      <c r="W99" s="455"/>
      <c r="X99" s="455"/>
      <c r="Y99" s="455"/>
      <c r="Z99" s="455"/>
      <c r="AA99" s="455"/>
      <c r="AB99" s="455"/>
      <c r="AC99" s="455"/>
      <c r="AD99" s="455"/>
      <c r="AE99" s="455"/>
      <c r="AF99" s="455"/>
      <c r="AG99" s="455"/>
      <c r="AH99" s="455"/>
      <c r="AI99" s="455"/>
      <c r="AJ99" s="455"/>
      <c r="AK99" s="456"/>
      <c r="AL99" s="456"/>
      <c r="AM99" s="456"/>
      <c r="AN99" s="456"/>
      <c r="AO99" s="456"/>
      <c r="AP99" s="456"/>
      <c r="AQ99" s="456"/>
      <c r="AR99" s="456"/>
      <c r="AS99" s="456"/>
      <c r="AT99" s="456"/>
      <c r="AU99" s="456"/>
      <c r="AV99" s="456"/>
      <c r="AW99" s="456"/>
      <c r="AX99" s="456"/>
      <c r="AY99" s="456"/>
      <c r="AZ99" s="456"/>
      <c r="BA99" s="456"/>
      <c r="BB99" s="456"/>
      <c r="BC99" s="456">
        <v>418602.28</v>
      </c>
      <c r="BD99" s="456" t="s">
        <v>377</v>
      </c>
      <c r="BE99" s="456">
        <v>736159.95</v>
      </c>
      <c r="BF99" s="456">
        <v>813166.53</v>
      </c>
      <c r="BG99" s="456">
        <v>0.0</v>
      </c>
      <c r="BH99" s="456">
        <v>0.0</v>
      </c>
      <c r="BI99" s="456">
        <v>0.0</v>
      </c>
      <c r="BJ99" s="456">
        <v>0.0</v>
      </c>
      <c r="BK99" s="456">
        <v>0.0</v>
      </c>
      <c r="BL99" s="456">
        <v>0.0</v>
      </c>
      <c r="BM99" s="456">
        <v>0.0</v>
      </c>
      <c r="BN99" s="456">
        <v>0.0</v>
      </c>
      <c r="BO99" s="456">
        <v>0.0</v>
      </c>
      <c r="BP99" s="456">
        <v>0.0</v>
      </c>
      <c r="BQ99" s="456">
        <v>0.0</v>
      </c>
      <c r="BR99" s="456">
        <v>0.0</v>
      </c>
      <c r="BS99" s="90" t="s">
        <v>268</v>
      </c>
      <c r="BT99" s="90"/>
    </row>
    <row r="100" ht="15.75" customHeight="1">
      <c r="A100" s="444" t="s">
        <v>98</v>
      </c>
      <c r="B100" s="445" t="s">
        <v>4007</v>
      </c>
      <c r="C100" s="468" t="s">
        <v>4008</v>
      </c>
      <c r="D100" s="570">
        <v>8165220.0</v>
      </c>
      <c r="E100" s="507" t="s">
        <v>120</v>
      </c>
      <c r="F100" s="507" t="s">
        <v>54</v>
      </c>
      <c r="G100" s="449" t="s">
        <v>348</v>
      </c>
      <c r="H100" s="449">
        <f>IFERROR(VLOOKUP(G100,'Cadastro de assessores'!A:B,2,FALSE),"Não Cadastrado")</f>
        <v>12331</v>
      </c>
      <c r="I100" s="449"/>
      <c r="J100" s="49" t="s">
        <v>224</v>
      </c>
      <c r="K100" s="449" t="s">
        <v>2340</v>
      </c>
      <c r="L100" s="460">
        <v>44648.0</v>
      </c>
      <c r="M100" s="460">
        <v>44648.0</v>
      </c>
      <c r="N100" s="460">
        <v>44796.0</v>
      </c>
      <c r="O100" s="449" t="s">
        <v>2341</v>
      </c>
      <c r="P100" s="452">
        <v>0.015</v>
      </c>
      <c r="Q100" s="330" t="s">
        <v>4016</v>
      </c>
      <c r="R100" s="453"/>
      <c r="S100" s="449" t="str">
        <f t="shared" si="11"/>
        <v/>
      </c>
      <c r="T100" s="449" t="s">
        <v>194</v>
      </c>
      <c r="U100" s="449" t="s">
        <v>2438</v>
      </c>
      <c r="V100" s="449" t="s">
        <v>54</v>
      </c>
      <c r="W100" s="455"/>
      <c r="X100" s="455"/>
      <c r="Y100" s="455"/>
      <c r="Z100" s="455"/>
      <c r="AA100" s="455"/>
      <c r="AB100" s="455"/>
      <c r="AC100" s="455"/>
      <c r="AD100" s="455"/>
      <c r="AE100" s="455"/>
      <c r="AF100" s="455"/>
      <c r="AG100" s="455"/>
      <c r="AH100" s="455"/>
      <c r="AI100" s="455"/>
      <c r="AJ100" s="455"/>
      <c r="AK100" s="456"/>
      <c r="AL100" s="456"/>
      <c r="AM100" s="456"/>
      <c r="AN100" s="456"/>
      <c r="AO100" s="456"/>
      <c r="AP100" s="456"/>
      <c r="AQ100" s="456"/>
      <c r="AR100" s="456"/>
      <c r="AS100" s="456"/>
      <c r="AT100" s="456"/>
      <c r="AU100" s="456"/>
      <c r="AV100" s="456"/>
      <c r="AW100" s="456"/>
      <c r="AX100" s="456"/>
      <c r="AY100" s="456"/>
      <c r="AZ100" s="456"/>
      <c r="BA100" s="456"/>
      <c r="BB100" s="456">
        <v>797478.62</v>
      </c>
      <c r="BC100" s="456"/>
      <c r="BD100" s="456">
        <v>1622117.01</v>
      </c>
      <c r="BE100" s="456">
        <v>1609817.88</v>
      </c>
      <c r="BF100" s="456">
        <v>1636731.16</v>
      </c>
      <c r="BG100" s="456">
        <v>0.0</v>
      </c>
      <c r="BH100" s="456">
        <v>0.0</v>
      </c>
      <c r="BI100" s="456">
        <v>0.0</v>
      </c>
      <c r="BJ100" s="456">
        <v>0.0</v>
      </c>
      <c r="BK100" s="456">
        <v>0.0</v>
      </c>
      <c r="BL100" s="456">
        <v>0.0</v>
      </c>
      <c r="BM100" s="456">
        <v>0.0</v>
      </c>
      <c r="BN100" s="456">
        <v>0.0</v>
      </c>
      <c r="BO100" s="456">
        <v>0.0</v>
      </c>
      <c r="BP100" s="456">
        <v>0.0</v>
      </c>
      <c r="BQ100" s="456">
        <v>0.0</v>
      </c>
      <c r="BR100" s="456">
        <v>0.0</v>
      </c>
      <c r="BS100" s="90" t="s">
        <v>268</v>
      </c>
      <c r="BT100" s="90"/>
    </row>
    <row r="101" ht="15.75" customHeight="1">
      <c r="A101" s="444" t="s">
        <v>98</v>
      </c>
      <c r="B101" s="445" t="s">
        <v>4020</v>
      </c>
      <c r="C101" s="458" t="s">
        <v>4022</v>
      </c>
      <c r="D101" s="449">
        <v>4638237.0</v>
      </c>
      <c r="E101" s="449" t="s">
        <v>255</v>
      </c>
      <c r="F101" s="449" t="s">
        <v>199</v>
      </c>
      <c r="G101" s="449" t="s">
        <v>3877</v>
      </c>
      <c r="H101" s="449" t="str">
        <f>IFERROR(VLOOKUP(G101,'Cadastro de assessores'!A:B,2,FALSE),"Não Cadastrado")</f>
        <v>15049</v>
      </c>
      <c r="I101" s="449"/>
      <c r="J101" s="49" t="s">
        <v>224</v>
      </c>
      <c r="K101" s="449" t="s">
        <v>2340</v>
      </c>
      <c r="L101" s="459"/>
      <c r="M101" s="459">
        <v>44186.0</v>
      </c>
      <c r="N101" s="460">
        <v>44803.0</v>
      </c>
      <c r="O101" s="449" t="s">
        <v>2365</v>
      </c>
      <c r="P101" s="452">
        <v>0.012</v>
      </c>
      <c r="Q101" s="461" t="s">
        <v>4024</v>
      </c>
      <c r="R101" s="453"/>
      <c r="S101" s="449" t="str">
        <f t="shared" si="11"/>
        <v>Não Qualificado</v>
      </c>
      <c r="T101" s="449" t="s">
        <v>194</v>
      </c>
      <c r="U101" s="449" t="s">
        <v>4025</v>
      </c>
      <c r="V101" s="449" t="s">
        <v>724</v>
      </c>
      <c r="W101" s="455" t="s">
        <v>2344</v>
      </c>
      <c r="X101" s="455" t="s">
        <v>2344</v>
      </c>
      <c r="Y101" s="455" t="s">
        <v>2344</v>
      </c>
      <c r="Z101" s="455" t="s">
        <v>2344</v>
      </c>
      <c r="AA101" s="455" t="s">
        <v>2344</v>
      </c>
      <c r="AB101" s="455" t="s">
        <v>2344</v>
      </c>
      <c r="AC101" s="455" t="s">
        <v>2344</v>
      </c>
      <c r="AD101" s="455" t="s">
        <v>2344</v>
      </c>
      <c r="AE101" s="455" t="s">
        <v>2344</v>
      </c>
      <c r="AF101" s="455" t="s">
        <v>2344</v>
      </c>
      <c r="AG101" s="455" t="s">
        <v>2344</v>
      </c>
      <c r="AH101" s="455" t="s">
        <v>2344</v>
      </c>
      <c r="AI101" s="455" t="s">
        <v>2344</v>
      </c>
      <c r="AJ101" s="455" t="s">
        <v>2344</v>
      </c>
      <c r="AK101" s="456">
        <v>334010.75</v>
      </c>
      <c r="AL101" s="456">
        <v>332253.71</v>
      </c>
      <c r="AM101" s="456">
        <v>327468.32</v>
      </c>
      <c r="AN101" s="456">
        <v>327192.17</v>
      </c>
      <c r="AO101" s="456">
        <v>331871.26</v>
      </c>
      <c r="AP101" s="456">
        <v>333008.95</v>
      </c>
      <c r="AQ101" s="456">
        <v>332375.94</v>
      </c>
      <c r="AR101" s="456">
        <v>336309.33</v>
      </c>
      <c r="AS101" s="456">
        <v>335654.58</v>
      </c>
      <c r="AT101" s="456">
        <v>333100.16</v>
      </c>
      <c r="AU101" s="456">
        <v>332839.44</v>
      </c>
      <c r="AV101" s="456">
        <v>329388.09</v>
      </c>
      <c r="AW101" s="456">
        <v>322475.07</v>
      </c>
      <c r="AX101" s="456">
        <v>324334.38</v>
      </c>
      <c r="AY101" s="456">
        <v>326703.99</v>
      </c>
      <c r="AZ101" s="456">
        <v>330897.99</v>
      </c>
      <c r="BA101" s="456">
        <v>332362.58</v>
      </c>
      <c r="BB101" s="456">
        <v>341339.7</v>
      </c>
      <c r="BC101" s="456">
        <v>378490.65</v>
      </c>
      <c r="BD101" s="456">
        <v>345720.65</v>
      </c>
      <c r="BE101" s="456">
        <v>346261.72</v>
      </c>
      <c r="BF101" s="456">
        <v>350112.51</v>
      </c>
      <c r="BG101" s="456">
        <v>399695.2839</v>
      </c>
      <c r="BH101" s="456">
        <v>0.0</v>
      </c>
      <c r="BI101" s="456">
        <v>0.0</v>
      </c>
      <c r="BJ101" s="456">
        <v>0.0</v>
      </c>
      <c r="BK101" s="456">
        <v>0.0</v>
      </c>
      <c r="BL101" s="456">
        <v>0.0</v>
      </c>
      <c r="BM101" s="456">
        <v>0.0</v>
      </c>
      <c r="BN101" s="456">
        <v>0.0</v>
      </c>
      <c r="BO101" s="456">
        <v>0.0</v>
      </c>
      <c r="BP101" s="456">
        <v>0.0</v>
      </c>
      <c r="BQ101" s="456">
        <v>0.0</v>
      </c>
      <c r="BR101" s="456">
        <v>0.0</v>
      </c>
      <c r="BS101" s="90" t="s">
        <v>268</v>
      </c>
      <c r="BT101" s="90"/>
    </row>
    <row r="102" ht="15.75" customHeight="1">
      <c r="A102" s="444" t="s">
        <v>98</v>
      </c>
      <c r="B102" s="445" t="s">
        <v>4030</v>
      </c>
      <c r="C102" s="458" t="s">
        <v>4031</v>
      </c>
      <c r="D102" s="449">
        <v>9920.0</v>
      </c>
      <c r="E102" s="449" t="s">
        <v>255</v>
      </c>
      <c r="F102" s="449" t="s">
        <v>199</v>
      </c>
      <c r="G102" s="449" t="s">
        <v>255</v>
      </c>
      <c r="H102" s="449" t="str">
        <f>IFERROR(VLOOKUP(G102,'Cadastro de assessores'!A:B,2,FALSE),"Não Cadastrado")</f>
        <v>13489</v>
      </c>
      <c r="I102" s="449"/>
      <c r="J102" s="49" t="s">
        <v>224</v>
      </c>
      <c r="K102" s="449"/>
      <c r="L102" s="460"/>
      <c r="M102" s="460">
        <v>44105.0</v>
      </c>
      <c r="N102" s="460">
        <v>44777.0</v>
      </c>
      <c r="O102" s="449" t="s">
        <v>4032</v>
      </c>
      <c r="P102" s="452">
        <v>0.015</v>
      </c>
      <c r="Q102" s="207" t="s">
        <v>4033</v>
      </c>
      <c r="R102" s="453"/>
      <c r="S102" s="449" t="str">
        <f t="shared" si="11"/>
        <v>Não Qualificado</v>
      </c>
      <c r="T102" s="449" t="s">
        <v>4034</v>
      </c>
      <c r="U102" s="449" t="s">
        <v>3820</v>
      </c>
      <c r="V102" s="449" t="s">
        <v>397</v>
      </c>
      <c r="W102" s="455" t="s">
        <v>2344</v>
      </c>
      <c r="X102" s="455" t="s">
        <v>2344</v>
      </c>
      <c r="Y102" s="455" t="s">
        <v>2344</v>
      </c>
      <c r="Z102" s="455" t="s">
        <v>2344</v>
      </c>
      <c r="AA102" s="455" t="s">
        <v>2344</v>
      </c>
      <c r="AB102" s="455" t="s">
        <v>2344</v>
      </c>
      <c r="AC102" s="455" t="s">
        <v>2344</v>
      </c>
      <c r="AD102" s="455" t="s">
        <v>2344</v>
      </c>
      <c r="AE102" s="455" t="s">
        <v>2344</v>
      </c>
      <c r="AF102" s="455" t="s">
        <v>2344</v>
      </c>
      <c r="AG102" s="455" t="s">
        <v>2344</v>
      </c>
      <c r="AH102" s="455" t="s">
        <v>2344</v>
      </c>
      <c r="AI102" s="455" t="s">
        <v>2344</v>
      </c>
      <c r="AJ102" s="455" t="s">
        <v>4035</v>
      </c>
      <c r="AK102" s="456">
        <v>2771534.06</v>
      </c>
      <c r="AL102" s="456">
        <v>2885886.28</v>
      </c>
      <c r="AM102" s="456">
        <v>3436838.54</v>
      </c>
      <c r="AN102" s="456">
        <v>3293949.6</v>
      </c>
      <c r="AO102" s="456"/>
      <c r="AP102" s="456"/>
      <c r="AQ102" s="456"/>
      <c r="AR102" s="456"/>
      <c r="AS102" s="456"/>
      <c r="AT102" s="456"/>
      <c r="AU102" s="456"/>
      <c r="AV102" s="456">
        <v>4909388.92</v>
      </c>
      <c r="AW102" s="456" t="s">
        <v>4039</v>
      </c>
      <c r="AX102" s="456">
        <v>5865279.99</v>
      </c>
      <c r="AY102" s="456">
        <v>5913319.64</v>
      </c>
      <c r="AZ102" s="456">
        <v>5677638.3</v>
      </c>
      <c r="BA102" s="456">
        <v>0.0</v>
      </c>
      <c r="BB102" s="456">
        <v>5213099.86</v>
      </c>
      <c r="BC102" s="456">
        <v>380705.62</v>
      </c>
      <c r="BD102" s="456">
        <v>5054957.01</v>
      </c>
      <c r="BE102" s="456">
        <v>4679038.54</v>
      </c>
      <c r="BF102" s="456">
        <v>2812337.42</v>
      </c>
      <c r="BG102" s="456">
        <v>2909721.52</v>
      </c>
      <c r="BH102" s="456">
        <v>2487945.54</v>
      </c>
      <c r="BI102" s="456">
        <v>2461411.44</v>
      </c>
      <c r="BJ102" s="456">
        <v>0.0</v>
      </c>
      <c r="BK102" s="456">
        <v>0.0</v>
      </c>
      <c r="BL102" s="456">
        <v>0.0</v>
      </c>
      <c r="BM102" s="456">
        <v>0.0</v>
      </c>
      <c r="BN102" s="456">
        <v>0.0</v>
      </c>
      <c r="BO102" s="456">
        <v>0.0</v>
      </c>
      <c r="BP102" s="456">
        <v>0.0</v>
      </c>
      <c r="BQ102" s="456">
        <v>0.0</v>
      </c>
      <c r="BR102" s="456">
        <v>0.0</v>
      </c>
      <c r="BS102" s="90" t="s">
        <v>268</v>
      </c>
      <c r="BT102" s="90"/>
    </row>
    <row r="103" ht="15.75" customHeight="1">
      <c r="A103" s="444" t="s">
        <v>98</v>
      </c>
      <c r="B103" s="445" t="s">
        <v>4042</v>
      </c>
      <c r="C103" s="468" t="s">
        <v>4043</v>
      </c>
      <c r="D103" s="507">
        <v>4422283.0</v>
      </c>
      <c r="E103" s="449" t="s">
        <v>255</v>
      </c>
      <c r="F103" s="507" t="s">
        <v>199</v>
      </c>
      <c r="G103" s="449" t="s">
        <v>4044</v>
      </c>
      <c r="H103" s="449" t="str">
        <f>IFERROR(VLOOKUP(G103,'Cadastro de assessores'!A:B,2,FALSE),"Não Cadastrado")</f>
        <v>17489</v>
      </c>
      <c r="I103" s="449"/>
      <c r="J103" s="49" t="s">
        <v>224</v>
      </c>
      <c r="K103" s="449" t="s">
        <v>2340</v>
      </c>
      <c r="L103" s="460">
        <v>44091.0</v>
      </c>
      <c r="M103" s="460">
        <v>44091.0</v>
      </c>
      <c r="N103" s="460">
        <v>44692.0</v>
      </c>
      <c r="O103" s="449" t="s">
        <v>2372</v>
      </c>
      <c r="P103" s="452">
        <v>0.025</v>
      </c>
      <c r="Q103" s="461" t="s">
        <v>2918</v>
      </c>
      <c r="R103" s="453"/>
      <c r="S103" s="449" t="str">
        <f t="shared" si="11"/>
        <v>Não Qualificado</v>
      </c>
      <c r="T103" s="449" t="s">
        <v>194</v>
      </c>
      <c r="U103" s="449" t="s">
        <v>2401</v>
      </c>
      <c r="V103" s="449" t="s">
        <v>199</v>
      </c>
      <c r="W103" s="455" t="s">
        <v>2344</v>
      </c>
      <c r="X103" s="455" t="s">
        <v>2344</v>
      </c>
      <c r="Y103" s="455" t="s">
        <v>2344</v>
      </c>
      <c r="Z103" s="455" t="s">
        <v>2344</v>
      </c>
      <c r="AA103" s="455" t="s">
        <v>2344</v>
      </c>
      <c r="AB103" s="455" t="s">
        <v>2344</v>
      </c>
      <c r="AC103" s="455" t="s">
        <v>2344</v>
      </c>
      <c r="AD103" s="455" t="s">
        <v>2344</v>
      </c>
      <c r="AE103" s="455" t="s">
        <v>2344</v>
      </c>
      <c r="AF103" s="455" t="s">
        <v>2344</v>
      </c>
      <c r="AG103" s="455" t="s">
        <v>2344</v>
      </c>
      <c r="AH103" s="455" t="s">
        <v>4046</v>
      </c>
      <c r="AI103" s="455" t="s">
        <v>4047</v>
      </c>
      <c r="AJ103" s="455" t="s">
        <v>4049</v>
      </c>
      <c r="AK103" s="456">
        <v>228059.23</v>
      </c>
      <c r="AL103" s="456">
        <v>236874.14</v>
      </c>
      <c r="AM103" s="456">
        <v>217444.9</v>
      </c>
      <c r="AN103" s="456">
        <v>213642.96</v>
      </c>
      <c r="AO103" s="456">
        <v>229999.93</v>
      </c>
      <c r="AP103" s="456">
        <v>233074.92</v>
      </c>
      <c r="AQ103" s="456">
        <v>230701.99</v>
      </c>
      <c r="AR103" s="456">
        <v>243813.22</v>
      </c>
      <c r="AS103" s="456">
        <v>287567.35</v>
      </c>
      <c r="AT103" s="456">
        <v>272336.4</v>
      </c>
      <c r="AU103" s="456">
        <v>265999.32</v>
      </c>
      <c r="AV103" s="456">
        <v>250059.49</v>
      </c>
      <c r="AW103" s="456">
        <v>231068.13</v>
      </c>
      <c r="AX103" s="456">
        <v>228837.55</v>
      </c>
      <c r="AY103" s="456">
        <v>233693.02</v>
      </c>
      <c r="AZ103" s="456">
        <v>250355.06</v>
      </c>
      <c r="BA103" s="456">
        <v>252121.53</v>
      </c>
      <c r="BB103" s="456">
        <v>647.64</v>
      </c>
      <c r="BC103" s="456">
        <v>261066.47</v>
      </c>
      <c r="BD103" s="456" t="s">
        <v>377</v>
      </c>
      <c r="BE103" s="456" t="s">
        <v>377</v>
      </c>
      <c r="BF103" s="456">
        <v>0.0</v>
      </c>
      <c r="BG103" s="456">
        <v>0.0</v>
      </c>
      <c r="BH103" s="456">
        <v>0.0</v>
      </c>
      <c r="BI103" s="456">
        <v>0.0</v>
      </c>
      <c r="BJ103" s="456">
        <v>0.0</v>
      </c>
      <c r="BK103" s="456">
        <v>0.0</v>
      </c>
      <c r="BL103" s="456">
        <v>0.0</v>
      </c>
      <c r="BM103" s="456">
        <v>0.0</v>
      </c>
      <c r="BN103" s="456">
        <v>0.0</v>
      </c>
      <c r="BO103" s="456">
        <v>0.0</v>
      </c>
      <c r="BP103" s="456">
        <v>0.0</v>
      </c>
      <c r="BQ103" s="456">
        <v>0.0</v>
      </c>
      <c r="BR103" s="456">
        <v>0.0</v>
      </c>
      <c r="BS103" s="90" t="s">
        <v>268</v>
      </c>
      <c r="BT103" s="90"/>
    </row>
    <row r="104" ht="15.75" customHeight="1">
      <c r="A104" s="444" t="s">
        <v>98</v>
      </c>
      <c r="B104" s="445" t="s">
        <v>4055</v>
      </c>
      <c r="C104" s="468" t="s">
        <v>4056</v>
      </c>
      <c r="D104" s="507">
        <v>5928177.0</v>
      </c>
      <c r="E104" s="449" t="s">
        <v>120</v>
      </c>
      <c r="F104" s="507" t="s">
        <v>54</v>
      </c>
      <c r="G104" s="449" t="s">
        <v>4057</v>
      </c>
      <c r="H104" s="449" t="str">
        <f>IFERROR(VLOOKUP(G104,'Cadastro de assessores'!A:B,2,FALSE),"Não Cadastrado")</f>
        <v>14294</v>
      </c>
      <c r="I104" s="449"/>
      <c r="J104" s="49" t="s">
        <v>224</v>
      </c>
      <c r="K104" s="449" t="s">
        <v>2340</v>
      </c>
      <c r="L104" s="460">
        <v>44398.0</v>
      </c>
      <c r="M104" s="460">
        <v>44398.0</v>
      </c>
      <c r="N104" s="460">
        <v>44680.0</v>
      </c>
      <c r="O104" s="449" t="s">
        <v>2356</v>
      </c>
      <c r="P104" s="452">
        <v>0.007</v>
      </c>
      <c r="Q104" s="330" t="s">
        <v>4064</v>
      </c>
      <c r="R104" s="453"/>
      <c r="S104" s="449" t="str">
        <f t="shared" si="11"/>
        <v>Não Qualificado</v>
      </c>
      <c r="T104" s="446" t="s">
        <v>234</v>
      </c>
      <c r="U104" s="446" t="s">
        <v>4066</v>
      </c>
      <c r="V104" s="446" t="s">
        <v>475</v>
      </c>
      <c r="W104" s="454"/>
      <c r="X104" s="454"/>
      <c r="Y104" s="454"/>
      <c r="Z104" s="454"/>
      <c r="AA104" s="454"/>
      <c r="AB104" s="454"/>
      <c r="AC104" s="454"/>
      <c r="AD104" s="454"/>
      <c r="AE104" s="454"/>
      <c r="AF104" s="454"/>
      <c r="AG104" s="454"/>
      <c r="AH104" s="455"/>
      <c r="AI104" s="455"/>
      <c r="AJ104" s="456"/>
      <c r="AK104" s="456"/>
      <c r="AL104" s="456"/>
      <c r="AM104" s="456"/>
      <c r="AN104" s="456"/>
      <c r="AO104" s="456"/>
      <c r="AP104" s="456"/>
      <c r="AQ104" s="456"/>
      <c r="AR104" s="456"/>
      <c r="AS104" s="454"/>
      <c r="AT104" s="481">
        <v>198000.83</v>
      </c>
      <c r="AU104" s="481">
        <v>191770.41</v>
      </c>
      <c r="AV104" s="456">
        <v>189166.3</v>
      </c>
      <c r="AW104" s="456">
        <v>284624.5</v>
      </c>
      <c r="AX104" s="456">
        <v>269744.82</v>
      </c>
      <c r="AY104" s="456">
        <v>288041.75</v>
      </c>
      <c r="AZ104" s="456">
        <v>288412.59</v>
      </c>
      <c r="BA104" s="456">
        <v>287953.71</v>
      </c>
      <c r="BB104" s="456">
        <v>290240.08</v>
      </c>
      <c r="BC104" s="456">
        <v>159941.53</v>
      </c>
      <c r="BD104" s="456" t="s">
        <v>377</v>
      </c>
      <c r="BE104" s="456" t="s">
        <v>377</v>
      </c>
      <c r="BF104" s="456">
        <v>0.0</v>
      </c>
      <c r="BG104" s="456">
        <v>0.0</v>
      </c>
      <c r="BH104" s="456">
        <v>0.0</v>
      </c>
      <c r="BI104" s="456">
        <v>0.0</v>
      </c>
      <c r="BJ104" s="456">
        <v>0.0</v>
      </c>
      <c r="BK104" s="456">
        <v>0.0</v>
      </c>
      <c r="BL104" s="456">
        <v>0.0</v>
      </c>
      <c r="BM104" s="456">
        <v>0.0</v>
      </c>
      <c r="BN104" s="456">
        <v>0.0</v>
      </c>
      <c r="BO104" s="456">
        <v>0.0</v>
      </c>
      <c r="BP104" s="456">
        <v>0.0</v>
      </c>
      <c r="BQ104" s="456">
        <v>0.0</v>
      </c>
      <c r="BR104" s="456">
        <v>0.0</v>
      </c>
      <c r="BS104" s="90" t="s">
        <v>268</v>
      </c>
      <c r="BT104" s="90"/>
    </row>
    <row r="105" ht="15.75" customHeight="1">
      <c r="A105" s="444" t="s">
        <v>98</v>
      </c>
      <c r="B105" s="445" t="s">
        <v>4068</v>
      </c>
      <c r="C105" s="458" t="s">
        <v>4069</v>
      </c>
      <c r="D105" s="449">
        <v>4627802.0</v>
      </c>
      <c r="E105" s="449" t="s">
        <v>255</v>
      </c>
      <c r="F105" s="449" t="s">
        <v>199</v>
      </c>
      <c r="G105" s="449" t="s">
        <v>1074</v>
      </c>
      <c r="H105" s="449" t="str">
        <f>IFERROR(VLOOKUP(G105,'Cadastro de assessores'!A:B,2,FALSE),"Não Cadastrado")</f>
        <v>14699</v>
      </c>
      <c r="I105" s="449"/>
      <c r="J105" s="49" t="s">
        <v>224</v>
      </c>
      <c r="K105" s="449" t="s">
        <v>2340</v>
      </c>
      <c r="L105" s="459">
        <v>44183.0</v>
      </c>
      <c r="M105" s="459">
        <v>44183.0</v>
      </c>
      <c r="N105" s="460">
        <v>44253.0</v>
      </c>
      <c r="O105" s="449" t="s">
        <v>2341</v>
      </c>
      <c r="P105" s="452">
        <v>0.015</v>
      </c>
      <c r="Q105" s="461" t="s">
        <v>4072</v>
      </c>
      <c r="R105" s="453"/>
      <c r="S105" s="449" t="str">
        <f t="shared" si="11"/>
        <v/>
      </c>
      <c r="T105" s="449" t="s">
        <v>194</v>
      </c>
      <c r="U105" s="449" t="s">
        <v>2383</v>
      </c>
      <c r="V105" s="449" t="s">
        <v>199</v>
      </c>
      <c r="W105" s="455" t="s">
        <v>2344</v>
      </c>
      <c r="X105" s="455" t="s">
        <v>2344</v>
      </c>
      <c r="Y105" s="455" t="s">
        <v>2344</v>
      </c>
      <c r="Z105" s="455" t="s">
        <v>2344</v>
      </c>
      <c r="AA105" s="455" t="s">
        <v>2344</v>
      </c>
      <c r="AB105" s="455" t="s">
        <v>2344</v>
      </c>
      <c r="AC105" s="455" t="s">
        <v>2344</v>
      </c>
      <c r="AD105" s="455" t="s">
        <v>2344</v>
      </c>
      <c r="AE105" s="455" t="s">
        <v>2344</v>
      </c>
      <c r="AF105" s="455" t="s">
        <v>2344</v>
      </c>
      <c r="AG105" s="455" t="s">
        <v>2344</v>
      </c>
      <c r="AH105" s="455" t="s">
        <v>2344</v>
      </c>
      <c r="AI105" s="455" t="s">
        <v>2344</v>
      </c>
      <c r="AJ105" s="455" t="s">
        <v>2344</v>
      </c>
      <c r="AK105" s="456">
        <v>149407.51</v>
      </c>
      <c r="AL105" s="456">
        <v>147535.36</v>
      </c>
      <c r="AM105" s="456">
        <v>143348.16</v>
      </c>
      <c r="AN105" s="456">
        <v>143421.06</v>
      </c>
      <c r="AO105" s="456"/>
      <c r="AP105" s="456"/>
      <c r="AQ105" s="456"/>
      <c r="AR105" s="456"/>
      <c r="AS105" s="456"/>
      <c r="AT105" s="456"/>
      <c r="AU105" s="456"/>
      <c r="AV105" s="456"/>
      <c r="AW105" s="456"/>
      <c r="AX105" s="456"/>
      <c r="AY105" s="456"/>
      <c r="AZ105" s="456"/>
      <c r="BA105" s="456">
        <v>0.0</v>
      </c>
      <c r="BB105" s="456">
        <v>0.0</v>
      </c>
      <c r="BC105" s="456"/>
      <c r="BD105" s="456" t="s">
        <v>377</v>
      </c>
      <c r="BE105" s="456" t="s">
        <v>377</v>
      </c>
      <c r="BF105" s="456">
        <v>0.0</v>
      </c>
      <c r="BG105" s="456">
        <v>0.0</v>
      </c>
      <c r="BH105" s="456">
        <v>0.0</v>
      </c>
      <c r="BI105" s="456">
        <v>0.0</v>
      </c>
      <c r="BJ105" s="456">
        <v>0.0</v>
      </c>
      <c r="BK105" s="456">
        <v>0.0</v>
      </c>
      <c r="BL105" s="456">
        <v>0.0</v>
      </c>
      <c r="BM105" s="456">
        <v>0.0</v>
      </c>
      <c r="BN105" s="456">
        <v>0.0</v>
      </c>
      <c r="BO105" s="456">
        <v>0.0</v>
      </c>
      <c r="BP105" s="456">
        <v>0.0</v>
      </c>
      <c r="BQ105" s="456">
        <v>0.0</v>
      </c>
      <c r="BR105" s="456">
        <v>0.0</v>
      </c>
      <c r="BS105" s="90" t="s">
        <v>268</v>
      </c>
      <c r="BT105" s="90"/>
    </row>
    <row r="106" ht="15.75" customHeight="1">
      <c r="A106" s="444" t="s">
        <v>98</v>
      </c>
      <c r="B106" s="445" t="s">
        <v>4076</v>
      </c>
      <c r="C106" s="458" t="s">
        <v>4079</v>
      </c>
      <c r="D106" s="449">
        <v>4401235.0</v>
      </c>
      <c r="E106" s="447" t="s">
        <v>120</v>
      </c>
      <c r="F106" s="447" t="s">
        <v>199</v>
      </c>
      <c r="G106" s="447" t="s">
        <v>4081</v>
      </c>
      <c r="H106" s="447">
        <f>IFERROR(VLOOKUP(G106,'Cadastro de assessores'!A:B,2,FALSE),"Não Cadastrado")</f>
        <v>12337</v>
      </c>
      <c r="I106" s="447"/>
      <c r="J106" s="49" t="s">
        <v>224</v>
      </c>
      <c r="K106" s="447" t="s">
        <v>183</v>
      </c>
      <c r="L106" s="450">
        <v>44819.0</v>
      </c>
      <c r="M106" s="450">
        <v>44089.0</v>
      </c>
      <c r="N106" s="460">
        <v>44930.0</v>
      </c>
      <c r="O106" s="449" t="s">
        <v>2356</v>
      </c>
      <c r="P106" s="452">
        <v>0.007</v>
      </c>
      <c r="Q106" s="461" t="s">
        <v>4083</v>
      </c>
      <c r="R106" s="453"/>
      <c r="S106" s="449" t="str">
        <f t="shared" si="11"/>
        <v/>
      </c>
      <c r="T106" s="449" t="s">
        <v>194</v>
      </c>
      <c r="U106" s="449" t="s">
        <v>2343</v>
      </c>
      <c r="V106" s="446" t="s">
        <v>199</v>
      </c>
      <c r="W106" s="455" t="s">
        <v>2344</v>
      </c>
      <c r="X106" s="455" t="s">
        <v>2344</v>
      </c>
      <c r="Y106" s="455" t="s">
        <v>2344</v>
      </c>
      <c r="Z106" s="455" t="s">
        <v>2344</v>
      </c>
      <c r="AA106" s="455" t="s">
        <v>2344</v>
      </c>
      <c r="AB106" s="455" t="s">
        <v>2344</v>
      </c>
      <c r="AC106" s="455" t="s">
        <v>2344</v>
      </c>
      <c r="AD106" s="455" t="s">
        <v>2344</v>
      </c>
      <c r="AE106" s="455" t="s">
        <v>2344</v>
      </c>
      <c r="AF106" s="455" t="s">
        <v>2344</v>
      </c>
      <c r="AG106" s="455" t="s">
        <v>2344</v>
      </c>
      <c r="AH106" s="455" t="s">
        <v>4085</v>
      </c>
      <c r="AI106" s="455" t="s">
        <v>4086</v>
      </c>
      <c r="AJ106" s="455" t="s">
        <v>4087</v>
      </c>
      <c r="AK106" s="456">
        <v>158000.92</v>
      </c>
      <c r="AL106" s="456">
        <v>156780.98</v>
      </c>
      <c r="AM106" s="456">
        <v>148764.07</v>
      </c>
      <c r="AN106" s="456">
        <v>148011.8</v>
      </c>
      <c r="AO106" s="456">
        <v>149946.39</v>
      </c>
      <c r="AP106" s="456">
        <v>155619.74</v>
      </c>
      <c r="AQ106" s="456">
        <v>155229.57</v>
      </c>
      <c r="AR106" s="456">
        <v>157196.16</v>
      </c>
      <c r="AS106" s="456">
        <v>156856.68</v>
      </c>
      <c r="AT106" s="456">
        <v>155382.92</v>
      </c>
      <c r="AU106" s="456">
        <v>145979.42</v>
      </c>
      <c r="AV106" s="456">
        <v>149936.46</v>
      </c>
      <c r="AW106" s="456">
        <v>147740.58</v>
      </c>
      <c r="AX106" s="456">
        <v>149316.53</v>
      </c>
      <c r="AY106" s="456">
        <v>150756.21</v>
      </c>
      <c r="AZ106" s="456">
        <v>137733.47</v>
      </c>
      <c r="BA106" s="456">
        <v>138563.75</v>
      </c>
      <c r="BB106" s="456">
        <v>109762.82</v>
      </c>
      <c r="BC106" s="456"/>
      <c r="BD106" s="456">
        <v>53843.02</v>
      </c>
      <c r="BE106" s="456">
        <v>54225.79</v>
      </c>
      <c r="BF106" s="456">
        <v>54563.14</v>
      </c>
      <c r="BG106" s="456">
        <v>54875.38548</v>
      </c>
      <c r="BH106" s="456">
        <v>55136.67</v>
      </c>
      <c r="BI106" s="456">
        <v>50462.64</v>
      </c>
      <c r="BJ106" s="456">
        <v>50779.39</v>
      </c>
      <c r="BK106" s="456">
        <v>51066.94</v>
      </c>
      <c r="BL106" s="456">
        <v>0.0</v>
      </c>
      <c r="BM106" s="456">
        <v>0.0</v>
      </c>
      <c r="BN106" s="456">
        <v>0.0</v>
      </c>
      <c r="BO106" s="456">
        <v>0.0</v>
      </c>
      <c r="BP106" s="456">
        <v>0.0</v>
      </c>
      <c r="BQ106" s="456">
        <v>0.0</v>
      </c>
      <c r="BR106" s="456">
        <v>0.0</v>
      </c>
      <c r="BS106" s="90" t="s">
        <v>268</v>
      </c>
      <c r="BT106" s="90"/>
    </row>
    <row r="107" ht="15.75" customHeight="1">
      <c r="A107" s="444" t="s">
        <v>98</v>
      </c>
      <c r="B107" s="445" t="s">
        <v>4092</v>
      </c>
      <c r="C107" s="458" t="s">
        <v>4094</v>
      </c>
      <c r="D107" s="449">
        <v>2720929.0</v>
      </c>
      <c r="E107" s="447" t="s">
        <v>120</v>
      </c>
      <c r="F107" s="447" t="s">
        <v>199</v>
      </c>
      <c r="G107" s="447" t="s">
        <v>4081</v>
      </c>
      <c r="H107" s="447">
        <f>IFERROR(VLOOKUP(G107,'Cadastro de assessores'!A:B,2,FALSE),"Não Cadastrado")</f>
        <v>12337</v>
      </c>
      <c r="I107" s="447"/>
      <c r="J107" s="49" t="s">
        <v>2318</v>
      </c>
      <c r="K107" s="447" t="s">
        <v>183</v>
      </c>
      <c r="L107" s="450">
        <v>44109.0</v>
      </c>
      <c r="M107" s="450">
        <v>44111.0</v>
      </c>
      <c r="N107" s="449"/>
      <c r="O107" s="449" t="s">
        <v>2365</v>
      </c>
      <c r="P107" s="452">
        <v>0.012</v>
      </c>
      <c r="Q107" s="461" t="s">
        <v>4096</v>
      </c>
      <c r="R107" s="453"/>
      <c r="S107" s="449" t="str">
        <f t="shared" si="11"/>
        <v>Qualificado</v>
      </c>
      <c r="T107" s="449" t="s">
        <v>194</v>
      </c>
      <c r="U107" s="449" t="s">
        <v>2343</v>
      </c>
      <c r="V107" s="446" t="s">
        <v>199</v>
      </c>
      <c r="W107" s="455" t="s">
        <v>2344</v>
      </c>
      <c r="X107" s="455" t="s">
        <v>2344</v>
      </c>
      <c r="Y107" s="455" t="s">
        <v>2344</v>
      </c>
      <c r="Z107" s="455" t="s">
        <v>2344</v>
      </c>
      <c r="AA107" s="455" t="s">
        <v>2344</v>
      </c>
      <c r="AB107" s="455" t="s">
        <v>2344</v>
      </c>
      <c r="AC107" s="455" t="s">
        <v>2344</v>
      </c>
      <c r="AD107" s="455" t="s">
        <v>2344</v>
      </c>
      <c r="AE107" s="455" t="s">
        <v>2344</v>
      </c>
      <c r="AF107" s="455" t="s">
        <v>2344</v>
      </c>
      <c r="AG107" s="455" t="s">
        <v>2344</v>
      </c>
      <c r="AH107" s="455" t="s">
        <v>2344</v>
      </c>
      <c r="AI107" s="455" t="s">
        <v>4100</v>
      </c>
      <c r="AJ107" s="455" t="s">
        <v>4101</v>
      </c>
      <c r="AK107" s="456">
        <v>214146.98</v>
      </c>
      <c r="AL107" s="456">
        <v>211152.05</v>
      </c>
      <c r="AM107" s="456">
        <v>206300.19</v>
      </c>
      <c r="AN107" s="456">
        <v>206103.81</v>
      </c>
      <c r="AO107" s="456">
        <v>211234.79</v>
      </c>
      <c r="AP107" s="456">
        <v>212494.33</v>
      </c>
      <c r="AQ107" s="456">
        <v>211683.24</v>
      </c>
      <c r="AR107" s="456">
        <v>216507.1</v>
      </c>
      <c r="AS107" s="456">
        <v>214852.46</v>
      </c>
      <c r="AT107" s="456">
        <v>210692.14</v>
      </c>
      <c r="AU107" s="456">
        <v>209464.44</v>
      </c>
      <c r="AV107" s="456">
        <v>205935.76</v>
      </c>
      <c r="AW107" s="456">
        <v>198966.19</v>
      </c>
      <c r="AX107" s="456">
        <v>199055.46</v>
      </c>
      <c r="AY107" s="456">
        <v>201556.75</v>
      </c>
      <c r="AZ107" s="456">
        <v>206270.2</v>
      </c>
      <c r="BA107" s="456">
        <v>207607.88</v>
      </c>
      <c r="BB107" s="456">
        <v>212992.64</v>
      </c>
      <c r="BC107" s="456">
        <v>2801747.01</v>
      </c>
      <c r="BD107" s="456">
        <v>214391.58</v>
      </c>
      <c r="BE107" s="456">
        <v>214580.06</v>
      </c>
      <c r="BF107" s="456">
        <v>217629.26</v>
      </c>
      <c r="BG107" s="456">
        <v>219057.5213</v>
      </c>
      <c r="BH107" s="456">
        <v>219738.96</v>
      </c>
      <c r="BI107" s="456">
        <v>224257.6</v>
      </c>
      <c r="BJ107" s="456">
        <v>224509.42</v>
      </c>
      <c r="BK107" s="456">
        <v>226272.51</v>
      </c>
      <c r="BL107" s="456">
        <v>268906.04</v>
      </c>
      <c r="BM107" s="456">
        <v>270644.58</v>
      </c>
      <c r="BN107" s="456">
        <v>223571.8</v>
      </c>
      <c r="BO107" s="456">
        <v>0.0</v>
      </c>
      <c r="BP107" s="456">
        <v>0.0</v>
      </c>
      <c r="BQ107" s="456">
        <v>0.0</v>
      </c>
      <c r="BR107" s="456">
        <v>0.0</v>
      </c>
      <c r="BS107" s="90">
        <v>0.0</v>
      </c>
      <c r="BT107" s="90"/>
    </row>
    <row r="108" ht="15.75" customHeight="1">
      <c r="A108" s="444" t="s">
        <v>98</v>
      </c>
      <c r="B108" s="445" t="s">
        <v>4092</v>
      </c>
      <c r="C108" s="468" t="s">
        <v>4094</v>
      </c>
      <c r="D108" s="469">
        <v>8233833.0</v>
      </c>
      <c r="E108" s="447" t="s">
        <v>120</v>
      </c>
      <c r="F108" s="447" t="s">
        <v>199</v>
      </c>
      <c r="G108" s="447" t="s">
        <v>212</v>
      </c>
      <c r="H108" s="447">
        <f>IFERROR(VLOOKUP(G108,'Cadastro de assessores'!A:B,2,FALSE),"Não Cadastrado")</f>
        <v>12344</v>
      </c>
      <c r="I108" s="447"/>
      <c r="J108" s="49" t="s">
        <v>2318</v>
      </c>
      <c r="K108" s="449" t="s">
        <v>295</v>
      </c>
      <c r="L108" s="449" t="s">
        <v>3320</v>
      </c>
      <c r="M108" s="548" t="s">
        <v>584</v>
      </c>
      <c r="N108" s="449"/>
      <c r="O108" s="449" t="s">
        <v>4116</v>
      </c>
      <c r="P108" s="452">
        <v>0.01</v>
      </c>
      <c r="Q108" s="461"/>
      <c r="R108" s="453"/>
      <c r="S108" s="449" t="str">
        <f t="shared" si="11"/>
        <v>Não Qualificado</v>
      </c>
      <c r="T108" s="449" t="s">
        <v>194</v>
      </c>
      <c r="U108" s="449" t="s">
        <v>2343</v>
      </c>
      <c r="V108" s="449" t="s">
        <v>199</v>
      </c>
      <c r="W108" s="455"/>
      <c r="X108" s="455"/>
      <c r="Y108" s="455"/>
      <c r="Z108" s="455"/>
      <c r="AA108" s="455"/>
      <c r="AB108" s="455"/>
      <c r="AC108" s="455"/>
      <c r="AD108" s="455"/>
      <c r="AE108" s="455"/>
      <c r="AF108" s="455"/>
      <c r="AG108" s="455"/>
      <c r="AH108" s="455"/>
      <c r="AI108" s="455"/>
      <c r="AJ108" s="455"/>
      <c r="AK108" s="456"/>
      <c r="AL108" s="456"/>
      <c r="AM108" s="456"/>
      <c r="AN108" s="456"/>
      <c r="AO108" s="456"/>
      <c r="AP108" s="456"/>
      <c r="AQ108" s="456"/>
      <c r="AR108" s="456"/>
      <c r="AS108" s="456"/>
      <c r="AT108" s="456"/>
      <c r="AU108" s="456"/>
      <c r="AV108" s="456"/>
      <c r="AW108" s="456"/>
      <c r="AX108" s="456"/>
      <c r="AY108" s="456"/>
      <c r="AZ108" s="456"/>
      <c r="BA108" s="456"/>
      <c r="BB108" s="456"/>
      <c r="BC108" s="456">
        <v>530725.79</v>
      </c>
      <c r="BD108" s="456" t="s">
        <v>377</v>
      </c>
      <c r="BE108" s="456" t="s">
        <v>377</v>
      </c>
      <c r="BF108" s="456">
        <v>0.0</v>
      </c>
      <c r="BG108" s="456">
        <v>0.0</v>
      </c>
      <c r="BH108" s="456">
        <v>0.0</v>
      </c>
      <c r="BI108" s="456">
        <v>0.0</v>
      </c>
      <c r="BJ108" s="456">
        <v>0.0</v>
      </c>
      <c r="BK108" s="456">
        <v>0.0</v>
      </c>
      <c r="BL108" s="456">
        <v>0.0</v>
      </c>
      <c r="BM108" s="456">
        <v>0.0</v>
      </c>
      <c r="BN108" s="456">
        <v>0.0</v>
      </c>
      <c r="BO108" s="456">
        <v>0.0</v>
      </c>
      <c r="BP108" s="456">
        <v>0.0</v>
      </c>
      <c r="BQ108" s="456">
        <v>0.0</v>
      </c>
      <c r="BR108" s="456">
        <v>0.0</v>
      </c>
      <c r="BS108" s="90">
        <v>0.0</v>
      </c>
      <c r="BT108" s="90"/>
    </row>
    <row r="109" ht="15.75" customHeight="1">
      <c r="A109" s="444" t="s">
        <v>98</v>
      </c>
      <c r="B109" s="445" t="s">
        <v>4137</v>
      </c>
      <c r="C109" s="458" t="s">
        <v>4138</v>
      </c>
      <c r="D109" s="469">
        <v>6096787.0</v>
      </c>
      <c r="E109" s="447" t="s">
        <v>255</v>
      </c>
      <c r="F109" s="447" t="s">
        <v>199</v>
      </c>
      <c r="G109" s="447" t="s">
        <v>4139</v>
      </c>
      <c r="H109" s="447">
        <f>IFERROR(VLOOKUP(G109,'Cadastro de assessores'!A:B,2,FALSE),"Não Cadastrado")</f>
        <v>12352</v>
      </c>
      <c r="I109" s="447"/>
      <c r="J109" s="49" t="s">
        <v>2318</v>
      </c>
      <c r="K109" s="447"/>
      <c r="L109" s="450">
        <v>44834.0</v>
      </c>
      <c r="M109" s="450">
        <v>44840.0</v>
      </c>
      <c r="N109" s="446"/>
      <c r="O109" s="446" t="s">
        <v>2356</v>
      </c>
      <c r="P109" s="452">
        <v>0.01</v>
      </c>
      <c r="Q109" s="461"/>
      <c r="R109" s="453"/>
      <c r="S109" s="449"/>
      <c r="T109" s="449"/>
      <c r="U109" s="449"/>
      <c r="V109" s="449" t="s">
        <v>3320</v>
      </c>
      <c r="W109" s="455"/>
      <c r="X109" s="455"/>
      <c r="Y109" s="455"/>
      <c r="Z109" s="455"/>
      <c r="AA109" s="455"/>
      <c r="AB109" s="455"/>
      <c r="AC109" s="455"/>
      <c r="AD109" s="455"/>
      <c r="AE109" s="455"/>
      <c r="AF109" s="455"/>
      <c r="AG109" s="455"/>
      <c r="AH109" s="455"/>
      <c r="AI109" s="455"/>
      <c r="AJ109" s="455"/>
      <c r="AK109" s="456"/>
      <c r="AL109" s="456"/>
      <c r="AM109" s="456"/>
      <c r="AN109" s="456"/>
      <c r="AO109" s="456"/>
      <c r="AP109" s="456"/>
      <c r="AQ109" s="456"/>
      <c r="AR109" s="456"/>
      <c r="AS109" s="456"/>
      <c r="AT109" s="456"/>
      <c r="AU109" s="456"/>
      <c r="AV109" s="456"/>
      <c r="AW109" s="456"/>
      <c r="AX109" s="456"/>
      <c r="AY109" s="456"/>
      <c r="AZ109" s="456"/>
      <c r="BA109" s="456"/>
      <c r="BB109" s="456"/>
      <c r="BC109" s="456"/>
      <c r="BD109" s="456"/>
      <c r="BE109" s="456"/>
      <c r="BF109" s="456"/>
      <c r="BG109" s="456"/>
      <c r="BH109" s="456">
        <v>0.0</v>
      </c>
      <c r="BI109" s="456">
        <v>383096.42</v>
      </c>
      <c r="BJ109" s="456">
        <v>383869.17</v>
      </c>
      <c r="BK109" s="456">
        <v>4193.17</v>
      </c>
      <c r="BL109" s="456">
        <v>0.0</v>
      </c>
      <c r="BM109" s="456">
        <v>0.0</v>
      </c>
      <c r="BN109" s="456">
        <v>0.0</v>
      </c>
      <c r="BO109" s="456">
        <v>0.0</v>
      </c>
      <c r="BP109" s="456">
        <v>0.0</v>
      </c>
      <c r="BQ109" s="456">
        <v>0.0</v>
      </c>
      <c r="BR109" s="456">
        <v>0.0</v>
      </c>
      <c r="BS109" s="90">
        <v>0.0</v>
      </c>
      <c r="BT109" s="90"/>
    </row>
    <row r="110" ht="15.75" customHeight="1">
      <c r="A110" s="444" t="s">
        <v>98</v>
      </c>
      <c r="B110" s="445" t="s">
        <v>4149</v>
      </c>
      <c r="C110" s="458" t="s">
        <v>4150</v>
      </c>
      <c r="D110" s="449">
        <v>4860809.0</v>
      </c>
      <c r="E110" s="447" t="s">
        <v>255</v>
      </c>
      <c r="F110" s="447" t="s">
        <v>199</v>
      </c>
      <c r="G110" s="447" t="s">
        <v>1074</v>
      </c>
      <c r="H110" s="447" t="str">
        <f>IFERROR(VLOOKUP(G110,'Cadastro de assessores'!A:B,2,FALSE),"Não Cadastrado")</f>
        <v>14699</v>
      </c>
      <c r="I110" s="447"/>
      <c r="J110" s="49" t="s">
        <v>2318</v>
      </c>
      <c r="K110" s="447" t="s">
        <v>183</v>
      </c>
      <c r="L110" s="450">
        <v>44264.0</v>
      </c>
      <c r="M110" s="450">
        <v>44264.0</v>
      </c>
      <c r="N110" s="446"/>
      <c r="O110" s="446" t="s">
        <v>2452</v>
      </c>
      <c r="P110" s="452">
        <v>0.008</v>
      </c>
      <c r="Q110" s="461"/>
      <c r="R110" s="453"/>
      <c r="S110" s="449" t="str">
        <f t="shared" ref="S110:S142" si="12">IF(BC110&lt;=0,"",IF(BC110&lt;=1000000,"Não Qualificado",IF(AND(BC110&gt;1000000,BC110&lt;=10000000),"Qualificado","Profissional")))</f>
        <v>Não Qualificado</v>
      </c>
      <c r="T110" s="449" t="s">
        <v>194</v>
      </c>
      <c r="U110" s="449" t="s">
        <v>2383</v>
      </c>
      <c r="V110" s="449" t="s">
        <v>199</v>
      </c>
      <c r="W110" s="455"/>
      <c r="X110" s="455"/>
      <c r="Y110" s="455"/>
      <c r="Z110" s="455"/>
      <c r="AA110" s="455"/>
      <c r="AB110" s="455"/>
      <c r="AC110" s="455"/>
      <c r="AD110" s="455"/>
      <c r="AE110" s="455"/>
      <c r="AF110" s="455"/>
      <c r="AG110" s="455"/>
      <c r="AH110" s="455"/>
      <c r="AI110" s="455"/>
      <c r="AJ110" s="455"/>
      <c r="AK110" s="456">
        <v>316737.04</v>
      </c>
      <c r="AL110" s="456">
        <v>320050.51</v>
      </c>
      <c r="AM110" s="456">
        <v>292466.89</v>
      </c>
      <c r="AN110" s="456">
        <v>149752.04</v>
      </c>
      <c r="AO110" s="456">
        <v>147313.12</v>
      </c>
      <c r="AP110" s="456">
        <v>147445.65</v>
      </c>
      <c r="AQ110" s="456">
        <v>148231.92</v>
      </c>
      <c r="AR110" s="456">
        <v>144976.22</v>
      </c>
      <c r="AS110" s="456">
        <v>143215.05</v>
      </c>
      <c r="AT110" s="456">
        <v>146411.48</v>
      </c>
      <c r="AU110" s="456">
        <v>141903.82</v>
      </c>
      <c r="AV110" s="456">
        <v>140307.37</v>
      </c>
      <c r="AW110" s="456">
        <v>138948.11</v>
      </c>
      <c r="AX110" s="456">
        <v>132047.88</v>
      </c>
      <c r="AY110" s="456">
        <v>140891.41</v>
      </c>
      <c r="AZ110" s="456">
        <v>141347.14</v>
      </c>
      <c r="BA110" s="456">
        <v>141401.31</v>
      </c>
      <c r="BB110" s="456">
        <v>142758.82</v>
      </c>
      <c r="BC110" s="456">
        <v>312981.85</v>
      </c>
      <c r="BD110" s="456">
        <v>144071.44</v>
      </c>
      <c r="BE110" s="456">
        <v>144003.8</v>
      </c>
      <c r="BF110" s="456">
        <v>145747.72</v>
      </c>
      <c r="BG110" s="456">
        <v>149526.95</v>
      </c>
      <c r="BH110" s="456">
        <v>149433.94</v>
      </c>
      <c r="BI110" s="456">
        <v>150816.74</v>
      </c>
      <c r="BJ110" s="456">
        <v>146054.5</v>
      </c>
      <c r="BK110" s="456">
        <v>145819.48</v>
      </c>
      <c r="BL110" s="456">
        <v>146711.05</v>
      </c>
      <c r="BM110" s="456">
        <v>145752.82</v>
      </c>
      <c r="BN110" s="456">
        <v>143514.06</v>
      </c>
      <c r="BO110" s="456">
        <v>148384.05</v>
      </c>
      <c r="BP110" s="456">
        <v>153882.45</v>
      </c>
      <c r="BQ110" s="456">
        <v>160355.88</v>
      </c>
      <c r="BR110" s="456">
        <v>0.0</v>
      </c>
      <c r="BS110" s="90" t="s">
        <v>268</v>
      </c>
      <c r="BT110" s="90"/>
    </row>
    <row r="111" ht="15.75" customHeight="1">
      <c r="A111" s="444" t="s">
        <v>98</v>
      </c>
      <c r="B111" s="445" t="s">
        <v>4149</v>
      </c>
      <c r="C111" s="458" t="s">
        <v>4150</v>
      </c>
      <c r="D111" s="449">
        <v>4841420.0</v>
      </c>
      <c r="E111" s="447" t="s">
        <v>255</v>
      </c>
      <c r="F111" s="447" t="s">
        <v>199</v>
      </c>
      <c r="G111" s="447" t="s">
        <v>1074</v>
      </c>
      <c r="H111" s="447" t="str">
        <f>IFERROR(VLOOKUP(G111,'Cadastro de assessores'!A:B,2,FALSE),"Não Cadastrado")</f>
        <v>14699</v>
      </c>
      <c r="I111" s="447"/>
      <c r="J111" s="49" t="s">
        <v>2318</v>
      </c>
      <c r="K111" s="447" t="s">
        <v>183</v>
      </c>
      <c r="L111" s="450">
        <v>44264.0</v>
      </c>
      <c r="M111" s="450">
        <v>44264.0</v>
      </c>
      <c r="N111" s="449"/>
      <c r="O111" s="449" t="s">
        <v>2341</v>
      </c>
      <c r="P111" s="452">
        <v>0.015</v>
      </c>
      <c r="Q111" s="461"/>
      <c r="R111" s="453"/>
      <c r="S111" s="449" t="str">
        <f t="shared" si="12"/>
        <v>Não Qualificado</v>
      </c>
      <c r="T111" s="449" t="s">
        <v>194</v>
      </c>
      <c r="U111" s="449" t="s">
        <v>2383</v>
      </c>
      <c r="V111" s="449" t="s">
        <v>199</v>
      </c>
      <c r="W111" s="455"/>
      <c r="X111" s="455"/>
      <c r="Y111" s="455"/>
      <c r="Z111" s="455"/>
      <c r="AA111" s="455"/>
      <c r="AB111" s="455"/>
      <c r="AC111" s="455"/>
      <c r="AD111" s="455"/>
      <c r="AE111" s="455"/>
      <c r="AF111" s="455"/>
      <c r="AG111" s="455"/>
      <c r="AH111" s="455"/>
      <c r="AI111" s="455"/>
      <c r="AJ111" s="455"/>
      <c r="AK111" s="456"/>
      <c r="AL111" s="456"/>
      <c r="AM111" s="456">
        <v>301087.94</v>
      </c>
      <c r="AN111" s="456">
        <v>150867.07</v>
      </c>
      <c r="AO111" s="456">
        <v>155551.06</v>
      </c>
      <c r="AP111" s="456">
        <v>156231.2</v>
      </c>
      <c r="AQ111" s="456">
        <v>155661.64</v>
      </c>
      <c r="AR111" s="456">
        <v>159128.51</v>
      </c>
      <c r="AS111" s="456">
        <v>158108.53</v>
      </c>
      <c r="AT111" s="456">
        <v>155000.46</v>
      </c>
      <c r="AU111" s="456">
        <v>154068.11</v>
      </c>
      <c r="AV111" s="456">
        <v>151105.82</v>
      </c>
      <c r="AW111" s="456">
        <v>145566.11</v>
      </c>
      <c r="AX111" s="456">
        <v>145303.58</v>
      </c>
      <c r="AY111" s="456">
        <v>147096.66</v>
      </c>
      <c r="AZ111" s="456">
        <v>151507.75</v>
      </c>
      <c r="BA111" s="456">
        <v>152685.65</v>
      </c>
      <c r="BB111" s="456">
        <v>158109.73</v>
      </c>
      <c r="BC111" s="456">
        <v>185102.43</v>
      </c>
      <c r="BD111" s="456">
        <v>156194.59</v>
      </c>
      <c r="BE111" s="456">
        <v>155424.41</v>
      </c>
      <c r="BF111" s="456">
        <v>158060.71</v>
      </c>
      <c r="BG111" s="456">
        <v>159202.6919</v>
      </c>
      <c r="BH111" s="456">
        <v>159665.11</v>
      </c>
      <c r="BI111" s="456">
        <v>165685.13</v>
      </c>
      <c r="BJ111" s="456">
        <v>164310.72</v>
      </c>
      <c r="BK111" s="456">
        <v>165277.38</v>
      </c>
      <c r="BL111" s="456">
        <v>167145.63</v>
      </c>
      <c r="BM111" s="456">
        <v>168212.36</v>
      </c>
      <c r="BN111" s="456">
        <v>169670.05</v>
      </c>
      <c r="BO111" s="456">
        <v>170866.19</v>
      </c>
      <c r="BP111" s="456">
        <v>172365.93</v>
      </c>
      <c r="BQ111" s="456">
        <v>173569.99</v>
      </c>
      <c r="BR111" s="456">
        <v>0.0</v>
      </c>
      <c r="BS111" s="90" t="s">
        <v>268</v>
      </c>
      <c r="BT111" s="90"/>
    </row>
    <row r="112" ht="15.75" customHeight="1">
      <c r="A112" s="444" t="s">
        <v>98</v>
      </c>
      <c r="B112" s="445" t="s">
        <v>4174</v>
      </c>
      <c r="C112" s="468" t="s">
        <v>4175</v>
      </c>
      <c r="D112" s="446">
        <v>6404430.0</v>
      </c>
      <c r="E112" s="604" t="s">
        <v>4177</v>
      </c>
      <c r="F112" s="446" t="s">
        <v>397</v>
      </c>
      <c r="G112" s="446" t="s">
        <v>4179</v>
      </c>
      <c r="H112" s="446" t="str">
        <f>IFERROR(VLOOKUP(G112,'Cadastro de assessores'!A:B,2,FALSE),"Não Cadastrado")</f>
        <v>14434</v>
      </c>
      <c r="I112" s="446"/>
      <c r="J112" s="49" t="s">
        <v>224</v>
      </c>
      <c r="K112" s="449" t="s">
        <v>2340</v>
      </c>
      <c r="L112" s="605">
        <v>44461.0</v>
      </c>
      <c r="M112" s="605">
        <v>44461.0</v>
      </c>
      <c r="N112" s="446"/>
      <c r="O112" s="446" t="s">
        <v>2356</v>
      </c>
      <c r="P112" s="606">
        <v>0.007</v>
      </c>
      <c r="Q112" s="607" t="s">
        <v>4182</v>
      </c>
      <c r="R112" s="453"/>
      <c r="S112" s="449" t="str">
        <f t="shared" si="12"/>
        <v>Qualificado</v>
      </c>
      <c r="T112" s="449" t="s">
        <v>194</v>
      </c>
      <c r="U112" s="449" t="s">
        <v>3820</v>
      </c>
      <c r="V112" s="449" t="s">
        <v>397</v>
      </c>
      <c r="W112" s="454"/>
      <c r="X112" s="454"/>
      <c r="Y112" s="454"/>
      <c r="Z112" s="454"/>
      <c r="AA112" s="454"/>
      <c r="AB112" s="454"/>
      <c r="AC112" s="454"/>
      <c r="AD112" s="454"/>
      <c r="AE112" s="454"/>
      <c r="AF112" s="454"/>
      <c r="AG112" s="454"/>
      <c r="AH112" s="454"/>
      <c r="AI112" s="455"/>
      <c r="AJ112" s="456"/>
      <c r="AK112" s="456"/>
      <c r="AL112" s="456"/>
      <c r="AM112" s="456"/>
      <c r="AN112" s="456"/>
      <c r="AO112" s="456"/>
      <c r="AP112" s="456"/>
      <c r="AQ112" s="456"/>
      <c r="AR112" s="456"/>
      <c r="AS112" s="456"/>
      <c r="AT112" s="456"/>
      <c r="AU112" s="454"/>
      <c r="AV112" s="456">
        <v>100297.97</v>
      </c>
      <c r="AW112" s="456">
        <v>101063.58</v>
      </c>
      <c r="AX112" s="456">
        <v>101921.35</v>
      </c>
      <c r="AY112" s="456">
        <v>102754.34</v>
      </c>
      <c r="AZ112" s="456">
        <v>103559.48</v>
      </c>
      <c r="BA112" s="456">
        <v>104249.87</v>
      </c>
      <c r="BB112" s="456">
        <v>105384.25</v>
      </c>
      <c r="BC112" s="456">
        <v>1303389.66</v>
      </c>
      <c r="BD112" s="456">
        <v>-38.0</v>
      </c>
      <c r="BE112" s="456" t="s">
        <v>377</v>
      </c>
      <c r="BF112" s="456">
        <v>-38.0</v>
      </c>
      <c r="BG112" s="456">
        <v>0.0</v>
      </c>
      <c r="BH112" s="456">
        <v>0.0</v>
      </c>
      <c r="BI112" s="456">
        <v>0.0</v>
      </c>
      <c r="BJ112" s="456">
        <v>0.0</v>
      </c>
      <c r="BK112" s="456">
        <v>0.0</v>
      </c>
      <c r="BL112" s="456">
        <v>0.0</v>
      </c>
      <c r="BM112" s="456">
        <v>0.0</v>
      </c>
      <c r="BN112" s="456">
        <v>0.0</v>
      </c>
      <c r="BO112" s="456">
        <v>0.0</v>
      </c>
      <c r="BP112" s="456">
        <v>0.0</v>
      </c>
      <c r="BQ112" s="456">
        <v>0.0</v>
      </c>
      <c r="BR112" s="456">
        <v>0.0</v>
      </c>
      <c r="BS112" s="90" t="s">
        <v>268</v>
      </c>
      <c r="BT112" s="90"/>
    </row>
    <row r="113" ht="15.75" customHeight="1">
      <c r="A113" s="444" t="s">
        <v>98</v>
      </c>
      <c r="B113" s="445" t="s">
        <v>4174</v>
      </c>
      <c r="C113" s="468" t="s">
        <v>4175</v>
      </c>
      <c r="D113" s="608">
        <v>2126289.0</v>
      </c>
      <c r="E113" s="449" t="s">
        <v>4177</v>
      </c>
      <c r="F113" s="507" t="s">
        <v>397</v>
      </c>
      <c r="G113" s="446" t="s">
        <v>4179</v>
      </c>
      <c r="H113" s="446" t="str">
        <f>IFERROR(VLOOKUP(G113,'Cadastro de assessores'!A:B,2,FALSE),"Não Cadastrado")</f>
        <v>14434</v>
      </c>
      <c r="I113" s="446"/>
      <c r="J113" s="49" t="s">
        <v>224</v>
      </c>
      <c r="K113" s="449" t="s">
        <v>2340</v>
      </c>
      <c r="L113" s="460">
        <v>44432.0</v>
      </c>
      <c r="M113" s="460">
        <v>44432.0</v>
      </c>
      <c r="N113" s="446"/>
      <c r="O113" s="446" t="s">
        <v>2341</v>
      </c>
      <c r="P113" s="452">
        <v>0.015</v>
      </c>
      <c r="Q113" s="607" t="s">
        <v>4196</v>
      </c>
      <c r="R113" s="453"/>
      <c r="S113" s="449" t="str">
        <f t="shared" si="12"/>
        <v>Não Qualificado</v>
      </c>
      <c r="T113" s="449" t="s">
        <v>194</v>
      </c>
      <c r="U113" s="449" t="s">
        <v>3820</v>
      </c>
      <c r="V113" s="449" t="s">
        <v>397</v>
      </c>
      <c r="W113" s="454"/>
      <c r="X113" s="454"/>
      <c r="Y113" s="454"/>
      <c r="Z113" s="454"/>
      <c r="AA113" s="454"/>
      <c r="AB113" s="454"/>
      <c r="AC113" s="454"/>
      <c r="AD113" s="454"/>
      <c r="AE113" s="454"/>
      <c r="AF113" s="454"/>
      <c r="AG113" s="454"/>
      <c r="AH113" s="455"/>
      <c r="AI113" s="455"/>
      <c r="AJ113" s="456"/>
      <c r="AK113" s="456"/>
      <c r="AL113" s="456"/>
      <c r="AM113" s="456"/>
      <c r="AN113" s="456"/>
      <c r="AO113" s="456"/>
      <c r="AP113" s="456"/>
      <c r="AQ113" s="456"/>
      <c r="AR113" s="456"/>
      <c r="AS113" s="538"/>
      <c r="AT113" s="481"/>
      <c r="AU113" s="481">
        <v>150219.61</v>
      </c>
      <c r="AV113" s="456">
        <v>146775.86</v>
      </c>
      <c r="AW113" s="456">
        <v>142439.26</v>
      </c>
      <c r="AX113" s="456">
        <v>146170.56</v>
      </c>
      <c r="AY113" s="456">
        <v>140423.68</v>
      </c>
      <c r="AZ113" s="456">
        <v>143958.25</v>
      </c>
      <c r="BA113" s="456">
        <v>144649.05</v>
      </c>
      <c r="BB113" s="456">
        <v>149135.87</v>
      </c>
      <c r="BC113" s="456">
        <v>183577.5</v>
      </c>
      <c r="BD113" s="456">
        <v>33229.55</v>
      </c>
      <c r="BE113" s="456">
        <v>33441.82</v>
      </c>
      <c r="BF113" s="456">
        <v>0.0</v>
      </c>
      <c r="BG113" s="456">
        <v>0.0</v>
      </c>
      <c r="BH113" s="456">
        <v>0.0</v>
      </c>
      <c r="BI113" s="456">
        <v>0.0</v>
      </c>
      <c r="BJ113" s="456">
        <v>0.0</v>
      </c>
      <c r="BK113" s="456">
        <v>0.0</v>
      </c>
      <c r="BL113" s="456">
        <v>0.0</v>
      </c>
      <c r="BM113" s="456">
        <v>0.0</v>
      </c>
      <c r="BN113" s="456">
        <v>0.0</v>
      </c>
      <c r="BO113" s="456">
        <v>0.0</v>
      </c>
      <c r="BP113" s="456">
        <v>0.0</v>
      </c>
      <c r="BQ113" s="456">
        <v>0.0</v>
      </c>
      <c r="BR113" s="456">
        <v>0.0</v>
      </c>
      <c r="BS113" s="90" t="s">
        <v>268</v>
      </c>
      <c r="BT113" s="90"/>
    </row>
    <row r="114" ht="15.75" customHeight="1">
      <c r="A114" s="444" t="s">
        <v>98</v>
      </c>
      <c r="B114" s="445" t="s">
        <v>4204</v>
      </c>
      <c r="C114" s="458" t="s">
        <v>4205</v>
      </c>
      <c r="D114" s="449">
        <v>4413613.0</v>
      </c>
      <c r="E114" s="447" t="s">
        <v>255</v>
      </c>
      <c r="F114" s="447" t="s">
        <v>199</v>
      </c>
      <c r="G114" s="447" t="s">
        <v>3606</v>
      </c>
      <c r="H114" s="447" t="str">
        <f>IFERROR(VLOOKUP(G114,'Cadastro de assessores'!A:B,2,FALSE),"Não Cadastrado")</f>
        <v>16459</v>
      </c>
      <c r="I114" s="447"/>
      <c r="J114" s="49" t="s">
        <v>2318</v>
      </c>
      <c r="K114" s="447" t="s">
        <v>183</v>
      </c>
      <c r="L114" s="450">
        <v>44071.0</v>
      </c>
      <c r="M114" s="450">
        <v>44071.0</v>
      </c>
      <c r="N114" s="446"/>
      <c r="O114" s="446" t="s">
        <v>2319</v>
      </c>
      <c r="P114" s="452">
        <v>0.02</v>
      </c>
      <c r="Q114" s="610"/>
      <c r="R114" s="453"/>
      <c r="S114" s="449" t="str">
        <f t="shared" si="12"/>
        <v>Não Qualificado</v>
      </c>
      <c r="T114" s="449" t="s">
        <v>194</v>
      </c>
      <c r="U114" s="449" t="s">
        <v>2343</v>
      </c>
      <c r="V114" s="449" t="s">
        <v>199</v>
      </c>
      <c r="W114" s="455"/>
      <c r="X114" s="455"/>
      <c r="Y114" s="455"/>
      <c r="Z114" s="455"/>
      <c r="AA114" s="455"/>
      <c r="AB114" s="455"/>
      <c r="AC114" s="455"/>
      <c r="AD114" s="455"/>
      <c r="AE114" s="455"/>
      <c r="AF114" s="455"/>
      <c r="AG114" s="455"/>
      <c r="AH114" s="455"/>
      <c r="AI114" s="455" t="s">
        <v>4214</v>
      </c>
      <c r="AJ114" s="455"/>
      <c r="AK114" s="456"/>
      <c r="AL114" s="456"/>
      <c r="AM114" s="456">
        <v>287823.86</v>
      </c>
      <c r="AN114" s="456">
        <v>289663.98</v>
      </c>
      <c r="AO114" s="456">
        <v>303410.88</v>
      </c>
      <c r="AP114" s="456">
        <v>305860.42</v>
      </c>
      <c r="AQ114" s="456">
        <v>303996.87</v>
      </c>
      <c r="AR114" s="456">
        <v>314873.72</v>
      </c>
      <c r="AS114" s="456">
        <v>309652.3</v>
      </c>
      <c r="AT114" s="456">
        <v>300037.81</v>
      </c>
      <c r="AU114" s="456">
        <v>297710.19</v>
      </c>
      <c r="AV114" s="456">
        <v>288150.76</v>
      </c>
      <c r="AW114" s="456">
        <v>273520.02</v>
      </c>
      <c r="AX114" s="456">
        <v>272465.67</v>
      </c>
      <c r="AY114" s="456">
        <v>191637.52</v>
      </c>
      <c r="AZ114" s="456">
        <v>205049.18</v>
      </c>
      <c r="BA114" s="456">
        <v>207130.98</v>
      </c>
      <c r="BB114" s="456">
        <v>221509.76</v>
      </c>
      <c r="BC114" s="456">
        <v>156707.61</v>
      </c>
      <c r="BD114" s="456">
        <v>208209.16</v>
      </c>
      <c r="BE114" s="456">
        <v>200274.56</v>
      </c>
      <c r="BF114" s="456">
        <v>210463.69</v>
      </c>
      <c r="BG114" s="456">
        <v>215961.7895</v>
      </c>
      <c r="BH114" s="456">
        <v>213416.11</v>
      </c>
      <c r="BI114" s="456">
        <v>230135.22</v>
      </c>
      <c r="BJ114" s="456">
        <v>227576.03</v>
      </c>
      <c r="BK114" s="456">
        <v>228179.9</v>
      </c>
      <c r="BL114" s="456">
        <v>227388.77</v>
      </c>
      <c r="BM114" s="456">
        <v>69546.0</v>
      </c>
      <c r="BN114" s="456">
        <v>51227.05</v>
      </c>
      <c r="BO114" s="456">
        <v>50813.61</v>
      </c>
      <c r="BP114" s="456">
        <v>0.0</v>
      </c>
      <c r="BQ114" s="456">
        <v>0.0</v>
      </c>
      <c r="BR114" s="456">
        <v>0.0</v>
      </c>
      <c r="BS114" s="90" t="s">
        <v>268</v>
      </c>
      <c r="BT114" s="90"/>
    </row>
    <row r="115" ht="15.75" customHeight="1">
      <c r="A115" s="444" t="s">
        <v>98</v>
      </c>
      <c r="B115" s="445" t="s">
        <v>4220</v>
      </c>
      <c r="C115" s="468" t="s">
        <v>4221</v>
      </c>
      <c r="D115" s="540">
        <v>7991210.0</v>
      </c>
      <c r="E115" s="507" t="s">
        <v>120</v>
      </c>
      <c r="F115" s="507" t="s">
        <v>199</v>
      </c>
      <c r="G115" s="449" t="s">
        <v>290</v>
      </c>
      <c r="H115" s="449">
        <f>IFERROR(VLOOKUP(G115,'Cadastro de assessores'!A:B,2,FALSE),"Não Cadastrado")</f>
        <v>12332</v>
      </c>
      <c r="I115" s="449"/>
      <c r="J115" s="49" t="s">
        <v>224</v>
      </c>
      <c r="K115" s="449" t="s">
        <v>2340</v>
      </c>
      <c r="L115" s="460">
        <v>44613.0</v>
      </c>
      <c r="M115" s="460">
        <v>44613.0</v>
      </c>
      <c r="N115" s="460">
        <v>44711.0</v>
      </c>
      <c r="O115" s="449" t="s">
        <v>2356</v>
      </c>
      <c r="P115" s="465">
        <v>0.007</v>
      </c>
      <c r="Q115" s="330" t="s">
        <v>4225</v>
      </c>
      <c r="R115" s="453"/>
      <c r="S115" s="449" t="str">
        <f t="shared" si="12"/>
        <v>Não Qualificado</v>
      </c>
      <c r="T115" s="507" t="s">
        <v>194</v>
      </c>
      <c r="U115" s="507"/>
      <c r="V115" s="507" t="s">
        <v>3320</v>
      </c>
      <c r="W115" s="454"/>
      <c r="X115" s="454"/>
      <c r="Y115" s="454"/>
      <c r="Z115" s="454"/>
      <c r="AA115" s="454"/>
      <c r="AB115" s="454"/>
      <c r="AC115" s="454"/>
      <c r="AD115" s="454"/>
      <c r="AE115" s="454"/>
      <c r="AF115" s="454"/>
      <c r="AG115" s="454"/>
      <c r="AH115" s="454"/>
      <c r="AI115" s="454"/>
      <c r="AJ115" s="454"/>
      <c r="AK115" s="454"/>
      <c r="AL115" s="456"/>
      <c r="AM115" s="456"/>
      <c r="AN115" s="456"/>
      <c r="AO115" s="456"/>
      <c r="AP115" s="456"/>
      <c r="AQ115" s="456"/>
      <c r="AR115" s="456"/>
      <c r="AS115" s="456"/>
      <c r="AT115" s="456"/>
      <c r="AU115" s="456"/>
      <c r="AV115" s="456"/>
      <c r="AW115" s="456"/>
      <c r="AX115" s="456"/>
      <c r="AY115" s="456"/>
      <c r="AZ115" s="456"/>
      <c r="BA115" s="456">
        <v>15022.58</v>
      </c>
      <c r="BB115" s="456">
        <v>15167.26</v>
      </c>
      <c r="BC115" s="456">
        <v>339789.54</v>
      </c>
      <c r="BD115" s="456">
        <v>5.75</v>
      </c>
      <c r="BE115" s="456" t="s">
        <v>377</v>
      </c>
      <c r="BF115" s="456">
        <v>0.0</v>
      </c>
      <c r="BG115" s="456">
        <v>0.0</v>
      </c>
      <c r="BH115" s="456">
        <v>0.0</v>
      </c>
      <c r="BI115" s="456">
        <v>0.0</v>
      </c>
      <c r="BJ115" s="456">
        <v>0.0</v>
      </c>
      <c r="BK115" s="456">
        <v>0.0</v>
      </c>
      <c r="BL115" s="456">
        <v>0.0</v>
      </c>
      <c r="BM115" s="456">
        <v>0.0</v>
      </c>
      <c r="BN115" s="456">
        <v>0.0</v>
      </c>
      <c r="BO115" s="456">
        <v>0.0</v>
      </c>
      <c r="BP115" s="456">
        <v>0.0</v>
      </c>
      <c r="BQ115" s="456">
        <v>0.0</v>
      </c>
      <c r="BR115" s="456">
        <v>0.0</v>
      </c>
      <c r="BS115" s="90" t="s">
        <v>268</v>
      </c>
      <c r="BT115" s="90"/>
    </row>
    <row r="116" ht="15.75" customHeight="1">
      <c r="A116" s="444" t="s">
        <v>98</v>
      </c>
      <c r="B116" s="445" t="s">
        <v>4236</v>
      </c>
      <c r="C116" s="468" t="s">
        <v>4237</v>
      </c>
      <c r="D116" s="446">
        <v>5182986.0</v>
      </c>
      <c r="E116" s="447" t="s">
        <v>120</v>
      </c>
      <c r="F116" s="447" t="s">
        <v>199</v>
      </c>
      <c r="G116" s="447" t="s">
        <v>4238</v>
      </c>
      <c r="H116" s="447" t="str">
        <f>IFERROR(VLOOKUP(G116,'Cadastro de assessores'!A:B,2,FALSE),"Não Cadastrado")</f>
        <v>13363</v>
      </c>
      <c r="I116" s="447"/>
      <c r="J116" s="49" t="s">
        <v>2318</v>
      </c>
      <c r="K116" s="449" t="s">
        <v>295</v>
      </c>
      <c r="L116" s="450">
        <v>44298.0</v>
      </c>
      <c r="M116" s="450">
        <v>44305.0</v>
      </c>
      <c r="N116" s="449"/>
      <c r="O116" s="449" t="s">
        <v>2372</v>
      </c>
      <c r="P116" s="465">
        <v>0.025</v>
      </c>
      <c r="Q116" s="330"/>
      <c r="R116" s="453"/>
      <c r="S116" s="449" t="str">
        <f t="shared" si="12"/>
        <v>Não Qualificado</v>
      </c>
      <c r="T116" s="507" t="s">
        <v>194</v>
      </c>
      <c r="U116" s="507" t="s">
        <v>2383</v>
      </c>
      <c r="V116" s="507" t="s">
        <v>199</v>
      </c>
      <c r="W116" s="454"/>
      <c r="X116" s="454"/>
      <c r="Y116" s="454"/>
      <c r="Z116" s="454"/>
      <c r="AA116" s="454"/>
      <c r="AB116" s="454"/>
      <c r="AC116" s="454"/>
      <c r="AD116" s="454"/>
      <c r="AE116" s="454"/>
      <c r="AF116" s="454"/>
      <c r="AG116" s="454"/>
      <c r="AH116" s="454"/>
      <c r="AI116" s="454"/>
      <c r="AJ116" s="454"/>
      <c r="AK116" s="454"/>
      <c r="AL116" s="456"/>
      <c r="AM116" s="456"/>
      <c r="AN116" s="456"/>
      <c r="AO116" s="456"/>
      <c r="AP116" s="456">
        <v>174861.59</v>
      </c>
      <c r="AQ116" s="456">
        <v>172898.11</v>
      </c>
      <c r="AR116" s="456">
        <v>182704.69</v>
      </c>
      <c r="AS116" s="456">
        <v>178534.1</v>
      </c>
      <c r="AT116" s="456">
        <v>169129.47</v>
      </c>
      <c r="AU116" s="456">
        <v>2522.5</v>
      </c>
      <c r="AV116" s="456"/>
      <c r="AW116" s="456">
        <v>739.14</v>
      </c>
      <c r="AX116" s="456">
        <v>737.74</v>
      </c>
      <c r="AY116" s="456">
        <v>673.95</v>
      </c>
      <c r="AZ116" s="456">
        <v>66.12</v>
      </c>
      <c r="BA116" s="456">
        <v>65.93</v>
      </c>
      <c r="BB116" s="456">
        <v>65.71</v>
      </c>
      <c r="BC116" s="456">
        <v>211752.69</v>
      </c>
      <c r="BD116" s="456">
        <v>71.28</v>
      </c>
      <c r="BE116" s="456">
        <v>71.28</v>
      </c>
      <c r="BF116" s="456">
        <v>71.28</v>
      </c>
      <c r="BG116" s="456">
        <v>71.28</v>
      </c>
      <c r="BH116" s="456">
        <v>71.28</v>
      </c>
      <c r="BI116" s="456">
        <v>0.0</v>
      </c>
      <c r="BJ116" s="456">
        <v>0.0</v>
      </c>
      <c r="BK116" s="456">
        <v>0.0</v>
      </c>
      <c r="BL116" s="456">
        <v>0.0</v>
      </c>
      <c r="BM116" s="456">
        <v>0.0</v>
      </c>
      <c r="BN116" s="456">
        <v>0.0</v>
      </c>
      <c r="BO116" s="456">
        <v>0.0</v>
      </c>
      <c r="BP116" s="456">
        <v>0.0</v>
      </c>
      <c r="BQ116" s="456">
        <v>0.0</v>
      </c>
      <c r="BR116" s="456">
        <v>0.0</v>
      </c>
      <c r="BS116" s="90">
        <v>0.0</v>
      </c>
      <c r="BT116" s="90"/>
    </row>
    <row r="117" ht="15.75" customHeight="1">
      <c r="A117" s="444" t="s">
        <v>98</v>
      </c>
      <c r="B117" s="445" t="s">
        <v>4249</v>
      </c>
      <c r="C117" s="468" t="s">
        <v>4250</v>
      </c>
      <c r="D117" s="446">
        <v>2735065.0</v>
      </c>
      <c r="E117" s="449" t="s">
        <v>120</v>
      </c>
      <c r="F117" s="507" t="s">
        <v>199</v>
      </c>
      <c r="G117" s="507" t="s">
        <v>1174</v>
      </c>
      <c r="H117" s="507" t="str">
        <f>IFERROR(VLOOKUP(G117,'Cadastro de assessores'!A:B,2,FALSE),"Não Cadastrado")</f>
        <v>18266</v>
      </c>
      <c r="I117" s="507"/>
      <c r="J117" s="49" t="s">
        <v>224</v>
      </c>
      <c r="K117" s="449" t="s">
        <v>2340</v>
      </c>
      <c r="L117" s="460">
        <v>44365.0</v>
      </c>
      <c r="M117" s="460">
        <v>44365.0</v>
      </c>
      <c r="N117" s="508">
        <v>44641.0</v>
      </c>
      <c r="O117" s="446" t="s">
        <v>2452</v>
      </c>
      <c r="P117" s="465">
        <v>0.008</v>
      </c>
      <c r="Q117" s="330" t="s">
        <v>4253</v>
      </c>
      <c r="R117" s="453"/>
      <c r="S117" s="449" t="str">
        <f t="shared" si="12"/>
        <v/>
      </c>
      <c r="T117" s="449" t="s">
        <v>194</v>
      </c>
      <c r="U117" s="449" t="s">
        <v>3820</v>
      </c>
      <c r="V117" s="507" t="s">
        <v>397</v>
      </c>
      <c r="W117" s="454"/>
      <c r="X117" s="454"/>
      <c r="Y117" s="454"/>
      <c r="Z117" s="454"/>
      <c r="AA117" s="454"/>
      <c r="AB117" s="454"/>
      <c r="AC117" s="454"/>
      <c r="AD117" s="454"/>
      <c r="AE117" s="454"/>
      <c r="AF117" s="454"/>
      <c r="AG117" s="454"/>
      <c r="AH117" s="454"/>
      <c r="AI117" s="454"/>
      <c r="AJ117" s="456"/>
      <c r="AK117" s="456"/>
      <c r="AL117" s="456"/>
      <c r="AM117" s="456"/>
      <c r="AN117" s="456"/>
      <c r="AO117" s="456"/>
      <c r="AP117" s="456"/>
      <c r="AQ117" s="456"/>
      <c r="AR117" s="454"/>
      <c r="AS117" s="456">
        <v>102001.37</v>
      </c>
      <c r="AT117" s="456">
        <v>96568.92</v>
      </c>
      <c r="AU117" s="456">
        <v>94310.87</v>
      </c>
      <c r="AV117" s="456">
        <v>89024.75</v>
      </c>
      <c r="AW117" s="456">
        <v>91265.06</v>
      </c>
      <c r="AX117" s="456">
        <v>90022.02</v>
      </c>
      <c r="AY117" s="456">
        <v>92037.89</v>
      </c>
      <c r="AZ117" s="456">
        <v>97589.94</v>
      </c>
      <c r="BA117" s="456">
        <v>99213.24</v>
      </c>
      <c r="BB117" s="456">
        <v>0.0</v>
      </c>
      <c r="BC117" s="456"/>
      <c r="BD117" s="456" t="s">
        <v>377</v>
      </c>
      <c r="BE117" s="456" t="s">
        <v>377</v>
      </c>
      <c r="BF117" s="456">
        <v>0.0</v>
      </c>
      <c r="BG117" s="456">
        <v>0.0</v>
      </c>
      <c r="BH117" s="456">
        <v>0.0</v>
      </c>
      <c r="BI117" s="456">
        <v>0.0</v>
      </c>
      <c r="BJ117" s="456">
        <v>0.0</v>
      </c>
      <c r="BK117" s="456">
        <v>0.0</v>
      </c>
      <c r="BL117" s="456">
        <v>0.0</v>
      </c>
      <c r="BM117" s="456">
        <v>0.0</v>
      </c>
      <c r="BN117" s="456">
        <v>0.0</v>
      </c>
      <c r="BO117" s="456">
        <v>0.0</v>
      </c>
      <c r="BP117" s="456">
        <v>0.0</v>
      </c>
      <c r="BQ117" s="456">
        <v>0.0</v>
      </c>
      <c r="BR117" s="456">
        <v>0.0</v>
      </c>
      <c r="BS117" s="90" t="s">
        <v>268</v>
      </c>
      <c r="BT117" s="90"/>
    </row>
    <row r="118" ht="15.75" customHeight="1">
      <c r="A118" s="444" t="s">
        <v>98</v>
      </c>
      <c r="B118" s="445" t="s">
        <v>4257</v>
      </c>
      <c r="C118" s="468" t="s">
        <v>4258</v>
      </c>
      <c r="D118" s="446">
        <v>2889018.0</v>
      </c>
      <c r="E118" s="447" t="s">
        <v>120</v>
      </c>
      <c r="F118" s="447" t="s">
        <v>199</v>
      </c>
      <c r="G118" s="447" t="s">
        <v>290</v>
      </c>
      <c r="H118" s="447">
        <f>IFERROR(VLOOKUP(G118,'Cadastro de assessores'!A:B,2,FALSE),"Não Cadastrado")</f>
        <v>12332</v>
      </c>
      <c r="I118" s="447"/>
      <c r="J118" s="74" t="s">
        <v>183</v>
      </c>
      <c r="K118" s="447" t="s">
        <v>183</v>
      </c>
      <c r="L118" s="450">
        <v>44421.0</v>
      </c>
      <c r="M118" s="450">
        <v>44421.0</v>
      </c>
      <c r="N118" s="449"/>
      <c r="O118" s="449" t="s">
        <v>2341</v>
      </c>
      <c r="P118" s="519">
        <v>0.015</v>
      </c>
      <c r="Q118" s="611" t="s">
        <v>4261</v>
      </c>
      <c r="R118" s="453"/>
      <c r="S118" s="449" t="str">
        <f t="shared" si="12"/>
        <v>Não Qualificado</v>
      </c>
      <c r="T118" s="449" t="s">
        <v>194</v>
      </c>
      <c r="U118" s="449" t="s">
        <v>2374</v>
      </c>
      <c r="V118" s="449" t="s">
        <v>199</v>
      </c>
      <c r="W118" s="454"/>
      <c r="X118" s="454"/>
      <c r="Y118" s="454"/>
      <c r="Z118" s="454"/>
      <c r="AA118" s="454"/>
      <c r="AB118" s="454"/>
      <c r="AC118" s="454"/>
      <c r="AD118" s="454"/>
      <c r="AE118" s="454"/>
      <c r="AF118" s="454"/>
      <c r="AG118" s="454"/>
      <c r="AH118" s="455"/>
      <c r="AI118" s="455"/>
      <c r="AJ118" s="456"/>
      <c r="AK118" s="456"/>
      <c r="AL118" s="456"/>
      <c r="AM118" s="456"/>
      <c r="AN118" s="456"/>
      <c r="AO118" s="456"/>
      <c r="AP118" s="456"/>
      <c r="AQ118" s="456"/>
      <c r="AR118" s="456"/>
      <c r="AS118" s="456"/>
      <c r="AT118" s="481"/>
      <c r="AU118" s="481">
        <v>264001.73</v>
      </c>
      <c r="AV118" s="456">
        <v>259779.72</v>
      </c>
      <c r="AW118" s="456">
        <v>251656.46</v>
      </c>
      <c r="AX118" s="456">
        <v>251405.93</v>
      </c>
      <c r="AY118" s="456">
        <v>254148.06</v>
      </c>
      <c r="AZ118" s="456">
        <v>261006.53</v>
      </c>
      <c r="BA118" s="456">
        <v>263078.22</v>
      </c>
      <c r="BB118" s="456">
        <v>271535.97</v>
      </c>
      <c r="BC118" s="456">
        <v>318984.18</v>
      </c>
      <c r="BD118" s="456">
        <v>268094.95</v>
      </c>
      <c r="BE118" s="456">
        <v>267366.73</v>
      </c>
      <c r="BF118" s="456">
        <v>272016.51</v>
      </c>
      <c r="BG118" s="456">
        <v>274431.0708</v>
      </c>
      <c r="BH118" s="456">
        <v>301066.87</v>
      </c>
      <c r="BI118" s="456">
        <v>309662.34</v>
      </c>
      <c r="BJ118" s="456">
        <v>308364.0</v>
      </c>
      <c r="BK118" s="456">
        <v>310383.08</v>
      </c>
      <c r="BL118" s="456">
        <v>313506.71</v>
      </c>
      <c r="BM118" s="456">
        <v>315617.22</v>
      </c>
      <c r="BN118" s="456">
        <v>313060.22</v>
      </c>
      <c r="BO118" s="456">
        <v>315528.63</v>
      </c>
      <c r="BP118" s="456">
        <v>42296.52</v>
      </c>
      <c r="BQ118" s="456">
        <v>42597.99</v>
      </c>
      <c r="BR118" s="456">
        <v>42937.22</v>
      </c>
      <c r="BS118" s="90">
        <v>21551.3</v>
      </c>
      <c r="BT118" s="90"/>
    </row>
    <row r="119" ht="15.75" customHeight="1">
      <c r="A119" s="444" t="s">
        <v>98</v>
      </c>
      <c r="B119" s="445" t="s">
        <v>4271</v>
      </c>
      <c r="C119" s="468" t="s">
        <v>4272</v>
      </c>
      <c r="D119" s="448">
        <v>4089984.0</v>
      </c>
      <c r="E119" s="447" t="s">
        <v>120</v>
      </c>
      <c r="F119" s="448" t="s">
        <v>54</v>
      </c>
      <c r="G119" s="447" t="s">
        <v>379</v>
      </c>
      <c r="H119" s="448" t="str">
        <f>IFERROR(VLOOKUP(G119,'Cadastro de assessores'!A:B,2,FALSE),"Não Cadastrado")</f>
        <v>18009</v>
      </c>
      <c r="I119" s="448"/>
      <c r="J119" s="74" t="s">
        <v>183</v>
      </c>
      <c r="K119" s="447" t="s">
        <v>183</v>
      </c>
      <c r="L119" s="450">
        <v>44341.0</v>
      </c>
      <c r="M119" s="450">
        <v>44357.0</v>
      </c>
      <c r="N119" s="449"/>
      <c r="O119" s="449" t="s">
        <v>2372</v>
      </c>
      <c r="P119" s="465">
        <v>0.025</v>
      </c>
      <c r="Q119" s="330" t="s">
        <v>4275</v>
      </c>
      <c r="R119" s="453"/>
      <c r="S119" s="449" t="str">
        <f t="shared" si="12"/>
        <v/>
      </c>
      <c r="T119" s="449" t="s">
        <v>194</v>
      </c>
      <c r="U119" s="449" t="s">
        <v>3955</v>
      </c>
      <c r="V119" s="446" t="s">
        <v>618</v>
      </c>
      <c r="W119" s="454"/>
      <c r="X119" s="454"/>
      <c r="Y119" s="454"/>
      <c r="Z119" s="454"/>
      <c r="AA119" s="454"/>
      <c r="AB119" s="454"/>
      <c r="AC119" s="454"/>
      <c r="AD119" s="454"/>
      <c r="AE119" s="454"/>
      <c r="AF119" s="454"/>
      <c r="AG119" s="454"/>
      <c r="AH119" s="454"/>
      <c r="AI119" s="454"/>
      <c r="AJ119" s="454"/>
      <c r="AK119" s="456"/>
      <c r="AL119" s="456"/>
      <c r="AM119" s="456"/>
      <c r="AN119" s="456"/>
      <c r="AO119" s="456"/>
      <c r="AP119" s="456"/>
      <c r="AQ119" s="456"/>
      <c r="AR119" s="454"/>
      <c r="AS119" s="456">
        <v>48457.63</v>
      </c>
      <c r="AT119" s="456">
        <v>45856.11</v>
      </c>
      <c r="AU119" s="456">
        <v>44757.41</v>
      </c>
      <c r="AV119" s="456">
        <v>42247.43</v>
      </c>
      <c r="AW119" s="456">
        <v>38916.44</v>
      </c>
      <c r="AX119" s="456">
        <v>38458.23</v>
      </c>
      <c r="AY119" s="456">
        <v>39130.4</v>
      </c>
      <c r="AZ119" s="456">
        <v>41464.34</v>
      </c>
      <c r="BA119" s="456">
        <v>42115.96</v>
      </c>
      <c r="BB119" s="456">
        <v>44636.38</v>
      </c>
      <c r="BC119" s="456"/>
      <c r="BD119" s="456">
        <v>42198.71</v>
      </c>
      <c r="BE119" s="456">
        <v>40171.23</v>
      </c>
      <c r="BF119" s="456">
        <v>42279.81</v>
      </c>
      <c r="BG119" s="456">
        <v>42962.26</v>
      </c>
      <c r="BH119" s="456">
        <v>42701.87</v>
      </c>
      <c r="BI119" s="456">
        <v>46343.25</v>
      </c>
      <c r="BJ119" s="456">
        <v>44809.06</v>
      </c>
      <c r="BK119" s="456">
        <v>44263.79</v>
      </c>
      <c r="BL119" s="456">
        <v>44851.83</v>
      </c>
      <c r="BM119" s="456">
        <v>43227.93</v>
      </c>
      <c r="BN119" s="456">
        <v>42893.99</v>
      </c>
      <c r="BO119" s="456">
        <v>42559.62</v>
      </c>
      <c r="BP119" s="456">
        <v>43605.36</v>
      </c>
      <c r="BQ119" s="456">
        <v>45407.63</v>
      </c>
      <c r="BR119" s="456">
        <v>46874.37</v>
      </c>
      <c r="BS119" s="90">
        <v>49234.64</v>
      </c>
      <c r="BT119" s="90"/>
    </row>
    <row r="120" ht="15.75" customHeight="1">
      <c r="A120" s="444" t="s">
        <v>98</v>
      </c>
      <c r="B120" s="445" t="s">
        <v>4279</v>
      </c>
      <c r="C120" s="468" t="s">
        <v>4280</v>
      </c>
      <c r="D120" s="446">
        <v>5635853.0</v>
      </c>
      <c r="E120" s="447" t="s">
        <v>669</v>
      </c>
      <c r="F120" s="448" t="s">
        <v>199</v>
      </c>
      <c r="G120" s="448" t="s">
        <v>669</v>
      </c>
      <c r="H120" s="448" t="str">
        <f>IFERROR(VLOOKUP(G120,'Cadastro de assessores'!A:B,2,FALSE),"Não Cadastrado")</f>
        <v>18986</v>
      </c>
      <c r="I120" s="448"/>
      <c r="J120" s="49" t="s">
        <v>2318</v>
      </c>
      <c r="K120" s="449" t="s">
        <v>295</v>
      </c>
      <c r="L120" s="450">
        <v>44368.0</v>
      </c>
      <c r="M120" s="450">
        <v>44368.0</v>
      </c>
      <c r="N120" s="449"/>
      <c r="O120" s="449" t="s">
        <v>2341</v>
      </c>
      <c r="P120" s="519">
        <v>0.015</v>
      </c>
      <c r="Q120" s="330"/>
      <c r="R120" s="453"/>
      <c r="S120" s="449" t="str">
        <f t="shared" si="12"/>
        <v/>
      </c>
      <c r="T120" s="449" t="s">
        <v>194</v>
      </c>
      <c r="U120" s="449" t="s">
        <v>3898</v>
      </c>
      <c r="V120" s="446" t="s">
        <v>54</v>
      </c>
      <c r="W120" s="454"/>
      <c r="X120" s="454"/>
      <c r="Y120" s="454"/>
      <c r="Z120" s="454"/>
      <c r="AA120" s="454"/>
      <c r="AB120" s="454"/>
      <c r="AC120" s="454"/>
      <c r="AD120" s="454"/>
      <c r="AE120" s="454"/>
      <c r="AF120" s="454"/>
      <c r="AG120" s="454"/>
      <c r="AH120" s="454"/>
      <c r="AI120" s="454"/>
      <c r="AJ120" s="456"/>
      <c r="AK120" s="456"/>
      <c r="AL120" s="456"/>
      <c r="AM120" s="456"/>
      <c r="AN120" s="456"/>
      <c r="AO120" s="456"/>
      <c r="AP120" s="456"/>
      <c r="AQ120" s="456"/>
      <c r="AR120" s="454"/>
      <c r="AS120" s="456">
        <v>29686.82</v>
      </c>
      <c r="AT120" s="456">
        <v>29127.62</v>
      </c>
      <c r="AU120" s="456">
        <v>87.13</v>
      </c>
      <c r="AV120" s="456">
        <v>79.54</v>
      </c>
      <c r="AW120" s="456">
        <v>86.67</v>
      </c>
      <c r="AX120" s="456">
        <v>86.47</v>
      </c>
      <c r="AY120" s="456">
        <v>6.89</v>
      </c>
      <c r="AZ120" s="456">
        <v>6.89</v>
      </c>
      <c r="BA120" s="456">
        <v>6.89</v>
      </c>
      <c r="BB120" s="456">
        <v>6.89</v>
      </c>
      <c r="BC120" s="456"/>
      <c r="BD120" s="456">
        <v>7.54</v>
      </c>
      <c r="BE120" s="456">
        <v>7.54</v>
      </c>
      <c r="BF120" s="456">
        <v>7.54</v>
      </c>
      <c r="BG120" s="456">
        <v>7.54</v>
      </c>
      <c r="BH120" s="456">
        <v>7.54</v>
      </c>
      <c r="BI120" s="456">
        <v>7.54</v>
      </c>
      <c r="BJ120" s="456">
        <v>7.54</v>
      </c>
      <c r="BK120" s="456">
        <v>7.54</v>
      </c>
      <c r="BL120" s="456">
        <v>7.54</v>
      </c>
      <c r="BM120" s="456">
        <v>7.54</v>
      </c>
      <c r="BN120" s="456">
        <v>7.54</v>
      </c>
      <c r="BO120" s="456">
        <v>7.54</v>
      </c>
      <c r="BP120" s="456">
        <v>7.54</v>
      </c>
      <c r="BQ120" s="456">
        <v>7.54</v>
      </c>
      <c r="BR120" s="456">
        <v>7.54</v>
      </c>
      <c r="BS120" s="90">
        <v>0.0</v>
      </c>
      <c r="BT120" s="90"/>
    </row>
    <row r="121" ht="15.75" customHeight="1">
      <c r="A121" s="444" t="s">
        <v>98</v>
      </c>
      <c r="B121" s="445" t="s">
        <v>572</v>
      </c>
      <c r="C121" s="468" t="s">
        <v>565</v>
      </c>
      <c r="D121" s="469">
        <v>5891073.0</v>
      </c>
      <c r="E121" s="447" t="s">
        <v>255</v>
      </c>
      <c r="F121" s="447" t="s">
        <v>199</v>
      </c>
      <c r="G121" s="447" t="s">
        <v>2587</v>
      </c>
      <c r="H121" s="447" t="str">
        <f>IFERROR(VLOOKUP(G121,'Cadastro de assessores'!A:B,2,FALSE),"Não Cadastrado")</f>
        <v>1298</v>
      </c>
      <c r="I121" s="447"/>
      <c r="J121" s="49" t="s">
        <v>2318</v>
      </c>
      <c r="K121" s="449" t="s">
        <v>295</v>
      </c>
      <c r="L121" s="447" t="s">
        <v>3320</v>
      </c>
      <c r="M121" s="447" t="s">
        <v>584</v>
      </c>
      <c r="N121" s="446"/>
      <c r="O121" s="446" t="s">
        <v>2356</v>
      </c>
      <c r="P121" s="452">
        <v>0.007</v>
      </c>
      <c r="Q121" s="330" t="s">
        <v>4295</v>
      </c>
      <c r="R121" s="453"/>
      <c r="S121" s="449" t="str">
        <f t="shared" si="12"/>
        <v/>
      </c>
      <c r="T121" s="449" t="s">
        <v>194</v>
      </c>
      <c r="U121" s="449" t="s">
        <v>4296</v>
      </c>
      <c r="V121" s="449" t="s">
        <v>199</v>
      </c>
      <c r="W121" s="454"/>
      <c r="X121" s="454"/>
      <c r="Y121" s="454"/>
      <c r="Z121" s="454"/>
      <c r="AA121" s="454"/>
      <c r="AB121" s="454"/>
      <c r="AC121" s="454"/>
      <c r="AD121" s="454"/>
      <c r="AE121" s="454"/>
      <c r="AF121" s="454"/>
      <c r="AG121" s="455"/>
      <c r="AH121" s="455"/>
      <c r="AI121" s="456"/>
      <c r="AJ121" s="456"/>
      <c r="AK121" s="456"/>
      <c r="AL121" s="456"/>
      <c r="AM121" s="456"/>
      <c r="AN121" s="456"/>
      <c r="AO121" s="456"/>
      <c r="AP121" s="456"/>
      <c r="AQ121" s="456"/>
      <c r="AR121" s="456"/>
      <c r="AS121" s="481"/>
      <c r="AT121" s="481"/>
      <c r="AU121" s="454"/>
      <c r="AV121" s="456"/>
      <c r="AW121" s="456"/>
      <c r="AX121" s="456"/>
      <c r="AY121" s="456"/>
      <c r="AZ121" s="456"/>
      <c r="BA121" s="456"/>
      <c r="BB121" s="456"/>
      <c r="BC121" s="456"/>
      <c r="BD121" s="456" t="s">
        <v>377</v>
      </c>
      <c r="BE121" s="456" t="s">
        <v>377</v>
      </c>
      <c r="BF121" s="456">
        <v>0.0</v>
      </c>
      <c r="BG121" s="456">
        <v>0.0</v>
      </c>
      <c r="BH121" s="456">
        <v>0.0</v>
      </c>
      <c r="BI121" s="456">
        <v>0.0</v>
      </c>
      <c r="BJ121" s="456">
        <v>0.0</v>
      </c>
      <c r="BK121" s="456">
        <v>0.0</v>
      </c>
      <c r="BL121" s="456">
        <v>0.0</v>
      </c>
      <c r="BM121" s="456">
        <v>0.0</v>
      </c>
      <c r="BN121" s="456">
        <v>0.0</v>
      </c>
      <c r="BO121" s="456">
        <v>0.0</v>
      </c>
      <c r="BP121" s="456">
        <v>0.0</v>
      </c>
      <c r="BQ121" s="456">
        <v>0.0</v>
      </c>
      <c r="BR121" s="456">
        <v>0.0</v>
      </c>
      <c r="BS121" s="90" t="s">
        <v>268</v>
      </c>
      <c r="BT121" s="90"/>
    </row>
    <row r="122" ht="15.75" customHeight="1">
      <c r="A122" s="444" t="s">
        <v>98</v>
      </c>
      <c r="B122" s="445" t="s">
        <v>572</v>
      </c>
      <c r="C122" s="458" t="s">
        <v>565</v>
      </c>
      <c r="D122" s="449">
        <v>4556454.0</v>
      </c>
      <c r="E122" s="447" t="s">
        <v>255</v>
      </c>
      <c r="F122" s="447" t="s">
        <v>199</v>
      </c>
      <c r="G122" s="447" t="s">
        <v>2587</v>
      </c>
      <c r="H122" s="447" t="str">
        <f>IFERROR(VLOOKUP(G122,'Cadastro de assessores'!A:B,2,FALSE),"Não Cadastrado")</f>
        <v>1298</v>
      </c>
      <c r="I122" s="447"/>
      <c r="J122" s="49" t="s">
        <v>2318</v>
      </c>
      <c r="K122" s="447" t="s">
        <v>183</v>
      </c>
      <c r="L122" s="451">
        <v>44151.0</v>
      </c>
      <c r="M122" s="451">
        <v>44151.0</v>
      </c>
      <c r="N122" s="446"/>
      <c r="O122" s="446" t="s">
        <v>2319</v>
      </c>
      <c r="P122" s="452">
        <v>0.02</v>
      </c>
      <c r="Q122" s="461" t="s">
        <v>4305</v>
      </c>
      <c r="R122" s="453"/>
      <c r="S122" s="449" t="str">
        <f t="shared" si="12"/>
        <v>Não Qualificado</v>
      </c>
      <c r="T122" s="449" t="s">
        <v>194</v>
      </c>
      <c r="U122" s="449" t="s">
        <v>4296</v>
      </c>
      <c r="V122" s="449" t="s">
        <v>199</v>
      </c>
      <c r="W122" s="455" t="s">
        <v>2344</v>
      </c>
      <c r="X122" s="455" t="s">
        <v>2344</v>
      </c>
      <c r="Y122" s="455" t="s">
        <v>2344</v>
      </c>
      <c r="Z122" s="455" t="s">
        <v>2344</v>
      </c>
      <c r="AA122" s="455" t="s">
        <v>2344</v>
      </c>
      <c r="AB122" s="455" t="s">
        <v>2344</v>
      </c>
      <c r="AC122" s="455" t="s">
        <v>2344</v>
      </c>
      <c r="AD122" s="455" t="s">
        <v>2344</v>
      </c>
      <c r="AE122" s="455" t="s">
        <v>2344</v>
      </c>
      <c r="AF122" s="455" t="s">
        <v>2344</v>
      </c>
      <c r="AG122" s="455" t="s">
        <v>2344</v>
      </c>
      <c r="AH122" s="455" t="s">
        <v>2344</v>
      </c>
      <c r="AI122" s="455" t="s">
        <v>2344</v>
      </c>
      <c r="AJ122" s="455" t="s">
        <v>4308</v>
      </c>
      <c r="AK122" s="456">
        <v>336299.81</v>
      </c>
      <c r="AL122" s="456">
        <v>331065.92</v>
      </c>
      <c r="AM122" s="456">
        <v>321468.36</v>
      </c>
      <c r="AN122" s="456">
        <v>320444.44</v>
      </c>
      <c r="AO122" s="456">
        <v>332009.36</v>
      </c>
      <c r="AP122" s="456">
        <v>334888.57</v>
      </c>
      <c r="AQ122" s="456">
        <v>332802.05</v>
      </c>
      <c r="AR122" s="456">
        <v>344512.27</v>
      </c>
      <c r="AS122" s="456">
        <v>359657.02</v>
      </c>
      <c r="AT122" s="456">
        <v>348396.46</v>
      </c>
      <c r="AU122" s="456">
        <v>344049.52</v>
      </c>
      <c r="AV122" s="456">
        <v>333405.12</v>
      </c>
      <c r="AW122" s="456">
        <v>316083.96</v>
      </c>
      <c r="AX122" s="456">
        <v>314979.46</v>
      </c>
      <c r="AY122" s="456">
        <v>319987.36</v>
      </c>
      <c r="AZ122" s="456">
        <v>331101.31</v>
      </c>
      <c r="BA122" s="456">
        <v>332641.18</v>
      </c>
      <c r="BB122" s="456">
        <v>496912.47</v>
      </c>
      <c r="BC122" s="456">
        <v>103382.16</v>
      </c>
      <c r="BD122" s="456">
        <v>546198.84</v>
      </c>
      <c r="BE122" s="456">
        <v>543075.41</v>
      </c>
      <c r="BF122" s="456">
        <v>553437.59</v>
      </c>
      <c r="BG122" s="456">
        <v>560440.288</v>
      </c>
      <c r="BH122" s="456">
        <v>561405.55</v>
      </c>
      <c r="BI122" s="456">
        <v>582090.41</v>
      </c>
      <c r="BJ122" s="456">
        <v>583058.2</v>
      </c>
      <c r="BK122" s="456">
        <v>785195.68</v>
      </c>
      <c r="BL122" s="456">
        <v>788354.92</v>
      </c>
      <c r="BM122" s="456">
        <v>786507.98</v>
      </c>
      <c r="BN122" s="456">
        <v>48.52</v>
      </c>
      <c r="BO122" s="456">
        <v>48.52</v>
      </c>
      <c r="BP122" s="456">
        <v>0.0</v>
      </c>
      <c r="BQ122" s="456">
        <v>0.0</v>
      </c>
      <c r="BR122" s="456">
        <v>0.0</v>
      </c>
      <c r="BS122" s="90">
        <v>0.0</v>
      </c>
      <c r="BT122" s="90"/>
    </row>
    <row r="123" ht="15.75" customHeight="1">
      <c r="A123" s="444" t="s">
        <v>98</v>
      </c>
      <c r="B123" s="445" t="s">
        <v>4318</v>
      </c>
      <c r="C123" s="468" t="s">
        <v>4320</v>
      </c>
      <c r="D123" s="469">
        <v>7772052.0</v>
      </c>
      <c r="E123" s="448" t="s">
        <v>120</v>
      </c>
      <c r="F123" s="448" t="s">
        <v>199</v>
      </c>
      <c r="G123" s="447" t="s">
        <v>803</v>
      </c>
      <c r="H123" s="447" t="str">
        <f>IFERROR(VLOOKUP(G123,'Cadastro de assessores'!A:B,2,FALSE),"Não Cadastrado")</f>
        <v>18467</v>
      </c>
      <c r="I123" s="447"/>
      <c r="J123" s="49" t="s">
        <v>2318</v>
      </c>
      <c r="K123" s="447" t="s">
        <v>183</v>
      </c>
      <c r="L123" s="470">
        <v>44630.0</v>
      </c>
      <c r="M123" s="470">
        <v>44635.0</v>
      </c>
      <c r="N123" s="446"/>
      <c r="O123" s="446" t="s">
        <v>2356</v>
      </c>
      <c r="P123" s="452">
        <v>0.007</v>
      </c>
      <c r="Q123" s="330"/>
      <c r="R123" s="453"/>
      <c r="S123" s="449" t="str">
        <f t="shared" si="12"/>
        <v>Não Qualificado</v>
      </c>
      <c r="T123" s="449" t="s">
        <v>194</v>
      </c>
      <c r="U123" s="449" t="s">
        <v>4323</v>
      </c>
      <c r="V123" s="449" t="s">
        <v>1387</v>
      </c>
      <c r="W123" s="454"/>
      <c r="X123" s="454"/>
      <c r="Y123" s="454"/>
      <c r="Z123" s="454"/>
      <c r="AA123" s="454"/>
      <c r="AB123" s="454"/>
      <c r="AC123" s="454"/>
      <c r="AD123" s="454"/>
      <c r="AE123" s="454"/>
      <c r="AF123" s="454"/>
      <c r="AG123" s="455"/>
      <c r="AH123" s="455"/>
      <c r="AI123" s="456"/>
      <c r="AJ123" s="456"/>
      <c r="AK123" s="456"/>
      <c r="AL123" s="456"/>
      <c r="AM123" s="456"/>
      <c r="AN123" s="456"/>
      <c r="AO123" s="456"/>
      <c r="AP123" s="456"/>
      <c r="AQ123" s="456"/>
      <c r="AR123" s="456"/>
      <c r="AS123" s="481"/>
      <c r="AT123" s="481"/>
      <c r="AU123" s="454"/>
      <c r="AV123" s="456"/>
      <c r="AW123" s="456"/>
      <c r="AX123" s="456"/>
      <c r="AY123" s="456"/>
      <c r="AZ123" s="456"/>
      <c r="BA123" s="456"/>
      <c r="BB123" s="456">
        <v>173236.61</v>
      </c>
      <c r="BC123" s="456">
        <v>50.62</v>
      </c>
      <c r="BD123" s="456">
        <v>-46.33</v>
      </c>
      <c r="BE123" s="456">
        <v>155611.84</v>
      </c>
      <c r="BF123" s="456">
        <v>156410.58</v>
      </c>
      <c r="BG123" s="456">
        <v>158495.0086</v>
      </c>
      <c r="BH123" s="456">
        <v>159662.17</v>
      </c>
      <c r="BI123" s="456">
        <v>160973.04</v>
      </c>
      <c r="BJ123" s="456">
        <v>160921.8</v>
      </c>
      <c r="BK123" s="456">
        <v>162676.57</v>
      </c>
      <c r="BL123" s="456">
        <v>164815.24</v>
      </c>
      <c r="BM123" s="456">
        <v>166647.22</v>
      </c>
      <c r="BN123" s="456">
        <v>169356.89</v>
      </c>
      <c r="BO123" s="456">
        <v>171073.73</v>
      </c>
      <c r="BP123" s="456">
        <v>172294.14</v>
      </c>
      <c r="BQ123" s="456">
        <v>173382.53</v>
      </c>
      <c r="BR123" s="456">
        <v>160.09</v>
      </c>
      <c r="BS123" s="90">
        <v>0.0</v>
      </c>
      <c r="BT123" s="90"/>
    </row>
    <row r="124" ht="15.75" customHeight="1">
      <c r="A124" s="444" t="s">
        <v>98</v>
      </c>
      <c r="B124" s="445" t="s">
        <v>4335</v>
      </c>
      <c r="C124" s="468" t="s">
        <v>4336</v>
      </c>
      <c r="D124" s="469">
        <v>4113513.0</v>
      </c>
      <c r="E124" s="448" t="s">
        <v>255</v>
      </c>
      <c r="F124" s="448" t="s">
        <v>199</v>
      </c>
      <c r="G124" s="447" t="s">
        <v>4338</v>
      </c>
      <c r="H124" s="447">
        <f>IFERROR(VLOOKUP(G124,'Cadastro de assessores'!A:B,2,FALSE),"Não Cadastrado")</f>
        <v>12347</v>
      </c>
      <c r="I124" s="447"/>
      <c r="J124" s="74" t="s">
        <v>183</v>
      </c>
      <c r="K124" s="447" t="s">
        <v>183</v>
      </c>
      <c r="L124" s="470">
        <v>44694.0</v>
      </c>
      <c r="M124" s="470">
        <v>44694.0</v>
      </c>
      <c r="N124" s="446"/>
      <c r="O124" s="446" t="s">
        <v>2365</v>
      </c>
      <c r="P124" s="452">
        <v>0.012</v>
      </c>
      <c r="Q124" s="330"/>
      <c r="R124" s="453"/>
      <c r="S124" s="449" t="str">
        <f t="shared" si="12"/>
        <v/>
      </c>
      <c r="T124" s="449" t="s">
        <v>194</v>
      </c>
      <c r="U124" s="449" t="s">
        <v>3383</v>
      </c>
      <c r="V124" s="449" t="s">
        <v>199</v>
      </c>
      <c r="W124" s="454"/>
      <c r="X124" s="454"/>
      <c r="Y124" s="454"/>
      <c r="Z124" s="454"/>
      <c r="AA124" s="454"/>
      <c r="AB124" s="454"/>
      <c r="AC124" s="454"/>
      <c r="AD124" s="454"/>
      <c r="AE124" s="454"/>
      <c r="AF124" s="454"/>
      <c r="AG124" s="455"/>
      <c r="AH124" s="455"/>
      <c r="AI124" s="456"/>
      <c r="AJ124" s="456"/>
      <c r="AK124" s="456"/>
      <c r="AL124" s="456"/>
      <c r="AM124" s="456"/>
      <c r="AN124" s="456"/>
      <c r="AO124" s="456"/>
      <c r="AP124" s="456"/>
      <c r="AQ124" s="456"/>
      <c r="AR124" s="456"/>
      <c r="AS124" s="481"/>
      <c r="AT124" s="481"/>
      <c r="AU124" s="454"/>
      <c r="AV124" s="456"/>
      <c r="AW124" s="456"/>
      <c r="AX124" s="456"/>
      <c r="AY124" s="456"/>
      <c r="AZ124" s="456"/>
      <c r="BA124" s="456"/>
      <c r="BB124" s="456"/>
      <c r="BC124" s="456"/>
      <c r="BD124" s="456">
        <v>147557.65</v>
      </c>
      <c r="BE124" s="456">
        <v>126378.35</v>
      </c>
      <c r="BF124" s="456">
        <v>73709.74</v>
      </c>
      <c r="BG124" s="456">
        <v>64487.72768</v>
      </c>
      <c r="BH124" s="456">
        <v>64905.49</v>
      </c>
      <c r="BI124" s="456">
        <v>66853.47</v>
      </c>
      <c r="BJ124" s="456">
        <v>66263.95</v>
      </c>
      <c r="BK124" s="456">
        <v>66721.01</v>
      </c>
      <c r="BL124" s="456">
        <v>67209.04</v>
      </c>
      <c r="BM124" s="456">
        <v>67401.64</v>
      </c>
      <c r="BN124" s="456">
        <v>41455.74</v>
      </c>
      <c r="BO124" s="456">
        <v>50254.31</v>
      </c>
      <c r="BP124" s="456">
        <v>50784.3</v>
      </c>
      <c r="BQ124" s="456">
        <v>51240.61</v>
      </c>
      <c r="BR124" s="456">
        <v>51739.23</v>
      </c>
      <c r="BS124" s="90">
        <v>56514.1</v>
      </c>
      <c r="BT124" s="90"/>
    </row>
    <row r="125" ht="15.75" customHeight="1">
      <c r="A125" s="444" t="s">
        <v>98</v>
      </c>
      <c r="B125" s="445" t="s">
        <v>4352</v>
      </c>
      <c r="C125" s="468" t="s">
        <v>4353</v>
      </c>
      <c r="D125" s="446">
        <v>6456590.0</v>
      </c>
      <c r="E125" s="447" t="s">
        <v>120</v>
      </c>
      <c r="F125" s="448" t="s">
        <v>199</v>
      </c>
      <c r="G125" s="447" t="s">
        <v>803</v>
      </c>
      <c r="H125" s="447" t="str">
        <f>IFERROR(VLOOKUP(G125,'Cadastro de assessores'!A:B,2,FALSE),"Não Cadastrado")</f>
        <v>18467</v>
      </c>
      <c r="I125" s="447"/>
      <c r="J125" s="74" t="s">
        <v>183</v>
      </c>
      <c r="K125" s="447" t="s">
        <v>183</v>
      </c>
      <c r="L125" s="450">
        <v>44456.0</v>
      </c>
      <c r="M125" s="450">
        <v>44462.0</v>
      </c>
      <c r="N125" s="446"/>
      <c r="O125" s="446" t="s">
        <v>2319</v>
      </c>
      <c r="P125" s="452">
        <v>0.02</v>
      </c>
      <c r="Q125" s="330" t="s">
        <v>4361</v>
      </c>
      <c r="R125" s="453"/>
      <c r="S125" s="449" t="str">
        <f t="shared" si="12"/>
        <v/>
      </c>
      <c r="T125" s="449" t="s">
        <v>194</v>
      </c>
      <c r="U125" s="449" t="s">
        <v>3350</v>
      </c>
      <c r="V125" s="449" t="s">
        <v>199</v>
      </c>
      <c r="W125" s="454"/>
      <c r="X125" s="454"/>
      <c r="Y125" s="454"/>
      <c r="Z125" s="454"/>
      <c r="AA125" s="454"/>
      <c r="AB125" s="454"/>
      <c r="AC125" s="454"/>
      <c r="AD125" s="454"/>
      <c r="AE125" s="454"/>
      <c r="AF125" s="454"/>
      <c r="AG125" s="455"/>
      <c r="AH125" s="455"/>
      <c r="AI125" s="456"/>
      <c r="AJ125" s="456"/>
      <c r="AK125" s="456"/>
      <c r="AL125" s="456"/>
      <c r="AM125" s="456"/>
      <c r="AN125" s="456"/>
      <c r="AO125" s="456"/>
      <c r="AP125" s="456"/>
      <c r="AQ125" s="456"/>
      <c r="AR125" s="456"/>
      <c r="AS125" s="481"/>
      <c r="AT125" s="481"/>
      <c r="AU125" s="454"/>
      <c r="AV125" s="456"/>
      <c r="AW125" s="456">
        <v>93374.49</v>
      </c>
      <c r="AX125" s="456">
        <v>93311.61</v>
      </c>
      <c r="AY125" s="456">
        <v>93006.08</v>
      </c>
      <c r="AZ125" s="456">
        <v>97166.84</v>
      </c>
      <c r="BA125" s="456">
        <v>97961.67</v>
      </c>
      <c r="BB125" s="456">
        <v>52139.56</v>
      </c>
      <c r="BC125" s="456"/>
      <c r="BD125" s="456">
        <v>47983.36</v>
      </c>
      <c r="BE125" s="456">
        <v>45972.95</v>
      </c>
      <c r="BF125" s="456">
        <v>32779.9</v>
      </c>
      <c r="BG125" s="456">
        <v>33713.34132</v>
      </c>
      <c r="BH125" s="456">
        <v>33670.09</v>
      </c>
      <c r="BI125" s="456">
        <v>37072.69</v>
      </c>
      <c r="BJ125" s="456">
        <v>29455.56</v>
      </c>
      <c r="BK125" s="456">
        <v>29603.32</v>
      </c>
      <c r="BL125" s="456">
        <v>30122.18</v>
      </c>
      <c r="BM125" s="456">
        <v>30021.22</v>
      </c>
      <c r="BN125" s="456">
        <v>30076.9</v>
      </c>
      <c r="BO125" s="456">
        <v>30410.86</v>
      </c>
      <c r="BP125" s="456">
        <v>30744.7</v>
      </c>
      <c r="BQ125" s="456">
        <v>31181.29</v>
      </c>
      <c r="BR125" s="456">
        <v>31591.54</v>
      </c>
      <c r="BS125" s="90">
        <v>1.06</v>
      </c>
      <c r="BT125" s="90"/>
    </row>
    <row r="126" ht="15.75" customHeight="1">
      <c r="A126" s="444" t="s">
        <v>98</v>
      </c>
      <c r="B126" s="445" t="s">
        <v>4377</v>
      </c>
      <c r="C126" s="458" t="s">
        <v>4378</v>
      </c>
      <c r="D126" s="449">
        <v>3553004.0</v>
      </c>
      <c r="E126" s="447" t="s">
        <v>669</v>
      </c>
      <c r="F126" s="447" t="s">
        <v>199</v>
      </c>
      <c r="G126" s="447" t="s">
        <v>669</v>
      </c>
      <c r="H126" s="447" t="str">
        <f>IFERROR(VLOOKUP(G126,'Cadastro de assessores'!A:B,2,FALSE),"Não Cadastrado")</f>
        <v>18986</v>
      </c>
      <c r="I126" s="447"/>
      <c r="J126" s="49" t="s">
        <v>224</v>
      </c>
      <c r="K126" s="449" t="s">
        <v>183</v>
      </c>
      <c r="L126" s="450">
        <v>43742.0</v>
      </c>
      <c r="M126" s="450">
        <v>43742.0</v>
      </c>
      <c r="N126" s="459">
        <v>44888.0</v>
      </c>
      <c r="O126" s="449" t="s">
        <v>4383</v>
      </c>
      <c r="P126" s="519">
        <v>0.01</v>
      </c>
      <c r="Q126" s="461" t="s">
        <v>4384</v>
      </c>
      <c r="R126" s="453"/>
      <c r="S126" s="449" t="str">
        <f t="shared" si="12"/>
        <v>Não Qualificado</v>
      </c>
      <c r="T126" s="449" t="s">
        <v>194</v>
      </c>
      <c r="U126" s="449" t="s">
        <v>3587</v>
      </c>
      <c r="V126" s="449" t="s">
        <v>54</v>
      </c>
      <c r="W126" s="455" t="s">
        <v>4387</v>
      </c>
      <c r="X126" s="455"/>
      <c r="Y126" s="455" t="s">
        <v>4388</v>
      </c>
      <c r="Z126" s="455" t="s">
        <v>4389</v>
      </c>
      <c r="AA126" s="455" t="s">
        <v>4390</v>
      </c>
      <c r="AB126" s="455" t="s">
        <v>4391</v>
      </c>
      <c r="AC126" s="455" t="s">
        <v>4392</v>
      </c>
      <c r="AD126" s="455" t="s">
        <v>4393</v>
      </c>
      <c r="AE126" s="455" t="s">
        <v>4394</v>
      </c>
      <c r="AF126" s="455" t="s">
        <v>4396</v>
      </c>
      <c r="AG126" s="455" t="s">
        <v>4397</v>
      </c>
      <c r="AH126" s="455" t="s">
        <v>4398</v>
      </c>
      <c r="AI126" s="455" t="s">
        <v>4399</v>
      </c>
      <c r="AJ126" s="455" t="s">
        <v>4400</v>
      </c>
      <c r="AK126" s="456">
        <v>73258.01</v>
      </c>
      <c r="AL126" s="456">
        <v>72456.46</v>
      </c>
      <c r="AM126" s="456">
        <v>70838.75</v>
      </c>
      <c r="AN126" s="456">
        <v>70940.88</v>
      </c>
      <c r="AO126" s="456">
        <v>71543.37</v>
      </c>
      <c r="AP126" s="456">
        <v>71787.8</v>
      </c>
      <c r="AQ126" s="456">
        <v>71806.91</v>
      </c>
      <c r="AR126" s="456">
        <v>72444.05</v>
      </c>
      <c r="AS126" s="456">
        <v>72433.31</v>
      </c>
      <c r="AT126" s="456">
        <v>71746.12</v>
      </c>
      <c r="AU126" s="456">
        <v>71174.3</v>
      </c>
      <c r="AV126" s="456">
        <v>70466.44</v>
      </c>
      <c r="AW126" s="456">
        <v>68284.32</v>
      </c>
      <c r="AX126" s="456">
        <v>71502.86</v>
      </c>
      <c r="AY126" s="456">
        <v>72315.14</v>
      </c>
      <c r="AZ126" s="456">
        <v>72717.26</v>
      </c>
      <c r="BA126" s="456">
        <v>73156.17</v>
      </c>
      <c r="BB126" s="456">
        <v>75063.1</v>
      </c>
      <c r="BC126" s="456">
        <v>100.0</v>
      </c>
      <c r="BD126" s="456">
        <v>190845.04</v>
      </c>
      <c r="BE126" s="456">
        <v>118778.77</v>
      </c>
      <c r="BF126" s="456">
        <v>121113.95</v>
      </c>
      <c r="BG126" s="456">
        <v>123792.8</v>
      </c>
      <c r="BH126" s="456">
        <v>-85.44</v>
      </c>
      <c r="BI126" s="456">
        <v>-85.44</v>
      </c>
      <c r="BJ126" s="456">
        <v>0.0</v>
      </c>
      <c r="BK126" s="456">
        <v>0.0</v>
      </c>
      <c r="BL126" s="456">
        <v>0.0</v>
      </c>
      <c r="BM126" s="456">
        <v>0.0</v>
      </c>
      <c r="BN126" s="456">
        <v>0.0</v>
      </c>
      <c r="BO126" s="456">
        <v>0.0</v>
      </c>
      <c r="BP126" s="456">
        <v>0.0</v>
      </c>
      <c r="BQ126" s="456">
        <v>0.0</v>
      </c>
      <c r="BR126" s="456">
        <v>0.0</v>
      </c>
      <c r="BS126" s="90" t="s">
        <v>268</v>
      </c>
      <c r="BT126" s="90"/>
    </row>
    <row r="127" ht="15.75" customHeight="1">
      <c r="A127" s="444" t="s">
        <v>98</v>
      </c>
      <c r="B127" s="445" t="s">
        <v>4410</v>
      </c>
      <c r="C127" s="458" t="s">
        <v>4411</v>
      </c>
      <c r="D127" s="449">
        <v>4550421.0</v>
      </c>
      <c r="E127" s="447" t="s">
        <v>255</v>
      </c>
      <c r="F127" s="447" t="s">
        <v>199</v>
      </c>
      <c r="G127" s="447" t="s">
        <v>3885</v>
      </c>
      <c r="H127" s="447" t="str">
        <f>IFERROR(VLOOKUP(G127,'Cadastro de assessores'!A:B,2,FALSE),"Não Cadastrado")</f>
        <v>17243</v>
      </c>
      <c r="I127" s="447"/>
      <c r="J127" s="49" t="s">
        <v>2318</v>
      </c>
      <c r="K127" s="447" t="s">
        <v>183</v>
      </c>
      <c r="L127" s="451">
        <v>44126.0</v>
      </c>
      <c r="M127" s="451">
        <v>44130.0</v>
      </c>
      <c r="N127" s="449"/>
      <c r="O127" s="449" t="s">
        <v>2365</v>
      </c>
      <c r="P127" s="452">
        <v>0.012</v>
      </c>
      <c r="Q127" s="461"/>
      <c r="R127" s="453"/>
      <c r="S127" s="449" t="str">
        <f t="shared" si="12"/>
        <v/>
      </c>
      <c r="T127" s="449" t="s">
        <v>194</v>
      </c>
      <c r="U127" s="449" t="s">
        <v>2383</v>
      </c>
      <c r="V127" s="449" t="s">
        <v>199</v>
      </c>
      <c r="W127" s="455" t="s">
        <v>2344</v>
      </c>
      <c r="X127" s="455" t="s">
        <v>2344</v>
      </c>
      <c r="Y127" s="455" t="s">
        <v>2344</v>
      </c>
      <c r="Z127" s="455" t="s">
        <v>2344</v>
      </c>
      <c r="AA127" s="455" t="s">
        <v>2344</v>
      </c>
      <c r="AB127" s="455" t="s">
        <v>2344</v>
      </c>
      <c r="AC127" s="455" t="s">
        <v>2344</v>
      </c>
      <c r="AD127" s="455" t="s">
        <v>2344</v>
      </c>
      <c r="AE127" s="455" t="s">
        <v>2344</v>
      </c>
      <c r="AF127" s="455" t="s">
        <v>2344</v>
      </c>
      <c r="AG127" s="455" t="s">
        <v>2344</v>
      </c>
      <c r="AH127" s="455" t="s">
        <v>2344</v>
      </c>
      <c r="AI127" s="455" t="s">
        <v>4416</v>
      </c>
      <c r="AJ127" s="455" t="s">
        <v>4417</v>
      </c>
      <c r="AK127" s="456">
        <v>308977.37</v>
      </c>
      <c r="AL127" s="456">
        <v>306700.27</v>
      </c>
      <c r="AM127" s="456">
        <v>302262.44</v>
      </c>
      <c r="AN127" s="456">
        <v>301632.88</v>
      </c>
      <c r="AO127" s="456">
        <v>305050.3</v>
      </c>
      <c r="AP127" s="456">
        <v>215647.0</v>
      </c>
      <c r="AQ127" s="456">
        <v>305559.01</v>
      </c>
      <c r="AR127" s="456">
        <v>309357.93</v>
      </c>
      <c r="AS127" s="456">
        <v>308532.49</v>
      </c>
      <c r="AT127" s="456">
        <v>305995.71</v>
      </c>
      <c r="AU127" s="456">
        <v>305619.94</v>
      </c>
      <c r="AV127" s="456">
        <v>303694.69</v>
      </c>
      <c r="AW127" s="456">
        <v>300538.92</v>
      </c>
      <c r="AX127" s="456">
        <v>302067.33</v>
      </c>
      <c r="AY127" s="456">
        <v>305174.6</v>
      </c>
      <c r="AZ127" s="456">
        <v>310054.99</v>
      </c>
      <c r="BA127" s="456">
        <v>312363.52</v>
      </c>
      <c r="BB127" s="456">
        <v>318660.48</v>
      </c>
      <c r="BC127" s="456"/>
      <c r="BD127" s="456">
        <v>321383.71</v>
      </c>
      <c r="BE127" s="456">
        <v>322432.92</v>
      </c>
      <c r="BF127" s="456">
        <v>326288.95</v>
      </c>
      <c r="BG127" s="456">
        <v>327944.6318</v>
      </c>
      <c r="BH127" s="456">
        <v>329315.81</v>
      </c>
      <c r="BI127" s="456">
        <v>333351.5</v>
      </c>
      <c r="BJ127" s="456">
        <v>334805.24</v>
      </c>
      <c r="BK127" s="456">
        <v>337427.92</v>
      </c>
      <c r="BL127" s="456">
        <v>341041.77</v>
      </c>
      <c r="BM127" s="456">
        <v>48608.21</v>
      </c>
      <c r="BN127" s="456">
        <v>0.0</v>
      </c>
      <c r="BO127" s="456">
        <v>0.0</v>
      </c>
      <c r="BP127" s="456">
        <v>0.0</v>
      </c>
      <c r="BQ127" s="456">
        <v>0.0</v>
      </c>
      <c r="BR127" s="456">
        <v>0.0</v>
      </c>
      <c r="BS127" s="90">
        <v>0.0</v>
      </c>
      <c r="BT127" s="90"/>
    </row>
    <row r="128" ht="15.75" customHeight="1">
      <c r="A128" s="444" t="s">
        <v>98</v>
      </c>
      <c r="B128" s="445" t="s">
        <v>4425</v>
      </c>
      <c r="C128" s="458" t="s">
        <v>4426</v>
      </c>
      <c r="D128" s="449">
        <v>2699859.0</v>
      </c>
      <c r="E128" s="447" t="s">
        <v>669</v>
      </c>
      <c r="F128" s="447" t="s">
        <v>199</v>
      </c>
      <c r="G128" s="447" t="s">
        <v>669</v>
      </c>
      <c r="H128" s="447" t="str">
        <f>IFERROR(VLOOKUP(G128,'Cadastro de assessores'!A:B,2,FALSE),"Não Cadastrado")</f>
        <v>18986</v>
      </c>
      <c r="I128" s="447"/>
      <c r="J128" s="49" t="s">
        <v>2318</v>
      </c>
      <c r="K128" s="449" t="s">
        <v>295</v>
      </c>
      <c r="L128" s="450">
        <v>43865.0</v>
      </c>
      <c r="M128" s="450">
        <v>43869.0</v>
      </c>
      <c r="N128" s="449"/>
      <c r="O128" s="449" t="s">
        <v>2341</v>
      </c>
      <c r="P128" s="519">
        <v>0.015</v>
      </c>
      <c r="Q128" s="461"/>
      <c r="R128" s="453"/>
      <c r="S128" s="449" t="str">
        <f t="shared" si="12"/>
        <v/>
      </c>
      <c r="T128" s="449" t="s">
        <v>194</v>
      </c>
      <c r="U128" s="449" t="s">
        <v>2374</v>
      </c>
      <c r="V128" s="449" t="s">
        <v>199</v>
      </c>
      <c r="W128" s="455"/>
      <c r="X128" s="455"/>
      <c r="Y128" s="455"/>
      <c r="Z128" s="455"/>
      <c r="AA128" s="455"/>
      <c r="AB128" s="455"/>
      <c r="AC128" s="455"/>
      <c r="AD128" s="455"/>
      <c r="AE128" s="455"/>
      <c r="AF128" s="455"/>
      <c r="AG128" s="455"/>
      <c r="AH128" s="455"/>
      <c r="AI128" s="455"/>
      <c r="AJ128" s="455"/>
      <c r="AK128" s="456"/>
      <c r="AL128" s="456"/>
      <c r="AM128" s="456">
        <v>81199.34</v>
      </c>
      <c r="AN128" s="456">
        <v>80869.93</v>
      </c>
      <c r="AO128" s="456">
        <v>83218.35</v>
      </c>
      <c r="AP128" s="456">
        <v>83908.55</v>
      </c>
      <c r="AQ128" s="456">
        <v>83612.71</v>
      </c>
      <c r="AR128" s="456">
        <v>85510.08</v>
      </c>
      <c r="AS128" s="456">
        <v>75693.01</v>
      </c>
      <c r="AT128" s="456">
        <v>73737.98</v>
      </c>
      <c r="AU128" s="456">
        <v>73147.31</v>
      </c>
      <c r="AV128" s="456">
        <v>4251.06</v>
      </c>
      <c r="AW128" s="456">
        <v>114.13</v>
      </c>
      <c r="AX128" s="456">
        <v>114.0</v>
      </c>
      <c r="AY128" s="456">
        <v>113.77</v>
      </c>
      <c r="AZ128" s="456">
        <v>113.56</v>
      </c>
      <c r="BA128" s="456">
        <v>113.37</v>
      </c>
      <c r="BB128" s="456">
        <v>113.15</v>
      </c>
      <c r="BC128" s="456"/>
      <c r="BD128" s="456">
        <v>117.11</v>
      </c>
      <c r="BE128" s="456">
        <v>117.11</v>
      </c>
      <c r="BF128" s="456">
        <v>117.12</v>
      </c>
      <c r="BG128" s="456">
        <v>117.12</v>
      </c>
      <c r="BH128" s="456">
        <v>117.12</v>
      </c>
      <c r="BI128" s="456">
        <v>117.12</v>
      </c>
      <c r="BJ128" s="456">
        <v>117.12</v>
      </c>
      <c r="BK128" s="456">
        <v>117.12</v>
      </c>
      <c r="BL128" s="456">
        <v>117.12</v>
      </c>
      <c r="BM128" s="456">
        <v>117.12</v>
      </c>
      <c r="BN128" s="456">
        <v>117.12</v>
      </c>
      <c r="BO128" s="456">
        <v>117.12</v>
      </c>
      <c r="BP128" s="456">
        <v>117.12</v>
      </c>
      <c r="BQ128" s="456">
        <v>117.12</v>
      </c>
      <c r="BR128" s="456">
        <v>117.12</v>
      </c>
      <c r="BS128" s="90">
        <v>0.0</v>
      </c>
      <c r="BT128" s="90"/>
    </row>
    <row r="129" ht="15.75" customHeight="1">
      <c r="A129" s="444" t="s">
        <v>98</v>
      </c>
      <c r="B129" s="445" t="s">
        <v>4443</v>
      </c>
      <c r="C129" s="468" t="s">
        <v>4444</v>
      </c>
      <c r="D129" s="448">
        <v>5947460.0</v>
      </c>
      <c r="E129" s="447" t="s">
        <v>120</v>
      </c>
      <c r="F129" s="448" t="s">
        <v>199</v>
      </c>
      <c r="G129" s="446" t="s">
        <v>439</v>
      </c>
      <c r="H129" s="446" t="str">
        <f>IFERROR(VLOOKUP(G129,'Cadastro de assessores'!A:B,2,FALSE),"Não Cadastrado")</f>
        <v>18236</v>
      </c>
      <c r="I129" s="446"/>
      <c r="J129" s="49" t="s">
        <v>2318</v>
      </c>
      <c r="K129" s="447" t="s">
        <v>183</v>
      </c>
      <c r="L129" s="450">
        <v>44398.0</v>
      </c>
      <c r="M129" s="450">
        <v>44399.0</v>
      </c>
      <c r="N129" s="449"/>
      <c r="O129" s="449" t="s">
        <v>2341</v>
      </c>
      <c r="P129" s="519">
        <v>0.015</v>
      </c>
      <c r="Q129" s="330"/>
      <c r="R129" s="453"/>
      <c r="S129" s="449" t="str">
        <f t="shared" si="12"/>
        <v>Não Qualificado</v>
      </c>
      <c r="T129" s="449" t="s">
        <v>194</v>
      </c>
      <c r="U129" s="449" t="s">
        <v>4450</v>
      </c>
      <c r="V129" s="449" t="s">
        <v>199</v>
      </c>
      <c r="W129" s="454"/>
      <c r="X129" s="454"/>
      <c r="Y129" s="454"/>
      <c r="Z129" s="454"/>
      <c r="AA129" s="454"/>
      <c r="AB129" s="454"/>
      <c r="AC129" s="454"/>
      <c r="AD129" s="454"/>
      <c r="AE129" s="454"/>
      <c r="AF129" s="454"/>
      <c r="AG129" s="454"/>
      <c r="AH129" s="455"/>
      <c r="AI129" s="455"/>
      <c r="AJ129" s="456"/>
      <c r="AK129" s="456"/>
      <c r="AL129" s="456"/>
      <c r="AM129" s="456"/>
      <c r="AN129" s="456"/>
      <c r="AO129" s="456"/>
      <c r="AP129" s="456"/>
      <c r="AQ129" s="456"/>
      <c r="AR129" s="456"/>
      <c r="AS129" s="454"/>
      <c r="AT129" s="481">
        <v>98319.11</v>
      </c>
      <c r="AU129" s="481">
        <v>97625.08</v>
      </c>
      <c r="AV129" s="456">
        <v>96132.16</v>
      </c>
      <c r="AW129" s="456">
        <v>93331.27</v>
      </c>
      <c r="AX129" s="456">
        <v>83142.02</v>
      </c>
      <c r="AY129" s="456">
        <v>83967.94</v>
      </c>
      <c r="AZ129" s="456">
        <v>76132.78</v>
      </c>
      <c r="BA129" s="456">
        <v>76856.18</v>
      </c>
      <c r="BB129" s="456">
        <v>79583.87</v>
      </c>
      <c r="BC129" s="456">
        <v>111666.25</v>
      </c>
      <c r="BD129" s="456">
        <v>70414.09</v>
      </c>
      <c r="BE129" s="456">
        <v>49648.92</v>
      </c>
      <c r="BF129" s="456">
        <v>24151.31</v>
      </c>
      <c r="BG129" s="456">
        <v>24424.03837</v>
      </c>
      <c r="BH129" s="456">
        <v>24498.43</v>
      </c>
      <c r="BI129" s="456">
        <v>25820.77</v>
      </c>
      <c r="BJ129" s="456">
        <v>25297.94</v>
      </c>
      <c r="BK129" s="456">
        <v>4081.3</v>
      </c>
      <c r="BL129" s="456">
        <v>158.22</v>
      </c>
      <c r="BM129" s="456">
        <v>158.22</v>
      </c>
      <c r="BN129" s="456">
        <v>158.22</v>
      </c>
      <c r="BO129" s="456">
        <v>158.22</v>
      </c>
      <c r="BP129" s="456">
        <v>158.22</v>
      </c>
      <c r="BQ129" s="456">
        <v>158.22</v>
      </c>
      <c r="BR129" s="456">
        <v>158.22</v>
      </c>
      <c r="BS129" s="90">
        <v>0.0</v>
      </c>
      <c r="BT129" s="90"/>
    </row>
    <row r="130" ht="15.75" customHeight="1">
      <c r="A130" s="444" t="s">
        <v>98</v>
      </c>
      <c r="B130" s="445" t="s">
        <v>4466</v>
      </c>
      <c r="C130" s="458" t="s">
        <v>4468</v>
      </c>
      <c r="D130" s="449">
        <v>2216296.0</v>
      </c>
      <c r="E130" s="447" t="s">
        <v>255</v>
      </c>
      <c r="F130" s="447" t="s">
        <v>199</v>
      </c>
      <c r="G130" s="447" t="s">
        <v>3606</v>
      </c>
      <c r="H130" s="447" t="str">
        <f>IFERROR(VLOOKUP(G130,'Cadastro de assessores'!A:B,2,FALSE),"Não Cadastrado")</f>
        <v>16459</v>
      </c>
      <c r="I130" s="447"/>
      <c r="J130" s="49" t="s">
        <v>224</v>
      </c>
      <c r="K130" s="447" t="s">
        <v>183</v>
      </c>
      <c r="L130" s="450">
        <v>44088.0</v>
      </c>
      <c r="M130" s="450">
        <v>44088.0</v>
      </c>
      <c r="N130" s="616">
        <v>44886.0</v>
      </c>
      <c r="O130" s="446" t="s">
        <v>2319</v>
      </c>
      <c r="P130" s="519">
        <v>0.01</v>
      </c>
      <c r="Q130" s="537" t="s">
        <v>4476</v>
      </c>
      <c r="R130" s="453"/>
      <c r="S130" s="449" t="str">
        <f t="shared" si="12"/>
        <v>Não Qualificado</v>
      </c>
      <c r="T130" s="449" t="s">
        <v>194</v>
      </c>
      <c r="U130" s="449" t="s">
        <v>4296</v>
      </c>
      <c r="V130" s="449" t="s">
        <v>199</v>
      </c>
      <c r="W130" s="455" t="s">
        <v>2344</v>
      </c>
      <c r="X130" s="455" t="s">
        <v>2344</v>
      </c>
      <c r="Y130" s="455" t="s">
        <v>2344</v>
      </c>
      <c r="Z130" s="455" t="s">
        <v>2344</v>
      </c>
      <c r="AA130" s="455" t="s">
        <v>2344</v>
      </c>
      <c r="AB130" s="455" t="s">
        <v>2344</v>
      </c>
      <c r="AC130" s="455" t="s">
        <v>2344</v>
      </c>
      <c r="AD130" s="455" t="s">
        <v>2344</v>
      </c>
      <c r="AE130" s="455" t="s">
        <v>2344</v>
      </c>
      <c r="AF130" s="455" t="s">
        <v>2344</v>
      </c>
      <c r="AG130" s="455" t="s">
        <v>2344</v>
      </c>
      <c r="AH130" s="455" t="s">
        <v>4483</v>
      </c>
      <c r="AI130" s="455" t="s">
        <v>4484</v>
      </c>
      <c r="AJ130" s="455" t="s">
        <v>4485</v>
      </c>
      <c r="AK130" s="456">
        <v>688704.17</v>
      </c>
      <c r="AL130" s="456">
        <v>651185.82</v>
      </c>
      <c r="AM130" s="456">
        <v>621244.08</v>
      </c>
      <c r="AN130" s="456">
        <v>612986.52</v>
      </c>
      <c r="AO130" s="456">
        <v>635115.29</v>
      </c>
      <c r="AP130" s="456">
        <v>637268.15</v>
      </c>
      <c r="AQ130" s="456">
        <v>632248.83</v>
      </c>
      <c r="AR130" s="456">
        <v>641492.06</v>
      </c>
      <c r="AS130" s="456">
        <v>636973.5</v>
      </c>
      <c r="AT130" s="456">
        <v>631556.87</v>
      </c>
      <c r="AU130" s="456">
        <v>624825.94</v>
      </c>
      <c r="AV130" s="456">
        <v>600942.66</v>
      </c>
      <c r="AW130" s="456">
        <v>574393.03</v>
      </c>
      <c r="AX130" s="456">
        <v>568574.23</v>
      </c>
      <c r="AY130" s="456">
        <v>577292.37</v>
      </c>
      <c r="AZ130" s="456">
        <v>580848.31</v>
      </c>
      <c r="BA130" s="456">
        <v>574320.91</v>
      </c>
      <c r="BB130" s="456">
        <v>591535.41</v>
      </c>
      <c r="BC130" s="456">
        <v>73707.03</v>
      </c>
      <c r="BD130" s="456">
        <v>582687.94</v>
      </c>
      <c r="BE130" s="456">
        <v>572421.17</v>
      </c>
      <c r="BF130" s="456">
        <v>580975.65</v>
      </c>
      <c r="BG130" s="456">
        <v>589349.2917</v>
      </c>
      <c r="BH130" s="456">
        <v>584473.47</v>
      </c>
      <c r="BI130" s="456">
        <v>601063.5</v>
      </c>
      <c r="BJ130" s="456">
        <v>0.0</v>
      </c>
      <c r="BK130" s="456">
        <v>0.0</v>
      </c>
      <c r="BL130" s="456">
        <v>0.0</v>
      </c>
      <c r="BM130" s="456">
        <v>0.0</v>
      </c>
      <c r="BN130" s="456">
        <v>0.0</v>
      </c>
      <c r="BO130" s="456">
        <v>0.0</v>
      </c>
      <c r="BP130" s="456">
        <v>0.0</v>
      </c>
      <c r="BQ130" s="456">
        <v>0.0</v>
      </c>
      <c r="BR130" s="456">
        <v>0.0</v>
      </c>
      <c r="BS130" s="90" t="s">
        <v>268</v>
      </c>
      <c r="BT130" s="90"/>
    </row>
    <row r="131" ht="15.75" customHeight="1">
      <c r="A131" s="444" t="s">
        <v>98</v>
      </c>
      <c r="B131" s="445" t="s">
        <v>4493</v>
      </c>
      <c r="C131" s="468" t="s">
        <v>4495</v>
      </c>
      <c r="D131" s="446">
        <v>5537937.0</v>
      </c>
      <c r="E131" s="449" t="s">
        <v>120</v>
      </c>
      <c r="F131" s="449" t="s">
        <v>199</v>
      </c>
      <c r="G131" s="449" t="s">
        <v>4498</v>
      </c>
      <c r="H131" s="449">
        <f>IFERROR(VLOOKUP(G131,'Cadastro de assessores'!A:B,2,FALSE),"Não Cadastrado")</f>
        <v>12335</v>
      </c>
      <c r="I131" s="449"/>
      <c r="J131" s="49" t="s">
        <v>224</v>
      </c>
      <c r="K131" s="449" t="s">
        <v>2340</v>
      </c>
      <c r="L131" s="460">
        <v>44323.0</v>
      </c>
      <c r="M131" s="460">
        <v>44323.0</v>
      </c>
      <c r="N131" s="460">
        <v>44725.0</v>
      </c>
      <c r="O131" s="449" t="s">
        <v>2356</v>
      </c>
      <c r="P131" s="452">
        <v>0.007</v>
      </c>
      <c r="Q131" s="330" t="s">
        <v>4502</v>
      </c>
      <c r="R131" s="453"/>
      <c r="S131" s="449" t="str">
        <f t="shared" si="12"/>
        <v>Não Qualificado</v>
      </c>
      <c r="T131" s="449" t="s">
        <v>194</v>
      </c>
      <c r="U131" s="446" t="s">
        <v>3796</v>
      </c>
      <c r="V131" s="446" t="s">
        <v>28</v>
      </c>
      <c r="W131" s="454"/>
      <c r="X131" s="454"/>
      <c r="Y131" s="454"/>
      <c r="Z131" s="454"/>
      <c r="AA131" s="454"/>
      <c r="AB131" s="454"/>
      <c r="AC131" s="454"/>
      <c r="AD131" s="454"/>
      <c r="AE131" s="454"/>
      <c r="AF131" s="454"/>
      <c r="AG131" s="454"/>
      <c r="AH131" s="454"/>
      <c r="AI131" s="454"/>
      <c r="AJ131" s="454"/>
      <c r="AK131" s="454"/>
      <c r="AL131" s="456"/>
      <c r="AM131" s="456"/>
      <c r="AN131" s="456"/>
      <c r="AO131" s="456"/>
      <c r="AP131" s="456"/>
      <c r="AQ131" s="456"/>
      <c r="AR131" s="456">
        <v>151275.13</v>
      </c>
      <c r="AS131" s="456">
        <v>150974.97</v>
      </c>
      <c r="AT131" s="456">
        <v>149831.06</v>
      </c>
      <c r="AU131" s="456">
        <v>149696.16</v>
      </c>
      <c r="AV131" s="456">
        <v>149019.85</v>
      </c>
      <c r="AW131" s="456">
        <v>147276.58</v>
      </c>
      <c r="AX131" s="456">
        <v>147835.55</v>
      </c>
      <c r="AY131" s="456">
        <v>149432.85</v>
      </c>
      <c r="AZ131" s="456">
        <v>150593.5</v>
      </c>
      <c r="BA131" s="456">
        <v>151575.85</v>
      </c>
      <c r="BB131" s="456">
        <v>152962.75</v>
      </c>
      <c r="BC131" s="456">
        <v>603327.7</v>
      </c>
      <c r="BD131" s="456">
        <v>156035.88</v>
      </c>
      <c r="BE131" s="456">
        <v>0.11</v>
      </c>
      <c r="BF131" s="456">
        <v>0.11</v>
      </c>
      <c r="BG131" s="456">
        <v>0.11</v>
      </c>
      <c r="BH131" s="456">
        <v>0.11</v>
      </c>
      <c r="BI131" s="456">
        <v>0.11</v>
      </c>
      <c r="BJ131" s="456">
        <v>0.11</v>
      </c>
      <c r="BK131" s="456">
        <v>0.11</v>
      </c>
      <c r="BL131" s="456">
        <v>0.11</v>
      </c>
      <c r="BM131" s="456">
        <v>0.11</v>
      </c>
      <c r="BN131" s="456">
        <v>0.11</v>
      </c>
      <c r="BO131" s="456">
        <v>0.11</v>
      </c>
      <c r="BP131" s="456">
        <v>0.11</v>
      </c>
      <c r="BQ131" s="456">
        <v>0.11</v>
      </c>
      <c r="BR131" s="456">
        <v>0.11</v>
      </c>
      <c r="BS131" s="90">
        <v>0.0</v>
      </c>
      <c r="BT131" s="90"/>
    </row>
    <row r="132" ht="15.75" customHeight="1">
      <c r="A132" s="444" t="s">
        <v>98</v>
      </c>
      <c r="B132" s="445" t="s">
        <v>4511</v>
      </c>
      <c r="C132" s="458" t="s">
        <v>4512</v>
      </c>
      <c r="D132" s="449">
        <v>4440692.0</v>
      </c>
      <c r="E132" s="449" t="s">
        <v>120</v>
      </c>
      <c r="F132" s="449" t="s">
        <v>199</v>
      </c>
      <c r="G132" s="449" t="s">
        <v>2339</v>
      </c>
      <c r="H132" s="449" t="str">
        <f>IFERROR(VLOOKUP(G132,'Cadastro de assessores'!A:B,2,FALSE),"Não Cadastrado")</f>
        <v>17679</v>
      </c>
      <c r="I132" s="449"/>
      <c r="J132" s="49" t="s">
        <v>224</v>
      </c>
      <c r="K132" s="449" t="s">
        <v>2340</v>
      </c>
      <c r="L132" s="460">
        <v>44085.0</v>
      </c>
      <c r="M132" s="460">
        <v>44085.0</v>
      </c>
      <c r="N132" s="460">
        <v>44447.0</v>
      </c>
      <c r="O132" s="449" t="s">
        <v>2356</v>
      </c>
      <c r="P132" s="452">
        <v>0.007</v>
      </c>
      <c r="Q132" s="461" t="s">
        <v>4514</v>
      </c>
      <c r="R132" s="453"/>
      <c r="S132" s="449" t="str">
        <f t="shared" si="12"/>
        <v>Qualificado</v>
      </c>
      <c r="T132" s="449" t="s">
        <v>194</v>
      </c>
      <c r="U132" s="449" t="s">
        <v>4515</v>
      </c>
      <c r="V132" s="449" t="s">
        <v>311</v>
      </c>
      <c r="W132" s="455" t="s">
        <v>2344</v>
      </c>
      <c r="X132" s="455" t="s">
        <v>2344</v>
      </c>
      <c r="Y132" s="455" t="s">
        <v>2344</v>
      </c>
      <c r="Z132" s="455" t="s">
        <v>2344</v>
      </c>
      <c r="AA132" s="455" t="s">
        <v>2344</v>
      </c>
      <c r="AB132" s="455" t="s">
        <v>2344</v>
      </c>
      <c r="AC132" s="455" t="s">
        <v>2344</v>
      </c>
      <c r="AD132" s="455" t="s">
        <v>2344</v>
      </c>
      <c r="AE132" s="455" t="s">
        <v>2344</v>
      </c>
      <c r="AF132" s="455" t="s">
        <v>2344</v>
      </c>
      <c r="AG132" s="455" t="s">
        <v>2344</v>
      </c>
      <c r="AH132" s="455" t="s">
        <v>4516</v>
      </c>
      <c r="AI132" s="455" t="s">
        <v>4517</v>
      </c>
      <c r="AJ132" s="455" t="s">
        <v>4518</v>
      </c>
      <c r="AK132" s="456">
        <v>449068.57</v>
      </c>
      <c r="AL132" s="456">
        <v>451469.29</v>
      </c>
      <c r="AM132" s="456">
        <v>693345.07</v>
      </c>
      <c r="AN132" s="456">
        <v>692382.52</v>
      </c>
      <c r="AO132" s="456">
        <v>703454.17</v>
      </c>
      <c r="AP132" s="456">
        <v>870564.73</v>
      </c>
      <c r="AQ132" s="456">
        <v>898773.53</v>
      </c>
      <c r="AR132" s="456">
        <v>910123.89</v>
      </c>
      <c r="AS132" s="456">
        <v>908045.55</v>
      </c>
      <c r="AT132" s="456">
        <v>908655.45</v>
      </c>
      <c r="AU132" s="456">
        <v>913780.79</v>
      </c>
      <c r="AV132" s="456"/>
      <c r="AW132" s="456"/>
      <c r="AX132" s="456"/>
      <c r="AY132" s="456"/>
      <c r="AZ132" s="456"/>
      <c r="BA132" s="456">
        <v>0.0</v>
      </c>
      <c r="BB132" s="456">
        <v>0.0</v>
      </c>
      <c r="BC132" s="456">
        <v>3709108.22</v>
      </c>
      <c r="BD132" s="456" t="s">
        <v>377</v>
      </c>
      <c r="BE132" s="456" t="s">
        <v>377</v>
      </c>
      <c r="BF132" s="456">
        <v>0.0</v>
      </c>
      <c r="BG132" s="456">
        <v>0.0</v>
      </c>
      <c r="BH132" s="456">
        <v>0.0</v>
      </c>
      <c r="BI132" s="456">
        <v>0.0</v>
      </c>
      <c r="BJ132" s="456">
        <v>0.0</v>
      </c>
      <c r="BK132" s="456">
        <v>0.0</v>
      </c>
      <c r="BL132" s="456">
        <v>0.0</v>
      </c>
      <c r="BM132" s="456">
        <v>0.0</v>
      </c>
      <c r="BN132" s="456">
        <v>0.0</v>
      </c>
      <c r="BO132" s="456">
        <v>0.0</v>
      </c>
      <c r="BP132" s="456">
        <v>0.0</v>
      </c>
      <c r="BQ132" s="456">
        <v>0.0</v>
      </c>
      <c r="BR132" s="456">
        <v>0.0</v>
      </c>
      <c r="BS132" s="90" t="s">
        <v>268</v>
      </c>
      <c r="BT132" s="90"/>
    </row>
    <row r="133" ht="15.75" customHeight="1">
      <c r="A133" s="444" t="s">
        <v>98</v>
      </c>
      <c r="B133" s="445" t="s">
        <v>4526</v>
      </c>
      <c r="C133" s="458" t="s">
        <v>4527</v>
      </c>
      <c r="D133" s="449">
        <v>4571776.0</v>
      </c>
      <c r="E133" s="447" t="s">
        <v>255</v>
      </c>
      <c r="F133" s="447" t="s">
        <v>199</v>
      </c>
      <c r="G133" s="447" t="s">
        <v>548</v>
      </c>
      <c r="H133" s="447" t="str">
        <f>IFERROR(VLOOKUP(G133,'Cadastro de assessores'!A:B,2,FALSE),"Não Cadastrado")</f>
        <v>14574</v>
      </c>
      <c r="I133" s="447"/>
      <c r="J133" s="49" t="s">
        <v>2318</v>
      </c>
      <c r="K133" s="449" t="s">
        <v>295</v>
      </c>
      <c r="L133" s="449" t="s">
        <v>3320</v>
      </c>
      <c r="M133" s="548" t="s">
        <v>584</v>
      </c>
      <c r="N133" s="449"/>
      <c r="O133" s="449" t="s">
        <v>2365</v>
      </c>
      <c r="P133" s="452">
        <v>0.012</v>
      </c>
      <c r="Q133" s="461"/>
      <c r="R133" s="453"/>
      <c r="S133" s="449" t="str">
        <f t="shared" si="12"/>
        <v/>
      </c>
      <c r="T133" s="449" t="s">
        <v>194</v>
      </c>
      <c r="U133" s="449" t="s">
        <v>3350</v>
      </c>
      <c r="V133" s="449" t="s">
        <v>199</v>
      </c>
      <c r="W133" s="455" t="s">
        <v>2344</v>
      </c>
      <c r="X133" s="455" t="s">
        <v>2344</v>
      </c>
      <c r="Y133" s="455" t="s">
        <v>2344</v>
      </c>
      <c r="Z133" s="455" t="s">
        <v>2344</v>
      </c>
      <c r="AA133" s="455" t="s">
        <v>2344</v>
      </c>
      <c r="AB133" s="455" t="s">
        <v>2344</v>
      </c>
      <c r="AC133" s="455" t="s">
        <v>2344</v>
      </c>
      <c r="AD133" s="455" t="s">
        <v>2344</v>
      </c>
      <c r="AE133" s="455" t="s">
        <v>2344</v>
      </c>
      <c r="AF133" s="455" t="s">
        <v>2344</v>
      </c>
      <c r="AG133" s="455" t="s">
        <v>2344</v>
      </c>
      <c r="AH133" s="455" t="s">
        <v>2344</v>
      </c>
      <c r="AI133" s="455" t="s">
        <v>2344</v>
      </c>
      <c r="AJ133" s="455" t="s">
        <v>2344</v>
      </c>
      <c r="AK133" s="456" t="s">
        <v>3320</v>
      </c>
      <c r="AL133" s="456"/>
      <c r="AM133" s="456" t="s">
        <v>3320</v>
      </c>
      <c r="AN133" s="456" t="s">
        <v>3320</v>
      </c>
      <c r="AO133" s="456"/>
      <c r="AP133" s="456"/>
      <c r="AQ133" s="456"/>
      <c r="AR133" s="456"/>
      <c r="AS133" s="456"/>
      <c r="AT133" s="456"/>
      <c r="AU133" s="456"/>
      <c r="AV133" s="456"/>
      <c r="AW133" s="456"/>
      <c r="AX133" s="456"/>
      <c r="AY133" s="456"/>
      <c r="AZ133" s="456"/>
      <c r="BA133" s="456">
        <v>0.0</v>
      </c>
      <c r="BB133" s="456">
        <v>0.0</v>
      </c>
      <c r="BC133" s="456"/>
      <c r="BD133" s="456" t="s">
        <v>377</v>
      </c>
      <c r="BE133" s="456" t="s">
        <v>377</v>
      </c>
      <c r="BF133" s="456">
        <v>0.0</v>
      </c>
      <c r="BG133" s="456">
        <v>0.0</v>
      </c>
      <c r="BH133" s="456">
        <v>0.0</v>
      </c>
      <c r="BI133" s="456">
        <v>0.0</v>
      </c>
      <c r="BJ133" s="456">
        <v>0.0</v>
      </c>
      <c r="BK133" s="456">
        <v>0.0</v>
      </c>
      <c r="BL133" s="456">
        <v>0.0</v>
      </c>
      <c r="BM133" s="456">
        <v>0.0</v>
      </c>
      <c r="BN133" s="456">
        <v>0.0</v>
      </c>
      <c r="BO133" s="456">
        <v>0.0</v>
      </c>
      <c r="BP133" s="456">
        <v>0.0</v>
      </c>
      <c r="BQ133" s="456">
        <v>0.0</v>
      </c>
      <c r="BR133" s="456">
        <v>0.0</v>
      </c>
      <c r="BS133" s="90">
        <v>0.0</v>
      </c>
      <c r="BT133" s="90"/>
    </row>
    <row r="134" ht="15.75" customHeight="1">
      <c r="A134" s="444" t="s">
        <v>98</v>
      </c>
      <c r="B134" s="445" t="s">
        <v>4341</v>
      </c>
      <c r="C134" s="458" t="s">
        <v>4333</v>
      </c>
      <c r="D134" s="449">
        <v>4327504.0</v>
      </c>
      <c r="E134" s="449" t="s">
        <v>669</v>
      </c>
      <c r="F134" s="449" t="s">
        <v>199</v>
      </c>
      <c r="G134" s="449" t="s">
        <v>669</v>
      </c>
      <c r="H134" s="449" t="str">
        <f>IFERROR(VLOOKUP(G134,'Cadastro de assessores'!A:B,2,FALSE),"Não Cadastrado")</f>
        <v>18986</v>
      </c>
      <c r="I134" s="449"/>
      <c r="J134" s="49" t="s">
        <v>224</v>
      </c>
      <c r="K134" s="449" t="s">
        <v>2340</v>
      </c>
      <c r="L134" s="460">
        <v>44043.0</v>
      </c>
      <c r="M134" s="460">
        <v>44043.0</v>
      </c>
      <c r="N134" s="460">
        <v>44085.0</v>
      </c>
      <c r="O134" s="449" t="s">
        <v>2341</v>
      </c>
      <c r="P134" s="452">
        <v>0.015</v>
      </c>
      <c r="Q134" s="461" t="s">
        <v>4532</v>
      </c>
      <c r="R134" s="453"/>
      <c r="S134" s="449" t="str">
        <f t="shared" si="12"/>
        <v>Não Qualificado</v>
      </c>
      <c r="T134" s="449" t="s">
        <v>194</v>
      </c>
      <c r="U134" s="449" t="s">
        <v>3587</v>
      </c>
      <c r="V134" s="449" t="s">
        <v>54</v>
      </c>
      <c r="W134" s="455" t="s">
        <v>2344</v>
      </c>
      <c r="X134" s="455" t="s">
        <v>2344</v>
      </c>
      <c r="Y134" s="455" t="s">
        <v>2344</v>
      </c>
      <c r="Z134" s="455" t="s">
        <v>2344</v>
      </c>
      <c r="AA134" s="455" t="s">
        <v>2344</v>
      </c>
      <c r="AB134" s="455" t="s">
        <v>2344</v>
      </c>
      <c r="AC134" s="455" t="s">
        <v>2344</v>
      </c>
      <c r="AD134" s="455" t="s">
        <v>2344</v>
      </c>
      <c r="AE134" s="455" t="s">
        <v>2344</v>
      </c>
      <c r="AF134" s="455" t="s">
        <v>4534</v>
      </c>
      <c r="AG134" s="455" t="s">
        <v>4535</v>
      </c>
      <c r="AH134" s="455"/>
      <c r="AI134" s="455"/>
      <c r="AJ134" s="455"/>
      <c r="AK134" s="456" t="s">
        <v>3320</v>
      </c>
      <c r="AL134" s="456">
        <v>492751.44</v>
      </c>
      <c r="AM134" s="456" t="s">
        <v>3320</v>
      </c>
      <c r="AN134" s="456"/>
      <c r="AO134" s="456"/>
      <c r="AP134" s="456"/>
      <c r="AQ134" s="456"/>
      <c r="AR134" s="456"/>
      <c r="AS134" s="456"/>
      <c r="AT134" s="456"/>
      <c r="AU134" s="456"/>
      <c r="AV134" s="456"/>
      <c r="AW134" s="456"/>
      <c r="AX134" s="456"/>
      <c r="AY134" s="456"/>
      <c r="AZ134" s="456"/>
      <c r="BA134" s="456">
        <v>0.0</v>
      </c>
      <c r="BB134" s="456">
        <v>0.0</v>
      </c>
      <c r="BC134" s="456">
        <v>190488.51</v>
      </c>
      <c r="BD134" s="456" t="s">
        <v>377</v>
      </c>
      <c r="BE134" s="456" t="s">
        <v>377</v>
      </c>
      <c r="BF134" s="456">
        <v>0.0</v>
      </c>
      <c r="BG134" s="456">
        <v>0.0</v>
      </c>
      <c r="BH134" s="456">
        <v>0.0</v>
      </c>
      <c r="BI134" s="456">
        <v>0.0</v>
      </c>
      <c r="BJ134" s="456">
        <v>0.0</v>
      </c>
      <c r="BK134" s="456">
        <v>0.0</v>
      </c>
      <c r="BL134" s="456">
        <v>0.0</v>
      </c>
      <c r="BM134" s="456">
        <v>0.0</v>
      </c>
      <c r="BN134" s="456">
        <v>0.0</v>
      </c>
      <c r="BO134" s="456">
        <v>0.0</v>
      </c>
      <c r="BP134" s="456">
        <v>0.0</v>
      </c>
      <c r="BQ134" s="456">
        <v>0.0</v>
      </c>
      <c r="BR134" s="456">
        <v>0.0</v>
      </c>
      <c r="BS134" s="90" t="s">
        <v>268</v>
      </c>
      <c r="BT134" s="90"/>
    </row>
    <row r="135" ht="15.75" customHeight="1">
      <c r="A135" s="444" t="s">
        <v>98</v>
      </c>
      <c r="B135" s="445" t="s">
        <v>4538</v>
      </c>
      <c r="C135" s="468" t="s">
        <v>4539</v>
      </c>
      <c r="D135" s="507">
        <v>6489178.0</v>
      </c>
      <c r="E135" s="449" t="s">
        <v>120</v>
      </c>
      <c r="F135" s="507" t="s">
        <v>54</v>
      </c>
      <c r="G135" s="449" t="s">
        <v>4057</v>
      </c>
      <c r="H135" s="449" t="str">
        <f>IFERROR(VLOOKUP(G135,'Cadastro de assessores'!A:B,2,FALSE),"Não Cadastrado")</f>
        <v>14294</v>
      </c>
      <c r="I135" s="449"/>
      <c r="J135" s="49" t="s">
        <v>224</v>
      </c>
      <c r="K135" s="449" t="s">
        <v>2340</v>
      </c>
      <c r="L135" s="460">
        <v>44462.0</v>
      </c>
      <c r="M135" s="460">
        <v>44462.0</v>
      </c>
      <c r="N135" s="460">
        <v>44762.0</v>
      </c>
      <c r="O135" s="449" t="s">
        <v>2341</v>
      </c>
      <c r="P135" s="452">
        <v>0.015</v>
      </c>
      <c r="Q135" s="330" t="s">
        <v>4541</v>
      </c>
      <c r="R135" s="453"/>
      <c r="S135" s="449" t="str">
        <f t="shared" si="12"/>
        <v>Não Qualificado</v>
      </c>
      <c r="T135" s="449" t="s">
        <v>194</v>
      </c>
      <c r="U135" s="449" t="s">
        <v>3587</v>
      </c>
      <c r="V135" s="449" t="s">
        <v>54</v>
      </c>
      <c r="W135" s="454"/>
      <c r="X135" s="454"/>
      <c r="Y135" s="454"/>
      <c r="Z135" s="454"/>
      <c r="AA135" s="454"/>
      <c r="AB135" s="454"/>
      <c r="AC135" s="454"/>
      <c r="AD135" s="454"/>
      <c r="AE135" s="454"/>
      <c r="AF135" s="454"/>
      <c r="AG135" s="455"/>
      <c r="AH135" s="455"/>
      <c r="AI135" s="455"/>
      <c r="AJ135" s="456"/>
      <c r="AK135" s="456"/>
      <c r="AL135" s="456"/>
      <c r="AM135" s="456"/>
      <c r="AN135" s="456"/>
      <c r="AO135" s="456"/>
      <c r="AP135" s="456"/>
      <c r="AQ135" s="456"/>
      <c r="AR135" s="456"/>
      <c r="AS135" s="456"/>
      <c r="AT135" s="456"/>
      <c r="AU135" s="454"/>
      <c r="AV135" s="456"/>
      <c r="AW135" s="456">
        <v>95200.76</v>
      </c>
      <c r="AX135" s="456">
        <v>95680.72</v>
      </c>
      <c r="AY135" s="456">
        <v>95727.39</v>
      </c>
      <c r="AZ135" s="456">
        <v>97867.77</v>
      </c>
      <c r="BA135" s="456">
        <v>98882.88</v>
      </c>
      <c r="BB135" s="456">
        <v>102379.8</v>
      </c>
      <c r="BC135" s="456">
        <v>304420.34</v>
      </c>
      <c r="BD135" s="456">
        <v>100901.17</v>
      </c>
      <c r="BE135" s="456">
        <v>100371.71</v>
      </c>
      <c r="BF135" s="456">
        <v>101690.11</v>
      </c>
      <c r="BG135" s="456">
        <v>0.0</v>
      </c>
      <c r="BH135" s="456">
        <v>0.0</v>
      </c>
      <c r="BI135" s="456">
        <v>0.0</v>
      </c>
      <c r="BJ135" s="456">
        <v>0.0</v>
      </c>
      <c r="BK135" s="456">
        <v>0.0</v>
      </c>
      <c r="BL135" s="456">
        <v>0.0</v>
      </c>
      <c r="BM135" s="456">
        <v>0.0</v>
      </c>
      <c r="BN135" s="456">
        <v>0.0</v>
      </c>
      <c r="BO135" s="456">
        <v>0.0</v>
      </c>
      <c r="BP135" s="456">
        <v>0.0</v>
      </c>
      <c r="BQ135" s="456">
        <v>0.0</v>
      </c>
      <c r="BR135" s="456">
        <v>0.0</v>
      </c>
      <c r="BS135" s="90" t="s">
        <v>268</v>
      </c>
      <c r="BT135" s="90"/>
    </row>
    <row r="136" ht="15.75" customHeight="1">
      <c r="A136" s="444" t="s">
        <v>98</v>
      </c>
      <c r="B136" s="445" t="s">
        <v>4549</v>
      </c>
      <c r="C136" s="458" t="s">
        <v>4550</v>
      </c>
      <c r="D136" s="449">
        <v>4696943.0</v>
      </c>
      <c r="E136" s="447" t="s">
        <v>255</v>
      </c>
      <c r="F136" s="447" t="s">
        <v>199</v>
      </c>
      <c r="G136" s="447" t="s">
        <v>3885</v>
      </c>
      <c r="H136" s="447" t="str">
        <f>IFERROR(VLOOKUP(G136,'Cadastro de assessores'!A:B,2,FALSE),"Não Cadastrado")</f>
        <v>17243</v>
      </c>
      <c r="I136" s="447"/>
      <c r="J136" s="49" t="s">
        <v>2318</v>
      </c>
      <c r="K136" s="449" t="s">
        <v>295</v>
      </c>
      <c r="L136" s="451">
        <v>44194.0</v>
      </c>
      <c r="M136" s="451">
        <v>44194.0</v>
      </c>
      <c r="N136" s="449"/>
      <c r="O136" s="449" t="s">
        <v>2341</v>
      </c>
      <c r="P136" s="452">
        <v>0.015</v>
      </c>
      <c r="Q136" s="461"/>
      <c r="R136" s="453"/>
      <c r="S136" s="449" t="str">
        <f t="shared" si="12"/>
        <v>Não Qualificado</v>
      </c>
      <c r="T136" s="449" t="s">
        <v>194</v>
      </c>
      <c r="U136" s="449" t="s">
        <v>2383</v>
      </c>
      <c r="V136" s="449" t="s">
        <v>199</v>
      </c>
      <c r="W136" s="455"/>
      <c r="X136" s="455"/>
      <c r="Y136" s="455"/>
      <c r="Z136" s="455"/>
      <c r="AA136" s="455"/>
      <c r="AB136" s="455"/>
      <c r="AC136" s="455"/>
      <c r="AD136" s="455"/>
      <c r="AE136" s="455"/>
      <c r="AF136" s="455"/>
      <c r="AG136" s="455"/>
      <c r="AH136" s="455"/>
      <c r="AI136" s="455" t="s">
        <v>2344</v>
      </c>
      <c r="AJ136" s="455"/>
      <c r="AK136" s="456" t="s">
        <v>3320</v>
      </c>
      <c r="AL136" s="456">
        <v>492287.37</v>
      </c>
      <c r="AM136" s="456">
        <v>480484.43</v>
      </c>
      <c r="AN136" s="456">
        <v>479223.31</v>
      </c>
      <c r="AO136" s="456">
        <v>493688.1</v>
      </c>
      <c r="AP136" s="456">
        <v>496689.12</v>
      </c>
      <c r="AQ136" s="456">
        <v>492904.47</v>
      </c>
      <c r="AR136" s="456">
        <v>506343.93</v>
      </c>
      <c r="AS136" s="456">
        <v>2032.77</v>
      </c>
      <c r="AT136" s="456">
        <v>2030.32</v>
      </c>
      <c r="AU136" s="456">
        <v>2027.68</v>
      </c>
      <c r="AV136" s="456">
        <v>979.26</v>
      </c>
      <c r="AW136" s="456">
        <v>2022.76</v>
      </c>
      <c r="AX136" s="456">
        <v>2020.36</v>
      </c>
      <c r="AY136" s="456">
        <v>969.53</v>
      </c>
      <c r="AZ136" s="456">
        <v>968.27</v>
      </c>
      <c r="BA136" s="456">
        <v>967.13</v>
      </c>
      <c r="BB136" s="456">
        <v>965.81</v>
      </c>
      <c r="BC136" s="456">
        <v>371332.36</v>
      </c>
      <c r="BD136" s="456">
        <v>1029.7</v>
      </c>
      <c r="BE136" s="456">
        <v>1036.96</v>
      </c>
      <c r="BF136" s="456">
        <v>1043.71</v>
      </c>
      <c r="BG136" s="456">
        <v>1051.81</v>
      </c>
      <c r="BH136" s="456">
        <v>1058.96</v>
      </c>
      <c r="BI136" s="456">
        <v>1067.03</v>
      </c>
      <c r="BJ136" s="456">
        <v>1087.36</v>
      </c>
      <c r="BK136" s="456">
        <v>1094.54</v>
      </c>
      <c r="BL136" s="456">
        <v>1103.75</v>
      </c>
      <c r="BM136" s="456">
        <v>1110.76</v>
      </c>
      <c r="BN136" s="456">
        <v>1113.67</v>
      </c>
      <c r="BO136" s="456">
        <v>1120.29</v>
      </c>
      <c r="BP136" s="456">
        <v>1131.08</v>
      </c>
      <c r="BQ136" s="456">
        <v>1139.38</v>
      </c>
      <c r="BR136" s="456">
        <v>1151.43</v>
      </c>
      <c r="BS136" s="90">
        <v>0.0</v>
      </c>
      <c r="BT136" s="90"/>
    </row>
    <row r="137" ht="15.75" customHeight="1">
      <c r="A137" s="444" t="s">
        <v>98</v>
      </c>
      <c r="B137" s="445" t="s">
        <v>4554</v>
      </c>
      <c r="C137" s="458" t="s">
        <v>4555</v>
      </c>
      <c r="D137" s="449">
        <v>4422652.0</v>
      </c>
      <c r="E137" s="447" t="s">
        <v>120</v>
      </c>
      <c r="F137" s="447" t="s">
        <v>199</v>
      </c>
      <c r="G137" s="447" t="s">
        <v>2339</v>
      </c>
      <c r="H137" s="447" t="str">
        <f>IFERROR(VLOOKUP(G137,'Cadastro de assessores'!A:B,2,FALSE),"Não Cadastrado")</f>
        <v>17679</v>
      </c>
      <c r="I137" s="447"/>
      <c r="J137" s="49" t="s">
        <v>2318</v>
      </c>
      <c r="K137" s="449" t="s">
        <v>295</v>
      </c>
      <c r="L137" s="450">
        <v>44071.0</v>
      </c>
      <c r="M137" s="450">
        <v>44075.0</v>
      </c>
      <c r="N137" s="449"/>
      <c r="O137" s="449" t="s">
        <v>2341</v>
      </c>
      <c r="P137" s="519">
        <v>0.014</v>
      </c>
      <c r="Q137" s="461" t="s">
        <v>4557</v>
      </c>
      <c r="R137" s="453"/>
      <c r="S137" s="449" t="str">
        <f t="shared" si="12"/>
        <v>Não Qualificado</v>
      </c>
      <c r="T137" s="449" t="s">
        <v>194</v>
      </c>
      <c r="U137" s="449" t="s">
        <v>3796</v>
      </c>
      <c r="V137" s="449" t="s">
        <v>28</v>
      </c>
      <c r="W137" s="455" t="s">
        <v>2344</v>
      </c>
      <c r="X137" s="455" t="s">
        <v>2344</v>
      </c>
      <c r="Y137" s="455" t="s">
        <v>2344</v>
      </c>
      <c r="Z137" s="455" t="s">
        <v>2344</v>
      </c>
      <c r="AA137" s="455" t="s">
        <v>2344</v>
      </c>
      <c r="AB137" s="455" t="s">
        <v>2344</v>
      </c>
      <c r="AC137" s="455" t="s">
        <v>2344</v>
      </c>
      <c r="AD137" s="455" t="s">
        <v>2344</v>
      </c>
      <c r="AE137" s="455" t="s">
        <v>2344</v>
      </c>
      <c r="AF137" s="455" t="s">
        <v>2344</v>
      </c>
      <c r="AG137" s="455" t="s">
        <v>4559</v>
      </c>
      <c r="AH137" s="455" t="s">
        <v>4560</v>
      </c>
      <c r="AI137" s="455" t="s">
        <v>4561</v>
      </c>
      <c r="AJ137" s="455" t="s">
        <v>4562</v>
      </c>
      <c r="AK137" s="456">
        <v>311032.82</v>
      </c>
      <c r="AL137" s="456">
        <v>306509.38</v>
      </c>
      <c r="AM137" s="456">
        <v>296959.82</v>
      </c>
      <c r="AN137" s="456">
        <v>297248.02</v>
      </c>
      <c r="AO137" s="456">
        <v>304714.07</v>
      </c>
      <c r="AP137" s="456">
        <v>306339.12</v>
      </c>
      <c r="AQ137" s="456">
        <v>305142.08</v>
      </c>
      <c r="AR137" s="456">
        <v>312377.96</v>
      </c>
      <c r="AS137" s="456">
        <v>11778.99</v>
      </c>
      <c r="AT137" s="456">
        <v>11796.88</v>
      </c>
      <c r="AU137" s="456">
        <v>8811.82</v>
      </c>
      <c r="AV137" s="456">
        <v>383.45</v>
      </c>
      <c r="AW137" s="456">
        <v>8792.05</v>
      </c>
      <c r="AX137" s="456">
        <v>8782.25</v>
      </c>
      <c r="AY137" s="456">
        <v>8215.95</v>
      </c>
      <c r="AZ137" s="456">
        <v>8206.29</v>
      </c>
      <c r="BA137" s="456">
        <v>8197.55</v>
      </c>
      <c r="BB137" s="456">
        <v>8187.48</v>
      </c>
      <c r="BC137" s="456">
        <v>299314.08</v>
      </c>
      <c r="BD137" s="456">
        <v>498.26</v>
      </c>
      <c r="BE137" s="456">
        <v>498.26</v>
      </c>
      <c r="BF137" s="456">
        <v>498.26</v>
      </c>
      <c r="BG137" s="456">
        <v>498.26</v>
      </c>
      <c r="BH137" s="456">
        <v>498.26</v>
      </c>
      <c r="BI137" s="456">
        <v>498.26</v>
      </c>
      <c r="BJ137" s="456">
        <v>498.26</v>
      </c>
      <c r="BK137" s="456">
        <v>498.26</v>
      </c>
      <c r="BL137" s="456">
        <v>498.26</v>
      </c>
      <c r="BM137" s="456">
        <v>498.26</v>
      </c>
      <c r="BN137" s="456">
        <v>498.26</v>
      </c>
      <c r="BO137" s="456">
        <v>498.26</v>
      </c>
      <c r="BP137" s="456">
        <v>498.26</v>
      </c>
      <c r="BQ137" s="456">
        <v>498.26</v>
      </c>
      <c r="BR137" s="456">
        <v>498.26</v>
      </c>
      <c r="BS137" s="90">
        <v>0.0</v>
      </c>
      <c r="BT137" s="90"/>
    </row>
    <row r="138" ht="15.75" customHeight="1">
      <c r="A138" s="444" t="s">
        <v>98</v>
      </c>
      <c r="B138" s="445" t="s">
        <v>2073</v>
      </c>
      <c r="C138" s="468" t="s">
        <v>2069</v>
      </c>
      <c r="D138" s="469">
        <v>8118585.0</v>
      </c>
      <c r="E138" s="447" t="s">
        <v>120</v>
      </c>
      <c r="F138" s="447" t="s">
        <v>199</v>
      </c>
      <c r="G138" s="447" t="s">
        <v>212</v>
      </c>
      <c r="H138" s="447">
        <f>IFERROR(VLOOKUP(G138,'Cadastro de assessores'!A:B,2,FALSE),"Não Cadastrado")</f>
        <v>12344</v>
      </c>
      <c r="I138" s="447"/>
      <c r="J138" s="49" t="s">
        <v>2318</v>
      </c>
      <c r="K138" s="447" t="s">
        <v>183</v>
      </c>
      <c r="L138" s="470">
        <v>44638.0</v>
      </c>
      <c r="M138" s="470">
        <v>44657.0</v>
      </c>
      <c r="N138" s="622"/>
      <c r="O138" s="622" t="s">
        <v>4564</v>
      </c>
      <c r="P138" s="452">
        <v>0.01</v>
      </c>
      <c r="Q138" s="461" t="s">
        <v>4565</v>
      </c>
      <c r="R138" s="453"/>
      <c r="S138" s="449" t="str">
        <f t="shared" si="12"/>
        <v>Não Qualificado</v>
      </c>
      <c r="T138" s="449" t="s">
        <v>194</v>
      </c>
      <c r="U138" s="449" t="s">
        <v>3350</v>
      </c>
      <c r="V138" s="449" t="s">
        <v>199</v>
      </c>
      <c r="W138" s="454"/>
      <c r="X138" s="454"/>
      <c r="Y138" s="454"/>
      <c r="Z138" s="454"/>
      <c r="AA138" s="454"/>
      <c r="AB138" s="454"/>
      <c r="AC138" s="454"/>
      <c r="AD138" s="454"/>
      <c r="AE138" s="454"/>
      <c r="AF138" s="454"/>
      <c r="AG138" s="455"/>
      <c r="AH138" s="455"/>
      <c r="AI138" s="455"/>
      <c r="AJ138" s="456"/>
      <c r="AK138" s="456"/>
      <c r="AL138" s="456"/>
      <c r="AM138" s="456"/>
      <c r="AN138" s="456"/>
      <c r="AO138" s="456"/>
      <c r="AP138" s="456"/>
      <c r="AQ138" s="456"/>
      <c r="AR138" s="456"/>
      <c r="AS138" s="456"/>
      <c r="AT138" s="456"/>
      <c r="AU138" s="456"/>
      <c r="AV138" s="456"/>
      <c r="AW138" s="456"/>
      <c r="AX138" s="454"/>
      <c r="AY138" s="454"/>
      <c r="AZ138" s="538"/>
      <c r="BA138" s="538"/>
      <c r="BB138" s="538"/>
      <c r="BC138" s="538">
        <v>14739.73</v>
      </c>
      <c r="BD138" s="456" t="s">
        <v>377</v>
      </c>
      <c r="BE138" s="456">
        <v>72059.16</v>
      </c>
      <c r="BF138" s="456">
        <v>76819.45</v>
      </c>
      <c r="BG138" s="456">
        <v>75142.97</v>
      </c>
      <c r="BH138" s="456">
        <v>55353.2</v>
      </c>
      <c r="BI138" s="456">
        <v>57680.11</v>
      </c>
      <c r="BJ138" s="456">
        <v>60324.2</v>
      </c>
      <c r="BK138" s="456">
        <v>58556.13</v>
      </c>
      <c r="BL138" s="456">
        <v>58910.13</v>
      </c>
      <c r="BM138" s="456">
        <v>59634.42</v>
      </c>
      <c r="BN138" s="456">
        <v>0.0</v>
      </c>
      <c r="BO138" s="456">
        <v>0.0</v>
      </c>
      <c r="BP138" s="456">
        <v>0.0</v>
      </c>
      <c r="BQ138" s="456">
        <v>0.0</v>
      </c>
      <c r="BR138" s="456">
        <v>0.0</v>
      </c>
      <c r="BS138" s="90">
        <v>0.0</v>
      </c>
      <c r="BT138" s="90"/>
    </row>
    <row r="139" ht="15.75" customHeight="1">
      <c r="A139" s="444" t="s">
        <v>98</v>
      </c>
      <c r="B139" s="445" t="s">
        <v>2073</v>
      </c>
      <c r="C139" s="458" t="s">
        <v>2069</v>
      </c>
      <c r="D139" s="449">
        <v>4468606.0</v>
      </c>
      <c r="E139" s="447" t="s">
        <v>120</v>
      </c>
      <c r="F139" s="447" t="s">
        <v>199</v>
      </c>
      <c r="G139" s="447" t="s">
        <v>212</v>
      </c>
      <c r="H139" s="447">
        <f>IFERROR(VLOOKUP(G139,'Cadastro de assessores'!A:B,2,FALSE),"Não Cadastrado")</f>
        <v>12344</v>
      </c>
      <c r="I139" s="447"/>
      <c r="J139" s="49" t="s">
        <v>2318</v>
      </c>
      <c r="K139" s="447" t="s">
        <v>183</v>
      </c>
      <c r="L139" s="450">
        <v>44106.0</v>
      </c>
      <c r="M139" s="450">
        <v>44106.0</v>
      </c>
      <c r="N139" s="446"/>
      <c r="O139" s="446" t="s">
        <v>2356</v>
      </c>
      <c r="P139" s="452">
        <v>0.007</v>
      </c>
      <c r="Q139" s="461" t="s">
        <v>4570</v>
      </c>
      <c r="R139" s="453"/>
      <c r="S139" s="449" t="str">
        <f t="shared" si="12"/>
        <v>Não Qualificado</v>
      </c>
      <c r="T139" s="449" t="s">
        <v>194</v>
      </c>
      <c r="U139" s="449" t="s">
        <v>3350</v>
      </c>
      <c r="V139" s="449" t="s">
        <v>199</v>
      </c>
      <c r="W139" s="455" t="s">
        <v>2344</v>
      </c>
      <c r="X139" s="455" t="s">
        <v>2344</v>
      </c>
      <c r="Y139" s="455" t="s">
        <v>2344</v>
      </c>
      <c r="Z139" s="455" t="s">
        <v>2344</v>
      </c>
      <c r="AA139" s="455" t="s">
        <v>2344</v>
      </c>
      <c r="AB139" s="455" t="s">
        <v>2344</v>
      </c>
      <c r="AC139" s="455" t="s">
        <v>2344</v>
      </c>
      <c r="AD139" s="455" t="s">
        <v>2344</v>
      </c>
      <c r="AE139" s="455" t="s">
        <v>2344</v>
      </c>
      <c r="AF139" s="455" t="s">
        <v>2344</v>
      </c>
      <c r="AG139" s="455" t="s">
        <v>2344</v>
      </c>
      <c r="AH139" s="455" t="s">
        <v>2344</v>
      </c>
      <c r="AI139" s="455" t="s">
        <v>4573</v>
      </c>
      <c r="AJ139" s="455" t="s">
        <v>4574</v>
      </c>
      <c r="AK139" s="456">
        <v>256506.55</v>
      </c>
      <c r="AL139" s="456">
        <v>250251.54</v>
      </c>
      <c r="AM139" s="456">
        <v>232489.35</v>
      </c>
      <c r="AN139" s="456">
        <v>230175.61</v>
      </c>
      <c r="AO139" s="456">
        <v>238436.46</v>
      </c>
      <c r="AP139" s="456">
        <v>240118.18</v>
      </c>
      <c r="AQ139" s="456">
        <v>238943.35</v>
      </c>
      <c r="AR139" s="456">
        <v>245668.69</v>
      </c>
      <c r="AS139" s="456">
        <v>242064.7</v>
      </c>
      <c r="AT139" s="456">
        <v>234519.83</v>
      </c>
      <c r="AU139" s="456">
        <v>233030.17</v>
      </c>
      <c r="AV139" s="456">
        <v>228293.54</v>
      </c>
      <c r="AW139" s="456">
        <v>213444.08</v>
      </c>
      <c r="AX139" s="456">
        <v>162734.85</v>
      </c>
      <c r="AY139" s="456">
        <v>224411.9</v>
      </c>
      <c r="AZ139" s="456">
        <v>224978.61</v>
      </c>
      <c r="BA139" s="456">
        <v>225622.88</v>
      </c>
      <c r="BB139" s="456">
        <v>372394.6</v>
      </c>
      <c r="BC139" s="456">
        <v>302194.53</v>
      </c>
      <c r="BD139" s="456">
        <v>1030957.81</v>
      </c>
      <c r="BE139" s="456">
        <v>1040652.87</v>
      </c>
      <c r="BF139" s="456">
        <v>1058290.42</v>
      </c>
      <c r="BG139" s="456">
        <v>1063294.828</v>
      </c>
      <c r="BH139" s="456">
        <v>1068630.17</v>
      </c>
      <c r="BI139" s="456">
        <v>49114.55</v>
      </c>
      <c r="BJ139" s="456">
        <v>49124.09</v>
      </c>
      <c r="BK139" s="456">
        <v>49527.11</v>
      </c>
      <c r="BL139" s="456">
        <v>17717.05</v>
      </c>
      <c r="BM139" s="456">
        <v>561.49</v>
      </c>
      <c r="BN139" s="456">
        <v>0.0</v>
      </c>
      <c r="BO139" s="456">
        <v>0.0</v>
      </c>
      <c r="BP139" s="456">
        <v>0.0</v>
      </c>
      <c r="BQ139" s="456">
        <v>0.0</v>
      </c>
      <c r="BR139" s="456">
        <v>0.0</v>
      </c>
      <c r="BS139" s="90">
        <v>0.0</v>
      </c>
      <c r="BT139" s="90"/>
    </row>
    <row r="140" ht="15.75" customHeight="1">
      <c r="A140" s="444" t="s">
        <v>98</v>
      </c>
      <c r="B140" s="445" t="s">
        <v>2073</v>
      </c>
      <c r="C140" s="458" t="s">
        <v>2069</v>
      </c>
      <c r="D140" s="446">
        <v>7519150.0</v>
      </c>
      <c r="E140" s="447" t="s">
        <v>120</v>
      </c>
      <c r="F140" s="447" t="s">
        <v>199</v>
      </c>
      <c r="G140" s="446" t="s">
        <v>212</v>
      </c>
      <c r="H140" s="447">
        <f>IFERROR(VLOOKUP(G140,'Cadastro de assessores'!A:B,2,FALSE),"Não Cadastrado")</f>
        <v>12344</v>
      </c>
      <c r="I140" s="447"/>
      <c r="J140" s="49" t="s">
        <v>2318</v>
      </c>
      <c r="K140" s="447" t="s">
        <v>183</v>
      </c>
      <c r="L140" s="450">
        <v>44578.0</v>
      </c>
      <c r="M140" s="450">
        <v>44578.0</v>
      </c>
      <c r="N140" s="446"/>
      <c r="O140" s="446" t="s">
        <v>2356</v>
      </c>
      <c r="P140" s="452">
        <v>0.01</v>
      </c>
      <c r="Q140" s="461" t="s">
        <v>4578</v>
      </c>
      <c r="R140" s="453"/>
      <c r="S140" s="449" t="str">
        <f t="shared" si="12"/>
        <v/>
      </c>
      <c r="T140" s="449" t="s">
        <v>194</v>
      </c>
      <c r="U140" s="449" t="s">
        <v>3350</v>
      </c>
      <c r="V140" s="449" t="s">
        <v>199</v>
      </c>
      <c r="W140" s="454"/>
      <c r="X140" s="454"/>
      <c r="Y140" s="454"/>
      <c r="Z140" s="454"/>
      <c r="AA140" s="454"/>
      <c r="AB140" s="454"/>
      <c r="AC140" s="454"/>
      <c r="AD140" s="454"/>
      <c r="AE140" s="454"/>
      <c r="AF140" s="454"/>
      <c r="AG140" s="454"/>
      <c r="AH140" s="455"/>
      <c r="AI140" s="455"/>
      <c r="AJ140" s="456"/>
      <c r="AK140" s="456"/>
      <c r="AL140" s="456"/>
      <c r="AM140" s="456"/>
      <c r="AN140" s="456"/>
      <c r="AO140" s="456"/>
      <c r="AP140" s="456"/>
      <c r="AQ140" s="456"/>
      <c r="AR140" s="456"/>
      <c r="AS140" s="456"/>
      <c r="AT140" s="456"/>
      <c r="AU140" s="456"/>
      <c r="AV140" s="456"/>
      <c r="AW140" s="456"/>
      <c r="AX140" s="454"/>
      <c r="AY140" s="454"/>
      <c r="AZ140" s="455"/>
      <c r="BA140" s="455">
        <v>633216.98</v>
      </c>
      <c r="BB140" s="455">
        <v>698773.17</v>
      </c>
      <c r="BC140" s="455">
        <v>0.0</v>
      </c>
      <c r="BD140" s="456">
        <v>174303.46</v>
      </c>
      <c r="BE140" s="456">
        <v>172128.38</v>
      </c>
      <c r="BF140" s="456">
        <v>177405.52</v>
      </c>
      <c r="BG140" s="456">
        <v>176894.1595</v>
      </c>
      <c r="BH140" s="456">
        <v>98198.55</v>
      </c>
      <c r="BI140" s="456">
        <v>35381.54</v>
      </c>
      <c r="BJ140" s="456">
        <v>35738.92</v>
      </c>
      <c r="BK140" s="456">
        <v>34890.7</v>
      </c>
      <c r="BL140" s="456">
        <v>34455.08</v>
      </c>
      <c r="BM140" s="456">
        <v>35183.44</v>
      </c>
      <c r="BN140" s="456">
        <v>2.87</v>
      </c>
      <c r="BO140" s="456">
        <v>0.0</v>
      </c>
      <c r="BP140" s="456">
        <v>0.0</v>
      </c>
      <c r="BQ140" s="456">
        <v>0.0</v>
      </c>
      <c r="BR140" s="456">
        <v>0.0</v>
      </c>
      <c r="BS140" s="90">
        <v>0.0</v>
      </c>
      <c r="BT140" s="90"/>
    </row>
    <row r="141" ht="15.75" customHeight="1">
      <c r="A141" s="444" t="s">
        <v>98</v>
      </c>
      <c r="B141" s="445" t="s">
        <v>2073</v>
      </c>
      <c r="C141" s="458" t="s">
        <v>2069</v>
      </c>
      <c r="D141" s="446">
        <v>96891.0</v>
      </c>
      <c r="E141" s="447" t="s">
        <v>120</v>
      </c>
      <c r="F141" s="447" t="s">
        <v>199</v>
      </c>
      <c r="G141" s="446" t="s">
        <v>212</v>
      </c>
      <c r="H141" s="447">
        <f>IFERROR(VLOOKUP(G141,'Cadastro de assessores'!A:B,2,FALSE),"Não Cadastrado")</f>
        <v>12344</v>
      </c>
      <c r="I141" s="447"/>
      <c r="J141" s="49" t="s">
        <v>2318</v>
      </c>
      <c r="K141" s="447" t="s">
        <v>183</v>
      </c>
      <c r="L141" s="450">
        <v>44614.0</v>
      </c>
      <c r="M141" s="450">
        <v>44614.0</v>
      </c>
      <c r="N141" s="490"/>
      <c r="O141" s="490" t="s">
        <v>2356</v>
      </c>
      <c r="P141" s="452">
        <v>0.007</v>
      </c>
      <c r="Q141" s="330" t="s">
        <v>4581</v>
      </c>
      <c r="R141" s="453"/>
      <c r="S141" s="449" t="str">
        <f t="shared" si="12"/>
        <v>Não Qualificado</v>
      </c>
      <c r="T141" s="449" t="s">
        <v>194</v>
      </c>
      <c r="U141" s="449" t="s">
        <v>3350</v>
      </c>
      <c r="V141" s="449" t="s">
        <v>199</v>
      </c>
      <c r="W141" s="454"/>
      <c r="X141" s="454"/>
      <c r="Y141" s="454"/>
      <c r="Z141" s="454"/>
      <c r="AA141" s="454"/>
      <c r="AB141" s="454"/>
      <c r="AC141" s="454"/>
      <c r="AD141" s="454"/>
      <c r="AE141" s="454"/>
      <c r="AF141" s="454"/>
      <c r="AG141" s="455"/>
      <c r="AH141" s="455"/>
      <c r="AI141" s="455"/>
      <c r="AJ141" s="456"/>
      <c r="AK141" s="456"/>
      <c r="AL141" s="456"/>
      <c r="AM141" s="456"/>
      <c r="AN141" s="456"/>
      <c r="AO141" s="456"/>
      <c r="AP141" s="456"/>
      <c r="AQ141" s="456"/>
      <c r="AR141" s="456"/>
      <c r="AS141" s="456"/>
      <c r="AT141" s="456"/>
      <c r="AU141" s="456"/>
      <c r="AV141" s="456"/>
      <c r="AW141" s="456"/>
      <c r="AX141" s="454"/>
      <c r="AY141" s="454"/>
      <c r="AZ141" s="538">
        <v>1691485.7</v>
      </c>
      <c r="BA141" s="538">
        <v>1255414.97</v>
      </c>
      <c r="BB141" s="538">
        <v>1082191.8</v>
      </c>
      <c r="BC141" s="538">
        <v>209924.43</v>
      </c>
      <c r="BD141" s="456">
        <v>1003433.82</v>
      </c>
      <c r="BE141" s="456">
        <v>996833.13</v>
      </c>
      <c r="BF141" s="456">
        <v>1025691.33</v>
      </c>
      <c r="BG141" s="456">
        <v>1055079.987</v>
      </c>
      <c r="BH141" s="456">
        <v>1099735.82</v>
      </c>
      <c r="BI141" s="456">
        <v>2130491.26</v>
      </c>
      <c r="BJ141" s="456">
        <v>2149403.76</v>
      </c>
      <c r="BK141" s="456">
        <v>2167502.14</v>
      </c>
      <c r="BL141" s="456">
        <v>2220686.4</v>
      </c>
      <c r="BM141" s="456">
        <v>280753.2</v>
      </c>
      <c r="BN141" s="456">
        <v>9753.42</v>
      </c>
      <c r="BO141" s="456">
        <v>9829.2</v>
      </c>
      <c r="BP141" s="456">
        <v>20.49</v>
      </c>
      <c r="BQ141" s="456">
        <v>20.49</v>
      </c>
      <c r="BR141" s="456">
        <v>20.49</v>
      </c>
      <c r="BS141" s="90">
        <v>0.0</v>
      </c>
      <c r="BT141" s="90"/>
    </row>
    <row r="142" ht="15.75" customHeight="1">
      <c r="A142" s="444" t="s">
        <v>98</v>
      </c>
      <c r="B142" s="445" t="s">
        <v>2073</v>
      </c>
      <c r="C142" s="458" t="s">
        <v>2069</v>
      </c>
      <c r="D142" s="446">
        <v>7032894.0</v>
      </c>
      <c r="E142" s="447" t="s">
        <v>120</v>
      </c>
      <c r="F142" s="447" t="s">
        <v>199</v>
      </c>
      <c r="G142" s="446" t="s">
        <v>212</v>
      </c>
      <c r="H142" s="447">
        <f>IFERROR(VLOOKUP(G142,'Cadastro de assessores'!A:B,2,FALSE),"Não Cadastrado")</f>
        <v>12344</v>
      </c>
      <c r="I142" s="447"/>
      <c r="J142" s="74" t="s">
        <v>183</v>
      </c>
      <c r="K142" s="447" t="s">
        <v>183</v>
      </c>
      <c r="L142" s="470">
        <v>44504.0</v>
      </c>
      <c r="M142" s="470">
        <v>44508.0</v>
      </c>
      <c r="N142" s="446"/>
      <c r="O142" s="446" t="s">
        <v>2372</v>
      </c>
      <c r="P142" s="452">
        <v>0.025</v>
      </c>
      <c r="Q142" s="461"/>
      <c r="R142" s="453"/>
      <c r="S142" s="449" t="str">
        <f t="shared" si="12"/>
        <v>Não Qualificado</v>
      </c>
      <c r="T142" s="449" t="s">
        <v>194</v>
      </c>
      <c r="U142" s="449" t="s">
        <v>3350</v>
      </c>
      <c r="V142" s="449" t="s">
        <v>199</v>
      </c>
      <c r="W142" s="454"/>
      <c r="X142" s="454"/>
      <c r="Y142" s="454"/>
      <c r="Z142" s="454"/>
      <c r="AA142" s="454"/>
      <c r="AB142" s="454"/>
      <c r="AC142" s="454"/>
      <c r="AD142" s="454"/>
      <c r="AE142" s="454"/>
      <c r="AF142" s="454"/>
      <c r="AG142" s="455"/>
      <c r="AH142" s="455"/>
      <c r="AI142" s="456"/>
      <c r="AJ142" s="456"/>
      <c r="AK142" s="456"/>
      <c r="AL142" s="456"/>
      <c r="AM142" s="456"/>
      <c r="AN142" s="456"/>
      <c r="AO142" s="456"/>
      <c r="AP142" s="456"/>
      <c r="AQ142" s="456"/>
      <c r="AR142" s="538"/>
      <c r="AS142" s="481"/>
      <c r="AT142" s="481"/>
      <c r="AU142" s="456"/>
      <c r="AV142" s="456"/>
      <c r="AW142" s="454"/>
      <c r="AX142" s="481"/>
      <c r="AY142" s="481">
        <v>119198.3</v>
      </c>
      <c r="AZ142" s="456">
        <v>127531.9</v>
      </c>
      <c r="BA142" s="456">
        <v>125055.37</v>
      </c>
      <c r="BB142" s="456">
        <v>133742.34</v>
      </c>
      <c r="BC142" s="456">
        <v>212184.41</v>
      </c>
      <c r="BD142" s="456">
        <v>272795.66</v>
      </c>
      <c r="BE142" s="456">
        <v>261080.2</v>
      </c>
      <c r="BF142" s="456">
        <v>273532.84</v>
      </c>
      <c r="BG142" s="456">
        <v>275147.93</v>
      </c>
      <c r="BH142" s="456">
        <v>428930.31</v>
      </c>
      <c r="BI142" s="456">
        <v>484648.38</v>
      </c>
      <c r="BJ142" s="456">
        <v>482677.41</v>
      </c>
      <c r="BK142" s="456">
        <v>480297.84</v>
      </c>
      <c r="BL142" s="456">
        <v>487491.76</v>
      </c>
      <c r="BM142" s="456">
        <v>466967.29</v>
      </c>
      <c r="BN142" s="456">
        <v>40546.88</v>
      </c>
      <c r="BO142" s="456">
        <v>35410.84</v>
      </c>
      <c r="BP142" s="456">
        <v>32643.52</v>
      </c>
      <c r="BQ142" s="456">
        <v>34290.43</v>
      </c>
      <c r="BR142" s="456">
        <v>37262.32</v>
      </c>
      <c r="BS142" s="90">
        <v>36983.97</v>
      </c>
      <c r="BT142" s="90"/>
    </row>
    <row r="143" ht="15.75" customHeight="1">
      <c r="A143" s="444" t="s">
        <v>98</v>
      </c>
      <c r="B143" s="445" t="s">
        <v>4591</v>
      </c>
      <c r="C143" s="458" t="s">
        <v>4592</v>
      </c>
      <c r="D143" s="449">
        <v>8853992.0</v>
      </c>
      <c r="E143" s="449" t="s">
        <v>120</v>
      </c>
      <c r="F143" s="449" t="s">
        <v>54</v>
      </c>
      <c r="G143" s="449" t="s">
        <v>125</v>
      </c>
      <c r="H143" s="447" t="str">
        <f>IFERROR(VLOOKUP(G143,'Cadastro de assessores'!A:B,2,FALSE),"Não Cadastrado")</f>
        <v>18890</v>
      </c>
      <c r="I143" s="449"/>
      <c r="J143" s="49" t="s">
        <v>2318</v>
      </c>
      <c r="K143" s="449"/>
      <c r="L143" s="460"/>
      <c r="M143" s="460">
        <v>44847.0</v>
      </c>
      <c r="N143" s="508"/>
      <c r="O143" s="446" t="s">
        <v>2356</v>
      </c>
      <c r="P143" s="452">
        <v>0.01</v>
      </c>
      <c r="Q143" s="461" t="s">
        <v>3145</v>
      </c>
      <c r="R143" s="453"/>
      <c r="S143" s="449"/>
      <c r="T143" s="449"/>
      <c r="U143" s="449"/>
      <c r="V143" s="449" t="s">
        <v>1620</v>
      </c>
      <c r="W143" s="455"/>
      <c r="X143" s="455"/>
      <c r="Y143" s="455"/>
      <c r="Z143" s="455"/>
      <c r="AA143" s="455"/>
      <c r="AB143" s="455"/>
      <c r="AC143" s="455"/>
      <c r="AD143" s="455"/>
      <c r="AE143" s="455"/>
      <c r="AF143" s="455"/>
      <c r="AG143" s="455"/>
      <c r="AH143" s="455"/>
      <c r="AI143" s="455"/>
      <c r="AJ143" s="455"/>
      <c r="AK143" s="456"/>
      <c r="AL143" s="456"/>
      <c r="AM143" s="456"/>
      <c r="AN143" s="456"/>
      <c r="AO143" s="456"/>
      <c r="AP143" s="456"/>
      <c r="AQ143" s="456"/>
      <c r="AR143" s="456"/>
      <c r="AS143" s="456"/>
      <c r="AT143" s="456"/>
      <c r="AU143" s="456"/>
      <c r="AV143" s="456"/>
      <c r="AW143" s="456"/>
      <c r="AX143" s="456"/>
      <c r="AY143" s="456"/>
      <c r="AZ143" s="456"/>
      <c r="BA143" s="456"/>
      <c r="BB143" s="456"/>
      <c r="BC143" s="456"/>
      <c r="BD143" s="456"/>
      <c r="BE143" s="456"/>
      <c r="BF143" s="456"/>
      <c r="BG143" s="456"/>
      <c r="BH143" s="456"/>
      <c r="BI143" s="456">
        <v>16092.47</v>
      </c>
      <c r="BJ143" s="456">
        <v>16245.22</v>
      </c>
      <c r="BK143" s="456">
        <v>16382.43</v>
      </c>
      <c r="BL143" s="456">
        <v>16973.69</v>
      </c>
      <c r="BM143" s="456">
        <v>0.0</v>
      </c>
      <c r="BN143" s="456">
        <v>0.74</v>
      </c>
      <c r="BO143" s="456">
        <v>0.74</v>
      </c>
      <c r="BP143" s="456">
        <v>0.74</v>
      </c>
      <c r="BQ143" s="456">
        <v>0.74</v>
      </c>
      <c r="BR143" s="456">
        <v>0.74</v>
      </c>
      <c r="BS143" s="90">
        <v>0.0</v>
      </c>
      <c r="BT143" s="90"/>
    </row>
    <row r="144" ht="15.75" customHeight="1">
      <c r="A144" s="444" t="s">
        <v>98</v>
      </c>
      <c r="B144" s="445" t="s">
        <v>4599</v>
      </c>
      <c r="C144" s="458" t="s">
        <v>4600</v>
      </c>
      <c r="D144" s="449">
        <v>4706119.0</v>
      </c>
      <c r="E144" s="449" t="s">
        <v>120</v>
      </c>
      <c r="F144" s="449" t="s">
        <v>199</v>
      </c>
      <c r="G144" s="449" t="s">
        <v>2339</v>
      </c>
      <c r="H144" s="449" t="str">
        <f>IFERROR(VLOOKUP(G144,'Cadastro de assessores'!A:B,2,FALSE),"Não Cadastrado")</f>
        <v>17679</v>
      </c>
      <c r="I144" s="449"/>
      <c r="J144" s="49" t="s">
        <v>224</v>
      </c>
      <c r="K144" s="449" t="s">
        <v>2340</v>
      </c>
      <c r="L144" s="460">
        <v>44203.0</v>
      </c>
      <c r="M144" s="460">
        <v>44203.0</v>
      </c>
      <c r="N144" s="508">
        <v>44450.0</v>
      </c>
      <c r="O144" s="446" t="s">
        <v>2452</v>
      </c>
      <c r="P144" s="452">
        <v>0.008</v>
      </c>
      <c r="Q144" s="461" t="s">
        <v>4603</v>
      </c>
      <c r="R144" s="453"/>
      <c r="S144" s="449" t="str">
        <f t="shared" ref="S144:S158" si="13">IF(BC144&lt;=0,"",IF(BC144&lt;=1000000,"Não Qualificado",IF(AND(BC144&gt;1000000,BC144&lt;=10000000),"Qualificado","Profissional")))</f>
        <v>Não Qualificado</v>
      </c>
      <c r="T144" s="449" t="s">
        <v>194</v>
      </c>
      <c r="U144" s="449" t="s">
        <v>3820</v>
      </c>
      <c r="V144" s="449" t="s">
        <v>397</v>
      </c>
      <c r="W144" s="455" t="s">
        <v>2344</v>
      </c>
      <c r="X144" s="455" t="s">
        <v>2344</v>
      </c>
      <c r="Y144" s="455" t="s">
        <v>2344</v>
      </c>
      <c r="Z144" s="455" t="s">
        <v>2344</v>
      </c>
      <c r="AA144" s="455" t="s">
        <v>2344</v>
      </c>
      <c r="AB144" s="455" t="s">
        <v>2344</v>
      </c>
      <c r="AC144" s="455" t="s">
        <v>2344</v>
      </c>
      <c r="AD144" s="455" t="s">
        <v>2344</v>
      </c>
      <c r="AE144" s="455" t="s">
        <v>2344</v>
      </c>
      <c r="AF144" s="455" t="s">
        <v>2344</v>
      </c>
      <c r="AG144" s="455" t="s">
        <v>2344</v>
      </c>
      <c r="AH144" s="455" t="s">
        <v>2344</v>
      </c>
      <c r="AI144" s="455" t="s">
        <v>2344</v>
      </c>
      <c r="AJ144" s="455" t="s">
        <v>2344</v>
      </c>
      <c r="AK144" s="456" t="s">
        <v>3320</v>
      </c>
      <c r="AL144" s="456">
        <v>300209.89</v>
      </c>
      <c r="AM144" s="456">
        <v>302479.35</v>
      </c>
      <c r="AN144" s="456">
        <v>293742.26</v>
      </c>
      <c r="AO144" s="456">
        <v>289421.1</v>
      </c>
      <c r="AP144" s="456">
        <v>292920.24</v>
      </c>
      <c r="AQ144" s="456">
        <v>294472.37</v>
      </c>
      <c r="AR144" s="456">
        <v>290274.14</v>
      </c>
      <c r="AS144" s="456">
        <v>286356.43</v>
      </c>
      <c r="AT144" s="456">
        <v>291987.59</v>
      </c>
      <c r="AU144" s="456">
        <v>283028.01</v>
      </c>
      <c r="AV144" s="456"/>
      <c r="AW144" s="456"/>
      <c r="AX144" s="456"/>
      <c r="AY144" s="456"/>
      <c r="AZ144" s="456"/>
      <c r="BA144" s="456"/>
      <c r="BB144" s="456"/>
      <c r="BC144" s="456">
        <v>310730.99</v>
      </c>
      <c r="BD144" s="456" t="s">
        <v>377</v>
      </c>
      <c r="BE144" s="456" t="s">
        <v>377</v>
      </c>
      <c r="BF144" s="456">
        <v>0.0</v>
      </c>
      <c r="BG144" s="456">
        <v>0.0</v>
      </c>
      <c r="BH144" s="456">
        <v>0.0</v>
      </c>
      <c r="BI144" s="456">
        <v>0.0</v>
      </c>
      <c r="BJ144" s="456">
        <v>0.0</v>
      </c>
      <c r="BK144" s="456">
        <v>0.0</v>
      </c>
      <c r="BL144" s="456">
        <v>0.0</v>
      </c>
      <c r="BM144" s="456">
        <v>0.0</v>
      </c>
      <c r="BN144" s="456">
        <v>0.0</v>
      </c>
      <c r="BO144" s="456">
        <v>0.0</v>
      </c>
      <c r="BP144" s="456">
        <v>0.0</v>
      </c>
      <c r="BQ144" s="456">
        <v>0.0</v>
      </c>
      <c r="BR144" s="456">
        <v>0.0</v>
      </c>
      <c r="BS144" s="90" t="s">
        <v>268</v>
      </c>
      <c r="BT144" s="90"/>
    </row>
    <row r="145" ht="15.75" customHeight="1">
      <c r="A145" s="444" t="s">
        <v>98</v>
      </c>
      <c r="B145" s="445" t="s">
        <v>4599</v>
      </c>
      <c r="C145" s="458" t="s">
        <v>4600</v>
      </c>
      <c r="D145" s="449">
        <v>4728915.0</v>
      </c>
      <c r="E145" s="449" t="s">
        <v>120</v>
      </c>
      <c r="F145" s="449" t="s">
        <v>199</v>
      </c>
      <c r="G145" s="449" t="s">
        <v>2339</v>
      </c>
      <c r="H145" s="449" t="str">
        <f>IFERROR(VLOOKUP(G145,'Cadastro de assessores'!A:B,2,FALSE),"Não Cadastrado")</f>
        <v>17679</v>
      </c>
      <c r="I145" s="449"/>
      <c r="J145" s="49" t="s">
        <v>224</v>
      </c>
      <c r="K145" s="449" t="s">
        <v>2340</v>
      </c>
      <c r="L145" s="460">
        <v>44203.0</v>
      </c>
      <c r="M145" s="460">
        <v>44203.0</v>
      </c>
      <c r="N145" s="508">
        <v>44450.0</v>
      </c>
      <c r="O145" s="449" t="s">
        <v>2341</v>
      </c>
      <c r="P145" s="452">
        <v>0.015</v>
      </c>
      <c r="Q145" s="461" t="s">
        <v>4603</v>
      </c>
      <c r="R145" s="453"/>
      <c r="S145" s="449" t="str">
        <f t="shared" si="13"/>
        <v>Não Qualificado</v>
      </c>
      <c r="T145" s="449" t="s">
        <v>194</v>
      </c>
      <c r="U145" s="449" t="s">
        <v>3820</v>
      </c>
      <c r="V145" s="449" t="s">
        <v>397</v>
      </c>
      <c r="W145" s="455"/>
      <c r="X145" s="455"/>
      <c r="Y145" s="455"/>
      <c r="Z145" s="455"/>
      <c r="AA145" s="455"/>
      <c r="AB145" s="455"/>
      <c r="AC145" s="455"/>
      <c r="AD145" s="455"/>
      <c r="AE145" s="455"/>
      <c r="AF145" s="455"/>
      <c r="AG145" s="455"/>
      <c r="AH145" s="455"/>
      <c r="AI145" s="455"/>
      <c r="AJ145" s="455"/>
      <c r="AK145" s="456"/>
      <c r="AL145" s="456">
        <v>296997.29</v>
      </c>
      <c r="AM145" s="456">
        <v>289702.36</v>
      </c>
      <c r="AN145" s="456">
        <v>289024.76</v>
      </c>
      <c r="AO145" s="456">
        <v>297719.28</v>
      </c>
      <c r="AP145" s="456">
        <v>292668.66</v>
      </c>
      <c r="AQ145" s="456">
        <v>298534.26</v>
      </c>
      <c r="AR145" s="456">
        <v>305438.89</v>
      </c>
      <c r="AS145" s="456">
        <v>303185.26</v>
      </c>
      <c r="AT145" s="456">
        <v>297342.68</v>
      </c>
      <c r="AU145" s="456">
        <v>295681.92</v>
      </c>
      <c r="AV145" s="456"/>
      <c r="AW145" s="456"/>
      <c r="AX145" s="456"/>
      <c r="AY145" s="456"/>
      <c r="AZ145" s="456"/>
      <c r="BA145" s="456">
        <v>0.0</v>
      </c>
      <c r="BB145" s="456">
        <v>0.0</v>
      </c>
      <c r="BC145" s="456">
        <v>162720.85</v>
      </c>
      <c r="BD145" s="456" t="s">
        <v>377</v>
      </c>
      <c r="BE145" s="456" t="s">
        <v>377</v>
      </c>
      <c r="BF145" s="456">
        <v>0.0</v>
      </c>
      <c r="BG145" s="456">
        <v>0.0</v>
      </c>
      <c r="BH145" s="456">
        <v>0.0</v>
      </c>
      <c r="BI145" s="456">
        <v>0.0</v>
      </c>
      <c r="BJ145" s="456">
        <v>0.0</v>
      </c>
      <c r="BK145" s="456">
        <v>0.0</v>
      </c>
      <c r="BL145" s="456">
        <v>0.0</v>
      </c>
      <c r="BM145" s="456">
        <v>0.0</v>
      </c>
      <c r="BN145" s="456">
        <v>0.0</v>
      </c>
      <c r="BO145" s="456">
        <v>0.0</v>
      </c>
      <c r="BP145" s="456">
        <v>0.0</v>
      </c>
      <c r="BQ145" s="456">
        <v>0.0</v>
      </c>
      <c r="BR145" s="456">
        <v>0.0</v>
      </c>
      <c r="BS145" s="90" t="s">
        <v>268</v>
      </c>
      <c r="BT145" s="90"/>
    </row>
    <row r="146" ht="15.75" customHeight="1">
      <c r="A146" s="444" t="s">
        <v>98</v>
      </c>
      <c r="B146" s="445" t="s">
        <v>4613</v>
      </c>
      <c r="C146" s="458" t="s">
        <v>4614</v>
      </c>
      <c r="D146" s="449">
        <v>3221916.0</v>
      </c>
      <c r="E146" s="447" t="s">
        <v>120</v>
      </c>
      <c r="F146" s="447" t="s">
        <v>199</v>
      </c>
      <c r="G146" s="447" t="s">
        <v>2339</v>
      </c>
      <c r="H146" s="447" t="str">
        <f>IFERROR(VLOOKUP(G146,'Cadastro de assessores'!A:B,2,FALSE),"Não Cadastrado")</f>
        <v>17679</v>
      </c>
      <c r="I146" s="447"/>
      <c r="J146" s="49" t="s">
        <v>2318</v>
      </c>
      <c r="K146" s="449" t="s">
        <v>295</v>
      </c>
      <c r="L146" s="449" t="s">
        <v>3320</v>
      </c>
      <c r="M146" s="548" t="s">
        <v>584</v>
      </c>
      <c r="N146" s="449"/>
      <c r="O146" s="449" t="s">
        <v>2341</v>
      </c>
      <c r="P146" s="452">
        <v>0.015</v>
      </c>
      <c r="Q146" s="461"/>
      <c r="R146" s="453"/>
      <c r="S146" s="449" t="str">
        <f t="shared" si="13"/>
        <v>Não Qualificado</v>
      </c>
      <c r="T146" s="449" t="s">
        <v>194</v>
      </c>
      <c r="U146" s="449" t="s">
        <v>4515</v>
      </c>
      <c r="V146" s="449" t="s">
        <v>311</v>
      </c>
      <c r="W146" s="455"/>
      <c r="X146" s="455"/>
      <c r="Y146" s="455"/>
      <c r="Z146" s="455"/>
      <c r="AA146" s="455"/>
      <c r="AB146" s="455"/>
      <c r="AC146" s="455"/>
      <c r="AD146" s="455"/>
      <c r="AE146" s="455"/>
      <c r="AF146" s="455"/>
      <c r="AG146" s="455"/>
      <c r="AH146" s="455"/>
      <c r="AI146" s="455"/>
      <c r="AJ146" s="455"/>
      <c r="AK146" s="456"/>
      <c r="AL146" s="456"/>
      <c r="AM146" s="456" t="s">
        <v>3320</v>
      </c>
      <c r="AN146" s="456" t="s">
        <v>3320</v>
      </c>
      <c r="AO146" s="456"/>
      <c r="AP146" s="456"/>
      <c r="AQ146" s="456"/>
      <c r="AR146" s="456"/>
      <c r="AS146" s="456"/>
      <c r="AT146" s="456"/>
      <c r="AU146" s="456"/>
      <c r="AV146" s="456"/>
      <c r="AW146" s="456"/>
      <c r="AX146" s="456"/>
      <c r="AY146" s="456"/>
      <c r="AZ146" s="456"/>
      <c r="BA146" s="456">
        <v>0.0</v>
      </c>
      <c r="BB146" s="456">
        <v>0.0</v>
      </c>
      <c r="BC146" s="456">
        <v>237.35</v>
      </c>
      <c r="BD146" s="456" t="s">
        <v>377</v>
      </c>
      <c r="BE146" s="456" t="s">
        <v>377</v>
      </c>
      <c r="BF146" s="456">
        <v>0.0</v>
      </c>
      <c r="BG146" s="456">
        <v>0.0</v>
      </c>
      <c r="BH146" s="456">
        <v>0.0</v>
      </c>
      <c r="BI146" s="456">
        <v>0.0</v>
      </c>
      <c r="BJ146" s="456">
        <v>0.0</v>
      </c>
      <c r="BK146" s="456">
        <v>0.0</v>
      </c>
      <c r="BL146" s="456">
        <v>0.0</v>
      </c>
      <c r="BM146" s="456">
        <v>0.0</v>
      </c>
      <c r="BN146" s="456">
        <v>0.0</v>
      </c>
      <c r="BO146" s="456">
        <v>0.0</v>
      </c>
      <c r="BP146" s="456">
        <v>0.0</v>
      </c>
      <c r="BQ146" s="456">
        <v>0.0</v>
      </c>
      <c r="BR146" s="456">
        <v>0.0</v>
      </c>
      <c r="BS146" s="90">
        <v>0.0</v>
      </c>
      <c r="BT146" s="90"/>
    </row>
    <row r="147" ht="15.75" customHeight="1">
      <c r="A147" s="444" t="s">
        <v>98</v>
      </c>
      <c r="B147" s="445" t="s">
        <v>4621</v>
      </c>
      <c r="C147" s="458" t="s">
        <v>4623</v>
      </c>
      <c r="D147" s="449">
        <v>4668132.0</v>
      </c>
      <c r="E147" s="449" t="s">
        <v>120</v>
      </c>
      <c r="F147" s="449" t="s">
        <v>199</v>
      </c>
      <c r="G147" s="449" t="s">
        <v>2339</v>
      </c>
      <c r="H147" s="449" t="str">
        <f>IFERROR(VLOOKUP(G147,'Cadastro de assessores'!A:B,2,FALSE),"Não Cadastrado")</f>
        <v>17679</v>
      </c>
      <c r="I147" s="449"/>
      <c r="J147" s="49" t="s">
        <v>224</v>
      </c>
      <c r="K147" s="449" t="s">
        <v>2340</v>
      </c>
      <c r="L147" s="460">
        <v>44202.0</v>
      </c>
      <c r="M147" s="460">
        <v>44202.0</v>
      </c>
      <c r="N147" s="460">
        <v>44453.0</v>
      </c>
      <c r="O147" s="449" t="s">
        <v>2341</v>
      </c>
      <c r="P147" s="452">
        <v>0.015</v>
      </c>
      <c r="Q147" s="461" t="s">
        <v>4628</v>
      </c>
      <c r="R147" s="453"/>
      <c r="S147" s="449" t="str">
        <f t="shared" si="13"/>
        <v>Não Qualificado</v>
      </c>
      <c r="T147" s="449" t="s">
        <v>194</v>
      </c>
      <c r="U147" s="449" t="s">
        <v>4515</v>
      </c>
      <c r="V147" s="449" t="s">
        <v>311</v>
      </c>
      <c r="W147" s="455"/>
      <c r="X147" s="455"/>
      <c r="Y147" s="455"/>
      <c r="Z147" s="455"/>
      <c r="AA147" s="455"/>
      <c r="AB147" s="455"/>
      <c r="AC147" s="455"/>
      <c r="AD147" s="455"/>
      <c r="AE147" s="455"/>
      <c r="AF147" s="455"/>
      <c r="AG147" s="455"/>
      <c r="AH147" s="455"/>
      <c r="AI147" s="455"/>
      <c r="AJ147" s="455"/>
      <c r="AK147" s="456"/>
      <c r="AL147" s="456">
        <v>59218.52</v>
      </c>
      <c r="AM147" s="456">
        <v>111543.09</v>
      </c>
      <c r="AN147" s="456">
        <v>111336.82</v>
      </c>
      <c r="AO147" s="456">
        <v>114681.86</v>
      </c>
      <c r="AP147" s="456">
        <v>115310.77</v>
      </c>
      <c r="AQ147" s="456">
        <v>114917.94</v>
      </c>
      <c r="AR147" s="456">
        <v>117383.6</v>
      </c>
      <c r="AS147" s="456">
        <v>116604.26</v>
      </c>
      <c r="AT147" s="456">
        <v>114357.23</v>
      </c>
      <c r="AU147" s="456">
        <v>113700.44</v>
      </c>
      <c r="AV147" s="456">
        <v>111910.79</v>
      </c>
      <c r="AW147" s="456"/>
      <c r="AX147" s="456"/>
      <c r="AY147" s="456"/>
      <c r="AZ147" s="456"/>
      <c r="BA147" s="456">
        <v>0.0</v>
      </c>
      <c r="BB147" s="456">
        <v>0.0</v>
      </c>
      <c r="BC147" s="456">
        <v>256541.88</v>
      </c>
      <c r="BD147" s="456" t="s">
        <v>377</v>
      </c>
      <c r="BE147" s="456" t="s">
        <v>377</v>
      </c>
      <c r="BF147" s="456">
        <v>0.0</v>
      </c>
      <c r="BG147" s="456">
        <v>0.0</v>
      </c>
      <c r="BH147" s="456">
        <v>0.0</v>
      </c>
      <c r="BI147" s="456">
        <v>0.0</v>
      </c>
      <c r="BJ147" s="456">
        <v>0.0</v>
      </c>
      <c r="BK147" s="456">
        <v>0.0</v>
      </c>
      <c r="BL147" s="456">
        <v>0.0</v>
      </c>
      <c r="BM147" s="456">
        <v>0.0</v>
      </c>
      <c r="BN147" s="456">
        <v>0.0</v>
      </c>
      <c r="BO147" s="456">
        <v>0.0</v>
      </c>
      <c r="BP147" s="456">
        <v>0.0</v>
      </c>
      <c r="BQ147" s="456">
        <v>0.0</v>
      </c>
      <c r="BR147" s="456">
        <v>0.0</v>
      </c>
      <c r="BS147" s="90" t="s">
        <v>268</v>
      </c>
      <c r="BT147" s="90"/>
    </row>
    <row r="148" ht="15.75" customHeight="1">
      <c r="A148" s="444" t="s">
        <v>98</v>
      </c>
      <c r="B148" s="445" t="s">
        <v>4638</v>
      </c>
      <c r="C148" s="458" t="s">
        <v>4639</v>
      </c>
      <c r="D148" s="449">
        <v>4403283.0</v>
      </c>
      <c r="E148" s="449" t="s">
        <v>255</v>
      </c>
      <c r="F148" s="449" t="s">
        <v>199</v>
      </c>
      <c r="G148" s="449" t="s">
        <v>2531</v>
      </c>
      <c r="H148" s="449" t="str">
        <f>IFERROR(VLOOKUP(G148,'Cadastro de assessores'!A:B,2,FALSE),"Não Cadastrado")</f>
        <v>1441</v>
      </c>
      <c r="I148" s="449"/>
      <c r="J148" s="49" t="s">
        <v>224</v>
      </c>
      <c r="K148" s="449" t="s">
        <v>2340</v>
      </c>
      <c r="L148" s="460">
        <v>44075.0</v>
      </c>
      <c r="M148" s="460">
        <v>44075.0</v>
      </c>
      <c r="N148" s="508">
        <v>44537.0</v>
      </c>
      <c r="O148" s="446" t="s">
        <v>2319</v>
      </c>
      <c r="P148" s="452">
        <v>0.02</v>
      </c>
      <c r="Q148" s="461" t="s">
        <v>4644</v>
      </c>
      <c r="R148" s="453"/>
      <c r="S148" s="449" t="str">
        <f t="shared" si="13"/>
        <v/>
      </c>
      <c r="T148" s="449" t="s">
        <v>194</v>
      </c>
      <c r="U148" s="449" t="s">
        <v>3955</v>
      </c>
      <c r="V148" s="449" t="s">
        <v>618</v>
      </c>
      <c r="W148" s="455" t="s">
        <v>2344</v>
      </c>
      <c r="X148" s="455" t="s">
        <v>2344</v>
      </c>
      <c r="Y148" s="455" t="s">
        <v>2344</v>
      </c>
      <c r="Z148" s="455" t="s">
        <v>2344</v>
      </c>
      <c r="AA148" s="455" t="s">
        <v>2344</v>
      </c>
      <c r="AB148" s="455" t="s">
        <v>2344</v>
      </c>
      <c r="AC148" s="455" t="s">
        <v>2344</v>
      </c>
      <c r="AD148" s="455" t="s">
        <v>2344</v>
      </c>
      <c r="AE148" s="455" t="s">
        <v>2344</v>
      </c>
      <c r="AF148" s="455" t="s">
        <v>2344</v>
      </c>
      <c r="AG148" s="455" t="s">
        <v>4647</v>
      </c>
      <c r="AH148" s="455" t="s">
        <v>4648</v>
      </c>
      <c r="AI148" s="455" t="s">
        <v>4649</v>
      </c>
      <c r="AJ148" s="455" t="s">
        <v>4651</v>
      </c>
      <c r="AK148" s="456">
        <v>212420.23</v>
      </c>
      <c r="AL148" s="456">
        <v>207132.84</v>
      </c>
      <c r="AM148" s="456">
        <v>241664.81</v>
      </c>
      <c r="AN148" s="456">
        <v>240520.0</v>
      </c>
      <c r="AO148" s="456">
        <v>247244.88</v>
      </c>
      <c r="AP148" s="456">
        <v>254308.12</v>
      </c>
      <c r="AQ148" s="456">
        <v>252740.79</v>
      </c>
      <c r="AR148" s="456">
        <v>261805.33</v>
      </c>
      <c r="AS148" s="456">
        <v>256051.4</v>
      </c>
      <c r="AT148" s="456">
        <v>247960.85</v>
      </c>
      <c r="AU148" s="456">
        <v>246986.64</v>
      </c>
      <c r="AV148" s="456">
        <v>60433.15</v>
      </c>
      <c r="AW148" s="456">
        <v>114820.46</v>
      </c>
      <c r="AX148" s="456">
        <v>114673.43</v>
      </c>
      <c r="AY148" s="456"/>
      <c r="AZ148" s="456"/>
      <c r="BA148" s="456">
        <v>0.0</v>
      </c>
      <c r="BB148" s="456">
        <v>0.0</v>
      </c>
      <c r="BC148" s="456">
        <v>0.0</v>
      </c>
      <c r="BD148" s="456" t="s">
        <v>377</v>
      </c>
      <c r="BE148" s="456" t="s">
        <v>377</v>
      </c>
      <c r="BF148" s="456">
        <v>0.0</v>
      </c>
      <c r="BG148" s="456">
        <v>0.0</v>
      </c>
      <c r="BH148" s="456">
        <v>0.0</v>
      </c>
      <c r="BI148" s="456">
        <v>0.0</v>
      </c>
      <c r="BJ148" s="456">
        <v>0.0</v>
      </c>
      <c r="BK148" s="456">
        <v>0.0</v>
      </c>
      <c r="BL148" s="456">
        <v>0.0</v>
      </c>
      <c r="BM148" s="456">
        <v>0.0</v>
      </c>
      <c r="BN148" s="456">
        <v>0.0</v>
      </c>
      <c r="BO148" s="456">
        <v>0.0</v>
      </c>
      <c r="BP148" s="456">
        <v>0.0</v>
      </c>
      <c r="BQ148" s="456">
        <v>0.0</v>
      </c>
      <c r="BR148" s="456">
        <v>0.0</v>
      </c>
      <c r="BS148" s="90" t="s">
        <v>268</v>
      </c>
      <c r="BT148" s="90"/>
    </row>
    <row r="149" ht="15.75" customHeight="1">
      <c r="A149" s="444" t="s">
        <v>98</v>
      </c>
      <c r="B149" s="445" t="s">
        <v>4658</v>
      </c>
      <c r="C149" s="468" t="s">
        <v>4659</v>
      </c>
      <c r="D149" s="446">
        <v>5183783.0</v>
      </c>
      <c r="E149" s="448" t="s">
        <v>255</v>
      </c>
      <c r="F149" s="448" t="s">
        <v>199</v>
      </c>
      <c r="G149" s="447" t="s">
        <v>4660</v>
      </c>
      <c r="H149" s="447">
        <f>IFERROR(VLOOKUP(G149,'Cadastro de assessores'!A:B,2,FALSE),"Não Cadastrado")</f>
        <v>12330</v>
      </c>
      <c r="I149" s="447"/>
      <c r="J149" s="49" t="s">
        <v>2318</v>
      </c>
      <c r="K149" s="447" t="s">
        <v>183</v>
      </c>
      <c r="L149" s="470">
        <v>44701.0</v>
      </c>
      <c r="M149" s="470">
        <v>44701.0</v>
      </c>
      <c r="N149" s="446"/>
      <c r="O149" s="446" t="s">
        <v>2356</v>
      </c>
      <c r="P149" s="452">
        <v>0.007</v>
      </c>
      <c r="Q149" s="461"/>
      <c r="R149" s="453"/>
      <c r="S149" s="449" t="str">
        <f t="shared" si="13"/>
        <v/>
      </c>
      <c r="T149" s="449" t="s">
        <v>194</v>
      </c>
      <c r="U149" s="449" t="s">
        <v>2374</v>
      </c>
      <c r="V149" s="449" t="s">
        <v>199</v>
      </c>
      <c r="W149" s="455"/>
      <c r="X149" s="455"/>
      <c r="Y149" s="455"/>
      <c r="Z149" s="455"/>
      <c r="AA149" s="455"/>
      <c r="AB149" s="455"/>
      <c r="AC149" s="455"/>
      <c r="AD149" s="455"/>
      <c r="AE149" s="455"/>
      <c r="AF149" s="455"/>
      <c r="AG149" s="455"/>
      <c r="AH149" s="455"/>
      <c r="AI149" s="455"/>
      <c r="AJ149" s="455"/>
      <c r="AK149" s="456"/>
      <c r="AL149" s="456"/>
      <c r="AM149" s="456"/>
      <c r="AN149" s="456"/>
      <c r="AO149" s="456"/>
      <c r="AP149" s="456"/>
      <c r="AQ149" s="456"/>
      <c r="AR149" s="456"/>
      <c r="AS149" s="456"/>
      <c r="AT149" s="456"/>
      <c r="AU149" s="456"/>
      <c r="AV149" s="456"/>
      <c r="AW149" s="456"/>
      <c r="AX149" s="456"/>
      <c r="AY149" s="456"/>
      <c r="AZ149" s="456"/>
      <c r="BA149" s="456"/>
      <c r="BB149" s="456"/>
      <c r="BC149" s="456"/>
      <c r="BD149" s="456">
        <v>382840.19</v>
      </c>
      <c r="BE149" s="456">
        <v>281146.59</v>
      </c>
      <c r="BF149" s="456">
        <v>283719.22</v>
      </c>
      <c r="BG149" s="456">
        <v>305478.5201</v>
      </c>
      <c r="BH149" s="456">
        <v>307498.88</v>
      </c>
      <c r="BI149" s="456">
        <v>309874.48</v>
      </c>
      <c r="BJ149" s="456">
        <v>312853.76</v>
      </c>
      <c r="BK149" s="456">
        <v>315639.74</v>
      </c>
      <c r="BL149" s="456">
        <v>664.86</v>
      </c>
      <c r="BM149" s="456">
        <v>74.78</v>
      </c>
      <c r="BN149" s="456">
        <v>74.78</v>
      </c>
      <c r="BO149" s="456">
        <v>74.78</v>
      </c>
      <c r="BP149" s="456">
        <v>74.78</v>
      </c>
      <c r="BQ149" s="456">
        <v>74.78</v>
      </c>
      <c r="BR149" s="456">
        <v>74.78</v>
      </c>
      <c r="BS149" s="90">
        <v>0.0</v>
      </c>
      <c r="BT149" s="90"/>
    </row>
    <row r="150" ht="15.75" customHeight="1">
      <c r="A150" s="444" t="s">
        <v>98</v>
      </c>
      <c r="B150" s="445" t="s">
        <v>4670</v>
      </c>
      <c r="C150" s="559" t="s">
        <v>4671</v>
      </c>
      <c r="D150" s="469">
        <v>3714503.0</v>
      </c>
      <c r="E150" s="448" t="s">
        <v>120</v>
      </c>
      <c r="F150" s="448" t="s">
        <v>54</v>
      </c>
      <c r="G150" s="447" t="s">
        <v>348</v>
      </c>
      <c r="H150" s="447">
        <f>IFERROR(VLOOKUP(G150,'Cadastro de assessores'!A:B,2,FALSE),"Não Cadastrado")</f>
        <v>12331</v>
      </c>
      <c r="I150" s="447"/>
      <c r="J150" s="49" t="s">
        <v>2318</v>
      </c>
      <c r="K150" s="447" t="s">
        <v>183</v>
      </c>
      <c r="L150" s="470">
        <v>44614.0</v>
      </c>
      <c r="M150" s="470">
        <v>44614.0</v>
      </c>
      <c r="N150" s="446"/>
      <c r="O150" s="446" t="s">
        <v>2356</v>
      </c>
      <c r="P150" s="452">
        <v>0.007</v>
      </c>
      <c r="Q150" s="237" t="s">
        <v>4673</v>
      </c>
      <c r="R150" s="453"/>
      <c r="S150" s="449" t="str">
        <f t="shared" si="13"/>
        <v>Não Qualificado</v>
      </c>
      <c r="T150" s="449" t="s">
        <v>194</v>
      </c>
      <c r="U150" s="449" t="s">
        <v>4677</v>
      </c>
      <c r="V150" s="449" t="s">
        <v>516</v>
      </c>
      <c r="W150" s="455"/>
      <c r="X150" s="455"/>
      <c r="Y150" s="455"/>
      <c r="Z150" s="455"/>
      <c r="AA150" s="455"/>
      <c r="AB150" s="455"/>
      <c r="AC150" s="455"/>
      <c r="AD150" s="455"/>
      <c r="AE150" s="455"/>
      <c r="AF150" s="455"/>
      <c r="AG150" s="455"/>
      <c r="AH150" s="455"/>
      <c r="AI150" s="455"/>
      <c r="AJ150" s="455"/>
      <c r="AK150" s="456"/>
      <c r="AL150" s="456"/>
      <c r="AM150" s="456"/>
      <c r="AN150" s="456"/>
      <c r="AO150" s="456"/>
      <c r="AP150" s="456"/>
      <c r="AQ150" s="456"/>
      <c r="AR150" s="456"/>
      <c r="AS150" s="456"/>
      <c r="AT150" s="456"/>
      <c r="AU150" s="456"/>
      <c r="AV150" s="456"/>
      <c r="AW150" s="456"/>
      <c r="AX150" s="456"/>
      <c r="AY150" s="456"/>
      <c r="AZ150" s="456"/>
      <c r="BA150" s="456">
        <v>141704.68</v>
      </c>
      <c r="BB150" s="456">
        <v>143339.33</v>
      </c>
      <c r="BC150" s="456">
        <v>769557.67</v>
      </c>
      <c r="BD150" s="456">
        <v>145770.58</v>
      </c>
      <c r="BE150" s="456">
        <v>147108.99</v>
      </c>
      <c r="BF150" s="456">
        <v>148023.34</v>
      </c>
      <c r="BG150" s="456">
        <v>149001.0312</v>
      </c>
      <c r="BH150" s="456">
        <v>149878.94</v>
      </c>
      <c r="BI150" s="456">
        <v>151025.28</v>
      </c>
      <c r="BJ150" s="456">
        <v>152301.47</v>
      </c>
      <c r="BK150" s="456">
        <v>153539.88</v>
      </c>
      <c r="BL150" s="456">
        <v>150829.36</v>
      </c>
      <c r="BM150" s="456">
        <v>162710.88</v>
      </c>
      <c r="BN150" s="456">
        <v>129672.04</v>
      </c>
      <c r="BO150" s="456">
        <v>56820.29</v>
      </c>
      <c r="BP150" s="456">
        <v>49793.5</v>
      </c>
      <c r="BQ150" s="456">
        <v>49757.2</v>
      </c>
      <c r="BR150" s="456">
        <v>211.65</v>
      </c>
      <c r="BS150" s="90" t="s">
        <v>268</v>
      </c>
      <c r="BT150" s="90"/>
    </row>
    <row r="151" ht="15.75" customHeight="1">
      <c r="A151" s="444" t="s">
        <v>98</v>
      </c>
      <c r="B151" s="445" t="s">
        <v>4683</v>
      </c>
      <c r="C151" s="468" t="s">
        <v>4684</v>
      </c>
      <c r="D151" s="446">
        <v>6121090.0</v>
      </c>
      <c r="E151" s="449" t="s">
        <v>120</v>
      </c>
      <c r="F151" s="507" t="s">
        <v>54</v>
      </c>
      <c r="G151" s="449" t="s">
        <v>379</v>
      </c>
      <c r="H151" s="507" t="str">
        <f>IFERROR(VLOOKUP(G151,'Cadastro de assessores'!A:B,2,FALSE),"Não Cadastrado")</f>
        <v>18009</v>
      </c>
      <c r="I151" s="507"/>
      <c r="J151" s="49" t="s">
        <v>224</v>
      </c>
      <c r="K151" s="449" t="s">
        <v>2340</v>
      </c>
      <c r="L151" s="460"/>
      <c r="M151" s="460">
        <v>44421.0</v>
      </c>
      <c r="N151" s="460">
        <v>44685.0</v>
      </c>
      <c r="O151" s="449" t="s">
        <v>2319</v>
      </c>
      <c r="P151" s="452">
        <v>0.02</v>
      </c>
      <c r="Q151" s="330" t="s">
        <v>4686</v>
      </c>
      <c r="R151" s="453"/>
      <c r="S151" s="449" t="str">
        <f t="shared" si="13"/>
        <v>Não Qualificado</v>
      </c>
      <c r="T151" s="449" t="s">
        <v>194</v>
      </c>
      <c r="U151" s="446" t="s">
        <v>211</v>
      </c>
      <c r="V151" s="449" t="s">
        <v>618</v>
      </c>
      <c r="W151" s="454"/>
      <c r="X151" s="454"/>
      <c r="Y151" s="454"/>
      <c r="Z151" s="454"/>
      <c r="AA151" s="454"/>
      <c r="AB151" s="454"/>
      <c r="AC151" s="454"/>
      <c r="AD151" s="454"/>
      <c r="AE151" s="454"/>
      <c r="AF151" s="454"/>
      <c r="AG151" s="454"/>
      <c r="AH151" s="455"/>
      <c r="AI151" s="455"/>
      <c r="AJ151" s="456"/>
      <c r="AK151" s="456"/>
      <c r="AL151" s="456"/>
      <c r="AM151" s="456"/>
      <c r="AN151" s="456"/>
      <c r="AO151" s="456"/>
      <c r="AP151" s="456"/>
      <c r="AQ151" s="456"/>
      <c r="AR151" s="456"/>
      <c r="AS151" s="538"/>
      <c r="AT151" s="481"/>
      <c r="AU151" s="481">
        <v>47827.66</v>
      </c>
      <c r="AV151" s="456">
        <v>46440.15</v>
      </c>
      <c r="AW151" s="456">
        <v>44189.16</v>
      </c>
      <c r="AX151" s="456">
        <v>43967.21</v>
      </c>
      <c r="AY151" s="456">
        <v>44439.5</v>
      </c>
      <c r="AZ151" s="456">
        <v>45943.08</v>
      </c>
      <c r="BA151" s="456">
        <v>46251.82</v>
      </c>
      <c r="BB151" s="456">
        <v>48186.57</v>
      </c>
      <c r="BC151" s="456">
        <v>264992.66</v>
      </c>
      <c r="BD151" s="456" t="s">
        <v>377</v>
      </c>
      <c r="BE151" s="456" t="s">
        <v>377</v>
      </c>
      <c r="BF151" s="456">
        <v>0.0</v>
      </c>
      <c r="BG151" s="456">
        <v>0.0</v>
      </c>
      <c r="BH151" s="456">
        <v>0.0</v>
      </c>
      <c r="BI151" s="456">
        <v>0.0</v>
      </c>
      <c r="BJ151" s="456">
        <v>0.0</v>
      </c>
      <c r="BK151" s="456">
        <v>0.0</v>
      </c>
      <c r="BL151" s="456">
        <v>0.0</v>
      </c>
      <c r="BM151" s="456">
        <v>0.0</v>
      </c>
      <c r="BN151" s="456">
        <v>0.0</v>
      </c>
      <c r="BO151" s="456">
        <v>0.0</v>
      </c>
      <c r="BP151" s="456">
        <v>0.0</v>
      </c>
      <c r="BQ151" s="456">
        <v>0.0</v>
      </c>
      <c r="BR151" s="456">
        <v>0.0</v>
      </c>
      <c r="BS151" s="90" t="s">
        <v>268</v>
      </c>
      <c r="BT151" s="90"/>
    </row>
    <row r="152" ht="17.25" customHeight="1">
      <c r="A152" s="444" t="s">
        <v>98</v>
      </c>
      <c r="B152" s="445" t="s">
        <v>4692</v>
      </c>
      <c r="C152" s="468" t="s">
        <v>4693</v>
      </c>
      <c r="D152" s="469">
        <v>8203715.0</v>
      </c>
      <c r="E152" s="447" t="s">
        <v>120</v>
      </c>
      <c r="F152" s="447" t="s">
        <v>199</v>
      </c>
      <c r="G152" s="447" t="s">
        <v>212</v>
      </c>
      <c r="H152" s="447">
        <f>IFERROR(VLOOKUP(G152,'Cadastro de assessores'!A:B,2,FALSE),"Não Cadastrado")</f>
        <v>12344</v>
      </c>
      <c r="I152" s="447"/>
      <c r="J152" s="49" t="s">
        <v>2318</v>
      </c>
      <c r="K152" s="447" t="s">
        <v>183</v>
      </c>
      <c r="L152" s="470">
        <v>44649.0</v>
      </c>
      <c r="M152" s="470">
        <v>44655.0</v>
      </c>
      <c r="N152" s="446"/>
      <c r="O152" s="446" t="s">
        <v>2356</v>
      </c>
      <c r="P152" s="452">
        <v>0.007</v>
      </c>
      <c r="Q152" s="461"/>
      <c r="R152" s="453"/>
      <c r="S152" s="449" t="str">
        <f t="shared" si="13"/>
        <v/>
      </c>
      <c r="T152" s="449" t="s">
        <v>194</v>
      </c>
      <c r="U152" s="449" t="s">
        <v>2383</v>
      </c>
      <c r="V152" s="449" t="s">
        <v>199</v>
      </c>
      <c r="W152" s="455"/>
      <c r="X152" s="455"/>
      <c r="Y152" s="455"/>
      <c r="Z152" s="455"/>
      <c r="AA152" s="455"/>
      <c r="AB152" s="455"/>
      <c r="AC152" s="455"/>
      <c r="AD152" s="455"/>
      <c r="AE152" s="455"/>
      <c r="AF152" s="455"/>
      <c r="AG152" s="455"/>
      <c r="AH152" s="455"/>
      <c r="AI152" s="455"/>
      <c r="AJ152" s="455"/>
      <c r="AK152" s="456"/>
      <c r="AL152" s="456"/>
      <c r="AM152" s="456"/>
      <c r="AN152" s="456"/>
      <c r="AO152" s="456"/>
      <c r="AP152" s="456"/>
      <c r="AQ152" s="456"/>
      <c r="AR152" s="456"/>
      <c r="AS152" s="456"/>
      <c r="AT152" s="456"/>
      <c r="AU152" s="456"/>
      <c r="AV152" s="456"/>
      <c r="AW152" s="456"/>
      <c r="AX152" s="456"/>
      <c r="AY152" s="456"/>
      <c r="AZ152" s="456"/>
      <c r="BA152" s="456"/>
      <c r="BB152" s="456">
        <v>0.0</v>
      </c>
      <c r="BC152" s="456"/>
      <c r="BD152" s="456">
        <v>318697.81</v>
      </c>
      <c r="BE152" s="456">
        <v>321055.34</v>
      </c>
      <c r="BF152" s="456">
        <v>322692.09</v>
      </c>
      <c r="BG152" s="456">
        <v>478441.0218</v>
      </c>
      <c r="BH152" s="456">
        <v>482933.32</v>
      </c>
      <c r="BI152" s="456">
        <v>486859.84</v>
      </c>
      <c r="BJ152" s="456">
        <v>489909.03</v>
      </c>
      <c r="BK152" s="456">
        <v>494950.75</v>
      </c>
      <c r="BL152" s="456">
        <v>638708.21</v>
      </c>
      <c r="BM152" s="456">
        <v>503776.9</v>
      </c>
      <c r="BN152" s="456">
        <v>0.0</v>
      </c>
      <c r="BO152" s="456">
        <v>0.0</v>
      </c>
      <c r="BP152" s="456">
        <v>0.0</v>
      </c>
      <c r="BQ152" s="456">
        <v>0.0</v>
      </c>
      <c r="BR152" s="456">
        <v>0.0</v>
      </c>
      <c r="BS152" s="90">
        <v>0.0</v>
      </c>
      <c r="BT152" s="90"/>
    </row>
    <row r="153" ht="15.75" customHeight="1">
      <c r="A153" s="444" t="s">
        <v>98</v>
      </c>
      <c r="B153" s="445" t="s">
        <v>4703</v>
      </c>
      <c r="C153" s="468" t="s">
        <v>4704</v>
      </c>
      <c r="D153" s="446">
        <v>0.0</v>
      </c>
      <c r="E153" s="449" t="s">
        <v>120</v>
      </c>
      <c r="F153" s="507" t="s">
        <v>54</v>
      </c>
      <c r="G153" s="449" t="s">
        <v>379</v>
      </c>
      <c r="H153" s="507" t="str">
        <f>IFERROR(VLOOKUP(G153,'Cadastro de assessores'!A:B,2,FALSE),"Não Cadastrado")</f>
        <v>18009</v>
      </c>
      <c r="I153" s="507"/>
      <c r="J153" s="49" t="s">
        <v>224</v>
      </c>
      <c r="K153" s="449" t="s">
        <v>2340</v>
      </c>
      <c r="L153" s="460">
        <v>44300.0</v>
      </c>
      <c r="M153" s="460">
        <v>44300.0</v>
      </c>
      <c r="N153" s="460">
        <v>44651.0</v>
      </c>
      <c r="O153" s="449" t="s">
        <v>2341</v>
      </c>
      <c r="P153" s="452">
        <v>0.012</v>
      </c>
      <c r="Q153" s="461" t="s">
        <v>4707</v>
      </c>
      <c r="R153" s="453"/>
      <c r="S153" s="449" t="str">
        <f t="shared" si="13"/>
        <v>Não Qualificado</v>
      </c>
      <c r="T153" s="449" t="s">
        <v>194</v>
      </c>
      <c r="U153" s="449" t="s">
        <v>2475</v>
      </c>
      <c r="V153" s="449" t="s">
        <v>618</v>
      </c>
      <c r="W153" s="455"/>
      <c r="X153" s="455"/>
      <c r="Y153" s="455"/>
      <c r="Z153" s="455"/>
      <c r="AA153" s="455"/>
      <c r="AB153" s="455"/>
      <c r="AC153" s="455"/>
      <c r="AD153" s="455"/>
      <c r="AE153" s="455"/>
      <c r="AF153" s="455"/>
      <c r="AG153" s="455"/>
      <c r="AH153" s="455"/>
      <c r="AI153" s="455"/>
      <c r="AJ153" s="455"/>
      <c r="AK153" s="456"/>
      <c r="AL153" s="456"/>
      <c r="AM153" s="456"/>
      <c r="AN153" s="456"/>
      <c r="AO153" s="456"/>
      <c r="AP153" s="456">
        <v>236507.03</v>
      </c>
      <c r="AQ153" s="456">
        <v>236037.96</v>
      </c>
      <c r="AR153" s="456">
        <v>238935.82</v>
      </c>
      <c r="AS153" s="456">
        <v>238307.02</v>
      </c>
      <c r="AT153" s="456">
        <v>240933.87</v>
      </c>
      <c r="AU153" s="456">
        <v>302129.81</v>
      </c>
      <c r="AV153" s="456">
        <v>296868.15</v>
      </c>
      <c r="AW153" s="456">
        <v>287734.45</v>
      </c>
      <c r="AX153" s="456">
        <v>287931.74</v>
      </c>
      <c r="AY153" s="456">
        <v>271617.8</v>
      </c>
      <c r="AZ153" s="456">
        <v>279245.12</v>
      </c>
      <c r="BA153" s="456"/>
      <c r="BB153" s="456">
        <v>281601.33</v>
      </c>
      <c r="BC153" s="456">
        <v>307801.13</v>
      </c>
      <c r="BD153" s="456" t="s">
        <v>377</v>
      </c>
      <c r="BE153" s="456" t="s">
        <v>377</v>
      </c>
      <c r="BF153" s="456">
        <v>0.0</v>
      </c>
      <c r="BG153" s="456">
        <v>0.0</v>
      </c>
      <c r="BH153" s="456">
        <v>0.0</v>
      </c>
      <c r="BI153" s="456">
        <v>0.0</v>
      </c>
      <c r="BJ153" s="456">
        <v>0.0</v>
      </c>
      <c r="BK153" s="456">
        <v>0.0</v>
      </c>
      <c r="BL153" s="456">
        <v>0.0</v>
      </c>
      <c r="BM153" s="456">
        <v>0.0</v>
      </c>
      <c r="BN153" s="456">
        <v>0.0</v>
      </c>
      <c r="BO153" s="456">
        <v>0.0</v>
      </c>
      <c r="BP153" s="456">
        <v>0.0</v>
      </c>
      <c r="BQ153" s="456">
        <v>0.0</v>
      </c>
      <c r="BR153" s="456">
        <v>0.0</v>
      </c>
      <c r="BS153" s="90" t="s">
        <v>268</v>
      </c>
      <c r="BT153" s="90"/>
    </row>
    <row r="154" ht="15.75" customHeight="1">
      <c r="A154" s="444" t="s">
        <v>98</v>
      </c>
      <c r="B154" s="445" t="s">
        <v>4712</v>
      </c>
      <c r="C154" s="468" t="s">
        <v>4713</v>
      </c>
      <c r="D154" s="446">
        <v>3561110.0</v>
      </c>
      <c r="E154" s="447" t="s">
        <v>120</v>
      </c>
      <c r="F154" s="447" t="s">
        <v>199</v>
      </c>
      <c r="G154" s="446" t="s">
        <v>4715</v>
      </c>
      <c r="H154" s="446">
        <f>IFERROR(VLOOKUP(G154,'Cadastro de assessores'!A:B,2,FALSE),"Não Cadastrado")</f>
        <v>12342</v>
      </c>
      <c r="I154" s="446"/>
      <c r="J154" s="49" t="s">
        <v>2318</v>
      </c>
      <c r="K154" s="447" t="s">
        <v>183</v>
      </c>
      <c r="L154" s="470">
        <v>44656.0</v>
      </c>
      <c r="M154" s="470">
        <v>44658.0</v>
      </c>
      <c r="N154" s="446"/>
      <c r="O154" s="446" t="s">
        <v>2356</v>
      </c>
      <c r="P154" s="452">
        <v>0.007</v>
      </c>
      <c r="Q154" s="330" t="s">
        <v>4718</v>
      </c>
      <c r="R154" s="453"/>
      <c r="S154" s="449" t="str">
        <f t="shared" si="13"/>
        <v>Não Qualificado</v>
      </c>
      <c r="T154" s="449" t="s">
        <v>194</v>
      </c>
      <c r="U154" s="446" t="s">
        <v>2383</v>
      </c>
      <c r="V154" s="446" t="s">
        <v>199</v>
      </c>
      <c r="W154" s="454"/>
      <c r="X154" s="454"/>
      <c r="Y154" s="454"/>
      <c r="Z154" s="454"/>
      <c r="AA154" s="454"/>
      <c r="AB154" s="454"/>
      <c r="AC154" s="454"/>
      <c r="AD154" s="454"/>
      <c r="AE154" s="454"/>
      <c r="AF154" s="454"/>
      <c r="AG154" s="454"/>
      <c r="AH154" s="454"/>
      <c r="AI154" s="454"/>
      <c r="AJ154" s="454"/>
      <c r="AK154" s="456"/>
      <c r="AL154" s="456"/>
      <c r="AM154" s="456"/>
      <c r="AN154" s="456"/>
      <c r="AO154" s="456"/>
      <c r="AP154" s="456"/>
      <c r="AQ154" s="454"/>
      <c r="AR154" s="481"/>
      <c r="AS154" s="456"/>
      <c r="AT154" s="456"/>
      <c r="AU154" s="456"/>
      <c r="AV154" s="456"/>
      <c r="AW154" s="456"/>
      <c r="AX154" s="456"/>
      <c r="AY154" s="456"/>
      <c r="AZ154" s="456"/>
      <c r="BA154" s="456"/>
      <c r="BB154" s="456"/>
      <c r="BC154" s="456">
        <v>185043.78</v>
      </c>
      <c r="BD154" s="456">
        <v>90983.04</v>
      </c>
      <c r="BE154" s="456">
        <v>146913.53</v>
      </c>
      <c r="BF154" s="456">
        <v>147726.78</v>
      </c>
      <c r="BG154" s="456">
        <v>194847.3991</v>
      </c>
      <c r="BH154" s="456">
        <v>528900.29</v>
      </c>
      <c r="BI154" s="456">
        <v>714954.58</v>
      </c>
      <c r="BJ154" s="456">
        <v>771236.72</v>
      </c>
      <c r="BK154" s="456">
        <v>778736.87</v>
      </c>
      <c r="BL154" s="456">
        <v>787775.81</v>
      </c>
      <c r="BM154" s="456">
        <v>738039.4</v>
      </c>
      <c r="BN154" s="456">
        <v>747012.38</v>
      </c>
      <c r="BO154" s="456">
        <v>704170.24</v>
      </c>
      <c r="BP154" s="456">
        <v>711924.65</v>
      </c>
      <c r="BQ154" s="456">
        <v>701135.39</v>
      </c>
      <c r="BR154" s="456">
        <v>669772.23</v>
      </c>
      <c r="BS154" s="90">
        <v>0.0</v>
      </c>
      <c r="BT154" s="90"/>
    </row>
    <row r="155" ht="15.75" customHeight="1">
      <c r="A155" s="444" t="s">
        <v>98</v>
      </c>
      <c r="B155" s="445" t="s">
        <v>4724</v>
      </c>
      <c r="C155" s="458" t="s">
        <v>4725</v>
      </c>
      <c r="D155" s="449">
        <v>4403399.0</v>
      </c>
      <c r="E155" s="449" t="s">
        <v>255</v>
      </c>
      <c r="F155" s="449" t="s">
        <v>199</v>
      </c>
      <c r="G155" s="449" t="s">
        <v>3877</v>
      </c>
      <c r="H155" s="449" t="str">
        <f>IFERROR(VLOOKUP(G155,'Cadastro de assessores'!A:B,2,FALSE),"Não Cadastrado")</f>
        <v>15049</v>
      </c>
      <c r="I155" s="449"/>
      <c r="J155" s="49" t="s">
        <v>224</v>
      </c>
      <c r="K155" s="449" t="s">
        <v>2340</v>
      </c>
      <c r="L155" s="460">
        <v>44074.0</v>
      </c>
      <c r="M155" s="460">
        <v>44074.0</v>
      </c>
      <c r="N155" s="460">
        <v>44627.0</v>
      </c>
      <c r="O155" s="449" t="s">
        <v>2365</v>
      </c>
      <c r="P155" s="452">
        <v>0.012</v>
      </c>
      <c r="Q155" s="461" t="s">
        <v>4727</v>
      </c>
      <c r="R155" s="453"/>
      <c r="S155" s="449" t="str">
        <f t="shared" si="13"/>
        <v>Não Qualificado</v>
      </c>
      <c r="T155" s="449" t="s">
        <v>194</v>
      </c>
      <c r="U155" s="449" t="s">
        <v>4450</v>
      </c>
      <c r="V155" s="449" t="s">
        <v>199</v>
      </c>
      <c r="W155" s="455" t="s">
        <v>2344</v>
      </c>
      <c r="X155" s="455" t="s">
        <v>2344</v>
      </c>
      <c r="Y155" s="455" t="s">
        <v>2344</v>
      </c>
      <c r="Z155" s="455" t="s">
        <v>2344</v>
      </c>
      <c r="AA155" s="455" t="s">
        <v>2344</v>
      </c>
      <c r="AB155" s="455" t="s">
        <v>2344</v>
      </c>
      <c r="AC155" s="455" t="s">
        <v>2344</v>
      </c>
      <c r="AD155" s="455" t="s">
        <v>2344</v>
      </c>
      <c r="AE155" s="455" t="s">
        <v>2344</v>
      </c>
      <c r="AF155" s="455" t="s">
        <v>2344</v>
      </c>
      <c r="AG155" s="455" t="s">
        <v>4729</v>
      </c>
      <c r="AH155" s="455" t="s">
        <v>4730</v>
      </c>
      <c r="AI155" s="455" t="s">
        <v>4731</v>
      </c>
      <c r="AJ155" s="455" t="s">
        <v>4732</v>
      </c>
      <c r="AK155" s="456">
        <v>341942.98</v>
      </c>
      <c r="AL155" s="456">
        <v>385396.66</v>
      </c>
      <c r="AM155" s="456">
        <v>379495.89</v>
      </c>
      <c r="AN155" s="456">
        <v>379183.97</v>
      </c>
      <c r="AO155" s="456">
        <v>382477.97</v>
      </c>
      <c r="AP155" s="456">
        <v>383193.45</v>
      </c>
      <c r="AQ155" s="456">
        <v>382437.44</v>
      </c>
      <c r="AR155" s="456">
        <v>387372.87</v>
      </c>
      <c r="AS155" s="456">
        <v>386609.88</v>
      </c>
      <c r="AT155" s="456">
        <v>383867.77</v>
      </c>
      <c r="AU155" s="456">
        <v>383775.99</v>
      </c>
      <c r="AV155" s="456">
        <v>381921.63</v>
      </c>
      <c r="AW155" s="456">
        <v>374515.3</v>
      </c>
      <c r="AX155" s="456">
        <v>374422.49</v>
      </c>
      <c r="AY155" s="456">
        <v>378125.76</v>
      </c>
      <c r="AZ155" s="456">
        <v>383328.31</v>
      </c>
      <c r="BA155" s="456">
        <v>384674.62</v>
      </c>
      <c r="BB155" s="456">
        <v>0.0</v>
      </c>
      <c r="BC155" s="456">
        <v>102598.23</v>
      </c>
      <c r="BD155" s="456" t="s">
        <v>377</v>
      </c>
      <c r="BE155" s="456" t="s">
        <v>377</v>
      </c>
      <c r="BF155" s="456">
        <v>0.0</v>
      </c>
      <c r="BG155" s="456">
        <v>0.0</v>
      </c>
      <c r="BH155" s="456">
        <v>0.0</v>
      </c>
      <c r="BI155" s="456">
        <v>0.0</v>
      </c>
      <c r="BJ155" s="456">
        <v>0.0</v>
      </c>
      <c r="BK155" s="456">
        <v>0.0</v>
      </c>
      <c r="BL155" s="456">
        <v>0.0</v>
      </c>
      <c r="BM155" s="456">
        <v>0.0</v>
      </c>
      <c r="BN155" s="456">
        <v>0.0</v>
      </c>
      <c r="BO155" s="456">
        <v>0.0</v>
      </c>
      <c r="BP155" s="456">
        <v>0.0</v>
      </c>
      <c r="BQ155" s="456">
        <v>0.0</v>
      </c>
      <c r="BR155" s="456">
        <v>0.0</v>
      </c>
      <c r="BS155" s="90" t="s">
        <v>268</v>
      </c>
      <c r="BT155" s="90"/>
    </row>
    <row r="156" ht="15.75" customHeight="1">
      <c r="A156" s="444" t="s">
        <v>98</v>
      </c>
      <c r="B156" s="445" t="s">
        <v>4739</v>
      </c>
      <c r="C156" s="468" t="s">
        <v>4740</v>
      </c>
      <c r="D156" s="446">
        <v>5599659.0</v>
      </c>
      <c r="E156" s="447" t="s">
        <v>255</v>
      </c>
      <c r="F156" s="448" t="s">
        <v>199</v>
      </c>
      <c r="G156" s="446" t="s">
        <v>4338</v>
      </c>
      <c r="H156" s="446">
        <f>IFERROR(VLOOKUP(G156,'Cadastro de assessores'!A:B,2,FALSE),"Não Cadastrado")</f>
        <v>12347</v>
      </c>
      <c r="I156" s="446"/>
      <c r="J156" s="49" t="s">
        <v>2318</v>
      </c>
      <c r="K156" s="447" t="s">
        <v>183</v>
      </c>
      <c r="L156" s="450">
        <v>44341.0</v>
      </c>
      <c r="M156" s="450">
        <v>44344.0</v>
      </c>
      <c r="N156" s="446"/>
      <c r="O156" s="446" t="s">
        <v>2356</v>
      </c>
      <c r="P156" s="452">
        <v>0.007</v>
      </c>
      <c r="Q156" s="330"/>
      <c r="R156" s="453"/>
      <c r="S156" s="449" t="str">
        <f t="shared" si="13"/>
        <v/>
      </c>
      <c r="T156" s="449" t="s">
        <v>194</v>
      </c>
      <c r="U156" s="446" t="s">
        <v>2374</v>
      </c>
      <c r="V156" s="446" t="s">
        <v>199</v>
      </c>
      <c r="W156" s="454"/>
      <c r="X156" s="454"/>
      <c r="Y156" s="454"/>
      <c r="Z156" s="454"/>
      <c r="AA156" s="454"/>
      <c r="AB156" s="454"/>
      <c r="AC156" s="454"/>
      <c r="AD156" s="454"/>
      <c r="AE156" s="454"/>
      <c r="AF156" s="454"/>
      <c r="AG156" s="454"/>
      <c r="AH156" s="454"/>
      <c r="AI156" s="454"/>
      <c r="AJ156" s="454"/>
      <c r="AK156" s="456"/>
      <c r="AL156" s="456"/>
      <c r="AM156" s="456"/>
      <c r="AN156" s="456"/>
      <c r="AO156" s="456"/>
      <c r="AP156" s="456"/>
      <c r="AQ156" s="454"/>
      <c r="AR156" s="481">
        <v>99876.03</v>
      </c>
      <c r="AS156" s="456">
        <v>98549.1</v>
      </c>
      <c r="AT156" s="456">
        <v>95466.31</v>
      </c>
      <c r="AU156" s="456">
        <v>143637.58</v>
      </c>
      <c r="AV156" s="456">
        <v>139188.16</v>
      </c>
      <c r="AW156" s="456">
        <v>132342.12</v>
      </c>
      <c r="AX156" s="456">
        <v>131838.74</v>
      </c>
      <c r="AY156" s="456">
        <v>133560.64</v>
      </c>
      <c r="AZ156" s="456">
        <v>138636.1</v>
      </c>
      <c r="BA156" s="456">
        <v>139612.8</v>
      </c>
      <c r="BB156" s="456">
        <v>145666.13</v>
      </c>
      <c r="BC156" s="456">
        <v>0.0</v>
      </c>
      <c r="BD156" s="456">
        <v>142887.9</v>
      </c>
      <c r="BE156" s="456">
        <v>141939.77</v>
      </c>
      <c r="BF156" s="456">
        <v>143688.16</v>
      </c>
      <c r="BG156" s="456">
        <v>144389.5526</v>
      </c>
      <c r="BH156" s="456">
        <v>145221.71</v>
      </c>
      <c r="BI156" s="456">
        <v>148590.6</v>
      </c>
      <c r="BJ156" s="456">
        <v>150115.38</v>
      </c>
      <c r="BK156" s="456">
        <v>151266.02</v>
      </c>
      <c r="BL156" s="456">
        <v>153079.04</v>
      </c>
      <c r="BM156" s="456">
        <v>153037.43</v>
      </c>
      <c r="BN156" s="456">
        <v>0.0</v>
      </c>
      <c r="BO156" s="456">
        <v>0.0</v>
      </c>
      <c r="BP156" s="456">
        <v>0.0</v>
      </c>
      <c r="BQ156" s="456">
        <v>0.0</v>
      </c>
      <c r="BR156" s="456">
        <v>0.0</v>
      </c>
      <c r="BS156" s="90" t="s">
        <v>268</v>
      </c>
      <c r="BT156" s="90"/>
    </row>
    <row r="157" ht="15.75" customHeight="1">
      <c r="A157" s="444" t="s">
        <v>98</v>
      </c>
      <c r="B157" s="445" t="s">
        <v>4749</v>
      </c>
      <c r="C157" s="458" t="s">
        <v>4750</v>
      </c>
      <c r="D157" s="449">
        <v>4743699.0</v>
      </c>
      <c r="E157" s="449" t="s">
        <v>255</v>
      </c>
      <c r="F157" s="449" t="s">
        <v>199</v>
      </c>
      <c r="G157" s="449" t="s">
        <v>548</v>
      </c>
      <c r="H157" s="449" t="str">
        <f>IFERROR(VLOOKUP(G157,'Cadastro de assessores'!A:B,2,FALSE),"Não Cadastrado")</f>
        <v>14574</v>
      </c>
      <c r="I157" s="449"/>
      <c r="J157" s="49" t="s">
        <v>224</v>
      </c>
      <c r="K157" s="449" t="s">
        <v>2340</v>
      </c>
      <c r="L157" s="460">
        <v>44211.0</v>
      </c>
      <c r="M157" s="460">
        <v>44211.0</v>
      </c>
      <c r="N157" s="460">
        <v>44803.0</v>
      </c>
      <c r="O157" s="449" t="s">
        <v>2341</v>
      </c>
      <c r="P157" s="452">
        <v>0.015</v>
      </c>
      <c r="Q157" s="461" t="s">
        <v>4754</v>
      </c>
      <c r="R157" s="453"/>
      <c r="S157" s="449" t="str">
        <f t="shared" si="13"/>
        <v/>
      </c>
      <c r="T157" s="449" t="s">
        <v>194</v>
      </c>
      <c r="U157" s="449" t="s">
        <v>2343</v>
      </c>
      <c r="V157" s="449" t="s">
        <v>199</v>
      </c>
      <c r="W157" s="455"/>
      <c r="X157" s="455"/>
      <c r="Y157" s="455"/>
      <c r="Z157" s="455"/>
      <c r="AA157" s="455"/>
      <c r="AB157" s="455"/>
      <c r="AC157" s="455"/>
      <c r="AD157" s="455"/>
      <c r="AE157" s="455"/>
      <c r="AF157" s="455"/>
      <c r="AG157" s="455"/>
      <c r="AH157" s="455"/>
      <c r="AI157" s="455"/>
      <c r="AJ157" s="455"/>
      <c r="AK157" s="456"/>
      <c r="AL157" s="456">
        <v>137510.16</v>
      </c>
      <c r="AM157" s="456">
        <v>134127.89</v>
      </c>
      <c r="AN157" s="456">
        <v>133840.12</v>
      </c>
      <c r="AO157" s="456">
        <v>137821.24</v>
      </c>
      <c r="AP157" s="456">
        <v>138631.28</v>
      </c>
      <c r="AQ157" s="456">
        <v>138002.01</v>
      </c>
      <c r="AR157" s="456">
        <v>141315.11</v>
      </c>
      <c r="AS157" s="456">
        <v>140248.23</v>
      </c>
      <c r="AT157" s="456">
        <v>137410.98</v>
      </c>
      <c r="AU157" s="456">
        <v>136571.68</v>
      </c>
      <c r="AV157" s="456">
        <v>134123.97</v>
      </c>
      <c r="AW157" s="456">
        <v>129022.36</v>
      </c>
      <c r="AX157" s="456">
        <v>128941.63</v>
      </c>
      <c r="AY157" s="456">
        <v>130488.89</v>
      </c>
      <c r="AZ157" s="456">
        <v>133678.32</v>
      </c>
      <c r="BA157" s="456">
        <v>134267.57</v>
      </c>
      <c r="BB157" s="456">
        <v>139380.17</v>
      </c>
      <c r="BC157" s="456">
        <v>0.0</v>
      </c>
      <c r="BD157" s="456">
        <v>128163.83</v>
      </c>
      <c r="BE157" s="456">
        <v>125944.15</v>
      </c>
      <c r="BF157" s="456">
        <v>128641.65</v>
      </c>
      <c r="BG157" s="456">
        <v>127346.98</v>
      </c>
      <c r="BH157" s="456">
        <v>0.0</v>
      </c>
      <c r="BI157" s="456">
        <v>0.0</v>
      </c>
      <c r="BJ157" s="456">
        <v>0.0</v>
      </c>
      <c r="BK157" s="456">
        <v>0.0</v>
      </c>
      <c r="BL157" s="456">
        <v>0.0</v>
      </c>
      <c r="BM157" s="456">
        <v>0.0</v>
      </c>
      <c r="BN157" s="456">
        <v>0.0</v>
      </c>
      <c r="BO157" s="456">
        <v>0.0</v>
      </c>
      <c r="BP157" s="456">
        <v>0.0</v>
      </c>
      <c r="BQ157" s="456">
        <v>0.0</v>
      </c>
      <c r="BR157" s="456">
        <v>0.0</v>
      </c>
      <c r="BS157" s="90" t="s">
        <v>268</v>
      </c>
      <c r="BT157" s="90"/>
    </row>
    <row r="158" ht="15.75" customHeight="1">
      <c r="A158" s="444" t="s">
        <v>98</v>
      </c>
      <c r="B158" s="445" t="s">
        <v>4764</v>
      </c>
      <c r="C158" s="458" t="s">
        <v>4765</v>
      </c>
      <c r="D158" s="449">
        <v>4695581.0</v>
      </c>
      <c r="E158" s="447" t="s">
        <v>255</v>
      </c>
      <c r="F158" s="447" t="s">
        <v>199</v>
      </c>
      <c r="G158" s="447" t="s">
        <v>3979</v>
      </c>
      <c r="H158" s="447" t="str">
        <f>IFERROR(VLOOKUP(G158,'Cadastro de assessores'!A:B,2,FALSE),"Não Cadastrado")</f>
        <v>19157</v>
      </c>
      <c r="I158" s="447"/>
      <c r="J158" s="49" t="s">
        <v>2318</v>
      </c>
      <c r="K158" s="447" t="s">
        <v>183</v>
      </c>
      <c r="L158" s="451">
        <v>44186.0</v>
      </c>
      <c r="M158" s="451">
        <v>44193.0</v>
      </c>
      <c r="N158" s="446"/>
      <c r="O158" s="446" t="s">
        <v>2319</v>
      </c>
      <c r="P158" s="452">
        <v>0.02</v>
      </c>
      <c r="Q158" s="461"/>
      <c r="R158" s="453"/>
      <c r="S158" s="449" t="str">
        <f t="shared" si="13"/>
        <v/>
      </c>
      <c r="T158" s="449" t="s">
        <v>194</v>
      </c>
      <c r="U158" s="449" t="s">
        <v>4767</v>
      </c>
      <c r="V158" s="449" t="s">
        <v>199</v>
      </c>
      <c r="W158" s="455" t="s">
        <v>2344</v>
      </c>
      <c r="X158" s="455" t="s">
        <v>2344</v>
      </c>
      <c r="Y158" s="455" t="s">
        <v>2344</v>
      </c>
      <c r="Z158" s="455" t="s">
        <v>2344</v>
      </c>
      <c r="AA158" s="455" t="s">
        <v>2344</v>
      </c>
      <c r="AB158" s="455" t="s">
        <v>2344</v>
      </c>
      <c r="AC158" s="455" t="s">
        <v>2344</v>
      </c>
      <c r="AD158" s="455" t="s">
        <v>2344</v>
      </c>
      <c r="AE158" s="455" t="s">
        <v>2344</v>
      </c>
      <c r="AF158" s="455" t="s">
        <v>2344</v>
      </c>
      <c r="AG158" s="455" t="s">
        <v>2344</v>
      </c>
      <c r="AH158" s="455" t="s">
        <v>2344</v>
      </c>
      <c r="AI158" s="455" t="s">
        <v>2344</v>
      </c>
      <c r="AJ158" s="455" t="s">
        <v>2344</v>
      </c>
      <c r="AK158" s="456">
        <v>132820.08</v>
      </c>
      <c r="AL158" s="456">
        <v>129282.33</v>
      </c>
      <c r="AM158" s="456">
        <v>124494.97</v>
      </c>
      <c r="AN158" s="456">
        <v>124216.25</v>
      </c>
      <c r="AO158" s="456">
        <v>129641.16</v>
      </c>
      <c r="AP158" s="456">
        <v>130659.46</v>
      </c>
      <c r="AQ158" s="456">
        <v>129844.06</v>
      </c>
      <c r="AR158" s="456">
        <v>134217.18</v>
      </c>
      <c r="AS158" s="456">
        <v>132551.01</v>
      </c>
      <c r="AT158" s="456">
        <v>128637.34</v>
      </c>
      <c r="AU158" s="456">
        <v>127287.88</v>
      </c>
      <c r="AV158" s="456">
        <v>122960.97</v>
      </c>
      <c r="AW158" s="456">
        <v>117109.06</v>
      </c>
      <c r="AX158" s="456">
        <v>116609.78</v>
      </c>
      <c r="AY158" s="456">
        <v>118341.33</v>
      </c>
      <c r="AZ158" s="456">
        <v>122678.22</v>
      </c>
      <c r="BA158" s="456">
        <v>123992.6</v>
      </c>
      <c r="BB158" s="456">
        <v>129864.9</v>
      </c>
      <c r="BC158" s="456">
        <v>0.0</v>
      </c>
      <c r="BD158" s="456">
        <v>125838.29</v>
      </c>
      <c r="BE158" s="456">
        <v>123104.79</v>
      </c>
      <c r="BF158" s="456">
        <v>127149.2</v>
      </c>
      <c r="BG158" s="456">
        <v>129379.4903</v>
      </c>
      <c r="BH158" s="456">
        <v>128458.75</v>
      </c>
      <c r="BI158" s="456">
        <v>135930.0</v>
      </c>
      <c r="BJ158" s="456">
        <v>135692.53</v>
      </c>
      <c r="BK158" s="456">
        <v>136099.8</v>
      </c>
      <c r="BL158" s="456">
        <v>136270.3</v>
      </c>
      <c r="BM158" s="456">
        <v>135654.7</v>
      </c>
      <c r="BN158" s="456">
        <v>645.75</v>
      </c>
      <c r="BO158" s="456">
        <v>645.75</v>
      </c>
      <c r="BP158" s="456">
        <v>645.75</v>
      </c>
      <c r="BQ158" s="456">
        <v>648.23</v>
      </c>
      <c r="BR158" s="456">
        <v>648.23</v>
      </c>
      <c r="BS158" s="90">
        <v>0.0</v>
      </c>
      <c r="BT158" s="90"/>
    </row>
    <row r="159" ht="15.75" customHeight="1">
      <c r="A159" s="444" t="s">
        <v>98</v>
      </c>
      <c r="B159" s="445" t="s">
        <v>4775</v>
      </c>
      <c r="C159" s="559" t="s">
        <v>4776</v>
      </c>
      <c r="D159" s="490">
        <v>3274958.0</v>
      </c>
      <c r="E159" s="447" t="s">
        <v>255</v>
      </c>
      <c r="F159" s="448" t="s">
        <v>199</v>
      </c>
      <c r="G159" s="447" t="s">
        <v>3855</v>
      </c>
      <c r="H159" s="447" t="str">
        <f>IFERROR(VLOOKUP(G159,'Cadastro de assessores'!A:B,2,FALSE),"Não Cadastrado")</f>
        <v>19634</v>
      </c>
      <c r="I159" s="447"/>
      <c r="J159" s="49" t="s">
        <v>2318</v>
      </c>
      <c r="K159" s="447" t="s">
        <v>183</v>
      </c>
      <c r="L159" s="470">
        <v>44714.0</v>
      </c>
      <c r="M159" s="470">
        <v>44714.0</v>
      </c>
      <c r="N159" s="446"/>
      <c r="O159" s="446" t="s">
        <v>2356</v>
      </c>
      <c r="P159" s="452">
        <v>0.007</v>
      </c>
      <c r="Q159" s="330" t="s">
        <v>4780</v>
      </c>
      <c r="R159" s="453"/>
      <c r="S159" s="449"/>
      <c r="T159" s="449" t="s">
        <v>194</v>
      </c>
      <c r="U159" s="449" t="s">
        <v>3383</v>
      </c>
      <c r="V159" s="446" t="s">
        <v>199</v>
      </c>
      <c r="W159" s="454"/>
      <c r="X159" s="454"/>
      <c r="Y159" s="454"/>
      <c r="Z159" s="454"/>
      <c r="AA159" s="454"/>
      <c r="AB159" s="454"/>
      <c r="AC159" s="454"/>
      <c r="AD159" s="454"/>
      <c r="AE159" s="454"/>
      <c r="AF159" s="454"/>
      <c r="AG159" s="455"/>
      <c r="AH159" s="455"/>
      <c r="AI159" s="455"/>
      <c r="AJ159" s="456"/>
      <c r="AK159" s="456"/>
      <c r="AL159" s="456"/>
      <c r="AM159" s="456"/>
      <c r="AN159" s="456"/>
      <c r="AO159" s="456"/>
      <c r="AP159" s="456"/>
      <c r="AQ159" s="456"/>
      <c r="AR159" s="456"/>
      <c r="AS159" s="456"/>
      <c r="AT159" s="456"/>
      <c r="AU159" s="456"/>
      <c r="AV159" s="456"/>
      <c r="AW159" s="456"/>
      <c r="AX159" s="456"/>
      <c r="AY159" s="456"/>
      <c r="AZ159" s="456"/>
      <c r="BA159" s="456"/>
      <c r="BB159" s="456"/>
      <c r="BC159" s="456"/>
      <c r="BD159" s="456" t="s">
        <v>377</v>
      </c>
      <c r="BE159" s="456" t="s">
        <v>377</v>
      </c>
      <c r="BF159" s="456">
        <v>205735.78</v>
      </c>
      <c r="BG159" s="456">
        <v>213350.8102</v>
      </c>
      <c r="BH159" s="456">
        <v>213358.43</v>
      </c>
      <c r="BI159" s="456">
        <v>217959.63</v>
      </c>
      <c r="BJ159" s="456">
        <v>212986.95</v>
      </c>
      <c r="BK159" s="456">
        <v>213148.45</v>
      </c>
      <c r="BL159" s="456">
        <v>217189.48</v>
      </c>
      <c r="BM159" s="456">
        <v>216041.42</v>
      </c>
      <c r="BN159" s="456">
        <v>215837.04</v>
      </c>
      <c r="BO159" s="456">
        <v>0.0</v>
      </c>
      <c r="BP159" s="456">
        <v>0.0</v>
      </c>
      <c r="BQ159" s="456">
        <v>0.0</v>
      </c>
      <c r="BR159" s="456">
        <v>0.0</v>
      </c>
      <c r="BS159" s="90" t="s">
        <v>268</v>
      </c>
      <c r="BT159" s="90"/>
    </row>
    <row r="160" ht="15.75" customHeight="1">
      <c r="A160" s="444" t="s">
        <v>98</v>
      </c>
      <c r="B160" s="445" t="s">
        <v>4788</v>
      </c>
      <c r="C160" s="559" t="s">
        <v>4790</v>
      </c>
      <c r="D160" s="490">
        <v>6986262.0</v>
      </c>
      <c r="E160" s="447" t="s">
        <v>120</v>
      </c>
      <c r="F160" s="448" t="s">
        <v>54</v>
      </c>
      <c r="G160" s="447" t="s">
        <v>379</v>
      </c>
      <c r="H160" s="447" t="str">
        <f>IFERROR(VLOOKUP(G160,'Cadastro de assessores'!A:B,2,FALSE),"Não Cadastrado")</f>
        <v>18009</v>
      </c>
      <c r="I160" s="447"/>
      <c r="J160" s="49" t="s">
        <v>2318</v>
      </c>
      <c r="K160" s="447" t="s">
        <v>183</v>
      </c>
      <c r="L160" s="450">
        <v>44508.0</v>
      </c>
      <c r="M160" s="450">
        <v>44503.0</v>
      </c>
      <c r="N160" s="508">
        <v>45033.0</v>
      </c>
      <c r="O160" s="446" t="s">
        <v>2452</v>
      </c>
      <c r="P160" s="452">
        <v>0.008</v>
      </c>
      <c r="Q160" s="330" t="s">
        <v>4792</v>
      </c>
      <c r="R160" s="453"/>
      <c r="S160" s="449" t="str">
        <f t="shared" ref="S160:S161" si="14">IF(BC160&lt;=0,"",IF(BC160&lt;=1000000,"Não Qualificado",IF(AND(BC160&gt;1000000,BC160&lt;=10000000),"Qualificado","Profissional")))</f>
        <v>Não Qualificado</v>
      </c>
      <c r="T160" s="449" t="s">
        <v>194</v>
      </c>
      <c r="U160" s="449" t="s">
        <v>3383</v>
      </c>
      <c r="V160" s="446" t="s">
        <v>199</v>
      </c>
      <c r="W160" s="454"/>
      <c r="X160" s="454"/>
      <c r="Y160" s="454"/>
      <c r="Z160" s="454"/>
      <c r="AA160" s="454"/>
      <c r="AB160" s="454"/>
      <c r="AC160" s="454"/>
      <c r="AD160" s="454"/>
      <c r="AE160" s="454"/>
      <c r="AF160" s="454"/>
      <c r="AG160" s="455"/>
      <c r="AH160" s="455"/>
      <c r="AI160" s="455"/>
      <c r="AJ160" s="456"/>
      <c r="AK160" s="456"/>
      <c r="AL160" s="456"/>
      <c r="AM160" s="456"/>
      <c r="AN160" s="456"/>
      <c r="AO160" s="456"/>
      <c r="AP160" s="456"/>
      <c r="AQ160" s="456"/>
      <c r="AR160" s="456"/>
      <c r="AS160" s="456"/>
      <c r="AT160" s="456"/>
      <c r="AU160" s="456"/>
      <c r="AV160" s="456"/>
      <c r="AW160" s="456"/>
      <c r="AX160" s="456">
        <v>95585.03</v>
      </c>
      <c r="AY160" s="456">
        <v>101884.62</v>
      </c>
      <c r="AZ160" s="456">
        <v>119130.48</v>
      </c>
      <c r="BA160" s="456">
        <v>119171.71</v>
      </c>
      <c r="BB160" s="456">
        <v>93325.64</v>
      </c>
      <c r="BC160" s="456">
        <v>207608.37</v>
      </c>
      <c r="BD160" s="456">
        <v>72802.5</v>
      </c>
      <c r="BE160" s="456">
        <v>71745.15</v>
      </c>
      <c r="BF160" s="456">
        <v>71493.49</v>
      </c>
      <c r="BG160" s="456">
        <v>72674.82</v>
      </c>
      <c r="BH160" s="456">
        <v>72068.97</v>
      </c>
      <c r="BI160" s="456">
        <v>72927.82</v>
      </c>
      <c r="BJ160" s="456">
        <v>66177.75</v>
      </c>
      <c r="BK160" s="456">
        <v>62934.1</v>
      </c>
      <c r="BL160" s="456">
        <v>702.83</v>
      </c>
      <c r="BM160" s="456">
        <v>0.0</v>
      </c>
      <c r="BN160" s="456">
        <v>0.0</v>
      </c>
      <c r="BO160" s="456">
        <v>0.0</v>
      </c>
      <c r="BP160" s="456">
        <v>0.0</v>
      </c>
      <c r="BQ160" s="456">
        <v>0.0</v>
      </c>
      <c r="BR160" s="456">
        <v>0.0</v>
      </c>
      <c r="BS160" s="90" t="s">
        <v>268</v>
      </c>
      <c r="BT160" s="90"/>
    </row>
    <row r="161" ht="15.75" customHeight="1">
      <c r="A161" s="444" t="s">
        <v>98</v>
      </c>
      <c r="B161" s="445" t="s">
        <v>4804</v>
      </c>
      <c r="C161" s="458" t="s">
        <v>4805</v>
      </c>
      <c r="D161" s="449">
        <v>395136.0</v>
      </c>
      <c r="E161" s="449" t="s">
        <v>120</v>
      </c>
      <c r="F161" s="449" t="s">
        <v>199</v>
      </c>
      <c r="G161" s="449" t="s">
        <v>4744</v>
      </c>
      <c r="H161" s="449" t="str">
        <f>IFERROR(VLOOKUP(G161,'Cadastro de assessores'!A:B,2,FALSE),"Não Cadastrado")</f>
        <v>12846</v>
      </c>
      <c r="I161" s="449"/>
      <c r="J161" s="49" t="s">
        <v>224</v>
      </c>
      <c r="K161" s="449" t="s">
        <v>2340</v>
      </c>
      <c r="L161" s="460">
        <v>44260.0</v>
      </c>
      <c r="M161" s="460">
        <v>44260.0</v>
      </c>
      <c r="N161" s="460">
        <v>44378.0</v>
      </c>
      <c r="O161" s="449" t="s">
        <v>2372</v>
      </c>
      <c r="P161" s="452">
        <v>0.005</v>
      </c>
      <c r="Q161" s="554" t="s">
        <v>4807</v>
      </c>
      <c r="R161" s="453"/>
      <c r="S161" s="449" t="str">
        <f t="shared" si="14"/>
        <v/>
      </c>
      <c r="T161" s="449" t="s">
        <v>194</v>
      </c>
      <c r="U161" s="449" t="s">
        <v>2417</v>
      </c>
      <c r="V161" s="449" t="s">
        <v>199</v>
      </c>
      <c r="W161" s="455"/>
      <c r="X161" s="455"/>
      <c r="Y161" s="455"/>
      <c r="Z161" s="455"/>
      <c r="AA161" s="455"/>
      <c r="AB161" s="455"/>
      <c r="AC161" s="455"/>
      <c r="AD161" s="455"/>
      <c r="AE161" s="455"/>
      <c r="AF161" s="455"/>
      <c r="AG161" s="455"/>
      <c r="AH161" s="455"/>
      <c r="AI161" s="455"/>
      <c r="AJ161" s="455"/>
      <c r="AK161" s="456"/>
      <c r="AL161" s="456"/>
      <c r="AM161" s="456"/>
      <c r="AN161" s="456">
        <v>6.147688534E7</v>
      </c>
      <c r="AO161" s="456">
        <v>6.213008304E7</v>
      </c>
      <c r="AP161" s="456">
        <v>6.240586715E7</v>
      </c>
      <c r="AQ161" s="456">
        <v>6.219317039E7</v>
      </c>
      <c r="AR161" s="456">
        <v>6.324494366E7</v>
      </c>
      <c r="AS161" s="456">
        <v>6.203358919E7</v>
      </c>
      <c r="AT161" s="456"/>
      <c r="AU161" s="456"/>
      <c r="AV161" s="456"/>
      <c r="AW161" s="456"/>
      <c r="AX161" s="456"/>
      <c r="AY161" s="456"/>
      <c r="AZ161" s="456"/>
      <c r="BA161" s="456">
        <v>0.0</v>
      </c>
      <c r="BB161" s="456">
        <v>0.0</v>
      </c>
      <c r="BC161" s="456">
        <v>0.0</v>
      </c>
      <c r="BD161" s="456" t="s">
        <v>377</v>
      </c>
      <c r="BE161" s="456" t="s">
        <v>377</v>
      </c>
      <c r="BF161" s="456">
        <v>0.0</v>
      </c>
      <c r="BG161" s="456">
        <v>0.0</v>
      </c>
      <c r="BH161" s="456">
        <v>0.0</v>
      </c>
      <c r="BI161" s="456">
        <v>0.0</v>
      </c>
      <c r="BJ161" s="456">
        <v>0.0</v>
      </c>
      <c r="BK161" s="456">
        <v>0.0</v>
      </c>
      <c r="BL161" s="456">
        <v>0.0</v>
      </c>
      <c r="BM161" s="456">
        <v>0.0</v>
      </c>
      <c r="BN161" s="456">
        <v>0.0</v>
      </c>
      <c r="BO161" s="456">
        <v>0.0</v>
      </c>
      <c r="BP161" s="456">
        <v>0.0</v>
      </c>
      <c r="BQ161" s="456">
        <v>0.0</v>
      </c>
      <c r="BR161" s="456">
        <v>0.0</v>
      </c>
      <c r="BS161" s="90" t="s">
        <v>268</v>
      </c>
      <c r="BT161" s="90"/>
    </row>
    <row r="162" ht="15.75" customHeight="1">
      <c r="A162" s="444" t="s">
        <v>98</v>
      </c>
      <c r="B162" s="445" t="s">
        <v>4817</v>
      </c>
      <c r="C162" s="468" t="s">
        <v>4818</v>
      </c>
      <c r="D162" s="469">
        <v>9225581.0</v>
      </c>
      <c r="E162" s="447" t="s">
        <v>120</v>
      </c>
      <c r="F162" s="447" t="s">
        <v>54</v>
      </c>
      <c r="G162" s="447" t="s">
        <v>348</v>
      </c>
      <c r="H162" s="449">
        <f>IFERROR(VLOOKUP(G162,'Cadastro de assessores'!A:B,2,FALSE),"Não Cadastrado")</f>
        <v>12331</v>
      </c>
      <c r="I162" s="449"/>
      <c r="J162" s="49" t="s">
        <v>2318</v>
      </c>
      <c r="K162" s="449" t="s">
        <v>295</v>
      </c>
      <c r="L162" s="552" t="s">
        <v>3320</v>
      </c>
      <c r="M162" s="552"/>
      <c r="N162" s="446"/>
      <c r="O162" s="446" t="s">
        <v>2365</v>
      </c>
      <c r="P162" s="452">
        <v>0.01</v>
      </c>
      <c r="Q162" s="554" t="s">
        <v>4820</v>
      </c>
      <c r="R162" s="453"/>
      <c r="S162" s="449"/>
      <c r="T162" s="449"/>
      <c r="U162" s="449"/>
      <c r="V162" s="449" t="s">
        <v>54</v>
      </c>
      <c r="W162" s="455"/>
      <c r="X162" s="455"/>
      <c r="Y162" s="455"/>
      <c r="Z162" s="455"/>
      <c r="AA162" s="455"/>
      <c r="AB162" s="455"/>
      <c r="AC162" s="455"/>
      <c r="AD162" s="455"/>
      <c r="AE162" s="455"/>
      <c r="AF162" s="455"/>
      <c r="AG162" s="455"/>
      <c r="AH162" s="455"/>
      <c r="AI162" s="455"/>
      <c r="AJ162" s="455"/>
      <c r="AK162" s="456"/>
      <c r="AL162" s="456"/>
      <c r="AM162" s="456"/>
      <c r="AN162" s="456"/>
      <c r="AO162" s="456"/>
      <c r="AP162" s="456"/>
      <c r="AQ162" s="456"/>
      <c r="AR162" s="456"/>
      <c r="AS162" s="456"/>
      <c r="AT162" s="456"/>
      <c r="AU162" s="456"/>
      <c r="AV162" s="456"/>
      <c r="AW162" s="456"/>
      <c r="AX162" s="456"/>
      <c r="AY162" s="456"/>
      <c r="AZ162" s="456"/>
      <c r="BA162" s="456"/>
      <c r="BB162" s="456"/>
      <c r="BC162" s="456"/>
      <c r="BD162" s="456"/>
      <c r="BE162" s="456"/>
      <c r="BF162" s="456"/>
      <c r="BG162" s="456">
        <v>0.0</v>
      </c>
      <c r="BH162" s="456">
        <v>0.0</v>
      </c>
      <c r="BI162" s="456">
        <v>0.0</v>
      </c>
      <c r="BJ162" s="456">
        <v>0.0</v>
      </c>
      <c r="BK162" s="456">
        <v>0.0</v>
      </c>
      <c r="BL162" s="456">
        <v>400010.0</v>
      </c>
      <c r="BM162" s="456">
        <v>403313.07</v>
      </c>
      <c r="BN162" s="456">
        <v>408662.99</v>
      </c>
      <c r="BO162" s="456">
        <v>617691.2</v>
      </c>
      <c r="BP162" s="456">
        <v>413573.8</v>
      </c>
      <c r="BQ162" s="456">
        <v>416994.89</v>
      </c>
      <c r="BR162" s="456">
        <v>421928.84</v>
      </c>
      <c r="BS162" s="90" t="s">
        <v>268</v>
      </c>
      <c r="BT162" s="90"/>
    </row>
    <row r="163" ht="15.75" customHeight="1">
      <c r="A163" s="444" t="s">
        <v>98</v>
      </c>
      <c r="B163" s="445" t="s">
        <v>752</v>
      </c>
      <c r="C163" s="468" t="s">
        <v>749</v>
      </c>
      <c r="D163" s="469">
        <v>2551563.0</v>
      </c>
      <c r="E163" s="447" t="s">
        <v>120</v>
      </c>
      <c r="F163" s="447" t="s">
        <v>199</v>
      </c>
      <c r="G163" s="447" t="s">
        <v>212</v>
      </c>
      <c r="H163" s="447">
        <f>IFERROR(VLOOKUP(G163,'Cadastro de assessores'!A:B,2,FALSE),"Não Cadastrado")</f>
        <v>12344</v>
      </c>
      <c r="I163" s="447"/>
      <c r="J163" s="49" t="s">
        <v>2318</v>
      </c>
      <c r="K163" s="447" t="s">
        <v>183</v>
      </c>
      <c r="L163" s="470">
        <v>44644.0</v>
      </c>
      <c r="M163" s="470">
        <v>44644.0</v>
      </c>
      <c r="N163" s="446"/>
      <c r="O163" s="446" t="s">
        <v>2356</v>
      </c>
      <c r="P163" s="452">
        <v>0.007</v>
      </c>
      <c r="Q163" s="461"/>
      <c r="R163" s="453"/>
      <c r="S163" s="449" t="str">
        <f t="shared" ref="S163:S169" si="15">IF(BC163&lt;=0,"",IF(BC163&lt;=1000000,"Não Qualificado",IF(AND(BC163&gt;1000000,BC163&lt;=10000000),"Qualificado","Profissional")))</f>
        <v>Não Qualificado</v>
      </c>
      <c r="T163" s="449" t="s">
        <v>194</v>
      </c>
      <c r="U163" s="449" t="s">
        <v>3383</v>
      </c>
      <c r="V163" s="449" t="s">
        <v>199</v>
      </c>
      <c r="W163" s="455"/>
      <c r="X163" s="455"/>
      <c r="Y163" s="455"/>
      <c r="Z163" s="455"/>
      <c r="AA163" s="455"/>
      <c r="AB163" s="455"/>
      <c r="AC163" s="455"/>
      <c r="AD163" s="455"/>
      <c r="AE163" s="455"/>
      <c r="AF163" s="455"/>
      <c r="AG163" s="455"/>
      <c r="AH163" s="455"/>
      <c r="AI163" s="455"/>
      <c r="AJ163" s="455"/>
      <c r="AK163" s="456"/>
      <c r="AL163" s="456"/>
      <c r="AM163" s="456"/>
      <c r="AN163" s="456"/>
      <c r="AO163" s="456"/>
      <c r="AP163" s="456"/>
      <c r="AQ163" s="456"/>
      <c r="AR163" s="456"/>
      <c r="AS163" s="456"/>
      <c r="AT163" s="456"/>
      <c r="AU163" s="456"/>
      <c r="AV163" s="456"/>
      <c r="AW163" s="456"/>
      <c r="AX163" s="456"/>
      <c r="AY163" s="456"/>
      <c r="AZ163" s="456"/>
      <c r="BA163" s="456"/>
      <c r="BB163" s="456">
        <v>1025821.69</v>
      </c>
      <c r="BC163" s="456">
        <v>315158.26</v>
      </c>
      <c r="BD163" s="456">
        <v>1035508.97</v>
      </c>
      <c r="BE163" s="456">
        <v>1005092.6</v>
      </c>
      <c r="BF163" s="456">
        <v>925576.55</v>
      </c>
      <c r="BG163" s="456">
        <v>938163.5708</v>
      </c>
      <c r="BH163" s="456">
        <v>942331.55</v>
      </c>
      <c r="BI163" s="456">
        <v>944029.3</v>
      </c>
      <c r="BJ163" s="456">
        <v>923835.09</v>
      </c>
      <c r="BK163" s="456">
        <v>856291.1</v>
      </c>
      <c r="BL163" s="456">
        <v>861952.62</v>
      </c>
      <c r="BM163" s="456">
        <v>850686.8</v>
      </c>
      <c r="BN163" s="456">
        <v>74520.51</v>
      </c>
      <c r="BO163" s="456">
        <v>73020.11</v>
      </c>
      <c r="BP163" s="456">
        <v>71810.62</v>
      </c>
      <c r="BQ163" s="456">
        <v>70175.82</v>
      </c>
      <c r="BR163" s="456">
        <v>0.0</v>
      </c>
      <c r="BS163" s="90">
        <v>50033.56</v>
      </c>
      <c r="BT163" s="90"/>
    </row>
    <row r="164" ht="15.75" customHeight="1">
      <c r="A164" s="444" t="s">
        <v>98</v>
      </c>
      <c r="B164" s="445" t="s">
        <v>4836</v>
      </c>
      <c r="C164" s="468" t="s">
        <v>4837</v>
      </c>
      <c r="D164" s="469">
        <v>2160689.0</v>
      </c>
      <c r="E164" s="448" t="s">
        <v>120</v>
      </c>
      <c r="F164" s="448" t="s">
        <v>54</v>
      </c>
      <c r="G164" s="447" t="s">
        <v>348</v>
      </c>
      <c r="H164" s="490">
        <f>IFERROR(VLOOKUP(G164,'Cadastro de assessores'!A:B,2,FALSE),"Não Cadastrado")</f>
        <v>12331</v>
      </c>
      <c r="I164" s="490"/>
      <c r="J164" s="74" t="s">
        <v>183</v>
      </c>
      <c r="K164" s="447" t="s">
        <v>183</v>
      </c>
      <c r="L164" s="470">
        <v>44645.0</v>
      </c>
      <c r="M164" s="470">
        <v>44645.0</v>
      </c>
      <c r="N164" s="446"/>
      <c r="O164" s="446" t="s">
        <v>2341</v>
      </c>
      <c r="P164" s="452">
        <v>0.015</v>
      </c>
      <c r="Q164" s="461" t="s">
        <v>4839</v>
      </c>
      <c r="R164" s="453"/>
      <c r="S164" s="449" t="str">
        <f t="shared" si="15"/>
        <v>Não Qualificado</v>
      </c>
      <c r="T164" s="449" t="s">
        <v>194</v>
      </c>
      <c r="U164" s="446" t="s">
        <v>4840</v>
      </c>
      <c r="V164" s="449" t="s">
        <v>1586</v>
      </c>
      <c r="W164" s="454"/>
      <c r="X164" s="454"/>
      <c r="Y164" s="454"/>
      <c r="Z164" s="454"/>
      <c r="AA164" s="454"/>
      <c r="AB164" s="454"/>
      <c r="AC164" s="454"/>
      <c r="AD164" s="454"/>
      <c r="AE164" s="454"/>
      <c r="AF164" s="454"/>
      <c r="AG164" s="455"/>
      <c r="AH164" s="455"/>
      <c r="AI164" s="455"/>
      <c r="AJ164" s="456"/>
      <c r="AK164" s="456"/>
      <c r="AL164" s="456"/>
      <c r="AM164" s="456"/>
      <c r="AN164" s="456"/>
      <c r="AO164" s="456"/>
      <c r="AP164" s="456"/>
      <c r="AQ164" s="456"/>
      <c r="AR164" s="456"/>
      <c r="AS164" s="456"/>
      <c r="AT164" s="456"/>
      <c r="AU164" s="456"/>
      <c r="AV164" s="456"/>
      <c r="AW164" s="456"/>
      <c r="AX164" s="456"/>
      <c r="AY164" s="456"/>
      <c r="AZ164" s="456"/>
      <c r="BA164" s="456"/>
      <c r="BB164" s="456"/>
      <c r="BC164" s="456">
        <v>101781.47</v>
      </c>
      <c r="BD164" s="456" t="s">
        <v>377</v>
      </c>
      <c r="BE164" s="456">
        <v>388000.81</v>
      </c>
      <c r="BF164" s="456">
        <v>299398.9</v>
      </c>
      <c r="BG164" s="456">
        <v>308586.9723</v>
      </c>
      <c r="BH164" s="456">
        <v>284174.11</v>
      </c>
      <c r="BI164" s="456">
        <v>291058.62</v>
      </c>
      <c r="BJ164" s="456">
        <v>261777.54</v>
      </c>
      <c r="BK164" s="456">
        <v>261625.65</v>
      </c>
      <c r="BL164" s="456">
        <v>213548.12</v>
      </c>
      <c r="BM164" s="456">
        <v>212277.24</v>
      </c>
      <c r="BN164" s="456">
        <v>214159.26</v>
      </c>
      <c r="BO164" s="456">
        <v>49455.58</v>
      </c>
      <c r="BP164" s="456">
        <v>50216.64</v>
      </c>
      <c r="BQ164" s="456">
        <v>50702.35</v>
      </c>
      <c r="BR164" s="456">
        <v>99369.12</v>
      </c>
      <c r="BS164" s="90">
        <v>51462.29</v>
      </c>
      <c r="BT164" s="90"/>
    </row>
    <row r="165" ht="15.75" customHeight="1">
      <c r="A165" s="444" t="s">
        <v>98</v>
      </c>
      <c r="B165" s="445" t="s">
        <v>4843</v>
      </c>
      <c r="C165" s="468" t="s">
        <v>4844</v>
      </c>
      <c r="D165" s="446">
        <v>6486558.0</v>
      </c>
      <c r="E165" s="447" t="s">
        <v>120</v>
      </c>
      <c r="F165" s="448" t="s">
        <v>199</v>
      </c>
      <c r="G165" s="490" t="s">
        <v>628</v>
      </c>
      <c r="H165" s="490" t="str">
        <f>IFERROR(VLOOKUP(G165,'Cadastro de assessores'!A:B,2,FALSE),"Não Cadastrado")</f>
        <v>14739</v>
      </c>
      <c r="I165" s="490"/>
      <c r="J165" s="74" t="s">
        <v>183</v>
      </c>
      <c r="K165" s="447" t="s">
        <v>183</v>
      </c>
      <c r="L165" s="450">
        <v>44439.0</v>
      </c>
      <c r="M165" s="450">
        <v>44447.0</v>
      </c>
      <c r="N165" s="446"/>
      <c r="O165" s="446" t="s">
        <v>2341</v>
      </c>
      <c r="P165" s="452">
        <v>0.015</v>
      </c>
      <c r="Q165" s="461"/>
      <c r="R165" s="453"/>
      <c r="S165" s="449" t="str">
        <f t="shared" si="15"/>
        <v>Não Qualificado</v>
      </c>
      <c r="T165" s="449" t="s">
        <v>194</v>
      </c>
      <c r="U165" s="446" t="s">
        <v>4847</v>
      </c>
      <c r="V165" s="449" t="s">
        <v>618</v>
      </c>
      <c r="W165" s="454"/>
      <c r="X165" s="454"/>
      <c r="Y165" s="454"/>
      <c r="Z165" s="454"/>
      <c r="AA165" s="454"/>
      <c r="AB165" s="454"/>
      <c r="AC165" s="454"/>
      <c r="AD165" s="454"/>
      <c r="AE165" s="454"/>
      <c r="AF165" s="454"/>
      <c r="AG165" s="454"/>
      <c r="AH165" s="455"/>
      <c r="AI165" s="455"/>
      <c r="AJ165" s="456"/>
      <c r="AK165" s="456"/>
      <c r="AL165" s="456"/>
      <c r="AM165" s="456"/>
      <c r="AN165" s="456"/>
      <c r="AO165" s="456"/>
      <c r="AP165" s="456"/>
      <c r="AQ165" s="456"/>
      <c r="AR165" s="456"/>
      <c r="AS165" s="538"/>
      <c r="AT165" s="481"/>
      <c r="AU165" s="481"/>
      <c r="AV165" s="456">
        <v>99505.28</v>
      </c>
      <c r="AW165" s="456">
        <v>96398.79</v>
      </c>
      <c r="AX165" s="456">
        <v>195166.67</v>
      </c>
      <c r="AY165" s="456">
        <v>197749.36</v>
      </c>
      <c r="AZ165" s="456">
        <v>203540.46</v>
      </c>
      <c r="BA165" s="456">
        <v>205255.89</v>
      </c>
      <c r="BB165" s="456">
        <v>211908.49</v>
      </c>
      <c r="BC165" s="456">
        <v>206914.14</v>
      </c>
      <c r="BD165" s="456">
        <v>209950.05</v>
      </c>
      <c r="BE165" s="456">
        <v>209157.16</v>
      </c>
      <c r="BF165" s="456">
        <v>212567.54</v>
      </c>
      <c r="BG165" s="456">
        <v>214088.6971</v>
      </c>
      <c r="BH165" s="456">
        <v>215408.33</v>
      </c>
      <c r="BI165" s="456">
        <v>223130.99</v>
      </c>
      <c r="BJ165" s="456">
        <v>221935.53</v>
      </c>
      <c r="BK165" s="456">
        <v>223307.13</v>
      </c>
      <c r="BL165" s="456">
        <v>225875.13</v>
      </c>
      <c r="BM165" s="456">
        <v>227500.63</v>
      </c>
      <c r="BN165" s="456">
        <v>229726.14</v>
      </c>
      <c r="BO165" s="456">
        <v>231802.52</v>
      </c>
      <c r="BP165" s="456">
        <v>189520.32</v>
      </c>
      <c r="BQ165" s="456">
        <v>190766.24</v>
      </c>
      <c r="BR165" s="456">
        <v>183687.23</v>
      </c>
      <c r="BS165" s="90">
        <v>150228.25</v>
      </c>
      <c r="BT165" s="90"/>
    </row>
    <row r="166" ht="15.75" customHeight="1">
      <c r="A166" s="444" t="s">
        <v>98</v>
      </c>
      <c r="B166" s="445" t="s">
        <v>638</v>
      </c>
      <c r="C166" s="637" t="s">
        <v>625</v>
      </c>
      <c r="D166" s="446">
        <v>7032839.0</v>
      </c>
      <c r="E166" s="447" t="s">
        <v>120</v>
      </c>
      <c r="F166" s="447" t="s">
        <v>199</v>
      </c>
      <c r="G166" s="446" t="s">
        <v>628</v>
      </c>
      <c r="H166" s="490" t="str">
        <f>IFERROR(VLOOKUP(G166,'Cadastro de assessores'!A:B,2,FALSE),"Não Cadastrado")</f>
        <v>14739</v>
      </c>
      <c r="I166" s="490"/>
      <c r="J166" s="49" t="s">
        <v>2318</v>
      </c>
      <c r="K166" s="447" t="s">
        <v>183</v>
      </c>
      <c r="L166" s="450">
        <v>44508.0</v>
      </c>
      <c r="M166" s="450">
        <v>44509.0</v>
      </c>
      <c r="N166" s="446"/>
      <c r="O166" s="446" t="s">
        <v>2356</v>
      </c>
      <c r="P166" s="638">
        <v>0.007</v>
      </c>
      <c r="Q166" s="461"/>
      <c r="R166" s="453"/>
      <c r="S166" s="449" t="str">
        <f t="shared" si="15"/>
        <v>Não Qualificado</v>
      </c>
      <c r="T166" s="449" t="s">
        <v>194</v>
      </c>
      <c r="U166" s="446" t="s">
        <v>4847</v>
      </c>
      <c r="V166" s="449" t="s">
        <v>618</v>
      </c>
      <c r="W166" s="454"/>
      <c r="X166" s="454"/>
      <c r="Y166" s="454"/>
      <c r="Z166" s="454"/>
      <c r="AA166" s="454"/>
      <c r="AB166" s="454"/>
      <c r="AC166" s="454"/>
      <c r="AD166" s="454"/>
      <c r="AE166" s="454"/>
      <c r="AF166" s="454"/>
      <c r="AG166" s="455"/>
      <c r="AH166" s="455"/>
      <c r="AI166" s="455"/>
      <c r="AJ166" s="456"/>
      <c r="AK166" s="456"/>
      <c r="AL166" s="456"/>
      <c r="AM166" s="456"/>
      <c r="AN166" s="456"/>
      <c r="AO166" s="456"/>
      <c r="AP166" s="456"/>
      <c r="AQ166" s="456"/>
      <c r="AR166" s="456"/>
      <c r="AS166" s="456"/>
      <c r="AT166" s="456"/>
      <c r="AU166" s="456"/>
      <c r="AV166" s="456"/>
      <c r="AW166" s="456"/>
      <c r="AX166" s="456"/>
      <c r="AY166" s="456">
        <v>611893.62</v>
      </c>
      <c r="AZ166" s="456">
        <v>617525.86</v>
      </c>
      <c r="BA166" s="456">
        <v>519312.62</v>
      </c>
      <c r="BB166" s="456">
        <v>524879.42</v>
      </c>
      <c r="BC166" s="456">
        <v>373083.73</v>
      </c>
      <c r="BD166" s="456">
        <v>536467.82</v>
      </c>
      <c r="BE166" s="456">
        <v>439118.67</v>
      </c>
      <c r="BF166" s="456">
        <v>442739.48</v>
      </c>
      <c r="BG166" s="456">
        <v>444898.1497</v>
      </c>
      <c r="BH166" s="456">
        <v>447341.31</v>
      </c>
      <c r="BI166" s="456">
        <v>450246.34</v>
      </c>
      <c r="BJ166" s="456">
        <v>454096.81</v>
      </c>
      <c r="BK166" s="456">
        <v>457880.89</v>
      </c>
      <c r="BL166" s="456">
        <v>462789.82</v>
      </c>
      <c r="BM166" s="456">
        <v>465428.03</v>
      </c>
      <c r="BN166" s="456">
        <v>149248.23</v>
      </c>
      <c r="BO166" s="456">
        <v>8524.39</v>
      </c>
      <c r="BP166" s="456">
        <v>8604.19</v>
      </c>
      <c r="BQ166" s="456">
        <v>0.0</v>
      </c>
      <c r="BR166" s="456">
        <v>0.0</v>
      </c>
      <c r="BS166" s="90">
        <v>0.0</v>
      </c>
      <c r="BT166" s="90"/>
    </row>
    <row r="167" ht="15.75" customHeight="1">
      <c r="A167" s="444" t="s">
        <v>98</v>
      </c>
      <c r="B167" s="445" t="s">
        <v>638</v>
      </c>
      <c r="C167" s="637" t="s">
        <v>625</v>
      </c>
      <c r="D167" s="446">
        <v>7046433.0</v>
      </c>
      <c r="E167" s="447" t="s">
        <v>120</v>
      </c>
      <c r="F167" s="447" t="s">
        <v>199</v>
      </c>
      <c r="G167" s="446" t="s">
        <v>628</v>
      </c>
      <c r="H167" s="490" t="str">
        <f>IFERROR(VLOOKUP(G167,'Cadastro de assessores'!A:B,2,FALSE),"Não Cadastrado")</f>
        <v>14739</v>
      </c>
      <c r="I167" s="490"/>
      <c r="J167" s="49" t="s">
        <v>2318</v>
      </c>
      <c r="K167" s="447" t="s">
        <v>183</v>
      </c>
      <c r="L167" s="450">
        <v>44508.0</v>
      </c>
      <c r="M167" s="450">
        <v>44508.0</v>
      </c>
      <c r="N167" s="446"/>
      <c r="O167" s="446" t="s">
        <v>2372</v>
      </c>
      <c r="P167" s="452">
        <v>0.025</v>
      </c>
      <c r="Q167" s="461"/>
      <c r="R167" s="453"/>
      <c r="S167" s="449" t="str">
        <f t="shared" si="15"/>
        <v>Não Qualificado</v>
      </c>
      <c r="T167" s="449" t="s">
        <v>194</v>
      </c>
      <c r="U167" s="446" t="s">
        <v>4847</v>
      </c>
      <c r="V167" s="449" t="s">
        <v>618</v>
      </c>
      <c r="W167" s="454"/>
      <c r="X167" s="454"/>
      <c r="Y167" s="454"/>
      <c r="Z167" s="454"/>
      <c r="AA167" s="454"/>
      <c r="AB167" s="454"/>
      <c r="AC167" s="454"/>
      <c r="AD167" s="454"/>
      <c r="AE167" s="454"/>
      <c r="AF167" s="454"/>
      <c r="AG167" s="455"/>
      <c r="AH167" s="455"/>
      <c r="AI167" s="455"/>
      <c r="AJ167" s="456"/>
      <c r="AK167" s="456"/>
      <c r="AL167" s="456"/>
      <c r="AM167" s="456"/>
      <c r="AN167" s="456"/>
      <c r="AO167" s="456"/>
      <c r="AP167" s="456"/>
      <c r="AQ167" s="456"/>
      <c r="AR167" s="456"/>
      <c r="AS167" s="456"/>
      <c r="AT167" s="456"/>
      <c r="AU167" s="456"/>
      <c r="AV167" s="456"/>
      <c r="AW167" s="454"/>
      <c r="AX167" s="481"/>
      <c r="AY167" s="481">
        <v>390535.92</v>
      </c>
      <c r="AZ167" s="456">
        <v>518929.42</v>
      </c>
      <c r="BA167" s="456">
        <v>1223670.38</v>
      </c>
      <c r="BB167" s="456">
        <v>1312265.97</v>
      </c>
      <c r="BC167" s="456">
        <v>239191.26</v>
      </c>
      <c r="BD167" s="456">
        <v>1227094.3</v>
      </c>
      <c r="BE167" s="456">
        <v>1170101.61</v>
      </c>
      <c r="BF167" s="456">
        <v>1232059.39</v>
      </c>
      <c r="BG167" s="456">
        <v>1250917.689</v>
      </c>
      <c r="BH167" s="456">
        <v>1235818.27</v>
      </c>
      <c r="BI167" s="456">
        <v>1358626.34</v>
      </c>
      <c r="BJ167" s="456">
        <v>1319066.67</v>
      </c>
      <c r="BK167" s="456">
        <v>1518444.81</v>
      </c>
      <c r="BL167" s="456">
        <v>1542746.62</v>
      </c>
      <c r="BM167" s="456">
        <v>1354390.49</v>
      </c>
      <c r="BN167" s="456">
        <v>125093.58</v>
      </c>
      <c r="BO167" s="456">
        <v>10628.71</v>
      </c>
      <c r="BP167" s="456">
        <v>63.81</v>
      </c>
      <c r="BQ167" s="456">
        <v>177.21</v>
      </c>
      <c r="BR167" s="456">
        <v>181.92</v>
      </c>
      <c r="BS167" s="90">
        <v>0.0</v>
      </c>
      <c r="BT167" s="90"/>
    </row>
    <row r="168" ht="15.75" customHeight="1">
      <c r="A168" s="444" t="s">
        <v>98</v>
      </c>
      <c r="B168" s="445" t="s">
        <v>4860</v>
      </c>
      <c r="C168" s="458" t="s">
        <v>4861</v>
      </c>
      <c r="D168" s="449">
        <v>4947409.0</v>
      </c>
      <c r="E168" s="447" t="s">
        <v>120</v>
      </c>
      <c r="F168" s="448" t="s">
        <v>199</v>
      </c>
      <c r="G168" s="447" t="s">
        <v>4747</v>
      </c>
      <c r="H168" s="448" t="str">
        <f>IFERROR(VLOOKUP(G168,'Cadastro de assessores'!A:B,2,FALSE),"Não Cadastrado")</f>
        <v>13896</v>
      </c>
      <c r="I168" s="448"/>
      <c r="J168" s="49" t="s">
        <v>2318</v>
      </c>
      <c r="K168" s="447" t="s">
        <v>183</v>
      </c>
      <c r="L168" s="450">
        <v>44272.0</v>
      </c>
      <c r="M168" s="450">
        <v>44260.0</v>
      </c>
      <c r="N168" s="449"/>
      <c r="O168" s="449" t="s">
        <v>2372</v>
      </c>
      <c r="P168" s="452">
        <v>0.025</v>
      </c>
      <c r="Q168" s="461"/>
      <c r="R168" s="453"/>
      <c r="S168" s="449" t="str">
        <f t="shared" si="15"/>
        <v/>
      </c>
      <c r="T168" s="449" t="s">
        <v>194</v>
      </c>
      <c r="U168" s="449" t="s">
        <v>2475</v>
      </c>
      <c r="V168" s="449" t="s">
        <v>618</v>
      </c>
      <c r="W168" s="455"/>
      <c r="X168" s="455"/>
      <c r="Y168" s="455"/>
      <c r="Z168" s="455"/>
      <c r="AA168" s="455"/>
      <c r="AB168" s="455"/>
      <c r="AC168" s="455"/>
      <c r="AD168" s="455"/>
      <c r="AE168" s="455"/>
      <c r="AF168" s="455"/>
      <c r="AG168" s="455"/>
      <c r="AH168" s="455"/>
      <c r="AI168" s="455"/>
      <c r="AJ168" s="455"/>
      <c r="AK168" s="456"/>
      <c r="AL168" s="456"/>
      <c r="AM168" s="456"/>
      <c r="AN168" s="456"/>
      <c r="AO168" s="456">
        <v>311050.89</v>
      </c>
      <c r="AP168" s="456">
        <v>315606.0</v>
      </c>
      <c r="AQ168" s="456">
        <v>312118.33</v>
      </c>
      <c r="AR168" s="456">
        <v>330338.52</v>
      </c>
      <c r="AS168" s="456">
        <v>469284.0</v>
      </c>
      <c r="AT168" s="456">
        <v>444033.24</v>
      </c>
      <c r="AU168" s="456">
        <v>433836.87</v>
      </c>
      <c r="AV168" s="456">
        <v>387272.68</v>
      </c>
      <c r="AW168" s="456">
        <v>356283.8</v>
      </c>
      <c r="AX168" s="456">
        <v>351842.76</v>
      </c>
      <c r="AY168" s="456">
        <v>360003.55</v>
      </c>
      <c r="AZ168" s="456">
        <v>384400.77</v>
      </c>
      <c r="BA168" s="456">
        <v>389879.42</v>
      </c>
      <c r="BB168" s="456">
        <v>414499.73</v>
      </c>
      <c r="BC168" s="456">
        <v>0.0</v>
      </c>
      <c r="BD168" s="456">
        <v>390803.55</v>
      </c>
      <c r="BE168" s="456">
        <v>371466.68</v>
      </c>
      <c r="BF168" s="456">
        <v>391772.32</v>
      </c>
      <c r="BG168" s="456">
        <v>396111.5919</v>
      </c>
      <c r="BH168" s="456">
        <v>385652.55</v>
      </c>
      <c r="BI168" s="456">
        <v>413943.13</v>
      </c>
      <c r="BJ168" s="456">
        <v>398777.51</v>
      </c>
      <c r="BK168" s="456">
        <v>397074.82</v>
      </c>
      <c r="BL168" s="456">
        <v>393848.03</v>
      </c>
      <c r="BM168" s="456">
        <v>376246.6</v>
      </c>
      <c r="BN168" s="456">
        <v>0.0</v>
      </c>
      <c r="BO168" s="456">
        <v>0.0</v>
      </c>
      <c r="BP168" s="456">
        <v>0.0</v>
      </c>
      <c r="BQ168" s="456">
        <v>0.0</v>
      </c>
      <c r="BR168" s="456">
        <v>0.0</v>
      </c>
      <c r="BS168" s="90" t="s">
        <v>268</v>
      </c>
      <c r="BT168" s="90"/>
    </row>
    <row r="169" ht="15.75" customHeight="1">
      <c r="A169" s="444" t="s">
        <v>98</v>
      </c>
      <c r="B169" s="445" t="s">
        <v>4867</v>
      </c>
      <c r="C169" s="458" t="s">
        <v>4868</v>
      </c>
      <c r="D169" s="449">
        <v>4622255.0</v>
      </c>
      <c r="E169" s="447" t="s">
        <v>255</v>
      </c>
      <c r="F169" s="447" t="s">
        <v>199</v>
      </c>
      <c r="G169" s="447" t="s">
        <v>3979</v>
      </c>
      <c r="H169" s="447" t="str">
        <f>IFERROR(VLOOKUP(G169,'Cadastro de assessores'!A:B,2,FALSE),"Não Cadastrado")</f>
        <v>19157</v>
      </c>
      <c r="I169" s="447"/>
      <c r="J169" s="49" t="s">
        <v>2318</v>
      </c>
      <c r="K169" s="449" t="s">
        <v>295</v>
      </c>
      <c r="L169" s="449" t="s">
        <v>3320</v>
      </c>
      <c r="M169" s="548" t="s">
        <v>584</v>
      </c>
      <c r="N169" s="449"/>
      <c r="O169" s="449" t="s">
        <v>2341</v>
      </c>
      <c r="P169" s="452">
        <v>0.015</v>
      </c>
      <c r="Q169" s="461"/>
      <c r="R169" s="453"/>
      <c r="S169" s="449" t="str">
        <f t="shared" si="15"/>
        <v>Não Qualificado</v>
      </c>
      <c r="T169" s="449" t="s">
        <v>194</v>
      </c>
      <c r="U169" s="449" t="s">
        <v>2401</v>
      </c>
      <c r="V169" s="449" t="s">
        <v>199</v>
      </c>
      <c r="W169" s="455" t="s">
        <v>2344</v>
      </c>
      <c r="X169" s="455" t="s">
        <v>2344</v>
      </c>
      <c r="Y169" s="455" t="s">
        <v>2344</v>
      </c>
      <c r="Z169" s="455" t="s">
        <v>2344</v>
      </c>
      <c r="AA169" s="455" t="s">
        <v>2344</v>
      </c>
      <c r="AB169" s="455" t="s">
        <v>2344</v>
      </c>
      <c r="AC169" s="455" t="s">
        <v>2344</v>
      </c>
      <c r="AD169" s="455" t="s">
        <v>2344</v>
      </c>
      <c r="AE169" s="455" t="s">
        <v>2344</v>
      </c>
      <c r="AF169" s="455" t="s">
        <v>2344</v>
      </c>
      <c r="AG169" s="455" t="s">
        <v>2344</v>
      </c>
      <c r="AH169" s="455" t="s">
        <v>2344</v>
      </c>
      <c r="AI169" s="455" t="s">
        <v>2344</v>
      </c>
      <c r="AJ169" s="455" t="s">
        <v>2344</v>
      </c>
      <c r="AK169" s="456" t="s">
        <v>3320</v>
      </c>
      <c r="AL169" s="456"/>
      <c r="AM169" s="456" t="s">
        <v>3320</v>
      </c>
      <c r="AN169" s="456" t="s">
        <v>3320</v>
      </c>
      <c r="AO169" s="456"/>
      <c r="AP169" s="456"/>
      <c r="AQ169" s="456"/>
      <c r="AR169" s="456"/>
      <c r="AS169" s="456"/>
      <c r="AT169" s="456"/>
      <c r="AU169" s="456"/>
      <c r="AV169" s="456"/>
      <c r="AW169" s="456"/>
      <c r="AX169" s="456"/>
      <c r="AY169" s="456"/>
      <c r="AZ169" s="456"/>
      <c r="BA169" s="456">
        <v>0.0</v>
      </c>
      <c r="BB169" s="456">
        <v>0.0</v>
      </c>
      <c r="BC169" s="456">
        <v>210730.39</v>
      </c>
      <c r="BD169" s="456" t="s">
        <v>377</v>
      </c>
      <c r="BE169" s="456" t="s">
        <v>377</v>
      </c>
      <c r="BF169" s="456">
        <v>0.0</v>
      </c>
      <c r="BG169" s="456">
        <v>0.0</v>
      </c>
      <c r="BH169" s="456">
        <v>0.0</v>
      </c>
      <c r="BI169" s="456">
        <v>0.0</v>
      </c>
      <c r="BJ169" s="456">
        <v>0.0</v>
      </c>
      <c r="BK169" s="456">
        <v>0.0</v>
      </c>
      <c r="BL169" s="456">
        <v>0.0</v>
      </c>
      <c r="BM169" s="456">
        <v>0.0</v>
      </c>
      <c r="BN169" s="456">
        <v>0.0</v>
      </c>
      <c r="BO169" s="456">
        <v>0.0</v>
      </c>
      <c r="BP169" s="456">
        <v>0.0</v>
      </c>
      <c r="BQ169" s="456">
        <v>0.0</v>
      </c>
      <c r="BR169" s="456">
        <v>0.0</v>
      </c>
      <c r="BS169" s="90">
        <v>0.0</v>
      </c>
      <c r="BT169" s="90"/>
    </row>
    <row r="170" ht="15.75" customHeight="1">
      <c r="A170" s="444" t="s">
        <v>98</v>
      </c>
      <c r="B170" s="445" t="s">
        <v>4871</v>
      </c>
      <c r="C170" s="468" t="s">
        <v>4872</v>
      </c>
      <c r="D170" s="446">
        <v>394871.0</v>
      </c>
      <c r="E170" s="447" t="s">
        <v>120</v>
      </c>
      <c r="F170" s="448" t="s">
        <v>199</v>
      </c>
      <c r="G170" s="447" t="s">
        <v>212</v>
      </c>
      <c r="H170" s="447">
        <v>12344.0</v>
      </c>
      <c r="I170" s="447"/>
      <c r="J170" s="49" t="s">
        <v>2318</v>
      </c>
      <c r="K170" s="447" t="s">
        <v>183</v>
      </c>
      <c r="L170" s="450">
        <v>44757.0</v>
      </c>
      <c r="M170" s="450">
        <v>44757.0</v>
      </c>
      <c r="N170" s="449"/>
      <c r="O170" s="449" t="s">
        <v>2365</v>
      </c>
      <c r="P170" s="452">
        <v>0.012</v>
      </c>
      <c r="Q170" s="461" t="s">
        <v>4874</v>
      </c>
      <c r="R170" s="453"/>
      <c r="S170" s="449"/>
      <c r="T170" s="449" t="s">
        <v>194</v>
      </c>
      <c r="U170" s="449" t="s">
        <v>2383</v>
      </c>
      <c r="V170" s="449" t="s">
        <v>199</v>
      </c>
      <c r="W170" s="455"/>
      <c r="X170" s="455"/>
      <c r="Y170" s="455"/>
      <c r="Z170" s="455"/>
      <c r="AA170" s="455"/>
      <c r="AB170" s="455"/>
      <c r="AC170" s="455"/>
      <c r="AD170" s="455"/>
      <c r="AE170" s="455"/>
      <c r="AF170" s="455"/>
      <c r="AG170" s="455"/>
      <c r="AH170" s="455"/>
      <c r="AI170" s="455"/>
      <c r="AJ170" s="455"/>
      <c r="AK170" s="456"/>
      <c r="AL170" s="456"/>
      <c r="AM170" s="456"/>
      <c r="AN170" s="456"/>
      <c r="AO170" s="456"/>
      <c r="AP170" s="456"/>
      <c r="AQ170" s="456"/>
      <c r="AR170" s="456"/>
      <c r="AS170" s="456"/>
      <c r="AT170" s="456"/>
      <c r="AU170" s="456"/>
      <c r="AV170" s="456"/>
      <c r="AW170" s="456"/>
      <c r="AX170" s="456"/>
      <c r="AY170" s="456"/>
      <c r="AZ170" s="456"/>
      <c r="BA170" s="456"/>
      <c r="BB170" s="456"/>
      <c r="BC170" s="456"/>
      <c r="BD170" s="456"/>
      <c r="BE170" s="456">
        <v>568434.37</v>
      </c>
      <c r="BF170" s="456">
        <v>572533.19</v>
      </c>
      <c r="BG170" s="456">
        <v>574280.2279</v>
      </c>
      <c r="BH170" s="456">
        <v>572911.07</v>
      </c>
      <c r="BI170" s="456">
        <v>587626.95</v>
      </c>
      <c r="BJ170" s="456">
        <v>591695.62</v>
      </c>
      <c r="BK170" s="456">
        <v>596967.11</v>
      </c>
      <c r="BL170" s="456">
        <v>604418.21</v>
      </c>
      <c r="BM170" s="456">
        <v>607782.8</v>
      </c>
      <c r="BN170" s="456">
        <v>546041.85</v>
      </c>
      <c r="BO170" s="456">
        <v>517142.36</v>
      </c>
      <c r="BP170" s="456">
        <v>516945.85</v>
      </c>
      <c r="BQ170" s="456">
        <v>0.0</v>
      </c>
      <c r="BR170" s="456">
        <v>0.0</v>
      </c>
      <c r="BS170" s="90">
        <v>0.0</v>
      </c>
      <c r="BT170" s="90"/>
    </row>
    <row r="171" ht="15.75" customHeight="1">
      <c r="A171" s="444" t="s">
        <v>98</v>
      </c>
      <c r="B171" s="445" t="s">
        <v>4883</v>
      </c>
      <c r="C171" s="458" t="s">
        <v>4884</v>
      </c>
      <c r="D171" s="449">
        <v>4862815.0</v>
      </c>
      <c r="E171" s="449" t="s">
        <v>120</v>
      </c>
      <c r="F171" s="507" t="s">
        <v>54</v>
      </c>
      <c r="G171" s="449" t="s">
        <v>379</v>
      </c>
      <c r="H171" s="449" t="str">
        <f>IFERROR(VLOOKUP(G171,'Cadastro de assessores'!A:B,2,FALSE),"Não Cadastrado")</f>
        <v>18009</v>
      </c>
      <c r="I171" s="449"/>
      <c r="J171" s="49" t="s">
        <v>224</v>
      </c>
      <c r="K171" s="449" t="s">
        <v>2340</v>
      </c>
      <c r="L171" s="460">
        <v>44251.0</v>
      </c>
      <c r="M171" s="460">
        <v>44251.0</v>
      </c>
      <c r="N171" s="460">
        <v>44777.0</v>
      </c>
      <c r="O171" s="449" t="s">
        <v>2372</v>
      </c>
      <c r="P171" s="452">
        <v>0.025</v>
      </c>
      <c r="Q171" s="461" t="s">
        <v>4885</v>
      </c>
      <c r="R171" s="453"/>
      <c r="S171" s="449" t="str">
        <f t="shared" ref="S171:S173" si="16">IF(BC171&lt;=0,"",IF(BC171&lt;=1000000,"Não Qualificado",IF(AND(BC171&gt;1000000,BC171&lt;=10000000),"Qualificado","Profissional")))</f>
        <v/>
      </c>
      <c r="T171" s="449" t="s">
        <v>194</v>
      </c>
      <c r="U171" s="449" t="s">
        <v>2475</v>
      </c>
      <c r="V171" s="449" t="s">
        <v>618</v>
      </c>
      <c r="W171" s="455"/>
      <c r="X171" s="455"/>
      <c r="Y171" s="455"/>
      <c r="Z171" s="455"/>
      <c r="AA171" s="455"/>
      <c r="AB171" s="455"/>
      <c r="AC171" s="455"/>
      <c r="AD171" s="455"/>
      <c r="AE171" s="455"/>
      <c r="AF171" s="455"/>
      <c r="AG171" s="455"/>
      <c r="AH171" s="455"/>
      <c r="AI171" s="455"/>
      <c r="AJ171" s="455"/>
      <c r="AK171" s="456"/>
      <c r="AL171" s="456"/>
      <c r="AM171" s="456">
        <v>172047.98</v>
      </c>
      <c r="AN171" s="456">
        <v>172657.88</v>
      </c>
      <c r="AO171" s="456">
        <v>186013.14</v>
      </c>
      <c r="AP171" s="456">
        <v>189139.66</v>
      </c>
      <c r="AQ171" s="456">
        <v>186997.12</v>
      </c>
      <c r="AR171" s="456">
        <v>197852.63</v>
      </c>
      <c r="AS171" s="456">
        <v>193478.02</v>
      </c>
      <c r="AT171" s="456">
        <v>183243.57</v>
      </c>
      <c r="AU171" s="456">
        <v>240334.19</v>
      </c>
      <c r="AV171" s="456">
        <v>225907.57</v>
      </c>
      <c r="AW171" s="456">
        <v>208441.57</v>
      </c>
      <c r="AX171" s="456">
        <v>206884.26</v>
      </c>
      <c r="AY171" s="456">
        <v>213117.73</v>
      </c>
      <c r="AZ171" s="456">
        <v>226009.54</v>
      </c>
      <c r="BA171" s="456">
        <v>228071.75</v>
      </c>
      <c r="BB171" s="456">
        <v>244031.88</v>
      </c>
      <c r="BC171" s="456">
        <v>0.0</v>
      </c>
      <c r="BD171" s="456">
        <v>158667.01</v>
      </c>
      <c r="BE171" s="456">
        <v>149193.85</v>
      </c>
      <c r="BF171" s="456">
        <v>3672.46</v>
      </c>
      <c r="BG171" s="456">
        <v>0.0</v>
      </c>
      <c r="BH171" s="456">
        <v>0.0</v>
      </c>
      <c r="BI171" s="456">
        <v>0.0</v>
      </c>
      <c r="BJ171" s="456">
        <v>0.0</v>
      </c>
      <c r="BK171" s="456">
        <v>0.0</v>
      </c>
      <c r="BL171" s="456">
        <v>0.0</v>
      </c>
      <c r="BM171" s="456">
        <v>0.0</v>
      </c>
      <c r="BN171" s="456">
        <v>0.0</v>
      </c>
      <c r="BO171" s="456">
        <v>0.0</v>
      </c>
      <c r="BP171" s="456">
        <v>0.0</v>
      </c>
      <c r="BQ171" s="456">
        <v>0.0</v>
      </c>
      <c r="BR171" s="456">
        <v>0.0</v>
      </c>
      <c r="BS171" s="90" t="s">
        <v>268</v>
      </c>
      <c r="BT171" s="90"/>
    </row>
    <row r="172" ht="15.75" customHeight="1">
      <c r="A172" s="444" t="s">
        <v>98</v>
      </c>
      <c r="B172" s="445" t="s">
        <v>4894</v>
      </c>
      <c r="C172" s="468" t="s">
        <v>4896</v>
      </c>
      <c r="D172" s="446">
        <v>5171052.0</v>
      </c>
      <c r="E172" s="447" t="s">
        <v>120</v>
      </c>
      <c r="F172" s="448" t="s">
        <v>54</v>
      </c>
      <c r="G172" s="447" t="s">
        <v>379</v>
      </c>
      <c r="H172" s="448" t="str">
        <f>IFERROR(VLOOKUP(G172,'Cadastro de assessores'!A:B,2,FALSE),"Não Cadastrado")</f>
        <v>18009</v>
      </c>
      <c r="I172" s="448"/>
      <c r="J172" s="74" t="s">
        <v>183</v>
      </c>
      <c r="K172" s="447" t="s">
        <v>183</v>
      </c>
      <c r="L172" s="450">
        <v>44299.0</v>
      </c>
      <c r="M172" s="450">
        <v>44314.0</v>
      </c>
      <c r="N172" s="449"/>
      <c r="O172" s="449" t="s">
        <v>2372</v>
      </c>
      <c r="P172" s="452">
        <v>0.025</v>
      </c>
      <c r="Q172" s="461"/>
      <c r="R172" s="453"/>
      <c r="S172" s="449" t="str">
        <f t="shared" si="16"/>
        <v>Não Qualificado</v>
      </c>
      <c r="T172" s="449" t="s">
        <v>194</v>
      </c>
      <c r="U172" s="449" t="s">
        <v>4901</v>
      </c>
      <c r="V172" s="449" t="s">
        <v>618</v>
      </c>
      <c r="W172" s="455"/>
      <c r="X172" s="455"/>
      <c r="Y172" s="455"/>
      <c r="Z172" s="455"/>
      <c r="AA172" s="455"/>
      <c r="AB172" s="455"/>
      <c r="AC172" s="455"/>
      <c r="AD172" s="455"/>
      <c r="AE172" s="455"/>
      <c r="AF172" s="455"/>
      <c r="AG172" s="455"/>
      <c r="AH172" s="455"/>
      <c r="AI172" s="455"/>
      <c r="AJ172" s="455"/>
      <c r="AK172" s="456"/>
      <c r="AL172" s="456"/>
      <c r="AM172" s="456"/>
      <c r="AN172" s="456"/>
      <c r="AO172" s="456"/>
      <c r="AP172" s="456"/>
      <c r="AQ172" s="456">
        <v>98718.49</v>
      </c>
      <c r="AR172" s="456">
        <v>104549.66</v>
      </c>
      <c r="AS172" s="456">
        <v>102079.95</v>
      </c>
      <c r="AT172" s="456">
        <v>96552.47</v>
      </c>
      <c r="AU172" s="456">
        <v>94492.59</v>
      </c>
      <c r="AV172" s="456">
        <v>89006.99</v>
      </c>
      <c r="AW172" s="456">
        <v>82143.29</v>
      </c>
      <c r="AX172" s="456">
        <v>81336.07</v>
      </c>
      <c r="AY172" s="456">
        <v>82885.49</v>
      </c>
      <c r="AZ172" s="456">
        <v>88056.48</v>
      </c>
      <c r="BA172" s="456">
        <v>89270.81</v>
      </c>
      <c r="BB172" s="456">
        <v>95220.64</v>
      </c>
      <c r="BC172" s="456">
        <v>212879.2</v>
      </c>
      <c r="BD172" s="456">
        <v>88765.51</v>
      </c>
      <c r="BE172" s="456">
        <v>85282.99</v>
      </c>
      <c r="BF172" s="456">
        <v>90031.64</v>
      </c>
      <c r="BG172" s="456">
        <v>91393.48</v>
      </c>
      <c r="BH172" s="456">
        <v>90472.59</v>
      </c>
      <c r="BI172" s="456">
        <v>98685.88</v>
      </c>
      <c r="BJ172" s="456">
        <v>95542.3</v>
      </c>
      <c r="BK172" s="456">
        <v>94874.83</v>
      </c>
      <c r="BL172" s="456">
        <v>96555.43</v>
      </c>
      <c r="BM172" s="456">
        <v>92876.04</v>
      </c>
      <c r="BN172" s="456">
        <v>91957.51</v>
      </c>
      <c r="BO172" s="456">
        <v>91178.79</v>
      </c>
      <c r="BP172" s="456">
        <v>93130.62</v>
      </c>
      <c r="BQ172" s="456">
        <v>98386.68</v>
      </c>
      <c r="BR172" s="456">
        <v>101358.91</v>
      </c>
      <c r="BS172" s="90">
        <v>56554.59</v>
      </c>
      <c r="BT172" s="90"/>
    </row>
    <row r="173" ht="15.75" customHeight="1">
      <c r="A173" s="444" t="s">
        <v>98</v>
      </c>
      <c r="B173" s="445" t="s">
        <v>4905</v>
      </c>
      <c r="C173" s="458" t="s">
        <v>4907</v>
      </c>
      <c r="D173" s="449">
        <v>2218857.0</v>
      </c>
      <c r="E173" s="449" t="s">
        <v>255</v>
      </c>
      <c r="F173" s="449" t="s">
        <v>199</v>
      </c>
      <c r="G173" s="449" t="s">
        <v>548</v>
      </c>
      <c r="H173" s="449" t="str">
        <f>IFERROR(VLOOKUP(G173,'Cadastro de assessores'!A:B,2,FALSE),"Não Cadastrado")</f>
        <v>14574</v>
      </c>
      <c r="I173" s="449"/>
      <c r="J173" s="49" t="s">
        <v>224</v>
      </c>
      <c r="K173" s="449" t="s">
        <v>2340</v>
      </c>
      <c r="L173" s="459">
        <v>44126.0</v>
      </c>
      <c r="M173" s="459">
        <v>44126.0</v>
      </c>
      <c r="N173" s="460">
        <v>44281.0</v>
      </c>
      <c r="O173" s="449" t="s">
        <v>2341</v>
      </c>
      <c r="P173" s="452">
        <v>0.015</v>
      </c>
      <c r="Q173" s="461" t="s">
        <v>4911</v>
      </c>
      <c r="R173" s="453"/>
      <c r="S173" s="449" t="str">
        <f t="shared" si="16"/>
        <v>Qualificado</v>
      </c>
      <c r="T173" s="449" t="s">
        <v>194</v>
      </c>
      <c r="U173" s="449" t="s">
        <v>3350</v>
      </c>
      <c r="V173" s="449" t="s">
        <v>199</v>
      </c>
      <c r="W173" s="455" t="s">
        <v>2344</v>
      </c>
      <c r="X173" s="455" t="s">
        <v>2344</v>
      </c>
      <c r="Y173" s="455" t="s">
        <v>2344</v>
      </c>
      <c r="Z173" s="455" t="s">
        <v>2344</v>
      </c>
      <c r="AA173" s="455" t="s">
        <v>2344</v>
      </c>
      <c r="AB173" s="455" t="s">
        <v>2344</v>
      </c>
      <c r="AC173" s="455" t="s">
        <v>2344</v>
      </c>
      <c r="AD173" s="455" t="s">
        <v>2344</v>
      </c>
      <c r="AE173" s="455" t="s">
        <v>2344</v>
      </c>
      <c r="AF173" s="455" t="s">
        <v>2344</v>
      </c>
      <c r="AG173" s="455" t="s">
        <v>2344</v>
      </c>
      <c r="AH173" s="455" t="s">
        <v>2344</v>
      </c>
      <c r="AI173" s="455" t="s">
        <v>4912</v>
      </c>
      <c r="AJ173" s="455" t="s">
        <v>4913</v>
      </c>
      <c r="AK173" s="456">
        <v>127463.51</v>
      </c>
      <c r="AL173" s="456">
        <v>145987.89</v>
      </c>
      <c r="AM173" s="456">
        <v>152606.06</v>
      </c>
      <c r="AN173" s="456">
        <v>159235.94</v>
      </c>
      <c r="AO173" s="456">
        <v>165066.02</v>
      </c>
      <c r="AP173" s="456"/>
      <c r="AQ173" s="456"/>
      <c r="AR173" s="456"/>
      <c r="AS173" s="456"/>
      <c r="AT173" s="456"/>
      <c r="AU173" s="456"/>
      <c r="AV173" s="456"/>
      <c r="AW173" s="456"/>
      <c r="AX173" s="456"/>
      <c r="AY173" s="456"/>
      <c r="AZ173" s="456"/>
      <c r="BA173" s="456">
        <v>0.0</v>
      </c>
      <c r="BB173" s="456">
        <v>0.0</v>
      </c>
      <c r="BC173" s="456">
        <v>1024594.84</v>
      </c>
      <c r="BD173" s="456" t="s">
        <v>377</v>
      </c>
      <c r="BE173" s="456" t="s">
        <v>377</v>
      </c>
      <c r="BF173" s="456">
        <v>0.0</v>
      </c>
      <c r="BG173" s="456">
        <v>0.0</v>
      </c>
      <c r="BH173" s="456">
        <v>0.0</v>
      </c>
      <c r="BI173" s="456">
        <v>0.0</v>
      </c>
      <c r="BJ173" s="456">
        <v>0.0</v>
      </c>
      <c r="BK173" s="456">
        <v>0.0</v>
      </c>
      <c r="BL173" s="456">
        <v>0.0</v>
      </c>
      <c r="BM173" s="456">
        <v>0.0</v>
      </c>
      <c r="BN173" s="456">
        <v>0.0</v>
      </c>
      <c r="BO173" s="456">
        <v>0.0</v>
      </c>
      <c r="BP173" s="456">
        <v>0.0</v>
      </c>
      <c r="BQ173" s="456">
        <v>0.0</v>
      </c>
      <c r="BR173" s="456">
        <v>0.0</v>
      </c>
      <c r="BS173" s="90" t="s">
        <v>268</v>
      </c>
      <c r="BT173" s="90"/>
    </row>
    <row r="174" ht="15.75" customHeight="1">
      <c r="A174" s="444" t="s">
        <v>98</v>
      </c>
      <c r="B174" s="445" t="s">
        <v>4917</v>
      </c>
      <c r="C174" s="468" t="s">
        <v>4918</v>
      </c>
      <c r="D174" s="446">
        <v>2257037.0</v>
      </c>
      <c r="E174" s="447" t="s">
        <v>255</v>
      </c>
      <c r="F174" s="448" t="s">
        <v>199</v>
      </c>
      <c r="G174" s="447" t="s">
        <v>4660</v>
      </c>
      <c r="H174" s="447">
        <f>IFERROR(VLOOKUP(G174,'Cadastro de assessores'!A:B,2,FALSE),"Não Cadastrado")</f>
        <v>12330</v>
      </c>
      <c r="I174" s="447"/>
      <c r="J174" s="49" t="s">
        <v>2318</v>
      </c>
      <c r="K174" s="447" t="s">
        <v>183</v>
      </c>
      <c r="L174" s="470">
        <v>44684.0</v>
      </c>
      <c r="M174" s="470">
        <v>44706.0</v>
      </c>
      <c r="N174" s="449"/>
      <c r="O174" s="449" t="s">
        <v>4919</v>
      </c>
      <c r="P174" s="452">
        <v>0.002</v>
      </c>
      <c r="Q174" s="330" t="s">
        <v>4874</v>
      </c>
      <c r="R174" s="453"/>
      <c r="S174" s="449"/>
      <c r="T174" s="449" t="s">
        <v>194</v>
      </c>
      <c r="U174" s="449" t="s">
        <v>2401</v>
      </c>
      <c r="V174" s="449" t="s">
        <v>199</v>
      </c>
      <c r="W174" s="455"/>
      <c r="X174" s="455"/>
      <c r="Y174" s="455"/>
      <c r="Z174" s="455"/>
      <c r="AA174" s="455"/>
      <c r="AB174" s="455"/>
      <c r="AC174" s="455"/>
      <c r="AD174" s="455"/>
      <c r="AE174" s="455"/>
      <c r="AF174" s="455"/>
      <c r="AG174" s="455"/>
      <c r="AH174" s="455"/>
      <c r="AI174" s="455"/>
      <c r="AJ174" s="455"/>
      <c r="AK174" s="456"/>
      <c r="AL174" s="456"/>
      <c r="AM174" s="456"/>
      <c r="AN174" s="456"/>
      <c r="AO174" s="456"/>
      <c r="AP174" s="456"/>
      <c r="AQ174" s="456"/>
      <c r="AR174" s="456"/>
      <c r="AS174" s="456"/>
      <c r="AT174" s="456"/>
      <c r="AU174" s="456"/>
      <c r="AV174" s="456"/>
      <c r="AW174" s="456"/>
      <c r="AX174" s="456"/>
      <c r="AY174" s="456"/>
      <c r="AZ174" s="456"/>
      <c r="BA174" s="456"/>
      <c r="BB174" s="456"/>
      <c r="BC174" s="456"/>
      <c r="BD174" s="456"/>
      <c r="BE174" s="456">
        <v>698753.33</v>
      </c>
      <c r="BF174" s="456">
        <v>683511.94</v>
      </c>
      <c r="BG174" s="456">
        <v>709321.7006</v>
      </c>
      <c r="BH174" s="456">
        <v>712735.17</v>
      </c>
      <c r="BI174" s="456">
        <v>704511.09</v>
      </c>
      <c r="BJ174" s="456">
        <v>706575.9</v>
      </c>
      <c r="BK174" s="456">
        <v>711393.02</v>
      </c>
      <c r="BL174" s="456">
        <v>715043.89</v>
      </c>
      <c r="BM174" s="456">
        <v>714401.72</v>
      </c>
      <c r="BN174" s="456">
        <v>122819.33</v>
      </c>
      <c r="BO174" s="456">
        <v>0.0</v>
      </c>
      <c r="BP174" s="456">
        <v>0.0</v>
      </c>
      <c r="BQ174" s="456">
        <v>0.0</v>
      </c>
      <c r="BR174" s="456">
        <v>0.0</v>
      </c>
      <c r="BS174" s="90">
        <v>0.0</v>
      </c>
      <c r="BT174" s="90"/>
    </row>
    <row r="175" ht="15.75" customHeight="1">
      <c r="A175" s="444" t="s">
        <v>98</v>
      </c>
      <c r="B175" s="445" t="s">
        <v>4917</v>
      </c>
      <c r="C175" s="468" t="s">
        <v>4918</v>
      </c>
      <c r="D175" s="446">
        <v>8588911.0</v>
      </c>
      <c r="E175" s="447" t="s">
        <v>255</v>
      </c>
      <c r="F175" s="447" t="s">
        <v>199</v>
      </c>
      <c r="G175" s="447" t="s">
        <v>4660</v>
      </c>
      <c r="H175" s="447">
        <f>IFERROR(VLOOKUP(G175,'Cadastro de assessores'!A:B,2,FALSE),"Não Cadastrado")</f>
        <v>12330</v>
      </c>
      <c r="I175" s="447"/>
      <c r="J175" s="49" t="s">
        <v>2318</v>
      </c>
      <c r="K175" s="447" t="s">
        <v>183</v>
      </c>
      <c r="L175" s="470">
        <v>44704.0</v>
      </c>
      <c r="M175" s="470">
        <v>44706.0</v>
      </c>
      <c r="N175" s="449"/>
      <c r="O175" s="449" t="s">
        <v>2365</v>
      </c>
      <c r="P175" s="452">
        <v>0.01</v>
      </c>
      <c r="Q175" s="461" t="s">
        <v>4922</v>
      </c>
      <c r="R175" s="453"/>
      <c r="S175" s="449" t="str">
        <f t="shared" ref="S175:S178" si="17">IF(BC175&lt;=0,"",IF(BC175&lt;=1000000,"Não Qualificado",IF(AND(BC175&gt;1000000,BC175&lt;=10000000),"Qualificado","Profissional")))</f>
        <v>Qualificado</v>
      </c>
      <c r="T175" s="449" t="s">
        <v>194</v>
      </c>
      <c r="U175" s="449" t="s">
        <v>2401</v>
      </c>
      <c r="V175" s="449" t="s">
        <v>199</v>
      </c>
      <c r="W175" s="455"/>
      <c r="X175" s="455"/>
      <c r="Y175" s="455"/>
      <c r="Z175" s="455"/>
      <c r="AA175" s="455"/>
      <c r="AB175" s="455"/>
      <c r="AC175" s="455"/>
      <c r="AD175" s="455"/>
      <c r="AE175" s="455"/>
      <c r="AF175" s="455"/>
      <c r="AG175" s="455"/>
      <c r="AH175" s="455"/>
      <c r="AI175" s="455"/>
      <c r="AJ175" s="455"/>
      <c r="AK175" s="456"/>
      <c r="AL175" s="456"/>
      <c r="AM175" s="456"/>
      <c r="AN175" s="456"/>
      <c r="AO175" s="456"/>
      <c r="AP175" s="456"/>
      <c r="AQ175" s="456"/>
      <c r="AR175" s="456"/>
      <c r="AS175" s="456"/>
      <c r="AT175" s="456"/>
      <c r="AU175" s="456"/>
      <c r="AV175" s="456"/>
      <c r="AW175" s="456"/>
      <c r="AX175" s="456"/>
      <c r="AY175" s="456"/>
      <c r="AZ175" s="456"/>
      <c r="BA175" s="456"/>
      <c r="BB175" s="456"/>
      <c r="BC175" s="456">
        <v>1003742.99</v>
      </c>
      <c r="BD175" s="456">
        <v>302624.32</v>
      </c>
      <c r="BE175" s="456">
        <v>395735.65</v>
      </c>
      <c r="BF175" s="456">
        <v>428056.29</v>
      </c>
      <c r="BG175" s="456">
        <v>432493.2174</v>
      </c>
      <c r="BH175" s="456">
        <v>433636.9</v>
      </c>
      <c r="BI175" s="456">
        <v>342910.77</v>
      </c>
      <c r="BJ175" s="456">
        <v>353654.39</v>
      </c>
      <c r="BK175" s="456">
        <v>363575.74</v>
      </c>
      <c r="BL175" s="456">
        <v>372861.75</v>
      </c>
      <c r="BM175" s="456">
        <v>385543.29</v>
      </c>
      <c r="BN175" s="456">
        <v>0.0</v>
      </c>
      <c r="BO175" s="456">
        <v>0.0</v>
      </c>
      <c r="BP175" s="456">
        <v>0.0</v>
      </c>
      <c r="BQ175" s="456">
        <v>0.0</v>
      </c>
      <c r="BR175" s="456">
        <v>0.0</v>
      </c>
      <c r="BS175" s="90">
        <v>0.0</v>
      </c>
      <c r="BT175" s="90"/>
    </row>
    <row r="176" ht="15.75" customHeight="1">
      <c r="A176" s="444" t="s">
        <v>98</v>
      </c>
      <c r="B176" s="445" t="s">
        <v>4924</v>
      </c>
      <c r="C176" s="559" t="s">
        <v>4925</v>
      </c>
      <c r="D176" s="469">
        <v>7393141.0</v>
      </c>
      <c r="E176" s="448" t="s">
        <v>120</v>
      </c>
      <c r="F176" s="448" t="s">
        <v>54</v>
      </c>
      <c r="G176" s="447" t="s">
        <v>348</v>
      </c>
      <c r="H176" s="447">
        <f>IFERROR(VLOOKUP(G176,'Cadastro de assessores'!A:B,2,FALSE),"Não Cadastrado")</f>
        <v>12331</v>
      </c>
      <c r="I176" s="447"/>
      <c r="J176" s="49" t="s">
        <v>2318</v>
      </c>
      <c r="K176" s="447" t="s">
        <v>183</v>
      </c>
      <c r="L176" s="470">
        <v>44607.0</v>
      </c>
      <c r="M176" s="470">
        <v>44606.0</v>
      </c>
      <c r="N176" s="449"/>
      <c r="O176" s="449" t="s">
        <v>2365</v>
      </c>
      <c r="P176" s="452">
        <v>0.012</v>
      </c>
      <c r="Q176" s="461" t="s">
        <v>3925</v>
      </c>
      <c r="R176" s="453"/>
      <c r="S176" s="449" t="str">
        <f t="shared" si="17"/>
        <v>Não Qualificado</v>
      </c>
      <c r="T176" s="449" t="s">
        <v>234</v>
      </c>
      <c r="U176" s="449" t="s">
        <v>2438</v>
      </c>
      <c r="V176" s="449" t="s">
        <v>54</v>
      </c>
      <c r="W176" s="455"/>
      <c r="X176" s="455"/>
      <c r="Y176" s="455"/>
      <c r="Z176" s="455"/>
      <c r="AA176" s="455"/>
      <c r="AB176" s="455"/>
      <c r="AC176" s="455"/>
      <c r="AD176" s="455"/>
      <c r="AE176" s="455"/>
      <c r="AF176" s="455"/>
      <c r="AG176" s="455"/>
      <c r="AH176" s="455"/>
      <c r="AI176" s="455"/>
      <c r="AJ176" s="455"/>
      <c r="AK176" s="456"/>
      <c r="AL176" s="456"/>
      <c r="AM176" s="456"/>
      <c r="AN176" s="456"/>
      <c r="AO176" s="456"/>
      <c r="AP176" s="456"/>
      <c r="AQ176" s="456"/>
      <c r="AR176" s="456"/>
      <c r="AS176" s="456"/>
      <c r="AT176" s="456"/>
      <c r="AU176" s="456"/>
      <c r="AV176" s="456"/>
      <c r="AW176" s="456"/>
      <c r="AX176" s="456"/>
      <c r="AY176" s="456"/>
      <c r="AZ176" s="456"/>
      <c r="BA176" s="456">
        <v>101037.98</v>
      </c>
      <c r="BB176" s="456">
        <v>103421.19</v>
      </c>
      <c r="BC176" s="456">
        <v>7585.18</v>
      </c>
      <c r="BD176" s="456">
        <v>103753.08</v>
      </c>
      <c r="BE176" s="456">
        <v>104674.41</v>
      </c>
      <c r="BF176" s="456">
        <v>105470.65</v>
      </c>
      <c r="BG176" s="456">
        <v>106174.1611</v>
      </c>
      <c r="BH176" s="456">
        <v>106774.37</v>
      </c>
      <c r="BI176" s="456">
        <v>107511.33</v>
      </c>
      <c r="BJ176" s="456">
        <v>168889.22</v>
      </c>
      <c r="BK176" s="456">
        <v>170322.58</v>
      </c>
      <c r="BL176" s="456">
        <v>5422.29</v>
      </c>
      <c r="BM176" s="456">
        <v>0.0</v>
      </c>
      <c r="BN176" s="456">
        <v>0.0</v>
      </c>
      <c r="BO176" s="456">
        <v>0.0</v>
      </c>
      <c r="BP176" s="456">
        <v>0.0</v>
      </c>
      <c r="BQ176" s="456">
        <v>0.0</v>
      </c>
      <c r="BR176" s="456">
        <v>0.0</v>
      </c>
      <c r="BS176" s="90">
        <v>0.0</v>
      </c>
      <c r="BT176" s="90"/>
    </row>
    <row r="177" ht="15.75" customHeight="1">
      <c r="A177" s="444" t="s">
        <v>98</v>
      </c>
      <c r="B177" s="445" t="s">
        <v>4928</v>
      </c>
      <c r="C177" s="458" t="s">
        <v>4929</v>
      </c>
      <c r="D177" s="449">
        <v>4418403.0</v>
      </c>
      <c r="E177" s="449" t="s">
        <v>255</v>
      </c>
      <c r="F177" s="449" t="s">
        <v>199</v>
      </c>
      <c r="G177" s="449" t="s">
        <v>548</v>
      </c>
      <c r="H177" s="449" t="str">
        <f>IFERROR(VLOOKUP(G177,'Cadastro de assessores'!A:B,2,FALSE),"Não Cadastrado")</f>
        <v>14574</v>
      </c>
      <c r="I177" s="449"/>
      <c r="J177" s="49" t="s">
        <v>224</v>
      </c>
      <c r="K177" s="449" t="s">
        <v>2340</v>
      </c>
      <c r="L177" s="460">
        <v>44075.0</v>
      </c>
      <c r="M177" s="460">
        <v>44075.0</v>
      </c>
      <c r="N177" s="460">
        <v>44650.0</v>
      </c>
      <c r="O177" s="449" t="s">
        <v>2341</v>
      </c>
      <c r="P177" s="452">
        <v>0.015</v>
      </c>
      <c r="Q177" s="461" t="s">
        <v>4931</v>
      </c>
      <c r="R177" s="453"/>
      <c r="S177" s="449" t="str">
        <f t="shared" si="17"/>
        <v/>
      </c>
      <c r="T177" s="449" t="s">
        <v>194</v>
      </c>
      <c r="U177" s="449" t="s">
        <v>2343</v>
      </c>
      <c r="V177" s="449" t="s">
        <v>199</v>
      </c>
      <c r="W177" s="455" t="s">
        <v>2344</v>
      </c>
      <c r="X177" s="455" t="s">
        <v>2344</v>
      </c>
      <c r="Y177" s="455" t="s">
        <v>2344</v>
      </c>
      <c r="Z177" s="455" t="s">
        <v>2344</v>
      </c>
      <c r="AA177" s="455" t="s">
        <v>2344</v>
      </c>
      <c r="AB177" s="455" t="s">
        <v>2344</v>
      </c>
      <c r="AC177" s="455" t="s">
        <v>2344</v>
      </c>
      <c r="AD177" s="455" t="s">
        <v>2344</v>
      </c>
      <c r="AE177" s="455" t="s">
        <v>2344</v>
      </c>
      <c r="AF177" s="455" t="s">
        <v>2344</v>
      </c>
      <c r="AG177" s="455" t="s">
        <v>2344</v>
      </c>
      <c r="AH177" s="455" t="s">
        <v>4932</v>
      </c>
      <c r="AI177" s="455" t="s">
        <v>4933</v>
      </c>
      <c r="AJ177" s="455" t="s">
        <v>4934</v>
      </c>
      <c r="AK177" s="456">
        <v>513022.22</v>
      </c>
      <c r="AL177" s="456">
        <v>508196.47</v>
      </c>
      <c r="AM177" s="456">
        <v>517530.25</v>
      </c>
      <c r="AN177" s="456">
        <v>516652.41</v>
      </c>
      <c r="AO177" s="456">
        <v>522095.51</v>
      </c>
      <c r="AP177" s="456">
        <v>523735.99</v>
      </c>
      <c r="AQ177" s="456">
        <v>521397.57</v>
      </c>
      <c r="AR177" s="456">
        <v>534858.62</v>
      </c>
      <c r="AS177" s="456">
        <v>530681.48</v>
      </c>
      <c r="AT177" s="456">
        <v>520101.3</v>
      </c>
      <c r="AU177" s="456">
        <v>517028.61</v>
      </c>
      <c r="AV177" s="456">
        <v>507901.9</v>
      </c>
      <c r="AW177" s="456">
        <v>487529.71</v>
      </c>
      <c r="AX177" s="456">
        <v>488751.87</v>
      </c>
      <c r="AY177" s="456">
        <v>495991.77</v>
      </c>
      <c r="AZ177" s="456">
        <v>510428.92</v>
      </c>
      <c r="BA177" s="456">
        <v>513869.33</v>
      </c>
      <c r="BB177" s="456">
        <v>0.0</v>
      </c>
      <c r="BC177" s="456"/>
      <c r="BD177" s="456" t="s">
        <v>377</v>
      </c>
      <c r="BE177" s="456" t="s">
        <v>377</v>
      </c>
      <c r="BF177" s="456">
        <v>0.0</v>
      </c>
      <c r="BG177" s="456">
        <v>0.0</v>
      </c>
      <c r="BH177" s="456">
        <v>0.0</v>
      </c>
      <c r="BI177" s="456">
        <v>0.0</v>
      </c>
      <c r="BJ177" s="456">
        <v>0.0</v>
      </c>
      <c r="BK177" s="456">
        <v>0.0</v>
      </c>
      <c r="BL177" s="456">
        <v>0.0</v>
      </c>
      <c r="BM177" s="456">
        <v>0.0</v>
      </c>
      <c r="BN177" s="456">
        <v>0.0</v>
      </c>
      <c r="BO177" s="456">
        <v>0.0</v>
      </c>
      <c r="BP177" s="456">
        <v>0.0</v>
      </c>
      <c r="BQ177" s="456">
        <v>0.0</v>
      </c>
      <c r="BR177" s="456">
        <v>0.0</v>
      </c>
      <c r="BS177" s="90" t="s">
        <v>268</v>
      </c>
      <c r="BT177" s="90"/>
    </row>
    <row r="178" ht="15.75" customHeight="1">
      <c r="A178" s="444" t="s">
        <v>98</v>
      </c>
      <c r="B178" s="445" t="s">
        <v>4939</v>
      </c>
      <c r="C178" s="468" t="s">
        <v>4940</v>
      </c>
      <c r="D178" s="540">
        <v>7970402.0</v>
      </c>
      <c r="E178" s="507" t="s">
        <v>120</v>
      </c>
      <c r="F178" s="507" t="s">
        <v>199</v>
      </c>
      <c r="G178" s="449" t="s">
        <v>4786</v>
      </c>
      <c r="H178" s="449" t="str">
        <f>IFERROR(VLOOKUP(G178,'Cadastro de assessores'!A:B,2,FALSE),"Não Cadastrado")</f>
        <v>16130</v>
      </c>
      <c r="I178" s="449"/>
      <c r="J178" s="49" t="s">
        <v>224</v>
      </c>
      <c r="K178" s="449" t="s">
        <v>2340</v>
      </c>
      <c r="L178" s="460">
        <v>44623.0</v>
      </c>
      <c r="M178" s="460">
        <v>44623.0</v>
      </c>
      <c r="N178" s="508">
        <v>44763.0</v>
      </c>
      <c r="O178" s="446" t="s">
        <v>2356</v>
      </c>
      <c r="P178" s="452">
        <v>0.007</v>
      </c>
      <c r="Q178" s="461" t="s">
        <v>4941</v>
      </c>
      <c r="R178" s="453"/>
      <c r="S178" s="449" t="str">
        <f t="shared" si="17"/>
        <v>Não Qualificado</v>
      </c>
      <c r="T178" s="449" t="s">
        <v>194</v>
      </c>
      <c r="U178" s="449" t="s">
        <v>2417</v>
      </c>
      <c r="V178" s="449" t="s">
        <v>199</v>
      </c>
      <c r="W178" s="455"/>
      <c r="X178" s="455"/>
      <c r="Y178" s="455"/>
      <c r="Z178" s="455"/>
      <c r="AA178" s="455"/>
      <c r="AB178" s="455"/>
      <c r="AC178" s="455"/>
      <c r="AD178" s="455"/>
      <c r="AE178" s="455"/>
      <c r="AF178" s="455"/>
      <c r="AG178" s="455"/>
      <c r="AH178" s="455"/>
      <c r="AI178" s="455"/>
      <c r="AJ178" s="455"/>
      <c r="AK178" s="456"/>
      <c r="AL178" s="456"/>
      <c r="AM178" s="456"/>
      <c r="AN178" s="456"/>
      <c r="AO178" s="456"/>
      <c r="AP178" s="456"/>
      <c r="AQ178" s="456"/>
      <c r="AR178" s="456"/>
      <c r="AS178" s="456"/>
      <c r="AT178" s="456"/>
      <c r="AU178" s="456"/>
      <c r="AV178" s="456"/>
      <c r="AW178" s="456"/>
      <c r="AX178" s="456"/>
      <c r="AY178" s="456"/>
      <c r="AZ178" s="456"/>
      <c r="BA178" s="456"/>
      <c r="BB178" s="456">
        <v>56466.82</v>
      </c>
      <c r="BC178" s="456">
        <v>64112.17</v>
      </c>
      <c r="BD178" s="456">
        <v>80910.99</v>
      </c>
      <c r="BE178" s="456">
        <v>81614.17</v>
      </c>
      <c r="BF178" s="456">
        <v>0.0</v>
      </c>
      <c r="BG178" s="456">
        <v>0.0</v>
      </c>
      <c r="BH178" s="456">
        <v>0.0</v>
      </c>
      <c r="BI178" s="456">
        <v>0.0</v>
      </c>
      <c r="BJ178" s="456">
        <v>0.0</v>
      </c>
      <c r="BK178" s="456">
        <v>0.0</v>
      </c>
      <c r="BL178" s="456">
        <v>0.0</v>
      </c>
      <c r="BM178" s="456">
        <v>0.0</v>
      </c>
      <c r="BN178" s="456">
        <v>0.0</v>
      </c>
      <c r="BO178" s="456">
        <v>0.0</v>
      </c>
      <c r="BP178" s="456">
        <v>0.0</v>
      </c>
      <c r="BQ178" s="456">
        <v>0.0</v>
      </c>
      <c r="BR178" s="456">
        <v>0.0</v>
      </c>
      <c r="BS178" s="90" t="s">
        <v>268</v>
      </c>
      <c r="BT178" s="90"/>
    </row>
    <row r="179" ht="15.75" customHeight="1">
      <c r="A179" s="444" t="s">
        <v>98</v>
      </c>
      <c r="B179" s="445" t="s">
        <v>873</v>
      </c>
      <c r="C179" s="468" t="s">
        <v>4949</v>
      </c>
      <c r="D179" s="446">
        <v>522975.0</v>
      </c>
      <c r="E179" s="447" t="s">
        <v>120</v>
      </c>
      <c r="F179" s="448" t="s">
        <v>199</v>
      </c>
      <c r="G179" s="446" t="s">
        <v>1108</v>
      </c>
      <c r="H179" s="449" t="str">
        <f>IFERROR(VLOOKUP(G179,'Cadastro de assessores'!A:B,2,FALSE),"Não Cadastrado")</f>
        <v>18836</v>
      </c>
      <c r="I179" s="447"/>
      <c r="J179" s="49" t="s">
        <v>2318</v>
      </c>
      <c r="K179" s="447"/>
      <c r="L179" s="470"/>
      <c r="M179" s="470"/>
      <c r="N179" s="446"/>
      <c r="O179" s="446" t="s">
        <v>2356</v>
      </c>
      <c r="P179" s="452">
        <v>0.01</v>
      </c>
      <c r="Q179" s="461"/>
      <c r="R179" s="453"/>
      <c r="S179" s="449"/>
      <c r="T179" s="449"/>
      <c r="U179" s="449"/>
      <c r="V179" s="449" t="s">
        <v>397</v>
      </c>
      <c r="W179" s="455"/>
      <c r="X179" s="455"/>
      <c r="Y179" s="455"/>
      <c r="Z179" s="455"/>
      <c r="AA179" s="455"/>
      <c r="AB179" s="455"/>
      <c r="AC179" s="455"/>
      <c r="AD179" s="455"/>
      <c r="AE179" s="455"/>
      <c r="AF179" s="455"/>
      <c r="AG179" s="455"/>
      <c r="AH179" s="455"/>
      <c r="AI179" s="455"/>
      <c r="AJ179" s="455"/>
      <c r="AK179" s="456"/>
      <c r="AL179" s="456"/>
      <c r="AM179" s="456"/>
      <c r="AN179" s="456"/>
      <c r="AO179" s="456"/>
      <c r="AP179" s="456"/>
      <c r="AQ179" s="456"/>
      <c r="AR179" s="456"/>
      <c r="AS179" s="456"/>
      <c r="AT179" s="456"/>
      <c r="AU179" s="456"/>
      <c r="AV179" s="456"/>
      <c r="AW179" s="456"/>
      <c r="AX179" s="456"/>
      <c r="AY179" s="456"/>
      <c r="AZ179" s="456"/>
      <c r="BA179" s="456"/>
      <c r="BB179" s="456"/>
      <c r="BC179" s="456"/>
      <c r="BD179" s="456"/>
      <c r="BE179" s="456"/>
      <c r="BF179" s="456"/>
      <c r="BG179" s="456"/>
      <c r="BH179" s="456"/>
      <c r="BI179" s="456">
        <v>57816.56</v>
      </c>
      <c r="BJ179" s="456">
        <v>58584.45</v>
      </c>
      <c r="BK179" s="456">
        <v>59243.98</v>
      </c>
      <c r="BL179" s="456">
        <v>91314.57</v>
      </c>
      <c r="BM179" s="456">
        <v>100230.19</v>
      </c>
      <c r="BN179" s="456">
        <v>80.7</v>
      </c>
      <c r="BO179" s="456">
        <v>81.45</v>
      </c>
      <c r="BP179" s="456">
        <v>200.07</v>
      </c>
      <c r="BQ179" s="456">
        <v>394.74</v>
      </c>
      <c r="BR179" s="456">
        <v>480.85</v>
      </c>
      <c r="BS179" s="90">
        <v>388.47</v>
      </c>
      <c r="BT179" s="90"/>
    </row>
    <row r="180" ht="15.75" customHeight="1">
      <c r="A180" s="444" t="s">
        <v>98</v>
      </c>
      <c r="B180" s="445" t="s">
        <v>4956</v>
      </c>
      <c r="C180" s="468" t="s">
        <v>4957</v>
      </c>
      <c r="D180" s="446">
        <v>3581528.0</v>
      </c>
      <c r="E180" s="447" t="s">
        <v>255</v>
      </c>
      <c r="F180" s="448" t="s">
        <v>199</v>
      </c>
      <c r="G180" s="446" t="s">
        <v>4338</v>
      </c>
      <c r="H180" s="447">
        <f>IFERROR(VLOOKUP(G180,'Cadastro de assessores'!A:B,2,FALSE),"Não Cadastrado")</f>
        <v>12347</v>
      </c>
      <c r="I180" s="447"/>
      <c r="J180" s="74" t="s">
        <v>183</v>
      </c>
      <c r="K180" s="447" t="s">
        <v>183</v>
      </c>
      <c r="L180" s="470">
        <v>44693.0</v>
      </c>
      <c r="M180" s="470">
        <v>44693.0</v>
      </c>
      <c r="N180" s="446"/>
      <c r="O180" s="446" t="s">
        <v>2365</v>
      </c>
      <c r="P180" s="452">
        <v>0.012</v>
      </c>
      <c r="Q180" s="461"/>
      <c r="R180" s="453"/>
      <c r="S180" s="449" t="str">
        <f>IF(BC180&lt;=0,"",IF(BC180&lt;=1000000,"Não Qualificado",IF(AND(BC180&gt;1000000,BC180&lt;=10000000),"Qualificado","Profissional")))</f>
        <v>Não Qualificado</v>
      </c>
      <c r="T180" s="449" t="s">
        <v>194</v>
      </c>
      <c r="U180" s="449" t="s">
        <v>2343</v>
      </c>
      <c r="V180" s="449" t="s">
        <v>199</v>
      </c>
      <c r="W180" s="455"/>
      <c r="X180" s="455"/>
      <c r="Y180" s="455"/>
      <c r="Z180" s="455"/>
      <c r="AA180" s="455"/>
      <c r="AB180" s="455"/>
      <c r="AC180" s="455"/>
      <c r="AD180" s="455"/>
      <c r="AE180" s="455"/>
      <c r="AF180" s="455"/>
      <c r="AG180" s="455"/>
      <c r="AH180" s="455"/>
      <c r="AI180" s="455"/>
      <c r="AJ180" s="455"/>
      <c r="AK180" s="456"/>
      <c r="AL180" s="456"/>
      <c r="AM180" s="456"/>
      <c r="AN180" s="456"/>
      <c r="AO180" s="456"/>
      <c r="AP180" s="456"/>
      <c r="AQ180" s="456"/>
      <c r="AR180" s="456"/>
      <c r="AS180" s="456"/>
      <c r="AT180" s="456"/>
      <c r="AU180" s="456"/>
      <c r="AV180" s="456"/>
      <c r="AW180" s="456"/>
      <c r="AX180" s="456"/>
      <c r="AY180" s="456"/>
      <c r="AZ180" s="456"/>
      <c r="BA180" s="456"/>
      <c r="BB180" s="456"/>
      <c r="BC180" s="456">
        <v>269622.01</v>
      </c>
      <c r="BD180" s="456">
        <v>425173.48</v>
      </c>
      <c r="BE180" s="456">
        <v>295581.08</v>
      </c>
      <c r="BF180" s="456">
        <v>300602.63</v>
      </c>
      <c r="BG180" s="456">
        <v>302247.9893</v>
      </c>
      <c r="BH180" s="456">
        <v>304149.59</v>
      </c>
      <c r="BI180" s="456">
        <v>313515.83</v>
      </c>
      <c r="BJ180" s="456">
        <v>313484.7</v>
      </c>
      <c r="BK180" s="456">
        <v>315863.65</v>
      </c>
      <c r="BL180" s="456">
        <v>318816.54</v>
      </c>
      <c r="BM180" s="456">
        <v>320997.93</v>
      </c>
      <c r="BN180" s="456">
        <v>323894.49</v>
      </c>
      <c r="BO180" s="456">
        <v>326638.67</v>
      </c>
      <c r="BP180" s="456">
        <v>329409.87</v>
      </c>
      <c r="BQ180" s="456">
        <v>330460.54</v>
      </c>
      <c r="BR180" s="456">
        <v>333003.86</v>
      </c>
      <c r="BS180" s="90">
        <v>0.0</v>
      </c>
      <c r="BT180" s="90"/>
    </row>
    <row r="181" ht="15.75" customHeight="1">
      <c r="A181" s="444" t="s">
        <v>98</v>
      </c>
      <c r="B181" s="445" t="s">
        <v>4960</v>
      </c>
      <c r="C181" s="468" t="s">
        <v>4958</v>
      </c>
      <c r="D181" s="446">
        <v>4001766.0</v>
      </c>
      <c r="E181" s="447" t="s">
        <v>120</v>
      </c>
      <c r="F181" s="448" t="s">
        <v>199</v>
      </c>
      <c r="G181" s="446" t="s">
        <v>1340</v>
      </c>
      <c r="H181" s="447" t="str">
        <f>IFERROR(VLOOKUP(G181,'Cadastro de assessores'!A:B,2,FALSE),"Não Cadastrado")</f>
        <v>13444</v>
      </c>
      <c r="I181" s="447"/>
      <c r="J181" s="49" t="s">
        <v>2318</v>
      </c>
      <c r="K181" s="447" t="s">
        <v>183</v>
      </c>
      <c r="L181" s="470">
        <v>44747.0</v>
      </c>
      <c r="M181" s="470">
        <v>44747.0</v>
      </c>
      <c r="N181" s="446"/>
      <c r="O181" s="446" t="s">
        <v>2365</v>
      </c>
      <c r="P181" s="452">
        <v>0.012</v>
      </c>
      <c r="Q181" s="330" t="s">
        <v>4965</v>
      </c>
      <c r="R181" s="453"/>
      <c r="S181" s="449"/>
      <c r="T181" s="449" t="s">
        <v>194</v>
      </c>
      <c r="U181" s="449" t="s">
        <v>4966</v>
      </c>
      <c r="V181" s="449" t="s">
        <v>618</v>
      </c>
      <c r="W181" s="455"/>
      <c r="X181" s="455"/>
      <c r="Y181" s="455"/>
      <c r="Z181" s="455"/>
      <c r="AA181" s="455"/>
      <c r="AB181" s="455"/>
      <c r="AC181" s="455"/>
      <c r="AD181" s="455"/>
      <c r="AE181" s="455"/>
      <c r="AF181" s="455"/>
      <c r="AG181" s="455"/>
      <c r="AH181" s="455"/>
      <c r="AI181" s="455"/>
      <c r="AJ181" s="455"/>
      <c r="AK181" s="456"/>
      <c r="AL181" s="456"/>
      <c r="AM181" s="456"/>
      <c r="AN181" s="456"/>
      <c r="AO181" s="456"/>
      <c r="AP181" s="456"/>
      <c r="AQ181" s="456"/>
      <c r="AR181" s="456"/>
      <c r="AS181" s="456"/>
      <c r="AT181" s="456"/>
      <c r="AU181" s="456"/>
      <c r="AV181" s="456"/>
      <c r="AW181" s="456"/>
      <c r="AX181" s="456"/>
      <c r="AY181" s="456"/>
      <c r="AZ181" s="456"/>
      <c r="BA181" s="456"/>
      <c r="BB181" s="456"/>
      <c r="BC181" s="456"/>
      <c r="BD181" s="456"/>
      <c r="BE181" s="456" t="s">
        <v>377</v>
      </c>
      <c r="BF181" s="456">
        <v>103418.85</v>
      </c>
      <c r="BG181" s="456">
        <v>108786.126</v>
      </c>
      <c r="BH181" s="456">
        <v>165889.68</v>
      </c>
      <c r="BI181" s="456">
        <v>171230.72</v>
      </c>
      <c r="BJ181" s="456">
        <v>155827.83</v>
      </c>
      <c r="BK181" s="456">
        <v>136694.08</v>
      </c>
      <c r="BL181" s="456">
        <v>128081.83</v>
      </c>
      <c r="BM181" s="456">
        <v>111338.1</v>
      </c>
      <c r="BN181" s="456">
        <v>7.63</v>
      </c>
      <c r="BO181" s="456">
        <v>7.63</v>
      </c>
      <c r="BP181" s="456">
        <v>7.63</v>
      </c>
      <c r="BQ181" s="456">
        <v>7.63</v>
      </c>
      <c r="BR181" s="456">
        <v>7.63</v>
      </c>
      <c r="BS181" s="90">
        <v>7.63</v>
      </c>
      <c r="BT181" s="90"/>
    </row>
    <row r="182" ht="15.75" customHeight="1">
      <c r="A182" s="444" t="s">
        <v>98</v>
      </c>
      <c r="B182" s="445" t="s">
        <v>4968</v>
      </c>
      <c r="C182" s="468" t="s">
        <v>4969</v>
      </c>
      <c r="D182" s="446">
        <v>2651260.0</v>
      </c>
      <c r="E182" s="449" t="s">
        <v>120</v>
      </c>
      <c r="F182" s="449" t="s">
        <v>199</v>
      </c>
      <c r="G182" s="449" t="s">
        <v>1174</v>
      </c>
      <c r="H182" s="449" t="str">
        <f>IFERROR(VLOOKUP(G182,'Cadastro de assessores'!A:B,2,FALSE),"Não Cadastrado")</f>
        <v>18266</v>
      </c>
      <c r="I182" s="449"/>
      <c r="J182" s="49" t="s">
        <v>224</v>
      </c>
      <c r="K182" s="449" t="s">
        <v>2340</v>
      </c>
      <c r="L182" s="449" t="s">
        <v>3320</v>
      </c>
      <c r="M182" s="449" t="s">
        <v>3320</v>
      </c>
      <c r="N182" s="460">
        <v>44459.0</v>
      </c>
      <c r="O182" s="449" t="s">
        <v>2372</v>
      </c>
      <c r="P182" s="452">
        <v>0.025</v>
      </c>
      <c r="Q182" s="461" t="s">
        <v>4970</v>
      </c>
      <c r="R182" s="453"/>
      <c r="S182" s="449" t="str">
        <f>IF(BC182&lt;=0,"",IF(BC182&lt;=1000000,"Não Qualificado",IF(AND(BC182&gt;1000000,BC182&lt;=10000000),"Qualificado","Profissional")))</f>
        <v>Não Qualificado</v>
      </c>
      <c r="T182" s="449" t="s">
        <v>194</v>
      </c>
      <c r="U182" s="446" t="s">
        <v>3820</v>
      </c>
      <c r="V182" s="446" t="s">
        <v>397</v>
      </c>
      <c r="W182" s="454"/>
      <c r="X182" s="454"/>
      <c r="Y182" s="454"/>
      <c r="Z182" s="454"/>
      <c r="AA182" s="454"/>
      <c r="AB182" s="454"/>
      <c r="AC182" s="454"/>
      <c r="AD182" s="454"/>
      <c r="AE182" s="454"/>
      <c r="AF182" s="454"/>
      <c r="AG182" s="454"/>
      <c r="AH182" s="454"/>
      <c r="AI182" s="454"/>
      <c r="AJ182" s="454"/>
      <c r="AK182" s="456"/>
      <c r="AL182" s="456"/>
      <c r="AM182" s="456"/>
      <c r="AN182" s="456"/>
      <c r="AO182" s="456"/>
      <c r="AP182" s="456"/>
      <c r="AQ182" s="454"/>
      <c r="AR182" s="481">
        <v>104420.51</v>
      </c>
      <c r="AS182" s="456">
        <v>101510.67</v>
      </c>
      <c r="AT182" s="456">
        <v>99241.38</v>
      </c>
      <c r="AU182" s="456">
        <v>95161.41</v>
      </c>
      <c r="AV182" s="456"/>
      <c r="AW182" s="456"/>
      <c r="AX182" s="456"/>
      <c r="AY182" s="456"/>
      <c r="AZ182" s="456"/>
      <c r="BA182" s="456">
        <v>0.0</v>
      </c>
      <c r="BB182" s="456">
        <v>0.0</v>
      </c>
      <c r="BC182" s="456">
        <v>88166.66</v>
      </c>
      <c r="BD182" s="456" t="s">
        <v>377</v>
      </c>
      <c r="BE182" s="456" t="s">
        <v>377</v>
      </c>
      <c r="BF182" s="456">
        <v>0.0</v>
      </c>
      <c r="BG182" s="456">
        <v>0.0</v>
      </c>
      <c r="BH182" s="456">
        <v>0.0</v>
      </c>
      <c r="BI182" s="456">
        <v>0.0</v>
      </c>
      <c r="BJ182" s="456">
        <v>0.0</v>
      </c>
      <c r="BK182" s="456">
        <v>0.0</v>
      </c>
      <c r="BL182" s="456">
        <v>0.0</v>
      </c>
      <c r="BM182" s="456">
        <v>0.0</v>
      </c>
      <c r="BN182" s="456">
        <v>0.0</v>
      </c>
      <c r="BO182" s="456">
        <v>0.0</v>
      </c>
      <c r="BP182" s="456">
        <v>0.0</v>
      </c>
      <c r="BQ182" s="456">
        <v>0.0</v>
      </c>
      <c r="BR182" s="456">
        <v>0.0</v>
      </c>
      <c r="BS182" s="90" t="s">
        <v>268</v>
      </c>
      <c r="BT182" s="90"/>
    </row>
    <row r="183" ht="15.75" customHeight="1">
      <c r="A183" s="444" t="s">
        <v>98</v>
      </c>
      <c r="B183" s="445" t="s">
        <v>1739</v>
      </c>
      <c r="C183" s="468" t="s">
        <v>4974</v>
      </c>
      <c r="D183" s="446">
        <v>3716665.0</v>
      </c>
      <c r="E183" s="447" t="s">
        <v>255</v>
      </c>
      <c r="F183" s="447" t="s">
        <v>199</v>
      </c>
      <c r="G183" s="446" t="s">
        <v>368</v>
      </c>
      <c r="H183" s="447" t="str">
        <f>IFERROR(VLOOKUP(G183,'Cadastro de assessores'!A:B,2,FALSE),"Não Cadastrado")</f>
        <v>17896</v>
      </c>
      <c r="I183" s="447"/>
      <c r="J183" s="49" t="s">
        <v>2318</v>
      </c>
      <c r="K183" s="449" t="s">
        <v>3320</v>
      </c>
      <c r="L183" s="449" t="s">
        <v>3320</v>
      </c>
      <c r="M183" s="548" t="s">
        <v>4975</v>
      </c>
      <c r="N183" s="446"/>
      <c r="O183" s="446" t="s">
        <v>2365</v>
      </c>
      <c r="P183" s="452">
        <v>0.012</v>
      </c>
      <c r="Q183" s="461"/>
      <c r="R183" s="453"/>
      <c r="S183" s="449"/>
      <c r="T183" s="449" t="s">
        <v>234</v>
      </c>
      <c r="U183" s="449"/>
      <c r="V183" s="449" t="s">
        <v>199</v>
      </c>
      <c r="W183" s="455"/>
      <c r="X183" s="455"/>
      <c r="Y183" s="455"/>
      <c r="Z183" s="455"/>
      <c r="AA183" s="455"/>
      <c r="AB183" s="455"/>
      <c r="AC183" s="455"/>
      <c r="AD183" s="455"/>
      <c r="AE183" s="455"/>
      <c r="AF183" s="455"/>
      <c r="AG183" s="455"/>
      <c r="AH183" s="455"/>
      <c r="AI183" s="455"/>
      <c r="AJ183" s="455"/>
      <c r="AK183" s="456"/>
      <c r="AL183" s="456"/>
      <c r="AM183" s="456"/>
      <c r="AN183" s="456"/>
      <c r="AO183" s="456"/>
      <c r="AP183" s="456"/>
      <c r="AQ183" s="456"/>
      <c r="AR183" s="456"/>
      <c r="AS183" s="456"/>
      <c r="AT183" s="456"/>
      <c r="AU183" s="456"/>
      <c r="AV183" s="456"/>
      <c r="AW183" s="456"/>
      <c r="AX183" s="456"/>
      <c r="AY183" s="456"/>
      <c r="AZ183" s="456"/>
      <c r="BA183" s="456"/>
      <c r="BB183" s="456"/>
      <c r="BC183" s="456"/>
      <c r="BD183" s="456" t="s">
        <v>377</v>
      </c>
      <c r="BE183" s="456" t="s">
        <v>377</v>
      </c>
      <c r="BF183" s="456">
        <v>0.0</v>
      </c>
      <c r="BG183" s="456">
        <v>0.0</v>
      </c>
      <c r="BH183" s="456">
        <v>0.0</v>
      </c>
      <c r="BI183" s="456">
        <v>0.0</v>
      </c>
      <c r="BJ183" s="456">
        <v>0.0</v>
      </c>
      <c r="BK183" s="456">
        <v>0.0</v>
      </c>
      <c r="BL183" s="456">
        <v>0.0</v>
      </c>
      <c r="BM183" s="456">
        <v>0.0</v>
      </c>
      <c r="BN183" s="456">
        <v>0.0</v>
      </c>
      <c r="BO183" s="456">
        <v>0.0</v>
      </c>
      <c r="BP183" s="456">
        <v>0.0</v>
      </c>
      <c r="BQ183" s="456">
        <v>0.0</v>
      </c>
      <c r="BR183" s="456">
        <v>0.0</v>
      </c>
      <c r="BS183" s="90" t="s">
        <v>268</v>
      </c>
      <c r="BT183" s="90"/>
    </row>
    <row r="184" ht="15.75" customHeight="1">
      <c r="A184" s="444" t="s">
        <v>98</v>
      </c>
      <c r="B184" s="445" t="s">
        <v>4980</v>
      </c>
      <c r="C184" s="468" t="s">
        <v>4981</v>
      </c>
      <c r="D184" s="446">
        <v>8461167.0</v>
      </c>
      <c r="E184" s="447" t="s">
        <v>120</v>
      </c>
      <c r="F184" s="447" t="s">
        <v>54</v>
      </c>
      <c r="G184" s="446" t="s">
        <v>3655</v>
      </c>
      <c r="H184" s="447">
        <f>IFERROR(VLOOKUP(G184,'Cadastro de assessores'!A:B,2,FALSE),"Não Cadastrado")</f>
        <v>12351</v>
      </c>
      <c r="I184" s="447"/>
      <c r="J184" s="49" t="s">
        <v>2318</v>
      </c>
      <c r="K184" s="447" t="s">
        <v>183</v>
      </c>
      <c r="L184" s="451">
        <v>44690.0</v>
      </c>
      <c r="M184" s="451">
        <v>44694.0</v>
      </c>
      <c r="N184" s="446"/>
      <c r="O184" s="446" t="s">
        <v>2365</v>
      </c>
      <c r="P184" s="452">
        <v>0.012</v>
      </c>
      <c r="Q184" s="461"/>
      <c r="R184" s="453"/>
      <c r="S184" s="449" t="str">
        <f t="shared" ref="S184:S188" si="18">IF(BC184&lt;=0,"",IF(BC184&lt;=1000000,"Não Qualificado",IF(AND(BC184&gt;1000000,BC184&lt;=10000000),"Qualificado","Profissional")))</f>
        <v>Não Qualificado</v>
      </c>
      <c r="T184" s="449" t="s">
        <v>194</v>
      </c>
      <c r="U184" s="449" t="s">
        <v>2438</v>
      </c>
      <c r="V184" s="449" t="s">
        <v>54</v>
      </c>
      <c r="W184" s="455"/>
      <c r="X184" s="455"/>
      <c r="Y184" s="455"/>
      <c r="Z184" s="455"/>
      <c r="AA184" s="455"/>
      <c r="AB184" s="455"/>
      <c r="AC184" s="455"/>
      <c r="AD184" s="455"/>
      <c r="AE184" s="455"/>
      <c r="AF184" s="455"/>
      <c r="AG184" s="455"/>
      <c r="AH184" s="455"/>
      <c r="AI184" s="455"/>
      <c r="AJ184" s="455"/>
      <c r="AK184" s="456"/>
      <c r="AL184" s="456"/>
      <c r="AM184" s="456"/>
      <c r="AN184" s="456"/>
      <c r="AO184" s="456"/>
      <c r="AP184" s="456"/>
      <c r="AQ184" s="456"/>
      <c r="AR184" s="456"/>
      <c r="AS184" s="456"/>
      <c r="AT184" s="456"/>
      <c r="AU184" s="456"/>
      <c r="AV184" s="456"/>
      <c r="AW184" s="456"/>
      <c r="AX184" s="456"/>
      <c r="AY184" s="456"/>
      <c r="AZ184" s="456"/>
      <c r="BA184" s="456"/>
      <c r="BB184" s="456"/>
      <c r="BC184" s="456">
        <v>36058.3</v>
      </c>
      <c r="BD184" s="456">
        <v>40142.11</v>
      </c>
      <c r="BE184" s="456">
        <v>40154.21</v>
      </c>
      <c r="BF184" s="456">
        <v>40646.33</v>
      </c>
      <c r="BG184" s="456">
        <v>40906.90507</v>
      </c>
      <c r="BH184" s="456">
        <v>41248.5</v>
      </c>
      <c r="BI184" s="456">
        <v>42112.48</v>
      </c>
      <c r="BJ184" s="456">
        <v>42091.07</v>
      </c>
      <c r="BK184" s="456">
        <v>42447.95</v>
      </c>
      <c r="BL184" s="456">
        <v>42877.01</v>
      </c>
      <c r="BM184" s="456">
        <v>21306.22</v>
      </c>
      <c r="BN184" s="456">
        <v>1.83</v>
      </c>
      <c r="BO184" s="456">
        <v>17.72</v>
      </c>
      <c r="BP184" s="456">
        <v>17.72</v>
      </c>
      <c r="BQ184" s="456">
        <v>17.72</v>
      </c>
      <c r="BR184" s="456">
        <v>0.72</v>
      </c>
      <c r="BS184" s="90">
        <v>0.0</v>
      </c>
      <c r="BT184" s="90"/>
    </row>
    <row r="185" ht="15.75" customHeight="1">
      <c r="A185" s="444" t="s">
        <v>98</v>
      </c>
      <c r="B185" s="445" t="s">
        <v>4986</v>
      </c>
      <c r="C185" s="458" t="s">
        <v>4987</v>
      </c>
      <c r="D185" s="449">
        <v>4696470.0</v>
      </c>
      <c r="E185" s="447" t="s">
        <v>255</v>
      </c>
      <c r="F185" s="447" t="s">
        <v>199</v>
      </c>
      <c r="G185" s="447" t="s">
        <v>3885</v>
      </c>
      <c r="H185" s="447" t="str">
        <f>IFERROR(VLOOKUP(G185,'Cadastro de assessores'!A:B,2,FALSE),"Não Cadastrado")</f>
        <v>17243</v>
      </c>
      <c r="I185" s="447"/>
      <c r="J185" s="49" t="s">
        <v>2318</v>
      </c>
      <c r="K185" s="449" t="s">
        <v>295</v>
      </c>
      <c r="L185" s="451">
        <v>44193.0</v>
      </c>
      <c r="M185" s="451">
        <v>44195.0</v>
      </c>
      <c r="N185" s="449"/>
      <c r="O185" s="449" t="s">
        <v>2365</v>
      </c>
      <c r="P185" s="452">
        <v>0.012</v>
      </c>
      <c r="Q185" s="461"/>
      <c r="R185" s="453"/>
      <c r="S185" s="449" t="str">
        <f t="shared" si="18"/>
        <v>Não Qualificado</v>
      </c>
      <c r="T185" s="449" t="s">
        <v>194</v>
      </c>
      <c r="U185" s="449" t="s">
        <v>2343</v>
      </c>
      <c r="V185" s="449" t="s">
        <v>199</v>
      </c>
      <c r="W185" s="455" t="s">
        <v>2344</v>
      </c>
      <c r="X185" s="455" t="s">
        <v>2344</v>
      </c>
      <c r="Y185" s="455" t="s">
        <v>2344</v>
      </c>
      <c r="Z185" s="455" t="s">
        <v>2344</v>
      </c>
      <c r="AA185" s="455" t="s">
        <v>2344</v>
      </c>
      <c r="AB185" s="455" t="s">
        <v>2344</v>
      </c>
      <c r="AC185" s="455" t="s">
        <v>2344</v>
      </c>
      <c r="AD185" s="455" t="s">
        <v>2344</v>
      </c>
      <c r="AE185" s="455" t="s">
        <v>2344</v>
      </c>
      <c r="AF185" s="455" t="s">
        <v>2344</v>
      </c>
      <c r="AG185" s="455" t="s">
        <v>2344</v>
      </c>
      <c r="AH185" s="455" t="s">
        <v>2344</v>
      </c>
      <c r="AI185" s="455" t="s">
        <v>2344</v>
      </c>
      <c r="AJ185" s="455" t="s">
        <v>2344</v>
      </c>
      <c r="AK185" s="456">
        <v>330663.71</v>
      </c>
      <c r="AL185" s="456">
        <v>327919.39</v>
      </c>
      <c r="AM185" s="456">
        <v>324320.47</v>
      </c>
      <c r="AN185" s="456">
        <v>324101.44</v>
      </c>
      <c r="AO185" s="456">
        <v>328583.39</v>
      </c>
      <c r="AP185" s="456">
        <v>104.99</v>
      </c>
      <c r="AQ185" s="456">
        <v>104.99</v>
      </c>
      <c r="AR185" s="456">
        <v>105.0</v>
      </c>
      <c r="AS185" s="456">
        <v>107.77</v>
      </c>
      <c r="AT185" s="456">
        <v>107.55</v>
      </c>
      <c r="AU185" s="456">
        <v>107.33</v>
      </c>
      <c r="AV185" s="456">
        <v>56.06</v>
      </c>
      <c r="AW185" s="456">
        <v>106.92</v>
      </c>
      <c r="AX185" s="456">
        <v>106.72</v>
      </c>
      <c r="AY185" s="456">
        <v>50.62</v>
      </c>
      <c r="AZ185" s="456">
        <v>50.62</v>
      </c>
      <c r="BA185" s="456">
        <v>50.62</v>
      </c>
      <c r="BB185" s="456">
        <v>50.62</v>
      </c>
      <c r="BC185" s="456">
        <v>90375.06</v>
      </c>
      <c r="BD185" s="456">
        <v>51.81</v>
      </c>
      <c r="BE185" s="456">
        <v>51.81</v>
      </c>
      <c r="BF185" s="456">
        <v>51.82</v>
      </c>
      <c r="BG185" s="456">
        <v>51.82</v>
      </c>
      <c r="BH185" s="456">
        <v>51.82</v>
      </c>
      <c r="BI185" s="456">
        <v>51.82</v>
      </c>
      <c r="BJ185" s="456">
        <v>51.82</v>
      </c>
      <c r="BK185" s="456">
        <v>51.82</v>
      </c>
      <c r="BL185" s="456">
        <v>51.82</v>
      </c>
      <c r="BM185" s="456">
        <v>51.82</v>
      </c>
      <c r="BN185" s="456">
        <v>51.82</v>
      </c>
      <c r="BO185" s="456">
        <v>51.82</v>
      </c>
      <c r="BP185" s="456">
        <v>51.82</v>
      </c>
      <c r="BQ185" s="456">
        <v>51.82</v>
      </c>
      <c r="BR185" s="456">
        <v>51.82</v>
      </c>
      <c r="BS185" s="90">
        <v>0.0</v>
      </c>
      <c r="BT185" s="90"/>
    </row>
    <row r="186" ht="15.75" customHeight="1">
      <c r="A186" s="444" t="s">
        <v>98</v>
      </c>
      <c r="B186" s="445" t="s">
        <v>4995</v>
      </c>
      <c r="C186" s="468" t="s">
        <v>4996</v>
      </c>
      <c r="D186" s="446">
        <v>4929433.0</v>
      </c>
      <c r="E186" s="447" t="s">
        <v>120</v>
      </c>
      <c r="F186" s="447" t="s">
        <v>199</v>
      </c>
      <c r="G186" s="447" t="s">
        <v>4701</v>
      </c>
      <c r="H186" s="447" t="str">
        <f>IFERROR(VLOOKUP(G186,'Cadastro de assessores'!A:B,2,FALSE),"Não Cadastrado")</f>
        <v>1633</v>
      </c>
      <c r="I186" s="447"/>
      <c r="J186" s="49" t="s">
        <v>2318</v>
      </c>
      <c r="K186" s="449" t="s">
        <v>3320</v>
      </c>
      <c r="L186" s="449" t="s">
        <v>3320</v>
      </c>
      <c r="M186" s="548" t="s">
        <v>584</v>
      </c>
      <c r="N186" s="446"/>
      <c r="O186" s="446" t="s">
        <v>2452</v>
      </c>
      <c r="P186" s="452">
        <v>0.008</v>
      </c>
      <c r="Q186" s="330"/>
      <c r="R186" s="453"/>
      <c r="S186" s="449" t="str">
        <f t="shared" si="18"/>
        <v>Não Qualificado</v>
      </c>
      <c r="T186" s="449" t="s">
        <v>194</v>
      </c>
      <c r="U186" s="449" t="s">
        <v>2343</v>
      </c>
      <c r="V186" s="449" t="s">
        <v>199</v>
      </c>
      <c r="W186" s="454"/>
      <c r="X186" s="454"/>
      <c r="Y186" s="454"/>
      <c r="Z186" s="454"/>
      <c r="AA186" s="454"/>
      <c r="AB186" s="454"/>
      <c r="AC186" s="454"/>
      <c r="AD186" s="454"/>
      <c r="AE186" s="454"/>
      <c r="AF186" s="454"/>
      <c r="AG186" s="454"/>
      <c r="AH186" s="454"/>
      <c r="AI186" s="454"/>
      <c r="AJ186" s="454"/>
      <c r="AK186" s="456"/>
      <c r="AL186" s="456"/>
      <c r="AM186" s="456"/>
      <c r="AN186" s="456"/>
      <c r="AO186" s="456"/>
      <c r="AP186" s="456"/>
      <c r="AQ186" s="454"/>
      <c r="AR186" s="481"/>
      <c r="AS186" s="456"/>
      <c r="AT186" s="456"/>
      <c r="AU186" s="456"/>
      <c r="AV186" s="456"/>
      <c r="AW186" s="456"/>
      <c r="AX186" s="456"/>
      <c r="AY186" s="456"/>
      <c r="AZ186" s="456"/>
      <c r="BA186" s="456">
        <v>0.0</v>
      </c>
      <c r="BB186" s="456">
        <v>0.0</v>
      </c>
      <c r="BC186" s="456">
        <v>96206.97</v>
      </c>
      <c r="BD186" s="456" t="s">
        <v>377</v>
      </c>
      <c r="BE186" s="456" t="s">
        <v>377</v>
      </c>
      <c r="BF186" s="456">
        <v>0.0</v>
      </c>
      <c r="BG186" s="456">
        <v>0.0</v>
      </c>
      <c r="BH186" s="456">
        <v>0.0</v>
      </c>
      <c r="BI186" s="456">
        <v>0.0</v>
      </c>
      <c r="BJ186" s="456">
        <v>0.0</v>
      </c>
      <c r="BK186" s="456">
        <v>0.0</v>
      </c>
      <c r="BL186" s="456">
        <v>0.0</v>
      </c>
      <c r="BM186" s="456">
        <v>0.0</v>
      </c>
      <c r="BN186" s="456">
        <v>0.0</v>
      </c>
      <c r="BO186" s="456">
        <v>0.0</v>
      </c>
      <c r="BP186" s="456">
        <v>0.0</v>
      </c>
      <c r="BQ186" s="456">
        <v>0.0</v>
      </c>
      <c r="BR186" s="456">
        <v>0.0</v>
      </c>
      <c r="BS186" s="90">
        <v>0.0</v>
      </c>
      <c r="BT186" s="90"/>
    </row>
    <row r="187" ht="15.75" customHeight="1">
      <c r="A187" s="444" t="s">
        <v>98</v>
      </c>
      <c r="B187" s="445" t="s">
        <v>5000</v>
      </c>
      <c r="C187" s="468" t="s">
        <v>5001</v>
      </c>
      <c r="D187" s="446">
        <v>38592.0</v>
      </c>
      <c r="E187" s="449" t="s">
        <v>255</v>
      </c>
      <c r="F187" s="449" t="s">
        <v>199</v>
      </c>
      <c r="G187" s="449" t="s">
        <v>4755</v>
      </c>
      <c r="H187" s="449" t="str">
        <f>IFERROR(VLOOKUP(G187,'Cadastro de assessores'!A:B,2,FALSE),"Não Cadastrado")</f>
        <v>11113</v>
      </c>
      <c r="I187" s="449"/>
      <c r="J187" s="49" t="s">
        <v>224</v>
      </c>
      <c r="K187" s="449" t="s">
        <v>2340</v>
      </c>
      <c r="L187" s="460">
        <v>44407.0</v>
      </c>
      <c r="M187" s="460">
        <v>44407.0</v>
      </c>
      <c r="N187" s="616">
        <v>44516.0</v>
      </c>
      <c r="O187" s="446" t="s">
        <v>2341</v>
      </c>
      <c r="P187" s="452">
        <v>0.015</v>
      </c>
      <c r="Q187" s="330" t="s">
        <v>5003</v>
      </c>
      <c r="R187" s="453"/>
      <c r="S187" s="449" t="str">
        <f t="shared" si="18"/>
        <v>Não Qualificado</v>
      </c>
      <c r="T187" s="449" t="s">
        <v>194</v>
      </c>
      <c r="U187" s="446" t="s">
        <v>4296</v>
      </c>
      <c r="V187" s="446" t="s">
        <v>199</v>
      </c>
      <c r="W187" s="454"/>
      <c r="X187" s="454"/>
      <c r="Y187" s="454"/>
      <c r="Z187" s="454"/>
      <c r="AA187" s="454"/>
      <c r="AB187" s="454"/>
      <c r="AC187" s="454"/>
      <c r="AD187" s="454"/>
      <c r="AE187" s="454"/>
      <c r="AF187" s="454"/>
      <c r="AG187" s="454"/>
      <c r="AH187" s="454"/>
      <c r="AI187" s="456"/>
      <c r="AJ187" s="456"/>
      <c r="AK187" s="456"/>
      <c r="AL187" s="456"/>
      <c r="AM187" s="456"/>
      <c r="AN187" s="456"/>
      <c r="AO187" s="454"/>
      <c r="AP187" s="481"/>
      <c r="AQ187" s="456"/>
      <c r="AR187" s="454"/>
      <c r="AS187" s="454"/>
      <c r="AT187" s="481">
        <v>98440.45</v>
      </c>
      <c r="AU187" s="481">
        <v>95789.2</v>
      </c>
      <c r="AV187" s="456">
        <v>94545.98</v>
      </c>
      <c r="AW187" s="456">
        <v>91589.07</v>
      </c>
      <c r="AX187" s="456"/>
      <c r="AY187" s="456"/>
      <c r="AZ187" s="456"/>
      <c r="BA187" s="456">
        <v>0.0</v>
      </c>
      <c r="BB187" s="456">
        <v>0.0</v>
      </c>
      <c r="BC187" s="456">
        <v>197238.58</v>
      </c>
      <c r="BD187" s="456" t="s">
        <v>377</v>
      </c>
      <c r="BE187" s="456" t="s">
        <v>377</v>
      </c>
      <c r="BF187" s="456">
        <v>0.0</v>
      </c>
      <c r="BG187" s="456">
        <v>0.0</v>
      </c>
      <c r="BH187" s="456">
        <v>0.0</v>
      </c>
      <c r="BI187" s="456">
        <v>0.0</v>
      </c>
      <c r="BJ187" s="456">
        <v>0.0</v>
      </c>
      <c r="BK187" s="456">
        <v>0.0</v>
      </c>
      <c r="BL187" s="456">
        <v>0.0</v>
      </c>
      <c r="BM187" s="456">
        <v>0.0</v>
      </c>
      <c r="BN187" s="456">
        <v>0.0</v>
      </c>
      <c r="BO187" s="456">
        <v>0.0</v>
      </c>
      <c r="BP187" s="456">
        <v>0.0</v>
      </c>
      <c r="BQ187" s="456">
        <v>0.0</v>
      </c>
      <c r="BR187" s="456">
        <v>0.0</v>
      </c>
      <c r="BS187" s="90" t="s">
        <v>268</v>
      </c>
      <c r="BT187" s="90"/>
    </row>
    <row r="188" ht="15.75" customHeight="1">
      <c r="A188" s="444" t="s">
        <v>98</v>
      </c>
      <c r="B188" s="445" t="s">
        <v>5005</v>
      </c>
      <c r="C188" s="458" t="s">
        <v>5006</v>
      </c>
      <c r="D188" s="449">
        <v>4568576.0</v>
      </c>
      <c r="E188" s="447" t="s">
        <v>255</v>
      </c>
      <c r="F188" s="447" t="s">
        <v>199</v>
      </c>
      <c r="G188" s="447" t="s">
        <v>3979</v>
      </c>
      <c r="H188" s="447" t="str">
        <f>IFERROR(VLOOKUP(G188,'Cadastro de assessores'!A:B,2,FALSE),"Não Cadastrado")</f>
        <v>19157</v>
      </c>
      <c r="I188" s="447"/>
      <c r="J188" s="49" t="s">
        <v>2318</v>
      </c>
      <c r="K188" s="449" t="s">
        <v>183</v>
      </c>
      <c r="L188" s="451">
        <v>44138.0</v>
      </c>
      <c r="M188" s="451">
        <v>44145.0</v>
      </c>
      <c r="N188" s="446"/>
      <c r="O188" s="446" t="s">
        <v>2319</v>
      </c>
      <c r="P188" s="452">
        <v>0.02</v>
      </c>
      <c r="Q188" s="461" t="s">
        <v>5007</v>
      </c>
      <c r="R188" s="453"/>
      <c r="S188" s="449" t="str">
        <f t="shared" si="18"/>
        <v/>
      </c>
      <c r="T188" s="449" t="s">
        <v>194</v>
      </c>
      <c r="U188" s="449" t="s">
        <v>3955</v>
      </c>
      <c r="V188" s="449" t="s">
        <v>618</v>
      </c>
      <c r="W188" s="455" t="s">
        <v>2344</v>
      </c>
      <c r="X188" s="455" t="s">
        <v>2344</v>
      </c>
      <c r="Y188" s="455" t="s">
        <v>2344</v>
      </c>
      <c r="Z188" s="455" t="s">
        <v>2344</v>
      </c>
      <c r="AA188" s="455" t="s">
        <v>2344</v>
      </c>
      <c r="AB188" s="455" t="s">
        <v>2344</v>
      </c>
      <c r="AC188" s="455" t="s">
        <v>2344</v>
      </c>
      <c r="AD188" s="455" t="s">
        <v>2344</v>
      </c>
      <c r="AE188" s="455" t="s">
        <v>2344</v>
      </c>
      <c r="AF188" s="455" t="s">
        <v>2344</v>
      </c>
      <c r="AG188" s="455" t="s">
        <v>2344</v>
      </c>
      <c r="AH188" s="455" t="s">
        <v>2344</v>
      </c>
      <c r="AI188" s="455" t="s">
        <v>2344</v>
      </c>
      <c r="AJ188" s="455" t="s">
        <v>5008</v>
      </c>
      <c r="AK188" s="456">
        <v>162899.53</v>
      </c>
      <c r="AL188" s="456">
        <v>159876.14</v>
      </c>
      <c r="AM188" s="456">
        <v>198929.44</v>
      </c>
      <c r="AN188" s="456">
        <v>198512.77</v>
      </c>
      <c r="AO188" s="456">
        <v>134271.19</v>
      </c>
      <c r="AP188" s="456">
        <v>135980.59</v>
      </c>
      <c r="AQ188" s="456">
        <v>134736.41</v>
      </c>
      <c r="AR188" s="456">
        <v>140789.13</v>
      </c>
      <c r="AS188" s="456">
        <v>129898.4</v>
      </c>
      <c r="AT188" s="456">
        <v>78745.34</v>
      </c>
      <c r="AU188" s="456">
        <v>78615.02</v>
      </c>
      <c r="AV188" s="456">
        <v>65210.43</v>
      </c>
      <c r="AW188" s="456">
        <v>60826.24</v>
      </c>
      <c r="AX188" s="456">
        <v>55218.08</v>
      </c>
      <c r="AY188" s="456">
        <v>46001.82</v>
      </c>
      <c r="AZ188" s="456">
        <v>43601.12</v>
      </c>
      <c r="BA188" s="456">
        <v>22282.23</v>
      </c>
      <c r="BB188" s="456">
        <v>19520.25</v>
      </c>
      <c r="BC188" s="456"/>
      <c r="BD188" s="456">
        <v>3277.2</v>
      </c>
      <c r="BE188" s="456">
        <v>156.59</v>
      </c>
      <c r="BF188" s="456">
        <v>156.6</v>
      </c>
      <c r="BG188" s="456">
        <v>156.61</v>
      </c>
      <c r="BH188" s="456">
        <v>156.61</v>
      </c>
      <c r="BI188" s="456">
        <v>156.61</v>
      </c>
      <c r="BJ188" s="456">
        <v>0.0</v>
      </c>
      <c r="BK188" s="456">
        <v>0.0</v>
      </c>
      <c r="BL188" s="456">
        <v>0.0</v>
      </c>
      <c r="BM188" s="456">
        <v>0.0</v>
      </c>
      <c r="BN188" s="456">
        <v>0.0</v>
      </c>
      <c r="BO188" s="456">
        <v>0.0</v>
      </c>
      <c r="BP188" s="456">
        <v>0.0</v>
      </c>
      <c r="BQ188" s="456">
        <v>0.0</v>
      </c>
      <c r="BR188" s="456">
        <v>0.0</v>
      </c>
      <c r="BS188" s="90" t="s">
        <v>268</v>
      </c>
      <c r="BT188" s="90"/>
    </row>
    <row r="189" ht="15.75" customHeight="1">
      <c r="A189" s="444" t="s">
        <v>98</v>
      </c>
      <c r="B189" s="445" t="s">
        <v>5010</v>
      </c>
      <c r="C189" s="458" t="s">
        <v>5011</v>
      </c>
      <c r="D189" s="449">
        <v>2089993.0</v>
      </c>
      <c r="E189" s="447" t="s">
        <v>120</v>
      </c>
      <c r="F189" s="447" t="s">
        <v>199</v>
      </c>
      <c r="G189" s="447" t="s">
        <v>1108</v>
      </c>
      <c r="H189" s="449" t="str">
        <f>IFERROR(VLOOKUP(G189,'Cadastro de assessores'!A:B,2,FALSE),"Não Cadastrado")</f>
        <v>18836</v>
      </c>
      <c r="I189" s="447"/>
      <c r="J189" s="49" t="s">
        <v>2318</v>
      </c>
      <c r="K189" s="447"/>
      <c r="L189" s="450"/>
      <c r="M189" s="450"/>
      <c r="N189" s="449"/>
      <c r="O189" s="449" t="s">
        <v>2356</v>
      </c>
      <c r="P189" s="452">
        <v>0.01</v>
      </c>
      <c r="Q189" s="461"/>
      <c r="R189" s="453"/>
      <c r="S189" s="449"/>
      <c r="T189" s="449"/>
      <c r="U189" s="449"/>
      <c r="V189" s="449" t="s">
        <v>397</v>
      </c>
      <c r="W189" s="455"/>
      <c r="X189" s="455"/>
      <c r="Y189" s="455"/>
      <c r="Z189" s="455"/>
      <c r="AA189" s="455"/>
      <c r="AB189" s="455"/>
      <c r="AC189" s="455"/>
      <c r="AD189" s="455"/>
      <c r="AE189" s="455"/>
      <c r="AF189" s="455"/>
      <c r="AG189" s="455"/>
      <c r="AH189" s="455"/>
      <c r="AI189" s="455"/>
      <c r="AJ189" s="455"/>
      <c r="AK189" s="456"/>
      <c r="AL189" s="456"/>
      <c r="AM189" s="456"/>
      <c r="AN189" s="456"/>
      <c r="AO189" s="456"/>
      <c r="AP189" s="456"/>
      <c r="AQ189" s="456"/>
      <c r="AR189" s="456"/>
      <c r="AS189" s="456"/>
      <c r="AT189" s="456"/>
      <c r="AU189" s="456"/>
      <c r="AV189" s="456"/>
      <c r="AW189" s="456"/>
      <c r="AX189" s="456"/>
      <c r="AY189" s="456"/>
      <c r="AZ189" s="456"/>
      <c r="BA189" s="456"/>
      <c r="BB189" s="456"/>
      <c r="BC189" s="456"/>
      <c r="BD189" s="456"/>
      <c r="BE189" s="456"/>
      <c r="BF189" s="456"/>
      <c r="BG189" s="456"/>
      <c r="BH189" s="456">
        <v>0.0</v>
      </c>
      <c r="BI189" s="456">
        <v>39488.76</v>
      </c>
      <c r="BJ189" s="456">
        <v>39890.48</v>
      </c>
      <c r="BK189" s="456">
        <v>40296.49</v>
      </c>
      <c r="BL189" s="456">
        <v>40154.92</v>
      </c>
      <c r="BM189" s="456">
        <v>40537.74</v>
      </c>
      <c r="BN189" s="456">
        <v>39968.64</v>
      </c>
      <c r="BO189" s="456">
        <v>40163.73</v>
      </c>
      <c r="BP189" s="456">
        <v>3153.5</v>
      </c>
      <c r="BQ189" s="456">
        <v>105.9</v>
      </c>
      <c r="BR189" s="456">
        <v>0.0</v>
      </c>
      <c r="BS189" s="90">
        <v>0.0</v>
      </c>
      <c r="BT189" s="90"/>
    </row>
    <row r="190" ht="15.75" customHeight="1">
      <c r="A190" s="444" t="s">
        <v>98</v>
      </c>
      <c r="B190" s="445" t="s">
        <v>5019</v>
      </c>
      <c r="C190" s="468" t="s">
        <v>5020</v>
      </c>
      <c r="D190" s="446">
        <v>5907461.0</v>
      </c>
      <c r="E190" s="449" t="s">
        <v>120</v>
      </c>
      <c r="F190" s="449" t="s">
        <v>199</v>
      </c>
      <c r="G190" s="449" t="s">
        <v>1174</v>
      </c>
      <c r="H190" s="449" t="str">
        <f>IFERROR(VLOOKUP(G190,'Cadastro de assessores'!A:B,2,FALSE),"Não Cadastrado")</f>
        <v>18266</v>
      </c>
      <c r="I190" s="449"/>
      <c r="J190" s="49" t="s">
        <v>224</v>
      </c>
      <c r="K190" s="449" t="s">
        <v>2340</v>
      </c>
      <c r="L190" s="460">
        <v>44405.0</v>
      </c>
      <c r="M190" s="460">
        <v>44405.0</v>
      </c>
      <c r="N190" s="508">
        <v>44677.0</v>
      </c>
      <c r="O190" s="446" t="s">
        <v>2372</v>
      </c>
      <c r="P190" s="452">
        <v>0.025</v>
      </c>
      <c r="Q190" s="330" t="s">
        <v>5023</v>
      </c>
      <c r="R190" s="453"/>
      <c r="S190" s="449" t="str">
        <f>IF(BC190&lt;=0,"",IF(BC190&lt;=1000000,"Não Qualificado",IF(AND(BC190&gt;1000000,BC190&lt;=10000000),"Qualificado","Profissional")))</f>
        <v>Não Qualificado</v>
      </c>
      <c r="T190" s="449" t="s">
        <v>194</v>
      </c>
      <c r="U190" s="446" t="s">
        <v>3820</v>
      </c>
      <c r="V190" s="446" t="s">
        <v>397</v>
      </c>
      <c r="W190" s="454"/>
      <c r="X190" s="454"/>
      <c r="Y190" s="454"/>
      <c r="Z190" s="454"/>
      <c r="AA190" s="454"/>
      <c r="AB190" s="454"/>
      <c r="AC190" s="454"/>
      <c r="AD190" s="454"/>
      <c r="AE190" s="454"/>
      <c r="AF190" s="454"/>
      <c r="AG190" s="454"/>
      <c r="AH190" s="454"/>
      <c r="AI190" s="454"/>
      <c r="AJ190" s="456"/>
      <c r="AK190" s="456"/>
      <c r="AL190" s="456"/>
      <c r="AM190" s="456"/>
      <c r="AN190" s="456"/>
      <c r="AO190" s="456"/>
      <c r="AP190" s="454"/>
      <c r="AQ190" s="481"/>
      <c r="AR190" s="456"/>
      <c r="AS190" s="454"/>
      <c r="AT190" s="481">
        <v>125235.44</v>
      </c>
      <c r="AU190" s="481">
        <v>127171.85</v>
      </c>
      <c r="AV190" s="456">
        <v>119921.88</v>
      </c>
      <c r="AW190" s="456">
        <v>110341.45</v>
      </c>
      <c r="AX190" s="456">
        <v>109040.25</v>
      </c>
      <c r="AY190" s="456">
        <v>111150.09</v>
      </c>
      <c r="AZ190" s="456">
        <v>118162.63</v>
      </c>
      <c r="BA190" s="456">
        <v>119585.83</v>
      </c>
      <c r="BB190" s="456">
        <v>126794.66</v>
      </c>
      <c r="BC190" s="456">
        <v>99207.37</v>
      </c>
      <c r="BD190" s="456" t="s">
        <v>377</v>
      </c>
      <c r="BE190" s="456" t="s">
        <v>377</v>
      </c>
      <c r="BF190" s="456">
        <v>0.0</v>
      </c>
      <c r="BG190" s="456">
        <v>0.0</v>
      </c>
      <c r="BH190" s="456">
        <v>0.0</v>
      </c>
      <c r="BI190" s="456">
        <v>0.0</v>
      </c>
      <c r="BJ190" s="456">
        <v>0.0</v>
      </c>
      <c r="BK190" s="456">
        <v>0.0</v>
      </c>
      <c r="BL190" s="456">
        <v>0.0</v>
      </c>
      <c r="BM190" s="456">
        <v>0.0</v>
      </c>
      <c r="BN190" s="456">
        <v>0.0</v>
      </c>
      <c r="BO190" s="456">
        <v>0.0</v>
      </c>
      <c r="BP190" s="456">
        <v>0.0</v>
      </c>
      <c r="BQ190" s="456">
        <v>0.0</v>
      </c>
      <c r="BR190" s="456">
        <v>0.0</v>
      </c>
      <c r="BS190" s="90" t="s">
        <v>268</v>
      </c>
      <c r="BT190" s="90"/>
    </row>
    <row r="191" ht="15.75" customHeight="1">
      <c r="A191" s="444" t="s">
        <v>98</v>
      </c>
      <c r="B191" s="445" t="s">
        <v>5028</v>
      </c>
      <c r="C191" s="458" t="s">
        <v>5029</v>
      </c>
      <c r="D191" s="449">
        <v>8699747.0</v>
      </c>
      <c r="E191" s="447" t="s">
        <v>120</v>
      </c>
      <c r="F191" s="447" t="s">
        <v>199</v>
      </c>
      <c r="G191" s="447" t="s">
        <v>1914</v>
      </c>
      <c r="H191" s="449">
        <f>IFERROR(VLOOKUP(G191,'Cadastro de assessores'!A:B,2,FALSE),"Não Cadastrado")</f>
        <v>12359</v>
      </c>
      <c r="I191" s="449"/>
      <c r="J191" s="49" t="s">
        <v>2318</v>
      </c>
      <c r="K191" s="449" t="s">
        <v>183</v>
      </c>
      <c r="L191" s="450">
        <v>44776.0</v>
      </c>
      <c r="M191" s="450">
        <v>44778.0</v>
      </c>
      <c r="N191" s="449"/>
      <c r="O191" s="449" t="s">
        <v>2356</v>
      </c>
      <c r="P191" s="452">
        <v>0.007</v>
      </c>
      <c r="Q191" s="461"/>
      <c r="R191" s="453"/>
      <c r="S191" s="449"/>
      <c r="T191" s="449"/>
      <c r="U191" s="449"/>
      <c r="V191" s="449" t="s">
        <v>397</v>
      </c>
      <c r="W191" s="455"/>
      <c r="X191" s="455"/>
      <c r="Y191" s="455"/>
      <c r="Z191" s="455"/>
      <c r="AA191" s="455"/>
      <c r="AB191" s="455"/>
      <c r="AC191" s="455"/>
      <c r="AD191" s="455"/>
      <c r="AE191" s="455"/>
      <c r="AF191" s="455"/>
      <c r="AG191" s="455"/>
      <c r="AH191" s="455"/>
      <c r="AI191" s="455"/>
      <c r="AJ191" s="455"/>
      <c r="AK191" s="456"/>
      <c r="AL191" s="456"/>
      <c r="AM191" s="456"/>
      <c r="AN191" s="456"/>
      <c r="AO191" s="456"/>
      <c r="AP191" s="456"/>
      <c r="AQ191" s="456"/>
      <c r="AR191" s="456"/>
      <c r="AS191" s="456"/>
      <c r="AT191" s="456"/>
      <c r="AU191" s="456"/>
      <c r="AV191" s="456"/>
      <c r="AW191" s="456"/>
      <c r="AX191" s="456"/>
      <c r="AY191" s="456"/>
      <c r="AZ191" s="456"/>
      <c r="BA191" s="456"/>
      <c r="BB191" s="456"/>
      <c r="BC191" s="456"/>
      <c r="BD191" s="456"/>
      <c r="BE191" s="456"/>
      <c r="BF191" s="456">
        <v>0.0</v>
      </c>
      <c r="BG191" s="456">
        <v>9076.203149</v>
      </c>
      <c r="BH191" s="456">
        <v>10663.75</v>
      </c>
      <c r="BI191" s="456">
        <v>14782.3</v>
      </c>
      <c r="BJ191" s="456">
        <v>17416.08</v>
      </c>
      <c r="BK191" s="456">
        <v>27567.63</v>
      </c>
      <c r="BL191" s="456">
        <v>27873.01</v>
      </c>
      <c r="BM191" s="456">
        <v>28082.95</v>
      </c>
      <c r="BN191" s="456">
        <v>4472.43</v>
      </c>
      <c r="BO191" s="456">
        <v>444.51</v>
      </c>
      <c r="BP191" s="456">
        <v>444.51</v>
      </c>
      <c r="BQ191" s="456">
        <v>444.51</v>
      </c>
      <c r="BR191" s="456">
        <v>444.51</v>
      </c>
      <c r="BS191" s="90" t="s">
        <v>268</v>
      </c>
      <c r="BT191" s="90"/>
    </row>
    <row r="192" ht="15.75" customHeight="1">
      <c r="A192" s="444" t="s">
        <v>98</v>
      </c>
      <c r="B192" s="445" t="s">
        <v>5041</v>
      </c>
      <c r="C192" s="458" t="s">
        <v>5042</v>
      </c>
      <c r="D192" s="449">
        <v>4920156.0</v>
      </c>
      <c r="E192" s="447" t="s">
        <v>255</v>
      </c>
      <c r="F192" s="447" t="s">
        <v>199</v>
      </c>
      <c r="G192" s="447" t="s">
        <v>2587</v>
      </c>
      <c r="H192" s="447" t="str">
        <f>IFERROR(VLOOKUP(G192,'Cadastro de assessores'!A:B,2,FALSE),"Não Cadastrado")</f>
        <v>1298</v>
      </c>
      <c r="I192" s="447"/>
      <c r="J192" s="49" t="s">
        <v>224</v>
      </c>
      <c r="K192" s="447" t="s">
        <v>183</v>
      </c>
      <c r="L192" s="450">
        <v>44258.0</v>
      </c>
      <c r="M192" s="450">
        <v>44263.0</v>
      </c>
      <c r="N192" s="460">
        <v>44987.0</v>
      </c>
      <c r="O192" s="449" t="s">
        <v>2341</v>
      </c>
      <c r="P192" s="452">
        <v>0.015</v>
      </c>
      <c r="Q192" s="461" t="s">
        <v>5044</v>
      </c>
      <c r="R192" s="453"/>
      <c r="S192" s="449" t="str">
        <f>IF(BC192&lt;=0,"",IF(BC192&lt;=1000000,"Não Qualificado",IF(AND(BC192&gt;1000000,BC192&lt;=10000000),"Qualificado","Profissional")))</f>
        <v>Não Qualificado</v>
      </c>
      <c r="T192" s="449" t="s">
        <v>194</v>
      </c>
      <c r="U192" s="449" t="s">
        <v>2343</v>
      </c>
      <c r="V192" s="449" t="s">
        <v>199</v>
      </c>
      <c r="W192" s="455"/>
      <c r="X192" s="455"/>
      <c r="Y192" s="455"/>
      <c r="Z192" s="455"/>
      <c r="AA192" s="455"/>
      <c r="AB192" s="455"/>
      <c r="AC192" s="455"/>
      <c r="AD192" s="455"/>
      <c r="AE192" s="455"/>
      <c r="AF192" s="455"/>
      <c r="AG192" s="455"/>
      <c r="AH192" s="455"/>
      <c r="AI192" s="455"/>
      <c r="AJ192" s="455"/>
      <c r="AK192" s="456"/>
      <c r="AL192" s="456"/>
      <c r="AM192" s="456"/>
      <c r="AN192" s="456">
        <v>197755.01</v>
      </c>
      <c r="AO192" s="456">
        <v>204509.97</v>
      </c>
      <c r="AP192" s="456">
        <v>205824.31</v>
      </c>
      <c r="AQ192" s="456">
        <v>205087.85</v>
      </c>
      <c r="AR192" s="456">
        <v>209685.15</v>
      </c>
      <c r="AS192" s="456">
        <v>208293.18</v>
      </c>
      <c r="AT192" s="456">
        <v>204189.57</v>
      </c>
      <c r="AU192" s="456">
        <v>202979.1</v>
      </c>
      <c r="AV192" s="456">
        <v>197438.47</v>
      </c>
      <c r="AW192" s="456">
        <v>191217.6</v>
      </c>
      <c r="AX192" s="456">
        <v>181278.66</v>
      </c>
      <c r="AY192" s="456">
        <v>178538.54</v>
      </c>
      <c r="AZ192" s="456">
        <v>173366.31</v>
      </c>
      <c r="BA192" s="456">
        <v>175314.68</v>
      </c>
      <c r="BB192" s="456">
        <v>181217.19</v>
      </c>
      <c r="BC192" s="456">
        <v>11314.04</v>
      </c>
      <c r="BD192" s="456">
        <v>144375.16</v>
      </c>
      <c r="BE192" s="456">
        <v>128152.79</v>
      </c>
      <c r="BF192" s="456">
        <v>124878.29</v>
      </c>
      <c r="BG192" s="456">
        <v>99275.46318</v>
      </c>
      <c r="BH192" s="456">
        <v>84064.4</v>
      </c>
      <c r="BI192" s="456">
        <v>77554.24</v>
      </c>
      <c r="BJ192" s="456">
        <v>76140.46</v>
      </c>
      <c r="BK192" s="456">
        <v>80405.85</v>
      </c>
      <c r="BL192" s="456">
        <v>81515.82</v>
      </c>
      <c r="BM192" s="456">
        <v>82088.44</v>
      </c>
      <c r="BN192" s="456">
        <v>0.0</v>
      </c>
      <c r="BO192" s="456">
        <v>0.0</v>
      </c>
      <c r="BP192" s="456">
        <v>0.0</v>
      </c>
      <c r="BQ192" s="456">
        <v>0.0</v>
      </c>
      <c r="BR192" s="456">
        <v>0.0</v>
      </c>
      <c r="BS192" s="90" t="s">
        <v>268</v>
      </c>
      <c r="BT192" s="90"/>
    </row>
    <row r="193" ht="15.75" customHeight="1">
      <c r="A193" s="444" t="s">
        <v>98</v>
      </c>
      <c r="B193" s="445" t="s">
        <v>5047</v>
      </c>
      <c r="C193" s="458" t="s">
        <v>5048</v>
      </c>
      <c r="D193" s="214">
        <v>508722.0</v>
      </c>
      <c r="E193" s="447" t="s">
        <v>120</v>
      </c>
      <c r="F193" s="447" t="s">
        <v>199</v>
      </c>
      <c r="G193" s="447" t="s">
        <v>4891</v>
      </c>
      <c r="H193" s="447">
        <f>IFERROR(VLOOKUP(G193,'Cadastro de assessores'!A:B,2,FALSE),"Não Cadastrado")</f>
        <v>12355</v>
      </c>
      <c r="I193" s="447"/>
      <c r="J193" s="49" t="s">
        <v>2318</v>
      </c>
      <c r="K193" s="449" t="s">
        <v>295</v>
      </c>
      <c r="L193" s="447" t="s">
        <v>3320</v>
      </c>
      <c r="M193" s="548" t="s">
        <v>584</v>
      </c>
      <c r="N193" s="449"/>
      <c r="O193" s="449" t="s">
        <v>2356</v>
      </c>
      <c r="P193" s="452">
        <v>0.007</v>
      </c>
      <c r="Q193" s="461"/>
      <c r="R193" s="453"/>
      <c r="S193" s="449"/>
      <c r="T193" s="449" t="s">
        <v>194</v>
      </c>
      <c r="U193" s="449" t="s">
        <v>2417</v>
      </c>
      <c r="V193" s="449" t="s">
        <v>199</v>
      </c>
      <c r="W193" s="455"/>
      <c r="X193" s="455"/>
      <c r="Y193" s="455"/>
      <c r="Z193" s="455"/>
      <c r="AA193" s="455"/>
      <c r="AB193" s="455"/>
      <c r="AC193" s="455"/>
      <c r="AD193" s="455"/>
      <c r="AE193" s="455"/>
      <c r="AF193" s="455"/>
      <c r="AG193" s="455"/>
      <c r="AH193" s="455"/>
      <c r="AI193" s="455"/>
      <c r="AJ193" s="455"/>
      <c r="AK193" s="456"/>
      <c r="AL193" s="456"/>
      <c r="AM193" s="456"/>
      <c r="AN193" s="456"/>
      <c r="AO193" s="456"/>
      <c r="AP193" s="456"/>
      <c r="AQ193" s="456"/>
      <c r="AR193" s="456"/>
      <c r="AS193" s="456"/>
      <c r="AT193" s="456"/>
      <c r="AU193" s="456"/>
      <c r="AV193" s="456"/>
      <c r="AW193" s="456"/>
      <c r="AX193" s="456"/>
      <c r="AY193" s="456"/>
      <c r="AZ193" s="456"/>
      <c r="BA193" s="456"/>
      <c r="BB193" s="456"/>
      <c r="BC193" s="456"/>
      <c r="BD193" s="456"/>
      <c r="BE193" s="456" t="s">
        <v>377</v>
      </c>
      <c r="BF193" s="456">
        <v>0.0</v>
      </c>
      <c r="BG193" s="456">
        <v>0.0</v>
      </c>
      <c r="BH193" s="456">
        <v>0.0</v>
      </c>
      <c r="BI193" s="456">
        <v>0.0</v>
      </c>
      <c r="BJ193" s="456">
        <v>0.0</v>
      </c>
      <c r="BK193" s="456">
        <v>0.0</v>
      </c>
      <c r="BL193" s="456">
        <v>0.0</v>
      </c>
      <c r="BM193" s="456">
        <v>0.0</v>
      </c>
      <c r="BN193" s="456">
        <v>0.0</v>
      </c>
      <c r="BO193" s="456">
        <v>0.0</v>
      </c>
      <c r="BP193" s="456">
        <v>0.0</v>
      </c>
      <c r="BQ193" s="456">
        <v>0.0</v>
      </c>
      <c r="BR193" s="456">
        <v>0.0</v>
      </c>
      <c r="BS193" s="90">
        <v>0.0</v>
      </c>
      <c r="BT193" s="90"/>
    </row>
    <row r="194" ht="15.75" customHeight="1">
      <c r="A194" s="444" t="s">
        <v>98</v>
      </c>
      <c r="B194" s="445" t="s">
        <v>5055</v>
      </c>
      <c r="C194" s="458" t="s">
        <v>5056</v>
      </c>
      <c r="D194" s="449">
        <v>4858869.0</v>
      </c>
      <c r="E194" s="449" t="s">
        <v>255</v>
      </c>
      <c r="F194" s="449" t="s">
        <v>199</v>
      </c>
      <c r="G194" s="449" t="s">
        <v>548</v>
      </c>
      <c r="H194" s="449" t="str">
        <f>IFERROR(VLOOKUP(G194,'Cadastro de assessores'!A:B,2,FALSE),"Não Cadastrado")</f>
        <v>14574</v>
      </c>
      <c r="I194" s="449"/>
      <c r="J194" s="49" t="s">
        <v>224</v>
      </c>
      <c r="K194" s="449" t="s">
        <v>2340</v>
      </c>
      <c r="L194" s="460">
        <v>44238.0</v>
      </c>
      <c r="M194" s="460">
        <v>44238.0</v>
      </c>
      <c r="N194" s="508">
        <v>44504.0</v>
      </c>
      <c r="O194" s="446" t="s">
        <v>2319</v>
      </c>
      <c r="P194" s="452">
        <v>0.02</v>
      </c>
      <c r="Q194" s="330" t="s">
        <v>5058</v>
      </c>
      <c r="R194" s="453"/>
      <c r="S194" s="449" t="str">
        <f>IF(BC194&lt;=0,"",IF(BC194&lt;=1000000,"Não Qualificado",IF(AND(BC194&gt;1000000,BC194&lt;=10000000),"Qualificado","Profissional")))</f>
        <v>Não Qualificado</v>
      </c>
      <c r="T194" s="449" t="s">
        <v>234</v>
      </c>
      <c r="U194" s="449" t="s">
        <v>3383</v>
      </c>
      <c r="V194" s="449" t="s">
        <v>199</v>
      </c>
      <c r="W194" s="455"/>
      <c r="X194" s="455"/>
      <c r="Y194" s="455"/>
      <c r="Z194" s="455"/>
      <c r="AA194" s="455"/>
      <c r="AB194" s="455"/>
      <c r="AC194" s="455"/>
      <c r="AD194" s="455"/>
      <c r="AE194" s="455"/>
      <c r="AF194" s="455"/>
      <c r="AG194" s="455"/>
      <c r="AH194" s="455"/>
      <c r="AI194" s="455"/>
      <c r="AJ194" s="455"/>
      <c r="AK194" s="456"/>
      <c r="AL194" s="456"/>
      <c r="AM194" s="456">
        <v>236336.84</v>
      </c>
      <c r="AN194" s="456">
        <v>236905.27</v>
      </c>
      <c r="AO194" s="456">
        <v>249218.39</v>
      </c>
      <c r="AP194" s="456">
        <v>251379.17</v>
      </c>
      <c r="AQ194" s="456">
        <v>249803.6</v>
      </c>
      <c r="AR194" s="456">
        <v>257602.19</v>
      </c>
      <c r="AS194" s="456">
        <v>314624.05</v>
      </c>
      <c r="AT194" s="456">
        <v>304616.61</v>
      </c>
      <c r="AU194" s="456">
        <v>300770.15</v>
      </c>
      <c r="AV194" s="456">
        <v>291859.89</v>
      </c>
      <c r="AW194" s="456">
        <v>277326.61</v>
      </c>
      <c r="AX194" s="456"/>
      <c r="AY194" s="456"/>
      <c r="AZ194" s="456"/>
      <c r="BA194" s="456">
        <v>0.0</v>
      </c>
      <c r="BB194" s="456">
        <v>0.0</v>
      </c>
      <c r="BC194" s="456">
        <v>646.81</v>
      </c>
      <c r="BD194" s="456" t="s">
        <v>377</v>
      </c>
      <c r="BE194" s="456" t="s">
        <v>377</v>
      </c>
      <c r="BF194" s="456">
        <v>0.0</v>
      </c>
      <c r="BG194" s="456">
        <v>0.0</v>
      </c>
      <c r="BH194" s="456">
        <v>0.0</v>
      </c>
      <c r="BI194" s="456">
        <v>0.0</v>
      </c>
      <c r="BJ194" s="456">
        <v>0.0</v>
      </c>
      <c r="BK194" s="456">
        <v>0.0</v>
      </c>
      <c r="BL194" s="456">
        <v>0.0</v>
      </c>
      <c r="BM194" s="456">
        <v>0.0</v>
      </c>
      <c r="BN194" s="456">
        <v>0.0</v>
      </c>
      <c r="BO194" s="456">
        <v>0.0</v>
      </c>
      <c r="BP194" s="456">
        <v>0.0</v>
      </c>
      <c r="BQ194" s="456">
        <v>0.0</v>
      </c>
      <c r="BR194" s="456">
        <v>0.0</v>
      </c>
      <c r="BS194" s="90" t="s">
        <v>268</v>
      </c>
      <c r="BT194" s="90"/>
    </row>
    <row r="195" ht="15.75" customHeight="1">
      <c r="A195" s="444" t="s">
        <v>98</v>
      </c>
      <c r="B195" s="445" t="s">
        <v>5067</v>
      </c>
      <c r="C195" s="458" t="s">
        <v>5068</v>
      </c>
      <c r="D195" s="675">
        <v>6480547.0</v>
      </c>
      <c r="E195" s="449" t="s">
        <v>120</v>
      </c>
      <c r="F195" s="449" t="s">
        <v>54</v>
      </c>
      <c r="G195" s="449" t="s">
        <v>379</v>
      </c>
      <c r="H195" s="449" t="str">
        <f>IFERROR(VLOOKUP(G195,'Cadastro de assessores'!A:B,2,FALSE),"Não Cadastrado")</f>
        <v>18009</v>
      </c>
      <c r="I195" s="449"/>
      <c r="J195" s="49" t="s">
        <v>224</v>
      </c>
      <c r="K195" s="449" t="s">
        <v>295</v>
      </c>
      <c r="L195" s="449" t="s">
        <v>3320</v>
      </c>
      <c r="M195" s="460">
        <v>44824.0</v>
      </c>
      <c r="N195" s="508">
        <v>44886.0</v>
      </c>
      <c r="O195" s="446" t="s">
        <v>2356</v>
      </c>
      <c r="P195" s="452">
        <v>0.01</v>
      </c>
      <c r="Q195" s="330" t="s">
        <v>5070</v>
      </c>
      <c r="R195" s="453"/>
      <c r="S195" s="449"/>
      <c r="T195" s="446"/>
      <c r="U195" s="446"/>
      <c r="V195" s="446" t="s">
        <v>3320</v>
      </c>
      <c r="W195" s="454"/>
      <c r="X195" s="454"/>
      <c r="Y195" s="454"/>
      <c r="Z195" s="454"/>
      <c r="AA195" s="454"/>
      <c r="AB195" s="454"/>
      <c r="AC195" s="454"/>
      <c r="AD195" s="454"/>
      <c r="AE195" s="454"/>
      <c r="AF195" s="454"/>
      <c r="AG195" s="454"/>
      <c r="AH195" s="454"/>
      <c r="AI195" s="455"/>
      <c r="AJ195" s="456"/>
      <c r="AK195" s="456"/>
      <c r="AL195" s="456"/>
      <c r="AM195" s="456"/>
      <c r="AN195" s="456"/>
      <c r="AO195" s="456"/>
      <c r="AP195" s="456"/>
      <c r="AQ195" s="456"/>
      <c r="AR195" s="456"/>
      <c r="AS195" s="456"/>
      <c r="AT195" s="456"/>
      <c r="AU195" s="454"/>
      <c r="AV195" s="456"/>
      <c r="AW195" s="456"/>
      <c r="AX195" s="456"/>
      <c r="AY195" s="456"/>
      <c r="AZ195" s="456"/>
      <c r="BA195" s="456"/>
      <c r="BB195" s="456"/>
      <c r="BC195" s="456"/>
      <c r="BD195" s="456"/>
      <c r="BE195" s="456"/>
      <c r="BF195" s="456"/>
      <c r="BG195" s="456">
        <v>0.0</v>
      </c>
      <c r="BH195" s="456">
        <v>977701.31</v>
      </c>
      <c r="BI195" s="456">
        <v>628331.76</v>
      </c>
      <c r="BJ195" s="456">
        <v>0.0</v>
      </c>
      <c r="BK195" s="456">
        <v>0.0</v>
      </c>
      <c r="BL195" s="456">
        <v>0.0</v>
      </c>
      <c r="BM195" s="456">
        <v>0.0</v>
      </c>
      <c r="BN195" s="456">
        <v>0.0</v>
      </c>
      <c r="BO195" s="456">
        <v>0.0</v>
      </c>
      <c r="BP195" s="456">
        <v>0.0</v>
      </c>
      <c r="BQ195" s="456">
        <v>0.0</v>
      </c>
      <c r="BR195" s="456">
        <v>0.0</v>
      </c>
      <c r="BS195" s="90" t="s">
        <v>268</v>
      </c>
      <c r="BT195" s="90"/>
    </row>
    <row r="196" ht="15.75" customHeight="1">
      <c r="A196" s="444" t="s">
        <v>98</v>
      </c>
      <c r="B196" s="445" t="s">
        <v>5067</v>
      </c>
      <c r="C196" s="458" t="s">
        <v>5068</v>
      </c>
      <c r="D196" s="675">
        <v>9206177.0</v>
      </c>
      <c r="E196" s="449" t="s">
        <v>120</v>
      </c>
      <c r="F196" s="449" t="s">
        <v>54</v>
      </c>
      <c r="G196" s="449" t="s">
        <v>379</v>
      </c>
      <c r="H196" s="449" t="str">
        <f>IFERROR(VLOOKUP(G196,'Cadastro de assessores'!A:B,2,FALSE),"Não Cadastrado")</f>
        <v>18009</v>
      </c>
      <c r="I196" s="449"/>
      <c r="J196" s="49" t="s">
        <v>224</v>
      </c>
      <c r="K196" s="449" t="s">
        <v>183</v>
      </c>
      <c r="L196" s="449" t="s">
        <v>3320</v>
      </c>
      <c r="M196" s="460">
        <v>44839.0</v>
      </c>
      <c r="N196" s="508">
        <v>44886.0</v>
      </c>
      <c r="O196" s="446" t="s">
        <v>2372</v>
      </c>
      <c r="P196" s="452">
        <v>0.025</v>
      </c>
      <c r="Q196" s="330" t="s">
        <v>5080</v>
      </c>
      <c r="R196" s="453"/>
      <c r="S196" s="449"/>
      <c r="T196" s="446"/>
      <c r="U196" s="446"/>
      <c r="V196" s="446" t="s">
        <v>3320</v>
      </c>
      <c r="W196" s="454"/>
      <c r="X196" s="454"/>
      <c r="Y196" s="454"/>
      <c r="Z196" s="454"/>
      <c r="AA196" s="454"/>
      <c r="AB196" s="454"/>
      <c r="AC196" s="454"/>
      <c r="AD196" s="454"/>
      <c r="AE196" s="454"/>
      <c r="AF196" s="454"/>
      <c r="AG196" s="454"/>
      <c r="AH196" s="454"/>
      <c r="AI196" s="455"/>
      <c r="AJ196" s="456"/>
      <c r="AK196" s="456"/>
      <c r="AL196" s="456"/>
      <c r="AM196" s="456"/>
      <c r="AN196" s="456"/>
      <c r="AO196" s="456"/>
      <c r="AP196" s="456"/>
      <c r="AQ196" s="456"/>
      <c r="AR196" s="456"/>
      <c r="AS196" s="456"/>
      <c r="AT196" s="456"/>
      <c r="AU196" s="454"/>
      <c r="AV196" s="456"/>
      <c r="AW196" s="456"/>
      <c r="AX196" s="456"/>
      <c r="AY196" s="456"/>
      <c r="AZ196" s="456"/>
      <c r="BA196" s="456"/>
      <c r="BB196" s="456"/>
      <c r="BC196" s="456"/>
      <c r="BD196" s="456"/>
      <c r="BE196" s="456"/>
      <c r="BF196" s="456"/>
      <c r="BG196" s="456">
        <v>0.0</v>
      </c>
      <c r="BH196" s="456">
        <v>0.0</v>
      </c>
      <c r="BI196" s="456">
        <v>115560.46</v>
      </c>
      <c r="BJ196" s="456">
        <v>118947.18</v>
      </c>
      <c r="BK196" s="456">
        <v>0.0</v>
      </c>
      <c r="BL196" s="456">
        <v>0.0</v>
      </c>
      <c r="BM196" s="456">
        <v>0.0</v>
      </c>
      <c r="BN196" s="456">
        <v>0.0</v>
      </c>
      <c r="BO196" s="456">
        <v>0.0</v>
      </c>
      <c r="BP196" s="456">
        <v>0.0</v>
      </c>
      <c r="BQ196" s="456">
        <v>0.0</v>
      </c>
      <c r="BR196" s="456">
        <v>0.0</v>
      </c>
      <c r="BS196" s="90" t="s">
        <v>268</v>
      </c>
      <c r="BT196" s="90"/>
    </row>
    <row r="197" ht="15.75" customHeight="1">
      <c r="A197" s="444" t="s">
        <v>98</v>
      </c>
      <c r="B197" s="445" t="s">
        <v>5083</v>
      </c>
      <c r="C197" s="677" t="s">
        <v>5084</v>
      </c>
      <c r="D197" s="449">
        <v>3373338.0</v>
      </c>
      <c r="E197" s="449" t="s">
        <v>120</v>
      </c>
      <c r="F197" s="449" t="s">
        <v>54</v>
      </c>
      <c r="G197" s="449" t="s">
        <v>4057</v>
      </c>
      <c r="H197" s="449" t="str">
        <f>IFERROR(VLOOKUP(G197,'Cadastro de assessores'!A:B,2,FALSE),"Não Cadastrado")</f>
        <v>14294</v>
      </c>
      <c r="I197" s="449"/>
      <c r="J197" s="49" t="s">
        <v>224</v>
      </c>
      <c r="K197" s="449" t="s">
        <v>2340</v>
      </c>
      <c r="L197" s="460">
        <v>44454.0</v>
      </c>
      <c r="M197" s="460">
        <v>44454.0</v>
      </c>
      <c r="N197" s="508">
        <v>44684.0</v>
      </c>
      <c r="O197" s="446" t="s">
        <v>2356</v>
      </c>
      <c r="P197" s="452">
        <v>0.007</v>
      </c>
      <c r="Q197" s="330" t="s">
        <v>5090</v>
      </c>
      <c r="R197" s="453"/>
      <c r="S197" s="449" t="str">
        <f t="shared" ref="S197:S199" si="19">IF(BC197&lt;=0,"",IF(BC197&lt;=1000000,"Não Qualificado",IF(AND(BC197&gt;1000000,BC197&lt;=10000000),"Qualificado","Profissional")))</f>
        <v>Não Qualificado</v>
      </c>
      <c r="T197" s="446" t="s">
        <v>234</v>
      </c>
      <c r="U197" s="446" t="s">
        <v>5093</v>
      </c>
      <c r="V197" s="446" t="s">
        <v>475</v>
      </c>
      <c r="W197" s="454"/>
      <c r="X197" s="454"/>
      <c r="Y197" s="454"/>
      <c r="Z197" s="454"/>
      <c r="AA197" s="454"/>
      <c r="AB197" s="454"/>
      <c r="AC197" s="454"/>
      <c r="AD197" s="454"/>
      <c r="AE197" s="454"/>
      <c r="AF197" s="454"/>
      <c r="AG197" s="454"/>
      <c r="AH197" s="454"/>
      <c r="AI197" s="455"/>
      <c r="AJ197" s="456"/>
      <c r="AK197" s="456"/>
      <c r="AL197" s="456"/>
      <c r="AM197" s="456"/>
      <c r="AN197" s="456"/>
      <c r="AO197" s="456"/>
      <c r="AP197" s="456"/>
      <c r="AQ197" s="456"/>
      <c r="AR197" s="456"/>
      <c r="AS197" s="456"/>
      <c r="AT197" s="456"/>
      <c r="AU197" s="454"/>
      <c r="AV197" s="456"/>
      <c r="AW197" s="456">
        <v>377805.56</v>
      </c>
      <c r="AX197" s="456">
        <v>378551.04</v>
      </c>
      <c r="AY197" s="456">
        <v>382000.44</v>
      </c>
      <c r="AZ197" s="456">
        <v>388011.12</v>
      </c>
      <c r="BA197" s="456">
        <v>391268.68</v>
      </c>
      <c r="BB197" s="456">
        <v>398645.96</v>
      </c>
      <c r="BC197" s="456">
        <v>65.52</v>
      </c>
      <c r="BD197" s="456" t="s">
        <v>377</v>
      </c>
      <c r="BE197" s="456" t="s">
        <v>377</v>
      </c>
      <c r="BF197" s="456">
        <v>0.0</v>
      </c>
      <c r="BG197" s="456">
        <v>0.0</v>
      </c>
      <c r="BH197" s="456">
        <v>0.0</v>
      </c>
      <c r="BI197" s="456">
        <v>0.0</v>
      </c>
      <c r="BJ197" s="456">
        <v>0.0</v>
      </c>
      <c r="BK197" s="456">
        <v>0.0</v>
      </c>
      <c r="BL197" s="456">
        <v>0.0</v>
      </c>
      <c r="BM197" s="456">
        <v>0.0</v>
      </c>
      <c r="BN197" s="456">
        <v>0.0</v>
      </c>
      <c r="BO197" s="456">
        <v>0.0</v>
      </c>
      <c r="BP197" s="456">
        <v>0.0</v>
      </c>
      <c r="BQ197" s="456">
        <v>0.0</v>
      </c>
      <c r="BR197" s="456">
        <v>0.0</v>
      </c>
      <c r="BS197" s="90" t="s">
        <v>268</v>
      </c>
      <c r="BT197" s="90"/>
    </row>
    <row r="198" ht="15.75" customHeight="1">
      <c r="A198" s="444" t="s">
        <v>98</v>
      </c>
      <c r="B198" s="445" t="s">
        <v>5097</v>
      </c>
      <c r="C198" s="458" t="s">
        <v>5099</v>
      </c>
      <c r="D198" s="449">
        <v>4769682.0</v>
      </c>
      <c r="E198" s="449" t="s">
        <v>255</v>
      </c>
      <c r="F198" s="449" t="s">
        <v>199</v>
      </c>
      <c r="G198" s="449" t="s">
        <v>548</v>
      </c>
      <c r="H198" s="449" t="str">
        <f>IFERROR(VLOOKUP(G198,'Cadastro de assessores'!A:B,2,FALSE),"Não Cadastrado")</f>
        <v>14574</v>
      </c>
      <c r="I198" s="449"/>
      <c r="J198" s="49" t="s">
        <v>224</v>
      </c>
      <c r="K198" s="449" t="s">
        <v>2340</v>
      </c>
      <c r="L198" s="460">
        <v>44238.0</v>
      </c>
      <c r="M198" s="460">
        <v>44238.0</v>
      </c>
      <c r="N198" s="508">
        <v>44477.0</v>
      </c>
      <c r="O198" s="446" t="s">
        <v>2319</v>
      </c>
      <c r="P198" s="452">
        <v>0.02</v>
      </c>
      <c r="Q198" s="330" t="s">
        <v>5100</v>
      </c>
      <c r="R198" s="453"/>
      <c r="S198" s="449" t="str">
        <f t="shared" si="19"/>
        <v>Não Qualificado</v>
      </c>
      <c r="T198" s="449" t="s">
        <v>194</v>
      </c>
      <c r="U198" s="449" t="s">
        <v>2374</v>
      </c>
      <c r="V198" s="449" t="s">
        <v>199</v>
      </c>
      <c r="W198" s="455"/>
      <c r="X198" s="455"/>
      <c r="Y198" s="455"/>
      <c r="Z198" s="455"/>
      <c r="AA198" s="455"/>
      <c r="AB198" s="455"/>
      <c r="AC198" s="455"/>
      <c r="AD198" s="455"/>
      <c r="AE198" s="455"/>
      <c r="AF198" s="455"/>
      <c r="AG198" s="455"/>
      <c r="AH198" s="455"/>
      <c r="AI198" s="455"/>
      <c r="AJ198" s="455"/>
      <c r="AK198" s="456"/>
      <c r="AL198" s="456"/>
      <c r="AM198" s="456">
        <v>281594.1</v>
      </c>
      <c r="AN198" s="456">
        <v>282468.22</v>
      </c>
      <c r="AO198" s="456">
        <v>296051.87</v>
      </c>
      <c r="AP198" s="456">
        <v>298507.31</v>
      </c>
      <c r="AQ198" s="456">
        <v>296614.76</v>
      </c>
      <c r="AR198" s="456">
        <v>305986.31</v>
      </c>
      <c r="AS198" s="456">
        <v>303012.43</v>
      </c>
      <c r="AT198" s="456">
        <v>293560.4</v>
      </c>
      <c r="AU198" s="456">
        <v>5486.75</v>
      </c>
      <c r="AV198" s="456">
        <v>4862.39</v>
      </c>
      <c r="AW198" s="456"/>
      <c r="AX198" s="456"/>
      <c r="AY198" s="456"/>
      <c r="AZ198" s="456"/>
      <c r="BA198" s="456">
        <v>0.0</v>
      </c>
      <c r="BB198" s="456">
        <v>0.0</v>
      </c>
      <c r="BC198" s="456">
        <v>42615.82</v>
      </c>
      <c r="BD198" s="456" t="s">
        <v>377</v>
      </c>
      <c r="BE198" s="456" t="s">
        <v>377</v>
      </c>
      <c r="BF198" s="456">
        <v>0.0</v>
      </c>
      <c r="BG198" s="456">
        <v>0.0</v>
      </c>
      <c r="BH198" s="456">
        <v>0.0</v>
      </c>
      <c r="BI198" s="456">
        <v>0.0</v>
      </c>
      <c r="BJ198" s="456">
        <v>0.0</v>
      </c>
      <c r="BK198" s="456">
        <v>0.0</v>
      </c>
      <c r="BL198" s="456">
        <v>0.0</v>
      </c>
      <c r="BM198" s="456">
        <v>0.0</v>
      </c>
      <c r="BN198" s="456">
        <v>0.0</v>
      </c>
      <c r="BO198" s="456">
        <v>0.0</v>
      </c>
      <c r="BP198" s="456">
        <v>0.0</v>
      </c>
      <c r="BQ198" s="456">
        <v>0.0</v>
      </c>
      <c r="BR198" s="456">
        <v>0.0</v>
      </c>
      <c r="BS198" s="90" t="s">
        <v>268</v>
      </c>
      <c r="BT198" s="90"/>
    </row>
    <row r="199" ht="15.75" customHeight="1">
      <c r="A199" s="444" t="s">
        <v>98</v>
      </c>
      <c r="B199" s="445" t="s">
        <v>5097</v>
      </c>
      <c r="C199" s="458" t="s">
        <v>5099</v>
      </c>
      <c r="D199" s="449">
        <v>4756217.0</v>
      </c>
      <c r="E199" s="449" t="s">
        <v>255</v>
      </c>
      <c r="F199" s="449" t="s">
        <v>199</v>
      </c>
      <c r="G199" s="449" t="s">
        <v>548</v>
      </c>
      <c r="H199" s="449" t="str">
        <f>IFERROR(VLOOKUP(G199,'Cadastro de assessores'!A:B,2,FALSE),"Não Cadastrado")</f>
        <v>14574</v>
      </c>
      <c r="I199" s="449"/>
      <c r="J199" s="49" t="s">
        <v>224</v>
      </c>
      <c r="K199" s="449" t="s">
        <v>2340</v>
      </c>
      <c r="L199" s="460">
        <v>44228.0</v>
      </c>
      <c r="M199" s="460">
        <v>44228.0</v>
      </c>
      <c r="N199" s="508">
        <v>44721.0</v>
      </c>
      <c r="O199" s="446" t="s">
        <v>2319</v>
      </c>
      <c r="P199" s="452">
        <v>0.02</v>
      </c>
      <c r="Q199" s="461" t="s">
        <v>5106</v>
      </c>
      <c r="R199" s="453"/>
      <c r="S199" s="449" t="str">
        <f t="shared" si="19"/>
        <v>Não Qualificado</v>
      </c>
      <c r="T199" s="449" t="s">
        <v>194</v>
      </c>
      <c r="U199" s="449" t="s">
        <v>2374</v>
      </c>
      <c r="V199" s="449" t="s">
        <v>199</v>
      </c>
      <c r="W199" s="455"/>
      <c r="X199" s="455"/>
      <c r="Y199" s="455"/>
      <c r="Z199" s="455"/>
      <c r="AA199" s="455"/>
      <c r="AB199" s="455"/>
      <c r="AC199" s="455"/>
      <c r="AD199" s="455"/>
      <c r="AE199" s="455"/>
      <c r="AF199" s="455"/>
      <c r="AG199" s="455"/>
      <c r="AH199" s="455"/>
      <c r="AI199" s="455"/>
      <c r="AJ199" s="455"/>
      <c r="AK199" s="456"/>
      <c r="AL199" s="456"/>
      <c r="AM199" s="456">
        <v>95274.52</v>
      </c>
      <c r="AN199" s="456">
        <v>127513.22</v>
      </c>
      <c r="AO199" s="456">
        <v>134212.3</v>
      </c>
      <c r="AP199" s="456">
        <v>135351.28</v>
      </c>
      <c r="AQ199" s="456">
        <v>134466.76</v>
      </c>
      <c r="AR199" s="456">
        <v>138530.65</v>
      </c>
      <c r="AS199" s="456">
        <v>136207.56</v>
      </c>
      <c r="AT199" s="456">
        <v>131748.95</v>
      </c>
      <c r="AU199" s="456">
        <v>130374.85</v>
      </c>
      <c r="AV199" s="456">
        <v>127122.1</v>
      </c>
      <c r="AW199" s="456">
        <v>119849.03</v>
      </c>
      <c r="AX199" s="456">
        <v>119100.88</v>
      </c>
      <c r="AY199" s="456">
        <v>120772.3</v>
      </c>
      <c r="AZ199" s="456">
        <v>125471.33</v>
      </c>
      <c r="BA199" s="456">
        <v>126273.57</v>
      </c>
      <c r="BB199" s="456">
        <v>132613.85</v>
      </c>
      <c r="BC199" s="456">
        <v>126269.88</v>
      </c>
      <c r="BD199" s="456">
        <v>130189.05</v>
      </c>
      <c r="BE199" s="456" t="s">
        <v>377</v>
      </c>
      <c r="BF199" s="456">
        <v>0.0</v>
      </c>
      <c r="BG199" s="456">
        <v>0.0</v>
      </c>
      <c r="BH199" s="456">
        <v>0.0</v>
      </c>
      <c r="BI199" s="456">
        <v>0.0</v>
      </c>
      <c r="BJ199" s="456">
        <v>0.0</v>
      </c>
      <c r="BK199" s="456">
        <v>0.0</v>
      </c>
      <c r="BL199" s="456">
        <v>0.0</v>
      </c>
      <c r="BM199" s="456">
        <v>0.0</v>
      </c>
      <c r="BN199" s="456">
        <v>0.0</v>
      </c>
      <c r="BO199" s="456">
        <v>0.0</v>
      </c>
      <c r="BP199" s="456">
        <v>0.0</v>
      </c>
      <c r="BQ199" s="456">
        <v>0.0</v>
      </c>
      <c r="BR199" s="456">
        <v>0.0</v>
      </c>
      <c r="BS199" s="90" t="s">
        <v>268</v>
      </c>
      <c r="BT199" s="90"/>
    </row>
    <row r="200" ht="15.75" customHeight="1">
      <c r="A200" s="444" t="s">
        <v>98</v>
      </c>
      <c r="B200" s="445" t="s">
        <v>5112</v>
      </c>
      <c r="C200" s="559" t="s">
        <v>5114</v>
      </c>
      <c r="D200" s="446">
        <v>2476582.0</v>
      </c>
      <c r="E200" s="447" t="s">
        <v>120</v>
      </c>
      <c r="F200" s="447" t="s">
        <v>54</v>
      </c>
      <c r="G200" s="447" t="s">
        <v>348</v>
      </c>
      <c r="H200" s="449">
        <f>IFERROR(VLOOKUP(G200,'Cadastro de assessores'!A:B,2,FALSE),"Não Cadastrado")</f>
        <v>12331</v>
      </c>
      <c r="I200" s="449"/>
      <c r="J200" s="49" t="s">
        <v>2318</v>
      </c>
      <c r="K200" s="447" t="s">
        <v>183</v>
      </c>
      <c r="L200" s="451">
        <v>44683.0</v>
      </c>
      <c r="M200" s="451">
        <v>44697.0</v>
      </c>
      <c r="N200" s="446"/>
      <c r="O200" s="446" t="s">
        <v>2365</v>
      </c>
      <c r="P200" s="465">
        <v>0.012</v>
      </c>
      <c r="Q200" s="461" t="s">
        <v>5118</v>
      </c>
      <c r="R200" s="453"/>
      <c r="S200" s="449"/>
      <c r="T200" s="449" t="s">
        <v>194</v>
      </c>
      <c r="U200" s="449"/>
      <c r="V200" s="449" t="s">
        <v>54</v>
      </c>
      <c r="W200" s="454"/>
      <c r="X200" s="454"/>
      <c r="Y200" s="454"/>
      <c r="Z200" s="454"/>
      <c r="AA200" s="454"/>
      <c r="AB200" s="454"/>
      <c r="AC200" s="454"/>
      <c r="AD200" s="454"/>
      <c r="AE200" s="454"/>
      <c r="AF200" s="454"/>
      <c r="AG200" s="455"/>
      <c r="AH200" s="455"/>
      <c r="AI200" s="455"/>
      <c r="AJ200" s="456"/>
      <c r="AK200" s="456"/>
      <c r="AL200" s="456"/>
      <c r="AM200" s="456"/>
      <c r="AN200" s="456"/>
      <c r="AO200" s="456"/>
      <c r="AP200" s="456"/>
      <c r="AQ200" s="456"/>
      <c r="AR200" s="456"/>
      <c r="AS200" s="456"/>
      <c r="AT200" s="456"/>
      <c r="AU200" s="456"/>
      <c r="AV200" s="456"/>
      <c r="AW200" s="454"/>
      <c r="AX200" s="481"/>
      <c r="AY200" s="481"/>
      <c r="AZ200" s="456"/>
      <c r="BA200" s="456"/>
      <c r="BB200" s="456"/>
      <c r="BC200" s="456"/>
      <c r="BD200" s="456"/>
      <c r="BE200" s="456"/>
      <c r="BF200" s="456">
        <v>0.0</v>
      </c>
      <c r="BG200" s="456">
        <v>806147.9742</v>
      </c>
      <c r="BH200" s="456">
        <v>761524.12</v>
      </c>
      <c r="BI200" s="456">
        <v>867290.36</v>
      </c>
      <c r="BJ200" s="456">
        <v>871979.81</v>
      </c>
      <c r="BK200" s="456">
        <v>878528.3</v>
      </c>
      <c r="BL200" s="456">
        <v>887642.62</v>
      </c>
      <c r="BM200" s="456">
        <v>905151.86</v>
      </c>
      <c r="BN200" s="456">
        <v>899235.19</v>
      </c>
      <c r="BO200" s="456">
        <v>0.0</v>
      </c>
      <c r="BP200" s="456">
        <v>0.0</v>
      </c>
      <c r="BQ200" s="456">
        <v>0.0</v>
      </c>
      <c r="BR200" s="456">
        <v>0.0</v>
      </c>
      <c r="BS200" s="90">
        <v>0.0</v>
      </c>
      <c r="BT200" s="90"/>
    </row>
    <row r="201" ht="15.75" customHeight="1">
      <c r="A201" s="444" t="s">
        <v>98</v>
      </c>
      <c r="B201" s="445" t="s">
        <v>5122</v>
      </c>
      <c r="C201" s="559" t="s">
        <v>5123</v>
      </c>
      <c r="D201" s="446">
        <v>3353688.0</v>
      </c>
      <c r="E201" s="447" t="s">
        <v>120</v>
      </c>
      <c r="F201" s="447" t="s">
        <v>199</v>
      </c>
      <c r="G201" s="447" t="s">
        <v>1914</v>
      </c>
      <c r="H201" s="449">
        <f>IFERROR(VLOOKUP(G201,'Cadastro de assessores'!A:B,2,FALSE),"Não Cadastrado")</f>
        <v>12359</v>
      </c>
      <c r="I201" s="449"/>
      <c r="J201" s="49" t="s">
        <v>2318</v>
      </c>
      <c r="K201" s="447" t="s">
        <v>183</v>
      </c>
      <c r="L201" s="451">
        <v>44778.0</v>
      </c>
      <c r="M201" s="451">
        <v>44778.0</v>
      </c>
      <c r="N201" s="446"/>
      <c r="O201" s="446" t="s">
        <v>2356</v>
      </c>
      <c r="P201" s="465">
        <v>0.007</v>
      </c>
      <c r="Q201" s="611" t="s">
        <v>5124</v>
      </c>
      <c r="R201" s="453"/>
      <c r="S201" s="449"/>
      <c r="T201" s="449" t="s">
        <v>234</v>
      </c>
      <c r="U201" s="449"/>
      <c r="V201" s="449" t="s">
        <v>618</v>
      </c>
      <c r="W201" s="454"/>
      <c r="X201" s="454"/>
      <c r="Y201" s="454"/>
      <c r="Z201" s="454"/>
      <c r="AA201" s="454"/>
      <c r="AB201" s="454"/>
      <c r="AC201" s="454"/>
      <c r="AD201" s="454"/>
      <c r="AE201" s="454"/>
      <c r="AF201" s="454"/>
      <c r="AG201" s="455"/>
      <c r="AH201" s="455"/>
      <c r="AI201" s="455"/>
      <c r="AJ201" s="456"/>
      <c r="AK201" s="456"/>
      <c r="AL201" s="456"/>
      <c r="AM201" s="456"/>
      <c r="AN201" s="456"/>
      <c r="AO201" s="456"/>
      <c r="AP201" s="456"/>
      <c r="AQ201" s="456"/>
      <c r="AR201" s="456"/>
      <c r="AS201" s="456"/>
      <c r="AT201" s="456"/>
      <c r="AU201" s="456"/>
      <c r="AV201" s="456"/>
      <c r="AW201" s="454"/>
      <c r="AX201" s="481"/>
      <c r="AY201" s="481"/>
      <c r="AZ201" s="456"/>
      <c r="BA201" s="456"/>
      <c r="BB201" s="456"/>
      <c r="BC201" s="456"/>
      <c r="BD201" s="456"/>
      <c r="BE201" s="456"/>
      <c r="BF201" s="456">
        <v>0.0</v>
      </c>
      <c r="BG201" s="456">
        <v>83061.28857</v>
      </c>
      <c r="BH201" s="456">
        <v>83692.32</v>
      </c>
      <c r="BI201" s="456">
        <v>84345.09</v>
      </c>
      <c r="BJ201" s="456">
        <v>84959.85</v>
      </c>
      <c r="BK201" s="456">
        <v>85594.45</v>
      </c>
      <c r="BL201" s="456">
        <v>13127.32</v>
      </c>
      <c r="BM201" s="456">
        <v>313.98</v>
      </c>
      <c r="BN201" s="456">
        <v>0.0</v>
      </c>
      <c r="BO201" s="456">
        <v>0.0</v>
      </c>
      <c r="BP201" s="456">
        <v>0.0</v>
      </c>
      <c r="BQ201" s="456">
        <v>0.0</v>
      </c>
      <c r="BR201" s="456">
        <v>0.0</v>
      </c>
      <c r="BS201" s="90">
        <v>0.0</v>
      </c>
      <c r="BT201" s="90"/>
    </row>
    <row r="202" ht="15.75" customHeight="1">
      <c r="A202" s="444" t="s">
        <v>98</v>
      </c>
      <c r="B202" s="445" t="s">
        <v>5128</v>
      </c>
      <c r="C202" s="559" t="s">
        <v>5129</v>
      </c>
      <c r="D202" s="446">
        <v>7082227.0</v>
      </c>
      <c r="E202" s="447" t="s">
        <v>120</v>
      </c>
      <c r="F202" s="447" t="s">
        <v>54</v>
      </c>
      <c r="G202" s="447" t="s">
        <v>379</v>
      </c>
      <c r="H202" s="447" t="str">
        <f>IFERROR(VLOOKUP(G202,'Cadastro de assessores'!A:B,2,FALSE),"Não Cadastrado")</f>
        <v>18009</v>
      </c>
      <c r="I202" s="447"/>
      <c r="J202" s="49" t="s">
        <v>2318</v>
      </c>
      <c r="K202" s="447" t="s">
        <v>183</v>
      </c>
      <c r="L202" s="451">
        <v>44509.0</v>
      </c>
      <c r="M202" s="451">
        <v>44511.0</v>
      </c>
      <c r="N202" s="446"/>
      <c r="O202" s="446" t="s">
        <v>2341</v>
      </c>
      <c r="P202" s="465">
        <v>0.015</v>
      </c>
      <c r="Q202" s="461" t="s">
        <v>5133</v>
      </c>
      <c r="R202" s="453"/>
      <c r="S202" s="449" t="str">
        <f t="shared" ref="S202:S210" si="20">IF(BC202&lt;=0,"",IF(BC202&lt;=1000000,"Não Qualificado",IF(AND(BC202&gt;1000000,BC202&lt;=10000000),"Qualificado","Profissional")))</f>
        <v>Qualificado</v>
      </c>
      <c r="T202" s="449" t="s">
        <v>194</v>
      </c>
      <c r="U202" s="449" t="s">
        <v>3587</v>
      </c>
      <c r="V202" s="449" t="s">
        <v>54</v>
      </c>
      <c r="W202" s="454"/>
      <c r="X202" s="454"/>
      <c r="Y202" s="454"/>
      <c r="Z202" s="454"/>
      <c r="AA202" s="454"/>
      <c r="AB202" s="454"/>
      <c r="AC202" s="454"/>
      <c r="AD202" s="454"/>
      <c r="AE202" s="454"/>
      <c r="AF202" s="454"/>
      <c r="AG202" s="455"/>
      <c r="AH202" s="455"/>
      <c r="AI202" s="455"/>
      <c r="AJ202" s="456"/>
      <c r="AK202" s="456"/>
      <c r="AL202" s="456"/>
      <c r="AM202" s="456"/>
      <c r="AN202" s="456"/>
      <c r="AO202" s="456"/>
      <c r="AP202" s="456"/>
      <c r="AQ202" s="456"/>
      <c r="AR202" s="456"/>
      <c r="AS202" s="456"/>
      <c r="AT202" s="456"/>
      <c r="AU202" s="456"/>
      <c r="AV202" s="456"/>
      <c r="AW202" s="454"/>
      <c r="AX202" s="481"/>
      <c r="AY202" s="481">
        <v>442798.46</v>
      </c>
      <c r="AZ202" s="456">
        <v>574043.36</v>
      </c>
      <c r="BA202" s="456">
        <v>578707.67</v>
      </c>
      <c r="BB202" s="456">
        <v>643782.61</v>
      </c>
      <c r="BC202" s="456">
        <v>1234641.72</v>
      </c>
      <c r="BD202" s="456">
        <v>791677.5</v>
      </c>
      <c r="BE202" s="456">
        <v>792372.02</v>
      </c>
      <c r="BF202" s="456">
        <v>803435.78</v>
      </c>
      <c r="BG202" s="456">
        <v>809460.131</v>
      </c>
      <c r="BH202" s="456">
        <v>812381.95</v>
      </c>
      <c r="BI202" s="456">
        <v>833860.43</v>
      </c>
      <c r="BJ202" s="456">
        <v>833075.28</v>
      </c>
      <c r="BK202" s="456">
        <v>552167.78</v>
      </c>
      <c r="BL202" s="456">
        <v>492363.13</v>
      </c>
      <c r="BM202" s="456">
        <v>495693.17</v>
      </c>
      <c r="BN202" s="456">
        <v>0.0</v>
      </c>
      <c r="BO202" s="456">
        <v>0.0</v>
      </c>
      <c r="BP202" s="456">
        <v>0.0</v>
      </c>
      <c r="BQ202" s="456">
        <v>0.0</v>
      </c>
      <c r="BR202" s="456">
        <v>0.0</v>
      </c>
      <c r="BS202" s="90" t="s">
        <v>268</v>
      </c>
      <c r="BT202" s="90"/>
    </row>
    <row r="203" ht="15.75" customHeight="1">
      <c r="A203" s="444" t="s">
        <v>98</v>
      </c>
      <c r="B203" s="445" t="s">
        <v>5138</v>
      </c>
      <c r="C203" s="463" t="s">
        <v>5141</v>
      </c>
      <c r="D203" s="449">
        <v>7998405.0</v>
      </c>
      <c r="E203" s="447" t="s">
        <v>120</v>
      </c>
      <c r="F203" s="447" t="s">
        <v>199</v>
      </c>
      <c r="G203" s="447" t="s">
        <v>290</v>
      </c>
      <c r="H203" s="447">
        <f>IFERROR(VLOOKUP(G203,'Cadastro de assessores'!A:B,2,FALSE),"Não Cadastrado")</f>
        <v>12332</v>
      </c>
      <c r="I203" s="447"/>
      <c r="J203" s="49" t="s">
        <v>2318</v>
      </c>
      <c r="K203" s="447" t="s">
        <v>183</v>
      </c>
      <c r="L203" s="470">
        <v>44613.0</v>
      </c>
      <c r="M203" s="470">
        <v>44615.0</v>
      </c>
      <c r="N203" s="449"/>
      <c r="O203" s="449" t="s">
        <v>2356</v>
      </c>
      <c r="P203" s="452">
        <v>0.007</v>
      </c>
      <c r="Q203" s="461"/>
      <c r="R203" s="453"/>
      <c r="S203" s="449" t="str">
        <f t="shared" si="20"/>
        <v>Não Qualificado</v>
      </c>
      <c r="T203" s="449" t="s">
        <v>194</v>
      </c>
      <c r="U203" s="449" t="s">
        <v>3350</v>
      </c>
      <c r="V203" s="449" t="s">
        <v>199</v>
      </c>
      <c r="W203" s="455"/>
      <c r="X203" s="455"/>
      <c r="Y203" s="455"/>
      <c r="Z203" s="455"/>
      <c r="AA203" s="455"/>
      <c r="AB203" s="455"/>
      <c r="AC203" s="455"/>
      <c r="AD203" s="455"/>
      <c r="AE203" s="455"/>
      <c r="AF203" s="455"/>
      <c r="AG203" s="455"/>
      <c r="AH203" s="455"/>
      <c r="AI203" s="455"/>
      <c r="AJ203" s="455"/>
      <c r="AK203" s="456"/>
      <c r="AL203" s="456"/>
      <c r="AM203" s="456"/>
      <c r="AN203" s="456"/>
      <c r="AO203" s="456"/>
      <c r="AP203" s="456"/>
      <c r="AQ203" s="456"/>
      <c r="AR203" s="456"/>
      <c r="AS203" s="456"/>
      <c r="AT203" s="456"/>
      <c r="AU203" s="456"/>
      <c r="AV203" s="456"/>
      <c r="AW203" s="456"/>
      <c r="AX203" s="456"/>
      <c r="AY203" s="456"/>
      <c r="AZ203" s="456"/>
      <c r="BA203" s="456">
        <v>37321.76</v>
      </c>
      <c r="BB203" s="456">
        <v>37812.26</v>
      </c>
      <c r="BC203" s="456">
        <v>395304.9</v>
      </c>
      <c r="BD203" s="456">
        <v>38760.46</v>
      </c>
      <c r="BE203" s="456">
        <v>39133.85</v>
      </c>
      <c r="BF203" s="456">
        <v>30.0</v>
      </c>
      <c r="BG203" s="456">
        <v>14.72</v>
      </c>
      <c r="BH203" s="456">
        <v>14.72</v>
      </c>
      <c r="BI203" s="456">
        <v>14.72</v>
      </c>
      <c r="BJ203" s="456">
        <v>14.72</v>
      </c>
      <c r="BK203" s="456">
        <v>14.72</v>
      </c>
      <c r="BL203" s="456">
        <v>14.72</v>
      </c>
      <c r="BM203" s="456">
        <v>14.72</v>
      </c>
      <c r="BN203" s="456">
        <v>14.72</v>
      </c>
      <c r="BO203" s="456">
        <v>14.72</v>
      </c>
      <c r="BP203" s="456">
        <v>14.72</v>
      </c>
      <c r="BQ203" s="456">
        <v>14.72</v>
      </c>
      <c r="BR203" s="456">
        <v>14.72</v>
      </c>
      <c r="BS203" s="90">
        <v>0.0</v>
      </c>
      <c r="BT203" s="90"/>
    </row>
    <row r="204" ht="15.75" customHeight="1">
      <c r="A204" s="444" t="s">
        <v>98</v>
      </c>
      <c r="B204" s="445" t="s">
        <v>5149</v>
      </c>
      <c r="C204" s="463" t="s">
        <v>5150</v>
      </c>
      <c r="D204" s="449">
        <v>4798641.0</v>
      </c>
      <c r="E204" s="447" t="s">
        <v>120</v>
      </c>
      <c r="F204" s="447" t="s">
        <v>199</v>
      </c>
      <c r="G204" s="447" t="s">
        <v>841</v>
      </c>
      <c r="H204" s="447" t="str">
        <f>IFERROR(VLOOKUP(G204,'Cadastro de assessores'!A:B,2,FALSE),"Não Cadastrado")</f>
        <v>18256</v>
      </c>
      <c r="I204" s="447"/>
      <c r="J204" s="49" t="s">
        <v>2318</v>
      </c>
      <c r="K204" s="447" t="s">
        <v>183</v>
      </c>
      <c r="L204" s="450">
        <v>44293.0</v>
      </c>
      <c r="M204" s="450">
        <v>44291.0</v>
      </c>
      <c r="N204" s="449"/>
      <c r="O204" s="449" t="s">
        <v>2341</v>
      </c>
      <c r="P204" s="452">
        <v>0.01</v>
      </c>
      <c r="Q204" s="461" t="s">
        <v>2744</v>
      </c>
      <c r="R204" s="453"/>
      <c r="S204" s="449" t="str">
        <f t="shared" si="20"/>
        <v>Não Qualificado</v>
      </c>
      <c r="T204" s="449" t="s">
        <v>194</v>
      </c>
      <c r="U204" s="449" t="s">
        <v>4296</v>
      </c>
      <c r="V204" s="449" t="s">
        <v>199</v>
      </c>
      <c r="W204" s="455"/>
      <c r="X204" s="455"/>
      <c r="Y204" s="455"/>
      <c r="Z204" s="455"/>
      <c r="AA204" s="455"/>
      <c r="AB204" s="455"/>
      <c r="AC204" s="455"/>
      <c r="AD204" s="455"/>
      <c r="AE204" s="455"/>
      <c r="AF204" s="455"/>
      <c r="AG204" s="455"/>
      <c r="AH204" s="455"/>
      <c r="AI204" s="455"/>
      <c r="AJ204" s="455"/>
      <c r="AK204" s="456"/>
      <c r="AL204" s="456"/>
      <c r="AM204" s="456" t="s">
        <v>3320</v>
      </c>
      <c r="AN204" s="456" t="s">
        <v>3320</v>
      </c>
      <c r="AO204" s="456"/>
      <c r="AP204" s="456">
        <v>147844.5</v>
      </c>
      <c r="AQ204" s="456">
        <v>146615.69</v>
      </c>
      <c r="AR204" s="456">
        <v>150175.82</v>
      </c>
      <c r="AS204" s="456">
        <v>140323.62</v>
      </c>
      <c r="AT204" s="456">
        <v>131011.12</v>
      </c>
      <c r="AU204" s="456">
        <v>119476.87</v>
      </c>
      <c r="AV204" s="456">
        <v>101839.01</v>
      </c>
      <c r="AW204" s="456">
        <v>27700.19</v>
      </c>
      <c r="AX204" s="456">
        <v>21560.98</v>
      </c>
      <c r="AY204" s="456">
        <v>21979.74</v>
      </c>
      <c r="AZ204" s="456">
        <v>23037.37</v>
      </c>
      <c r="BA204" s="456">
        <v>23369.02</v>
      </c>
      <c r="BB204" s="456">
        <v>24874.33</v>
      </c>
      <c r="BC204" s="456">
        <v>232128.88</v>
      </c>
      <c r="BD204" s="456">
        <v>23308.92</v>
      </c>
      <c r="BE204" s="456">
        <v>17940.33</v>
      </c>
      <c r="BF204" s="456">
        <v>17058.46</v>
      </c>
      <c r="BG204" s="456">
        <v>5053.7</v>
      </c>
      <c r="BH204" s="456">
        <v>5085.08</v>
      </c>
      <c r="BI204" s="456">
        <v>5127.96</v>
      </c>
      <c r="BJ204" s="456">
        <v>5173.25</v>
      </c>
      <c r="BK204" s="456">
        <v>5214.21</v>
      </c>
      <c r="BL204" s="456">
        <v>5354.48</v>
      </c>
      <c r="BM204" s="456">
        <v>5400.8</v>
      </c>
      <c r="BN204" s="456">
        <v>0.0</v>
      </c>
      <c r="BO204" s="456">
        <v>0.0</v>
      </c>
      <c r="BP204" s="456">
        <v>0.0</v>
      </c>
      <c r="BQ204" s="456">
        <v>0.0</v>
      </c>
      <c r="BR204" s="456">
        <v>0.0</v>
      </c>
      <c r="BS204" s="90">
        <v>0.0</v>
      </c>
      <c r="BT204" s="90"/>
    </row>
    <row r="205" ht="15.75" customHeight="1">
      <c r="A205" s="444" t="s">
        <v>98</v>
      </c>
      <c r="B205" s="445" t="s">
        <v>5155</v>
      </c>
      <c r="C205" s="458" t="s">
        <v>5156</v>
      </c>
      <c r="D205" s="449">
        <v>4833105.0</v>
      </c>
      <c r="E205" s="449" t="s">
        <v>120</v>
      </c>
      <c r="F205" s="449" t="s">
        <v>199</v>
      </c>
      <c r="G205" s="449" t="s">
        <v>2339</v>
      </c>
      <c r="H205" s="449" t="str">
        <f>IFERROR(VLOOKUP(G205,'Cadastro de assessores'!A:B,2,FALSE),"Não Cadastrado")</f>
        <v>17679</v>
      </c>
      <c r="I205" s="449"/>
      <c r="J205" s="49" t="s">
        <v>224</v>
      </c>
      <c r="K205" s="449" t="s">
        <v>2340</v>
      </c>
      <c r="L205" s="460">
        <v>44231.0</v>
      </c>
      <c r="M205" s="460">
        <v>44231.0</v>
      </c>
      <c r="N205" s="459">
        <v>44518.0</v>
      </c>
      <c r="O205" s="449" t="s">
        <v>2365</v>
      </c>
      <c r="P205" s="452">
        <v>0.012</v>
      </c>
      <c r="Q205" s="330" t="s">
        <v>5159</v>
      </c>
      <c r="R205" s="453"/>
      <c r="S205" s="449" t="str">
        <f t="shared" si="20"/>
        <v>Não Qualificado</v>
      </c>
      <c r="T205" s="449" t="s">
        <v>194</v>
      </c>
      <c r="U205" s="449" t="s">
        <v>2417</v>
      </c>
      <c r="V205" s="449" t="s">
        <v>199</v>
      </c>
      <c r="W205" s="455"/>
      <c r="X205" s="455"/>
      <c r="Y205" s="455"/>
      <c r="Z205" s="455"/>
      <c r="AA205" s="455"/>
      <c r="AB205" s="455"/>
      <c r="AC205" s="455"/>
      <c r="AD205" s="455"/>
      <c r="AE205" s="455"/>
      <c r="AF205" s="455"/>
      <c r="AG205" s="455"/>
      <c r="AH205" s="455"/>
      <c r="AI205" s="455"/>
      <c r="AJ205" s="455"/>
      <c r="AK205" s="456"/>
      <c r="AL205" s="456"/>
      <c r="AM205" s="456">
        <v>79826.06</v>
      </c>
      <c r="AN205" s="456">
        <v>79999.74</v>
      </c>
      <c r="AO205" s="456">
        <v>121185.4</v>
      </c>
      <c r="AP205" s="456">
        <v>121764.11</v>
      </c>
      <c r="AQ205" s="456">
        <v>121441.11</v>
      </c>
      <c r="AR205" s="456">
        <v>123063.35</v>
      </c>
      <c r="AS205" s="456">
        <v>122760.49</v>
      </c>
      <c r="AT205" s="456">
        <v>121077.59</v>
      </c>
      <c r="AU205" s="456">
        <v>120231.67</v>
      </c>
      <c r="AV205" s="456">
        <v>121750.05</v>
      </c>
      <c r="AW205" s="456">
        <v>114163.92</v>
      </c>
      <c r="AX205" s="456"/>
      <c r="AY205" s="456"/>
      <c r="AZ205" s="456"/>
      <c r="BA205" s="456">
        <v>0.0</v>
      </c>
      <c r="BB205" s="456">
        <v>0.0</v>
      </c>
      <c r="BC205" s="456">
        <v>90391.89</v>
      </c>
      <c r="BD205" s="456" t="s">
        <v>377</v>
      </c>
      <c r="BE205" s="456" t="s">
        <v>377</v>
      </c>
      <c r="BF205" s="456">
        <v>0.0</v>
      </c>
      <c r="BG205" s="456">
        <v>0.0</v>
      </c>
      <c r="BH205" s="456">
        <v>0.0</v>
      </c>
      <c r="BI205" s="456">
        <v>0.0</v>
      </c>
      <c r="BJ205" s="456">
        <v>0.0</v>
      </c>
      <c r="BK205" s="456">
        <v>0.0</v>
      </c>
      <c r="BL205" s="456">
        <v>0.0</v>
      </c>
      <c r="BM205" s="456">
        <v>0.0</v>
      </c>
      <c r="BN205" s="456">
        <v>0.0</v>
      </c>
      <c r="BO205" s="456">
        <v>0.0</v>
      </c>
      <c r="BP205" s="456">
        <v>0.0</v>
      </c>
      <c r="BQ205" s="456">
        <v>0.0</v>
      </c>
      <c r="BR205" s="456">
        <v>0.0</v>
      </c>
      <c r="BS205" s="90" t="s">
        <v>268</v>
      </c>
      <c r="BT205" s="90"/>
    </row>
    <row r="206" ht="15.75" customHeight="1">
      <c r="A206" s="444" t="s">
        <v>98</v>
      </c>
      <c r="B206" s="445" t="s">
        <v>5162</v>
      </c>
      <c r="C206" s="468" t="s">
        <v>5163</v>
      </c>
      <c r="D206" s="446">
        <v>8118134.0</v>
      </c>
      <c r="E206" s="447" t="s">
        <v>255</v>
      </c>
      <c r="F206" s="447" t="s">
        <v>199</v>
      </c>
      <c r="G206" s="447" t="s">
        <v>2729</v>
      </c>
      <c r="H206" s="446">
        <f>IFERROR(VLOOKUP(G206,'Cadastro de assessores'!A:B,2,FALSE),"Não Cadastrado")</f>
        <v>12356</v>
      </c>
      <c r="I206" s="446"/>
      <c r="J206" s="49" t="s">
        <v>2318</v>
      </c>
      <c r="K206" s="447" t="s">
        <v>183</v>
      </c>
      <c r="L206" s="450">
        <v>44686.0</v>
      </c>
      <c r="M206" s="450">
        <v>44685.0</v>
      </c>
      <c r="N206" s="446"/>
      <c r="O206" s="446" t="s">
        <v>5164</v>
      </c>
      <c r="P206" s="452">
        <v>0.015</v>
      </c>
      <c r="Q206" s="330" t="s">
        <v>5165</v>
      </c>
      <c r="R206" s="453"/>
      <c r="S206" s="449" t="str">
        <f t="shared" si="20"/>
        <v/>
      </c>
      <c r="T206" s="449" t="s">
        <v>194</v>
      </c>
      <c r="U206" s="446" t="s">
        <v>2383</v>
      </c>
      <c r="V206" s="446" t="s">
        <v>199</v>
      </c>
      <c r="W206" s="454"/>
      <c r="X206" s="454"/>
      <c r="Y206" s="454"/>
      <c r="Z206" s="454"/>
      <c r="AA206" s="454"/>
      <c r="AB206" s="454"/>
      <c r="AC206" s="454"/>
      <c r="AD206" s="454"/>
      <c r="AE206" s="454"/>
      <c r="AF206" s="454"/>
      <c r="AG206" s="454"/>
      <c r="AH206" s="455"/>
      <c r="AI206" s="455"/>
      <c r="AJ206" s="456"/>
      <c r="AK206" s="456"/>
      <c r="AL206" s="456"/>
      <c r="AM206" s="456"/>
      <c r="AN206" s="456"/>
      <c r="AO206" s="456"/>
      <c r="AP206" s="456"/>
      <c r="AQ206" s="456"/>
      <c r="AR206" s="456"/>
      <c r="AS206" s="454"/>
      <c r="AT206" s="481"/>
      <c r="AU206" s="481"/>
      <c r="AV206" s="456"/>
      <c r="AW206" s="456"/>
      <c r="AX206" s="456"/>
      <c r="AY206" s="456"/>
      <c r="AZ206" s="456"/>
      <c r="BA206" s="456"/>
      <c r="BB206" s="456"/>
      <c r="BC206" s="456"/>
      <c r="BD206" s="456">
        <v>821332.71</v>
      </c>
      <c r="BE206" s="456">
        <v>828064.8</v>
      </c>
      <c r="BF206" s="456">
        <v>834802.06</v>
      </c>
      <c r="BG206" s="456">
        <v>848360.4121</v>
      </c>
      <c r="BH206" s="456">
        <v>850503.23</v>
      </c>
      <c r="BI206" s="456">
        <v>857335.17</v>
      </c>
      <c r="BJ206" s="456">
        <v>850002.23</v>
      </c>
      <c r="BK206" s="456">
        <v>852684.53</v>
      </c>
      <c r="BL206" s="456">
        <v>859574.4</v>
      </c>
      <c r="BM206" s="456">
        <v>339811.73</v>
      </c>
      <c r="BN206" s="456">
        <v>342552.68</v>
      </c>
      <c r="BO206" s="456">
        <v>249.0</v>
      </c>
      <c r="BP206" s="456">
        <v>249.0</v>
      </c>
      <c r="BQ206" s="456">
        <v>249.0</v>
      </c>
      <c r="BR206" s="456">
        <v>249.0</v>
      </c>
      <c r="BS206" s="90">
        <v>0.0</v>
      </c>
      <c r="BT206" s="90"/>
    </row>
    <row r="207" ht="15.75" customHeight="1">
      <c r="A207" s="444" t="s">
        <v>98</v>
      </c>
      <c r="B207" s="445" t="s">
        <v>5169</v>
      </c>
      <c r="C207" s="237" t="s">
        <v>5170</v>
      </c>
      <c r="D207" s="203">
        <v>5998094.0</v>
      </c>
      <c r="E207" s="449" t="s">
        <v>120</v>
      </c>
      <c r="F207" s="507" t="s">
        <v>54</v>
      </c>
      <c r="G207" s="449" t="s">
        <v>379</v>
      </c>
      <c r="H207" s="449" t="str">
        <f>IFERROR(VLOOKUP(G207,'Cadastro de assessores'!A:B,2,FALSE),"Não Cadastrado")</f>
        <v>18009</v>
      </c>
      <c r="I207" s="449"/>
      <c r="J207" s="49" t="s">
        <v>224</v>
      </c>
      <c r="K207" s="449" t="s">
        <v>2340</v>
      </c>
      <c r="L207" s="460">
        <v>44462.0</v>
      </c>
      <c r="M207" s="460">
        <v>44462.0</v>
      </c>
      <c r="N207" s="460">
        <v>44676.0</v>
      </c>
      <c r="O207" s="449" t="s">
        <v>2341</v>
      </c>
      <c r="P207" s="465">
        <v>0.015</v>
      </c>
      <c r="Q207" s="207" t="s">
        <v>5171</v>
      </c>
      <c r="R207" s="453"/>
      <c r="S207" s="449" t="str">
        <f t="shared" si="20"/>
        <v>Não Qualificado</v>
      </c>
      <c r="T207" s="449" t="s">
        <v>194</v>
      </c>
      <c r="U207" s="446" t="s">
        <v>2852</v>
      </c>
      <c r="V207" s="449" t="s">
        <v>2854</v>
      </c>
      <c r="W207" s="454"/>
      <c r="X207" s="454"/>
      <c r="Y207" s="454"/>
      <c r="Z207" s="454"/>
      <c r="AA207" s="454"/>
      <c r="AB207" s="454"/>
      <c r="AC207" s="454"/>
      <c r="AD207" s="454"/>
      <c r="AE207" s="454"/>
      <c r="AF207" s="454"/>
      <c r="AG207" s="454"/>
      <c r="AH207" s="454"/>
      <c r="AI207" s="454"/>
      <c r="AJ207" s="456"/>
      <c r="AK207" s="456"/>
      <c r="AL207" s="456"/>
      <c r="AM207" s="456"/>
      <c r="AN207" s="456"/>
      <c r="AO207" s="456"/>
      <c r="AP207" s="456"/>
      <c r="AQ207" s="454"/>
      <c r="AR207" s="456"/>
      <c r="AS207" s="456"/>
      <c r="AT207" s="481"/>
      <c r="AU207" s="481"/>
      <c r="AV207" s="456">
        <v>111123.17</v>
      </c>
      <c r="AW207" s="456">
        <v>107505.0</v>
      </c>
      <c r="AX207" s="456">
        <v>106646.14</v>
      </c>
      <c r="AY207" s="456">
        <v>107581.1</v>
      </c>
      <c r="AZ207" s="456">
        <v>111241.24</v>
      </c>
      <c r="BA207" s="456">
        <v>112103.75</v>
      </c>
      <c r="BB207" s="456">
        <v>116050.26</v>
      </c>
      <c r="BC207" s="456">
        <v>2317.88</v>
      </c>
      <c r="BD207" s="456" t="s">
        <v>377</v>
      </c>
      <c r="BE207" s="456" t="s">
        <v>377</v>
      </c>
      <c r="BF207" s="456">
        <v>0.0</v>
      </c>
      <c r="BG207" s="456">
        <v>0.0</v>
      </c>
      <c r="BH207" s="456">
        <v>0.0</v>
      </c>
      <c r="BI207" s="456">
        <v>0.0</v>
      </c>
      <c r="BJ207" s="456">
        <v>0.0</v>
      </c>
      <c r="BK207" s="456">
        <v>0.0</v>
      </c>
      <c r="BL207" s="456">
        <v>0.0</v>
      </c>
      <c r="BM207" s="456">
        <v>0.0</v>
      </c>
      <c r="BN207" s="456">
        <v>0.0</v>
      </c>
      <c r="BO207" s="456">
        <v>0.0</v>
      </c>
      <c r="BP207" s="456">
        <v>0.0</v>
      </c>
      <c r="BQ207" s="456">
        <v>0.0</v>
      </c>
      <c r="BR207" s="456">
        <v>0.0</v>
      </c>
      <c r="BS207" s="90" t="s">
        <v>268</v>
      </c>
      <c r="BT207" s="90"/>
    </row>
    <row r="208" ht="15.75" customHeight="1">
      <c r="A208" s="444" t="s">
        <v>98</v>
      </c>
      <c r="B208" s="445" t="s">
        <v>5175</v>
      </c>
      <c r="C208" s="468" t="s">
        <v>5176</v>
      </c>
      <c r="D208" s="446">
        <v>3712007.0</v>
      </c>
      <c r="E208" s="449" t="s">
        <v>120</v>
      </c>
      <c r="F208" s="507" t="s">
        <v>54</v>
      </c>
      <c r="G208" s="507" t="s">
        <v>379</v>
      </c>
      <c r="H208" s="507" t="str">
        <f>IFERROR(VLOOKUP(G208,'Cadastro de assessores'!A:B,2,FALSE),"Não Cadastrado")</f>
        <v>18009</v>
      </c>
      <c r="I208" s="507"/>
      <c r="J208" s="49" t="s">
        <v>224</v>
      </c>
      <c r="K208" s="449" t="s">
        <v>2340</v>
      </c>
      <c r="L208" s="449" t="s">
        <v>3320</v>
      </c>
      <c r="M208" s="449" t="s">
        <v>3320</v>
      </c>
      <c r="N208" s="508">
        <v>44404.0</v>
      </c>
      <c r="O208" s="446" t="s">
        <v>2341</v>
      </c>
      <c r="P208" s="465">
        <v>0.015</v>
      </c>
      <c r="Q208" s="330" t="s">
        <v>5177</v>
      </c>
      <c r="R208" s="453"/>
      <c r="S208" s="449" t="str">
        <f t="shared" si="20"/>
        <v>Não Qualificado</v>
      </c>
      <c r="T208" s="449" t="s">
        <v>194</v>
      </c>
      <c r="U208" s="446" t="s">
        <v>2475</v>
      </c>
      <c r="V208" s="446" t="s">
        <v>618</v>
      </c>
      <c r="W208" s="454"/>
      <c r="X208" s="454"/>
      <c r="Y208" s="454"/>
      <c r="Z208" s="454"/>
      <c r="AA208" s="454"/>
      <c r="AB208" s="454"/>
      <c r="AC208" s="454"/>
      <c r="AD208" s="454"/>
      <c r="AE208" s="454"/>
      <c r="AF208" s="454"/>
      <c r="AG208" s="454"/>
      <c r="AH208" s="454"/>
      <c r="AI208" s="454"/>
      <c r="AJ208" s="454"/>
      <c r="AK208" s="456"/>
      <c r="AL208" s="456"/>
      <c r="AM208" s="456"/>
      <c r="AN208" s="456"/>
      <c r="AO208" s="456"/>
      <c r="AP208" s="456"/>
      <c r="AQ208" s="456"/>
      <c r="AR208" s="454"/>
      <c r="AS208" s="456">
        <v>11549.13</v>
      </c>
      <c r="AT208" s="456">
        <v>11100.7</v>
      </c>
      <c r="AU208" s="456"/>
      <c r="AV208" s="456"/>
      <c r="AW208" s="456"/>
      <c r="AX208" s="456"/>
      <c r="AY208" s="456"/>
      <c r="AZ208" s="456"/>
      <c r="BA208" s="456">
        <v>0.0</v>
      </c>
      <c r="BB208" s="456">
        <v>0.0</v>
      </c>
      <c r="BC208" s="456">
        <v>723.98</v>
      </c>
      <c r="BD208" s="456" t="s">
        <v>377</v>
      </c>
      <c r="BE208" s="456" t="s">
        <v>377</v>
      </c>
      <c r="BF208" s="456">
        <v>0.0</v>
      </c>
      <c r="BG208" s="456">
        <v>0.0</v>
      </c>
      <c r="BH208" s="456">
        <v>0.0</v>
      </c>
      <c r="BI208" s="456">
        <v>0.0</v>
      </c>
      <c r="BJ208" s="456">
        <v>0.0</v>
      </c>
      <c r="BK208" s="456">
        <v>0.0</v>
      </c>
      <c r="BL208" s="456">
        <v>0.0</v>
      </c>
      <c r="BM208" s="456">
        <v>0.0</v>
      </c>
      <c r="BN208" s="456">
        <v>0.0</v>
      </c>
      <c r="BO208" s="456">
        <v>0.0</v>
      </c>
      <c r="BP208" s="456">
        <v>0.0</v>
      </c>
      <c r="BQ208" s="456">
        <v>0.0</v>
      </c>
      <c r="BR208" s="456">
        <v>0.0</v>
      </c>
      <c r="BS208" s="90" t="s">
        <v>268</v>
      </c>
      <c r="BT208" s="90"/>
    </row>
    <row r="209" ht="15.75" customHeight="1">
      <c r="A209" s="444" t="s">
        <v>98</v>
      </c>
      <c r="B209" s="445" t="s">
        <v>5184</v>
      </c>
      <c r="C209" s="468" t="s">
        <v>5185</v>
      </c>
      <c r="D209" s="446">
        <v>3919372.0</v>
      </c>
      <c r="E209" s="449" t="s">
        <v>120</v>
      </c>
      <c r="F209" s="507" t="s">
        <v>54</v>
      </c>
      <c r="G209" s="449" t="s">
        <v>379</v>
      </c>
      <c r="H209" s="446" t="str">
        <f>IFERROR(VLOOKUP(G209,'Cadastro de assessores'!A:B,2,FALSE),"Não Cadastrado")</f>
        <v>18009</v>
      </c>
      <c r="I209" s="446"/>
      <c r="J209" s="49" t="s">
        <v>224</v>
      </c>
      <c r="K209" s="449" t="s">
        <v>2340</v>
      </c>
      <c r="L209" s="460">
        <v>44413.0</v>
      </c>
      <c r="M209" s="460">
        <v>44413.0</v>
      </c>
      <c r="N209" s="446"/>
      <c r="O209" s="446" t="s">
        <v>2372</v>
      </c>
      <c r="P209" s="452">
        <v>0.025</v>
      </c>
      <c r="Q209" s="330" t="s">
        <v>5186</v>
      </c>
      <c r="R209" s="453"/>
      <c r="S209" s="449" t="str">
        <f t="shared" si="20"/>
        <v>Não Qualificado</v>
      </c>
      <c r="T209" s="449" t="s">
        <v>194</v>
      </c>
      <c r="U209" s="446" t="s">
        <v>2475</v>
      </c>
      <c r="V209" s="446" t="s">
        <v>618</v>
      </c>
      <c r="W209" s="454"/>
      <c r="X209" s="454"/>
      <c r="Y209" s="454"/>
      <c r="Z209" s="454"/>
      <c r="AA209" s="454"/>
      <c r="AB209" s="454"/>
      <c r="AC209" s="454"/>
      <c r="AD209" s="454"/>
      <c r="AE209" s="454"/>
      <c r="AF209" s="454"/>
      <c r="AG209" s="454"/>
      <c r="AH209" s="455"/>
      <c r="AI209" s="455"/>
      <c r="AJ209" s="456"/>
      <c r="AK209" s="456"/>
      <c r="AL209" s="456"/>
      <c r="AM209" s="456"/>
      <c r="AN209" s="456"/>
      <c r="AO209" s="456"/>
      <c r="AP209" s="456"/>
      <c r="AQ209" s="456"/>
      <c r="AR209" s="456"/>
      <c r="AS209" s="454"/>
      <c r="AT209" s="481">
        <v>77768.14</v>
      </c>
      <c r="AU209" s="481">
        <v>76647.51</v>
      </c>
      <c r="AV209" s="456">
        <v>74347.05</v>
      </c>
      <c r="AW209" s="456">
        <v>70583.24</v>
      </c>
      <c r="AX209" s="456">
        <v>16682.18</v>
      </c>
      <c r="AY209" s="456">
        <v>17103.67</v>
      </c>
      <c r="AZ209" s="456">
        <v>719.6</v>
      </c>
      <c r="BA209" s="456">
        <v>721.33</v>
      </c>
      <c r="BB209" s="456">
        <v>722.77</v>
      </c>
      <c r="BC209" s="456">
        <v>198.79</v>
      </c>
      <c r="BD209" s="456" t="s">
        <v>377</v>
      </c>
      <c r="BE209" s="456" t="s">
        <v>377</v>
      </c>
      <c r="BF209" s="456">
        <v>0.0</v>
      </c>
      <c r="BG209" s="456">
        <v>0.0</v>
      </c>
      <c r="BH209" s="456">
        <v>0.0</v>
      </c>
      <c r="BI209" s="456">
        <v>0.0</v>
      </c>
      <c r="BJ209" s="456">
        <v>0.0</v>
      </c>
      <c r="BK209" s="456">
        <v>0.0</v>
      </c>
      <c r="BL209" s="456">
        <v>0.0</v>
      </c>
      <c r="BM209" s="456">
        <v>0.0</v>
      </c>
      <c r="BN209" s="456">
        <v>0.0</v>
      </c>
      <c r="BO209" s="456">
        <v>0.0</v>
      </c>
      <c r="BP209" s="456">
        <v>0.0</v>
      </c>
      <c r="BQ209" s="456">
        <v>0.0</v>
      </c>
      <c r="BR209" s="456">
        <v>0.0</v>
      </c>
      <c r="BS209" s="90" t="s">
        <v>268</v>
      </c>
      <c r="BT209" s="90"/>
    </row>
    <row r="210" ht="15.75" customHeight="1">
      <c r="A210" s="444" t="s">
        <v>98</v>
      </c>
      <c r="B210" s="445" t="s">
        <v>5193</v>
      </c>
      <c r="C210" s="458" t="s">
        <v>4294</v>
      </c>
      <c r="D210" s="449">
        <v>2466854.0</v>
      </c>
      <c r="E210" s="449" t="s">
        <v>669</v>
      </c>
      <c r="F210" s="449" t="s">
        <v>199</v>
      </c>
      <c r="G210" s="449" t="s">
        <v>669</v>
      </c>
      <c r="H210" s="449" t="str">
        <f>IFERROR(VLOOKUP(G210,'Cadastro de assessores'!A:B,2,FALSE),"Não Cadastrado")</f>
        <v>18986</v>
      </c>
      <c r="I210" s="449"/>
      <c r="J210" s="49" t="s">
        <v>224</v>
      </c>
      <c r="K210" s="449" t="s">
        <v>2340</v>
      </c>
      <c r="L210" s="460">
        <v>43696.0</v>
      </c>
      <c r="M210" s="460">
        <v>43696.0</v>
      </c>
      <c r="N210" s="460">
        <v>44091.0</v>
      </c>
      <c r="O210" s="449" t="s">
        <v>2341</v>
      </c>
      <c r="P210" s="452">
        <v>0.01</v>
      </c>
      <c r="Q210" s="461" t="s">
        <v>5194</v>
      </c>
      <c r="R210" s="453"/>
      <c r="S210" s="449" t="str">
        <f t="shared" si="20"/>
        <v/>
      </c>
      <c r="T210" s="449" t="s">
        <v>194</v>
      </c>
      <c r="U210" s="449" t="s">
        <v>2374</v>
      </c>
      <c r="V210" s="449" t="s">
        <v>199</v>
      </c>
      <c r="W210" s="455" t="s">
        <v>5195</v>
      </c>
      <c r="X210" s="455"/>
      <c r="Y210" s="455" t="s">
        <v>5196</v>
      </c>
      <c r="Z210" s="455" t="s">
        <v>5197</v>
      </c>
      <c r="AA210" s="455" t="s">
        <v>5198</v>
      </c>
      <c r="AB210" s="455" t="s">
        <v>5199</v>
      </c>
      <c r="AC210" s="455" t="s">
        <v>5200</v>
      </c>
      <c r="AD210" s="455" t="s">
        <v>5201</v>
      </c>
      <c r="AE210" s="455" t="s">
        <v>5202</v>
      </c>
      <c r="AF210" s="455" t="s">
        <v>5203</v>
      </c>
      <c r="AG210" s="455" t="s">
        <v>5204</v>
      </c>
      <c r="AH210" s="455"/>
      <c r="AI210" s="455" t="s">
        <v>5205</v>
      </c>
      <c r="AJ210" s="455"/>
      <c r="AK210" s="456"/>
      <c r="AL210" s="456">
        <v>214.15</v>
      </c>
      <c r="AM210" s="456" t="s">
        <v>3320</v>
      </c>
      <c r="AN210" s="456"/>
      <c r="AO210" s="456"/>
      <c r="AP210" s="456"/>
      <c r="AQ210" s="456"/>
      <c r="AR210" s="456"/>
      <c r="AS210" s="456"/>
      <c r="AT210" s="456"/>
      <c r="AU210" s="456"/>
      <c r="AV210" s="456"/>
      <c r="AW210" s="456"/>
      <c r="AX210" s="456"/>
      <c r="AY210" s="456"/>
      <c r="AZ210" s="456"/>
      <c r="BA210" s="456">
        <v>0.0</v>
      </c>
      <c r="BB210" s="456">
        <v>0.0</v>
      </c>
      <c r="BC210" s="456"/>
      <c r="BD210" s="456" t="s">
        <v>377</v>
      </c>
      <c r="BE210" s="456" t="s">
        <v>377</v>
      </c>
      <c r="BF210" s="456">
        <v>0.0</v>
      </c>
      <c r="BG210" s="456">
        <v>0.0</v>
      </c>
      <c r="BH210" s="456">
        <v>0.0</v>
      </c>
      <c r="BI210" s="456">
        <v>0.0</v>
      </c>
      <c r="BJ210" s="456">
        <v>0.0</v>
      </c>
      <c r="BK210" s="456">
        <v>0.0</v>
      </c>
      <c r="BL210" s="456">
        <v>0.0</v>
      </c>
      <c r="BM210" s="456">
        <v>0.0</v>
      </c>
      <c r="BN210" s="456">
        <v>0.0</v>
      </c>
      <c r="BO210" s="456">
        <v>0.0</v>
      </c>
      <c r="BP210" s="456">
        <v>0.0</v>
      </c>
      <c r="BQ210" s="456">
        <v>0.0</v>
      </c>
      <c r="BR210" s="456">
        <v>0.0</v>
      </c>
      <c r="BS210" s="90" t="s">
        <v>268</v>
      </c>
      <c r="BT210" s="90"/>
    </row>
    <row r="211" ht="15.75" customHeight="1">
      <c r="A211" s="444" t="s">
        <v>98</v>
      </c>
      <c r="B211" s="445" t="s">
        <v>3835</v>
      </c>
      <c r="C211" s="458" t="s">
        <v>1658</v>
      </c>
      <c r="D211" s="449">
        <v>2172585.0</v>
      </c>
      <c r="E211" s="447" t="s">
        <v>120</v>
      </c>
      <c r="F211" s="447" t="s">
        <v>199</v>
      </c>
      <c r="G211" s="447" t="s">
        <v>1658</v>
      </c>
      <c r="H211" s="447"/>
      <c r="I211" s="447"/>
      <c r="J211" s="49" t="s">
        <v>2318</v>
      </c>
      <c r="K211" s="449"/>
      <c r="L211" s="449"/>
      <c r="M211" s="449"/>
      <c r="N211" s="449"/>
      <c r="O211" s="449" t="s">
        <v>2341</v>
      </c>
      <c r="P211" s="519">
        <v>0.012</v>
      </c>
      <c r="Q211" s="461" t="s">
        <v>2744</v>
      </c>
      <c r="R211" s="453"/>
      <c r="S211" s="449"/>
      <c r="T211" s="449"/>
      <c r="U211" s="449"/>
      <c r="V211" s="449" t="s">
        <v>199</v>
      </c>
      <c r="W211" s="455"/>
      <c r="X211" s="455"/>
      <c r="Y211" s="455"/>
      <c r="Z211" s="455"/>
      <c r="AA211" s="455"/>
      <c r="AB211" s="455"/>
      <c r="AC211" s="455"/>
      <c r="AD211" s="455"/>
      <c r="AE211" s="455"/>
      <c r="AF211" s="455"/>
      <c r="AG211" s="455"/>
      <c r="AH211" s="455"/>
      <c r="AI211" s="455"/>
      <c r="AJ211" s="455"/>
      <c r="AK211" s="456"/>
      <c r="AL211" s="456"/>
      <c r="AM211" s="456"/>
      <c r="AN211" s="456"/>
      <c r="AO211" s="456"/>
      <c r="AP211" s="456"/>
      <c r="AQ211" s="456"/>
      <c r="AR211" s="456"/>
      <c r="AS211" s="456"/>
      <c r="AT211" s="456"/>
      <c r="AU211" s="456"/>
      <c r="AV211" s="456"/>
      <c r="AW211" s="456"/>
      <c r="AX211" s="456"/>
      <c r="AY211" s="456"/>
      <c r="AZ211" s="456"/>
      <c r="BA211" s="456"/>
      <c r="BB211" s="456"/>
      <c r="BC211" s="456"/>
      <c r="BD211" s="456"/>
      <c r="BE211" s="456"/>
      <c r="BF211" s="456"/>
      <c r="BG211" s="456"/>
      <c r="BH211" s="456"/>
      <c r="BI211" s="456"/>
      <c r="BJ211" s="456"/>
      <c r="BK211" s="456"/>
      <c r="BL211" s="456">
        <v>0.0</v>
      </c>
      <c r="BM211" s="456">
        <v>0.0</v>
      </c>
      <c r="BN211" s="456">
        <v>0.0</v>
      </c>
      <c r="BO211" s="456">
        <v>0.0</v>
      </c>
      <c r="BP211" s="456">
        <v>0.0</v>
      </c>
      <c r="BQ211" s="456">
        <v>0.0</v>
      </c>
      <c r="BR211" s="456">
        <v>0.0</v>
      </c>
      <c r="BS211" s="90" t="s">
        <v>268</v>
      </c>
      <c r="BT211" s="90"/>
    </row>
    <row r="212" ht="15.75" customHeight="1">
      <c r="A212" s="444" t="s">
        <v>98</v>
      </c>
      <c r="B212" s="445" t="s">
        <v>5209</v>
      </c>
      <c r="C212" s="458" t="s">
        <v>5210</v>
      </c>
      <c r="D212" s="449">
        <v>2566765.0</v>
      </c>
      <c r="E212" s="447" t="s">
        <v>120</v>
      </c>
      <c r="F212" s="447" t="s">
        <v>199</v>
      </c>
      <c r="G212" s="447" t="s">
        <v>841</v>
      </c>
      <c r="H212" s="447" t="str">
        <f>IFERROR(VLOOKUP(G212,'Cadastro de assessores'!A:B,2,FALSE),"Não Cadastrado")</f>
        <v>18256</v>
      </c>
      <c r="I212" s="447"/>
      <c r="J212" s="49" t="s">
        <v>2318</v>
      </c>
      <c r="K212" s="449" t="s">
        <v>295</v>
      </c>
      <c r="L212" s="449" t="s">
        <v>3320</v>
      </c>
      <c r="M212" s="548" t="s">
        <v>584</v>
      </c>
      <c r="N212" s="449"/>
      <c r="O212" s="449" t="s">
        <v>2372</v>
      </c>
      <c r="P212" s="519">
        <v>1.0E-4</v>
      </c>
      <c r="Q212" s="461"/>
      <c r="R212" s="453"/>
      <c r="S212" s="449" t="str">
        <f t="shared" ref="S212:S214" si="21">IF(BC212&lt;=0,"",IF(BC212&lt;=1000000,"Não Qualificado",IF(AND(BC212&gt;1000000,BC212&lt;=10000000),"Qualificado","Profissional")))</f>
        <v>Não Qualificado</v>
      </c>
      <c r="T212" s="449" t="s">
        <v>194</v>
      </c>
      <c r="U212" s="449" t="s">
        <v>2343</v>
      </c>
      <c r="V212" s="449" t="s">
        <v>199</v>
      </c>
      <c r="W212" s="455" t="s">
        <v>5214</v>
      </c>
      <c r="X212" s="455"/>
      <c r="Y212" s="455" t="s">
        <v>5216</v>
      </c>
      <c r="Z212" s="455" t="s">
        <v>5217</v>
      </c>
      <c r="AA212" s="455" t="s">
        <v>5218</v>
      </c>
      <c r="AB212" s="455" t="s">
        <v>5219</v>
      </c>
      <c r="AC212" s="455" t="s">
        <v>5220</v>
      </c>
      <c r="AD212" s="455" t="s">
        <v>5219</v>
      </c>
      <c r="AE212" s="455" t="s">
        <v>5219</v>
      </c>
      <c r="AF212" s="455" t="s">
        <v>5219</v>
      </c>
      <c r="AG212" s="455" t="s">
        <v>5221</v>
      </c>
      <c r="AH212" s="455" t="s">
        <v>5221</v>
      </c>
      <c r="AI212" s="455" t="s">
        <v>5222</v>
      </c>
      <c r="AJ212" s="455" t="s">
        <v>5222</v>
      </c>
      <c r="AK212" s="456">
        <v>260.3</v>
      </c>
      <c r="AL212" s="456">
        <v>123.59</v>
      </c>
      <c r="AM212" s="456">
        <v>123.59</v>
      </c>
      <c r="AN212" s="456">
        <v>123.59</v>
      </c>
      <c r="AO212" s="456">
        <v>198.79</v>
      </c>
      <c r="AP212" s="456">
        <v>198.79</v>
      </c>
      <c r="AQ212" s="456">
        <v>198.79</v>
      </c>
      <c r="AR212" s="456">
        <v>198.79</v>
      </c>
      <c r="AS212" s="456">
        <v>198.79</v>
      </c>
      <c r="AT212" s="456">
        <v>198.79</v>
      </c>
      <c r="AU212" s="456">
        <v>198.79</v>
      </c>
      <c r="AV212" s="456">
        <v>123.59</v>
      </c>
      <c r="AW212" s="456">
        <v>198.79</v>
      </c>
      <c r="AX212" s="456">
        <v>198.79</v>
      </c>
      <c r="AY212" s="456">
        <v>198.79</v>
      </c>
      <c r="AZ212" s="456">
        <v>198.79</v>
      </c>
      <c r="BA212" s="456">
        <v>198.79</v>
      </c>
      <c r="BB212" s="456">
        <v>198.79</v>
      </c>
      <c r="BC212" s="456">
        <v>88355.15</v>
      </c>
      <c r="BD212" s="456">
        <v>123.59</v>
      </c>
      <c r="BE212" s="456" t="s">
        <v>377</v>
      </c>
      <c r="BF212" s="456">
        <v>123.59</v>
      </c>
      <c r="BG212" s="456">
        <v>123.59</v>
      </c>
      <c r="BH212" s="456">
        <v>123.59</v>
      </c>
      <c r="BI212" s="456">
        <v>123.59</v>
      </c>
      <c r="BJ212" s="456">
        <v>123.59</v>
      </c>
      <c r="BK212" s="456">
        <v>123.59</v>
      </c>
      <c r="BL212" s="456">
        <v>0.0</v>
      </c>
      <c r="BM212" s="456">
        <v>0.0</v>
      </c>
      <c r="BN212" s="456">
        <v>0.0</v>
      </c>
      <c r="BO212" s="456">
        <v>0.0</v>
      </c>
      <c r="BP212" s="456">
        <v>0.0</v>
      </c>
      <c r="BQ212" s="456">
        <v>0.0</v>
      </c>
      <c r="BR212" s="456">
        <v>0.0</v>
      </c>
      <c r="BS212" s="90">
        <v>0.0</v>
      </c>
      <c r="BT212" s="90"/>
    </row>
    <row r="213" ht="15.75" customHeight="1">
      <c r="A213" s="444" t="s">
        <v>98</v>
      </c>
      <c r="B213" s="445" t="s">
        <v>5224</v>
      </c>
      <c r="C213" s="681" t="s">
        <v>5225</v>
      </c>
      <c r="D213" s="446">
        <v>5092169.0</v>
      </c>
      <c r="E213" s="449" t="s">
        <v>120</v>
      </c>
      <c r="F213" s="507" t="s">
        <v>54</v>
      </c>
      <c r="G213" s="449" t="s">
        <v>379</v>
      </c>
      <c r="H213" s="507" t="str">
        <f>IFERROR(VLOOKUP(G213,'Cadastro de assessores'!A:B,2,FALSE),"Não Cadastrado")</f>
        <v>18009</v>
      </c>
      <c r="I213" s="507"/>
      <c r="J213" s="49" t="s">
        <v>224</v>
      </c>
      <c r="K213" s="449" t="s">
        <v>2340</v>
      </c>
      <c r="L213" s="460">
        <v>44287.0</v>
      </c>
      <c r="M213" s="460">
        <v>44287.0</v>
      </c>
      <c r="N213" s="460">
        <v>44805.0</v>
      </c>
      <c r="O213" s="449" t="s">
        <v>2341</v>
      </c>
      <c r="P213" s="465">
        <v>0.015</v>
      </c>
      <c r="Q213" s="330"/>
      <c r="R213" s="453"/>
      <c r="S213" s="449" t="str">
        <f t="shared" si="21"/>
        <v/>
      </c>
      <c r="T213" s="449" t="s">
        <v>194</v>
      </c>
      <c r="U213" s="446" t="s">
        <v>4515</v>
      </c>
      <c r="V213" s="446" t="s">
        <v>311</v>
      </c>
      <c r="W213" s="454"/>
      <c r="X213" s="454"/>
      <c r="Y213" s="454"/>
      <c r="Z213" s="454"/>
      <c r="AA213" s="454"/>
      <c r="AB213" s="454"/>
      <c r="AC213" s="454"/>
      <c r="AD213" s="454"/>
      <c r="AE213" s="454"/>
      <c r="AF213" s="454"/>
      <c r="AG213" s="454"/>
      <c r="AH213" s="454"/>
      <c r="AI213" s="454"/>
      <c r="AJ213" s="454"/>
      <c r="AK213" s="682"/>
      <c r="AL213" s="456"/>
      <c r="AM213" s="456"/>
      <c r="AN213" s="456"/>
      <c r="AO213" s="456"/>
      <c r="AP213" s="456">
        <v>130609.87</v>
      </c>
      <c r="AQ213" s="456">
        <v>130051.55</v>
      </c>
      <c r="AR213" s="456">
        <v>130223.2</v>
      </c>
      <c r="AS213" s="456">
        <v>129100.56</v>
      </c>
      <c r="AT213" s="456">
        <v>150883.89</v>
      </c>
      <c r="AU213" s="456">
        <v>149799.45</v>
      </c>
      <c r="AV213" s="456">
        <v>150114.6</v>
      </c>
      <c r="AW213" s="456">
        <v>145546.43</v>
      </c>
      <c r="AX213" s="456">
        <v>124683.99</v>
      </c>
      <c r="AY213" s="456">
        <v>126361.37</v>
      </c>
      <c r="AZ213" s="456">
        <v>130383.69</v>
      </c>
      <c r="BA213" s="456">
        <v>131494.49</v>
      </c>
      <c r="BB213" s="456">
        <v>128695.0</v>
      </c>
      <c r="BC213" s="456"/>
      <c r="BD213" s="456">
        <v>126550.34</v>
      </c>
      <c r="BE213" s="456">
        <v>125646.62</v>
      </c>
      <c r="BF213" s="456">
        <v>127751.05</v>
      </c>
      <c r="BG213" s="456">
        <v>128114.4536</v>
      </c>
      <c r="BH213" s="456">
        <v>0.0</v>
      </c>
      <c r="BI213" s="456">
        <v>0.0</v>
      </c>
      <c r="BJ213" s="456">
        <v>0.0</v>
      </c>
      <c r="BK213" s="456">
        <v>0.0</v>
      </c>
      <c r="BL213" s="456">
        <v>0.0</v>
      </c>
      <c r="BM213" s="456">
        <v>0.0</v>
      </c>
      <c r="BN213" s="456">
        <v>0.0</v>
      </c>
      <c r="BO213" s="456">
        <v>0.0</v>
      </c>
      <c r="BP213" s="456">
        <v>0.0</v>
      </c>
      <c r="BQ213" s="456">
        <v>0.0</v>
      </c>
      <c r="BR213" s="456">
        <v>0.0</v>
      </c>
      <c r="BS213" s="90" t="s">
        <v>268</v>
      </c>
      <c r="BT213" s="90"/>
    </row>
    <row r="214" ht="15.75" customHeight="1">
      <c r="A214" s="444" t="s">
        <v>98</v>
      </c>
      <c r="B214" s="445" t="s">
        <v>5230</v>
      </c>
      <c r="C214" s="468" t="s">
        <v>5231</v>
      </c>
      <c r="D214" s="446">
        <v>5599106.0</v>
      </c>
      <c r="E214" s="449" t="s">
        <v>255</v>
      </c>
      <c r="F214" s="507" t="s">
        <v>199</v>
      </c>
      <c r="G214" s="507" t="s">
        <v>3979</v>
      </c>
      <c r="H214" s="507" t="str">
        <f>IFERROR(VLOOKUP(G214,'Cadastro de assessores'!A:B,2,FALSE),"Não Cadastrado")</f>
        <v>19157</v>
      </c>
      <c r="I214" s="507"/>
      <c r="J214" s="49" t="s">
        <v>224</v>
      </c>
      <c r="K214" s="449" t="s">
        <v>2340</v>
      </c>
      <c r="L214" s="460">
        <v>44368.0</v>
      </c>
      <c r="M214" s="460">
        <v>44368.0</v>
      </c>
      <c r="N214" s="616">
        <v>44494.0</v>
      </c>
      <c r="O214" s="446" t="s">
        <v>2372</v>
      </c>
      <c r="P214" s="452">
        <v>0.025</v>
      </c>
      <c r="Q214" s="461" t="s">
        <v>5233</v>
      </c>
      <c r="R214" s="453"/>
      <c r="S214" s="449" t="str">
        <f t="shared" si="21"/>
        <v>Não Qualificado</v>
      </c>
      <c r="T214" s="449" t="s">
        <v>194</v>
      </c>
      <c r="U214" s="446" t="s">
        <v>5234</v>
      </c>
      <c r="V214" s="446" t="s">
        <v>54</v>
      </c>
      <c r="W214" s="454"/>
      <c r="X214" s="454"/>
      <c r="Y214" s="454"/>
      <c r="Z214" s="454"/>
      <c r="AA214" s="454"/>
      <c r="AB214" s="454"/>
      <c r="AC214" s="454"/>
      <c r="AD214" s="454"/>
      <c r="AE214" s="454"/>
      <c r="AF214" s="454"/>
      <c r="AG214" s="454"/>
      <c r="AH214" s="454"/>
      <c r="AI214" s="454"/>
      <c r="AJ214" s="456"/>
      <c r="AK214" s="456"/>
      <c r="AL214" s="456"/>
      <c r="AM214" s="456"/>
      <c r="AN214" s="456"/>
      <c r="AO214" s="456"/>
      <c r="AP214" s="456"/>
      <c r="AQ214" s="456"/>
      <c r="AR214" s="454"/>
      <c r="AS214" s="456">
        <v>971353.75</v>
      </c>
      <c r="AT214" s="456">
        <v>921515.75</v>
      </c>
      <c r="AU214" s="456">
        <v>890302.12</v>
      </c>
      <c r="AV214" s="456">
        <v>833975.2</v>
      </c>
      <c r="AW214" s="456">
        <v>1984.9</v>
      </c>
      <c r="AX214" s="456"/>
      <c r="AY214" s="456"/>
      <c r="AZ214" s="456"/>
      <c r="BA214" s="456">
        <v>0.0</v>
      </c>
      <c r="BB214" s="456">
        <v>0.0</v>
      </c>
      <c r="BC214" s="456">
        <v>80031.9</v>
      </c>
      <c r="BD214" s="456" t="s">
        <v>377</v>
      </c>
      <c r="BE214" s="456" t="s">
        <v>377</v>
      </c>
      <c r="BF214" s="456">
        <v>0.0</v>
      </c>
      <c r="BG214" s="456">
        <v>0.0</v>
      </c>
      <c r="BH214" s="456">
        <v>0.0</v>
      </c>
      <c r="BI214" s="456">
        <v>0.0</v>
      </c>
      <c r="BJ214" s="456">
        <v>0.0</v>
      </c>
      <c r="BK214" s="456">
        <v>0.0</v>
      </c>
      <c r="BL214" s="456">
        <v>0.0</v>
      </c>
      <c r="BM214" s="456">
        <v>0.0</v>
      </c>
      <c r="BN214" s="456">
        <v>0.0</v>
      </c>
      <c r="BO214" s="456">
        <v>0.0</v>
      </c>
      <c r="BP214" s="456">
        <v>0.0</v>
      </c>
      <c r="BQ214" s="456">
        <v>0.0</v>
      </c>
      <c r="BR214" s="456">
        <v>0.0</v>
      </c>
      <c r="BS214" s="90" t="s">
        <v>268</v>
      </c>
      <c r="BT214" s="90"/>
    </row>
    <row r="215" ht="15.75" customHeight="1">
      <c r="A215" s="444" t="s">
        <v>98</v>
      </c>
      <c r="B215" s="445" t="s">
        <v>5240</v>
      </c>
      <c r="C215" s="458" t="s">
        <v>5241</v>
      </c>
      <c r="D215" s="449">
        <v>3714924.0</v>
      </c>
      <c r="E215" s="449" t="s">
        <v>120</v>
      </c>
      <c r="F215" s="449" t="s">
        <v>199</v>
      </c>
      <c r="G215" s="449" t="s">
        <v>212</v>
      </c>
      <c r="H215" s="449"/>
      <c r="I215" s="449"/>
      <c r="J215" s="49" t="s">
        <v>2318</v>
      </c>
      <c r="K215" s="449"/>
      <c r="L215" s="460"/>
      <c r="M215" s="449" t="s">
        <v>5242</v>
      </c>
      <c r="N215" s="460"/>
      <c r="O215" s="449" t="s">
        <v>2356</v>
      </c>
      <c r="P215" s="452">
        <v>0.0</v>
      </c>
      <c r="Q215" s="461" t="s">
        <v>5243</v>
      </c>
      <c r="R215" s="453"/>
      <c r="S215" s="449"/>
      <c r="T215" s="449"/>
      <c r="U215" s="449"/>
      <c r="V215" s="449" t="s">
        <v>199</v>
      </c>
      <c r="W215" s="455"/>
      <c r="X215" s="455"/>
      <c r="Y215" s="455"/>
      <c r="Z215" s="455"/>
      <c r="AA215" s="455"/>
      <c r="AB215" s="455"/>
      <c r="AC215" s="455"/>
      <c r="AD215" s="455"/>
      <c r="AE215" s="455"/>
      <c r="AF215" s="455"/>
      <c r="AG215" s="455"/>
      <c r="AH215" s="455"/>
      <c r="AI215" s="455"/>
      <c r="AJ215" s="455"/>
      <c r="AK215" s="456"/>
      <c r="AL215" s="456"/>
      <c r="AM215" s="456"/>
      <c r="AN215" s="456"/>
      <c r="AO215" s="456"/>
      <c r="AP215" s="456"/>
      <c r="AQ215" s="456"/>
      <c r="AR215" s="456"/>
      <c r="AS215" s="456"/>
      <c r="AT215" s="456"/>
      <c r="AU215" s="456"/>
      <c r="AV215" s="456"/>
      <c r="AW215" s="456"/>
      <c r="AX215" s="456"/>
      <c r="AY215" s="456"/>
      <c r="AZ215" s="456"/>
      <c r="BA215" s="456"/>
      <c r="BB215" s="456"/>
      <c r="BC215" s="456"/>
      <c r="BD215" s="456"/>
      <c r="BE215" s="456"/>
      <c r="BF215" s="456"/>
      <c r="BG215" s="456"/>
      <c r="BH215" s="456"/>
      <c r="BI215" s="456"/>
      <c r="BJ215" s="456"/>
      <c r="BK215" s="456"/>
      <c r="BL215" s="456">
        <v>124101.59</v>
      </c>
      <c r="BM215" s="456">
        <v>54772.11</v>
      </c>
      <c r="BN215" s="456">
        <v>0.0</v>
      </c>
      <c r="BO215" s="456">
        <v>0.0</v>
      </c>
      <c r="BP215" s="456">
        <v>0.0</v>
      </c>
      <c r="BQ215" s="456">
        <v>0.0</v>
      </c>
      <c r="BR215" s="456">
        <v>0.0</v>
      </c>
      <c r="BS215" s="90" t="s">
        <v>268</v>
      </c>
      <c r="BT215" s="90"/>
    </row>
    <row r="216" ht="15.75" customHeight="1">
      <c r="A216" s="444" t="s">
        <v>98</v>
      </c>
      <c r="B216" s="445" t="s">
        <v>5248</v>
      </c>
      <c r="C216" s="458" t="s">
        <v>5249</v>
      </c>
      <c r="D216" s="449">
        <v>4760280.0</v>
      </c>
      <c r="E216" s="449" t="s">
        <v>255</v>
      </c>
      <c r="F216" s="449" t="s">
        <v>199</v>
      </c>
      <c r="G216" s="449" t="s">
        <v>4809</v>
      </c>
      <c r="H216" s="449" t="str">
        <f>IFERROR(VLOOKUP(G216,'Cadastro de assessores'!A:B,2,FALSE),"Não Cadastrado")</f>
        <v>14091</v>
      </c>
      <c r="I216" s="449"/>
      <c r="J216" s="49" t="s">
        <v>224</v>
      </c>
      <c r="K216" s="449" t="s">
        <v>2340</v>
      </c>
      <c r="L216" s="460">
        <v>44211.0</v>
      </c>
      <c r="M216" s="460">
        <v>44211.0</v>
      </c>
      <c r="N216" s="460">
        <v>44781.0</v>
      </c>
      <c r="O216" s="449" t="s">
        <v>2372</v>
      </c>
      <c r="P216" s="452">
        <v>0.025</v>
      </c>
      <c r="Q216" s="461" t="s">
        <v>5250</v>
      </c>
      <c r="R216" s="453"/>
      <c r="S216" s="449" t="str">
        <f t="shared" ref="S216:S231" si="22">IF(BC216&lt;=0,"",IF(BC216&lt;=1000000,"Não Qualificado",IF(AND(BC216&gt;1000000,BC216&lt;=10000000),"Qualificado","Profissional")))</f>
        <v>Não Qualificado</v>
      </c>
      <c r="T216" s="449" t="s">
        <v>194</v>
      </c>
      <c r="U216" s="449" t="s">
        <v>2383</v>
      </c>
      <c r="V216" s="449" t="s">
        <v>199</v>
      </c>
      <c r="W216" s="455"/>
      <c r="X216" s="455"/>
      <c r="Y216" s="455"/>
      <c r="Z216" s="455"/>
      <c r="AA216" s="455"/>
      <c r="AB216" s="455"/>
      <c r="AC216" s="455"/>
      <c r="AD216" s="455"/>
      <c r="AE216" s="455"/>
      <c r="AF216" s="455"/>
      <c r="AG216" s="455"/>
      <c r="AH216" s="455"/>
      <c r="AI216" s="455"/>
      <c r="AJ216" s="455"/>
      <c r="AK216" s="456"/>
      <c r="AL216" s="456">
        <v>95372.38</v>
      </c>
      <c r="AM216" s="456">
        <v>88373.64</v>
      </c>
      <c r="AN216" s="456">
        <v>88838.78</v>
      </c>
      <c r="AO216" s="456">
        <v>95949.07</v>
      </c>
      <c r="AP216" s="456">
        <v>97177.03</v>
      </c>
      <c r="AQ216" s="456">
        <v>96138.36</v>
      </c>
      <c r="AR216" s="456">
        <v>101680.08</v>
      </c>
      <c r="AS216" s="456">
        <v>99320.92</v>
      </c>
      <c r="AT216" s="456">
        <v>94029.76</v>
      </c>
      <c r="AU216" s="456">
        <v>92038.67</v>
      </c>
      <c r="AV216" s="456">
        <v>86616.21</v>
      </c>
      <c r="AW216" s="456">
        <v>80164.3</v>
      </c>
      <c r="AX216" s="456">
        <v>79319.78</v>
      </c>
      <c r="AY216" s="456">
        <v>80547.0</v>
      </c>
      <c r="AZ216" s="456">
        <v>86373.78</v>
      </c>
      <c r="BA216" s="456">
        <v>87136.2</v>
      </c>
      <c r="BB216" s="456">
        <v>92766.93</v>
      </c>
      <c r="BC216" s="456">
        <v>888283.64</v>
      </c>
      <c r="BD216" s="456">
        <v>87330.14</v>
      </c>
      <c r="BE216" s="456">
        <v>83397.19</v>
      </c>
      <c r="BF216" s="456">
        <v>87953.53</v>
      </c>
      <c r="BG216" s="456">
        <v>0.0</v>
      </c>
      <c r="BH216" s="456">
        <v>0.0</v>
      </c>
      <c r="BI216" s="456">
        <v>0.0</v>
      </c>
      <c r="BJ216" s="456">
        <v>0.0</v>
      </c>
      <c r="BK216" s="456">
        <v>0.0</v>
      </c>
      <c r="BL216" s="456">
        <v>0.0</v>
      </c>
      <c r="BM216" s="456">
        <v>0.0</v>
      </c>
      <c r="BN216" s="456">
        <v>0.0</v>
      </c>
      <c r="BO216" s="456">
        <v>0.0</v>
      </c>
      <c r="BP216" s="456">
        <v>0.0</v>
      </c>
      <c r="BQ216" s="456">
        <v>0.0</v>
      </c>
      <c r="BR216" s="456">
        <v>0.0</v>
      </c>
      <c r="BS216" s="90" t="s">
        <v>268</v>
      </c>
      <c r="BT216" s="90"/>
    </row>
    <row r="217" ht="15.75" customHeight="1">
      <c r="A217" s="444" t="s">
        <v>98</v>
      </c>
      <c r="B217" s="445" t="s">
        <v>5258</v>
      </c>
      <c r="C217" s="468" t="s">
        <v>5259</v>
      </c>
      <c r="D217" s="446">
        <v>2673476.0</v>
      </c>
      <c r="E217" s="447" t="s">
        <v>120</v>
      </c>
      <c r="F217" s="448" t="s">
        <v>54</v>
      </c>
      <c r="G217" s="447" t="s">
        <v>379</v>
      </c>
      <c r="H217" s="446" t="str">
        <f>IFERROR(VLOOKUP(G217,'Cadastro de assessores'!A:B,2,FALSE),"Não Cadastrado")</f>
        <v>18009</v>
      </c>
      <c r="I217" s="446"/>
      <c r="J217" s="74" t="s">
        <v>183</v>
      </c>
      <c r="K217" s="447" t="s">
        <v>183</v>
      </c>
      <c r="L217" s="450">
        <v>44405.0</v>
      </c>
      <c r="M217" s="450">
        <v>44405.0</v>
      </c>
      <c r="N217" s="446"/>
      <c r="O217" s="446" t="s">
        <v>2319</v>
      </c>
      <c r="P217" s="519">
        <v>0.02</v>
      </c>
      <c r="Q217" s="330"/>
      <c r="R217" s="453"/>
      <c r="S217" s="449" t="str">
        <f t="shared" si="22"/>
        <v/>
      </c>
      <c r="T217" s="449" t="s">
        <v>194</v>
      </c>
      <c r="U217" s="446" t="s">
        <v>2475</v>
      </c>
      <c r="V217" s="446" t="s">
        <v>618</v>
      </c>
      <c r="W217" s="454"/>
      <c r="X217" s="454"/>
      <c r="Y217" s="454"/>
      <c r="Z217" s="454"/>
      <c r="AA217" s="454"/>
      <c r="AB217" s="454"/>
      <c r="AC217" s="454"/>
      <c r="AD217" s="454"/>
      <c r="AE217" s="454"/>
      <c r="AF217" s="454"/>
      <c r="AG217" s="454"/>
      <c r="AH217" s="455"/>
      <c r="AI217" s="455"/>
      <c r="AJ217" s="456"/>
      <c r="AK217" s="456"/>
      <c r="AL217" s="456"/>
      <c r="AM217" s="456"/>
      <c r="AN217" s="456"/>
      <c r="AO217" s="456"/>
      <c r="AP217" s="456"/>
      <c r="AQ217" s="456"/>
      <c r="AR217" s="456"/>
      <c r="AS217" s="454"/>
      <c r="AT217" s="481">
        <v>68843.72</v>
      </c>
      <c r="AU217" s="481">
        <v>67777.63</v>
      </c>
      <c r="AV217" s="456">
        <v>65837.92</v>
      </c>
      <c r="AW217" s="456">
        <v>62693.95</v>
      </c>
      <c r="AX217" s="456">
        <v>62494.99</v>
      </c>
      <c r="AY217" s="456">
        <v>63374.15</v>
      </c>
      <c r="AZ217" s="456">
        <v>46932.16</v>
      </c>
      <c r="BA217" s="456">
        <v>39632.13</v>
      </c>
      <c r="BB217" s="456">
        <v>42370.12</v>
      </c>
      <c r="BC217" s="456"/>
      <c r="BD217" s="456">
        <v>6383.08</v>
      </c>
      <c r="BE217" s="456">
        <v>6368.57</v>
      </c>
      <c r="BF217" s="456">
        <v>6267.46</v>
      </c>
      <c r="BG217" s="456">
        <v>6288.0</v>
      </c>
      <c r="BH217" s="456">
        <v>6300.8</v>
      </c>
      <c r="BI217" s="456">
        <v>6356.05</v>
      </c>
      <c r="BJ217" s="456">
        <v>6309.78</v>
      </c>
      <c r="BK217" s="456">
        <v>6353.18</v>
      </c>
      <c r="BL217" s="456">
        <v>6443.26</v>
      </c>
      <c r="BM217" s="456">
        <v>6527.81</v>
      </c>
      <c r="BN217" s="456">
        <v>6633.61</v>
      </c>
      <c r="BO217" s="456">
        <v>6704.72</v>
      </c>
      <c r="BP217" s="456">
        <v>6785.24</v>
      </c>
      <c r="BQ217" s="456">
        <v>6830.01</v>
      </c>
      <c r="BR217" s="456">
        <v>6895.4</v>
      </c>
      <c r="BS217" s="90">
        <v>0.15</v>
      </c>
      <c r="BT217" s="90"/>
    </row>
    <row r="218" ht="15.75" customHeight="1">
      <c r="A218" s="444" t="s">
        <v>98</v>
      </c>
      <c r="B218" s="445" t="s">
        <v>5266</v>
      </c>
      <c r="C218" s="458" t="s">
        <v>5267</v>
      </c>
      <c r="D218" s="449">
        <v>4398585.0</v>
      </c>
      <c r="E218" s="447" t="s">
        <v>255</v>
      </c>
      <c r="F218" s="447" t="s">
        <v>199</v>
      </c>
      <c r="G218" s="447" t="s">
        <v>368</v>
      </c>
      <c r="H218" s="447" t="str">
        <f>IFERROR(VLOOKUP(G218,'Cadastro de assessores'!A:B,2,FALSE),"Não Cadastrado")</f>
        <v>17896</v>
      </c>
      <c r="I218" s="447"/>
      <c r="J218" s="49" t="s">
        <v>2318</v>
      </c>
      <c r="K218" s="447" t="s">
        <v>183</v>
      </c>
      <c r="L218" s="450">
        <v>44098.0</v>
      </c>
      <c r="M218" s="450">
        <v>44102.0</v>
      </c>
      <c r="N218" s="449"/>
      <c r="O218" s="449" t="s">
        <v>4919</v>
      </c>
      <c r="P218" s="452">
        <v>0.002</v>
      </c>
      <c r="Q218" s="461" t="s">
        <v>5269</v>
      </c>
      <c r="R218" s="453"/>
      <c r="S218" s="449" t="str">
        <f t="shared" si="22"/>
        <v/>
      </c>
      <c r="T218" s="449" t="s">
        <v>234</v>
      </c>
      <c r="U218" s="449" t="s">
        <v>2374</v>
      </c>
      <c r="V218" s="449" t="s">
        <v>199</v>
      </c>
      <c r="W218" s="455" t="s">
        <v>2344</v>
      </c>
      <c r="X218" s="455" t="s">
        <v>2344</v>
      </c>
      <c r="Y218" s="455" t="s">
        <v>2344</v>
      </c>
      <c r="Z218" s="455" t="s">
        <v>2344</v>
      </c>
      <c r="AA218" s="455" t="s">
        <v>2344</v>
      </c>
      <c r="AB218" s="455" t="s">
        <v>2344</v>
      </c>
      <c r="AC218" s="455" t="s">
        <v>2344</v>
      </c>
      <c r="AD218" s="455" t="s">
        <v>2344</v>
      </c>
      <c r="AE218" s="455" t="s">
        <v>2344</v>
      </c>
      <c r="AF218" s="455" t="s">
        <v>2344</v>
      </c>
      <c r="AG218" s="455" t="s">
        <v>2344</v>
      </c>
      <c r="AH218" s="455" t="s">
        <v>5271</v>
      </c>
      <c r="AI218" s="455" t="s">
        <v>5272</v>
      </c>
      <c r="AJ218" s="455" t="s">
        <v>5273</v>
      </c>
      <c r="AK218" s="456">
        <v>501984.78</v>
      </c>
      <c r="AL218" s="456">
        <v>502893.89</v>
      </c>
      <c r="AM218" s="456">
        <v>503159.25</v>
      </c>
      <c r="AN218" s="456">
        <v>503388.5</v>
      </c>
      <c r="AO218" s="456">
        <v>503428.76</v>
      </c>
      <c r="AP218" s="456">
        <v>504078.94</v>
      </c>
      <c r="AQ218" s="456">
        <v>504270.26</v>
      </c>
      <c r="AR218" s="456">
        <v>504274.77</v>
      </c>
      <c r="AS218" s="456">
        <v>505173.28</v>
      </c>
      <c r="AT218" s="456">
        <v>397381.14</v>
      </c>
      <c r="AU218" s="456">
        <v>399128.61</v>
      </c>
      <c r="AV218" s="456">
        <v>401084.2</v>
      </c>
      <c r="AW218" s="456">
        <v>402562.99</v>
      </c>
      <c r="AX218" s="456">
        <v>404669.49</v>
      </c>
      <c r="AY218" s="456">
        <v>405258.59</v>
      </c>
      <c r="AZ218" s="456">
        <v>407215.69</v>
      </c>
      <c r="BA218" s="456">
        <v>409275.19</v>
      </c>
      <c r="BB218" s="456">
        <v>415565.04</v>
      </c>
      <c r="BC218" s="456"/>
      <c r="BD218" s="456">
        <v>1022860.99</v>
      </c>
      <c r="BE218" s="456">
        <v>1032466.86</v>
      </c>
      <c r="BF218" s="456">
        <v>1040831.63</v>
      </c>
      <c r="BG218" s="456">
        <v>1045235.932</v>
      </c>
      <c r="BH218" s="456">
        <v>1050281.72</v>
      </c>
      <c r="BI218" s="456">
        <v>1055595.56</v>
      </c>
      <c r="BJ218" s="456">
        <v>1064766.06</v>
      </c>
      <c r="BK218" s="456">
        <v>1073785.44</v>
      </c>
      <c r="BL218" s="456">
        <v>1096168.41</v>
      </c>
      <c r="BM218" s="456">
        <v>1093410.12</v>
      </c>
      <c r="BN218" s="456">
        <v>1106990.71</v>
      </c>
      <c r="BO218" s="456">
        <v>1122727.18</v>
      </c>
      <c r="BP218" s="456">
        <v>1122583.56</v>
      </c>
      <c r="BQ218" s="456">
        <v>0.0</v>
      </c>
      <c r="BR218" s="456">
        <v>0.0</v>
      </c>
      <c r="BS218" s="90">
        <v>0.0</v>
      </c>
      <c r="BT218" s="90"/>
    </row>
    <row r="219" ht="15.75" customHeight="1">
      <c r="A219" s="444" t="s">
        <v>98</v>
      </c>
      <c r="B219" s="445" t="s">
        <v>5277</v>
      </c>
      <c r="C219" s="468" t="s">
        <v>5278</v>
      </c>
      <c r="D219" s="446">
        <v>5975647.0</v>
      </c>
      <c r="E219" s="447" t="s">
        <v>120</v>
      </c>
      <c r="F219" s="448" t="s">
        <v>54</v>
      </c>
      <c r="G219" s="447" t="s">
        <v>379</v>
      </c>
      <c r="H219" s="446" t="str">
        <f>IFERROR(VLOOKUP(G219,'Cadastro de assessores'!A:B,2,FALSE),"Não Cadastrado")</f>
        <v>18009</v>
      </c>
      <c r="I219" s="446"/>
      <c r="J219" s="49" t="s">
        <v>2318</v>
      </c>
      <c r="K219" s="449" t="s">
        <v>183</v>
      </c>
      <c r="L219" s="450">
        <v>44403.0</v>
      </c>
      <c r="M219" s="450">
        <v>44405.0</v>
      </c>
      <c r="N219" s="449"/>
      <c r="O219" s="449" t="s">
        <v>2341</v>
      </c>
      <c r="P219" s="465">
        <v>0.015</v>
      </c>
      <c r="Q219" s="330"/>
      <c r="R219" s="453"/>
      <c r="S219" s="449" t="str">
        <f t="shared" si="22"/>
        <v>Não Qualificado</v>
      </c>
      <c r="T219" s="446" t="s">
        <v>194</v>
      </c>
      <c r="U219" s="446" t="s">
        <v>2475</v>
      </c>
      <c r="V219" s="446" t="s">
        <v>618</v>
      </c>
      <c r="W219" s="454"/>
      <c r="X219" s="454"/>
      <c r="Y219" s="454"/>
      <c r="Z219" s="454"/>
      <c r="AA219" s="454"/>
      <c r="AB219" s="454"/>
      <c r="AC219" s="454"/>
      <c r="AD219" s="454"/>
      <c r="AE219" s="454"/>
      <c r="AF219" s="454"/>
      <c r="AG219" s="454"/>
      <c r="AH219" s="455"/>
      <c r="AI219" s="455"/>
      <c r="AJ219" s="456"/>
      <c r="AK219" s="456"/>
      <c r="AL219" s="456"/>
      <c r="AM219" s="456"/>
      <c r="AN219" s="456"/>
      <c r="AO219" s="456"/>
      <c r="AP219" s="456"/>
      <c r="AQ219" s="456"/>
      <c r="AR219" s="456"/>
      <c r="AS219" s="454"/>
      <c r="AT219" s="481">
        <v>10808.74</v>
      </c>
      <c r="AU219" s="481">
        <v>10709.3</v>
      </c>
      <c r="AV219" s="456">
        <v>50014.2</v>
      </c>
      <c r="AW219" s="456">
        <v>48481.75</v>
      </c>
      <c r="AX219" s="456">
        <v>48462.98</v>
      </c>
      <c r="AY219" s="456">
        <v>12717.95</v>
      </c>
      <c r="AZ219" s="456">
        <v>157.33</v>
      </c>
      <c r="BA219" s="456">
        <v>158.13</v>
      </c>
      <c r="BB219" s="456">
        <v>159.01</v>
      </c>
      <c r="BC219" s="456">
        <v>193521.19</v>
      </c>
      <c r="BD219" s="456">
        <v>173.78</v>
      </c>
      <c r="BE219" s="456">
        <v>175.7</v>
      </c>
      <c r="BF219" s="456">
        <v>176.68</v>
      </c>
      <c r="BG219" s="456">
        <v>177.87</v>
      </c>
      <c r="BH219" s="456">
        <v>178.92</v>
      </c>
      <c r="BI219" s="456">
        <v>180.04</v>
      </c>
      <c r="BJ219" s="456">
        <v>181.5</v>
      </c>
      <c r="BK219" s="456">
        <v>182.54</v>
      </c>
      <c r="BL219" s="456">
        <v>183.88</v>
      </c>
      <c r="BM219" s="456">
        <v>184.9</v>
      </c>
      <c r="BN219" s="456">
        <v>185.32</v>
      </c>
      <c r="BO219" s="456">
        <v>185.32</v>
      </c>
      <c r="BP219" s="456">
        <v>185.32</v>
      </c>
      <c r="BQ219" s="456">
        <v>185.32</v>
      </c>
      <c r="BR219" s="456">
        <v>185.32</v>
      </c>
      <c r="BS219" s="90">
        <v>0.0</v>
      </c>
      <c r="BT219" s="90"/>
    </row>
    <row r="220" ht="15.75" customHeight="1">
      <c r="A220" s="444" t="s">
        <v>98</v>
      </c>
      <c r="B220" s="445" t="s">
        <v>5288</v>
      </c>
      <c r="C220" s="383" t="s">
        <v>5289</v>
      </c>
      <c r="D220" s="62">
        <v>7000733.0</v>
      </c>
      <c r="E220" s="63" t="s">
        <v>120</v>
      </c>
      <c r="F220" s="66" t="s">
        <v>54</v>
      </c>
      <c r="G220" s="63" t="s">
        <v>379</v>
      </c>
      <c r="H220" s="62" t="str">
        <f>IFERROR(VLOOKUP(G220,'Cadastro de assessores'!A:B,2,FALSE),"Não Cadastrado")</f>
        <v>18009</v>
      </c>
      <c r="I220" s="62"/>
      <c r="J220" s="49" t="s">
        <v>2318</v>
      </c>
      <c r="K220" s="253" t="s">
        <v>183</v>
      </c>
      <c r="L220" s="684">
        <v>44712.0</v>
      </c>
      <c r="M220" s="143">
        <v>44712.0</v>
      </c>
      <c r="N220" s="81"/>
      <c r="O220" s="81" t="s">
        <v>5294</v>
      </c>
      <c r="P220" s="144">
        <v>0.012</v>
      </c>
      <c r="Q220" s="685" t="s">
        <v>5295</v>
      </c>
      <c r="R220" s="171"/>
      <c r="S220" s="81" t="str">
        <f t="shared" si="22"/>
        <v/>
      </c>
      <c r="T220" s="81" t="s">
        <v>234</v>
      </c>
      <c r="U220" s="62" t="s">
        <v>5296</v>
      </c>
      <c r="V220" s="62" t="s">
        <v>54</v>
      </c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686"/>
      <c r="AI220" s="686"/>
      <c r="AJ220" s="96"/>
      <c r="AK220" s="96"/>
      <c r="AL220" s="96"/>
      <c r="AM220" s="96"/>
      <c r="AN220" s="96"/>
      <c r="AO220" s="96"/>
      <c r="AP220" s="96"/>
      <c r="AQ220" s="96"/>
      <c r="AR220" s="96"/>
      <c r="AS220" s="127"/>
      <c r="AT220" s="93"/>
      <c r="AU220" s="93"/>
      <c r="AV220" s="96"/>
      <c r="AW220" s="96"/>
      <c r="AX220" s="96"/>
      <c r="AY220" s="96"/>
      <c r="AZ220" s="96"/>
      <c r="BA220" s="96"/>
      <c r="BB220" s="96"/>
      <c r="BC220" s="96"/>
      <c r="BD220" s="96">
        <v>1.555056761E7</v>
      </c>
      <c r="BE220" s="96">
        <v>1.591301109E7</v>
      </c>
      <c r="BF220" s="456">
        <v>1.600420345E7</v>
      </c>
      <c r="BG220" s="456">
        <v>1.616385496E7</v>
      </c>
      <c r="BH220" s="456">
        <v>1.624995404E7</v>
      </c>
      <c r="BI220" s="456">
        <v>1.542487706E7</v>
      </c>
      <c r="BJ220" s="456">
        <v>1.549449778E7</v>
      </c>
      <c r="BK220" s="456">
        <v>1.563129224E7</v>
      </c>
      <c r="BL220" s="456">
        <v>1.580661131E7</v>
      </c>
      <c r="BM220" s="456">
        <v>1.0</v>
      </c>
      <c r="BN220" s="456">
        <v>1.0</v>
      </c>
      <c r="BO220" s="456">
        <v>1.0</v>
      </c>
      <c r="BP220" s="456">
        <v>1.0</v>
      </c>
      <c r="BQ220" s="456">
        <v>1.0</v>
      </c>
      <c r="BR220" s="456">
        <v>1.0</v>
      </c>
      <c r="BS220" s="90">
        <v>0.0</v>
      </c>
      <c r="BT220" s="90"/>
    </row>
    <row r="221" ht="15.75" customHeight="1">
      <c r="A221" s="444" t="s">
        <v>98</v>
      </c>
      <c r="B221" s="445" t="s">
        <v>5288</v>
      </c>
      <c r="C221" s="468" t="s">
        <v>5302</v>
      </c>
      <c r="D221" s="446">
        <v>9020656.0</v>
      </c>
      <c r="E221" s="447" t="s">
        <v>120</v>
      </c>
      <c r="F221" s="448" t="s">
        <v>54</v>
      </c>
      <c r="G221" s="63" t="s">
        <v>379</v>
      </c>
      <c r="H221" s="447" t="str">
        <f>IFERROR(VLOOKUP(G221,'Cadastro de assessores'!A:B,2,FALSE),"Não Cadastrado")</f>
        <v>18009</v>
      </c>
      <c r="I221" s="447"/>
      <c r="J221" s="49" t="s">
        <v>2318</v>
      </c>
      <c r="K221" s="448" t="s">
        <v>295</v>
      </c>
      <c r="L221" s="687">
        <v>44845.0</v>
      </c>
      <c r="M221" s="687">
        <v>44858.0</v>
      </c>
      <c r="N221" s="490"/>
      <c r="O221" s="490" t="s">
        <v>2365</v>
      </c>
      <c r="P221" s="519">
        <v>0.007</v>
      </c>
      <c r="Q221" s="330" t="s">
        <v>5303</v>
      </c>
      <c r="R221" s="453"/>
      <c r="S221" s="449" t="str">
        <f t="shared" si="22"/>
        <v/>
      </c>
      <c r="T221" s="446" t="s">
        <v>194</v>
      </c>
      <c r="U221" s="449" t="s">
        <v>2438</v>
      </c>
      <c r="V221" s="449" t="s">
        <v>54</v>
      </c>
      <c r="W221" s="454"/>
      <c r="X221" s="454"/>
      <c r="Y221" s="454"/>
      <c r="Z221" s="454"/>
      <c r="AA221" s="454"/>
      <c r="AB221" s="454"/>
      <c r="AC221" s="454"/>
      <c r="AD221" s="454"/>
      <c r="AE221" s="454"/>
      <c r="AF221" s="454"/>
      <c r="AG221" s="454"/>
      <c r="AH221" s="454"/>
      <c r="AI221" s="455"/>
      <c r="AJ221" s="456"/>
      <c r="AK221" s="456"/>
      <c r="AL221" s="456"/>
      <c r="AM221" s="456"/>
      <c r="AN221" s="456"/>
      <c r="AO221" s="456"/>
      <c r="AP221" s="456"/>
      <c r="AQ221" s="456"/>
      <c r="AR221" s="456"/>
      <c r="AS221" s="456"/>
      <c r="AT221" s="456"/>
      <c r="AU221" s="454"/>
      <c r="AV221" s="456"/>
      <c r="AW221" s="456"/>
      <c r="AX221" s="456"/>
      <c r="AY221" s="456"/>
      <c r="AZ221" s="456"/>
      <c r="BA221" s="456"/>
      <c r="BB221" s="456"/>
      <c r="BC221" s="456"/>
      <c r="BD221" s="456">
        <v>815908.61</v>
      </c>
      <c r="BE221" s="456">
        <v>497162.95</v>
      </c>
      <c r="BF221" s="456">
        <v>0.0</v>
      </c>
      <c r="BG221" s="456">
        <v>0.0</v>
      </c>
      <c r="BH221" s="456">
        <v>0.0</v>
      </c>
      <c r="BI221" s="456">
        <v>1101190.97</v>
      </c>
      <c r="BJ221" s="456">
        <v>1112072.12</v>
      </c>
      <c r="BK221" s="456">
        <v>1121908.51</v>
      </c>
      <c r="BL221" s="456">
        <v>1130229.72</v>
      </c>
      <c r="BM221" s="456">
        <v>787.61</v>
      </c>
      <c r="BN221" s="456">
        <v>367.75</v>
      </c>
      <c r="BO221" s="456">
        <v>367.75</v>
      </c>
      <c r="BP221" s="456">
        <v>367.75</v>
      </c>
      <c r="BQ221" s="456">
        <v>367.75</v>
      </c>
      <c r="BR221" s="456">
        <v>367.75</v>
      </c>
      <c r="BS221" s="90">
        <v>0.0</v>
      </c>
      <c r="BT221" s="90"/>
    </row>
    <row r="222" ht="15.75" customHeight="1">
      <c r="A222" s="444" t="s">
        <v>98</v>
      </c>
      <c r="B222" s="445" t="s">
        <v>5309</v>
      </c>
      <c r="C222" s="458" t="s">
        <v>5310</v>
      </c>
      <c r="D222" s="449">
        <v>4550654.0</v>
      </c>
      <c r="E222" s="449" t="s">
        <v>255</v>
      </c>
      <c r="F222" s="449" t="s">
        <v>199</v>
      </c>
      <c r="G222" s="449" t="s">
        <v>4761</v>
      </c>
      <c r="H222" s="449" t="str">
        <f>IFERROR(VLOOKUP(G222,'Cadastro de assessores'!A:B,2,FALSE),"Não Cadastrado")</f>
        <v>14244</v>
      </c>
      <c r="I222" s="449"/>
      <c r="J222" s="49" t="s">
        <v>224</v>
      </c>
      <c r="K222" s="449" t="s">
        <v>2340</v>
      </c>
      <c r="L222" s="459">
        <v>44160.0</v>
      </c>
      <c r="M222" s="459">
        <v>44160.0</v>
      </c>
      <c r="N222" s="460">
        <v>44270.0</v>
      </c>
      <c r="O222" s="449" t="s">
        <v>2319</v>
      </c>
      <c r="P222" s="452">
        <v>0.02</v>
      </c>
      <c r="Q222" s="461" t="s">
        <v>5314</v>
      </c>
      <c r="R222" s="453"/>
      <c r="S222" s="449" t="str">
        <f t="shared" si="22"/>
        <v/>
      </c>
      <c r="T222" s="446" t="s">
        <v>194</v>
      </c>
      <c r="U222" s="449" t="s">
        <v>2374</v>
      </c>
      <c r="V222" s="449" t="s">
        <v>199</v>
      </c>
      <c r="W222" s="455" t="s">
        <v>2344</v>
      </c>
      <c r="X222" s="455" t="s">
        <v>2344</v>
      </c>
      <c r="Y222" s="455" t="s">
        <v>2344</v>
      </c>
      <c r="Z222" s="455" t="s">
        <v>2344</v>
      </c>
      <c r="AA222" s="455" t="s">
        <v>2344</v>
      </c>
      <c r="AB222" s="455" t="s">
        <v>2344</v>
      </c>
      <c r="AC222" s="455" t="s">
        <v>2344</v>
      </c>
      <c r="AD222" s="455" t="s">
        <v>2344</v>
      </c>
      <c r="AE222" s="455" t="s">
        <v>2344</v>
      </c>
      <c r="AF222" s="455" t="s">
        <v>2344</v>
      </c>
      <c r="AG222" s="455" t="s">
        <v>2344</v>
      </c>
      <c r="AH222" s="455" t="s">
        <v>2344</v>
      </c>
      <c r="AI222" s="455" t="s">
        <v>2344</v>
      </c>
      <c r="AJ222" s="455" t="s">
        <v>5319</v>
      </c>
      <c r="AK222" s="456">
        <v>168358.98</v>
      </c>
      <c r="AL222" s="456">
        <v>164314.39</v>
      </c>
      <c r="AM222" s="456">
        <v>154978.04</v>
      </c>
      <c r="AN222" s="456">
        <v>154914.04</v>
      </c>
      <c r="AO222" s="456"/>
      <c r="AP222" s="456"/>
      <c r="AQ222" s="456"/>
      <c r="AR222" s="456"/>
      <c r="AS222" s="456"/>
      <c r="AT222" s="456"/>
      <c r="AU222" s="456"/>
      <c r="AV222" s="456"/>
      <c r="AW222" s="456"/>
      <c r="AX222" s="456"/>
      <c r="AY222" s="456"/>
      <c r="AZ222" s="456"/>
      <c r="BA222" s="456">
        <v>0.0</v>
      </c>
      <c r="BB222" s="456">
        <v>0.0</v>
      </c>
      <c r="BC222" s="456">
        <v>-121.24</v>
      </c>
      <c r="BD222" s="456" t="s">
        <v>377</v>
      </c>
      <c r="BE222" s="456" t="s">
        <v>377</v>
      </c>
      <c r="BF222" s="456">
        <v>0.0</v>
      </c>
      <c r="BG222" s="456">
        <v>0.0</v>
      </c>
      <c r="BH222" s="456">
        <v>0.0</v>
      </c>
      <c r="BI222" s="456">
        <v>0.0</v>
      </c>
      <c r="BJ222" s="456">
        <v>0.0</v>
      </c>
      <c r="BK222" s="456">
        <v>0.0</v>
      </c>
      <c r="BL222" s="456">
        <v>0.0</v>
      </c>
      <c r="BM222" s="456">
        <v>0.0</v>
      </c>
      <c r="BN222" s="456">
        <v>0.0</v>
      </c>
      <c r="BO222" s="456">
        <v>0.0</v>
      </c>
      <c r="BP222" s="456">
        <v>0.0</v>
      </c>
      <c r="BQ222" s="456">
        <v>0.0</v>
      </c>
      <c r="BR222" s="456">
        <v>0.0</v>
      </c>
      <c r="BS222" s="90" t="s">
        <v>268</v>
      </c>
      <c r="BT222" s="90"/>
    </row>
    <row r="223" ht="15.75" customHeight="1">
      <c r="A223" s="444" t="s">
        <v>98</v>
      </c>
      <c r="B223" s="445" t="s">
        <v>5320</v>
      </c>
      <c r="C223" s="458" t="s">
        <v>5321</v>
      </c>
      <c r="D223" s="449">
        <v>3939462.0</v>
      </c>
      <c r="E223" s="449" t="s">
        <v>669</v>
      </c>
      <c r="F223" s="449" t="s">
        <v>199</v>
      </c>
      <c r="G223" s="449" t="s">
        <v>669</v>
      </c>
      <c r="H223" s="449" t="str">
        <f>IFERROR(VLOOKUP(G223,'Cadastro de assessores'!A:B,2,FALSE),"Não Cadastrado")</f>
        <v>18986</v>
      </c>
      <c r="I223" s="449"/>
      <c r="J223" s="49" t="s">
        <v>224</v>
      </c>
      <c r="K223" s="449" t="s">
        <v>2340</v>
      </c>
      <c r="L223" s="460">
        <v>43901.0</v>
      </c>
      <c r="M223" s="460">
        <v>43901.0</v>
      </c>
      <c r="N223" s="459">
        <v>44519.0</v>
      </c>
      <c r="O223" s="449" t="s">
        <v>2319</v>
      </c>
      <c r="P223" s="452">
        <v>0.015</v>
      </c>
      <c r="Q223" s="461" t="s">
        <v>5323</v>
      </c>
      <c r="R223" s="453"/>
      <c r="S223" s="449" t="str">
        <f t="shared" si="22"/>
        <v>Não Qualificado</v>
      </c>
      <c r="T223" s="446" t="s">
        <v>194</v>
      </c>
      <c r="U223" s="449" t="s">
        <v>2343</v>
      </c>
      <c r="V223" s="449" t="s">
        <v>199</v>
      </c>
      <c r="W223" s="455" t="s">
        <v>2344</v>
      </c>
      <c r="X223" s="455" t="s">
        <v>2344</v>
      </c>
      <c r="Y223" s="455" t="s">
        <v>2344</v>
      </c>
      <c r="Z223" s="455" t="s">
        <v>2344</v>
      </c>
      <c r="AA223" s="455" t="s">
        <v>5325</v>
      </c>
      <c r="AB223" s="455" t="s">
        <v>5326</v>
      </c>
      <c r="AC223" s="455" t="s">
        <v>5328</v>
      </c>
      <c r="AD223" s="455" t="s">
        <v>5329</v>
      </c>
      <c r="AE223" s="455" t="s">
        <v>5330</v>
      </c>
      <c r="AF223" s="455" t="s">
        <v>5331</v>
      </c>
      <c r="AG223" s="455" t="s">
        <v>5332</v>
      </c>
      <c r="AH223" s="455" t="s">
        <v>5333</v>
      </c>
      <c r="AI223" s="455" t="s">
        <v>5334</v>
      </c>
      <c r="AJ223" s="455" t="s">
        <v>5335</v>
      </c>
      <c r="AK223" s="456">
        <v>282443.84</v>
      </c>
      <c r="AL223" s="456">
        <v>275687.09</v>
      </c>
      <c r="AM223" s="456">
        <v>259964.45</v>
      </c>
      <c r="AN223" s="456">
        <v>259656.53</v>
      </c>
      <c r="AO223" s="456">
        <v>271214.34</v>
      </c>
      <c r="AP223" s="456">
        <v>273522.9</v>
      </c>
      <c r="AQ223" s="456">
        <v>271871.49</v>
      </c>
      <c r="AR223" s="456">
        <v>281623.45</v>
      </c>
      <c r="AS223" s="456">
        <v>277976.58</v>
      </c>
      <c r="AT223" s="456">
        <v>269629.39</v>
      </c>
      <c r="AU223" s="456">
        <v>266862.26</v>
      </c>
      <c r="AV223" s="456">
        <v>257612.57</v>
      </c>
      <c r="AW223" s="456">
        <v>245574.88</v>
      </c>
      <c r="AX223" s="456"/>
      <c r="AY223" s="456"/>
      <c r="AZ223" s="456"/>
      <c r="BA223" s="456">
        <v>0.0</v>
      </c>
      <c r="BB223" s="456">
        <v>0.0</v>
      </c>
      <c r="BC223" s="456">
        <v>175985.74</v>
      </c>
      <c r="BD223" s="456" t="s">
        <v>377</v>
      </c>
      <c r="BE223" s="456" t="s">
        <v>377</v>
      </c>
      <c r="BF223" s="456">
        <v>0.0</v>
      </c>
      <c r="BG223" s="456">
        <v>0.0</v>
      </c>
      <c r="BH223" s="456">
        <v>0.0</v>
      </c>
      <c r="BI223" s="456">
        <v>0.0</v>
      </c>
      <c r="BJ223" s="456">
        <v>0.0</v>
      </c>
      <c r="BK223" s="456">
        <v>0.0</v>
      </c>
      <c r="BL223" s="456">
        <v>0.0</v>
      </c>
      <c r="BM223" s="456">
        <v>0.0</v>
      </c>
      <c r="BN223" s="456">
        <v>0.0</v>
      </c>
      <c r="BO223" s="456">
        <v>0.0</v>
      </c>
      <c r="BP223" s="456">
        <v>0.0</v>
      </c>
      <c r="BQ223" s="456">
        <v>0.0</v>
      </c>
      <c r="BR223" s="456">
        <v>0.0</v>
      </c>
      <c r="BS223" s="90" t="s">
        <v>268</v>
      </c>
      <c r="BT223" s="90"/>
    </row>
    <row r="224" ht="15.75" customHeight="1">
      <c r="A224" s="444" t="s">
        <v>98</v>
      </c>
      <c r="B224" s="445" t="s">
        <v>5337</v>
      </c>
      <c r="C224" s="458" t="s">
        <v>5338</v>
      </c>
      <c r="D224" s="449">
        <v>4611223.0</v>
      </c>
      <c r="E224" s="449" t="s">
        <v>120</v>
      </c>
      <c r="F224" s="449" t="s">
        <v>199</v>
      </c>
      <c r="G224" s="449" t="s">
        <v>2339</v>
      </c>
      <c r="H224" s="449" t="str">
        <f>IFERROR(VLOOKUP(G224,'Cadastro de assessores'!A:B,2,FALSE),"Não Cadastrado")</f>
        <v>17679</v>
      </c>
      <c r="I224" s="449"/>
      <c r="J224" s="49" t="s">
        <v>224</v>
      </c>
      <c r="K224" s="449" t="s">
        <v>2340</v>
      </c>
      <c r="L224" s="460">
        <v>44167.0</v>
      </c>
      <c r="M224" s="460">
        <v>44167.0</v>
      </c>
      <c r="N224" s="460">
        <v>44229.0</v>
      </c>
      <c r="O224" s="449" t="s">
        <v>2372</v>
      </c>
      <c r="P224" s="452">
        <v>0.025</v>
      </c>
      <c r="Q224" s="461" t="s">
        <v>5342</v>
      </c>
      <c r="R224" s="453"/>
      <c r="S224" s="449" t="str">
        <f t="shared" si="22"/>
        <v>Não Qualificado</v>
      </c>
      <c r="T224" s="446" t="s">
        <v>194</v>
      </c>
      <c r="U224" s="446" t="s">
        <v>4515</v>
      </c>
      <c r="V224" s="446" t="s">
        <v>311</v>
      </c>
      <c r="W224" s="455" t="s">
        <v>2344</v>
      </c>
      <c r="X224" s="455" t="s">
        <v>2344</v>
      </c>
      <c r="Y224" s="455" t="s">
        <v>2344</v>
      </c>
      <c r="Z224" s="455" t="s">
        <v>2344</v>
      </c>
      <c r="AA224" s="455" t="s">
        <v>2344</v>
      </c>
      <c r="AB224" s="455" t="s">
        <v>2344</v>
      </c>
      <c r="AC224" s="455" t="s">
        <v>2344</v>
      </c>
      <c r="AD224" s="455" t="s">
        <v>2344</v>
      </c>
      <c r="AE224" s="455" t="s">
        <v>2344</v>
      </c>
      <c r="AF224" s="455" t="s">
        <v>2344</v>
      </c>
      <c r="AG224" s="455" t="s">
        <v>2344</v>
      </c>
      <c r="AH224" s="455" t="s">
        <v>2344</v>
      </c>
      <c r="AI224" s="455" t="s">
        <v>2344</v>
      </c>
      <c r="AJ224" s="455" t="s">
        <v>2344</v>
      </c>
      <c r="AK224" s="456">
        <v>537697.27</v>
      </c>
      <c r="AL224" s="456">
        <v>524891.85</v>
      </c>
      <c r="AM224" s="456">
        <v>2302.75</v>
      </c>
      <c r="AN224" s="456">
        <v>2314.81</v>
      </c>
      <c r="AO224" s="456"/>
      <c r="AP224" s="456"/>
      <c r="AQ224" s="456"/>
      <c r="AR224" s="456"/>
      <c r="AS224" s="456"/>
      <c r="AT224" s="456"/>
      <c r="AU224" s="456"/>
      <c r="AV224" s="456"/>
      <c r="AW224" s="456"/>
      <c r="AX224" s="456"/>
      <c r="AY224" s="456"/>
      <c r="AZ224" s="456"/>
      <c r="BA224" s="456">
        <v>0.0</v>
      </c>
      <c r="BB224" s="456">
        <v>0.0</v>
      </c>
      <c r="BC224" s="456">
        <v>180296.32</v>
      </c>
      <c r="BD224" s="456" t="s">
        <v>377</v>
      </c>
      <c r="BE224" s="456" t="s">
        <v>377</v>
      </c>
      <c r="BF224" s="456">
        <v>0.0</v>
      </c>
      <c r="BG224" s="456">
        <v>0.0</v>
      </c>
      <c r="BH224" s="456">
        <v>0.0</v>
      </c>
      <c r="BI224" s="456">
        <v>0.0</v>
      </c>
      <c r="BJ224" s="456">
        <v>0.0</v>
      </c>
      <c r="BK224" s="456">
        <v>0.0</v>
      </c>
      <c r="BL224" s="456">
        <v>0.0</v>
      </c>
      <c r="BM224" s="456">
        <v>0.0</v>
      </c>
      <c r="BN224" s="456">
        <v>0.0</v>
      </c>
      <c r="BO224" s="456">
        <v>0.0</v>
      </c>
      <c r="BP224" s="456">
        <v>0.0</v>
      </c>
      <c r="BQ224" s="456">
        <v>0.0</v>
      </c>
      <c r="BR224" s="456">
        <v>0.0</v>
      </c>
      <c r="BS224" s="90" t="s">
        <v>268</v>
      </c>
      <c r="BT224" s="90"/>
    </row>
    <row r="225" ht="15.75" customHeight="1">
      <c r="A225" s="444" t="s">
        <v>98</v>
      </c>
      <c r="B225" s="445" t="s">
        <v>945</v>
      </c>
      <c r="C225" s="559" t="s">
        <v>5344</v>
      </c>
      <c r="D225" s="469">
        <v>2427806.0</v>
      </c>
      <c r="E225" s="448" t="s">
        <v>120</v>
      </c>
      <c r="F225" s="448" t="s">
        <v>54</v>
      </c>
      <c r="G225" s="447" t="s">
        <v>348</v>
      </c>
      <c r="H225" s="447">
        <f>IFERROR(VLOOKUP(G225,'Cadastro de assessores'!A:B,2,FALSE),"Não Cadastrado")</f>
        <v>12331</v>
      </c>
      <c r="I225" s="447"/>
      <c r="J225" s="74" t="s">
        <v>183</v>
      </c>
      <c r="K225" s="447" t="s">
        <v>183</v>
      </c>
      <c r="L225" s="470">
        <v>44615.0</v>
      </c>
      <c r="M225" s="470">
        <v>44615.0</v>
      </c>
      <c r="N225" s="446"/>
      <c r="O225" s="446" t="s">
        <v>2341</v>
      </c>
      <c r="P225" s="465">
        <v>0.015</v>
      </c>
      <c r="Q225" s="237" t="s">
        <v>5349</v>
      </c>
      <c r="R225" s="453"/>
      <c r="S225" s="449" t="str">
        <f t="shared" si="22"/>
        <v>Não Qualificado</v>
      </c>
      <c r="T225" s="446" t="s">
        <v>194</v>
      </c>
      <c r="U225" s="449" t="s">
        <v>2438</v>
      </c>
      <c r="V225" s="449" t="s">
        <v>54</v>
      </c>
      <c r="W225" s="455"/>
      <c r="X225" s="455"/>
      <c r="Y225" s="455"/>
      <c r="Z225" s="455"/>
      <c r="AA225" s="455"/>
      <c r="AB225" s="455"/>
      <c r="AC225" s="455"/>
      <c r="AD225" s="455"/>
      <c r="AE225" s="455"/>
      <c r="AF225" s="455"/>
      <c r="AG225" s="455"/>
      <c r="AH225" s="455"/>
      <c r="AI225" s="455"/>
      <c r="AJ225" s="455"/>
      <c r="AK225" s="456"/>
      <c r="AL225" s="456"/>
      <c r="AM225" s="456"/>
      <c r="AN225" s="456"/>
      <c r="AO225" s="456"/>
      <c r="AP225" s="456"/>
      <c r="AQ225" s="456"/>
      <c r="AR225" s="456"/>
      <c r="AS225" s="456"/>
      <c r="AT225" s="456"/>
      <c r="AU225" s="456"/>
      <c r="AV225" s="456"/>
      <c r="AW225" s="456"/>
      <c r="AX225" s="456"/>
      <c r="AY225" s="456"/>
      <c r="AZ225" s="456"/>
      <c r="BA225" s="456">
        <v>1368272.15</v>
      </c>
      <c r="BB225" s="456">
        <v>1309535.11</v>
      </c>
      <c r="BC225" s="456">
        <v>58310.35</v>
      </c>
      <c r="BD225" s="456">
        <v>1258621.47</v>
      </c>
      <c r="BE225" s="456">
        <v>1310569.1</v>
      </c>
      <c r="BF225" s="456">
        <v>1329305.78</v>
      </c>
      <c r="BG225" s="456">
        <v>1347425.611</v>
      </c>
      <c r="BH225" s="456">
        <v>1364370.24</v>
      </c>
      <c r="BI225" s="456">
        <v>1391709.54</v>
      </c>
      <c r="BJ225" s="456">
        <v>1402503.38</v>
      </c>
      <c r="BK225" s="456">
        <v>1403768.74</v>
      </c>
      <c r="BL225" s="456">
        <v>1447728.63</v>
      </c>
      <c r="BM225" s="456">
        <v>264349.13</v>
      </c>
      <c r="BN225" s="456">
        <v>161811.78</v>
      </c>
      <c r="BO225" s="456">
        <v>164961.96</v>
      </c>
      <c r="BP225" s="456">
        <v>163909.6</v>
      </c>
      <c r="BQ225" s="456">
        <v>164981.06</v>
      </c>
      <c r="BR225" s="456">
        <v>166976.73</v>
      </c>
      <c r="BS225" s="90">
        <v>58102.96</v>
      </c>
      <c r="BT225" s="90"/>
    </row>
    <row r="226" ht="15.75" customHeight="1">
      <c r="A226" s="444" t="s">
        <v>98</v>
      </c>
      <c r="B226" s="445" t="s">
        <v>1622</v>
      </c>
      <c r="C226" s="463" t="s">
        <v>5356</v>
      </c>
      <c r="D226" s="447">
        <v>4847953.0</v>
      </c>
      <c r="E226" s="447" t="s">
        <v>120</v>
      </c>
      <c r="F226" s="447" t="s">
        <v>199</v>
      </c>
      <c r="G226" s="447" t="s">
        <v>439</v>
      </c>
      <c r="H226" s="447" t="str">
        <f>IFERROR(VLOOKUP(G226,'Cadastro de assessores'!A:B,2,FALSE),"Não Cadastrado")</f>
        <v>18236</v>
      </c>
      <c r="I226" s="447"/>
      <c r="J226" s="74" t="s">
        <v>183</v>
      </c>
      <c r="K226" s="447" t="s">
        <v>183</v>
      </c>
      <c r="L226" s="450">
        <v>44294.0</v>
      </c>
      <c r="M226" s="450">
        <v>44294.0</v>
      </c>
      <c r="N226" s="449"/>
      <c r="O226" s="449" t="s">
        <v>5361</v>
      </c>
      <c r="P226" s="452">
        <v>0.015</v>
      </c>
      <c r="Q226" s="461"/>
      <c r="R226" s="453"/>
      <c r="S226" s="449" t="str">
        <f t="shared" si="22"/>
        <v>Qualificado</v>
      </c>
      <c r="T226" s="449" t="s">
        <v>234</v>
      </c>
      <c r="U226" s="449" t="s">
        <v>2383</v>
      </c>
      <c r="V226" s="449" t="s">
        <v>199</v>
      </c>
      <c r="W226" s="455"/>
      <c r="X226" s="455"/>
      <c r="Y226" s="455"/>
      <c r="Z226" s="455"/>
      <c r="AA226" s="455"/>
      <c r="AB226" s="455"/>
      <c r="AC226" s="455"/>
      <c r="AD226" s="455"/>
      <c r="AE226" s="455"/>
      <c r="AF226" s="455"/>
      <c r="AG226" s="455"/>
      <c r="AH226" s="455"/>
      <c r="AI226" s="455"/>
      <c r="AJ226" s="455"/>
      <c r="AK226" s="456"/>
      <c r="AL226" s="456"/>
      <c r="AM226" s="456"/>
      <c r="AN226" s="456" t="s">
        <v>3320</v>
      </c>
      <c r="AO226" s="456"/>
      <c r="AP226" s="456">
        <v>489673.1</v>
      </c>
      <c r="AQ226" s="456">
        <v>484924.49</v>
      </c>
      <c r="AR226" s="456">
        <v>897104.87</v>
      </c>
      <c r="AS226" s="456">
        <v>886111.6</v>
      </c>
      <c r="AT226" s="456">
        <v>860635.19</v>
      </c>
      <c r="AU226" s="456">
        <v>821667.27</v>
      </c>
      <c r="AV226" s="456">
        <v>797412.36</v>
      </c>
      <c r="AW226" s="456">
        <v>766173.59</v>
      </c>
      <c r="AX226" s="456">
        <v>764728.31</v>
      </c>
      <c r="AY226" s="456">
        <v>732812.88</v>
      </c>
      <c r="AZ226" s="456">
        <v>759391.56</v>
      </c>
      <c r="BA226" s="456">
        <v>766723.56</v>
      </c>
      <c r="BB226" s="456">
        <v>775063.32</v>
      </c>
      <c r="BC226" s="456">
        <v>1824145.67</v>
      </c>
      <c r="BD226" s="456">
        <v>698782.5</v>
      </c>
      <c r="BE226" s="456">
        <v>693179.61</v>
      </c>
      <c r="BF226" s="456">
        <v>710009.63</v>
      </c>
      <c r="BG226" s="456">
        <v>700888.4296</v>
      </c>
      <c r="BH226" s="456">
        <v>690664.78</v>
      </c>
      <c r="BI226" s="456">
        <v>705486.51</v>
      </c>
      <c r="BJ226" s="456">
        <v>687229.21</v>
      </c>
      <c r="BK226" s="456">
        <v>691532.45</v>
      </c>
      <c r="BL226" s="456">
        <v>638426.04</v>
      </c>
      <c r="BM226" s="456">
        <v>333269.51</v>
      </c>
      <c r="BN226" s="456">
        <v>213184.18</v>
      </c>
      <c r="BO226" s="456">
        <v>173647.0</v>
      </c>
      <c r="BP226" s="456">
        <v>160303.66</v>
      </c>
      <c r="BQ226" s="456">
        <v>145963.91</v>
      </c>
      <c r="BR226" s="456">
        <v>12404.26</v>
      </c>
      <c r="BS226" s="90">
        <v>0.0</v>
      </c>
      <c r="BT226" s="90"/>
    </row>
    <row r="227" ht="15.75" customHeight="1">
      <c r="A227" s="444" t="s">
        <v>98</v>
      </c>
      <c r="B227" s="445" t="s">
        <v>5364</v>
      </c>
      <c r="C227" s="559" t="s">
        <v>5365</v>
      </c>
      <c r="D227" s="446">
        <v>3029846.0</v>
      </c>
      <c r="E227" s="447" t="s">
        <v>120</v>
      </c>
      <c r="F227" s="448" t="s">
        <v>54</v>
      </c>
      <c r="G227" s="447" t="s">
        <v>4057</v>
      </c>
      <c r="H227" s="447" t="str">
        <f>IFERROR(VLOOKUP(G227,'Cadastro de assessores'!A:B,2,FALSE),"Não Cadastrado")</f>
        <v>14294</v>
      </c>
      <c r="I227" s="447"/>
      <c r="J227" s="49" t="s">
        <v>295</v>
      </c>
      <c r="K227" s="449" t="s">
        <v>183</v>
      </c>
      <c r="L227" s="450">
        <v>44460.0</v>
      </c>
      <c r="M227" s="450">
        <v>44469.0</v>
      </c>
      <c r="N227" s="446"/>
      <c r="O227" s="446" t="s">
        <v>2319</v>
      </c>
      <c r="P227" s="519">
        <v>0.02</v>
      </c>
      <c r="Q227" s="330" t="s">
        <v>5367</v>
      </c>
      <c r="R227" s="453"/>
      <c r="S227" s="449" t="str">
        <f t="shared" si="22"/>
        <v>Não Qualificado</v>
      </c>
      <c r="T227" s="446" t="s">
        <v>194</v>
      </c>
      <c r="U227" s="446" t="s">
        <v>5368</v>
      </c>
      <c r="V227" s="446" t="s">
        <v>475</v>
      </c>
      <c r="W227" s="454"/>
      <c r="X227" s="454"/>
      <c r="Y227" s="454"/>
      <c r="Z227" s="454"/>
      <c r="AA227" s="454"/>
      <c r="AB227" s="454"/>
      <c r="AC227" s="454"/>
      <c r="AD227" s="454"/>
      <c r="AE227" s="454"/>
      <c r="AF227" s="454"/>
      <c r="AG227" s="455"/>
      <c r="AH227" s="455"/>
      <c r="AI227" s="455"/>
      <c r="AJ227" s="456"/>
      <c r="AK227" s="456"/>
      <c r="AL227" s="456"/>
      <c r="AM227" s="456"/>
      <c r="AN227" s="456"/>
      <c r="AO227" s="456"/>
      <c r="AP227" s="456"/>
      <c r="AQ227" s="456"/>
      <c r="AR227" s="456"/>
      <c r="AS227" s="456"/>
      <c r="AT227" s="456"/>
      <c r="AU227" s="454"/>
      <c r="AV227" s="456"/>
      <c r="AW227" s="456">
        <v>424175.54</v>
      </c>
      <c r="AX227" s="456">
        <v>422659.34</v>
      </c>
      <c r="AY227" s="456">
        <v>428866.15</v>
      </c>
      <c r="AZ227" s="456">
        <v>447627.06</v>
      </c>
      <c r="BA227" s="456">
        <v>451338.04</v>
      </c>
      <c r="BB227" s="456">
        <v>216.63</v>
      </c>
      <c r="BC227" s="456">
        <v>57553.98</v>
      </c>
      <c r="BD227" s="456">
        <v>743.59</v>
      </c>
      <c r="BE227" s="456" t="s">
        <v>377</v>
      </c>
      <c r="BF227" s="456">
        <v>1081.03</v>
      </c>
      <c r="BG227" s="456">
        <v>1090.76</v>
      </c>
      <c r="BH227" s="456">
        <v>1099.35</v>
      </c>
      <c r="BI227" s="456">
        <v>1108.5</v>
      </c>
      <c r="BJ227" s="456">
        <v>1117.55</v>
      </c>
      <c r="BK227" s="456">
        <v>1127.67</v>
      </c>
      <c r="BL227" s="456">
        <v>1138.64</v>
      </c>
      <c r="BM227" s="456">
        <v>1147.47</v>
      </c>
      <c r="BN227" s="456">
        <v>1150.44</v>
      </c>
      <c r="BO227" s="456">
        <v>1157.06</v>
      </c>
      <c r="BP227" s="456">
        <v>1167.85</v>
      </c>
      <c r="BQ227" s="456">
        <v>1176.15</v>
      </c>
      <c r="BR227" s="456">
        <v>1188.2</v>
      </c>
      <c r="BS227" s="90">
        <v>1266.95</v>
      </c>
      <c r="BT227" s="90"/>
    </row>
    <row r="228" ht="15.75" customHeight="1">
      <c r="A228" s="444" t="s">
        <v>98</v>
      </c>
      <c r="B228" s="445" t="s">
        <v>5374</v>
      </c>
      <c r="C228" s="458" t="s">
        <v>5375</v>
      </c>
      <c r="D228" s="449">
        <v>4793812.0</v>
      </c>
      <c r="E228" s="447" t="s">
        <v>120</v>
      </c>
      <c r="F228" s="447" t="s">
        <v>199</v>
      </c>
      <c r="G228" s="447" t="s">
        <v>212</v>
      </c>
      <c r="H228" s="447">
        <f>IFERROR(VLOOKUP(G228,'Cadastro de assessores'!A:B,2,FALSE),"Não Cadastrado")</f>
        <v>12344</v>
      </c>
      <c r="I228" s="447"/>
      <c r="J228" s="49" t="s">
        <v>2318</v>
      </c>
      <c r="K228" s="447" t="s">
        <v>183</v>
      </c>
      <c r="L228" s="450">
        <v>44217.0</v>
      </c>
      <c r="M228" s="450">
        <v>44217.0</v>
      </c>
      <c r="N228" s="449"/>
      <c r="O228" s="449" t="s">
        <v>4919</v>
      </c>
      <c r="P228" s="452">
        <v>0.002</v>
      </c>
      <c r="Q228" s="461" t="s">
        <v>5378</v>
      </c>
      <c r="R228" s="453"/>
      <c r="S228" s="449" t="str">
        <f t="shared" si="22"/>
        <v>Não Qualificado</v>
      </c>
      <c r="T228" s="449" t="s">
        <v>234</v>
      </c>
      <c r="U228" s="449" t="s">
        <v>2383</v>
      </c>
      <c r="V228" s="449" t="s">
        <v>199</v>
      </c>
      <c r="W228" s="455"/>
      <c r="X228" s="455"/>
      <c r="Y228" s="455"/>
      <c r="Z228" s="455"/>
      <c r="AA228" s="455"/>
      <c r="AB228" s="455"/>
      <c r="AC228" s="455"/>
      <c r="AD228" s="455"/>
      <c r="AE228" s="455"/>
      <c r="AF228" s="455"/>
      <c r="AG228" s="455"/>
      <c r="AH228" s="455"/>
      <c r="AI228" s="455"/>
      <c r="AJ228" s="455"/>
      <c r="AK228" s="456"/>
      <c r="AL228" s="456">
        <v>299461.32</v>
      </c>
      <c r="AM228" s="456">
        <v>294981.82</v>
      </c>
      <c r="AN228" s="456">
        <v>295732.35</v>
      </c>
      <c r="AO228" s="456">
        <v>299975.32</v>
      </c>
      <c r="AP228" s="456">
        <v>317078.7</v>
      </c>
      <c r="AQ228" s="456">
        <v>316413.89</v>
      </c>
      <c r="AR228" s="456">
        <v>320412.46</v>
      </c>
      <c r="AS228" s="456">
        <v>319547.97</v>
      </c>
      <c r="AT228" s="456">
        <v>316956.66</v>
      </c>
      <c r="AU228" s="456">
        <v>316644.15</v>
      </c>
      <c r="AV228" s="456">
        <v>314834.02</v>
      </c>
      <c r="AW228" s="456">
        <v>305898.46</v>
      </c>
      <c r="AX228" s="456">
        <v>307558.07</v>
      </c>
      <c r="AY228" s="456">
        <v>155192.07</v>
      </c>
      <c r="AZ228" s="456">
        <v>159219.1</v>
      </c>
      <c r="BA228" s="456">
        <v>551845.16</v>
      </c>
      <c r="BB228" s="456">
        <v>638718.55</v>
      </c>
      <c r="BC228" s="456">
        <v>28495.55</v>
      </c>
      <c r="BD228" s="456">
        <v>612387.43</v>
      </c>
      <c r="BE228" s="456">
        <v>647091.09</v>
      </c>
      <c r="BF228" s="456">
        <v>651956.57</v>
      </c>
      <c r="BG228" s="456">
        <v>654821.2143</v>
      </c>
      <c r="BH228" s="456">
        <v>661131.42</v>
      </c>
      <c r="BI228" s="456">
        <v>665931.75</v>
      </c>
      <c r="BJ228" s="456">
        <v>671387.67</v>
      </c>
      <c r="BK228" s="456">
        <v>542334.02</v>
      </c>
      <c r="BL228" s="456">
        <v>347531.93</v>
      </c>
      <c r="BM228" s="456">
        <v>350382.2</v>
      </c>
      <c r="BN228" s="456">
        <v>353628.45</v>
      </c>
      <c r="BO228" s="456">
        <v>0.0</v>
      </c>
      <c r="BP228" s="456">
        <v>0.0</v>
      </c>
      <c r="BQ228" s="456">
        <v>0.0</v>
      </c>
      <c r="BR228" s="456">
        <v>0.0</v>
      </c>
      <c r="BS228" s="90">
        <v>0.0</v>
      </c>
      <c r="BT228" s="90"/>
    </row>
    <row r="229" ht="15.75" customHeight="1">
      <c r="A229" s="444" t="s">
        <v>98</v>
      </c>
      <c r="B229" s="445" t="s">
        <v>5374</v>
      </c>
      <c r="C229" s="458" t="s">
        <v>5375</v>
      </c>
      <c r="D229" s="449">
        <v>4783402.0</v>
      </c>
      <c r="E229" s="447" t="s">
        <v>120</v>
      </c>
      <c r="F229" s="447" t="s">
        <v>199</v>
      </c>
      <c r="G229" s="447" t="s">
        <v>212</v>
      </c>
      <c r="H229" s="447">
        <f>IFERROR(VLOOKUP(G229,'Cadastro de assessores'!A:B,2,FALSE),"Não Cadastrado")</f>
        <v>12344</v>
      </c>
      <c r="I229" s="447"/>
      <c r="J229" s="49" t="s">
        <v>2318</v>
      </c>
      <c r="K229" s="449" t="s">
        <v>183</v>
      </c>
      <c r="L229" s="450">
        <v>44218.0</v>
      </c>
      <c r="M229" s="450">
        <v>44218.0</v>
      </c>
      <c r="N229" s="449"/>
      <c r="O229" s="449" t="s">
        <v>2341</v>
      </c>
      <c r="P229" s="452">
        <v>0.015</v>
      </c>
      <c r="Q229" s="461"/>
      <c r="R229" s="453"/>
      <c r="S229" s="449" t="str">
        <f t="shared" si="22"/>
        <v/>
      </c>
      <c r="T229" s="449" t="s">
        <v>234</v>
      </c>
      <c r="U229" s="449" t="s">
        <v>2383</v>
      </c>
      <c r="V229" s="449" t="s">
        <v>199</v>
      </c>
      <c r="W229" s="455"/>
      <c r="X229" s="455"/>
      <c r="Y229" s="455"/>
      <c r="Z229" s="455"/>
      <c r="AA229" s="455"/>
      <c r="AB229" s="455"/>
      <c r="AC229" s="455"/>
      <c r="AD229" s="455"/>
      <c r="AE229" s="455"/>
      <c r="AF229" s="455"/>
      <c r="AG229" s="455"/>
      <c r="AH229" s="455"/>
      <c r="AI229" s="455"/>
      <c r="AJ229" s="455"/>
      <c r="AK229" s="456"/>
      <c r="AL229" s="456">
        <v>99631.9</v>
      </c>
      <c r="AM229" s="456">
        <v>96684.29</v>
      </c>
      <c r="AN229" s="456">
        <v>96971.63</v>
      </c>
      <c r="AO229" s="456">
        <v>99955.2</v>
      </c>
      <c r="AP229" s="456">
        <v>84011.65</v>
      </c>
      <c r="AQ229" s="456">
        <v>83555.93</v>
      </c>
      <c r="AR229" s="456">
        <v>85584.44</v>
      </c>
      <c r="AS229" s="456">
        <v>84981.77</v>
      </c>
      <c r="AT229" s="456">
        <v>83234.42</v>
      </c>
      <c r="AU229" s="456">
        <v>82714.85</v>
      </c>
      <c r="AV229" s="456">
        <v>81255.43</v>
      </c>
      <c r="AW229" s="456">
        <v>78731.54</v>
      </c>
      <c r="AX229" s="456">
        <v>78901.18</v>
      </c>
      <c r="AY229" s="456">
        <v>23911.74</v>
      </c>
      <c r="AZ229" s="456">
        <v>25554.34</v>
      </c>
      <c r="BA229" s="456">
        <v>25943.59</v>
      </c>
      <c r="BB229" s="456">
        <v>26117.05</v>
      </c>
      <c r="BC229" s="456"/>
      <c r="BD229" s="456">
        <v>26385.81</v>
      </c>
      <c r="BE229" s="456">
        <v>27.86</v>
      </c>
      <c r="BF229" s="456">
        <v>28.67</v>
      </c>
      <c r="BG229" s="456">
        <v>28.67</v>
      </c>
      <c r="BH229" s="456">
        <v>28.67</v>
      </c>
      <c r="BI229" s="456">
        <v>28.67</v>
      </c>
      <c r="BJ229" s="456">
        <v>28.67</v>
      </c>
      <c r="BK229" s="456">
        <v>28.67</v>
      </c>
      <c r="BL229" s="456">
        <v>0.0</v>
      </c>
      <c r="BM229" s="456">
        <v>0.0</v>
      </c>
      <c r="BN229" s="456">
        <v>0.0</v>
      </c>
      <c r="BO229" s="456">
        <v>0.0</v>
      </c>
      <c r="BP229" s="456">
        <v>0.0</v>
      </c>
      <c r="BQ229" s="456">
        <v>0.0</v>
      </c>
      <c r="BR229" s="456">
        <v>0.0</v>
      </c>
      <c r="BS229" s="90">
        <v>0.0</v>
      </c>
      <c r="BT229" s="90"/>
    </row>
    <row r="230" ht="15.75" customHeight="1">
      <c r="A230" s="444" t="s">
        <v>98</v>
      </c>
      <c r="B230" s="445" t="s">
        <v>5391</v>
      </c>
      <c r="C230" s="468" t="s">
        <v>5392</v>
      </c>
      <c r="D230" s="469">
        <v>8392987.0</v>
      </c>
      <c r="E230" s="447" t="s">
        <v>120</v>
      </c>
      <c r="F230" s="447" t="s">
        <v>199</v>
      </c>
      <c r="G230" s="447" t="s">
        <v>212</v>
      </c>
      <c r="H230" s="448">
        <f>IFERROR(VLOOKUP(G230,'Cadastro de assessores'!A:B,2,FALSE),"Não Cadastrado")</f>
        <v>12344</v>
      </c>
      <c r="I230" s="448"/>
      <c r="J230" s="49" t="s">
        <v>2318</v>
      </c>
      <c r="K230" s="447" t="s">
        <v>183</v>
      </c>
      <c r="L230" s="450">
        <v>44669.0</v>
      </c>
      <c r="M230" s="450">
        <v>44670.0</v>
      </c>
      <c r="N230" s="446"/>
      <c r="O230" s="446" t="s">
        <v>2356</v>
      </c>
      <c r="P230" s="452">
        <v>0.007</v>
      </c>
      <c r="Q230" s="207" t="s">
        <v>5393</v>
      </c>
      <c r="R230" s="453"/>
      <c r="S230" s="449" t="str">
        <f t="shared" si="22"/>
        <v/>
      </c>
      <c r="T230" s="449" t="s">
        <v>194</v>
      </c>
      <c r="U230" s="449" t="s">
        <v>2383</v>
      </c>
      <c r="V230" s="449" t="s">
        <v>199</v>
      </c>
      <c r="W230" s="454"/>
      <c r="X230" s="454"/>
      <c r="Y230" s="454"/>
      <c r="Z230" s="454"/>
      <c r="AA230" s="454"/>
      <c r="AB230" s="454"/>
      <c r="AC230" s="454"/>
      <c r="AD230" s="454"/>
      <c r="AE230" s="454"/>
      <c r="AF230" s="454"/>
      <c r="AG230" s="455"/>
      <c r="AH230" s="455"/>
      <c r="AI230" s="455"/>
      <c r="AJ230" s="456"/>
      <c r="AK230" s="456"/>
      <c r="AL230" s="456"/>
      <c r="AM230" s="456"/>
      <c r="AN230" s="456"/>
      <c r="AO230" s="456"/>
      <c r="AP230" s="456"/>
      <c r="AQ230" s="456"/>
      <c r="AR230" s="456"/>
      <c r="AS230" s="456"/>
      <c r="AT230" s="456"/>
      <c r="AU230" s="456"/>
      <c r="AV230" s="456"/>
      <c r="AW230" s="456"/>
      <c r="AX230" s="456"/>
      <c r="AY230" s="456"/>
      <c r="AZ230" s="456"/>
      <c r="BA230" s="456"/>
      <c r="BB230" s="456"/>
      <c r="BC230" s="456"/>
      <c r="BD230" s="456">
        <v>151863.19</v>
      </c>
      <c r="BE230" s="456">
        <v>152652.64</v>
      </c>
      <c r="BF230" s="456">
        <v>153032.54</v>
      </c>
      <c r="BG230" s="456">
        <v>215473.142</v>
      </c>
      <c r="BH230" s="456">
        <v>217116.57</v>
      </c>
      <c r="BI230" s="456">
        <v>673383.21</v>
      </c>
      <c r="BJ230" s="456">
        <v>678722.84</v>
      </c>
      <c r="BK230" s="456">
        <v>685853.93</v>
      </c>
      <c r="BL230" s="456">
        <v>686090.72</v>
      </c>
      <c r="BM230" s="456">
        <v>5784.11</v>
      </c>
      <c r="BN230" s="456">
        <v>0.16</v>
      </c>
      <c r="BO230" s="456">
        <v>0.16</v>
      </c>
      <c r="BP230" s="456">
        <v>0.16</v>
      </c>
      <c r="BQ230" s="456">
        <v>0.16</v>
      </c>
      <c r="BR230" s="456">
        <v>0.16</v>
      </c>
      <c r="BS230" s="90">
        <v>0.0</v>
      </c>
      <c r="BT230" s="90"/>
    </row>
    <row r="231" ht="15.75" customHeight="1">
      <c r="A231" s="444" t="s">
        <v>98</v>
      </c>
      <c r="B231" s="445" t="s">
        <v>5400</v>
      </c>
      <c r="C231" s="468" t="s">
        <v>5401</v>
      </c>
      <c r="D231" s="448">
        <v>4423520.0</v>
      </c>
      <c r="E231" s="447" t="s">
        <v>120</v>
      </c>
      <c r="F231" s="448" t="s">
        <v>199</v>
      </c>
      <c r="G231" s="448" t="s">
        <v>1340</v>
      </c>
      <c r="H231" s="448" t="str">
        <f>IFERROR(VLOOKUP(G231,'Cadastro de assessores'!A:B,2,FALSE),"Não Cadastrado")</f>
        <v>13444</v>
      </c>
      <c r="I231" s="448"/>
      <c r="J231" s="74" t="s">
        <v>183</v>
      </c>
      <c r="K231" s="447" t="s">
        <v>183</v>
      </c>
      <c r="L231" s="450">
        <v>44372.0</v>
      </c>
      <c r="M231" s="450">
        <v>44372.0</v>
      </c>
      <c r="N231" s="446"/>
      <c r="O231" s="446" t="s">
        <v>3721</v>
      </c>
      <c r="P231" s="452">
        <v>0.02</v>
      </c>
      <c r="Q231" s="207"/>
      <c r="R231" s="453"/>
      <c r="S231" s="449" t="str">
        <f t="shared" si="22"/>
        <v/>
      </c>
      <c r="T231" s="446" t="s">
        <v>234</v>
      </c>
      <c r="U231" s="446" t="s">
        <v>3722</v>
      </c>
      <c r="V231" s="446" t="s">
        <v>475</v>
      </c>
      <c r="W231" s="454"/>
      <c r="X231" s="454"/>
      <c r="Y231" s="454"/>
      <c r="Z231" s="454"/>
      <c r="AA231" s="454"/>
      <c r="AB231" s="454"/>
      <c r="AC231" s="454"/>
      <c r="AD231" s="454"/>
      <c r="AE231" s="454"/>
      <c r="AF231" s="454"/>
      <c r="AG231" s="454"/>
      <c r="AH231" s="454"/>
      <c r="AI231" s="455"/>
      <c r="AJ231" s="456"/>
      <c r="AK231" s="456"/>
      <c r="AL231" s="456"/>
      <c r="AM231" s="456"/>
      <c r="AN231" s="456"/>
      <c r="AO231" s="456"/>
      <c r="AP231" s="456"/>
      <c r="AQ231" s="456"/>
      <c r="AR231" s="454"/>
      <c r="AS231" s="456">
        <v>134497.91</v>
      </c>
      <c r="AT231" s="456">
        <v>125466.92</v>
      </c>
      <c r="AU231" s="456">
        <v>123202.98</v>
      </c>
      <c r="AV231" s="456">
        <v>114790.23</v>
      </c>
      <c r="AW231" s="456">
        <v>102272.86</v>
      </c>
      <c r="AX231" s="456">
        <v>92953.19</v>
      </c>
      <c r="AY231" s="456">
        <v>96606.35</v>
      </c>
      <c r="AZ231" s="456">
        <v>99810.25</v>
      </c>
      <c r="BA231" s="456">
        <v>102636.32</v>
      </c>
      <c r="BB231" s="456">
        <v>107472.64</v>
      </c>
      <c r="BC231" s="456">
        <v>0.0</v>
      </c>
      <c r="BD231" s="456">
        <v>102540.48</v>
      </c>
      <c r="BE231" s="456">
        <v>86702.67</v>
      </c>
      <c r="BF231" s="456">
        <v>71731.12</v>
      </c>
      <c r="BG231" s="456">
        <v>76435.55</v>
      </c>
      <c r="BH231" s="456">
        <v>485.56</v>
      </c>
      <c r="BI231" s="456">
        <v>1048.53</v>
      </c>
      <c r="BJ231" s="456">
        <v>1128.43</v>
      </c>
      <c r="BK231" s="456">
        <v>1196.06</v>
      </c>
      <c r="BL231" s="456">
        <v>1127.11</v>
      </c>
      <c r="BM231" s="456">
        <v>1129.8</v>
      </c>
      <c r="BN231" s="456">
        <v>1130.7</v>
      </c>
      <c r="BO231" s="456">
        <v>1137.32</v>
      </c>
      <c r="BP231" s="456">
        <v>1151.46</v>
      </c>
      <c r="BQ231" s="456">
        <v>1159.76</v>
      </c>
      <c r="BR231" s="456">
        <v>1171.81</v>
      </c>
      <c r="BS231" s="90">
        <v>1116.51</v>
      </c>
      <c r="BT231" s="90"/>
    </row>
    <row r="232" ht="15.75" customHeight="1">
      <c r="A232" s="444" t="s">
        <v>98</v>
      </c>
      <c r="B232" s="445" t="s">
        <v>5405</v>
      </c>
      <c r="C232" s="458" t="s">
        <v>5406</v>
      </c>
      <c r="D232" s="449">
        <v>8765907.0</v>
      </c>
      <c r="E232" s="449" t="s">
        <v>120</v>
      </c>
      <c r="F232" s="449" t="s">
        <v>54</v>
      </c>
      <c r="G232" s="449" t="s">
        <v>125</v>
      </c>
      <c r="H232" s="447" t="str">
        <f>IFERROR(VLOOKUP(G232,'Cadastro de assessores'!A:B,2,FALSE),"Não Cadastrado")</f>
        <v>18890</v>
      </c>
      <c r="I232" s="447"/>
      <c r="J232" s="49" t="s">
        <v>2318</v>
      </c>
      <c r="K232" s="449" t="s">
        <v>183</v>
      </c>
      <c r="L232" s="460">
        <v>44721.0</v>
      </c>
      <c r="M232" s="460">
        <v>44727.0</v>
      </c>
      <c r="N232" s="460"/>
      <c r="O232" s="449" t="s">
        <v>2365</v>
      </c>
      <c r="P232" s="452">
        <v>0.012</v>
      </c>
      <c r="Q232" s="461" t="s">
        <v>5407</v>
      </c>
      <c r="R232" s="453"/>
      <c r="S232" s="449"/>
      <c r="T232" s="449" t="s">
        <v>194</v>
      </c>
      <c r="U232" s="449" t="s">
        <v>2438</v>
      </c>
      <c r="V232" s="449" t="s">
        <v>54</v>
      </c>
      <c r="W232" s="454"/>
      <c r="X232" s="454"/>
      <c r="Y232" s="454"/>
      <c r="Z232" s="454"/>
      <c r="AA232" s="454"/>
      <c r="AB232" s="454"/>
      <c r="AC232" s="454"/>
      <c r="AD232" s="454"/>
      <c r="AE232" s="454"/>
      <c r="AF232" s="454"/>
      <c r="AG232" s="455"/>
      <c r="AH232" s="455"/>
      <c r="AI232" s="455"/>
      <c r="AJ232" s="456"/>
      <c r="AK232" s="456"/>
      <c r="AL232" s="456"/>
      <c r="AM232" s="456"/>
      <c r="AN232" s="456"/>
      <c r="AO232" s="456"/>
      <c r="AP232" s="456"/>
      <c r="AQ232" s="456"/>
      <c r="AR232" s="456"/>
      <c r="AS232" s="456"/>
      <c r="AT232" s="456"/>
      <c r="AU232" s="456"/>
      <c r="AV232" s="456"/>
      <c r="AW232" s="456"/>
      <c r="AX232" s="456"/>
      <c r="AY232" s="456"/>
      <c r="AZ232" s="456"/>
      <c r="BA232" s="456"/>
      <c r="BB232" s="456"/>
      <c r="BC232" s="456"/>
      <c r="BD232" s="456"/>
      <c r="BE232" s="456">
        <v>149797.28</v>
      </c>
      <c r="BF232" s="456">
        <v>152447.94</v>
      </c>
      <c r="BG232" s="456">
        <v>153514.2261</v>
      </c>
      <c r="BH232" s="456">
        <v>154591.41</v>
      </c>
      <c r="BI232" s="456">
        <v>173362.21</v>
      </c>
      <c r="BJ232" s="456">
        <v>192856.75</v>
      </c>
      <c r="BK232" s="456">
        <v>194643.3</v>
      </c>
      <c r="BL232" s="456">
        <v>196844.83</v>
      </c>
      <c r="BM232" s="456">
        <v>0.0</v>
      </c>
      <c r="BN232" s="456">
        <v>1.73</v>
      </c>
      <c r="BO232" s="456">
        <v>1.73</v>
      </c>
      <c r="BP232" s="456">
        <v>1.73</v>
      </c>
      <c r="BQ232" s="456">
        <v>1.73</v>
      </c>
      <c r="BR232" s="456">
        <v>1.73</v>
      </c>
      <c r="BS232" s="90">
        <v>0.0</v>
      </c>
      <c r="BT232" s="90"/>
    </row>
    <row r="233" ht="15.75" customHeight="1">
      <c r="A233" s="444" t="s">
        <v>98</v>
      </c>
      <c r="B233" s="445" t="s">
        <v>5411</v>
      </c>
      <c r="C233" s="559" t="s">
        <v>5412</v>
      </c>
      <c r="D233" s="448">
        <v>6519491.0</v>
      </c>
      <c r="E233" s="447" t="s">
        <v>120</v>
      </c>
      <c r="F233" s="448" t="s">
        <v>54</v>
      </c>
      <c r="G233" s="447" t="s">
        <v>379</v>
      </c>
      <c r="H233" s="448" t="str">
        <f>IFERROR(VLOOKUP(G233,'Cadastro de assessores'!A:B,2,FALSE),"Não Cadastrado")</f>
        <v>18009</v>
      </c>
      <c r="I233" s="448"/>
      <c r="J233" s="49" t="s">
        <v>2318</v>
      </c>
      <c r="K233" s="449" t="s">
        <v>3320</v>
      </c>
      <c r="L233" s="449" t="s">
        <v>3320</v>
      </c>
      <c r="M233" s="548" t="s">
        <v>584</v>
      </c>
      <c r="N233" s="446"/>
      <c r="O233" s="446" t="s">
        <v>2365</v>
      </c>
      <c r="P233" s="452">
        <v>0.012</v>
      </c>
      <c r="Q233" s="330"/>
      <c r="R233" s="453"/>
      <c r="S233" s="449" t="str">
        <f t="shared" ref="S233:S236" si="23">IF(BC233&lt;=0,"",IF(BC233&lt;=1000000,"Não Qualificado",IF(AND(BC233&gt;1000000,BC233&lt;=10000000),"Qualificado","Profissional")))</f>
        <v/>
      </c>
      <c r="T233" s="449" t="s">
        <v>194</v>
      </c>
      <c r="U233" s="449" t="s">
        <v>3587</v>
      </c>
      <c r="V233" s="449" t="s">
        <v>54</v>
      </c>
      <c r="W233" s="454"/>
      <c r="X233" s="454"/>
      <c r="Y233" s="454"/>
      <c r="Z233" s="454"/>
      <c r="AA233" s="454"/>
      <c r="AB233" s="454"/>
      <c r="AC233" s="454"/>
      <c r="AD233" s="454"/>
      <c r="AE233" s="454"/>
      <c r="AF233" s="454"/>
      <c r="AG233" s="455"/>
      <c r="AH233" s="455"/>
      <c r="AI233" s="455"/>
      <c r="AJ233" s="456"/>
      <c r="AK233" s="456"/>
      <c r="AL233" s="456"/>
      <c r="AM233" s="456"/>
      <c r="AN233" s="456"/>
      <c r="AO233" s="456"/>
      <c r="AP233" s="456"/>
      <c r="AQ233" s="456"/>
      <c r="AR233" s="456"/>
      <c r="AS233" s="456"/>
      <c r="AT233" s="456"/>
      <c r="AU233" s="456"/>
      <c r="AV233" s="456"/>
      <c r="AW233" s="456">
        <v>100.0</v>
      </c>
      <c r="AX233" s="456">
        <v>100.0</v>
      </c>
      <c r="AY233" s="456">
        <v>100.0</v>
      </c>
      <c r="AZ233" s="456">
        <v>100.0</v>
      </c>
      <c r="BA233" s="456">
        <v>100.0</v>
      </c>
      <c r="BB233" s="456">
        <v>100.0</v>
      </c>
      <c r="BC233" s="456">
        <v>0.0</v>
      </c>
      <c r="BD233" s="456">
        <v>100.11</v>
      </c>
      <c r="BE233" s="456" t="s">
        <v>377</v>
      </c>
      <c r="BF233" s="456">
        <v>101.71</v>
      </c>
      <c r="BG233" s="456">
        <v>102.64</v>
      </c>
      <c r="BH233" s="456">
        <v>103.47</v>
      </c>
      <c r="BI233" s="456">
        <v>104.38</v>
      </c>
      <c r="BJ233" s="456">
        <v>105.39</v>
      </c>
      <c r="BK233" s="456">
        <v>106.26</v>
      </c>
      <c r="BL233" s="456">
        <v>107.26</v>
      </c>
      <c r="BM233" s="456">
        <v>108.07</v>
      </c>
      <c r="BN233" s="456">
        <v>108.4</v>
      </c>
      <c r="BO233" s="456">
        <v>108.4</v>
      </c>
      <c r="BP233" s="456">
        <v>108.4</v>
      </c>
      <c r="BQ233" s="456">
        <v>108.4</v>
      </c>
      <c r="BR233" s="456">
        <v>108.4</v>
      </c>
      <c r="BS233" s="90">
        <v>0.0</v>
      </c>
      <c r="BT233" s="90"/>
    </row>
    <row r="234" ht="15.75" customHeight="1">
      <c r="A234" s="444" t="s">
        <v>98</v>
      </c>
      <c r="B234" s="445" t="s">
        <v>5422</v>
      </c>
      <c r="C234" s="468" t="s">
        <v>5423</v>
      </c>
      <c r="D234" s="446">
        <v>3452038.0</v>
      </c>
      <c r="E234" s="447" t="s">
        <v>120</v>
      </c>
      <c r="F234" s="447" t="s">
        <v>54</v>
      </c>
      <c r="G234" s="446" t="s">
        <v>1393</v>
      </c>
      <c r="H234" s="447" t="str">
        <f>IFERROR(VLOOKUP(G234,'Cadastro de assessores'!A:B,2,FALSE),"Não Cadastrado")</f>
        <v>17831</v>
      </c>
      <c r="I234" s="447"/>
      <c r="J234" s="49" t="s">
        <v>224</v>
      </c>
      <c r="K234" s="447" t="s">
        <v>183</v>
      </c>
      <c r="L234" s="450">
        <v>44698.0</v>
      </c>
      <c r="M234" s="450">
        <v>44698.0</v>
      </c>
      <c r="N234" s="508">
        <v>44834.0</v>
      </c>
      <c r="O234" s="446" t="s">
        <v>2365</v>
      </c>
      <c r="P234" s="452">
        <v>0.012</v>
      </c>
      <c r="Q234" s="610" t="s">
        <v>5425</v>
      </c>
      <c r="R234" s="453"/>
      <c r="S234" s="449" t="str">
        <f t="shared" si="23"/>
        <v/>
      </c>
      <c r="T234" s="449" t="s">
        <v>194</v>
      </c>
      <c r="U234" s="449" t="s">
        <v>2438</v>
      </c>
      <c r="V234" s="449" t="s">
        <v>54</v>
      </c>
      <c r="W234" s="455"/>
      <c r="X234" s="455"/>
      <c r="Y234" s="455"/>
      <c r="Z234" s="455"/>
      <c r="AA234" s="455"/>
      <c r="AB234" s="455"/>
      <c r="AC234" s="455"/>
      <c r="AD234" s="455"/>
      <c r="AE234" s="455"/>
      <c r="AF234" s="455"/>
      <c r="AG234" s="455"/>
      <c r="AH234" s="455"/>
      <c r="AI234" s="455"/>
      <c r="AJ234" s="455"/>
      <c r="AK234" s="456"/>
      <c r="AL234" s="456"/>
      <c r="AM234" s="456"/>
      <c r="AN234" s="456"/>
      <c r="AO234" s="456"/>
      <c r="AP234" s="456"/>
      <c r="AQ234" s="456"/>
      <c r="AR234" s="456"/>
      <c r="AS234" s="456"/>
      <c r="AT234" s="456"/>
      <c r="AU234" s="456"/>
      <c r="AV234" s="456"/>
      <c r="AW234" s="456"/>
      <c r="AX234" s="456"/>
      <c r="AY234" s="456"/>
      <c r="AZ234" s="456"/>
      <c r="BA234" s="456"/>
      <c r="BB234" s="456"/>
      <c r="BC234" s="456">
        <v>0.0</v>
      </c>
      <c r="BD234" s="456">
        <v>265360.18</v>
      </c>
      <c r="BE234" s="456">
        <v>254108.15</v>
      </c>
      <c r="BF234" s="456">
        <v>256736.54</v>
      </c>
      <c r="BG234" s="456">
        <v>259434.0839</v>
      </c>
      <c r="BH234" s="456">
        <v>53880.75</v>
      </c>
      <c r="BI234" s="456">
        <v>0.0</v>
      </c>
      <c r="BJ234" s="456">
        <v>0.0</v>
      </c>
      <c r="BK234" s="456">
        <v>0.0</v>
      </c>
      <c r="BL234" s="456">
        <v>0.0</v>
      </c>
      <c r="BM234" s="456">
        <v>0.0</v>
      </c>
      <c r="BN234" s="456">
        <v>0.0</v>
      </c>
      <c r="BO234" s="456">
        <v>0.0</v>
      </c>
      <c r="BP234" s="456">
        <v>0.0</v>
      </c>
      <c r="BQ234" s="456">
        <v>0.0</v>
      </c>
      <c r="BR234" s="456">
        <v>0.0</v>
      </c>
      <c r="BS234" s="90" t="s">
        <v>268</v>
      </c>
      <c r="BT234" s="90"/>
    </row>
    <row r="235" ht="15.75" customHeight="1">
      <c r="A235" s="444" t="s">
        <v>98</v>
      </c>
      <c r="B235" s="445" t="s">
        <v>5430</v>
      </c>
      <c r="C235" s="458" t="s">
        <v>5432</v>
      </c>
      <c r="D235" s="449">
        <v>4750693.0</v>
      </c>
      <c r="E235" s="447" t="s">
        <v>120</v>
      </c>
      <c r="F235" s="447" t="s">
        <v>199</v>
      </c>
      <c r="G235" s="447" t="s">
        <v>841</v>
      </c>
      <c r="H235" s="447" t="str">
        <f>IFERROR(VLOOKUP(G235,'Cadastro de assessores'!A:B,2,FALSE),"Não Cadastrado")</f>
        <v>18256</v>
      </c>
      <c r="I235" s="447"/>
      <c r="J235" s="49" t="s">
        <v>2318</v>
      </c>
      <c r="K235" s="447" t="s">
        <v>183</v>
      </c>
      <c r="L235" s="450">
        <v>44228.0</v>
      </c>
      <c r="M235" s="450">
        <v>44166.0</v>
      </c>
      <c r="N235" s="449"/>
      <c r="O235" s="449" t="s">
        <v>5434</v>
      </c>
      <c r="P235" s="452">
        <v>0.012</v>
      </c>
      <c r="Q235" s="461"/>
      <c r="R235" s="453"/>
      <c r="S235" s="449" t="str">
        <f t="shared" si="23"/>
        <v/>
      </c>
      <c r="T235" s="449" t="s">
        <v>194</v>
      </c>
      <c r="U235" s="449" t="s">
        <v>4450</v>
      </c>
      <c r="V235" s="449" t="s">
        <v>199</v>
      </c>
      <c r="W235" s="455"/>
      <c r="X235" s="455"/>
      <c r="Y235" s="455"/>
      <c r="Z235" s="455"/>
      <c r="AA235" s="455"/>
      <c r="AB235" s="455"/>
      <c r="AC235" s="455"/>
      <c r="AD235" s="455"/>
      <c r="AE235" s="455"/>
      <c r="AF235" s="455"/>
      <c r="AG235" s="455"/>
      <c r="AH235" s="455"/>
      <c r="AI235" s="455"/>
      <c r="AJ235" s="455"/>
      <c r="AK235" s="456"/>
      <c r="AL235" s="456"/>
      <c r="AM235" s="456">
        <v>242866.89</v>
      </c>
      <c r="AN235" s="456">
        <v>243368.24</v>
      </c>
      <c r="AO235" s="456">
        <v>249847.3</v>
      </c>
      <c r="AP235" s="456">
        <v>251165.88</v>
      </c>
      <c r="AQ235" s="456">
        <v>250380.19</v>
      </c>
      <c r="AR235" s="456">
        <v>255441.24</v>
      </c>
      <c r="AS235" s="456">
        <v>254000.15</v>
      </c>
      <c r="AT235" s="456">
        <v>249898.5</v>
      </c>
      <c r="AU235" s="456">
        <v>248668.36</v>
      </c>
      <c r="AV235" s="456">
        <v>246150.04</v>
      </c>
      <c r="AW235" s="456">
        <v>238329.61</v>
      </c>
      <c r="AX235" s="456">
        <v>222289.89</v>
      </c>
      <c r="AY235" s="456">
        <v>225324.35</v>
      </c>
      <c r="AZ235" s="456">
        <v>229664.99</v>
      </c>
      <c r="BA235" s="456">
        <v>229409.43</v>
      </c>
      <c r="BB235" s="456">
        <v>235802.84</v>
      </c>
      <c r="BC235" s="456">
        <v>0.0</v>
      </c>
      <c r="BD235" s="456">
        <v>217926.47</v>
      </c>
      <c r="BE235" s="456">
        <v>217584.65</v>
      </c>
      <c r="BF235" s="456">
        <v>221594.55</v>
      </c>
      <c r="BG235" s="456">
        <v>223829.8285</v>
      </c>
      <c r="BH235" s="456">
        <v>224859.66</v>
      </c>
      <c r="BI235" s="456">
        <v>231386.92</v>
      </c>
      <c r="BJ235" s="456">
        <v>230482.05</v>
      </c>
      <c r="BK235" s="456">
        <v>232316.84</v>
      </c>
      <c r="BL235" s="456">
        <v>235037.13</v>
      </c>
      <c r="BM235" s="456">
        <v>236618.28</v>
      </c>
      <c r="BN235" s="456">
        <v>239241.92</v>
      </c>
      <c r="BO235" s="456">
        <v>118915.18</v>
      </c>
      <c r="BP235" s="456">
        <v>120267.53</v>
      </c>
      <c r="BQ235" s="456">
        <v>121266.95</v>
      </c>
      <c r="BR235" s="456">
        <v>146.3</v>
      </c>
      <c r="BS235" s="90">
        <v>0.0</v>
      </c>
      <c r="BT235" s="90"/>
    </row>
    <row r="236" ht="15.75" customHeight="1">
      <c r="A236" s="444" t="s">
        <v>98</v>
      </c>
      <c r="B236" s="445" t="s">
        <v>5439</v>
      </c>
      <c r="C236" s="458" t="s">
        <v>5440</v>
      </c>
      <c r="D236" s="449">
        <v>4744608.0</v>
      </c>
      <c r="E236" s="447" t="s">
        <v>120</v>
      </c>
      <c r="F236" s="447" t="s">
        <v>199</v>
      </c>
      <c r="G236" s="447" t="s">
        <v>1914</v>
      </c>
      <c r="H236" s="447">
        <f>IFERROR(VLOOKUP(G236,'Cadastro de assessores'!A:B,2,FALSE),"Não Cadastrado")</f>
        <v>12359</v>
      </c>
      <c r="I236" s="447"/>
      <c r="J236" s="49" t="s">
        <v>224</v>
      </c>
      <c r="K236" s="447" t="s">
        <v>183</v>
      </c>
      <c r="L236" s="450">
        <v>44218.0</v>
      </c>
      <c r="M236" s="450">
        <v>44218.0</v>
      </c>
      <c r="N236" s="459">
        <v>44887.0</v>
      </c>
      <c r="O236" s="449" t="s">
        <v>2319</v>
      </c>
      <c r="P236" s="452">
        <v>0.02</v>
      </c>
      <c r="Q236" s="461" t="s">
        <v>5441</v>
      </c>
      <c r="R236" s="453"/>
      <c r="S236" s="449" t="str">
        <f t="shared" si="23"/>
        <v/>
      </c>
      <c r="T236" s="449" t="s">
        <v>194</v>
      </c>
      <c r="U236" s="449" t="s">
        <v>2383</v>
      </c>
      <c r="V236" s="449" t="s">
        <v>199</v>
      </c>
      <c r="W236" s="455"/>
      <c r="X236" s="455"/>
      <c r="Y236" s="455"/>
      <c r="Z236" s="455"/>
      <c r="AA236" s="455"/>
      <c r="AB236" s="455"/>
      <c r="AC236" s="455"/>
      <c r="AD236" s="455"/>
      <c r="AE236" s="455"/>
      <c r="AF236" s="455"/>
      <c r="AG236" s="455"/>
      <c r="AH236" s="455"/>
      <c r="AI236" s="455"/>
      <c r="AJ236" s="455"/>
      <c r="AK236" s="456"/>
      <c r="AL236" s="456">
        <v>787069.85</v>
      </c>
      <c r="AM236" s="456">
        <v>735410.8</v>
      </c>
      <c r="AN236" s="456">
        <v>733323.65</v>
      </c>
      <c r="AO236" s="456">
        <v>790973.52</v>
      </c>
      <c r="AP236" s="456">
        <v>1003039.96</v>
      </c>
      <c r="AQ236" s="456">
        <v>991901.78</v>
      </c>
      <c r="AR236" s="456">
        <v>1050056.35</v>
      </c>
      <c r="AS236" s="456">
        <v>1025552.12</v>
      </c>
      <c r="AT236" s="456">
        <v>970839.75</v>
      </c>
      <c r="AU236" s="456">
        <v>950596.34</v>
      </c>
      <c r="AV236" s="456">
        <v>899837.95</v>
      </c>
      <c r="AW236" s="456">
        <v>828478.31</v>
      </c>
      <c r="AX236" s="456">
        <v>821044.17</v>
      </c>
      <c r="AY236" s="456">
        <v>835554.63</v>
      </c>
      <c r="AZ236" s="456">
        <v>894531.87</v>
      </c>
      <c r="BA236" s="456">
        <v>901294.41</v>
      </c>
      <c r="BB236" s="456">
        <v>946104.25</v>
      </c>
      <c r="BC236" s="456">
        <v>0.0</v>
      </c>
      <c r="BD236" s="456">
        <v>915534.46</v>
      </c>
      <c r="BE236" s="456">
        <v>893273.88</v>
      </c>
      <c r="BF236" s="456">
        <v>925740.34</v>
      </c>
      <c r="BG236" s="456">
        <v>938957.4851</v>
      </c>
      <c r="BH236" s="456">
        <v>833062.54</v>
      </c>
      <c r="BI236" s="456">
        <v>886930.78</v>
      </c>
      <c r="BJ236" s="456">
        <v>0.0</v>
      </c>
      <c r="BK236" s="456">
        <v>0.0</v>
      </c>
      <c r="BL236" s="456">
        <v>0.0</v>
      </c>
      <c r="BM236" s="456">
        <v>0.0</v>
      </c>
      <c r="BN236" s="456">
        <v>0.0</v>
      </c>
      <c r="BO236" s="456">
        <v>0.0</v>
      </c>
      <c r="BP236" s="456">
        <v>0.0</v>
      </c>
      <c r="BQ236" s="456">
        <v>0.0</v>
      </c>
      <c r="BR236" s="456">
        <v>0.0</v>
      </c>
      <c r="BS236" s="90" t="s">
        <v>268</v>
      </c>
      <c r="BT236" s="90"/>
    </row>
    <row r="237" ht="15.75" customHeight="1">
      <c r="A237" s="444" t="s">
        <v>98</v>
      </c>
      <c r="B237" s="445" t="s">
        <v>5443</v>
      </c>
      <c r="C237" s="458" t="s">
        <v>5444</v>
      </c>
      <c r="D237" s="449">
        <v>6164897.0</v>
      </c>
      <c r="E237" s="447" t="s">
        <v>120</v>
      </c>
      <c r="F237" s="447" t="s">
        <v>199</v>
      </c>
      <c r="G237" s="447" t="s">
        <v>1914</v>
      </c>
      <c r="H237" s="447">
        <f>IFERROR(VLOOKUP(G237,'Cadastro de assessores'!A:B,2,FALSE),"Não Cadastrado")</f>
        <v>12359</v>
      </c>
      <c r="I237" s="447"/>
      <c r="J237" s="49" t="s">
        <v>2318</v>
      </c>
      <c r="K237" s="447"/>
      <c r="L237" s="450"/>
      <c r="M237" s="450">
        <v>44845.0</v>
      </c>
      <c r="N237" s="449"/>
      <c r="O237" s="449" t="s">
        <v>2356</v>
      </c>
      <c r="P237" s="452">
        <v>0.01</v>
      </c>
      <c r="Q237" s="461"/>
      <c r="R237" s="453"/>
      <c r="S237" s="449"/>
      <c r="T237" s="449"/>
      <c r="U237" s="449"/>
      <c r="V237" s="449" t="s">
        <v>199</v>
      </c>
      <c r="W237" s="455"/>
      <c r="X237" s="455"/>
      <c r="Y237" s="455"/>
      <c r="Z237" s="455"/>
      <c r="AA237" s="455"/>
      <c r="AB237" s="455"/>
      <c r="AC237" s="455"/>
      <c r="AD237" s="455"/>
      <c r="AE237" s="455"/>
      <c r="AF237" s="455"/>
      <c r="AG237" s="455"/>
      <c r="AH237" s="455"/>
      <c r="AI237" s="455"/>
      <c r="AJ237" s="455"/>
      <c r="AK237" s="456"/>
      <c r="AL237" s="456"/>
      <c r="AM237" s="456"/>
      <c r="AN237" s="456"/>
      <c r="AO237" s="456"/>
      <c r="AP237" s="456"/>
      <c r="AQ237" s="456"/>
      <c r="AR237" s="456"/>
      <c r="AS237" s="456"/>
      <c r="AT237" s="456"/>
      <c r="AU237" s="456"/>
      <c r="AV237" s="456"/>
      <c r="AW237" s="456"/>
      <c r="AX237" s="456"/>
      <c r="AY237" s="456"/>
      <c r="AZ237" s="456"/>
      <c r="BA237" s="456"/>
      <c r="BB237" s="456"/>
      <c r="BC237" s="456"/>
      <c r="BD237" s="456"/>
      <c r="BE237" s="456"/>
      <c r="BF237" s="456"/>
      <c r="BG237" s="456"/>
      <c r="BH237" s="456"/>
      <c r="BI237" s="456">
        <v>8549.48</v>
      </c>
      <c r="BJ237" s="456">
        <v>13673.7</v>
      </c>
      <c r="BK237" s="456">
        <v>14327.93</v>
      </c>
      <c r="BL237" s="456">
        <v>14509.69</v>
      </c>
      <c r="BM237" s="456">
        <v>13473.67</v>
      </c>
      <c r="BN237" s="456">
        <v>12952.61</v>
      </c>
      <c r="BO237" s="456">
        <v>2003.05</v>
      </c>
      <c r="BP237" s="456">
        <v>0.0</v>
      </c>
      <c r="BQ237" s="456">
        <v>0.0</v>
      </c>
      <c r="BR237" s="456">
        <v>0.0</v>
      </c>
      <c r="BS237" s="90">
        <v>1021.33</v>
      </c>
      <c r="BT237" s="90"/>
    </row>
    <row r="238" ht="15.75" customHeight="1">
      <c r="A238" s="444" t="s">
        <v>98</v>
      </c>
      <c r="B238" s="445" t="s">
        <v>5447</v>
      </c>
      <c r="C238" s="458" t="s">
        <v>5448</v>
      </c>
      <c r="D238" s="449">
        <v>8424056.0</v>
      </c>
      <c r="E238" s="447" t="s">
        <v>255</v>
      </c>
      <c r="F238" s="447" t="s">
        <v>199</v>
      </c>
      <c r="G238" s="447" t="s">
        <v>4139</v>
      </c>
      <c r="H238" s="447">
        <f>IFERROR(VLOOKUP(G238,'Cadastro de assessores'!A:B,2,FALSE),"Não Cadastrado")</f>
        <v>12352</v>
      </c>
      <c r="I238" s="447"/>
      <c r="J238" s="49" t="s">
        <v>2318</v>
      </c>
      <c r="K238" s="447" t="s">
        <v>183</v>
      </c>
      <c r="L238" s="470">
        <v>44665.0</v>
      </c>
      <c r="M238" s="470">
        <v>44673.0</v>
      </c>
      <c r="N238" s="449"/>
      <c r="O238" s="449" t="s">
        <v>2365</v>
      </c>
      <c r="P238" s="452">
        <v>0.007</v>
      </c>
      <c r="Q238" s="607" t="s">
        <v>5450</v>
      </c>
      <c r="R238" s="453"/>
      <c r="S238" s="449" t="str">
        <f t="shared" ref="S238:S240" si="24">IF(BC238&lt;=0,"",IF(BC238&lt;=1000000,"Não Qualificado",IF(AND(BC238&gt;1000000,BC238&lt;=10000000),"Qualificado","Profissional")))</f>
        <v>Qualificado</v>
      </c>
      <c r="T238" s="449" t="s">
        <v>194</v>
      </c>
      <c r="U238" s="449" t="s">
        <v>4296</v>
      </c>
      <c r="V238" s="449" t="s">
        <v>199</v>
      </c>
      <c r="W238" s="455"/>
      <c r="X238" s="455"/>
      <c r="Y238" s="455"/>
      <c r="Z238" s="455"/>
      <c r="AA238" s="455"/>
      <c r="AB238" s="455"/>
      <c r="AC238" s="455"/>
      <c r="AD238" s="455"/>
      <c r="AE238" s="455"/>
      <c r="AF238" s="455"/>
      <c r="AG238" s="455"/>
      <c r="AH238" s="455"/>
      <c r="AI238" s="455"/>
      <c r="AJ238" s="455"/>
      <c r="AK238" s="456"/>
      <c r="AL238" s="456"/>
      <c r="AM238" s="456"/>
      <c r="AN238" s="456"/>
      <c r="AO238" s="456"/>
      <c r="AP238" s="456"/>
      <c r="AQ238" s="456"/>
      <c r="AR238" s="456"/>
      <c r="AS238" s="456"/>
      <c r="AT238" s="456"/>
      <c r="AU238" s="456"/>
      <c r="AV238" s="456"/>
      <c r="AW238" s="456"/>
      <c r="AX238" s="456"/>
      <c r="AY238" s="456"/>
      <c r="AZ238" s="456"/>
      <c r="BA238" s="456"/>
      <c r="BB238" s="456"/>
      <c r="BC238" s="456">
        <v>3683174.27</v>
      </c>
      <c r="BD238" s="456">
        <v>609296.33</v>
      </c>
      <c r="BE238" s="456">
        <v>615456.74</v>
      </c>
      <c r="BF238" s="456">
        <v>620609.48</v>
      </c>
      <c r="BG238" s="456">
        <v>621916.8233</v>
      </c>
      <c r="BH238" s="456">
        <v>626432.42</v>
      </c>
      <c r="BI238" s="456">
        <v>635629.49</v>
      </c>
      <c r="BJ238" s="456">
        <v>639880.36</v>
      </c>
      <c r="BK238" s="456">
        <v>8556.89</v>
      </c>
      <c r="BL238" s="456">
        <v>8505.43</v>
      </c>
      <c r="BM238" s="456">
        <v>-5.2</v>
      </c>
      <c r="BN238" s="456">
        <v>-5.2</v>
      </c>
      <c r="BO238" s="456">
        <v>-5.2</v>
      </c>
      <c r="BP238" s="456">
        <v>-5.2</v>
      </c>
      <c r="BQ238" s="456">
        <v>-5.2</v>
      </c>
      <c r="BR238" s="456">
        <v>-5.2</v>
      </c>
      <c r="BS238" s="90">
        <v>-5.2</v>
      </c>
      <c r="BT238" s="90"/>
    </row>
    <row r="239" ht="15.75" customHeight="1">
      <c r="A239" s="444" t="s">
        <v>98</v>
      </c>
      <c r="B239" s="445" t="s">
        <v>5454</v>
      </c>
      <c r="C239" s="458" t="s">
        <v>4307</v>
      </c>
      <c r="D239" s="449">
        <v>2009210.0</v>
      </c>
      <c r="E239" s="447" t="s">
        <v>120</v>
      </c>
      <c r="F239" s="447" t="s">
        <v>199</v>
      </c>
      <c r="G239" s="447" t="s">
        <v>1140</v>
      </c>
      <c r="H239" s="447" t="str">
        <f>IFERROR(VLOOKUP(G239,'Cadastro de assessores'!A:B,2,FALSE),"Não Cadastrado")</f>
        <v>19352</v>
      </c>
      <c r="I239" s="447"/>
      <c r="J239" s="74" t="s">
        <v>183</v>
      </c>
      <c r="K239" s="447" t="s">
        <v>183</v>
      </c>
      <c r="L239" s="450">
        <v>43775.0</v>
      </c>
      <c r="M239" s="450">
        <v>43775.0</v>
      </c>
      <c r="N239" s="449"/>
      <c r="O239" s="449" t="s">
        <v>2372</v>
      </c>
      <c r="P239" s="452">
        <v>0.025</v>
      </c>
      <c r="Q239" s="610"/>
      <c r="R239" s="453"/>
      <c r="S239" s="449" t="str">
        <f t="shared" si="24"/>
        <v>Não Qualificado</v>
      </c>
      <c r="T239" s="449" t="s">
        <v>194</v>
      </c>
      <c r="U239" s="449" t="s">
        <v>2343</v>
      </c>
      <c r="V239" s="449" t="s">
        <v>199</v>
      </c>
      <c r="W239" s="455" t="s">
        <v>5457</v>
      </c>
      <c r="X239" s="455"/>
      <c r="Y239" s="455" t="s">
        <v>5458</v>
      </c>
      <c r="Z239" s="455" t="s">
        <v>5459</v>
      </c>
      <c r="AA239" s="455" t="s">
        <v>5460</v>
      </c>
      <c r="AB239" s="455" t="s">
        <v>5461</v>
      </c>
      <c r="AC239" s="455" t="s">
        <v>5462</v>
      </c>
      <c r="AD239" s="455" t="s">
        <v>5463</v>
      </c>
      <c r="AE239" s="455" t="s">
        <v>5464</v>
      </c>
      <c r="AF239" s="455" t="s">
        <v>5465</v>
      </c>
      <c r="AG239" s="455" t="s">
        <v>5466</v>
      </c>
      <c r="AH239" s="455" t="s">
        <v>5467</v>
      </c>
      <c r="AI239" s="455" t="s">
        <v>5468</v>
      </c>
      <c r="AJ239" s="455" t="s">
        <v>5469</v>
      </c>
      <c r="AK239" s="456">
        <v>91900.46</v>
      </c>
      <c r="AL239" s="456">
        <v>88023.76</v>
      </c>
      <c r="AM239" s="456">
        <v>82521.06</v>
      </c>
      <c r="AN239" s="456">
        <v>82688.71</v>
      </c>
      <c r="AO239" s="456">
        <v>87559.55</v>
      </c>
      <c r="AP239" s="456">
        <v>88687.03</v>
      </c>
      <c r="AQ239" s="456">
        <v>87800.52</v>
      </c>
      <c r="AR239" s="456">
        <v>92625.1</v>
      </c>
      <c r="AS239" s="456">
        <v>90512.86</v>
      </c>
      <c r="AT239" s="456">
        <v>85537.23</v>
      </c>
      <c r="AU239" s="456">
        <v>83576.85</v>
      </c>
      <c r="AV239" s="456">
        <v>78475.85</v>
      </c>
      <c r="AW239" s="456">
        <v>72661.86</v>
      </c>
      <c r="AX239" s="456">
        <v>71908.96</v>
      </c>
      <c r="AY239" s="456">
        <v>73230.32</v>
      </c>
      <c r="AZ239" s="456">
        <v>77669.08</v>
      </c>
      <c r="BA239" s="456">
        <v>78805.57</v>
      </c>
      <c r="BB239" s="456">
        <v>83784.22</v>
      </c>
      <c r="BC239" s="456">
        <v>130421.02</v>
      </c>
      <c r="BD239" s="456">
        <v>79037.83</v>
      </c>
      <c r="BE239" s="456">
        <v>75667.32</v>
      </c>
      <c r="BF239" s="456">
        <v>79662.32</v>
      </c>
      <c r="BG239" s="456">
        <v>80651.77</v>
      </c>
      <c r="BH239" s="456">
        <v>79200.09</v>
      </c>
      <c r="BI239" s="456">
        <v>85810.15</v>
      </c>
      <c r="BJ239" s="456">
        <v>82768.62</v>
      </c>
      <c r="BK239" s="456">
        <v>82384.93</v>
      </c>
      <c r="BL239" s="456">
        <v>84486.07</v>
      </c>
      <c r="BM239" s="456">
        <v>81179.06</v>
      </c>
      <c r="BN239" s="456">
        <v>80354.15</v>
      </c>
      <c r="BO239" s="456">
        <v>79614.29</v>
      </c>
      <c r="BP239" s="456">
        <v>81408.54</v>
      </c>
      <c r="BQ239" s="456">
        <v>86078.44</v>
      </c>
      <c r="BR239" s="456">
        <v>88694.49</v>
      </c>
      <c r="BS239" s="90">
        <v>193722.32</v>
      </c>
      <c r="BT239" s="90"/>
    </row>
    <row r="240" ht="15.75" customHeight="1">
      <c r="A240" s="444" t="s">
        <v>98</v>
      </c>
      <c r="B240" s="445" t="s">
        <v>5471</v>
      </c>
      <c r="C240" s="458" t="s">
        <v>5472</v>
      </c>
      <c r="D240" s="449">
        <v>480281.0</v>
      </c>
      <c r="E240" s="449" t="s">
        <v>120</v>
      </c>
      <c r="F240" s="449" t="s">
        <v>199</v>
      </c>
      <c r="G240" s="449" t="s">
        <v>4744</v>
      </c>
      <c r="H240" s="449" t="str">
        <f>IFERROR(VLOOKUP(G240,'Cadastro de assessores'!A:B,2,FALSE),"Não Cadastrado")</f>
        <v>12846</v>
      </c>
      <c r="I240" s="449"/>
      <c r="J240" s="49" t="s">
        <v>224</v>
      </c>
      <c r="K240" s="449" t="s">
        <v>2340</v>
      </c>
      <c r="L240" s="460">
        <v>44166.0</v>
      </c>
      <c r="M240" s="460">
        <v>44166.0</v>
      </c>
      <c r="N240" s="460">
        <v>44378.0</v>
      </c>
      <c r="O240" s="449" t="s">
        <v>2341</v>
      </c>
      <c r="P240" s="452">
        <v>0.005</v>
      </c>
      <c r="Q240" s="461" t="s">
        <v>4807</v>
      </c>
      <c r="R240" s="453"/>
      <c r="S240" s="449" t="str">
        <f t="shared" si="24"/>
        <v/>
      </c>
      <c r="T240" s="449" t="s">
        <v>194</v>
      </c>
      <c r="U240" s="449" t="s">
        <v>2417</v>
      </c>
      <c r="V240" s="449" t="s">
        <v>199</v>
      </c>
      <c r="W240" s="455" t="s">
        <v>2344</v>
      </c>
      <c r="X240" s="455" t="s">
        <v>2344</v>
      </c>
      <c r="Y240" s="455" t="s">
        <v>2344</v>
      </c>
      <c r="Z240" s="455" t="s">
        <v>2344</v>
      </c>
      <c r="AA240" s="455" t="s">
        <v>2344</v>
      </c>
      <c r="AB240" s="455" t="s">
        <v>2344</v>
      </c>
      <c r="AC240" s="455" t="s">
        <v>2344</v>
      </c>
      <c r="AD240" s="455" t="s">
        <v>2344</v>
      </c>
      <c r="AE240" s="455" t="s">
        <v>2344</v>
      </c>
      <c r="AF240" s="455" t="s">
        <v>2344</v>
      </c>
      <c r="AG240" s="455" t="s">
        <v>2344</v>
      </c>
      <c r="AH240" s="455" t="s">
        <v>2344</v>
      </c>
      <c r="AI240" s="455" t="s">
        <v>2344</v>
      </c>
      <c r="AJ240" s="455" t="s">
        <v>2344</v>
      </c>
      <c r="AK240" s="456">
        <v>1261957.93</v>
      </c>
      <c r="AL240" s="456">
        <v>1384715.19</v>
      </c>
      <c r="AM240" s="456">
        <v>1370263.97</v>
      </c>
      <c r="AN240" s="456">
        <v>1365203.55</v>
      </c>
      <c r="AO240" s="456">
        <v>1380040.74</v>
      </c>
      <c r="AP240" s="456">
        <v>1389078.67</v>
      </c>
      <c r="AQ240" s="456">
        <v>1390915.55</v>
      </c>
      <c r="AR240" s="456">
        <v>1444333.17</v>
      </c>
      <c r="AS240" s="456">
        <v>1437067.63</v>
      </c>
      <c r="AT240" s="456"/>
      <c r="AU240" s="456"/>
      <c r="AV240" s="456"/>
      <c r="AW240" s="456"/>
      <c r="AX240" s="456"/>
      <c r="AY240" s="456"/>
      <c r="AZ240" s="456"/>
      <c r="BA240" s="456">
        <v>0.0</v>
      </c>
      <c r="BB240" s="456">
        <v>0.0</v>
      </c>
      <c r="BC240" s="456">
        <v>0.0</v>
      </c>
      <c r="BD240" s="456" t="s">
        <v>377</v>
      </c>
      <c r="BE240" s="456" t="s">
        <v>377</v>
      </c>
      <c r="BF240" s="456">
        <v>0.0</v>
      </c>
      <c r="BG240" s="456">
        <v>0.0</v>
      </c>
      <c r="BH240" s="456">
        <v>0.0</v>
      </c>
      <c r="BI240" s="456">
        <v>0.0</v>
      </c>
      <c r="BJ240" s="456">
        <v>0.0</v>
      </c>
      <c r="BK240" s="456">
        <v>0.0</v>
      </c>
      <c r="BL240" s="456">
        <v>0.0</v>
      </c>
      <c r="BM240" s="456">
        <v>0.0</v>
      </c>
      <c r="BN240" s="456">
        <v>0.0</v>
      </c>
      <c r="BO240" s="456">
        <v>0.0</v>
      </c>
      <c r="BP240" s="456">
        <v>0.0</v>
      </c>
      <c r="BQ240" s="456">
        <v>0.0</v>
      </c>
      <c r="BR240" s="456">
        <v>0.0</v>
      </c>
      <c r="BS240" s="90" t="s">
        <v>268</v>
      </c>
      <c r="BT240" s="90"/>
    </row>
    <row r="241" ht="15.75" customHeight="1">
      <c r="A241" s="444" t="s">
        <v>98</v>
      </c>
      <c r="B241" s="445" t="s">
        <v>5480</v>
      </c>
      <c r="C241" s="458" t="s">
        <v>5481</v>
      </c>
      <c r="D241" s="689">
        <v>9183025.0</v>
      </c>
      <c r="E241" s="447" t="s">
        <v>120</v>
      </c>
      <c r="F241" s="447" t="s">
        <v>54</v>
      </c>
      <c r="G241" s="447" t="s">
        <v>125</v>
      </c>
      <c r="H241" s="449" t="str">
        <f>IFERROR(VLOOKUP(G241,'Cadastro de assessores'!A:B,2,FALSE),"Não Cadastrado")</f>
        <v>18890</v>
      </c>
      <c r="I241" s="449"/>
      <c r="J241" s="49" t="s">
        <v>2318</v>
      </c>
      <c r="K241" s="690" t="s">
        <v>295</v>
      </c>
      <c r="L241" s="690" t="s">
        <v>3320</v>
      </c>
      <c r="M241" s="691">
        <v>44806.0</v>
      </c>
      <c r="N241" s="449"/>
      <c r="O241" s="449" t="s">
        <v>2365</v>
      </c>
      <c r="P241" s="452">
        <v>0.012</v>
      </c>
      <c r="Q241" s="461" t="s">
        <v>3145</v>
      </c>
      <c r="R241" s="453"/>
      <c r="S241" s="449"/>
      <c r="T241" s="449"/>
      <c r="U241" s="449"/>
      <c r="V241" s="449" t="s">
        <v>54</v>
      </c>
      <c r="W241" s="455"/>
      <c r="X241" s="455"/>
      <c r="Y241" s="455"/>
      <c r="Z241" s="455"/>
      <c r="AA241" s="455"/>
      <c r="AB241" s="455"/>
      <c r="AC241" s="455"/>
      <c r="AD241" s="455"/>
      <c r="AE241" s="455"/>
      <c r="AF241" s="455"/>
      <c r="AG241" s="455"/>
      <c r="AH241" s="455"/>
      <c r="AI241" s="455"/>
      <c r="AJ241" s="455"/>
      <c r="AK241" s="456"/>
      <c r="AL241" s="456"/>
      <c r="AM241" s="456"/>
      <c r="AN241" s="456"/>
      <c r="AO241" s="456"/>
      <c r="AP241" s="456"/>
      <c r="AQ241" s="456"/>
      <c r="AR241" s="456"/>
      <c r="AS241" s="456"/>
      <c r="AT241" s="456"/>
      <c r="AU241" s="456"/>
      <c r="AV241" s="456"/>
      <c r="AW241" s="456"/>
      <c r="AX241" s="456"/>
      <c r="AY241" s="456"/>
      <c r="AZ241" s="456"/>
      <c r="BA241" s="456"/>
      <c r="BB241" s="456"/>
      <c r="BC241" s="456"/>
      <c r="BD241" s="456"/>
      <c r="BE241" s="456"/>
      <c r="BF241" s="456"/>
      <c r="BG241" s="456">
        <v>0.0</v>
      </c>
      <c r="BH241" s="456">
        <v>181337.75</v>
      </c>
      <c r="BI241" s="456">
        <v>184666.11</v>
      </c>
      <c r="BJ241" s="456">
        <v>185719.49</v>
      </c>
      <c r="BK241" s="456">
        <v>187173.89</v>
      </c>
      <c r="BL241" s="456">
        <v>27099.42</v>
      </c>
      <c r="BM241" s="456">
        <v>0.6</v>
      </c>
      <c r="BN241" s="456">
        <v>4.83</v>
      </c>
      <c r="BO241" s="456">
        <v>4.83</v>
      </c>
      <c r="BP241" s="456">
        <v>4.83</v>
      </c>
      <c r="BQ241" s="456">
        <v>4.83</v>
      </c>
      <c r="BR241" s="456">
        <v>4.83</v>
      </c>
      <c r="BS241" s="90">
        <v>0.0</v>
      </c>
      <c r="BT241" s="90"/>
    </row>
    <row r="242" ht="15.75" customHeight="1">
      <c r="A242" s="444" t="s">
        <v>98</v>
      </c>
      <c r="B242" s="445" t="s">
        <v>5489</v>
      </c>
      <c r="C242" s="458" t="s">
        <v>5490</v>
      </c>
      <c r="D242" s="689">
        <v>2278886.0</v>
      </c>
      <c r="E242" s="447" t="s">
        <v>120</v>
      </c>
      <c r="F242" s="447" t="s">
        <v>54</v>
      </c>
      <c r="G242" s="447" t="s">
        <v>2393</v>
      </c>
      <c r="H242" s="447"/>
      <c r="I242" s="447"/>
      <c r="J242" s="49" t="s">
        <v>2318</v>
      </c>
      <c r="K242" s="447"/>
      <c r="L242" s="691"/>
      <c r="M242" s="450">
        <v>44950.0</v>
      </c>
      <c r="N242" s="449"/>
      <c r="O242" s="449" t="s">
        <v>2319</v>
      </c>
      <c r="P242" s="452">
        <v>0.02</v>
      </c>
      <c r="Q242" s="461"/>
      <c r="R242" s="453"/>
      <c r="S242" s="449"/>
      <c r="T242" s="449"/>
      <c r="U242" s="449"/>
      <c r="V242" s="449" t="s">
        <v>1586</v>
      </c>
      <c r="W242" s="455"/>
      <c r="X242" s="455"/>
      <c r="Y242" s="455"/>
      <c r="Z242" s="455"/>
      <c r="AA242" s="455"/>
      <c r="AB242" s="455"/>
      <c r="AC242" s="455"/>
      <c r="AD242" s="455"/>
      <c r="AE242" s="455"/>
      <c r="AF242" s="455"/>
      <c r="AG242" s="455"/>
      <c r="AH242" s="455"/>
      <c r="AI242" s="455"/>
      <c r="AJ242" s="455"/>
      <c r="AK242" s="456"/>
      <c r="AL242" s="456"/>
      <c r="AM242" s="456"/>
      <c r="AN242" s="456"/>
      <c r="AO242" s="456"/>
      <c r="AP242" s="456"/>
      <c r="AQ242" s="456"/>
      <c r="AR242" s="456"/>
      <c r="AS242" s="456"/>
      <c r="AT242" s="456"/>
      <c r="AU242" s="456"/>
      <c r="AV242" s="456"/>
      <c r="AW242" s="456"/>
      <c r="AX242" s="456"/>
      <c r="AY242" s="456"/>
      <c r="AZ242" s="456"/>
      <c r="BA242" s="456"/>
      <c r="BB242" s="456"/>
      <c r="BC242" s="456"/>
      <c r="BD242" s="456"/>
      <c r="BE242" s="456"/>
      <c r="BF242" s="456"/>
      <c r="BG242" s="456"/>
      <c r="BH242" s="456"/>
      <c r="BI242" s="456"/>
      <c r="BJ242" s="456"/>
      <c r="BK242" s="456"/>
      <c r="BL242" s="456">
        <v>61317.93</v>
      </c>
      <c r="BM242" s="456">
        <v>60471.74</v>
      </c>
      <c r="BN242" s="456">
        <v>0.0</v>
      </c>
      <c r="BO242" s="456">
        <v>0.0</v>
      </c>
      <c r="BP242" s="456">
        <v>0.0</v>
      </c>
      <c r="BQ242" s="456">
        <v>0.0</v>
      </c>
      <c r="BR242" s="456">
        <v>0.0</v>
      </c>
      <c r="BS242" s="90" t="s">
        <v>268</v>
      </c>
      <c r="BT242" s="90"/>
    </row>
    <row r="243" ht="15.75" customHeight="1">
      <c r="A243" s="444" t="s">
        <v>98</v>
      </c>
      <c r="B243" s="445" t="s">
        <v>996</v>
      </c>
      <c r="C243" s="458" t="s">
        <v>988</v>
      </c>
      <c r="D243" s="689">
        <v>4064668.0</v>
      </c>
      <c r="E243" s="447" t="s">
        <v>120</v>
      </c>
      <c r="F243" s="447" t="s">
        <v>199</v>
      </c>
      <c r="G243" s="447" t="s">
        <v>1108</v>
      </c>
      <c r="H243" s="447" t="str">
        <f>IFERROR(VLOOKUP(G243,'Cadastro de assessores'!A:B,2,FALSE),"Não Cadastrado")</f>
        <v>18836</v>
      </c>
      <c r="I243" s="447"/>
      <c r="J243" s="74" t="s">
        <v>183</v>
      </c>
      <c r="K243" s="447" t="s">
        <v>183</v>
      </c>
      <c r="L243" s="691">
        <v>44277.0</v>
      </c>
      <c r="M243" s="691">
        <v>44285.0</v>
      </c>
      <c r="N243" s="449"/>
      <c r="O243" s="449" t="s">
        <v>2341</v>
      </c>
      <c r="P243" s="452">
        <v>0.015</v>
      </c>
      <c r="Q243" s="461"/>
      <c r="R243" s="453"/>
      <c r="S243" s="449" t="str">
        <f>IF(BC243&lt;=0,"",IF(BC243&lt;=1000000,"Não Qualificado",IF(AND(BC243&gt;1000000,BC243&lt;=10000000),"Qualificado","Profissional")))</f>
        <v>Não Qualificado</v>
      </c>
      <c r="T243" s="449" t="s">
        <v>194</v>
      </c>
      <c r="U243" s="449" t="s">
        <v>3820</v>
      </c>
      <c r="V243" s="449" t="s">
        <v>397</v>
      </c>
      <c r="W243" s="455"/>
      <c r="X243" s="455"/>
      <c r="Y243" s="455"/>
      <c r="Z243" s="455"/>
      <c r="AA243" s="455"/>
      <c r="AB243" s="455"/>
      <c r="AC243" s="455"/>
      <c r="AD243" s="455"/>
      <c r="AE243" s="455"/>
      <c r="AF243" s="455"/>
      <c r="AG243" s="455"/>
      <c r="AH243" s="455"/>
      <c r="AI243" s="455"/>
      <c r="AJ243" s="455"/>
      <c r="AK243" s="456"/>
      <c r="AL243" s="456"/>
      <c r="AM243" s="456"/>
      <c r="AN243" s="456"/>
      <c r="AO243" s="456">
        <v>98261.59</v>
      </c>
      <c r="AP243" s="456">
        <v>98853.96</v>
      </c>
      <c r="AQ243" s="456">
        <v>98497.4</v>
      </c>
      <c r="AR243" s="456">
        <v>100681.89</v>
      </c>
      <c r="AS243" s="456">
        <v>100033.96</v>
      </c>
      <c r="AT243" s="456">
        <v>98278.31</v>
      </c>
      <c r="AU243" s="456">
        <v>97686.09</v>
      </c>
      <c r="AV243" s="456">
        <v>95887.01</v>
      </c>
      <c r="AW243" s="456">
        <v>93266.23</v>
      </c>
      <c r="AX243" s="456">
        <v>93288.92</v>
      </c>
      <c r="AY243" s="456">
        <v>94403.31</v>
      </c>
      <c r="AZ243" s="456">
        <v>96781.47</v>
      </c>
      <c r="BA243" s="456">
        <v>97843.76</v>
      </c>
      <c r="BB243" s="456">
        <v>100853.56</v>
      </c>
      <c r="BC243" s="456">
        <v>99591.32</v>
      </c>
      <c r="BD243" s="456">
        <v>100101.95</v>
      </c>
      <c r="BE243" s="456">
        <v>99722.93</v>
      </c>
      <c r="BF243" s="456">
        <v>101485.49</v>
      </c>
      <c r="BG243" s="456">
        <v>102223.1283</v>
      </c>
      <c r="BH243" s="456">
        <v>102490.66</v>
      </c>
      <c r="BI243" s="456">
        <v>105691.27</v>
      </c>
      <c r="BJ243" s="456">
        <v>105247.78</v>
      </c>
      <c r="BK243" s="456">
        <v>105875.92</v>
      </c>
      <c r="BL243" s="456">
        <v>107066.91</v>
      </c>
      <c r="BM243" s="456">
        <v>107828.74</v>
      </c>
      <c r="BN243" s="456">
        <v>109005.98</v>
      </c>
      <c r="BO243" s="456">
        <v>84017.58</v>
      </c>
      <c r="BP243" s="456">
        <v>84650.89</v>
      </c>
      <c r="BQ243" s="456">
        <v>85155.51</v>
      </c>
      <c r="BR243" s="456">
        <v>85852.19</v>
      </c>
      <c r="BS243" s="90">
        <v>50849.31</v>
      </c>
      <c r="BT243" s="90"/>
    </row>
    <row r="244" ht="15.75" customHeight="1">
      <c r="A244" s="444" t="s">
        <v>98</v>
      </c>
      <c r="B244" s="445" t="s">
        <v>5501</v>
      </c>
      <c r="C244" s="458" t="s">
        <v>5502</v>
      </c>
      <c r="D244" s="544">
        <v>6113871.0</v>
      </c>
      <c r="E244" s="447" t="s">
        <v>120</v>
      </c>
      <c r="F244" s="447" t="s">
        <v>54</v>
      </c>
      <c r="G244" s="447" t="s">
        <v>379</v>
      </c>
      <c r="H244" s="447"/>
      <c r="I244" s="447"/>
      <c r="J244" s="49" t="s">
        <v>2318</v>
      </c>
      <c r="K244" s="449"/>
      <c r="L244" s="451"/>
      <c r="M244" s="451">
        <v>44916.0</v>
      </c>
      <c r="N244" s="449"/>
      <c r="O244" s="449" t="s">
        <v>2341</v>
      </c>
      <c r="P244" s="452">
        <v>0.015</v>
      </c>
      <c r="Q244" s="554"/>
      <c r="R244" s="453"/>
      <c r="S244" s="449"/>
      <c r="T244" s="449"/>
      <c r="U244" s="449"/>
      <c r="V244" s="449" t="s">
        <v>1387</v>
      </c>
      <c r="W244" s="455"/>
      <c r="X244" s="455"/>
      <c r="Y244" s="455"/>
      <c r="Z244" s="455"/>
      <c r="AA244" s="455"/>
      <c r="AB244" s="455"/>
      <c r="AC244" s="455"/>
      <c r="AD244" s="455"/>
      <c r="AE244" s="455"/>
      <c r="AF244" s="455"/>
      <c r="AG244" s="455"/>
      <c r="AH244" s="455"/>
      <c r="AI244" s="455"/>
      <c r="AJ244" s="455"/>
      <c r="AK244" s="456"/>
      <c r="AL244" s="456"/>
      <c r="AM244" s="456"/>
      <c r="AN244" s="456"/>
      <c r="AO244" s="456"/>
      <c r="AP244" s="456"/>
      <c r="AQ244" s="456"/>
      <c r="AR244" s="456"/>
      <c r="AS244" s="456"/>
      <c r="AT244" s="456"/>
      <c r="AU244" s="456"/>
      <c r="AV244" s="456"/>
      <c r="AW244" s="456"/>
      <c r="AX244" s="456"/>
      <c r="AY244" s="456"/>
      <c r="AZ244" s="456"/>
      <c r="BA244" s="456"/>
      <c r="BB244" s="456"/>
      <c r="BC244" s="456"/>
      <c r="BD244" s="456"/>
      <c r="BE244" s="456"/>
      <c r="BF244" s="456"/>
      <c r="BG244" s="456"/>
      <c r="BH244" s="456"/>
      <c r="BI244" s="456"/>
      <c r="BJ244" s="456">
        <v>0.0</v>
      </c>
      <c r="BK244" s="456">
        <v>124024.55</v>
      </c>
      <c r="BL244" s="456">
        <v>125520.03</v>
      </c>
      <c r="BM244" s="456">
        <v>148030.37</v>
      </c>
      <c r="BN244" s="456">
        <v>0.0</v>
      </c>
      <c r="BO244" s="456">
        <v>0.0</v>
      </c>
      <c r="BP244" s="456">
        <v>0.0</v>
      </c>
      <c r="BQ244" s="456">
        <v>0.0</v>
      </c>
      <c r="BR244" s="456">
        <v>0.0</v>
      </c>
      <c r="BS244" s="90" t="s">
        <v>268</v>
      </c>
      <c r="BT244" s="90"/>
    </row>
    <row r="245" ht="15.75" customHeight="1">
      <c r="A245" s="444" t="s">
        <v>98</v>
      </c>
      <c r="B245" s="445" t="s">
        <v>5510</v>
      </c>
      <c r="C245" s="458" t="s">
        <v>5511</v>
      </c>
      <c r="D245" s="449">
        <v>4416789.0</v>
      </c>
      <c r="E245" s="447" t="s">
        <v>255</v>
      </c>
      <c r="F245" s="447" t="s">
        <v>199</v>
      </c>
      <c r="G245" s="447" t="s">
        <v>3885</v>
      </c>
      <c r="H245" s="447" t="str">
        <f>IFERROR(VLOOKUP(G245,'Cadastro de assessores'!A:B,2,FALSE),"Não Cadastrado")</f>
        <v>17243</v>
      </c>
      <c r="I245" s="447"/>
      <c r="J245" s="49" t="s">
        <v>2318</v>
      </c>
      <c r="K245" s="449" t="s">
        <v>295</v>
      </c>
      <c r="L245" s="451">
        <v>44127.0</v>
      </c>
      <c r="M245" s="451">
        <v>44130.0</v>
      </c>
      <c r="N245" s="449"/>
      <c r="O245" s="449" t="s">
        <v>2341</v>
      </c>
      <c r="P245" s="452">
        <v>0.015</v>
      </c>
      <c r="Q245" s="554"/>
      <c r="R245" s="453"/>
      <c r="S245" s="449" t="str">
        <f>IF(BC245&lt;=0,"",IF(BC245&lt;=1000000,"Não Qualificado",IF(AND(BC245&gt;1000000,BC245&lt;=10000000),"Qualificado","Profissional")))</f>
        <v/>
      </c>
      <c r="T245" s="449" t="s">
        <v>194</v>
      </c>
      <c r="U245" s="449" t="s">
        <v>2383</v>
      </c>
      <c r="V245" s="449" t="s">
        <v>199</v>
      </c>
      <c r="W245" s="455" t="s">
        <v>2344</v>
      </c>
      <c r="X245" s="455" t="s">
        <v>2344</v>
      </c>
      <c r="Y245" s="455" t="s">
        <v>2344</v>
      </c>
      <c r="Z245" s="455" t="s">
        <v>2344</v>
      </c>
      <c r="AA245" s="455" t="s">
        <v>2344</v>
      </c>
      <c r="AB245" s="455" t="s">
        <v>2344</v>
      </c>
      <c r="AC245" s="455" t="s">
        <v>2344</v>
      </c>
      <c r="AD245" s="455" t="s">
        <v>2344</v>
      </c>
      <c r="AE245" s="455" t="s">
        <v>2344</v>
      </c>
      <c r="AF245" s="455" t="s">
        <v>2344</v>
      </c>
      <c r="AG245" s="455" t="s">
        <v>2344</v>
      </c>
      <c r="AH245" s="455" t="s">
        <v>2344</v>
      </c>
      <c r="AI245" s="455" t="s">
        <v>5516</v>
      </c>
      <c r="AJ245" s="455" t="s">
        <v>5517</v>
      </c>
      <c r="AK245" s="456">
        <v>268091.57</v>
      </c>
      <c r="AL245" s="456">
        <v>461862.44</v>
      </c>
      <c r="AM245" s="456">
        <v>447229.44</v>
      </c>
      <c r="AN245" s="456">
        <v>446614.57</v>
      </c>
      <c r="AO245" s="456">
        <v>460100.96</v>
      </c>
      <c r="AP245" s="456">
        <v>402497.96</v>
      </c>
      <c r="AQ245" s="456">
        <v>460963.74</v>
      </c>
      <c r="AR245" s="456">
        <v>471957.66</v>
      </c>
      <c r="AS245" s="456">
        <v>468255.07</v>
      </c>
      <c r="AT245" s="456">
        <v>459138.13</v>
      </c>
      <c r="AU245" s="456">
        <v>456422.62</v>
      </c>
      <c r="AV245" s="456">
        <v>81663.16</v>
      </c>
      <c r="AW245" s="456">
        <v>456.93</v>
      </c>
      <c r="AX245" s="456">
        <v>456.33</v>
      </c>
      <c r="AY245" s="456">
        <v>455.64</v>
      </c>
      <c r="AZ245" s="456">
        <v>455.01</v>
      </c>
      <c r="BA245" s="456">
        <v>454.44</v>
      </c>
      <c r="BB245" s="456">
        <v>453.78</v>
      </c>
      <c r="BC245" s="456">
        <v>0.0</v>
      </c>
      <c r="BD245" s="456">
        <v>516.67</v>
      </c>
      <c r="BE245" s="456">
        <v>516.67</v>
      </c>
      <c r="BF245" s="456">
        <v>516.68</v>
      </c>
      <c r="BG245" s="456">
        <v>516.68</v>
      </c>
      <c r="BH245" s="456">
        <v>516.68</v>
      </c>
      <c r="BI245" s="456">
        <v>516.68</v>
      </c>
      <c r="BJ245" s="456">
        <v>516.68</v>
      </c>
      <c r="BK245" s="456">
        <v>516.68</v>
      </c>
      <c r="BL245" s="456">
        <v>516.68</v>
      </c>
      <c r="BM245" s="456">
        <v>516.68</v>
      </c>
      <c r="BN245" s="456">
        <v>516.68</v>
      </c>
      <c r="BO245" s="456">
        <v>516.68</v>
      </c>
      <c r="BP245" s="456">
        <v>516.68</v>
      </c>
      <c r="BQ245" s="456">
        <v>516.68</v>
      </c>
      <c r="BR245" s="456">
        <v>516.68</v>
      </c>
      <c r="BS245" s="90">
        <v>0.0</v>
      </c>
      <c r="BT245" s="90"/>
    </row>
    <row r="246" ht="15.75" customHeight="1">
      <c r="A246" s="444" t="s">
        <v>98</v>
      </c>
      <c r="B246" s="445" t="s">
        <v>5523</v>
      </c>
      <c r="C246" s="559" t="s">
        <v>5524</v>
      </c>
      <c r="D246" s="448">
        <v>522223.0</v>
      </c>
      <c r="E246" s="447" t="s">
        <v>120</v>
      </c>
      <c r="F246" s="448" t="s">
        <v>54</v>
      </c>
      <c r="G246" s="447" t="s">
        <v>348</v>
      </c>
      <c r="H246" s="447">
        <f>IFERROR(VLOOKUP(G246,'Cadastro de assessores'!A:B,2,FALSE),"Não Cadastrado")</f>
        <v>12331</v>
      </c>
      <c r="I246" s="447"/>
      <c r="J246" s="49" t="s">
        <v>2318</v>
      </c>
      <c r="K246" s="449" t="s">
        <v>295</v>
      </c>
      <c r="L246" s="552" t="s">
        <v>3320</v>
      </c>
      <c r="M246" s="470">
        <v>44816.0</v>
      </c>
      <c r="N246" s="446"/>
      <c r="O246" s="446" t="s">
        <v>2365</v>
      </c>
      <c r="P246" s="452">
        <v>0.012</v>
      </c>
      <c r="Q246" s="207" t="s">
        <v>5525</v>
      </c>
      <c r="R246" s="453"/>
      <c r="S246" s="449"/>
      <c r="T246" s="449"/>
      <c r="U246" s="449"/>
      <c r="V246" s="449" t="s">
        <v>54</v>
      </c>
      <c r="W246" s="454"/>
      <c r="X246" s="454"/>
      <c r="Y246" s="454"/>
      <c r="Z246" s="454"/>
      <c r="AA246" s="454"/>
      <c r="AB246" s="454"/>
      <c r="AC246" s="454"/>
      <c r="AD246" s="454"/>
      <c r="AE246" s="454"/>
      <c r="AF246" s="454"/>
      <c r="AG246" s="455"/>
      <c r="AH246" s="455"/>
      <c r="AI246" s="455"/>
      <c r="AJ246" s="456"/>
      <c r="AK246" s="456"/>
      <c r="AL246" s="456"/>
      <c r="AM246" s="456"/>
      <c r="AN246" s="456"/>
      <c r="AO246" s="456"/>
      <c r="AP246" s="456"/>
      <c r="AQ246" s="456"/>
      <c r="AR246" s="456"/>
      <c r="AS246" s="456"/>
      <c r="AT246" s="456"/>
      <c r="AU246" s="456"/>
      <c r="AV246" s="456"/>
      <c r="AW246" s="456"/>
      <c r="AX246" s="456"/>
      <c r="AY246" s="456"/>
      <c r="AZ246" s="456"/>
      <c r="BA246" s="456"/>
      <c r="BB246" s="456"/>
      <c r="BC246" s="456"/>
      <c r="BD246" s="456"/>
      <c r="BE246" s="456"/>
      <c r="BF246" s="456"/>
      <c r="BG246" s="456">
        <v>0.0</v>
      </c>
      <c r="BH246" s="456">
        <v>89437.2</v>
      </c>
      <c r="BI246" s="456">
        <v>107368.84</v>
      </c>
      <c r="BJ246" s="456">
        <v>128405.29</v>
      </c>
      <c r="BK246" s="456">
        <v>129504.1</v>
      </c>
      <c r="BL246" s="456">
        <v>381871.92</v>
      </c>
      <c r="BM246" s="456">
        <v>123545.37</v>
      </c>
      <c r="BN246" s="456">
        <v>124485.73</v>
      </c>
      <c r="BO246" s="456">
        <v>125746.53</v>
      </c>
      <c r="BP246" s="456">
        <v>127234.57</v>
      </c>
      <c r="BQ246" s="456">
        <v>128248.14</v>
      </c>
      <c r="BR246" s="456">
        <v>90789.16</v>
      </c>
      <c r="BS246" s="90" t="s">
        <v>268</v>
      </c>
      <c r="BT246" s="90"/>
    </row>
    <row r="247" ht="15.75" customHeight="1">
      <c r="A247" s="444" t="s">
        <v>98</v>
      </c>
      <c r="B247" s="445" t="s">
        <v>5531</v>
      </c>
      <c r="C247" s="559" t="s">
        <v>5532</v>
      </c>
      <c r="D247" s="448">
        <v>6852608.0</v>
      </c>
      <c r="E247" s="447" t="s">
        <v>120</v>
      </c>
      <c r="F247" s="448" t="s">
        <v>54</v>
      </c>
      <c r="G247" s="447" t="s">
        <v>379</v>
      </c>
      <c r="H247" s="447" t="str">
        <f>IFERROR(VLOOKUP(G247,'Cadastro de assessores'!A:B,2,FALSE),"Não Cadastrado")</f>
        <v>18009</v>
      </c>
      <c r="I247" s="447"/>
      <c r="J247" s="49" t="s">
        <v>2318</v>
      </c>
      <c r="K247" s="447" t="s">
        <v>183</v>
      </c>
      <c r="L247" s="470">
        <v>44736.0</v>
      </c>
      <c r="M247" s="470">
        <v>44739.0</v>
      </c>
      <c r="N247" s="446"/>
      <c r="O247" s="446" t="s">
        <v>2356</v>
      </c>
      <c r="P247" s="452">
        <v>0.007</v>
      </c>
      <c r="Q247" s="330" t="s">
        <v>5535</v>
      </c>
      <c r="R247" s="453"/>
      <c r="S247" s="449" t="str">
        <f t="shared" ref="S247:S256" si="25">IF(BC247&lt;=0,"",IF(BC247&lt;=1000000,"Não Qualificado",IF(AND(BC247&gt;1000000,BC247&lt;=10000000),"Qualificado","Profissional")))</f>
        <v>Não Qualificado</v>
      </c>
      <c r="T247" s="449" t="s">
        <v>194</v>
      </c>
      <c r="U247" s="449" t="s">
        <v>3587</v>
      </c>
      <c r="V247" s="449" t="s">
        <v>54</v>
      </c>
      <c r="W247" s="454"/>
      <c r="X247" s="454"/>
      <c r="Y247" s="454"/>
      <c r="Z247" s="454"/>
      <c r="AA247" s="454"/>
      <c r="AB247" s="454"/>
      <c r="AC247" s="454"/>
      <c r="AD247" s="454"/>
      <c r="AE247" s="454"/>
      <c r="AF247" s="454"/>
      <c r="AG247" s="455"/>
      <c r="AH247" s="455"/>
      <c r="AI247" s="455"/>
      <c r="AJ247" s="456"/>
      <c r="AK247" s="456"/>
      <c r="AL247" s="456"/>
      <c r="AM247" s="456"/>
      <c r="AN247" s="456"/>
      <c r="AO247" s="456"/>
      <c r="AP247" s="456"/>
      <c r="AQ247" s="456"/>
      <c r="AR247" s="456"/>
      <c r="AS247" s="456"/>
      <c r="AT247" s="456"/>
      <c r="AU247" s="456"/>
      <c r="AV247" s="456"/>
      <c r="AW247" s="456"/>
      <c r="AX247" s="456"/>
      <c r="AY247" s="456"/>
      <c r="AZ247" s="456"/>
      <c r="BA247" s="456">
        <v>0.0</v>
      </c>
      <c r="BB247" s="456">
        <v>0.0</v>
      </c>
      <c r="BC247" s="456">
        <v>56786.33</v>
      </c>
      <c r="BD247" s="456" t="s">
        <v>377</v>
      </c>
      <c r="BE247" s="456">
        <v>300172.43</v>
      </c>
      <c r="BF247" s="456">
        <v>403955.31</v>
      </c>
      <c r="BG247" s="456">
        <v>407641.8419</v>
      </c>
      <c r="BH247" s="456">
        <v>410925.36</v>
      </c>
      <c r="BI247" s="456">
        <v>210840.96</v>
      </c>
      <c r="BJ247" s="456">
        <v>212748.0</v>
      </c>
      <c r="BK247" s="456">
        <v>214611.3</v>
      </c>
      <c r="BL247" s="456">
        <v>4705.76</v>
      </c>
      <c r="BM247" s="456">
        <v>105.25</v>
      </c>
      <c r="BN247" s="456">
        <v>105.25</v>
      </c>
      <c r="BO247" s="456">
        <v>0.0</v>
      </c>
      <c r="BP247" s="456">
        <v>0.0</v>
      </c>
      <c r="BQ247" s="456">
        <v>0.0</v>
      </c>
      <c r="BR247" s="456">
        <v>0.0</v>
      </c>
      <c r="BS247" s="90">
        <v>0.0</v>
      </c>
      <c r="BT247" s="90"/>
    </row>
    <row r="248" ht="15.75" customHeight="1">
      <c r="A248" s="444" t="s">
        <v>98</v>
      </c>
      <c r="B248" s="445" t="s">
        <v>5540</v>
      </c>
      <c r="C248" s="458" t="s">
        <v>5541</v>
      </c>
      <c r="D248" s="447">
        <v>4898136.0</v>
      </c>
      <c r="E248" s="447" t="s">
        <v>669</v>
      </c>
      <c r="F248" s="447" t="s">
        <v>199</v>
      </c>
      <c r="G248" s="447" t="s">
        <v>669</v>
      </c>
      <c r="H248" s="447" t="str">
        <f>IFERROR(VLOOKUP(G248,'Cadastro de assessores'!A:B,2,FALSE),"Não Cadastrado")</f>
        <v>18986</v>
      </c>
      <c r="I248" s="447"/>
      <c r="J248" s="49" t="s">
        <v>2318</v>
      </c>
      <c r="K248" s="447" t="s">
        <v>183</v>
      </c>
      <c r="L248" s="450">
        <v>44257.0</v>
      </c>
      <c r="M248" s="450">
        <v>44263.0</v>
      </c>
      <c r="N248" s="449"/>
      <c r="O248" s="449" t="s">
        <v>2365</v>
      </c>
      <c r="P248" s="452">
        <v>0.012</v>
      </c>
      <c r="Q248" s="461"/>
      <c r="R248" s="453"/>
      <c r="S248" s="449" t="str">
        <f t="shared" si="25"/>
        <v>Não Qualificado</v>
      </c>
      <c r="T248" s="449" t="s">
        <v>194</v>
      </c>
      <c r="U248" s="449" t="s">
        <v>2343</v>
      </c>
      <c r="V248" s="449" t="s">
        <v>199</v>
      </c>
      <c r="W248" s="455"/>
      <c r="X248" s="455"/>
      <c r="Y248" s="455"/>
      <c r="Z248" s="455"/>
      <c r="AA248" s="455"/>
      <c r="AB248" s="455"/>
      <c r="AC248" s="455"/>
      <c r="AD248" s="455"/>
      <c r="AE248" s="455"/>
      <c r="AF248" s="455"/>
      <c r="AG248" s="455"/>
      <c r="AH248" s="455"/>
      <c r="AI248" s="455"/>
      <c r="AJ248" s="455"/>
      <c r="AK248" s="456"/>
      <c r="AL248" s="456"/>
      <c r="AM248" s="456"/>
      <c r="AN248" s="456">
        <v>213859.75</v>
      </c>
      <c r="AO248" s="456">
        <v>227891.33</v>
      </c>
      <c r="AP248" s="456">
        <v>229004.28</v>
      </c>
      <c r="AQ248" s="456">
        <v>228581.73</v>
      </c>
      <c r="AR248" s="456">
        <v>231621.53</v>
      </c>
      <c r="AS248" s="456">
        <v>251196.5</v>
      </c>
      <c r="AT248" s="456">
        <v>298612.63</v>
      </c>
      <c r="AU248" s="456">
        <v>298243.32</v>
      </c>
      <c r="AV248" s="456">
        <v>296661.82</v>
      </c>
      <c r="AW248" s="456">
        <v>192188.11</v>
      </c>
      <c r="AX248" s="456">
        <v>103681.55</v>
      </c>
      <c r="AY248" s="456">
        <v>105715.15</v>
      </c>
      <c r="AZ248" s="456">
        <v>108456.45</v>
      </c>
      <c r="BA248" s="456">
        <v>109216.83</v>
      </c>
      <c r="BB248" s="456">
        <v>111903.92</v>
      </c>
      <c r="BC248" s="456">
        <v>305046.32</v>
      </c>
      <c r="BD248" s="456">
        <v>112098.12</v>
      </c>
      <c r="BE248" s="456">
        <v>112245.85</v>
      </c>
      <c r="BF248" s="456">
        <v>254771.79</v>
      </c>
      <c r="BG248" s="456">
        <v>256606.2013</v>
      </c>
      <c r="BH248" s="456">
        <v>258293.55</v>
      </c>
      <c r="BI248" s="456">
        <v>262919.7</v>
      </c>
      <c r="BJ248" s="456">
        <v>263647.9</v>
      </c>
      <c r="BK248" s="456">
        <v>265856.44</v>
      </c>
      <c r="BL248" s="456">
        <v>268870.87</v>
      </c>
      <c r="BM248" s="456">
        <v>270873.23</v>
      </c>
      <c r="BN248" s="456">
        <v>213723.32</v>
      </c>
      <c r="BO248" s="456">
        <v>215768.32</v>
      </c>
      <c r="BP248" s="456">
        <v>216330.79</v>
      </c>
      <c r="BQ248" s="456">
        <v>0.0</v>
      </c>
      <c r="BR248" s="456">
        <v>0.0</v>
      </c>
      <c r="BS248" s="90" t="s">
        <v>268</v>
      </c>
      <c r="BT248" s="90"/>
    </row>
    <row r="249" ht="15.75" customHeight="1">
      <c r="A249" s="444" t="s">
        <v>98</v>
      </c>
      <c r="B249" s="445" t="s">
        <v>5547</v>
      </c>
      <c r="C249" s="559" t="s">
        <v>5548</v>
      </c>
      <c r="D249" s="469">
        <v>447631.0</v>
      </c>
      <c r="E249" s="447" t="s">
        <v>120</v>
      </c>
      <c r="F249" s="448" t="s">
        <v>54</v>
      </c>
      <c r="G249" s="447" t="s">
        <v>125</v>
      </c>
      <c r="H249" s="447" t="str">
        <f>IFERROR(VLOOKUP(G249,'Cadastro de assessores'!A:B,2,FALSE),"Não Cadastrado")</f>
        <v>18890</v>
      </c>
      <c r="I249" s="447"/>
      <c r="J249" s="49" t="s">
        <v>2318</v>
      </c>
      <c r="K249" s="447" t="s">
        <v>183</v>
      </c>
      <c r="L249" s="508">
        <v>44476.0</v>
      </c>
      <c r="M249" s="508">
        <v>44473.0</v>
      </c>
      <c r="N249" s="446"/>
      <c r="O249" s="446" t="s">
        <v>2341</v>
      </c>
      <c r="P249" s="452">
        <v>0.015</v>
      </c>
      <c r="Q249" s="330" t="s">
        <v>3145</v>
      </c>
      <c r="R249" s="453"/>
      <c r="S249" s="449" t="str">
        <f t="shared" si="25"/>
        <v/>
      </c>
      <c r="T249" s="449" t="s">
        <v>194</v>
      </c>
      <c r="U249" s="449" t="s">
        <v>3587</v>
      </c>
      <c r="V249" s="449" t="s">
        <v>54</v>
      </c>
      <c r="W249" s="454"/>
      <c r="X249" s="454"/>
      <c r="Y249" s="454"/>
      <c r="Z249" s="454"/>
      <c r="AA249" s="454"/>
      <c r="AB249" s="454"/>
      <c r="AC249" s="454"/>
      <c r="AD249" s="454"/>
      <c r="AE249" s="454"/>
      <c r="AF249" s="454"/>
      <c r="AG249" s="455"/>
      <c r="AH249" s="455"/>
      <c r="AI249" s="455"/>
      <c r="AJ249" s="456"/>
      <c r="AK249" s="456"/>
      <c r="AL249" s="456"/>
      <c r="AM249" s="456"/>
      <c r="AN249" s="456"/>
      <c r="AO249" s="456"/>
      <c r="AP249" s="456"/>
      <c r="AQ249" s="456"/>
      <c r="AR249" s="456"/>
      <c r="AS249" s="456"/>
      <c r="AT249" s="456"/>
      <c r="AU249" s="454"/>
      <c r="AV249" s="456"/>
      <c r="AW249" s="456">
        <v>75208.53</v>
      </c>
      <c r="AX249" s="456">
        <v>75386.11</v>
      </c>
      <c r="AY249" s="456">
        <v>76542.64</v>
      </c>
      <c r="AZ249" s="456">
        <v>80269.21</v>
      </c>
      <c r="BA249" s="456">
        <v>83636.81</v>
      </c>
      <c r="BB249" s="456">
        <v>87786.67</v>
      </c>
      <c r="BC249" s="456">
        <v>0.0</v>
      </c>
      <c r="BD249" s="456">
        <v>95806.68</v>
      </c>
      <c r="BE249" s="456">
        <v>97821.26</v>
      </c>
      <c r="BF249" s="456">
        <v>100812.05</v>
      </c>
      <c r="BG249" s="456">
        <v>103600.3258</v>
      </c>
      <c r="BH249" s="456">
        <v>107991.71</v>
      </c>
      <c r="BI249" s="456">
        <v>114842.49</v>
      </c>
      <c r="BJ249" s="456">
        <v>117385.72</v>
      </c>
      <c r="BK249" s="456">
        <v>121370.72</v>
      </c>
      <c r="BL249" s="456">
        <v>24695.4</v>
      </c>
      <c r="BM249" s="456">
        <v>108.74</v>
      </c>
      <c r="BN249" s="456">
        <v>14.15</v>
      </c>
      <c r="BO249" s="456">
        <v>74.58</v>
      </c>
      <c r="BP249" s="456">
        <v>75.18</v>
      </c>
      <c r="BQ249" s="456">
        <v>75.55</v>
      </c>
      <c r="BR249" s="456">
        <v>76.13</v>
      </c>
      <c r="BS249" s="90">
        <v>0.0</v>
      </c>
      <c r="BT249" s="90"/>
    </row>
    <row r="250" ht="15.75" customHeight="1">
      <c r="A250" s="444" t="s">
        <v>98</v>
      </c>
      <c r="B250" s="445" t="s">
        <v>5553</v>
      </c>
      <c r="C250" s="458" t="s">
        <v>5554</v>
      </c>
      <c r="D250" s="449">
        <v>4396977.0</v>
      </c>
      <c r="E250" s="447" t="s">
        <v>120</v>
      </c>
      <c r="F250" s="447" t="s">
        <v>199</v>
      </c>
      <c r="G250" s="447" t="s">
        <v>1108</v>
      </c>
      <c r="H250" s="447" t="str">
        <f>IFERROR(VLOOKUP(G250,'Cadastro de assessores'!A:B,2,FALSE),"Não Cadastrado")</f>
        <v>18836</v>
      </c>
      <c r="I250" s="447"/>
      <c r="J250" s="49" t="s">
        <v>2318</v>
      </c>
      <c r="K250" s="449" t="s">
        <v>295</v>
      </c>
      <c r="L250" s="450">
        <v>44078.0</v>
      </c>
      <c r="M250" s="450">
        <v>44085.0</v>
      </c>
      <c r="N250" s="449"/>
      <c r="O250" s="449" t="s">
        <v>2319</v>
      </c>
      <c r="P250" s="452">
        <v>0.02</v>
      </c>
      <c r="Q250" s="461"/>
      <c r="R250" s="453"/>
      <c r="S250" s="449" t="str">
        <f t="shared" si="25"/>
        <v>Não Qualificado</v>
      </c>
      <c r="T250" s="449" t="s">
        <v>194</v>
      </c>
      <c r="U250" s="449" t="s">
        <v>5557</v>
      </c>
      <c r="V250" s="449" t="s">
        <v>475</v>
      </c>
      <c r="W250" s="455" t="s">
        <v>2344</v>
      </c>
      <c r="X250" s="455" t="s">
        <v>2344</v>
      </c>
      <c r="Y250" s="455" t="s">
        <v>2344</v>
      </c>
      <c r="Z250" s="455" t="s">
        <v>2344</v>
      </c>
      <c r="AA250" s="455" t="s">
        <v>2344</v>
      </c>
      <c r="AB250" s="455" t="s">
        <v>2344</v>
      </c>
      <c r="AC250" s="455" t="s">
        <v>2344</v>
      </c>
      <c r="AD250" s="455" t="s">
        <v>2344</v>
      </c>
      <c r="AE250" s="455" t="s">
        <v>2344</v>
      </c>
      <c r="AF250" s="455" t="s">
        <v>2344</v>
      </c>
      <c r="AG250" s="455" t="s">
        <v>2344</v>
      </c>
      <c r="AH250" s="455" t="s">
        <v>5558</v>
      </c>
      <c r="AI250" s="455" t="s">
        <v>5559</v>
      </c>
      <c r="AJ250" s="455" t="s">
        <v>5560</v>
      </c>
      <c r="AK250" s="456">
        <v>108361.82</v>
      </c>
      <c r="AL250" s="456">
        <v>106027.27</v>
      </c>
      <c r="AM250" s="456">
        <v>99507.34</v>
      </c>
      <c r="AN250" s="456">
        <v>99201.75</v>
      </c>
      <c r="AO250" s="456">
        <v>103250.27</v>
      </c>
      <c r="AP250" s="456">
        <v>103942.39</v>
      </c>
      <c r="AQ250" s="456">
        <v>103419.34</v>
      </c>
      <c r="AR250" s="456">
        <v>106481.19</v>
      </c>
      <c r="AS250" s="456">
        <v>916.79</v>
      </c>
      <c r="AT250" s="456">
        <v>915.25</v>
      </c>
      <c r="AU250" s="456">
        <v>913.71</v>
      </c>
      <c r="AV250" s="456">
        <v>331.02</v>
      </c>
      <c r="AW250" s="456">
        <v>910.84</v>
      </c>
      <c r="AX250" s="456">
        <v>909.44</v>
      </c>
      <c r="AY250" s="456">
        <v>907.83</v>
      </c>
      <c r="AZ250" s="456">
        <v>906.36</v>
      </c>
      <c r="BA250" s="456">
        <v>905.03</v>
      </c>
      <c r="BB250" s="456">
        <v>903.49</v>
      </c>
      <c r="BC250" s="456">
        <v>138438.39</v>
      </c>
      <c r="BD250" s="456">
        <v>666.26</v>
      </c>
      <c r="BE250" s="456">
        <v>671.51</v>
      </c>
      <c r="BF250" s="456">
        <v>676.37</v>
      </c>
      <c r="BG250" s="456">
        <v>682.24</v>
      </c>
      <c r="BH250" s="456">
        <v>687.4</v>
      </c>
      <c r="BI250" s="456">
        <v>693.24</v>
      </c>
      <c r="BJ250" s="456">
        <v>707.94</v>
      </c>
      <c r="BK250" s="456">
        <v>713.13</v>
      </c>
      <c r="BL250" s="456">
        <v>719.79</v>
      </c>
      <c r="BM250" s="456">
        <v>724.86</v>
      </c>
      <c r="BN250" s="456">
        <v>726.96</v>
      </c>
      <c r="BO250" s="456">
        <v>726.96</v>
      </c>
      <c r="BP250" s="456">
        <v>726.96</v>
      </c>
      <c r="BQ250" s="456">
        <v>726.96</v>
      </c>
      <c r="BR250" s="456">
        <v>726.96</v>
      </c>
      <c r="BS250" s="90">
        <v>0.0</v>
      </c>
      <c r="BT250" s="90"/>
    </row>
    <row r="251" ht="15.75" customHeight="1">
      <c r="A251" s="444" t="s">
        <v>98</v>
      </c>
      <c r="B251" s="445" t="s">
        <v>5564</v>
      </c>
      <c r="C251" s="458" t="s">
        <v>5565</v>
      </c>
      <c r="D251" s="449">
        <v>4551730.0</v>
      </c>
      <c r="E251" s="447" t="s">
        <v>120</v>
      </c>
      <c r="F251" s="447" t="s">
        <v>199</v>
      </c>
      <c r="G251" s="447" t="s">
        <v>1914</v>
      </c>
      <c r="H251" s="447">
        <f>IFERROR(VLOOKUP(G251,'Cadastro de assessores'!A:B,2,FALSE),"Não Cadastrado")</f>
        <v>12359</v>
      </c>
      <c r="I251" s="447"/>
      <c r="J251" s="49" t="s">
        <v>2318</v>
      </c>
      <c r="K251" s="447" t="s">
        <v>183</v>
      </c>
      <c r="L251" s="450">
        <v>44138.0</v>
      </c>
      <c r="M251" s="450">
        <v>44138.0</v>
      </c>
      <c r="N251" s="449"/>
      <c r="O251" s="449" t="s">
        <v>2365</v>
      </c>
      <c r="P251" s="452">
        <v>0.012</v>
      </c>
      <c r="Q251" s="461" t="s">
        <v>3049</v>
      </c>
      <c r="R251" s="453"/>
      <c r="S251" s="449" t="str">
        <f t="shared" si="25"/>
        <v>Não Qualificado</v>
      </c>
      <c r="T251" s="449" t="s">
        <v>194</v>
      </c>
      <c r="U251" s="449" t="s">
        <v>3672</v>
      </c>
      <c r="V251" s="449" t="s">
        <v>199</v>
      </c>
      <c r="W251" s="455" t="s">
        <v>2344</v>
      </c>
      <c r="X251" s="455" t="s">
        <v>2344</v>
      </c>
      <c r="Y251" s="455" t="s">
        <v>2344</v>
      </c>
      <c r="Z251" s="455" t="s">
        <v>2344</v>
      </c>
      <c r="AA251" s="455" t="s">
        <v>2344</v>
      </c>
      <c r="AB251" s="455" t="s">
        <v>2344</v>
      </c>
      <c r="AC251" s="455" t="s">
        <v>2344</v>
      </c>
      <c r="AD251" s="455" t="s">
        <v>2344</v>
      </c>
      <c r="AE251" s="455" t="s">
        <v>2344</v>
      </c>
      <c r="AF251" s="455" t="s">
        <v>2344</v>
      </c>
      <c r="AG251" s="455" t="s">
        <v>2344</v>
      </c>
      <c r="AH251" s="455" t="s">
        <v>2344</v>
      </c>
      <c r="AI251" s="455" t="s">
        <v>5570</v>
      </c>
      <c r="AJ251" s="455" t="s">
        <v>5571</v>
      </c>
      <c r="AK251" s="456">
        <v>104325.2</v>
      </c>
      <c r="AL251" s="456">
        <v>103528.66</v>
      </c>
      <c r="AM251" s="456">
        <v>101829.66</v>
      </c>
      <c r="AN251" s="456">
        <v>101641.3</v>
      </c>
      <c r="AO251" s="456">
        <v>101946.93</v>
      </c>
      <c r="AP251" s="456">
        <v>103118.12</v>
      </c>
      <c r="AQ251" s="456">
        <v>102889.13</v>
      </c>
      <c r="AR251" s="456">
        <v>104117.18</v>
      </c>
      <c r="AS251" s="456">
        <v>103819.22</v>
      </c>
      <c r="AT251" s="456">
        <v>102900.17</v>
      </c>
      <c r="AU251" s="456">
        <v>102724.46</v>
      </c>
      <c r="AV251" s="456">
        <v>101911.75</v>
      </c>
      <c r="AW251" s="456">
        <v>100103.84</v>
      </c>
      <c r="AX251" s="456">
        <v>100693.53</v>
      </c>
      <c r="AY251" s="456">
        <v>101810.18</v>
      </c>
      <c r="AZ251" s="456">
        <v>102941.52</v>
      </c>
      <c r="BA251" s="456">
        <v>103727.51</v>
      </c>
      <c r="BB251" s="456">
        <v>106374.41</v>
      </c>
      <c r="BC251" s="456">
        <v>131.88</v>
      </c>
      <c r="BD251" s="456">
        <v>74690.01</v>
      </c>
      <c r="BE251" s="456">
        <v>28868.39</v>
      </c>
      <c r="BF251" s="456">
        <v>29350.47</v>
      </c>
      <c r="BG251" s="456">
        <v>24467.26</v>
      </c>
      <c r="BH251" s="456">
        <v>4657.47</v>
      </c>
      <c r="BI251" s="456">
        <v>4686.49</v>
      </c>
      <c r="BJ251" s="456">
        <v>4660.13</v>
      </c>
      <c r="BK251" s="456">
        <v>4696.13</v>
      </c>
      <c r="BL251" s="456">
        <v>4846.39</v>
      </c>
      <c r="BM251" s="456">
        <v>4911.36</v>
      </c>
      <c r="BN251" s="456">
        <v>0.0</v>
      </c>
      <c r="BO251" s="456">
        <v>0.0</v>
      </c>
      <c r="BP251" s="456">
        <v>0.0</v>
      </c>
      <c r="BQ251" s="456">
        <v>0.0</v>
      </c>
      <c r="BR251" s="456">
        <v>0.0</v>
      </c>
      <c r="BS251" s="90">
        <v>0.0</v>
      </c>
      <c r="BT251" s="90"/>
    </row>
    <row r="252" ht="15.75" customHeight="1">
      <c r="A252" s="444" t="s">
        <v>98</v>
      </c>
      <c r="B252" s="445" t="s">
        <v>5572</v>
      </c>
      <c r="C252" s="458" t="s">
        <v>891</v>
      </c>
      <c r="D252" s="449">
        <v>4416642.0</v>
      </c>
      <c r="E252" s="447" t="s">
        <v>255</v>
      </c>
      <c r="F252" s="447" t="s">
        <v>199</v>
      </c>
      <c r="G252" s="447" t="s">
        <v>3885</v>
      </c>
      <c r="H252" s="447" t="str">
        <f>IFERROR(VLOOKUP(G252,'Cadastro de assessores'!A:B,2,FALSE),"Não Cadastrado")</f>
        <v>17243</v>
      </c>
      <c r="I252" s="447"/>
      <c r="J252" s="49" t="s">
        <v>2318</v>
      </c>
      <c r="K252" s="449" t="s">
        <v>183</v>
      </c>
      <c r="L252" s="450">
        <v>44069.0</v>
      </c>
      <c r="M252" s="450">
        <v>44074.0</v>
      </c>
      <c r="N252" s="449"/>
      <c r="O252" s="449" t="s">
        <v>2319</v>
      </c>
      <c r="P252" s="452">
        <v>0.02</v>
      </c>
      <c r="Q252" s="461"/>
      <c r="R252" s="453"/>
      <c r="S252" s="449" t="str">
        <f t="shared" si="25"/>
        <v>Não Qualificado</v>
      </c>
      <c r="T252" s="449" t="s">
        <v>194</v>
      </c>
      <c r="U252" s="449" t="s">
        <v>2383</v>
      </c>
      <c r="V252" s="449" t="s">
        <v>199</v>
      </c>
      <c r="W252" s="455" t="s">
        <v>2344</v>
      </c>
      <c r="X252" s="455" t="s">
        <v>2344</v>
      </c>
      <c r="Y252" s="455" t="s">
        <v>2344</v>
      </c>
      <c r="Z252" s="455" t="s">
        <v>2344</v>
      </c>
      <c r="AA252" s="455" t="s">
        <v>2344</v>
      </c>
      <c r="AB252" s="455" t="s">
        <v>2344</v>
      </c>
      <c r="AC252" s="455" t="s">
        <v>2344</v>
      </c>
      <c r="AD252" s="455" t="s">
        <v>2344</v>
      </c>
      <c r="AE252" s="455" t="s">
        <v>2344</v>
      </c>
      <c r="AF252" s="455" t="s">
        <v>2344</v>
      </c>
      <c r="AG252" s="455" t="s">
        <v>5573</v>
      </c>
      <c r="AH252" s="455" t="s">
        <v>5574</v>
      </c>
      <c r="AI252" s="455" t="s">
        <v>5575</v>
      </c>
      <c r="AJ252" s="455" t="s">
        <v>5576</v>
      </c>
      <c r="AK252" s="456">
        <v>316805.16</v>
      </c>
      <c r="AL252" s="456">
        <v>320204.33</v>
      </c>
      <c r="AM252" s="456">
        <v>292250.15</v>
      </c>
      <c r="AN252" s="456">
        <v>290704.92</v>
      </c>
      <c r="AO252" s="456">
        <v>303938.2</v>
      </c>
      <c r="AP252" s="456">
        <v>306405.89</v>
      </c>
      <c r="AQ252" s="456">
        <v>304462.66</v>
      </c>
      <c r="AR252" s="456">
        <v>315061.71</v>
      </c>
      <c r="AS252" s="456">
        <v>309980.21</v>
      </c>
      <c r="AT252" s="456">
        <v>300664.49</v>
      </c>
      <c r="AU252" s="456">
        <v>298597.45</v>
      </c>
      <c r="AV252" s="456">
        <v>289212.87</v>
      </c>
      <c r="AW252" s="456">
        <v>274144.36</v>
      </c>
      <c r="AX252" s="456">
        <v>273280.43</v>
      </c>
      <c r="AY252" s="456">
        <v>277827.08</v>
      </c>
      <c r="AZ252" s="456">
        <v>290302.11</v>
      </c>
      <c r="BA252" s="456">
        <v>292716.25</v>
      </c>
      <c r="BB252" s="456">
        <v>350.96</v>
      </c>
      <c r="BC252" s="456">
        <v>3815.39</v>
      </c>
      <c r="BD252" s="456">
        <v>376.99</v>
      </c>
      <c r="BE252" s="456">
        <v>376.99</v>
      </c>
      <c r="BF252" s="456">
        <v>377.0</v>
      </c>
      <c r="BG252" s="456">
        <v>377.0</v>
      </c>
      <c r="BH252" s="456">
        <v>377.0</v>
      </c>
      <c r="BI252" s="456">
        <v>377.0</v>
      </c>
      <c r="BJ252" s="456">
        <v>377.0</v>
      </c>
      <c r="BK252" s="456">
        <v>377.0</v>
      </c>
      <c r="BL252" s="456">
        <v>377.0</v>
      </c>
      <c r="BM252" s="456">
        <v>377.0</v>
      </c>
      <c r="BN252" s="456">
        <v>377.0</v>
      </c>
      <c r="BO252" s="456">
        <v>377.0</v>
      </c>
      <c r="BP252" s="456">
        <v>377.0</v>
      </c>
      <c r="BQ252" s="456">
        <v>377.0</v>
      </c>
      <c r="BR252" s="456">
        <v>377.0</v>
      </c>
      <c r="BS252" s="90">
        <v>0.0</v>
      </c>
      <c r="BT252" s="90"/>
    </row>
    <row r="253" ht="15.75" customHeight="1">
      <c r="A253" s="444" t="s">
        <v>98</v>
      </c>
      <c r="B253" s="445" t="s">
        <v>5585</v>
      </c>
      <c r="C253" s="458" t="s">
        <v>5586</v>
      </c>
      <c r="D253" s="449">
        <v>4413569.0</v>
      </c>
      <c r="E253" s="447" t="s">
        <v>255</v>
      </c>
      <c r="F253" s="447" t="s">
        <v>199</v>
      </c>
      <c r="G253" s="447" t="s">
        <v>3606</v>
      </c>
      <c r="H253" s="447" t="str">
        <f>IFERROR(VLOOKUP(G253,'Cadastro de assessores'!A:B,2,FALSE),"Não Cadastrado")</f>
        <v>16459</v>
      </c>
      <c r="I253" s="447"/>
      <c r="J253" s="49" t="s">
        <v>2318</v>
      </c>
      <c r="K253" s="447" t="s">
        <v>183</v>
      </c>
      <c r="L253" s="450">
        <v>44070.0</v>
      </c>
      <c r="M253" s="450">
        <v>44075.0</v>
      </c>
      <c r="N253" s="446"/>
      <c r="O253" s="446" t="s">
        <v>2452</v>
      </c>
      <c r="P253" s="452">
        <v>0.015</v>
      </c>
      <c r="Q253" s="461" t="s">
        <v>5589</v>
      </c>
      <c r="R253" s="453"/>
      <c r="S253" s="449" t="str">
        <f t="shared" si="25"/>
        <v/>
      </c>
      <c r="T253" s="449" t="s">
        <v>194</v>
      </c>
      <c r="U253" s="449" t="s">
        <v>2343</v>
      </c>
      <c r="V253" s="449" t="s">
        <v>199</v>
      </c>
      <c r="W253" s="455" t="s">
        <v>2344</v>
      </c>
      <c r="X253" s="455" t="s">
        <v>2344</v>
      </c>
      <c r="Y253" s="455" t="s">
        <v>2344</v>
      </c>
      <c r="Z253" s="455" t="s">
        <v>2344</v>
      </c>
      <c r="AA253" s="455" t="s">
        <v>2344</v>
      </c>
      <c r="AB253" s="455" t="s">
        <v>2344</v>
      </c>
      <c r="AC253" s="455" t="s">
        <v>2344</v>
      </c>
      <c r="AD253" s="455" t="s">
        <v>2344</v>
      </c>
      <c r="AE253" s="455" t="s">
        <v>2344</v>
      </c>
      <c r="AF253" s="455" t="s">
        <v>2344</v>
      </c>
      <c r="AG253" s="455" t="s">
        <v>5590</v>
      </c>
      <c r="AH253" s="455" t="s">
        <v>5591</v>
      </c>
      <c r="AI253" s="455" t="s">
        <v>5592</v>
      </c>
      <c r="AJ253" s="455" t="s">
        <v>5593</v>
      </c>
      <c r="AK253" s="456">
        <v>326603.8</v>
      </c>
      <c r="AL253" s="456">
        <v>320724.36</v>
      </c>
      <c r="AM253" s="456">
        <v>505636.79</v>
      </c>
      <c r="AN253" s="456">
        <v>504844.17</v>
      </c>
      <c r="AO253" s="456">
        <v>521223.31</v>
      </c>
      <c r="AP253" s="456">
        <v>522952.55</v>
      </c>
      <c r="AQ253" s="456">
        <v>524754.6</v>
      </c>
      <c r="AR253" s="456">
        <v>516944.59</v>
      </c>
      <c r="AS253" s="456">
        <v>511639.98</v>
      </c>
      <c r="AT253" s="456">
        <v>521775.51</v>
      </c>
      <c r="AU253" s="456">
        <v>508024.5</v>
      </c>
      <c r="AV253" s="456">
        <v>504018.63</v>
      </c>
      <c r="AW253" s="456">
        <v>497706.63</v>
      </c>
      <c r="AX253" s="456">
        <v>472335.95</v>
      </c>
      <c r="AY253" s="456">
        <v>503396.0</v>
      </c>
      <c r="AZ253" s="456">
        <v>505067.39</v>
      </c>
      <c r="BA253" s="456">
        <v>505212.17</v>
      </c>
      <c r="BB253" s="456">
        <v>510319.17</v>
      </c>
      <c r="BC253" s="456">
        <v>0.0</v>
      </c>
      <c r="BD253" s="456">
        <v>514937.94</v>
      </c>
      <c r="BE253" s="456">
        <v>515064.75</v>
      </c>
      <c r="BF253" s="456">
        <v>521460.78</v>
      </c>
      <c r="BG253" s="456">
        <v>535165.74</v>
      </c>
      <c r="BH253" s="456">
        <v>534559.59</v>
      </c>
      <c r="BI253" s="456">
        <v>539507.31</v>
      </c>
      <c r="BJ253" s="456">
        <v>523437.45</v>
      </c>
      <c r="BK253" s="456">
        <v>521955.0</v>
      </c>
      <c r="BL253" s="456">
        <v>524345.02</v>
      </c>
      <c r="BM253" s="456">
        <v>521396.21</v>
      </c>
      <c r="BN253" s="456">
        <v>481968.84</v>
      </c>
      <c r="BO253" s="456">
        <v>495760.99</v>
      </c>
      <c r="BP253" s="456">
        <v>0.0</v>
      </c>
      <c r="BQ253" s="456">
        <v>0.0</v>
      </c>
      <c r="BR253" s="456">
        <v>0.0</v>
      </c>
      <c r="BS253" s="90" t="s">
        <v>268</v>
      </c>
      <c r="BT253" s="90"/>
    </row>
    <row r="254" ht="15.75" customHeight="1">
      <c r="A254" s="444" t="s">
        <v>98</v>
      </c>
      <c r="B254" s="445" t="s">
        <v>5585</v>
      </c>
      <c r="C254" s="458" t="s">
        <v>5586</v>
      </c>
      <c r="D254" s="449">
        <v>4307232.0</v>
      </c>
      <c r="E254" s="447" t="s">
        <v>255</v>
      </c>
      <c r="F254" s="447" t="s">
        <v>199</v>
      </c>
      <c r="G254" s="447" t="s">
        <v>3606</v>
      </c>
      <c r="H254" s="447" t="str">
        <f>IFERROR(VLOOKUP(G254,'Cadastro de assessores'!A:B,2,FALSE),"Não Cadastrado")</f>
        <v>16459</v>
      </c>
      <c r="I254" s="447"/>
      <c r="J254" s="49" t="s">
        <v>2318</v>
      </c>
      <c r="K254" s="447" t="s">
        <v>183</v>
      </c>
      <c r="L254" s="450">
        <v>44050.0</v>
      </c>
      <c r="M254" s="450">
        <v>44054.0</v>
      </c>
      <c r="N254" s="449"/>
      <c r="O254" s="449" t="s">
        <v>2372</v>
      </c>
      <c r="P254" s="452">
        <v>0.025</v>
      </c>
      <c r="Q254" s="461"/>
      <c r="R254" s="453"/>
      <c r="S254" s="449" t="str">
        <f t="shared" si="25"/>
        <v>Não Qualificado</v>
      </c>
      <c r="T254" s="449" t="s">
        <v>194</v>
      </c>
      <c r="U254" s="449" t="s">
        <v>2343</v>
      </c>
      <c r="V254" s="449" t="s">
        <v>199</v>
      </c>
      <c r="W254" s="455" t="s">
        <v>2344</v>
      </c>
      <c r="X254" s="455" t="s">
        <v>2344</v>
      </c>
      <c r="Y254" s="455" t="s">
        <v>2344</v>
      </c>
      <c r="Z254" s="455" t="s">
        <v>2344</v>
      </c>
      <c r="AA254" s="455" t="s">
        <v>2344</v>
      </c>
      <c r="AB254" s="455" t="s">
        <v>2344</v>
      </c>
      <c r="AC254" s="455" t="s">
        <v>2344</v>
      </c>
      <c r="AD254" s="455" t="s">
        <v>2344</v>
      </c>
      <c r="AE254" s="455" t="s">
        <v>2344</v>
      </c>
      <c r="AF254" s="455" t="s">
        <v>2344</v>
      </c>
      <c r="AG254" s="455" t="s">
        <v>5598</v>
      </c>
      <c r="AH254" s="455" t="s">
        <v>5599</v>
      </c>
      <c r="AI254" s="455" t="s">
        <v>5600</v>
      </c>
      <c r="AJ254" s="455" t="s">
        <v>5601</v>
      </c>
      <c r="AK254" s="456">
        <v>672695.11</v>
      </c>
      <c r="AL254" s="456">
        <v>641883.52</v>
      </c>
      <c r="AM254" s="456">
        <v>882055.87</v>
      </c>
      <c r="AN254" s="456">
        <v>879186.38</v>
      </c>
      <c r="AO254" s="456">
        <v>956056.79</v>
      </c>
      <c r="AP254" s="456">
        <v>968801.99</v>
      </c>
      <c r="AQ254" s="456">
        <v>958806.26</v>
      </c>
      <c r="AR254" s="456">
        <v>1013491.45</v>
      </c>
      <c r="AS254" s="456">
        <v>990056.97</v>
      </c>
      <c r="AT254" s="456">
        <v>937261.89</v>
      </c>
      <c r="AU254" s="456">
        <v>916777.25</v>
      </c>
      <c r="AV254" s="456">
        <v>865336.39</v>
      </c>
      <c r="AW254" s="456">
        <v>798654.95</v>
      </c>
      <c r="AX254" s="456">
        <v>791193.15</v>
      </c>
      <c r="AY254" s="456">
        <v>806349.97</v>
      </c>
      <c r="AZ254" s="456">
        <v>864281.01</v>
      </c>
      <c r="BA254" s="456">
        <v>873342.86</v>
      </c>
      <c r="BB254" s="456">
        <v>935367.44</v>
      </c>
      <c r="BC254" s="456">
        <v>6148.19</v>
      </c>
      <c r="BD254" s="456">
        <v>877408.92</v>
      </c>
      <c r="BE254" s="456">
        <v>832817.92</v>
      </c>
      <c r="BF254" s="456">
        <v>880636.02</v>
      </c>
      <c r="BG254" s="456">
        <v>889378.6144</v>
      </c>
      <c r="BH254" s="456">
        <v>880060.1</v>
      </c>
      <c r="BI254" s="456">
        <v>969052.79</v>
      </c>
      <c r="BJ254" s="456">
        <v>944751.47</v>
      </c>
      <c r="BK254" s="456">
        <v>941216.41</v>
      </c>
      <c r="BL254" s="456">
        <v>956968.09</v>
      </c>
      <c r="BM254" s="456">
        <v>918822.71</v>
      </c>
      <c r="BN254" s="456">
        <v>725122.22</v>
      </c>
      <c r="BO254" s="456">
        <v>0.0</v>
      </c>
      <c r="BP254" s="456">
        <v>0.0</v>
      </c>
      <c r="BQ254" s="456">
        <v>0.0</v>
      </c>
      <c r="BR254" s="456">
        <v>0.0</v>
      </c>
      <c r="BS254" s="90">
        <v>0.0</v>
      </c>
      <c r="BT254" s="90"/>
    </row>
    <row r="255" ht="15.75" customHeight="1">
      <c r="A255" s="444" t="s">
        <v>98</v>
      </c>
      <c r="B255" s="445" t="s">
        <v>5603</v>
      </c>
      <c r="C255" s="458" t="s">
        <v>5604</v>
      </c>
      <c r="D255" s="449">
        <v>4871016.0</v>
      </c>
      <c r="E255" s="449" t="s">
        <v>120</v>
      </c>
      <c r="F255" s="449" t="s">
        <v>54</v>
      </c>
      <c r="G255" s="449" t="s">
        <v>379</v>
      </c>
      <c r="H255" s="449" t="str">
        <f>IFERROR(VLOOKUP(G255,'Cadastro de assessores'!A:B,2,FALSE),"Não Cadastrado")</f>
        <v>18009</v>
      </c>
      <c r="I255" s="449"/>
      <c r="J255" s="49" t="s">
        <v>224</v>
      </c>
      <c r="K255" s="449" t="s">
        <v>2340</v>
      </c>
      <c r="L255" s="698" t="s">
        <v>3320</v>
      </c>
      <c r="M255" s="460">
        <v>44252.0</v>
      </c>
      <c r="N255" s="459">
        <v>44524.0</v>
      </c>
      <c r="O255" s="449" t="s">
        <v>2372</v>
      </c>
      <c r="P255" s="452">
        <v>0.025</v>
      </c>
      <c r="Q255" s="461" t="s">
        <v>3691</v>
      </c>
      <c r="R255" s="453"/>
      <c r="S255" s="449" t="str">
        <f t="shared" si="25"/>
        <v>Não Qualificado</v>
      </c>
      <c r="T255" s="449" t="s">
        <v>194</v>
      </c>
      <c r="U255" s="449" t="s">
        <v>5606</v>
      </c>
      <c r="V255" s="449" t="s">
        <v>221</v>
      </c>
      <c r="W255" s="455"/>
      <c r="X255" s="455"/>
      <c r="Y255" s="455"/>
      <c r="Z255" s="455"/>
      <c r="AA255" s="455"/>
      <c r="AB255" s="455"/>
      <c r="AC255" s="455"/>
      <c r="AD255" s="455"/>
      <c r="AE255" s="455"/>
      <c r="AF255" s="455"/>
      <c r="AG255" s="455"/>
      <c r="AH255" s="455"/>
      <c r="AI255" s="455"/>
      <c r="AJ255" s="455"/>
      <c r="AK255" s="456"/>
      <c r="AL255" s="456"/>
      <c r="AM255" s="456">
        <v>114552.61</v>
      </c>
      <c r="AN255" s="456">
        <v>114579.69</v>
      </c>
      <c r="AO255" s="456">
        <v>123286.79</v>
      </c>
      <c r="AP255" s="456">
        <v>125349.58</v>
      </c>
      <c r="AQ255" s="456">
        <v>123934.44</v>
      </c>
      <c r="AR255" s="456">
        <v>131002.6</v>
      </c>
      <c r="AS255" s="456">
        <v>150834.06</v>
      </c>
      <c r="AT255" s="456">
        <v>141603.69</v>
      </c>
      <c r="AU255" s="456">
        <v>142019.92</v>
      </c>
      <c r="AV255" s="456">
        <v>133667.67</v>
      </c>
      <c r="AW255" s="456">
        <v>128016.92</v>
      </c>
      <c r="AX255" s="456">
        <v>125890.55</v>
      </c>
      <c r="AY255" s="456"/>
      <c r="AZ255" s="456"/>
      <c r="BA255" s="456">
        <v>0.0</v>
      </c>
      <c r="BB255" s="456">
        <v>0.0</v>
      </c>
      <c r="BC255" s="456">
        <v>871216.64</v>
      </c>
      <c r="BD255" s="456" t="s">
        <v>377</v>
      </c>
      <c r="BE255" s="456" t="s">
        <v>377</v>
      </c>
      <c r="BF255" s="456">
        <v>0.0</v>
      </c>
      <c r="BG255" s="456">
        <v>0.0</v>
      </c>
      <c r="BH255" s="456">
        <v>0.0</v>
      </c>
      <c r="BI255" s="456">
        <v>0.0</v>
      </c>
      <c r="BJ255" s="456">
        <v>0.0</v>
      </c>
      <c r="BK255" s="456">
        <v>0.0</v>
      </c>
      <c r="BL255" s="456">
        <v>0.0</v>
      </c>
      <c r="BM255" s="456">
        <v>0.0</v>
      </c>
      <c r="BN255" s="456">
        <v>0.0</v>
      </c>
      <c r="BO255" s="456">
        <v>0.0</v>
      </c>
      <c r="BP255" s="456">
        <v>0.0</v>
      </c>
      <c r="BQ255" s="456">
        <v>0.0</v>
      </c>
      <c r="BR255" s="456">
        <v>0.0</v>
      </c>
      <c r="BS255" s="90" t="s">
        <v>268</v>
      </c>
      <c r="BT255" s="90"/>
    </row>
    <row r="256" ht="15.75" customHeight="1">
      <c r="A256" s="444" t="s">
        <v>98</v>
      </c>
      <c r="B256" s="445" t="s">
        <v>5610</v>
      </c>
      <c r="C256" s="458" t="s">
        <v>5611</v>
      </c>
      <c r="D256" s="449">
        <v>4461684.0</v>
      </c>
      <c r="E256" s="447" t="s">
        <v>669</v>
      </c>
      <c r="F256" s="447" t="s">
        <v>199</v>
      </c>
      <c r="G256" s="447" t="s">
        <v>669</v>
      </c>
      <c r="H256" s="447" t="str">
        <f>IFERROR(VLOOKUP(G256,'Cadastro de assessores'!A:B,2,FALSE),"Não Cadastrado")</f>
        <v>18986</v>
      </c>
      <c r="I256" s="447"/>
      <c r="J256" s="49" t="s">
        <v>2318</v>
      </c>
      <c r="K256" s="447" t="s">
        <v>183</v>
      </c>
      <c r="L256" s="451">
        <v>44117.0</v>
      </c>
      <c r="M256" s="451">
        <v>44118.0</v>
      </c>
      <c r="N256" s="449"/>
      <c r="O256" s="449" t="s">
        <v>2365</v>
      </c>
      <c r="P256" s="452">
        <v>0.012</v>
      </c>
      <c r="Q256" s="461"/>
      <c r="R256" s="453"/>
      <c r="S256" s="449" t="str">
        <f t="shared" si="25"/>
        <v>Não Qualificado</v>
      </c>
      <c r="T256" s="449" t="s">
        <v>194</v>
      </c>
      <c r="U256" s="449" t="s">
        <v>2383</v>
      </c>
      <c r="V256" s="449" t="s">
        <v>199</v>
      </c>
      <c r="W256" s="455" t="s">
        <v>2344</v>
      </c>
      <c r="X256" s="455" t="s">
        <v>2344</v>
      </c>
      <c r="Y256" s="455" t="s">
        <v>2344</v>
      </c>
      <c r="Z256" s="455" t="s">
        <v>2344</v>
      </c>
      <c r="AA256" s="455" t="s">
        <v>2344</v>
      </c>
      <c r="AB256" s="455" t="s">
        <v>2344</v>
      </c>
      <c r="AC256" s="455" t="s">
        <v>2344</v>
      </c>
      <c r="AD256" s="455" t="s">
        <v>2344</v>
      </c>
      <c r="AE256" s="455" t="s">
        <v>2344</v>
      </c>
      <c r="AF256" s="455" t="s">
        <v>2344</v>
      </c>
      <c r="AG256" s="455" t="s">
        <v>2344</v>
      </c>
      <c r="AH256" s="455" t="s">
        <v>2344</v>
      </c>
      <c r="AI256" s="455" t="s">
        <v>5612</v>
      </c>
      <c r="AJ256" s="455" t="s">
        <v>5613</v>
      </c>
      <c r="AK256" s="456">
        <v>932457.92</v>
      </c>
      <c r="AL256" s="456">
        <v>925867.44</v>
      </c>
      <c r="AM256" s="456">
        <v>911967.73</v>
      </c>
      <c r="AN256" s="456">
        <v>911515.4</v>
      </c>
      <c r="AO256" s="456">
        <v>923584.84</v>
      </c>
      <c r="AP256" s="456">
        <v>925710.06</v>
      </c>
      <c r="AQ256" s="456">
        <v>923681.81</v>
      </c>
      <c r="AR256" s="456">
        <v>936335.73</v>
      </c>
      <c r="AS256" s="456">
        <v>934276.86</v>
      </c>
      <c r="AT256" s="456">
        <v>926058.1</v>
      </c>
      <c r="AU256" s="456">
        <v>925111.7</v>
      </c>
      <c r="AV256" s="456">
        <v>918846.99</v>
      </c>
      <c r="AW256" s="456">
        <v>748926.57</v>
      </c>
      <c r="AX256" s="456">
        <v>754316.87</v>
      </c>
      <c r="AY256" s="456">
        <v>762607.93</v>
      </c>
      <c r="AZ256" s="456">
        <v>773557.48</v>
      </c>
      <c r="BA256" s="456">
        <v>666735.95</v>
      </c>
      <c r="BB256" s="456">
        <v>668014.62</v>
      </c>
      <c r="BC256" s="456">
        <v>105802.79</v>
      </c>
      <c r="BD256" s="456">
        <v>748508.83</v>
      </c>
      <c r="BE256" s="456">
        <v>749998.83</v>
      </c>
      <c r="BF256" s="456">
        <v>760048.14</v>
      </c>
      <c r="BG256" s="456">
        <v>763887.0379</v>
      </c>
      <c r="BH256" s="456">
        <v>767335.53</v>
      </c>
      <c r="BI256" s="456">
        <v>781762.92</v>
      </c>
      <c r="BJ256" s="456">
        <v>783957.48</v>
      </c>
      <c r="BK256" s="456">
        <v>789228.26</v>
      </c>
      <c r="BL256" s="456">
        <v>757313.25</v>
      </c>
      <c r="BM256" s="456">
        <v>762212.46</v>
      </c>
      <c r="BN256" s="456">
        <v>768315.94</v>
      </c>
      <c r="BO256" s="456">
        <v>775224.66</v>
      </c>
      <c r="BP256" s="456">
        <v>782689.52</v>
      </c>
      <c r="BQ256" s="456">
        <v>787562.2</v>
      </c>
      <c r="BR256" s="456">
        <v>791955.58</v>
      </c>
      <c r="BS256" s="90">
        <v>0.0</v>
      </c>
      <c r="BT256" s="90"/>
    </row>
    <row r="257" ht="15.75" customHeight="1">
      <c r="A257" s="444" t="s">
        <v>98</v>
      </c>
      <c r="B257" s="445" t="s">
        <v>5615</v>
      </c>
      <c r="C257" s="468" t="s">
        <v>5616</v>
      </c>
      <c r="D257" s="699">
        <v>8685427.0</v>
      </c>
      <c r="E257" s="447" t="s">
        <v>120</v>
      </c>
      <c r="F257" s="447" t="s">
        <v>199</v>
      </c>
      <c r="G257" s="448" t="s">
        <v>212</v>
      </c>
      <c r="H257" s="447">
        <f>IFERROR(VLOOKUP(G257,'Cadastro de assessores'!A:B,2,FALSE),"Não Cadastrado")</f>
        <v>12344</v>
      </c>
      <c r="I257" s="447"/>
      <c r="J257" s="49" t="s">
        <v>2318</v>
      </c>
      <c r="K257" s="447" t="s">
        <v>183</v>
      </c>
      <c r="L257" s="700">
        <v>44742.0</v>
      </c>
      <c r="M257" s="700">
        <v>44743.0</v>
      </c>
      <c r="N257" s="446"/>
      <c r="O257" s="446" t="s">
        <v>2356</v>
      </c>
      <c r="P257" s="452">
        <v>0.007</v>
      </c>
      <c r="Q257" s="330" t="s">
        <v>5619</v>
      </c>
      <c r="R257" s="453"/>
      <c r="S257" s="449"/>
      <c r="T257" s="449" t="s">
        <v>194</v>
      </c>
      <c r="U257" s="449" t="s">
        <v>5620</v>
      </c>
      <c r="V257" s="449" t="s">
        <v>312</v>
      </c>
      <c r="W257" s="455"/>
      <c r="X257" s="455"/>
      <c r="Y257" s="455"/>
      <c r="Z257" s="455"/>
      <c r="AA257" s="455"/>
      <c r="AB257" s="455"/>
      <c r="AC257" s="455"/>
      <c r="AD257" s="455"/>
      <c r="AE257" s="455"/>
      <c r="AF257" s="455"/>
      <c r="AG257" s="455"/>
      <c r="AH257" s="455"/>
      <c r="AI257" s="455"/>
      <c r="AJ257" s="455"/>
      <c r="AK257" s="456"/>
      <c r="AL257" s="456"/>
      <c r="AM257" s="456"/>
      <c r="AN257" s="456"/>
      <c r="AO257" s="456"/>
      <c r="AP257" s="456"/>
      <c r="AQ257" s="456"/>
      <c r="AR257" s="456"/>
      <c r="AS257" s="456"/>
      <c r="AT257" s="456"/>
      <c r="AU257" s="456"/>
      <c r="AV257" s="456"/>
      <c r="AW257" s="456"/>
      <c r="AX257" s="456"/>
      <c r="AY257" s="456"/>
      <c r="AZ257" s="456"/>
      <c r="BA257" s="456"/>
      <c r="BB257" s="456"/>
      <c r="BC257" s="456"/>
      <c r="BD257" s="456"/>
      <c r="BE257" s="456">
        <v>100000.0</v>
      </c>
      <c r="BF257" s="456">
        <v>100836.49</v>
      </c>
      <c r="BG257" s="456">
        <v>201829.5675</v>
      </c>
      <c r="BH257" s="456">
        <v>203463.64</v>
      </c>
      <c r="BI257" s="456">
        <v>205255.13</v>
      </c>
      <c r="BJ257" s="456">
        <v>207088.54</v>
      </c>
      <c r="BK257" s="456">
        <v>208891.0</v>
      </c>
      <c r="BL257" s="456">
        <v>211215.75</v>
      </c>
      <c r="BM257" s="456">
        <v>212833.71</v>
      </c>
      <c r="BN257" s="456">
        <v>0.0</v>
      </c>
      <c r="BO257" s="456">
        <v>0.0</v>
      </c>
      <c r="BP257" s="456">
        <v>0.0</v>
      </c>
      <c r="BQ257" s="456">
        <v>0.0</v>
      </c>
      <c r="BR257" s="456">
        <v>0.0</v>
      </c>
      <c r="BS257" s="90">
        <v>0.0</v>
      </c>
      <c r="BT257" s="90"/>
    </row>
    <row r="258" ht="15.75" customHeight="1">
      <c r="A258" s="444" t="s">
        <v>98</v>
      </c>
      <c r="B258" s="445" t="s">
        <v>5622</v>
      </c>
      <c r="C258" s="468" t="s">
        <v>5623</v>
      </c>
      <c r="D258" s="446">
        <v>5660556.0</v>
      </c>
      <c r="E258" s="447" t="s">
        <v>120</v>
      </c>
      <c r="F258" s="447" t="s">
        <v>199</v>
      </c>
      <c r="G258" s="448" t="s">
        <v>290</v>
      </c>
      <c r="H258" s="448">
        <f>IFERROR(VLOOKUP(G258,'Cadastro de assessores'!A:B,2,FALSE),"Não Cadastrado")</f>
        <v>12332</v>
      </c>
      <c r="I258" s="448"/>
      <c r="J258" s="49" t="s">
        <v>2318</v>
      </c>
      <c r="K258" s="447" t="s">
        <v>183</v>
      </c>
      <c r="L258" s="700">
        <v>44357.0</v>
      </c>
      <c r="M258" s="700">
        <v>44361.0</v>
      </c>
      <c r="N258" s="446"/>
      <c r="O258" s="446" t="s">
        <v>2356</v>
      </c>
      <c r="P258" s="452">
        <v>0.007</v>
      </c>
      <c r="Q258" s="646" t="s">
        <v>5627</v>
      </c>
      <c r="R258" s="453"/>
      <c r="S258" s="449" t="str">
        <f t="shared" ref="S258:S263" si="26">IF(BC258&lt;=0,"",IF(BC258&lt;=1000000,"Não Qualificado",IF(AND(BC258&gt;1000000,BC258&lt;=10000000),"Qualificado","Profissional")))</f>
        <v/>
      </c>
      <c r="T258" s="449" t="s">
        <v>194</v>
      </c>
      <c r="U258" s="449" t="s">
        <v>2383</v>
      </c>
      <c r="V258" s="449" t="s">
        <v>199</v>
      </c>
      <c r="W258" s="455"/>
      <c r="X258" s="455"/>
      <c r="Y258" s="455"/>
      <c r="Z258" s="455"/>
      <c r="AA258" s="455"/>
      <c r="AB258" s="455"/>
      <c r="AC258" s="455"/>
      <c r="AD258" s="455"/>
      <c r="AE258" s="455"/>
      <c r="AF258" s="455"/>
      <c r="AG258" s="455"/>
      <c r="AH258" s="455"/>
      <c r="AI258" s="455"/>
      <c r="AJ258" s="455"/>
      <c r="AK258" s="456"/>
      <c r="AL258" s="456"/>
      <c r="AM258" s="456"/>
      <c r="AN258" s="456"/>
      <c r="AO258" s="456"/>
      <c r="AP258" s="456"/>
      <c r="AQ258" s="456"/>
      <c r="AR258" s="456"/>
      <c r="AS258" s="456">
        <v>100145.8</v>
      </c>
      <c r="AT258" s="456">
        <v>100537.29</v>
      </c>
      <c r="AU258" s="456">
        <v>100957.7</v>
      </c>
      <c r="AV258" s="456">
        <v>101446.77</v>
      </c>
      <c r="AW258" s="456">
        <v>102036.66</v>
      </c>
      <c r="AX258" s="456">
        <v>102795.46</v>
      </c>
      <c r="AY258" s="456">
        <v>103613.01</v>
      </c>
      <c r="AZ258" s="456">
        <v>104478.59</v>
      </c>
      <c r="BA258" s="456">
        <v>140347.51</v>
      </c>
      <c r="BB258" s="456">
        <v>141882.0</v>
      </c>
      <c r="BC258" s="456">
        <v>0.0</v>
      </c>
      <c r="BD258" s="456">
        <v>144874.55</v>
      </c>
      <c r="BE258" s="456">
        <v>146173.61</v>
      </c>
      <c r="BF258" s="456">
        <v>147275.03</v>
      </c>
      <c r="BG258" s="456">
        <v>147953.4643</v>
      </c>
      <c r="BH258" s="456">
        <v>148758.89</v>
      </c>
      <c r="BI258" s="456">
        <v>149677.74</v>
      </c>
      <c r="BJ258" s="456">
        <v>151014.14</v>
      </c>
      <c r="BK258" s="456">
        <v>152237.33</v>
      </c>
      <c r="BL258" s="456">
        <v>153889.12</v>
      </c>
      <c r="BM258" s="456">
        <v>154289.41</v>
      </c>
      <c r="BN258" s="456">
        <v>155273.38</v>
      </c>
      <c r="BO258" s="456">
        <v>0.0</v>
      </c>
      <c r="BP258" s="456">
        <v>0.0</v>
      </c>
      <c r="BQ258" s="456">
        <v>0.0</v>
      </c>
      <c r="BR258" s="456">
        <v>0.0</v>
      </c>
      <c r="BS258" s="90" t="s">
        <v>268</v>
      </c>
      <c r="BT258" s="90"/>
    </row>
    <row r="259" ht="15.75" customHeight="1">
      <c r="A259" s="444" t="s">
        <v>98</v>
      </c>
      <c r="B259" s="445" t="s">
        <v>5631</v>
      </c>
      <c r="C259" s="468" t="s">
        <v>5632</v>
      </c>
      <c r="D259" s="446">
        <v>8479778.0</v>
      </c>
      <c r="E259" s="447" t="s">
        <v>255</v>
      </c>
      <c r="F259" s="447" t="s">
        <v>199</v>
      </c>
      <c r="G259" s="446" t="s">
        <v>3085</v>
      </c>
      <c r="H259" s="447">
        <f>IFERROR(VLOOKUP(G259,'Cadastro de assessores'!A:B,2,FALSE),"Não Cadastrado")</f>
        <v>12357</v>
      </c>
      <c r="I259" s="447"/>
      <c r="J259" s="49" t="s">
        <v>224</v>
      </c>
      <c r="K259" s="447" t="s">
        <v>183</v>
      </c>
      <c r="L259" s="451">
        <v>44684.0</v>
      </c>
      <c r="M259" s="451">
        <v>44683.0</v>
      </c>
      <c r="N259" s="508">
        <v>44936.0</v>
      </c>
      <c r="O259" s="446" t="s">
        <v>2365</v>
      </c>
      <c r="P259" s="452">
        <v>0.012</v>
      </c>
      <c r="Q259" s="554" t="s">
        <v>5633</v>
      </c>
      <c r="R259" s="453"/>
      <c r="S259" s="449" t="str">
        <f t="shared" si="26"/>
        <v/>
      </c>
      <c r="T259" s="449" t="s">
        <v>194</v>
      </c>
      <c r="U259" s="449" t="s">
        <v>2383</v>
      </c>
      <c r="V259" s="449" t="s">
        <v>199</v>
      </c>
      <c r="W259" s="455"/>
      <c r="X259" s="455"/>
      <c r="Y259" s="455"/>
      <c r="Z259" s="455"/>
      <c r="AA259" s="455"/>
      <c r="AB259" s="455"/>
      <c r="AC259" s="455"/>
      <c r="AD259" s="455"/>
      <c r="AE259" s="455"/>
      <c r="AF259" s="455"/>
      <c r="AG259" s="455"/>
      <c r="AH259" s="455"/>
      <c r="AI259" s="455"/>
      <c r="AJ259" s="455"/>
      <c r="AK259" s="456"/>
      <c r="AL259" s="456"/>
      <c r="AM259" s="456"/>
      <c r="AN259" s="456"/>
      <c r="AO259" s="456"/>
      <c r="AP259" s="456"/>
      <c r="AQ259" s="456"/>
      <c r="AR259" s="456"/>
      <c r="AS259" s="456"/>
      <c r="AT259" s="456"/>
      <c r="AU259" s="456"/>
      <c r="AV259" s="456"/>
      <c r="AW259" s="456"/>
      <c r="AX259" s="456"/>
      <c r="AY259" s="456"/>
      <c r="AZ259" s="456"/>
      <c r="BA259" s="456"/>
      <c r="BB259" s="456"/>
      <c r="BC259" s="456"/>
      <c r="BD259" s="456">
        <v>274745.22</v>
      </c>
      <c r="BE259" s="456">
        <v>296731.17</v>
      </c>
      <c r="BF259" s="456">
        <v>322827.49</v>
      </c>
      <c r="BG259" s="456">
        <v>329216.1434</v>
      </c>
      <c r="BH259" s="456">
        <v>331282.84</v>
      </c>
      <c r="BI259" s="456">
        <v>346859.17</v>
      </c>
      <c r="BJ259" s="456">
        <v>289272.67</v>
      </c>
      <c r="BK259" s="456">
        <v>0.0</v>
      </c>
      <c r="BL259" s="456">
        <v>0.0</v>
      </c>
      <c r="BM259" s="456">
        <v>0.0</v>
      </c>
      <c r="BN259" s="456">
        <v>0.0</v>
      </c>
      <c r="BO259" s="456">
        <v>0.0</v>
      </c>
      <c r="BP259" s="456">
        <v>0.0</v>
      </c>
      <c r="BQ259" s="456">
        <v>0.0</v>
      </c>
      <c r="BR259" s="456">
        <v>0.0</v>
      </c>
      <c r="BS259" s="90" t="s">
        <v>268</v>
      </c>
      <c r="BT259" s="90"/>
    </row>
    <row r="260" ht="15.0" customHeight="1">
      <c r="A260" s="444" t="s">
        <v>98</v>
      </c>
      <c r="B260" s="445" t="s">
        <v>5635</v>
      </c>
      <c r="C260" s="468" t="s">
        <v>5636</v>
      </c>
      <c r="D260" s="469">
        <v>8155858.0</v>
      </c>
      <c r="E260" s="448" t="s">
        <v>120</v>
      </c>
      <c r="F260" s="448" t="s">
        <v>54</v>
      </c>
      <c r="G260" s="447" t="s">
        <v>379</v>
      </c>
      <c r="H260" s="447" t="str">
        <f>IFERROR(VLOOKUP(G260,'Cadastro de assessores'!A:B,2,FALSE),"Não Cadastrado")</f>
        <v>18009</v>
      </c>
      <c r="I260" s="447"/>
      <c r="J260" s="49" t="s">
        <v>2318</v>
      </c>
      <c r="K260" s="701" t="s">
        <v>183</v>
      </c>
      <c r="L260" s="470">
        <v>44683.0</v>
      </c>
      <c r="M260" s="470">
        <v>44644.0</v>
      </c>
      <c r="N260" s="449"/>
      <c r="O260" s="449" t="s">
        <v>2356</v>
      </c>
      <c r="P260" s="452">
        <v>0.007</v>
      </c>
      <c r="Q260" s="461" t="s">
        <v>5637</v>
      </c>
      <c r="R260" s="453"/>
      <c r="S260" s="449" t="str">
        <f t="shared" si="26"/>
        <v>Não Qualificado</v>
      </c>
      <c r="T260" s="449" t="s">
        <v>194</v>
      </c>
      <c r="U260" s="449" t="s">
        <v>4296</v>
      </c>
      <c r="V260" s="449" t="s">
        <v>199</v>
      </c>
      <c r="W260" s="455"/>
      <c r="X260" s="455"/>
      <c r="Y260" s="455"/>
      <c r="Z260" s="455"/>
      <c r="AA260" s="455"/>
      <c r="AB260" s="455"/>
      <c r="AC260" s="455"/>
      <c r="AD260" s="455"/>
      <c r="AE260" s="455"/>
      <c r="AF260" s="455"/>
      <c r="AG260" s="455"/>
      <c r="AH260" s="455"/>
      <c r="AI260" s="455"/>
      <c r="AJ260" s="455"/>
      <c r="AK260" s="456"/>
      <c r="AL260" s="456"/>
      <c r="AM260" s="456"/>
      <c r="AN260" s="456"/>
      <c r="AO260" s="456"/>
      <c r="AP260" s="456"/>
      <c r="AQ260" s="456"/>
      <c r="AR260" s="456"/>
      <c r="AS260" s="456"/>
      <c r="AT260" s="456"/>
      <c r="AU260" s="456"/>
      <c r="AV260" s="456"/>
      <c r="AW260" s="456"/>
      <c r="AX260" s="456"/>
      <c r="AY260" s="456"/>
      <c r="AZ260" s="456"/>
      <c r="BA260" s="456"/>
      <c r="BB260" s="456">
        <v>100305.97</v>
      </c>
      <c r="BC260" s="456">
        <v>575681.78</v>
      </c>
      <c r="BD260" s="456">
        <v>117863.58</v>
      </c>
      <c r="BE260" s="456">
        <v>440145.16</v>
      </c>
      <c r="BF260" s="456">
        <v>498148.46</v>
      </c>
      <c r="BG260" s="456">
        <v>585793.3584</v>
      </c>
      <c r="BH260" s="456">
        <v>655167.13</v>
      </c>
      <c r="BI260" s="456">
        <v>701179.91</v>
      </c>
      <c r="BJ260" s="456">
        <v>707938.38</v>
      </c>
      <c r="BK260" s="456">
        <v>714263.01</v>
      </c>
      <c r="BL260" s="456">
        <v>722786.98</v>
      </c>
      <c r="BM260" s="456">
        <v>729102.64</v>
      </c>
      <c r="BN260" s="456">
        <v>737520.66</v>
      </c>
      <c r="BO260" s="456">
        <v>0.0</v>
      </c>
      <c r="BP260" s="456">
        <v>0.0</v>
      </c>
      <c r="BQ260" s="456">
        <v>0.0</v>
      </c>
      <c r="BR260" s="456">
        <v>0.0</v>
      </c>
      <c r="BS260" s="90">
        <v>0.0</v>
      </c>
      <c r="BT260" s="90"/>
    </row>
    <row r="261" ht="15.75" customHeight="1">
      <c r="A261" s="444" t="s">
        <v>98</v>
      </c>
      <c r="B261" s="445" t="s">
        <v>5640</v>
      </c>
      <c r="C261" s="458" t="s">
        <v>5641</v>
      </c>
      <c r="D261" s="449">
        <v>250289.0</v>
      </c>
      <c r="E261" s="449" t="s">
        <v>120</v>
      </c>
      <c r="F261" s="449" t="s">
        <v>199</v>
      </c>
      <c r="G261" s="449" t="s">
        <v>388</v>
      </c>
      <c r="H261" s="449" t="str">
        <f>IFERROR(VLOOKUP(G261,'Cadastro de assessores'!A:B,2,FALSE),"Não Cadastrado")</f>
        <v>18993</v>
      </c>
      <c r="I261" s="449"/>
      <c r="J261" s="49" t="s">
        <v>224</v>
      </c>
      <c r="K261" s="449" t="s">
        <v>2340</v>
      </c>
      <c r="L261" s="460">
        <v>43880.0</v>
      </c>
      <c r="M261" s="460">
        <v>43880.0</v>
      </c>
      <c r="N261" s="460">
        <v>44335.0</v>
      </c>
      <c r="O261" s="449" t="s">
        <v>2372</v>
      </c>
      <c r="P261" s="452">
        <v>0.01</v>
      </c>
      <c r="Q261" s="461" t="s">
        <v>5643</v>
      </c>
      <c r="R261" s="453"/>
      <c r="S261" s="449" t="str">
        <f t="shared" si="26"/>
        <v>Não Qualificado</v>
      </c>
      <c r="T261" s="449" t="s">
        <v>194</v>
      </c>
      <c r="U261" s="449" t="s">
        <v>2383</v>
      </c>
      <c r="V261" s="449" t="s">
        <v>199</v>
      </c>
      <c r="W261" s="455" t="s">
        <v>2344</v>
      </c>
      <c r="X261" s="455" t="s">
        <v>2344</v>
      </c>
      <c r="Y261" s="455" t="s">
        <v>2344</v>
      </c>
      <c r="Z261" s="455" t="s">
        <v>5644</v>
      </c>
      <c r="AA261" s="455" t="s">
        <v>5645</v>
      </c>
      <c r="AB261" s="455" t="s">
        <v>5646</v>
      </c>
      <c r="AC261" s="455" t="s">
        <v>5647</v>
      </c>
      <c r="AD261" s="455" t="s">
        <v>5648</v>
      </c>
      <c r="AE261" s="455" t="s">
        <v>5649</v>
      </c>
      <c r="AF261" s="455" t="s">
        <v>5650</v>
      </c>
      <c r="AG261" s="455" t="s">
        <v>5651</v>
      </c>
      <c r="AH261" s="455" t="s">
        <v>5652</v>
      </c>
      <c r="AI261" s="455" t="s">
        <v>5653</v>
      </c>
      <c r="AJ261" s="455" t="s">
        <v>5654</v>
      </c>
      <c r="AK261" s="456">
        <v>433999.74</v>
      </c>
      <c r="AL261" s="456">
        <v>237489.53</v>
      </c>
      <c r="AM261" s="456">
        <v>227626.27</v>
      </c>
      <c r="AN261" s="456">
        <v>221735.57</v>
      </c>
      <c r="AO261" s="456">
        <v>214170.7</v>
      </c>
      <c r="AP261" s="456">
        <v>4824.63</v>
      </c>
      <c r="AQ261" s="456">
        <v>4823.65</v>
      </c>
      <c r="AR261" s="456"/>
      <c r="AS261" s="456"/>
      <c r="AT261" s="456"/>
      <c r="AU261" s="456"/>
      <c r="AV261" s="456"/>
      <c r="AW261" s="456"/>
      <c r="AX261" s="456"/>
      <c r="AY261" s="456"/>
      <c r="AZ261" s="456"/>
      <c r="BA261" s="456">
        <v>0.0</v>
      </c>
      <c r="BB261" s="456">
        <v>0.0</v>
      </c>
      <c r="BC261" s="456">
        <v>117852.28</v>
      </c>
      <c r="BD261" s="456" t="s">
        <v>377</v>
      </c>
      <c r="BE261" s="456" t="s">
        <v>377</v>
      </c>
      <c r="BF261" s="456">
        <v>0.0</v>
      </c>
      <c r="BG261" s="456">
        <v>0.0</v>
      </c>
      <c r="BH261" s="456">
        <v>0.0</v>
      </c>
      <c r="BI261" s="456">
        <v>0.0</v>
      </c>
      <c r="BJ261" s="456">
        <v>0.0</v>
      </c>
      <c r="BK261" s="456">
        <v>0.0</v>
      </c>
      <c r="BL261" s="456">
        <v>0.0</v>
      </c>
      <c r="BM261" s="456">
        <v>0.0</v>
      </c>
      <c r="BN261" s="456">
        <v>0.0</v>
      </c>
      <c r="BO261" s="456">
        <v>0.0</v>
      </c>
      <c r="BP261" s="456">
        <v>0.0</v>
      </c>
      <c r="BQ261" s="456">
        <v>0.0</v>
      </c>
      <c r="BR261" s="456">
        <v>0.0</v>
      </c>
      <c r="BS261" s="90" t="s">
        <v>268</v>
      </c>
      <c r="BT261" s="90"/>
    </row>
    <row r="262" ht="15.75" customHeight="1">
      <c r="A262" s="444" t="s">
        <v>98</v>
      </c>
      <c r="B262" s="445" t="s">
        <v>5656</v>
      </c>
      <c r="C262" s="458" t="s">
        <v>5657</v>
      </c>
      <c r="D262" s="449">
        <v>4847801.0</v>
      </c>
      <c r="E262" s="447" t="s">
        <v>255</v>
      </c>
      <c r="F262" s="447" t="s">
        <v>199</v>
      </c>
      <c r="G262" s="447" t="s">
        <v>548</v>
      </c>
      <c r="H262" s="447" t="str">
        <f>IFERROR(VLOOKUP(G262,'Cadastro de assessores'!A:B,2,FALSE),"Não Cadastrado")</f>
        <v>14574</v>
      </c>
      <c r="I262" s="447"/>
      <c r="J262" s="49" t="s">
        <v>2318</v>
      </c>
      <c r="K262" s="449" t="s">
        <v>183</v>
      </c>
      <c r="L262" s="450">
        <v>44236.0</v>
      </c>
      <c r="M262" s="450">
        <v>44236.0</v>
      </c>
      <c r="N262" s="449"/>
      <c r="O262" s="449" t="s">
        <v>2319</v>
      </c>
      <c r="P262" s="519">
        <v>0.02</v>
      </c>
      <c r="Q262" s="610"/>
      <c r="R262" s="453"/>
      <c r="S262" s="449" t="str">
        <f t="shared" si="26"/>
        <v>Não Qualificado</v>
      </c>
      <c r="T262" s="449" t="s">
        <v>194</v>
      </c>
      <c r="U262" s="449" t="s">
        <v>3350</v>
      </c>
      <c r="V262" s="449" t="s">
        <v>199</v>
      </c>
      <c r="W262" s="455"/>
      <c r="X262" s="455"/>
      <c r="Y262" s="455"/>
      <c r="Z262" s="455"/>
      <c r="AA262" s="455"/>
      <c r="AB262" s="455"/>
      <c r="AC262" s="455"/>
      <c r="AD262" s="455"/>
      <c r="AE262" s="455"/>
      <c r="AF262" s="455"/>
      <c r="AG262" s="455"/>
      <c r="AH262" s="455"/>
      <c r="AI262" s="455"/>
      <c r="AJ262" s="455"/>
      <c r="AK262" s="456"/>
      <c r="AL262" s="456"/>
      <c r="AM262" s="456">
        <v>45734.2</v>
      </c>
      <c r="AN262" s="456">
        <v>45802.37</v>
      </c>
      <c r="AO262" s="456">
        <v>48042.62</v>
      </c>
      <c r="AP262" s="456">
        <v>48455.33</v>
      </c>
      <c r="AQ262" s="456">
        <v>48175.09</v>
      </c>
      <c r="AR262" s="456">
        <v>49633.7</v>
      </c>
      <c r="AS262" s="456">
        <v>49152.63</v>
      </c>
      <c r="AT262" s="456">
        <v>47647.85</v>
      </c>
      <c r="AU262" s="456">
        <v>47120.74</v>
      </c>
      <c r="AV262" s="456">
        <v>45616.4</v>
      </c>
      <c r="AW262" s="456">
        <v>43414.9</v>
      </c>
      <c r="AX262" s="456">
        <v>43207.91</v>
      </c>
      <c r="AY262" s="456">
        <v>43880.62</v>
      </c>
      <c r="AZ262" s="456">
        <v>45462.87</v>
      </c>
      <c r="BA262" s="456">
        <v>45996.9</v>
      </c>
      <c r="BB262" s="456">
        <v>47967.4</v>
      </c>
      <c r="BC262" s="456">
        <v>142559.01</v>
      </c>
      <c r="BD262" s="456">
        <v>181.02</v>
      </c>
      <c r="BE262" s="456">
        <v>129.0</v>
      </c>
      <c r="BF262" s="456">
        <v>129.02</v>
      </c>
      <c r="BG262" s="456">
        <v>163.91</v>
      </c>
      <c r="BH262" s="456">
        <v>163.91</v>
      </c>
      <c r="BI262" s="456">
        <v>163.91</v>
      </c>
      <c r="BJ262" s="456">
        <v>163.91</v>
      </c>
      <c r="BK262" s="456">
        <v>163.91</v>
      </c>
      <c r="BL262" s="456">
        <v>260.69</v>
      </c>
      <c r="BM262" s="456">
        <v>260.69</v>
      </c>
      <c r="BN262" s="456">
        <v>260.69</v>
      </c>
      <c r="BO262" s="456">
        <v>260.69</v>
      </c>
      <c r="BP262" s="456">
        <v>260.69</v>
      </c>
      <c r="BQ262" s="456">
        <v>260.69</v>
      </c>
      <c r="BR262" s="456">
        <v>260.69</v>
      </c>
      <c r="BS262" s="90">
        <v>0.0</v>
      </c>
      <c r="BT262" s="90"/>
    </row>
    <row r="263" ht="15.75" customHeight="1">
      <c r="A263" s="444" t="s">
        <v>98</v>
      </c>
      <c r="B263" s="445" t="s">
        <v>5663</v>
      </c>
      <c r="C263" s="506" t="s">
        <v>5664</v>
      </c>
      <c r="D263" s="446">
        <v>6666003.0</v>
      </c>
      <c r="E263" s="447" t="s">
        <v>669</v>
      </c>
      <c r="F263" s="447" t="s">
        <v>199</v>
      </c>
      <c r="G263" s="447" t="s">
        <v>669</v>
      </c>
      <c r="H263" s="447" t="str">
        <f>IFERROR(VLOOKUP(G263,'Cadastro de assessores'!A:B,2,FALSE),"Não Cadastrado")</f>
        <v>18986</v>
      </c>
      <c r="I263" s="447"/>
      <c r="J263" s="49" t="s">
        <v>2318</v>
      </c>
      <c r="K263" s="449" t="s">
        <v>3320</v>
      </c>
      <c r="L263" s="703"/>
      <c r="M263" s="704" t="s">
        <v>5665</v>
      </c>
      <c r="N263" s="705"/>
      <c r="O263" s="447" t="s">
        <v>5539</v>
      </c>
      <c r="P263" s="519">
        <v>0.007</v>
      </c>
      <c r="Q263" s="466"/>
      <c r="R263" s="453"/>
      <c r="S263" s="449" t="str">
        <f t="shared" si="26"/>
        <v/>
      </c>
      <c r="T263" s="449" t="s">
        <v>194</v>
      </c>
      <c r="U263" s="506"/>
      <c r="V263" s="446" t="s">
        <v>3320</v>
      </c>
      <c r="W263" s="454"/>
      <c r="X263" s="706"/>
      <c r="Y263" s="706"/>
      <c r="Z263" s="706"/>
      <c r="AA263" s="454"/>
      <c r="AB263" s="454"/>
      <c r="AC263" s="707"/>
      <c r="AD263" s="706"/>
      <c r="AE263" s="706"/>
      <c r="AF263" s="706"/>
      <c r="AG263" s="454"/>
      <c r="AH263" s="454"/>
      <c r="AI263" s="707"/>
      <c r="AJ263" s="706"/>
      <c r="AK263" s="706"/>
      <c r="AL263" s="706"/>
      <c r="AM263" s="454"/>
      <c r="AN263" s="454"/>
      <c r="AO263" s="707"/>
      <c r="AP263" s="706"/>
      <c r="AQ263" s="706"/>
      <c r="AR263" s="706"/>
      <c r="AS263" s="454"/>
      <c r="AT263" s="706"/>
      <c r="AU263" s="706"/>
      <c r="AV263" s="706"/>
      <c r="AW263" s="706"/>
      <c r="AX263" s="706"/>
      <c r="AY263" s="456"/>
      <c r="AZ263" s="456"/>
      <c r="BA263" s="456">
        <v>0.0</v>
      </c>
      <c r="BB263" s="456">
        <v>0.0</v>
      </c>
      <c r="BC263" s="456"/>
      <c r="BD263" s="456" t="s">
        <v>377</v>
      </c>
      <c r="BE263" s="456" t="s">
        <v>377</v>
      </c>
      <c r="BF263" s="456">
        <v>0.0</v>
      </c>
      <c r="BG263" s="456">
        <v>0.0</v>
      </c>
      <c r="BH263" s="456">
        <v>0.0</v>
      </c>
      <c r="BI263" s="456">
        <v>0.0</v>
      </c>
      <c r="BJ263" s="456">
        <v>0.0</v>
      </c>
      <c r="BK263" s="456">
        <v>0.0</v>
      </c>
      <c r="BL263" s="456">
        <v>0.0</v>
      </c>
      <c r="BM263" s="456">
        <v>0.0</v>
      </c>
      <c r="BN263" s="456">
        <v>0.0</v>
      </c>
      <c r="BO263" s="456">
        <v>0.0</v>
      </c>
      <c r="BP263" s="456">
        <v>0.0</v>
      </c>
      <c r="BQ263" s="456">
        <v>0.0</v>
      </c>
      <c r="BR263" s="456">
        <v>0.0</v>
      </c>
      <c r="BS263" s="90" t="s">
        <v>268</v>
      </c>
      <c r="BT263" s="90"/>
    </row>
    <row r="264" ht="15.75" customHeight="1">
      <c r="A264" s="444" t="s">
        <v>98</v>
      </c>
      <c r="B264" s="445" t="s">
        <v>5670</v>
      </c>
      <c r="C264" s="468" t="s">
        <v>5671</v>
      </c>
      <c r="D264" s="446">
        <v>58954.0</v>
      </c>
      <c r="E264" s="447" t="s">
        <v>120</v>
      </c>
      <c r="F264" s="447" t="s">
        <v>54</v>
      </c>
      <c r="G264" s="448" t="s">
        <v>2393</v>
      </c>
      <c r="H264" s="447">
        <f>IFERROR(VLOOKUP(G264,'Cadastro de assessores'!A:B,2,FALSE),"Não Cadastrado")</f>
        <v>12350</v>
      </c>
      <c r="I264" s="447"/>
      <c r="J264" s="74" t="s">
        <v>183</v>
      </c>
      <c r="K264" s="449" t="s">
        <v>295</v>
      </c>
      <c r="L264" s="447" t="s">
        <v>3320</v>
      </c>
      <c r="M264" s="700">
        <v>44866.0</v>
      </c>
      <c r="N264" s="446"/>
      <c r="O264" s="446" t="s">
        <v>2356</v>
      </c>
      <c r="P264" s="452">
        <v>0.005</v>
      </c>
      <c r="Q264" s="330" t="s">
        <v>5672</v>
      </c>
      <c r="R264" s="453"/>
      <c r="S264" s="449"/>
      <c r="T264" s="449" t="s">
        <v>194</v>
      </c>
      <c r="U264" s="449" t="s">
        <v>2438</v>
      </c>
      <c r="V264" s="449" t="s">
        <v>54</v>
      </c>
      <c r="W264" s="455"/>
      <c r="X264" s="455"/>
      <c r="Y264" s="455"/>
      <c r="Z264" s="455"/>
      <c r="AA264" s="455"/>
      <c r="AB264" s="455"/>
      <c r="AC264" s="455"/>
      <c r="AD264" s="455"/>
      <c r="AE264" s="455"/>
      <c r="AF264" s="455"/>
      <c r="AG264" s="455"/>
      <c r="AH264" s="455"/>
      <c r="AI264" s="455"/>
      <c r="AJ264" s="455"/>
      <c r="AK264" s="456"/>
      <c r="AL264" s="456"/>
      <c r="AM264" s="456"/>
      <c r="AN264" s="456"/>
      <c r="AO264" s="456"/>
      <c r="AP264" s="456"/>
      <c r="AQ264" s="456"/>
      <c r="AR264" s="456"/>
      <c r="AS264" s="456"/>
      <c r="AT264" s="456"/>
      <c r="AU264" s="456"/>
      <c r="AV264" s="456"/>
      <c r="AW264" s="456"/>
      <c r="AX264" s="456"/>
      <c r="AY264" s="456"/>
      <c r="AZ264" s="456"/>
      <c r="BA264" s="456"/>
      <c r="BB264" s="456"/>
      <c r="BC264" s="456"/>
      <c r="BD264" s="456"/>
      <c r="BE264" s="456"/>
      <c r="BF264" s="456">
        <v>0.0</v>
      </c>
      <c r="BG264" s="456">
        <v>341347.556</v>
      </c>
      <c r="BH264" s="456">
        <v>343067.54</v>
      </c>
      <c r="BI264" s="456">
        <v>345055.35</v>
      </c>
      <c r="BJ264" s="456">
        <v>329203.95</v>
      </c>
      <c r="BK264" s="456">
        <v>331397.67</v>
      </c>
      <c r="BL264" s="456">
        <v>333979.46</v>
      </c>
      <c r="BM264" s="456">
        <v>335097.49</v>
      </c>
      <c r="BN264" s="456">
        <v>338167.55</v>
      </c>
      <c r="BO264" s="456">
        <v>363330.77</v>
      </c>
      <c r="BP264" s="456">
        <v>319752.31</v>
      </c>
      <c r="BQ264" s="456">
        <v>321713.29</v>
      </c>
      <c r="BR264" s="456">
        <v>323943.53</v>
      </c>
      <c r="BS264" s="90">
        <v>159271.18</v>
      </c>
      <c r="BT264" s="90"/>
    </row>
    <row r="265" ht="15.75" customHeight="1">
      <c r="A265" s="444" t="s">
        <v>98</v>
      </c>
      <c r="B265" s="445" t="s">
        <v>5676</v>
      </c>
      <c r="C265" s="458" t="s">
        <v>5677</v>
      </c>
      <c r="D265" s="449">
        <v>4920389.0</v>
      </c>
      <c r="E265" s="449" t="s">
        <v>120</v>
      </c>
      <c r="F265" s="449" t="s">
        <v>199</v>
      </c>
      <c r="G265" s="449" t="s">
        <v>2339</v>
      </c>
      <c r="H265" s="449" t="str">
        <f>IFERROR(VLOOKUP(G265,'Cadastro de assessores'!A:B,2,FALSE),"Não Cadastrado")</f>
        <v>17679</v>
      </c>
      <c r="I265" s="449"/>
      <c r="J265" s="49" t="s">
        <v>224</v>
      </c>
      <c r="K265" s="449" t="s">
        <v>2340</v>
      </c>
      <c r="L265" s="460">
        <v>44263.0</v>
      </c>
      <c r="M265" s="460">
        <v>44263.0</v>
      </c>
      <c r="N265" s="508">
        <v>44456.0</v>
      </c>
      <c r="O265" s="446" t="s">
        <v>2452</v>
      </c>
      <c r="P265" s="452">
        <v>0.008</v>
      </c>
      <c r="Q265" s="461" t="s">
        <v>2342</v>
      </c>
      <c r="R265" s="453"/>
      <c r="S265" s="449" t="str">
        <f t="shared" ref="S265:S269" si="27">IF(BC265&lt;=0,"",IF(BC265&lt;=1000000,"Não Qualificado",IF(AND(BC265&gt;1000000,BC265&lt;=10000000),"Qualificado","Profissional")))</f>
        <v>Não Qualificado</v>
      </c>
      <c r="T265" s="449" t="s">
        <v>194</v>
      </c>
      <c r="U265" s="449" t="s">
        <v>5680</v>
      </c>
      <c r="V265" s="449" t="s">
        <v>5681</v>
      </c>
      <c r="W265" s="455"/>
      <c r="X265" s="455"/>
      <c r="Y265" s="455"/>
      <c r="Z265" s="455"/>
      <c r="AA265" s="455"/>
      <c r="AB265" s="455"/>
      <c r="AC265" s="455"/>
      <c r="AD265" s="455"/>
      <c r="AE265" s="455"/>
      <c r="AF265" s="455"/>
      <c r="AG265" s="455"/>
      <c r="AH265" s="455"/>
      <c r="AI265" s="455"/>
      <c r="AJ265" s="455"/>
      <c r="AK265" s="456"/>
      <c r="AL265" s="456"/>
      <c r="AM265" s="456"/>
      <c r="AN265" s="456">
        <v>194389.88</v>
      </c>
      <c r="AO265" s="456">
        <v>197420.05</v>
      </c>
      <c r="AP265" s="456">
        <v>297479.58</v>
      </c>
      <c r="AQ265" s="456">
        <v>298955.35</v>
      </c>
      <c r="AR265" s="456">
        <v>392220.84</v>
      </c>
      <c r="AS265" s="456">
        <v>486530.46</v>
      </c>
      <c r="AT265" s="456">
        <v>546861.28</v>
      </c>
      <c r="AU265" s="456">
        <v>530522.22</v>
      </c>
      <c r="AV265" s="456"/>
      <c r="AW265" s="456"/>
      <c r="AX265" s="456"/>
      <c r="AY265" s="456"/>
      <c r="AZ265" s="456"/>
      <c r="BA265" s="456">
        <v>0.0</v>
      </c>
      <c r="BB265" s="456">
        <v>0.0</v>
      </c>
      <c r="BC265" s="456">
        <v>264992.66</v>
      </c>
      <c r="BD265" s="456" t="s">
        <v>377</v>
      </c>
      <c r="BE265" s="456" t="s">
        <v>377</v>
      </c>
      <c r="BF265" s="456">
        <v>0.0</v>
      </c>
      <c r="BG265" s="456">
        <v>0.0</v>
      </c>
      <c r="BH265" s="456">
        <v>0.0</v>
      </c>
      <c r="BI265" s="456">
        <v>0.0</v>
      </c>
      <c r="BJ265" s="456">
        <v>0.0</v>
      </c>
      <c r="BK265" s="456">
        <v>0.0</v>
      </c>
      <c r="BL265" s="456">
        <v>0.0</v>
      </c>
      <c r="BM265" s="456">
        <v>0.0</v>
      </c>
      <c r="BN265" s="456">
        <v>0.0</v>
      </c>
      <c r="BO265" s="456">
        <v>0.0</v>
      </c>
      <c r="BP265" s="456">
        <v>0.0</v>
      </c>
      <c r="BQ265" s="456">
        <v>0.0</v>
      </c>
      <c r="BR265" s="456">
        <v>0.0</v>
      </c>
      <c r="BS265" s="90" t="s">
        <v>268</v>
      </c>
      <c r="BT265" s="90"/>
    </row>
    <row r="266" ht="15.75" customHeight="1">
      <c r="A266" s="444" t="s">
        <v>98</v>
      </c>
      <c r="B266" s="445" t="s">
        <v>5685</v>
      </c>
      <c r="C266" s="458" t="s">
        <v>5626</v>
      </c>
      <c r="D266" s="449">
        <v>3518710.0</v>
      </c>
      <c r="E266" s="449" t="s">
        <v>669</v>
      </c>
      <c r="F266" s="449" t="s">
        <v>199</v>
      </c>
      <c r="G266" s="449" t="s">
        <v>669</v>
      </c>
      <c r="H266" s="449" t="str">
        <f>IFERROR(VLOOKUP(G266,'Cadastro de assessores'!A:B,2,FALSE),"Não Cadastrado")</f>
        <v>18986</v>
      </c>
      <c r="I266" s="449"/>
      <c r="J266" s="49" t="s">
        <v>224</v>
      </c>
      <c r="K266" s="449" t="s">
        <v>2340</v>
      </c>
      <c r="L266" s="460">
        <v>43717.0</v>
      </c>
      <c r="M266" s="460">
        <v>43717.0</v>
      </c>
      <c r="N266" s="460">
        <v>44705.0</v>
      </c>
      <c r="O266" s="449" t="s">
        <v>4383</v>
      </c>
      <c r="P266" s="452">
        <v>0.01</v>
      </c>
      <c r="Q266" s="607" t="s">
        <v>5689</v>
      </c>
      <c r="R266" s="453"/>
      <c r="S266" s="449" t="str">
        <f t="shared" si="27"/>
        <v>Não Qualificado</v>
      </c>
      <c r="T266" s="449" t="s">
        <v>194</v>
      </c>
      <c r="U266" s="449" t="s">
        <v>2343</v>
      </c>
      <c r="V266" s="449" t="s">
        <v>199</v>
      </c>
      <c r="W266" s="455" t="s">
        <v>5691</v>
      </c>
      <c r="X266" s="455"/>
      <c r="Y266" s="455" t="s">
        <v>5692</v>
      </c>
      <c r="Z266" s="455" t="s">
        <v>5693</v>
      </c>
      <c r="AA266" s="455" t="s">
        <v>5694</v>
      </c>
      <c r="AB266" s="455" t="s">
        <v>5695</v>
      </c>
      <c r="AC266" s="455" t="s">
        <v>5696</v>
      </c>
      <c r="AD266" s="455" t="s">
        <v>5697</v>
      </c>
      <c r="AE266" s="455" t="s">
        <v>5698</v>
      </c>
      <c r="AF266" s="455" t="s">
        <v>5699</v>
      </c>
      <c r="AG266" s="455" t="s">
        <v>5700</v>
      </c>
      <c r="AH266" s="455" t="s">
        <v>5701</v>
      </c>
      <c r="AI266" s="455" t="s">
        <v>5702</v>
      </c>
      <c r="AJ266" s="455" t="s">
        <v>5703</v>
      </c>
      <c r="AK266" s="456">
        <v>141556.48</v>
      </c>
      <c r="AL266" s="456">
        <v>140414.97</v>
      </c>
      <c r="AM266" s="456">
        <v>137414.22</v>
      </c>
      <c r="AN266" s="456">
        <v>137210.63</v>
      </c>
      <c r="AO266" s="456">
        <v>139766.8</v>
      </c>
      <c r="AP266" s="456">
        <v>140282.1</v>
      </c>
      <c r="AQ266" s="456">
        <v>140003.78</v>
      </c>
      <c r="AR266" s="456">
        <v>485.69</v>
      </c>
      <c r="AS266" s="456">
        <v>508.53</v>
      </c>
      <c r="AT266" s="456">
        <v>508.09</v>
      </c>
      <c r="AU266" s="456">
        <v>508.09</v>
      </c>
      <c r="AV266" s="456">
        <v>300.73</v>
      </c>
      <c r="AW266" s="456">
        <v>507.27</v>
      </c>
      <c r="AX266" s="456">
        <v>506.87</v>
      </c>
      <c r="AY266" s="456">
        <v>124.19</v>
      </c>
      <c r="AZ266" s="456">
        <v>124.19</v>
      </c>
      <c r="BA266" s="456">
        <v>124.19</v>
      </c>
      <c r="BB266" s="456">
        <v>124.19</v>
      </c>
      <c r="BC266" s="456">
        <v>91972.77</v>
      </c>
      <c r="BD266" s="456" t="s">
        <v>377</v>
      </c>
      <c r="BE266" s="456" t="s">
        <v>377</v>
      </c>
      <c r="BF266" s="456">
        <v>0.0</v>
      </c>
      <c r="BG266" s="456">
        <v>0.0</v>
      </c>
      <c r="BH266" s="456">
        <v>0.0</v>
      </c>
      <c r="BI266" s="456">
        <v>0.0</v>
      </c>
      <c r="BJ266" s="456">
        <v>0.0</v>
      </c>
      <c r="BK266" s="456">
        <v>0.0</v>
      </c>
      <c r="BL266" s="456">
        <v>0.0</v>
      </c>
      <c r="BM266" s="456">
        <v>0.0</v>
      </c>
      <c r="BN266" s="456">
        <v>0.0</v>
      </c>
      <c r="BO266" s="456">
        <v>0.0</v>
      </c>
      <c r="BP266" s="456">
        <v>0.0</v>
      </c>
      <c r="BQ266" s="456">
        <v>0.0</v>
      </c>
      <c r="BR266" s="456">
        <v>0.0</v>
      </c>
      <c r="BS266" s="90" t="s">
        <v>268</v>
      </c>
      <c r="BT266" s="90"/>
    </row>
    <row r="267" ht="15.75" customHeight="1">
      <c r="A267" s="444" t="s">
        <v>98</v>
      </c>
      <c r="B267" s="445" t="s">
        <v>5704</v>
      </c>
      <c r="C267" s="458" t="s">
        <v>5705</v>
      </c>
      <c r="D267" s="449">
        <v>2746879.0</v>
      </c>
      <c r="E267" s="447" t="s">
        <v>255</v>
      </c>
      <c r="F267" s="447" t="s">
        <v>199</v>
      </c>
      <c r="G267" s="447" t="s">
        <v>3979</v>
      </c>
      <c r="H267" s="447" t="str">
        <f>IFERROR(VLOOKUP(G267,'Cadastro de assessores'!A:B,2,FALSE),"Não Cadastrado")</f>
        <v>19157</v>
      </c>
      <c r="I267" s="447"/>
      <c r="J267" s="49" t="s">
        <v>2318</v>
      </c>
      <c r="K267" s="447" t="s">
        <v>183</v>
      </c>
      <c r="L267" s="450">
        <v>44218.0</v>
      </c>
      <c r="M267" s="450">
        <v>44249.0</v>
      </c>
      <c r="N267" s="449"/>
      <c r="O267" s="449" t="s">
        <v>2372</v>
      </c>
      <c r="P267" s="452">
        <v>0.025</v>
      </c>
      <c r="Q267" s="461"/>
      <c r="R267" s="453"/>
      <c r="S267" s="449" t="str">
        <f t="shared" si="27"/>
        <v/>
      </c>
      <c r="T267" s="449" t="s">
        <v>194</v>
      </c>
      <c r="U267" s="449" t="s">
        <v>3350</v>
      </c>
      <c r="V267" s="449" t="s">
        <v>199</v>
      </c>
      <c r="W267" s="455"/>
      <c r="X267" s="455"/>
      <c r="Y267" s="455"/>
      <c r="Z267" s="455"/>
      <c r="AA267" s="455"/>
      <c r="AB267" s="455"/>
      <c r="AC267" s="455"/>
      <c r="AD267" s="455"/>
      <c r="AE267" s="455"/>
      <c r="AF267" s="455"/>
      <c r="AG267" s="455"/>
      <c r="AH267" s="455"/>
      <c r="AI267" s="455"/>
      <c r="AJ267" s="455"/>
      <c r="AK267" s="456"/>
      <c r="AL267" s="456"/>
      <c r="AM267" s="456">
        <v>194059.41</v>
      </c>
      <c r="AN267" s="456">
        <v>192367.38</v>
      </c>
      <c r="AO267" s="456">
        <v>200235.45</v>
      </c>
      <c r="AP267" s="456">
        <v>204842.85</v>
      </c>
      <c r="AQ267" s="456">
        <v>202745.1</v>
      </c>
      <c r="AR267" s="456">
        <v>214690.35</v>
      </c>
      <c r="AS267" s="456">
        <v>219243.11</v>
      </c>
      <c r="AT267" s="456">
        <v>207559.63</v>
      </c>
      <c r="AU267" s="456">
        <v>202478.02</v>
      </c>
      <c r="AV267" s="456">
        <v>183570.34</v>
      </c>
      <c r="AW267" s="456">
        <v>175613.97</v>
      </c>
      <c r="AX267" s="456">
        <v>173446.95</v>
      </c>
      <c r="AY267" s="456">
        <v>177384.12</v>
      </c>
      <c r="AZ267" s="456">
        <v>189647.14</v>
      </c>
      <c r="BA267" s="456">
        <v>191065.83</v>
      </c>
      <c r="BB267" s="456">
        <v>204244.13</v>
      </c>
      <c r="BC267" s="456"/>
      <c r="BD267" s="456">
        <v>185838.47</v>
      </c>
      <c r="BE267" s="456">
        <v>1042.19</v>
      </c>
      <c r="BF267" s="456">
        <v>499.36</v>
      </c>
      <c r="BG267" s="456">
        <v>257.07</v>
      </c>
      <c r="BH267" s="456">
        <v>257.07</v>
      </c>
      <c r="BI267" s="456">
        <v>257.07</v>
      </c>
      <c r="BJ267" s="456">
        <v>257.07</v>
      </c>
      <c r="BK267" s="456">
        <v>257.07</v>
      </c>
      <c r="BL267" s="456">
        <v>940.22</v>
      </c>
      <c r="BM267" s="456">
        <v>940.23</v>
      </c>
      <c r="BN267" s="456">
        <v>940.99</v>
      </c>
      <c r="BO267" s="456">
        <v>41.9</v>
      </c>
      <c r="BP267" s="456">
        <v>42.85</v>
      </c>
      <c r="BQ267" s="456">
        <v>46.77</v>
      </c>
      <c r="BR267" s="456">
        <v>45.09</v>
      </c>
      <c r="BS267" s="90" t="s">
        <v>268</v>
      </c>
      <c r="BT267" s="90"/>
    </row>
    <row r="268" ht="15.75" customHeight="1">
      <c r="A268" s="444" t="s">
        <v>98</v>
      </c>
      <c r="B268" s="445" t="s">
        <v>5709</v>
      </c>
      <c r="C268" s="468" t="s">
        <v>5710</v>
      </c>
      <c r="D268" s="469">
        <v>8392629.0</v>
      </c>
      <c r="E268" s="447" t="s">
        <v>120</v>
      </c>
      <c r="F268" s="447" t="s">
        <v>199</v>
      </c>
      <c r="G268" s="447" t="s">
        <v>4715</v>
      </c>
      <c r="H268" s="447">
        <f>IFERROR(VLOOKUP(G268,'Cadastro de assessores'!A:B,2,FALSE),"Não Cadastrado")</f>
        <v>12342</v>
      </c>
      <c r="I268" s="447"/>
      <c r="J268" s="49" t="s">
        <v>2318</v>
      </c>
      <c r="K268" s="447" t="s">
        <v>183</v>
      </c>
      <c r="L268" s="450">
        <v>44662.0</v>
      </c>
      <c r="M268" s="450">
        <v>44670.0</v>
      </c>
      <c r="N268" s="446"/>
      <c r="O268" s="446" t="s">
        <v>2356</v>
      </c>
      <c r="P268" s="452">
        <v>0.007</v>
      </c>
      <c r="Q268" s="330"/>
      <c r="R268" s="453"/>
      <c r="S268" s="449" t="str">
        <f t="shared" si="27"/>
        <v>Não Qualificado</v>
      </c>
      <c r="T268" s="449" t="s">
        <v>194</v>
      </c>
      <c r="U268" s="449" t="s">
        <v>5714</v>
      </c>
      <c r="V268" s="449" t="s">
        <v>5715</v>
      </c>
      <c r="W268" s="454"/>
      <c r="X268" s="454"/>
      <c r="Y268" s="454"/>
      <c r="Z268" s="454"/>
      <c r="AA268" s="454"/>
      <c r="AB268" s="454"/>
      <c r="AC268" s="454"/>
      <c r="AD268" s="454"/>
      <c r="AE268" s="454"/>
      <c r="AF268" s="454"/>
      <c r="AG268" s="454"/>
      <c r="AH268" s="455"/>
      <c r="AI268" s="455"/>
      <c r="AJ268" s="456"/>
      <c r="AK268" s="456"/>
      <c r="AL268" s="456"/>
      <c r="AM268" s="456"/>
      <c r="AN268" s="456"/>
      <c r="AO268" s="456"/>
      <c r="AP268" s="456"/>
      <c r="AQ268" s="456"/>
      <c r="AR268" s="456"/>
      <c r="AS268" s="456"/>
      <c r="AT268" s="456"/>
      <c r="AU268" s="456"/>
      <c r="AV268" s="456"/>
      <c r="AW268" s="456"/>
      <c r="AX268" s="454"/>
      <c r="AY268" s="454"/>
      <c r="AZ268" s="455"/>
      <c r="BA268" s="455"/>
      <c r="BB268" s="455"/>
      <c r="BC268" s="455">
        <v>509389.84</v>
      </c>
      <c r="BD268" s="456">
        <v>455359.81</v>
      </c>
      <c r="BE268" s="456">
        <v>490445.16</v>
      </c>
      <c r="BF268" s="456">
        <v>504637.56</v>
      </c>
      <c r="BG268" s="456">
        <v>507087.2902</v>
      </c>
      <c r="BH268" s="456">
        <v>510217.5</v>
      </c>
      <c r="BI268" s="456">
        <v>514147.22</v>
      </c>
      <c r="BJ268" s="456">
        <v>519121.9</v>
      </c>
      <c r="BK268" s="456">
        <v>523653.51</v>
      </c>
      <c r="BL268" s="456">
        <v>529079.08</v>
      </c>
      <c r="BM268" s="456">
        <v>533179.58</v>
      </c>
      <c r="BN268" s="456">
        <v>619889.06</v>
      </c>
      <c r="BO268" s="456">
        <v>623589.27</v>
      </c>
      <c r="BP268" s="456">
        <v>628239.97</v>
      </c>
      <c r="BQ268" s="456">
        <v>712200.02</v>
      </c>
      <c r="BR268" s="456">
        <v>717003.78</v>
      </c>
      <c r="BS268" s="90" t="s">
        <v>268</v>
      </c>
      <c r="BT268" s="90"/>
    </row>
    <row r="269" ht="15.75" customHeight="1">
      <c r="A269" s="444" t="s">
        <v>98</v>
      </c>
      <c r="B269" s="445" t="s">
        <v>5722</v>
      </c>
      <c r="C269" s="458" t="s">
        <v>5723</v>
      </c>
      <c r="D269" s="449">
        <v>3848682.0</v>
      </c>
      <c r="E269" s="447" t="s">
        <v>120</v>
      </c>
      <c r="F269" s="447" t="s">
        <v>199</v>
      </c>
      <c r="G269" s="447" t="s">
        <v>212</v>
      </c>
      <c r="H269" s="447">
        <f>IFERROR(VLOOKUP(G269,'Cadastro de assessores'!A:B,2,FALSE),"Não Cadastrado")</f>
        <v>12344</v>
      </c>
      <c r="I269" s="447"/>
      <c r="J269" s="49" t="s">
        <v>2318</v>
      </c>
      <c r="K269" s="447" t="s">
        <v>183</v>
      </c>
      <c r="L269" s="450">
        <v>44586.0</v>
      </c>
      <c r="M269" s="450">
        <v>44586.0</v>
      </c>
      <c r="N269" s="203"/>
      <c r="O269" s="446" t="s">
        <v>2356</v>
      </c>
      <c r="P269" s="452">
        <v>0.007</v>
      </c>
      <c r="Q269" s="330" t="s">
        <v>5725</v>
      </c>
      <c r="R269" s="453"/>
      <c r="S269" s="449" t="str">
        <f t="shared" si="27"/>
        <v/>
      </c>
      <c r="T269" s="449" t="s">
        <v>194</v>
      </c>
      <c r="U269" s="449" t="s">
        <v>2383</v>
      </c>
      <c r="V269" s="449" t="s">
        <v>199</v>
      </c>
      <c r="W269" s="454"/>
      <c r="X269" s="454"/>
      <c r="Y269" s="454"/>
      <c r="Z269" s="454"/>
      <c r="AA269" s="454"/>
      <c r="AB269" s="454"/>
      <c r="AC269" s="454"/>
      <c r="AD269" s="454"/>
      <c r="AE269" s="454"/>
      <c r="AF269" s="454"/>
      <c r="AG269" s="454"/>
      <c r="AH269" s="455"/>
      <c r="AI269" s="455"/>
      <c r="AJ269" s="456"/>
      <c r="AK269" s="456"/>
      <c r="AL269" s="456"/>
      <c r="AM269" s="456"/>
      <c r="AN269" s="456"/>
      <c r="AO269" s="456"/>
      <c r="AP269" s="456"/>
      <c r="AQ269" s="456"/>
      <c r="AR269" s="456"/>
      <c r="AS269" s="456"/>
      <c r="AT269" s="456"/>
      <c r="AU269" s="456"/>
      <c r="AV269" s="456"/>
      <c r="AW269" s="456"/>
      <c r="AX269" s="454"/>
      <c r="AY269" s="454"/>
      <c r="AZ269" s="455"/>
      <c r="BA269" s="455">
        <v>423023.2</v>
      </c>
      <c r="BB269" s="455">
        <v>736913.14</v>
      </c>
      <c r="BC269" s="455"/>
      <c r="BD269" s="456">
        <v>1323656.75</v>
      </c>
      <c r="BE269" s="456">
        <v>1309995.49</v>
      </c>
      <c r="BF269" s="456">
        <v>1332952.43</v>
      </c>
      <c r="BG269" s="456">
        <v>1343771.196</v>
      </c>
      <c r="BH269" s="456">
        <v>1335848.06</v>
      </c>
      <c r="BI269" s="456">
        <v>2080314.25</v>
      </c>
      <c r="BJ269" s="456">
        <v>2094409.57</v>
      </c>
      <c r="BK269" s="456">
        <v>1979374.85</v>
      </c>
      <c r="BL269" s="456">
        <v>2004960.27</v>
      </c>
      <c r="BM269" s="456">
        <v>1005076.66</v>
      </c>
      <c r="BN269" s="456">
        <v>27695.44</v>
      </c>
      <c r="BO269" s="456">
        <v>27552.0</v>
      </c>
      <c r="BP269" s="456">
        <v>27990.0</v>
      </c>
      <c r="BQ269" s="456">
        <v>28161.98</v>
      </c>
      <c r="BR269" s="456">
        <v>28161.98</v>
      </c>
      <c r="BS269" s="90">
        <v>0.0</v>
      </c>
      <c r="BT269" s="90"/>
    </row>
    <row r="270" ht="15.75" customHeight="1">
      <c r="A270" s="444" t="s">
        <v>98</v>
      </c>
      <c r="B270" s="445" t="s">
        <v>5722</v>
      </c>
      <c r="C270" s="458" t="s">
        <v>5723</v>
      </c>
      <c r="D270" s="446">
        <v>7975707.0</v>
      </c>
      <c r="E270" s="447" t="s">
        <v>120</v>
      </c>
      <c r="F270" s="447" t="s">
        <v>199</v>
      </c>
      <c r="G270" s="447" t="s">
        <v>212</v>
      </c>
      <c r="H270" s="447">
        <f>IFERROR(VLOOKUP(G270,'Cadastro de assessores'!A:B,2,FALSE),"Não Cadastrado")</f>
        <v>12344</v>
      </c>
      <c r="I270" s="447"/>
      <c r="J270" s="74" t="s">
        <v>183</v>
      </c>
      <c r="K270" s="447"/>
      <c r="L270" s="450"/>
      <c r="M270" s="450"/>
      <c r="N270" s="698"/>
      <c r="O270" s="449" t="s">
        <v>2372</v>
      </c>
      <c r="P270" s="452">
        <v>0.025</v>
      </c>
      <c r="Q270" s="330"/>
      <c r="R270" s="453"/>
      <c r="S270" s="449"/>
      <c r="T270" s="449"/>
      <c r="U270" s="449"/>
      <c r="V270" s="449" t="s">
        <v>5681</v>
      </c>
      <c r="W270" s="455"/>
      <c r="X270" s="455"/>
      <c r="Y270" s="455"/>
      <c r="Z270" s="455"/>
      <c r="AA270" s="455"/>
      <c r="AB270" s="455"/>
      <c r="AC270" s="455"/>
      <c r="AD270" s="455"/>
      <c r="AE270" s="455"/>
      <c r="AF270" s="455"/>
      <c r="AG270" s="455"/>
      <c r="AH270" s="455"/>
      <c r="AI270" s="455"/>
      <c r="AJ270" s="455"/>
      <c r="AK270" s="456"/>
      <c r="AL270" s="456"/>
      <c r="AM270" s="456"/>
      <c r="AN270" s="456"/>
      <c r="AO270" s="456"/>
      <c r="AP270" s="456"/>
      <c r="AQ270" s="456"/>
      <c r="AR270" s="456"/>
      <c r="AS270" s="456"/>
      <c r="AT270" s="456"/>
      <c r="AU270" s="456"/>
      <c r="AV270" s="456"/>
      <c r="AW270" s="456"/>
      <c r="AX270" s="456"/>
      <c r="AY270" s="456"/>
      <c r="AZ270" s="456"/>
      <c r="BA270" s="456"/>
      <c r="BB270" s="456"/>
      <c r="BC270" s="456"/>
      <c r="BD270" s="456"/>
      <c r="BE270" s="456"/>
      <c r="BF270" s="456"/>
      <c r="BG270" s="456"/>
      <c r="BH270" s="456"/>
      <c r="BI270" s="456">
        <v>33327.01</v>
      </c>
      <c r="BJ270" s="456">
        <v>37978.97</v>
      </c>
      <c r="BK270" s="456">
        <v>37582.49</v>
      </c>
      <c r="BL270" s="456">
        <v>38230.21</v>
      </c>
      <c r="BM270" s="456">
        <v>36658.56</v>
      </c>
      <c r="BN270" s="456">
        <v>35716.63</v>
      </c>
      <c r="BO270" s="456">
        <v>35906.66</v>
      </c>
      <c r="BP270" s="456">
        <v>36279.06</v>
      </c>
      <c r="BQ270" s="456">
        <v>21787.76</v>
      </c>
      <c r="BR270" s="456">
        <v>22495.22</v>
      </c>
      <c r="BS270" s="90">
        <v>2897.96</v>
      </c>
      <c r="BT270" s="90"/>
    </row>
    <row r="271" ht="15.75" customHeight="1">
      <c r="A271" s="444" t="s">
        <v>98</v>
      </c>
      <c r="B271" s="445" t="s">
        <v>5722</v>
      </c>
      <c r="C271" s="458" t="s">
        <v>5723</v>
      </c>
      <c r="D271" s="449">
        <v>4652696.0</v>
      </c>
      <c r="E271" s="447" t="s">
        <v>120</v>
      </c>
      <c r="F271" s="447" t="s">
        <v>199</v>
      </c>
      <c r="G271" s="447" t="s">
        <v>212</v>
      </c>
      <c r="H271" s="447">
        <f>IFERROR(VLOOKUP(G271,'Cadastro de assessores'!A:B,2,FALSE),"Não Cadastrado")</f>
        <v>12344</v>
      </c>
      <c r="I271" s="447"/>
      <c r="J271" s="74" t="s">
        <v>183</v>
      </c>
      <c r="K271" s="447" t="s">
        <v>183</v>
      </c>
      <c r="L271" s="450">
        <v>44188.0</v>
      </c>
      <c r="M271" s="450">
        <v>44194.0</v>
      </c>
      <c r="N271" s="698"/>
      <c r="O271" s="449" t="s">
        <v>4116</v>
      </c>
      <c r="P271" s="452">
        <v>0.01</v>
      </c>
      <c r="Q271" s="330" t="s">
        <v>5744</v>
      </c>
      <c r="R271" s="453"/>
      <c r="S271" s="449" t="str">
        <f t="shared" ref="S271:S272" si="28">IF(BC271&lt;=0,"",IF(BC271&lt;=1000000,"Não Qualificado",IF(AND(BC271&gt;1000000,BC271&lt;=10000000),"Qualificado","Profissional")))</f>
        <v/>
      </c>
      <c r="T271" s="449" t="s">
        <v>194</v>
      </c>
      <c r="U271" s="449" t="s">
        <v>2383</v>
      </c>
      <c r="V271" s="449" t="s">
        <v>199</v>
      </c>
      <c r="W271" s="455" t="s">
        <v>2344</v>
      </c>
      <c r="X271" s="455" t="s">
        <v>2344</v>
      </c>
      <c r="Y271" s="455" t="s">
        <v>2344</v>
      </c>
      <c r="Z271" s="455" t="s">
        <v>2344</v>
      </c>
      <c r="AA271" s="455" t="s">
        <v>2344</v>
      </c>
      <c r="AB271" s="455" t="s">
        <v>2344</v>
      </c>
      <c r="AC271" s="455" t="s">
        <v>2344</v>
      </c>
      <c r="AD271" s="455" t="s">
        <v>2344</v>
      </c>
      <c r="AE271" s="455" t="s">
        <v>2344</v>
      </c>
      <c r="AF271" s="455" t="s">
        <v>2344</v>
      </c>
      <c r="AG271" s="455" t="s">
        <v>2344</v>
      </c>
      <c r="AH271" s="455" t="s">
        <v>2344</v>
      </c>
      <c r="AI271" s="455" t="s">
        <v>2344</v>
      </c>
      <c r="AJ271" s="455" t="s">
        <v>2344</v>
      </c>
      <c r="AK271" s="456">
        <v>239578.87</v>
      </c>
      <c r="AL271" s="456">
        <v>238262.91</v>
      </c>
      <c r="AM271" s="456">
        <v>234810.92</v>
      </c>
      <c r="AN271" s="456">
        <v>234680.86</v>
      </c>
      <c r="AO271" s="456">
        <v>238069.06</v>
      </c>
      <c r="AP271" s="456">
        <v>238844.8</v>
      </c>
      <c r="AQ271" s="456">
        <v>238395.1</v>
      </c>
      <c r="AR271" s="456">
        <v>241206.1</v>
      </c>
      <c r="AS271" s="456">
        <v>240757.59</v>
      </c>
      <c r="AT271" s="456">
        <v>238948.77</v>
      </c>
      <c r="AU271" s="456">
        <v>238776.43</v>
      </c>
      <c r="AV271" s="456">
        <v>236949.11</v>
      </c>
      <c r="AW271" s="456">
        <v>231351.09</v>
      </c>
      <c r="AX271" s="456">
        <v>233136.44</v>
      </c>
      <c r="AY271" s="456">
        <v>235997.43</v>
      </c>
      <c r="AZ271" s="456">
        <v>307441.79</v>
      </c>
      <c r="BA271" s="456">
        <v>886901.0</v>
      </c>
      <c r="BB271" s="456">
        <v>891284.59</v>
      </c>
      <c r="BC271" s="456"/>
      <c r="BD271" s="456">
        <v>848009.19</v>
      </c>
      <c r="BE271" s="456">
        <v>858686.85</v>
      </c>
      <c r="BF271" s="456">
        <v>866647.3</v>
      </c>
      <c r="BG271" s="456">
        <v>872455.4045</v>
      </c>
      <c r="BH271" s="456">
        <v>853621.81</v>
      </c>
      <c r="BI271" s="456">
        <v>98819.3</v>
      </c>
      <c r="BJ271" s="456">
        <v>96303.98</v>
      </c>
      <c r="BK271" s="456">
        <v>96533.93</v>
      </c>
      <c r="BL271" s="456">
        <v>87049.84</v>
      </c>
      <c r="BM271" s="456">
        <v>87432.01</v>
      </c>
      <c r="BN271" s="456">
        <v>52447.32</v>
      </c>
      <c r="BO271" s="456">
        <v>53228.16</v>
      </c>
      <c r="BP271" s="456">
        <v>52949.34</v>
      </c>
      <c r="BQ271" s="456">
        <v>49608.96</v>
      </c>
      <c r="BR271" s="456">
        <v>49127.68</v>
      </c>
      <c r="BS271" s="90">
        <v>46779.89</v>
      </c>
      <c r="BT271" s="90"/>
    </row>
    <row r="272" ht="15.75" customHeight="1">
      <c r="A272" s="444" t="s">
        <v>98</v>
      </c>
      <c r="B272" s="445" t="s">
        <v>5750</v>
      </c>
      <c r="C272" s="468" t="s">
        <v>5751</v>
      </c>
      <c r="D272" s="446">
        <v>8514028.0</v>
      </c>
      <c r="E272" s="447" t="s">
        <v>120</v>
      </c>
      <c r="F272" s="447" t="s">
        <v>54</v>
      </c>
      <c r="G272" s="446" t="s">
        <v>4897</v>
      </c>
      <c r="H272" s="447">
        <f>IFERROR(VLOOKUP(G272,'Cadastro de assessores'!A:B,2,FALSE),"Não Cadastrado")</f>
        <v>12358</v>
      </c>
      <c r="I272" s="447"/>
      <c r="J272" s="49" t="s">
        <v>224</v>
      </c>
      <c r="K272" s="447" t="s">
        <v>183</v>
      </c>
      <c r="L272" s="450">
        <v>44690.0</v>
      </c>
      <c r="M272" s="450">
        <v>44693.0</v>
      </c>
      <c r="N272" s="459">
        <v>44914.0</v>
      </c>
      <c r="O272" s="449" t="s">
        <v>2452</v>
      </c>
      <c r="P272" s="452">
        <v>0.008</v>
      </c>
      <c r="Q272" s="461"/>
      <c r="R272" s="453"/>
      <c r="S272" s="449" t="str">
        <f t="shared" si="28"/>
        <v>Não Qualificado</v>
      </c>
      <c r="T272" s="449" t="s">
        <v>194</v>
      </c>
      <c r="U272" s="449" t="s">
        <v>2417</v>
      </c>
      <c r="V272" s="449" t="s">
        <v>199</v>
      </c>
      <c r="W272" s="455"/>
      <c r="X272" s="455"/>
      <c r="Y272" s="455"/>
      <c r="Z272" s="455"/>
      <c r="AA272" s="455"/>
      <c r="AB272" s="455"/>
      <c r="AC272" s="455"/>
      <c r="AD272" s="455"/>
      <c r="AE272" s="455"/>
      <c r="AF272" s="455"/>
      <c r="AG272" s="455"/>
      <c r="AH272" s="455"/>
      <c r="AI272" s="455"/>
      <c r="AJ272" s="455"/>
      <c r="AK272" s="456"/>
      <c r="AL272" s="456"/>
      <c r="AM272" s="456"/>
      <c r="AN272" s="456"/>
      <c r="AO272" s="456"/>
      <c r="AP272" s="456"/>
      <c r="AQ272" s="456"/>
      <c r="AR272" s="456"/>
      <c r="AS272" s="456"/>
      <c r="AT272" s="456"/>
      <c r="AU272" s="456"/>
      <c r="AV272" s="456"/>
      <c r="AW272" s="456"/>
      <c r="AX272" s="456"/>
      <c r="AY272" s="456"/>
      <c r="AZ272" s="456"/>
      <c r="BA272" s="456"/>
      <c r="BB272" s="456"/>
      <c r="BC272" s="456">
        <v>96313.57</v>
      </c>
      <c r="BD272" s="456">
        <v>527755.9</v>
      </c>
      <c r="BE272" s="456">
        <v>527460.96</v>
      </c>
      <c r="BF272" s="456">
        <v>533652.18</v>
      </c>
      <c r="BG272" s="456">
        <v>548840.23</v>
      </c>
      <c r="BH272" s="456">
        <v>548153.5</v>
      </c>
      <c r="BI272" s="456">
        <v>553902.7</v>
      </c>
      <c r="BJ272" s="456">
        <v>536986.89</v>
      </c>
      <c r="BK272" s="456">
        <v>0.0</v>
      </c>
      <c r="BL272" s="456">
        <v>0.0</v>
      </c>
      <c r="BM272" s="456">
        <v>0.0</v>
      </c>
      <c r="BN272" s="456">
        <v>0.0</v>
      </c>
      <c r="BO272" s="456">
        <v>0.0</v>
      </c>
      <c r="BP272" s="456">
        <v>0.0</v>
      </c>
      <c r="BQ272" s="456">
        <v>0.0</v>
      </c>
      <c r="BR272" s="456">
        <v>0.0</v>
      </c>
      <c r="BS272" s="90" t="s">
        <v>268</v>
      </c>
      <c r="BT272" s="90"/>
    </row>
    <row r="273" ht="15.75" customHeight="1">
      <c r="A273" s="444" t="s">
        <v>98</v>
      </c>
      <c r="B273" s="445" t="s">
        <v>5759</v>
      </c>
      <c r="C273" s="458" t="s">
        <v>5760</v>
      </c>
      <c r="D273" s="449">
        <v>2358079.0</v>
      </c>
      <c r="E273" s="447" t="s">
        <v>120</v>
      </c>
      <c r="F273" s="447" t="s">
        <v>54</v>
      </c>
      <c r="G273" s="447" t="s">
        <v>3655</v>
      </c>
      <c r="H273" s="447">
        <f>IFERROR(VLOOKUP(G273,'Cadastro de assessores'!A:B,2,FALSE),"Não Cadastrado")</f>
        <v>12351</v>
      </c>
      <c r="I273" s="447"/>
      <c r="J273" s="49" t="s">
        <v>2318</v>
      </c>
      <c r="K273" s="447" t="s">
        <v>183</v>
      </c>
      <c r="L273" s="450">
        <v>44733.0</v>
      </c>
      <c r="M273" s="450">
        <v>44733.0</v>
      </c>
      <c r="N273" s="449"/>
      <c r="O273" s="449" t="s">
        <v>2365</v>
      </c>
      <c r="P273" s="452">
        <v>0.012</v>
      </c>
      <c r="Q273" s="554" t="s">
        <v>5762</v>
      </c>
      <c r="R273" s="453"/>
      <c r="S273" s="449"/>
      <c r="T273" s="449" t="s">
        <v>194</v>
      </c>
      <c r="U273" s="216" t="s">
        <v>3820</v>
      </c>
      <c r="V273" s="449" t="s">
        <v>397</v>
      </c>
      <c r="W273" s="455"/>
      <c r="X273" s="455"/>
      <c r="Y273" s="455"/>
      <c r="Z273" s="455"/>
      <c r="AA273" s="455"/>
      <c r="AB273" s="455"/>
      <c r="AC273" s="455"/>
      <c r="AD273" s="455"/>
      <c r="AE273" s="455"/>
      <c r="AF273" s="455"/>
      <c r="AG273" s="455"/>
      <c r="AH273" s="455"/>
      <c r="AI273" s="455"/>
      <c r="AJ273" s="455"/>
      <c r="AK273" s="456"/>
      <c r="AL273" s="456"/>
      <c r="AM273" s="456"/>
      <c r="AN273" s="456"/>
      <c r="AO273" s="456"/>
      <c r="AP273" s="456"/>
      <c r="AQ273" s="456"/>
      <c r="AR273" s="456"/>
      <c r="AS273" s="456"/>
      <c r="AT273" s="456"/>
      <c r="AU273" s="456"/>
      <c r="AV273" s="456"/>
      <c r="AW273" s="456"/>
      <c r="AX273" s="456"/>
      <c r="AY273" s="456"/>
      <c r="AZ273" s="456"/>
      <c r="BA273" s="456"/>
      <c r="BB273" s="456"/>
      <c r="BC273" s="456"/>
      <c r="BD273" s="456"/>
      <c r="BE273" s="456">
        <v>310778.79</v>
      </c>
      <c r="BF273" s="456">
        <v>325194.67</v>
      </c>
      <c r="BG273" s="456">
        <v>321713.3997</v>
      </c>
      <c r="BH273" s="456">
        <v>324036.55</v>
      </c>
      <c r="BI273" s="456">
        <v>318740.96</v>
      </c>
      <c r="BJ273" s="456">
        <v>319926.98</v>
      </c>
      <c r="BK273" s="456">
        <v>322823.23</v>
      </c>
      <c r="BL273" s="456">
        <v>300.15</v>
      </c>
      <c r="BM273" s="456">
        <v>97.38</v>
      </c>
      <c r="BN273" s="456">
        <v>0.0</v>
      </c>
      <c r="BO273" s="456">
        <v>0.0</v>
      </c>
      <c r="BP273" s="456">
        <v>0.0</v>
      </c>
      <c r="BQ273" s="456">
        <v>0.0</v>
      </c>
      <c r="BR273" s="456">
        <v>0.0</v>
      </c>
      <c r="BS273" s="90">
        <v>0.0</v>
      </c>
      <c r="BT273" s="90"/>
    </row>
    <row r="274" ht="15.75" customHeight="1">
      <c r="A274" s="444" t="s">
        <v>98</v>
      </c>
      <c r="B274" s="445" t="s">
        <v>5768</v>
      </c>
      <c r="C274" s="458" t="s">
        <v>5769</v>
      </c>
      <c r="D274" s="449">
        <v>2864258.0</v>
      </c>
      <c r="E274" s="449" t="s">
        <v>669</v>
      </c>
      <c r="F274" s="449" t="s">
        <v>199</v>
      </c>
      <c r="G274" s="449" t="s">
        <v>669</v>
      </c>
      <c r="H274" s="449" t="str">
        <f>IFERROR(VLOOKUP(G274,'Cadastro de assessores'!A:B,2,FALSE),"Não Cadastrado")</f>
        <v>18986</v>
      </c>
      <c r="I274" s="449"/>
      <c r="J274" s="49" t="s">
        <v>224</v>
      </c>
      <c r="K274" s="449" t="s">
        <v>2340</v>
      </c>
      <c r="L274" s="460">
        <v>44070.0</v>
      </c>
      <c r="M274" s="460">
        <v>44070.0</v>
      </c>
      <c r="N274" s="449"/>
      <c r="O274" s="449" t="s">
        <v>2319</v>
      </c>
      <c r="P274" s="452">
        <v>0.02</v>
      </c>
      <c r="Q274" s="554" t="s">
        <v>5770</v>
      </c>
      <c r="R274" s="453"/>
      <c r="S274" s="449" t="str">
        <f t="shared" ref="S274:S283" si="29">IF(BC274&lt;=0,"",IF(BC274&lt;=1000000,"Não Qualificado",IF(AND(BC274&gt;1000000,BC274&lt;=10000000),"Qualificado","Profissional")))</f>
        <v>Não Qualificado</v>
      </c>
      <c r="T274" s="449" t="s">
        <v>194</v>
      </c>
      <c r="U274" s="216" t="s">
        <v>3350</v>
      </c>
      <c r="V274" s="449" t="s">
        <v>199</v>
      </c>
      <c r="W274" s="455" t="s">
        <v>2344</v>
      </c>
      <c r="X274" s="455" t="s">
        <v>2344</v>
      </c>
      <c r="Y274" s="455" t="s">
        <v>2344</v>
      </c>
      <c r="Z274" s="455" t="s">
        <v>2344</v>
      </c>
      <c r="AA274" s="455" t="s">
        <v>2344</v>
      </c>
      <c r="AB274" s="455" t="s">
        <v>2344</v>
      </c>
      <c r="AC274" s="455" t="s">
        <v>2344</v>
      </c>
      <c r="AD274" s="455" t="s">
        <v>2344</v>
      </c>
      <c r="AE274" s="455" t="s">
        <v>2344</v>
      </c>
      <c r="AF274" s="455" t="s">
        <v>2344</v>
      </c>
      <c r="AG274" s="455" t="s">
        <v>5771</v>
      </c>
      <c r="AH274" s="455" t="s">
        <v>5772</v>
      </c>
      <c r="AI274" s="455" t="s">
        <v>5773</v>
      </c>
      <c r="AJ274" s="455" t="s">
        <v>5774</v>
      </c>
      <c r="AK274" s="456">
        <v>52748.91</v>
      </c>
      <c r="AL274" s="456">
        <v>51164.24</v>
      </c>
      <c r="AM274" s="456">
        <v>47591.43</v>
      </c>
      <c r="AN274" s="456">
        <v>47072.3</v>
      </c>
      <c r="AO274" s="456">
        <v>331.53</v>
      </c>
      <c r="AP274" s="456">
        <v>331.04</v>
      </c>
      <c r="AQ274" s="456">
        <v>330.89</v>
      </c>
      <c r="AR274" s="456">
        <v>330.76</v>
      </c>
      <c r="AS274" s="456">
        <v>330.56</v>
      </c>
      <c r="AT274" s="456">
        <v>330.44</v>
      </c>
      <c r="AU274" s="456">
        <v>330.29</v>
      </c>
      <c r="AV274" s="456">
        <v>235.2</v>
      </c>
      <c r="AW274" s="456">
        <v>330.33</v>
      </c>
      <c r="AX274" s="456">
        <v>330.43</v>
      </c>
      <c r="AY274" s="456">
        <v>60.39</v>
      </c>
      <c r="AZ274" s="456">
        <v>61.37</v>
      </c>
      <c r="BA274" s="456">
        <v>62.38</v>
      </c>
      <c r="BB274" s="456">
        <v>63.39</v>
      </c>
      <c r="BC274" s="456">
        <v>184842.28</v>
      </c>
      <c r="BD274" s="456">
        <v>505.26</v>
      </c>
      <c r="BE274" s="456">
        <v>509.47</v>
      </c>
      <c r="BF274" s="456">
        <v>513.38</v>
      </c>
      <c r="BG274" s="456">
        <v>0.0</v>
      </c>
      <c r="BH274" s="456">
        <v>0.0</v>
      </c>
      <c r="BI274" s="456">
        <v>0.0</v>
      </c>
      <c r="BJ274" s="456">
        <v>0.0</v>
      </c>
      <c r="BK274" s="456">
        <v>0.0</v>
      </c>
      <c r="BL274" s="456">
        <v>0.0</v>
      </c>
      <c r="BM274" s="456">
        <v>0.0</v>
      </c>
      <c r="BN274" s="456">
        <v>0.0</v>
      </c>
      <c r="BO274" s="456">
        <v>0.0</v>
      </c>
      <c r="BP274" s="456">
        <v>0.0</v>
      </c>
      <c r="BQ274" s="456">
        <v>0.0</v>
      </c>
      <c r="BR274" s="456">
        <v>0.0</v>
      </c>
      <c r="BS274" s="90" t="s">
        <v>268</v>
      </c>
      <c r="BT274" s="90"/>
    </row>
    <row r="275" ht="15.75" customHeight="1">
      <c r="A275" s="444" t="s">
        <v>98</v>
      </c>
      <c r="B275" s="445" t="s">
        <v>2169</v>
      </c>
      <c r="C275" s="559" t="s">
        <v>2163</v>
      </c>
      <c r="D275" s="490">
        <v>6879934.0</v>
      </c>
      <c r="E275" s="447" t="s">
        <v>120</v>
      </c>
      <c r="F275" s="448" t="s">
        <v>54</v>
      </c>
      <c r="G275" s="490" t="s">
        <v>125</v>
      </c>
      <c r="H275" s="447" t="str">
        <f>IFERROR(VLOOKUP(G275,'Cadastro de assessores'!A:B,2,FALSE),"Não Cadastrado")</f>
        <v>18890</v>
      </c>
      <c r="I275" s="447"/>
      <c r="J275" s="49" t="s">
        <v>2318</v>
      </c>
      <c r="K275" s="447" t="s">
        <v>183</v>
      </c>
      <c r="L275" s="450">
        <v>44567.0</v>
      </c>
      <c r="M275" s="450">
        <v>44568.0</v>
      </c>
      <c r="N275" s="490"/>
      <c r="O275" s="490" t="s">
        <v>5294</v>
      </c>
      <c r="P275" s="452">
        <v>0.011</v>
      </c>
      <c r="Q275" s="330" t="s">
        <v>5776</v>
      </c>
      <c r="R275" s="453"/>
      <c r="S275" s="449" t="str">
        <f t="shared" si="29"/>
        <v>Não Qualificado</v>
      </c>
      <c r="T275" s="449" t="s">
        <v>194</v>
      </c>
      <c r="U275" s="446" t="s">
        <v>5777</v>
      </c>
      <c r="V275" s="449" t="s">
        <v>54</v>
      </c>
      <c r="W275" s="454"/>
      <c r="X275" s="454"/>
      <c r="Y275" s="454"/>
      <c r="Z275" s="454"/>
      <c r="AA275" s="454"/>
      <c r="AB275" s="454"/>
      <c r="AC275" s="454"/>
      <c r="AD275" s="454"/>
      <c r="AE275" s="454"/>
      <c r="AF275" s="454"/>
      <c r="AG275" s="454"/>
      <c r="AH275" s="455"/>
      <c r="AI275" s="455"/>
      <c r="AJ275" s="456"/>
      <c r="AK275" s="456"/>
      <c r="AL275" s="456"/>
      <c r="AM275" s="456"/>
      <c r="AN275" s="456"/>
      <c r="AO275" s="456"/>
      <c r="AP275" s="456"/>
      <c r="AQ275" s="456"/>
      <c r="AR275" s="456"/>
      <c r="AS275" s="456"/>
      <c r="AT275" s="456"/>
      <c r="AU275" s="456"/>
      <c r="AV275" s="456"/>
      <c r="AW275" s="456"/>
      <c r="AX275" s="454"/>
      <c r="AY275" s="454"/>
      <c r="AZ275" s="538">
        <v>2025583.05</v>
      </c>
      <c r="BA275" s="538">
        <v>2040896.96</v>
      </c>
      <c r="BB275" s="538">
        <v>2071481.0</v>
      </c>
      <c r="BC275" s="538">
        <v>628833.01</v>
      </c>
      <c r="BD275" s="456">
        <v>3750018.87</v>
      </c>
      <c r="BE275" s="456">
        <v>3418784.31</v>
      </c>
      <c r="BF275" s="456">
        <v>3448084.58</v>
      </c>
      <c r="BG275" s="456">
        <v>3476965.17</v>
      </c>
      <c r="BH275" s="456">
        <v>3565688.65</v>
      </c>
      <c r="BI275" s="456">
        <v>3587278.34</v>
      </c>
      <c r="BJ275" s="456">
        <v>3598520.2</v>
      </c>
      <c r="BK275" s="456">
        <v>3615787.71</v>
      </c>
      <c r="BL275" s="456">
        <v>503538.88</v>
      </c>
      <c r="BM275" s="456">
        <v>708413.74</v>
      </c>
      <c r="BN275" s="456">
        <v>193.2</v>
      </c>
      <c r="BO275" s="456">
        <v>193.2</v>
      </c>
      <c r="BP275" s="456">
        <v>193.2</v>
      </c>
      <c r="BQ275" s="456">
        <v>193.2</v>
      </c>
      <c r="BR275" s="456">
        <v>193.2</v>
      </c>
      <c r="BS275" s="90">
        <v>139.02</v>
      </c>
      <c r="BT275" s="90"/>
    </row>
    <row r="276" ht="15.75" customHeight="1">
      <c r="A276" s="444" t="s">
        <v>98</v>
      </c>
      <c r="B276" s="445" t="s">
        <v>5784</v>
      </c>
      <c r="C276" s="458" t="s">
        <v>5785</v>
      </c>
      <c r="D276" s="449">
        <v>4386181.0</v>
      </c>
      <c r="E276" s="449" t="s">
        <v>255</v>
      </c>
      <c r="F276" s="449" t="s">
        <v>199</v>
      </c>
      <c r="G276" s="449" t="s">
        <v>3885</v>
      </c>
      <c r="H276" s="449" t="str">
        <f>IFERROR(VLOOKUP(G276,'Cadastro de assessores'!A:B,2,FALSE),"Não Cadastrado")</f>
        <v>17243</v>
      </c>
      <c r="I276" s="449"/>
      <c r="J276" s="49" t="s">
        <v>224</v>
      </c>
      <c r="K276" s="449" t="s">
        <v>2340</v>
      </c>
      <c r="L276" s="460">
        <v>44067.0</v>
      </c>
      <c r="M276" s="460">
        <v>44067.0</v>
      </c>
      <c r="N276" s="449"/>
      <c r="O276" s="449" t="s">
        <v>2372</v>
      </c>
      <c r="P276" s="452">
        <v>0.025</v>
      </c>
      <c r="Q276" s="461" t="s">
        <v>5787</v>
      </c>
      <c r="R276" s="453"/>
      <c r="S276" s="449" t="str">
        <f t="shared" si="29"/>
        <v>Qualificado</v>
      </c>
      <c r="T276" s="449" t="s">
        <v>194</v>
      </c>
      <c r="U276" s="449" t="s">
        <v>2383</v>
      </c>
      <c r="V276" s="449" t="s">
        <v>199</v>
      </c>
      <c r="W276" s="455" t="s">
        <v>2344</v>
      </c>
      <c r="X276" s="455" t="s">
        <v>2344</v>
      </c>
      <c r="Y276" s="455" t="s">
        <v>2344</v>
      </c>
      <c r="Z276" s="455" t="s">
        <v>2344</v>
      </c>
      <c r="AA276" s="455" t="s">
        <v>2344</v>
      </c>
      <c r="AB276" s="455" t="s">
        <v>2344</v>
      </c>
      <c r="AC276" s="455" t="s">
        <v>2344</v>
      </c>
      <c r="AD276" s="455" t="s">
        <v>2344</v>
      </c>
      <c r="AE276" s="455" t="s">
        <v>2344</v>
      </c>
      <c r="AF276" s="455" t="s">
        <v>2344</v>
      </c>
      <c r="AG276" s="455" t="s">
        <v>5793</v>
      </c>
      <c r="AH276" s="455" t="s">
        <v>5794</v>
      </c>
      <c r="AI276" s="455" t="s">
        <v>5795</v>
      </c>
      <c r="AJ276" s="455" t="s">
        <v>5797</v>
      </c>
      <c r="AK276" s="456">
        <v>822128.93</v>
      </c>
      <c r="AL276" s="456">
        <v>816447.36</v>
      </c>
      <c r="AM276" s="456">
        <v>198544.13</v>
      </c>
      <c r="AN276" s="456">
        <v>197787.88</v>
      </c>
      <c r="AO276" s="456">
        <v>211936.86</v>
      </c>
      <c r="AP276" s="456">
        <v>214974.83</v>
      </c>
      <c r="AQ276" s="456">
        <v>212981.13</v>
      </c>
      <c r="AR276" s="456">
        <v>224810.15</v>
      </c>
      <c r="AS276" s="456">
        <v>219851.64</v>
      </c>
      <c r="AT276" s="456">
        <v>208836.23</v>
      </c>
      <c r="AU276" s="456">
        <v>204784.07</v>
      </c>
      <c r="AV276" s="456">
        <v>148952.73</v>
      </c>
      <c r="AW276" s="456">
        <v>114093.84</v>
      </c>
      <c r="AX276" s="456">
        <v>70976.34</v>
      </c>
      <c r="AY276" s="456">
        <v>40927.03</v>
      </c>
      <c r="AZ276" s="456">
        <v>30970.58</v>
      </c>
      <c r="BA276" s="456">
        <v>14032.43</v>
      </c>
      <c r="BB276" s="456">
        <v>-122.89</v>
      </c>
      <c r="BC276" s="456">
        <v>1483496.27</v>
      </c>
      <c r="BD276" s="456">
        <v>365.65</v>
      </c>
      <c r="BE276" s="456" t="s">
        <v>377</v>
      </c>
      <c r="BF276" s="456">
        <v>0.0</v>
      </c>
      <c r="BG276" s="456">
        <v>0.0</v>
      </c>
      <c r="BH276" s="456">
        <v>0.0</v>
      </c>
      <c r="BI276" s="456">
        <v>0.0</v>
      </c>
      <c r="BJ276" s="456">
        <v>0.0</v>
      </c>
      <c r="BK276" s="456">
        <v>0.0</v>
      </c>
      <c r="BL276" s="456">
        <v>0.0</v>
      </c>
      <c r="BM276" s="456">
        <v>0.0</v>
      </c>
      <c r="BN276" s="456">
        <v>0.0</v>
      </c>
      <c r="BO276" s="456">
        <v>0.0</v>
      </c>
      <c r="BP276" s="456">
        <v>0.0</v>
      </c>
      <c r="BQ276" s="456">
        <v>0.0</v>
      </c>
      <c r="BR276" s="456">
        <v>0.0</v>
      </c>
      <c r="BS276" s="90" t="s">
        <v>268</v>
      </c>
      <c r="BT276" s="90"/>
    </row>
    <row r="277" ht="15.75" customHeight="1">
      <c r="A277" s="444" t="s">
        <v>98</v>
      </c>
      <c r="B277" s="445" t="s">
        <v>5800</v>
      </c>
      <c r="C277" s="458" t="s">
        <v>5802</v>
      </c>
      <c r="D277" s="449">
        <v>4868468.0</v>
      </c>
      <c r="E277" s="447" t="s">
        <v>255</v>
      </c>
      <c r="F277" s="447" t="s">
        <v>199</v>
      </c>
      <c r="G277" s="447" t="s">
        <v>548</v>
      </c>
      <c r="H277" s="447" t="str">
        <f>IFERROR(VLOOKUP(G277,'Cadastro de assessores'!A:B,2,FALSE),"Não Cadastrado")</f>
        <v>14574</v>
      </c>
      <c r="I277" s="447"/>
      <c r="J277" s="49" t="s">
        <v>224</v>
      </c>
      <c r="K277" s="447" t="s">
        <v>183</v>
      </c>
      <c r="L277" s="450">
        <v>44246.0</v>
      </c>
      <c r="M277" s="450">
        <v>44246.0</v>
      </c>
      <c r="N277" s="460">
        <v>44896.0</v>
      </c>
      <c r="O277" s="449" t="s">
        <v>2341</v>
      </c>
      <c r="P277" s="452">
        <v>0.015</v>
      </c>
      <c r="Q277" s="461" t="s">
        <v>5806</v>
      </c>
      <c r="R277" s="453"/>
      <c r="S277" s="449" t="str">
        <f t="shared" si="29"/>
        <v/>
      </c>
      <c r="T277" s="449" t="s">
        <v>234</v>
      </c>
      <c r="U277" s="449" t="s">
        <v>5808</v>
      </c>
      <c r="V277" s="449" t="s">
        <v>199</v>
      </c>
      <c r="W277" s="455"/>
      <c r="X277" s="455"/>
      <c r="Y277" s="455"/>
      <c r="Z277" s="455"/>
      <c r="AA277" s="455"/>
      <c r="AB277" s="455"/>
      <c r="AC277" s="455"/>
      <c r="AD277" s="455"/>
      <c r="AE277" s="455"/>
      <c r="AF277" s="455"/>
      <c r="AG277" s="455"/>
      <c r="AH277" s="455" t="s">
        <v>5809</v>
      </c>
      <c r="AI277" s="455" t="s">
        <v>5810</v>
      </c>
      <c r="AJ277" s="455" t="s">
        <v>5811</v>
      </c>
      <c r="AK277" s="456">
        <v>26256.36</v>
      </c>
      <c r="AL277" s="456">
        <v>392.11</v>
      </c>
      <c r="AM277" s="456">
        <v>54724.01</v>
      </c>
      <c r="AN277" s="456">
        <v>89776.4</v>
      </c>
      <c r="AO277" s="456">
        <v>129949.69</v>
      </c>
      <c r="AP277" s="456">
        <v>130720.75</v>
      </c>
      <c r="AQ277" s="456">
        <v>130243.36</v>
      </c>
      <c r="AR277" s="456">
        <v>133121.47</v>
      </c>
      <c r="AS277" s="456">
        <v>132083.63</v>
      </c>
      <c r="AT277" s="456">
        <v>129461.05</v>
      </c>
      <c r="AU277" s="456">
        <v>128664.15</v>
      </c>
      <c r="AV277" s="456">
        <v>126530.38</v>
      </c>
      <c r="AW277" s="456">
        <v>122891.05</v>
      </c>
      <c r="AX277" s="456">
        <v>122783.14</v>
      </c>
      <c r="AY277" s="456">
        <v>124205.78</v>
      </c>
      <c r="AZ277" s="456">
        <v>127393.51</v>
      </c>
      <c r="BA277" s="456">
        <v>168304.69</v>
      </c>
      <c r="BB277" s="456">
        <v>171696.13</v>
      </c>
      <c r="BC277" s="456">
        <v>0.0</v>
      </c>
      <c r="BD277" s="456">
        <v>170641.28</v>
      </c>
      <c r="BE277" s="456">
        <v>170682.8</v>
      </c>
      <c r="BF277" s="456">
        <v>173210.87</v>
      </c>
      <c r="BG277" s="456">
        <v>173936.3099</v>
      </c>
      <c r="BH277" s="456">
        <v>174311.44</v>
      </c>
      <c r="BI277" s="456">
        <v>179244.22</v>
      </c>
      <c r="BJ277" s="456">
        <v>179084.31</v>
      </c>
      <c r="BK277" s="456">
        <v>0.0</v>
      </c>
      <c r="BL277" s="456">
        <v>0.0</v>
      </c>
      <c r="BM277" s="456">
        <v>0.0</v>
      </c>
      <c r="BN277" s="456">
        <v>0.0</v>
      </c>
      <c r="BO277" s="456">
        <v>0.0</v>
      </c>
      <c r="BP277" s="456">
        <v>0.0</v>
      </c>
      <c r="BQ277" s="456">
        <v>0.0</v>
      </c>
      <c r="BR277" s="456">
        <v>0.0</v>
      </c>
      <c r="BS277" s="90" t="s">
        <v>268</v>
      </c>
      <c r="BT277" s="90"/>
    </row>
    <row r="278" ht="15.75" customHeight="1">
      <c r="A278" s="444" t="s">
        <v>98</v>
      </c>
      <c r="B278" s="445">
        <v>2.69655417E9</v>
      </c>
      <c r="C278" s="458" t="s">
        <v>5088</v>
      </c>
      <c r="D278" s="449">
        <v>3713246.0</v>
      </c>
      <c r="E278" s="449" t="s">
        <v>669</v>
      </c>
      <c r="F278" s="449" t="s">
        <v>199</v>
      </c>
      <c r="G278" s="449" t="s">
        <v>669</v>
      </c>
      <c r="H278" s="449" t="str">
        <f>IFERROR(VLOOKUP(G278,'Cadastro de assessores'!A:B,2,FALSE),"Não Cadastrado")</f>
        <v>18986</v>
      </c>
      <c r="I278" s="449"/>
      <c r="J278" s="49" t="s">
        <v>224</v>
      </c>
      <c r="K278" s="449" t="s">
        <v>2340</v>
      </c>
      <c r="L278" s="460">
        <v>43850.0</v>
      </c>
      <c r="M278" s="460">
        <v>43850.0</v>
      </c>
      <c r="N278" s="460">
        <v>44252.0</v>
      </c>
      <c r="O278" s="449" t="s">
        <v>2365</v>
      </c>
      <c r="P278" s="452">
        <v>0.01</v>
      </c>
      <c r="Q278" s="461" t="s">
        <v>5813</v>
      </c>
      <c r="R278" s="453"/>
      <c r="S278" s="449" t="str">
        <f t="shared" si="29"/>
        <v>Não Qualificado</v>
      </c>
      <c r="T278" s="449" t="s">
        <v>194</v>
      </c>
      <c r="U278" s="449" t="s">
        <v>3672</v>
      </c>
      <c r="V278" s="449" t="s">
        <v>199</v>
      </c>
      <c r="W278" s="455" t="s">
        <v>2344</v>
      </c>
      <c r="X278" s="455" t="s">
        <v>2344</v>
      </c>
      <c r="Y278" s="455" t="s">
        <v>2344</v>
      </c>
      <c r="Z278" s="455" t="s">
        <v>5814</v>
      </c>
      <c r="AA278" s="455" t="s">
        <v>5815</v>
      </c>
      <c r="AB278" s="455" t="s">
        <v>5816</v>
      </c>
      <c r="AC278" s="455" t="s">
        <v>5817</v>
      </c>
      <c r="AD278" s="455" t="s">
        <v>5818</v>
      </c>
      <c r="AE278" s="455" t="s">
        <v>5819</v>
      </c>
      <c r="AF278" s="455" t="s">
        <v>5820</v>
      </c>
      <c r="AG278" s="455" t="s">
        <v>5821</v>
      </c>
      <c r="AH278" s="455" t="s">
        <v>5822</v>
      </c>
      <c r="AI278" s="455" t="s">
        <v>5823</v>
      </c>
      <c r="AJ278" s="455" t="s">
        <v>5824</v>
      </c>
      <c r="AK278" s="456">
        <v>427460.76</v>
      </c>
      <c r="AL278" s="456">
        <v>414609.03</v>
      </c>
      <c r="AM278" s="456">
        <v>367.35</v>
      </c>
      <c r="AN278" s="456">
        <v>281.32</v>
      </c>
      <c r="AO278" s="456"/>
      <c r="AP278" s="456"/>
      <c r="AQ278" s="456"/>
      <c r="AR278" s="456"/>
      <c r="AS278" s="456"/>
      <c r="AT278" s="456"/>
      <c r="AU278" s="456"/>
      <c r="AV278" s="456"/>
      <c r="AW278" s="456"/>
      <c r="AX278" s="456"/>
      <c r="AY278" s="456"/>
      <c r="AZ278" s="456"/>
      <c r="BA278" s="456">
        <v>0.0</v>
      </c>
      <c r="BB278" s="456">
        <v>0.0</v>
      </c>
      <c r="BC278" s="456">
        <v>225452.76</v>
      </c>
      <c r="BD278" s="456" t="s">
        <v>377</v>
      </c>
      <c r="BE278" s="456" t="s">
        <v>377</v>
      </c>
      <c r="BF278" s="456">
        <v>0.0</v>
      </c>
      <c r="BG278" s="456">
        <v>0.0</v>
      </c>
      <c r="BH278" s="456">
        <v>0.0</v>
      </c>
      <c r="BI278" s="456">
        <v>0.0</v>
      </c>
      <c r="BJ278" s="456">
        <v>0.0</v>
      </c>
      <c r="BK278" s="456">
        <v>0.0</v>
      </c>
      <c r="BL278" s="456">
        <v>0.0</v>
      </c>
      <c r="BM278" s="456">
        <v>0.0</v>
      </c>
      <c r="BN278" s="456">
        <v>0.0</v>
      </c>
      <c r="BO278" s="456">
        <v>0.0</v>
      </c>
      <c r="BP278" s="456">
        <v>0.0</v>
      </c>
      <c r="BQ278" s="456">
        <v>0.0</v>
      </c>
      <c r="BR278" s="456">
        <v>0.0</v>
      </c>
      <c r="BS278" s="90" t="s">
        <v>268</v>
      </c>
      <c r="BT278" s="90"/>
    </row>
    <row r="279" ht="15.75" customHeight="1">
      <c r="A279" s="444" t="s">
        <v>98</v>
      </c>
      <c r="B279" s="445" t="s">
        <v>5827</v>
      </c>
      <c r="C279" s="458" t="s">
        <v>5139</v>
      </c>
      <c r="D279" s="449">
        <v>2310651.0</v>
      </c>
      <c r="E279" s="449" t="s">
        <v>669</v>
      </c>
      <c r="F279" s="449" t="s">
        <v>199</v>
      </c>
      <c r="G279" s="449" t="s">
        <v>669</v>
      </c>
      <c r="H279" s="449" t="str">
        <f>IFERROR(VLOOKUP(G279,'Cadastro de assessores'!A:B,2,FALSE),"Não Cadastrado")</f>
        <v>18986</v>
      </c>
      <c r="I279" s="449"/>
      <c r="J279" s="49" t="s">
        <v>224</v>
      </c>
      <c r="K279" s="449" t="s">
        <v>2340</v>
      </c>
      <c r="L279" s="460">
        <v>43872.0</v>
      </c>
      <c r="M279" s="460">
        <v>43872.0</v>
      </c>
      <c r="N279" s="460">
        <v>44369.0</v>
      </c>
      <c r="O279" s="449" t="s">
        <v>2341</v>
      </c>
      <c r="P279" s="452">
        <v>0.015</v>
      </c>
      <c r="Q279" s="461" t="s">
        <v>5828</v>
      </c>
      <c r="R279" s="453"/>
      <c r="S279" s="449" t="str">
        <f t="shared" si="29"/>
        <v/>
      </c>
      <c r="T279" s="449" t="s">
        <v>194</v>
      </c>
      <c r="U279" s="449" t="s">
        <v>3672</v>
      </c>
      <c r="V279" s="449" t="s">
        <v>199</v>
      </c>
      <c r="W279" s="455" t="s">
        <v>2344</v>
      </c>
      <c r="X279" s="455" t="s">
        <v>2344</v>
      </c>
      <c r="Y279" s="455" t="s">
        <v>2344</v>
      </c>
      <c r="Z279" s="455" t="s">
        <v>5829</v>
      </c>
      <c r="AA279" s="455" t="s">
        <v>5830</v>
      </c>
      <c r="AB279" s="455" t="s">
        <v>5831</v>
      </c>
      <c r="AC279" s="455" t="s">
        <v>5832</v>
      </c>
      <c r="AD279" s="455" t="s">
        <v>5833</v>
      </c>
      <c r="AE279" s="455" t="s">
        <v>5834</v>
      </c>
      <c r="AF279" s="455" t="s">
        <v>5835</v>
      </c>
      <c r="AG279" s="455" t="s">
        <v>5836</v>
      </c>
      <c r="AH279" s="455"/>
      <c r="AI279" s="455" t="s">
        <v>5837</v>
      </c>
      <c r="AJ279" s="455"/>
      <c r="AK279" s="456"/>
      <c r="AL279" s="456"/>
      <c r="AM279" s="456">
        <v>397010.63</v>
      </c>
      <c r="AN279" s="456">
        <v>395360.96</v>
      </c>
      <c r="AO279" s="456">
        <v>404017.27</v>
      </c>
      <c r="AP279" s="456">
        <v>406808.75</v>
      </c>
      <c r="AQ279" s="456">
        <v>405278.82</v>
      </c>
      <c r="AR279" s="456">
        <v>414924.21</v>
      </c>
      <c r="AS279" s="456">
        <v>411756.24</v>
      </c>
      <c r="AT279" s="456"/>
      <c r="AU279" s="456"/>
      <c r="AV279" s="456"/>
      <c r="AW279" s="456"/>
      <c r="AX279" s="456"/>
      <c r="AY279" s="456"/>
      <c r="AZ279" s="456"/>
      <c r="BA279" s="456">
        <v>0.0</v>
      </c>
      <c r="BB279" s="456">
        <v>0.0</v>
      </c>
      <c r="BC279" s="456">
        <v>0.0</v>
      </c>
      <c r="BD279" s="456" t="s">
        <v>377</v>
      </c>
      <c r="BE279" s="456" t="s">
        <v>377</v>
      </c>
      <c r="BF279" s="456">
        <v>0.0</v>
      </c>
      <c r="BG279" s="456">
        <v>0.0</v>
      </c>
      <c r="BH279" s="456">
        <v>0.0</v>
      </c>
      <c r="BI279" s="456">
        <v>0.0</v>
      </c>
      <c r="BJ279" s="456">
        <v>0.0</v>
      </c>
      <c r="BK279" s="456">
        <v>0.0</v>
      </c>
      <c r="BL279" s="456">
        <v>0.0</v>
      </c>
      <c r="BM279" s="456">
        <v>0.0</v>
      </c>
      <c r="BN279" s="456">
        <v>0.0</v>
      </c>
      <c r="BO279" s="456">
        <v>0.0</v>
      </c>
      <c r="BP279" s="456">
        <v>0.0</v>
      </c>
      <c r="BQ279" s="456">
        <v>0.0</v>
      </c>
      <c r="BR279" s="456">
        <v>0.0</v>
      </c>
      <c r="BS279" s="90" t="s">
        <v>268</v>
      </c>
      <c r="BT279" s="90"/>
    </row>
    <row r="280" ht="15.75" customHeight="1">
      <c r="A280" s="444" t="s">
        <v>98</v>
      </c>
      <c r="B280" s="445" t="s">
        <v>5838</v>
      </c>
      <c r="C280" s="468" t="s">
        <v>5839</v>
      </c>
      <c r="D280" s="446">
        <v>2256294.0</v>
      </c>
      <c r="E280" s="447" t="s">
        <v>120</v>
      </c>
      <c r="F280" s="447" t="s">
        <v>54</v>
      </c>
      <c r="G280" s="447" t="s">
        <v>379</v>
      </c>
      <c r="H280" s="447" t="str">
        <f>IFERROR(VLOOKUP(G280,'Cadastro de assessores'!A:B,2,FALSE),"Não Cadastrado")</f>
        <v>18009</v>
      </c>
      <c r="I280" s="447"/>
      <c r="J280" s="49" t="s">
        <v>2318</v>
      </c>
      <c r="K280" s="447" t="s">
        <v>183</v>
      </c>
      <c r="L280" s="450">
        <v>44421.0</v>
      </c>
      <c r="M280" s="450">
        <v>44421.0</v>
      </c>
      <c r="N280" s="449"/>
      <c r="O280" s="449" t="s">
        <v>2319</v>
      </c>
      <c r="P280" s="452">
        <v>0.02</v>
      </c>
      <c r="Q280" s="207"/>
      <c r="R280" s="453"/>
      <c r="S280" s="449" t="str">
        <f t="shared" si="29"/>
        <v/>
      </c>
      <c r="T280" s="449" t="s">
        <v>194</v>
      </c>
      <c r="U280" s="446" t="s">
        <v>4323</v>
      </c>
      <c r="V280" s="446" t="s">
        <v>1387</v>
      </c>
      <c r="W280" s="454"/>
      <c r="X280" s="454"/>
      <c r="Y280" s="454"/>
      <c r="Z280" s="454"/>
      <c r="AA280" s="454"/>
      <c r="AB280" s="454"/>
      <c r="AC280" s="454"/>
      <c r="AD280" s="454"/>
      <c r="AE280" s="454"/>
      <c r="AF280" s="454"/>
      <c r="AG280" s="454"/>
      <c r="AH280" s="455"/>
      <c r="AI280" s="456"/>
      <c r="AJ280" s="456"/>
      <c r="AK280" s="456"/>
      <c r="AL280" s="456"/>
      <c r="AM280" s="456"/>
      <c r="AN280" s="456"/>
      <c r="AO280" s="456"/>
      <c r="AP280" s="456"/>
      <c r="AQ280" s="456"/>
      <c r="AR280" s="454"/>
      <c r="AS280" s="454"/>
      <c r="AT280" s="481"/>
      <c r="AU280" s="481">
        <v>77428.43</v>
      </c>
      <c r="AV280" s="456">
        <v>72498.29</v>
      </c>
      <c r="AW280" s="456">
        <v>67234.91</v>
      </c>
      <c r="AX280" s="456">
        <v>64898.38</v>
      </c>
      <c r="AY280" s="456">
        <v>63714.92</v>
      </c>
      <c r="AZ280" s="456">
        <v>61033.9</v>
      </c>
      <c r="BA280" s="456">
        <v>54285.81</v>
      </c>
      <c r="BB280" s="456">
        <v>57252.43</v>
      </c>
      <c r="BC280" s="456">
        <v>0.0</v>
      </c>
      <c r="BD280" s="456">
        <v>54787.42</v>
      </c>
      <c r="BE280" s="456">
        <v>60412.98</v>
      </c>
      <c r="BF280" s="456">
        <v>62444.54</v>
      </c>
      <c r="BG280" s="456">
        <v>63768.12982</v>
      </c>
      <c r="BH280" s="456">
        <v>63657.8</v>
      </c>
      <c r="BI280" s="456">
        <v>71452.7</v>
      </c>
      <c r="BJ280" s="456">
        <v>104618.64</v>
      </c>
      <c r="BK280" s="456">
        <v>160325.32</v>
      </c>
      <c r="BL280" s="456">
        <v>173114.36</v>
      </c>
      <c r="BM280" s="456">
        <v>172528.31</v>
      </c>
      <c r="BN280" s="456">
        <v>0.0</v>
      </c>
      <c r="BO280" s="456">
        <v>0.0</v>
      </c>
      <c r="BP280" s="456">
        <v>0.0</v>
      </c>
      <c r="BQ280" s="456">
        <v>0.0</v>
      </c>
      <c r="BR280" s="456">
        <v>0.0</v>
      </c>
      <c r="BS280" s="90" t="s">
        <v>268</v>
      </c>
      <c r="BT280" s="90"/>
    </row>
    <row r="281" ht="15.75" customHeight="1">
      <c r="A281" s="444" t="s">
        <v>98</v>
      </c>
      <c r="B281" s="445" t="s">
        <v>5846</v>
      </c>
      <c r="C281" s="559" t="s">
        <v>5847</v>
      </c>
      <c r="D281" s="469">
        <v>3643555.0</v>
      </c>
      <c r="E281" s="447" t="s">
        <v>120</v>
      </c>
      <c r="F281" s="447" t="s">
        <v>54</v>
      </c>
      <c r="G281" s="447" t="s">
        <v>125</v>
      </c>
      <c r="H281" s="447" t="str">
        <f>IFERROR(VLOOKUP(G281,'Cadastro de assessores'!A:B,2,FALSE),"Não Cadastrado")</f>
        <v>18890</v>
      </c>
      <c r="I281" s="447"/>
      <c r="J281" s="49" t="s">
        <v>2318</v>
      </c>
      <c r="K281" s="447" t="s">
        <v>183</v>
      </c>
      <c r="L281" s="451">
        <v>44503.0</v>
      </c>
      <c r="M281" s="451">
        <v>44517.0</v>
      </c>
      <c r="N281" s="446"/>
      <c r="O281" s="446" t="s">
        <v>2341</v>
      </c>
      <c r="P281" s="452">
        <v>0.015</v>
      </c>
      <c r="Q281" s="330"/>
      <c r="R281" s="453"/>
      <c r="S281" s="449" t="str">
        <f t="shared" si="29"/>
        <v>Não Qualificado</v>
      </c>
      <c r="T281" s="449" t="s">
        <v>194</v>
      </c>
      <c r="U281" s="449" t="s">
        <v>3587</v>
      </c>
      <c r="V281" s="449" t="s">
        <v>54</v>
      </c>
      <c r="W281" s="454"/>
      <c r="X281" s="454"/>
      <c r="Y281" s="454"/>
      <c r="Z281" s="454"/>
      <c r="AA281" s="454"/>
      <c r="AB281" s="454"/>
      <c r="AC281" s="454"/>
      <c r="AD281" s="454"/>
      <c r="AE281" s="454"/>
      <c r="AF281" s="454"/>
      <c r="AG281" s="454"/>
      <c r="AH281" s="455"/>
      <c r="AI281" s="456"/>
      <c r="AJ281" s="456"/>
      <c r="AK281" s="456"/>
      <c r="AL281" s="456"/>
      <c r="AM281" s="456"/>
      <c r="AN281" s="456"/>
      <c r="AO281" s="456"/>
      <c r="AP281" s="456"/>
      <c r="AQ281" s="456"/>
      <c r="AR281" s="454"/>
      <c r="AS281" s="481"/>
      <c r="AT281" s="481"/>
      <c r="AU281" s="456"/>
      <c r="AV281" s="456"/>
      <c r="AW281" s="454"/>
      <c r="AX281" s="481"/>
      <c r="AY281" s="481">
        <v>221606.28</v>
      </c>
      <c r="AZ281" s="456">
        <v>229216.85</v>
      </c>
      <c r="BA281" s="456">
        <v>230806.8</v>
      </c>
      <c r="BB281" s="456">
        <v>244847.69</v>
      </c>
      <c r="BC281" s="456">
        <v>188213.62</v>
      </c>
      <c r="BD281" s="456">
        <v>316643.68</v>
      </c>
      <c r="BE281" s="456">
        <v>349539.73</v>
      </c>
      <c r="BF281" s="456">
        <v>389803.15</v>
      </c>
      <c r="BG281" s="456">
        <v>418922.3652</v>
      </c>
      <c r="BH281" s="456">
        <v>457852.48</v>
      </c>
      <c r="BI281" s="456">
        <v>518875.37</v>
      </c>
      <c r="BJ281" s="456">
        <v>555908.78</v>
      </c>
      <c r="BK281" s="456">
        <v>602426.36</v>
      </c>
      <c r="BL281" s="456">
        <v>602574.53</v>
      </c>
      <c r="BM281" s="456">
        <v>107196.22</v>
      </c>
      <c r="BN281" s="456">
        <v>56.77</v>
      </c>
      <c r="BO281" s="456">
        <v>57.28</v>
      </c>
      <c r="BP281" s="456">
        <v>57.8</v>
      </c>
      <c r="BQ281" s="456">
        <v>2070.8</v>
      </c>
      <c r="BR281" s="456">
        <v>2092.29</v>
      </c>
      <c r="BS281" s="90">
        <v>0.0</v>
      </c>
      <c r="BT281" s="90"/>
    </row>
    <row r="282" ht="15.75" customHeight="1">
      <c r="A282" s="444" t="s">
        <v>98</v>
      </c>
      <c r="B282" s="445" t="s">
        <v>5849</v>
      </c>
      <c r="C282" s="458" t="s">
        <v>5850</v>
      </c>
      <c r="D282" s="449">
        <v>2851864.0</v>
      </c>
      <c r="E282" s="449" t="s">
        <v>255</v>
      </c>
      <c r="F282" s="449" t="s">
        <v>199</v>
      </c>
      <c r="G282" s="449" t="s">
        <v>3885</v>
      </c>
      <c r="H282" s="449" t="str">
        <f>IFERROR(VLOOKUP(G282,'Cadastro de assessores'!A:B,2,FALSE),"Não Cadastrado")</f>
        <v>17243</v>
      </c>
      <c r="I282" s="449"/>
      <c r="J282" s="49" t="s">
        <v>224</v>
      </c>
      <c r="K282" s="449" t="s">
        <v>2340</v>
      </c>
      <c r="L282" s="459">
        <v>44389.0</v>
      </c>
      <c r="M282" s="459">
        <v>44389.0</v>
      </c>
      <c r="N282" s="460">
        <v>44613.0</v>
      </c>
      <c r="O282" s="449" t="s">
        <v>2319</v>
      </c>
      <c r="P282" s="452">
        <v>0.02</v>
      </c>
      <c r="Q282" s="330" t="s">
        <v>5851</v>
      </c>
      <c r="R282" s="453"/>
      <c r="S282" s="449" t="str">
        <f t="shared" si="29"/>
        <v/>
      </c>
      <c r="T282" s="449" t="s">
        <v>194</v>
      </c>
      <c r="U282" s="449" t="s">
        <v>3350</v>
      </c>
      <c r="V282" s="449" t="s">
        <v>199</v>
      </c>
      <c r="W282" s="454"/>
      <c r="X282" s="454"/>
      <c r="Y282" s="454"/>
      <c r="Z282" s="454"/>
      <c r="AA282" s="454"/>
      <c r="AB282" s="454"/>
      <c r="AC282" s="454"/>
      <c r="AD282" s="454"/>
      <c r="AE282" s="454"/>
      <c r="AF282" s="454"/>
      <c r="AG282" s="454"/>
      <c r="AH282" s="454"/>
      <c r="AI282" s="455"/>
      <c r="AJ282" s="456"/>
      <c r="AK282" s="456"/>
      <c r="AL282" s="456"/>
      <c r="AM282" s="456"/>
      <c r="AN282" s="456"/>
      <c r="AO282" s="456"/>
      <c r="AP282" s="456"/>
      <c r="AQ282" s="456"/>
      <c r="AR282" s="456"/>
      <c r="AS282" s="454"/>
      <c r="AT282" s="481">
        <v>654382.54</v>
      </c>
      <c r="AU282" s="481">
        <v>646229.53</v>
      </c>
      <c r="AV282" s="456">
        <v>520420.63</v>
      </c>
      <c r="AW282" s="456">
        <v>605287.2</v>
      </c>
      <c r="AX282" s="456">
        <v>599043.92</v>
      </c>
      <c r="AY282" s="456">
        <v>597069.0</v>
      </c>
      <c r="AZ282" s="456">
        <v>620224.47</v>
      </c>
      <c r="BA282" s="456">
        <v>614050.87</v>
      </c>
      <c r="BB282" s="456">
        <v>293845.24</v>
      </c>
      <c r="BC282" s="456">
        <v>0.0</v>
      </c>
      <c r="BD282" s="456" t="s">
        <v>377</v>
      </c>
      <c r="BE282" s="456" t="s">
        <v>377</v>
      </c>
      <c r="BF282" s="456">
        <v>0.0</v>
      </c>
      <c r="BG282" s="456">
        <v>0.0</v>
      </c>
      <c r="BH282" s="456">
        <v>0.0</v>
      </c>
      <c r="BI282" s="456">
        <v>0.0</v>
      </c>
      <c r="BJ282" s="456">
        <v>0.0</v>
      </c>
      <c r="BK282" s="456">
        <v>0.0</v>
      </c>
      <c r="BL282" s="456">
        <v>0.0</v>
      </c>
      <c r="BM282" s="456">
        <v>0.0</v>
      </c>
      <c r="BN282" s="456">
        <v>0.0</v>
      </c>
      <c r="BO282" s="456">
        <v>0.0</v>
      </c>
      <c r="BP282" s="456">
        <v>0.0</v>
      </c>
      <c r="BQ282" s="456">
        <v>0.0</v>
      </c>
      <c r="BR282" s="456">
        <v>0.0</v>
      </c>
      <c r="BS282" s="90" t="s">
        <v>268</v>
      </c>
      <c r="BT282" s="90"/>
    </row>
    <row r="283" ht="15.75" customHeight="1">
      <c r="A283" s="444" t="s">
        <v>98</v>
      </c>
      <c r="B283" s="445" t="s">
        <v>5854</v>
      </c>
      <c r="C283" s="458" t="s">
        <v>5855</v>
      </c>
      <c r="D283" s="449">
        <v>4697985.0</v>
      </c>
      <c r="E283" s="449" t="s">
        <v>255</v>
      </c>
      <c r="F283" s="449" t="s">
        <v>199</v>
      </c>
      <c r="G283" s="449" t="s">
        <v>4761</v>
      </c>
      <c r="H283" s="449" t="str">
        <f>IFERROR(VLOOKUP(G283,'Cadastro de assessores'!A:B,2,FALSE),"Não Cadastrado")</f>
        <v>14244</v>
      </c>
      <c r="I283" s="449"/>
      <c r="J283" s="49" t="s">
        <v>224</v>
      </c>
      <c r="K283" s="449" t="s">
        <v>2340</v>
      </c>
      <c r="L283" s="459">
        <v>44187.0</v>
      </c>
      <c r="M283" s="459">
        <v>44187.0</v>
      </c>
      <c r="N283" s="460">
        <v>44467.0</v>
      </c>
      <c r="O283" s="449" t="s">
        <v>2319</v>
      </c>
      <c r="P283" s="452">
        <v>0.02</v>
      </c>
      <c r="Q283" s="461" t="s">
        <v>5856</v>
      </c>
      <c r="R283" s="453"/>
      <c r="S283" s="449" t="str">
        <f t="shared" si="29"/>
        <v/>
      </c>
      <c r="T283" s="449" t="s">
        <v>194</v>
      </c>
      <c r="U283" s="449" t="s">
        <v>2401</v>
      </c>
      <c r="V283" s="449" t="s">
        <v>199</v>
      </c>
      <c r="W283" s="455"/>
      <c r="X283" s="455"/>
      <c r="Y283" s="455"/>
      <c r="Z283" s="455"/>
      <c r="AA283" s="455"/>
      <c r="AB283" s="455"/>
      <c r="AC283" s="455"/>
      <c r="AD283" s="455"/>
      <c r="AE283" s="455"/>
      <c r="AF283" s="455"/>
      <c r="AG283" s="455"/>
      <c r="AH283" s="455" t="s">
        <v>5857</v>
      </c>
      <c r="AI283" s="455" t="s">
        <v>2344</v>
      </c>
      <c r="AJ283" s="455"/>
      <c r="AK283" s="456"/>
      <c r="AL283" s="456">
        <v>197101.97</v>
      </c>
      <c r="AM283" s="456">
        <v>189095.63</v>
      </c>
      <c r="AN283" s="456">
        <v>188602.0</v>
      </c>
      <c r="AO283" s="456">
        <v>197598.81</v>
      </c>
      <c r="AP283" s="456">
        <v>199277.51</v>
      </c>
      <c r="AQ283" s="456">
        <v>198035.29</v>
      </c>
      <c r="AR283" s="456">
        <v>204318.87</v>
      </c>
      <c r="AS283" s="456">
        <v>202292.38</v>
      </c>
      <c r="AT283" s="456">
        <v>195625.85</v>
      </c>
      <c r="AU283" s="456">
        <v>193367.24</v>
      </c>
      <c r="AV283" s="456">
        <v>14442.36</v>
      </c>
      <c r="AW283" s="456"/>
      <c r="AX283" s="456"/>
      <c r="AY283" s="456"/>
      <c r="AZ283" s="456"/>
      <c r="BA283" s="456">
        <v>0.0</v>
      </c>
      <c r="BB283" s="456">
        <v>0.0</v>
      </c>
      <c r="BC283" s="456">
        <v>0.0</v>
      </c>
      <c r="BD283" s="456" t="s">
        <v>377</v>
      </c>
      <c r="BE283" s="456" t="s">
        <v>377</v>
      </c>
      <c r="BF283" s="456">
        <v>0.0</v>
      </c>
      <c r="BG283" s="456">
        <v>0.0</v>
      </c>
      <c r="BH283" s="456">
        <v>0.0</v>
      </c>
      <c r="BI283" s="456">
        <v>0.0</v>
      </c>
      <c r="BJ283" s="456">
        <v>0.0</v>
      </c>
      <c r="BK283" s="456">
        <v>0.0</v>
      </c>
      <c r="BL283" s="456">
        <v>0.0</v>
      </c>
      <c r="BM283" s="456">
        <v>0.0</v>
      </c>
      <c r="BN283" s="456">
        <v>0.0</v>
      </c>
      <c r="BO283" s="456">
        <v>0.0</v>
      </c>
      <c r="BP283" s="456">
        <v>0.0</v>
      </c>
      <c r="BQ283" s="456">
        <v>0.0</v>
      </c>
      <c r="BR283" s="456">
        <v>0.0</v>
      </c>
      <c r="BS283" s="90" t="s">
        <v>268</v>
      </c>
      <c r="BT283" s="90"/>
    </row>
    <row r="284" ht="15.75" customHeight="1">
      <c r="A284" s="444" t="s">
        <v>98</v>
      </c>
      <c r="B284" s="445" t="s">
        <v>5859</v>
      </c>
      <c r="C284" s="468" t="s">
        <v>5861</v>
      </c>
      <c r="D284" s="469">
        <v>5927535.0</v>
      </c>
      <c r="E284" s="447" t="s">
        <v>120</v>
      </c>
      <c r="F284" s="447" t="s">
        <v>54</v>
      </c>
      <c r="G284" s="447" t="s">
        <v>3655</v>
      </c>
      <c r="H284" s="449">
        <f>IFERROR(VLOOKUP(G284,'Cadastro de assessores'!A:B,2,FALSE),"Não Cadastrado")</f>
        <v>12351</v>
      </c>
      <c r="I284" s="449"/>
      <c r="J284" s="49" t="s">
        <v>224</v>
      </c>
      <c r="K284" s="447" t="s">
        <v>183</v>
      </c>
      <c r="L284" s="470">
        <v>44776.0</v>
      </c>
      <c r="M284" s="470">
        <v>44776.0</v>
      </c>
      <c r="N284" s="449"/>
      <c r="O284" s="449" t="s">
        <v>2372</v>
      </c>
      <c r="P284" s="452">
        <v>0.025</v>
      </c>
      <c r="Q284" s="330" t="s">
        <v>5864</v>
      </c>
      <c r="R284" s="453"/>
      <c r="S284" s="449"/>
      <c r="T284" s="449" t="s">
        <v>194</v>
      </c>
      <c r="U284" s="449" t="s">
        <v>2438</v>
      </c>
      <c r="V284" s="449" t="s">
        <v>54</v>
      </c>
      <c r="W284" s="454"/>
      <c r="X284" s="454"/>
      <c r="Y284" s="454"/>
      <c r="Z284" s="454"/>
      <c r="AA284" s="454"/>
      <c r="AB284" s="454"/>
      <c r="AC284" s="454"/>
      <c r="AD284" s="454"/>
      <c r="AE284" s="454"/>
      <c r="AF284" s="454"/>
      <c r="AG284" s="454"/>
      <c r="AH284" s="454"/>
      <c r="AI284" s="455"/>
      <c r="AJ284" s="456"/>
      <c r="AK284" s="456"/>
      <c r="AL284" s="456"/>
      <c r="AM284" s="456"/>
      <c r="AN284" s="456"/>
      <c r="AO284" s="456"/>
      <c r="AP284" s="456"/>
      <c r="AQ284" s="456"/>
      <c r="AR284" s="456"/>
      <c r="AS284" s="454"/>
      <c r="AT284" s="481"/>
      <c r="AU284" s="481"/>
      <c r="AV284" s="456"/>
      <c r="AW284" s="456"/>
      <c r="AX284" s="456"/>
      <c r="AY284" s="456"/>
      <c r="AZ284" s="456"/>
      <c r="BA284" s="456"/>
      <c r="BB284" s="456"/>
      <c r="BC284" s="456"/>
      <c r="BD284" s="456"/>
      <c r="BE284" s="456"/>
      <c r="BF284" s="456">
        <v>0.0</v>
      </c>
      <c r="BG284" s="456">
        <v>133199.2</v>
      </c>
      <c r="BH284" s="456">
        <v>114473.53</v>
      </c>
      <c r="BI284" s="456">
        <v>117036.22</v>
      </c>
      <c r="BJ284" s="456">
        <v>110758.34</v>
      </c>
      <c r="BK284" s="456">
        <v>105900.0</v>
      </c>
      <c r="BL284" s="456">
        <v>108520.22</v>
      </c>
      <c r="BM284" s="456">
        <v>80469.37</v>
      </c>
      <c r="BN284" s="456">
        <v>46536.85</v>
      </c>
      <c r="BO284" s="456">
        <v>45594.43</v>
      </c>
      <c r="BP284" s="456">
        <v>40585.58</v>
      </c>
      <c r="BQ284" s="456">
        <v>41235.94</v>
      </c>
      <c r="BR284" s="456">
        <v>38930.21</v>
      </c>
      <c r="BS284" s="90" t="s">
        <v>268</v>
      </c>
      <c r="BT284" s="90"/>
    </row>
    <row r="285" ht="15.75" customHeight="1">
      <c r="A285" s="444" t="s">
        <v>98</v>
      </c>
      <c r="B285" s="445" t="s">
        <v>813</v>
      </c>
      <c r="C285" s="468" t="s">
        <v>801</v>
      </c>
      <c r="D285" s="469">
        <v>218909.0</v>
      </c>
      <c r="E285" s="447" t="s">
        <v>120</v>
      </c>
      <c r="F285" s="447" t="s">
        <v>199</v>
      </c>
      <c r="G285" s="447" t="s">
        <v>803</v>
      </c>
      <c r="H285" s="446" t="str">
        <f>IFERROR(VLOOKUP(G285,'Cadastro de assessores'!A:B,2,FALSE),"Não Cadastrado")</f>
        <v>18467</v>
      </c>
      <c r="I285" s="446"/>
      <c r="J285" s="49" t="s">
        <v>2318</v>
      </c>
      <c r="K285" s="447" t="s">
        <v>183</v>
      </c>
      <c r="L285" s="470">
        <v>44658.0</v>
      </c>
      <c r="M285" s="470">
        <v>44659.0</v>
      </c>
      <c r="N285" s="449"/>
      <c r="O285" s="449" t="s">
        <v>2365</v>
      </c>
      <c r="P285" s="452">
        <v>0.012</v>
      </c>
      <c r="Q285" s="330"/>
      <c r="R285" s="453"/>
      <c r="S285" s="449" t="str">
        <f t="shared" ref="S285:S286" si="30">IF(BC285&lt;=0,"",IF(BC285&lt;=1000000,"Não Qualificado",IF(AND(BC285&gt;1000000,BC285&lt;=10000000),"Qualificado","Profissional")))</f>
        <v>Não Qualificado</v>
      </c>
      <c r="T285" s="449" t="s">
        <v>194</v>
      </c>
      <c r="U285" s="449" t="s">
        <v>2383</v>
      </c>
      <c r="V285" s="449" t="s">
        <v>199</v>
      </c>
      <c r="W285" s="454"/>
      <c r="X285" s="454"/>
      <c r="Y285" s="454"/>
      <c r="Z285" s="454"/>
      <c r="AA285" s="454"/>
      <c r="AB285" s="454"/>
      <c r="AC285" s="454"/>
      <c r="AD285" s="454"/>
      <c r="AE285" s="454"/>
      <c r="AF285" s="454"/>
      <c r="AG285" s="454"/>
      <c r="AH285" s="454"/>
      <c r="AI285" s="455"/>
      <c r="AJ285" s="456"/>
      <c r="AK285" s="456"/>
      <c r="AL285" s="456"/>
      <c r="AM285" s="456"/>
      <c r="AN285" s="456"/>
      <c r="AO285" s="456"/>
      <c r="AP285" s="456"/>
      <c r="AQ285" s="456"/>
      <c r="AR285" s="456"/>
      <c r="AS285" s="454"/>
      <c r="AT285" s="481"/>
      <c r="AU285" s="481"/>
      <c r="AV285" s="456"/>
      <c r="AW285" s="456"/>
      <c r="AX285" s="456"/>
      <c r="AY285" s="456"/>
      <c r="AZ285" s="456"/>
      <c r="BA285" s="456"/>
      <c r="BB285" s="456">
        <v>0.0</v>
      </c>
      <c r="BC285" s="456">
        <v>217869.46</v>
      </c>
      <c r="BD285" s="456">
        <v>192143.87</v>
      </c>
      <c r="BE285" s="456">
        <v>193510.01</v>
      </c>
      <c r="BF285" s="456">
        <v>294731.12</v>
      </c>
      <c r="BG285" s="456">
        <v>298330.8273</v>
      </c>
      <c r="BH285" s="456">
        <v>300545.15</v>
      </c>
      <c r="BI285" s="456">
        <v>302992.96</v>
      </c>
      <c r="BJ285" s="456">
        <v>303660.16</v>
      </c>
      <c r="BK285" s="456">
        <v>306660.45</v>
      </c>
      <c r="BL285" s="456">
        <v>125913.26</v>
      </c>
      <c r="BM285" s="456">
        <v>127308.38</v>
      </c>
      <c r="BN285" s="456">
        <v>129683.5</v>
      </c>
      <c r="BO285" s="456">
        <v>130999.58</v>
      </c>
      <c r="BP285" s="456">
        <v>132760.58</v>
      </c>
      <c r="BQ285" s="456">
        <v>133795.76</v>
      </c>
      <c r="BR285" s="456">
        <v>134527.94</v>
      </c>
      <c r="BS285" s="90">
        <v>0.0</v>
      </c>
      <c r="BT285" s="90"/>
    </row>
    <row r="286" ht="15.75" customHeight="1">
      <c r="A286" s="444" t="s">
        <v>98</v>
      </c>
      <c r="B286" s="445" t="s">
        <v>5877</v>
      </c>
      <c r="C286" s="458" t="s">
        <v>5379</v>
      </c>
      <c r="D286" s="449">
        <v>2865175.0</v>
      </c>
      <c r="E286" s="449" t="s">
        <v>669</v>
      </c>
      <c r="F286" s="449" t="s">
        <v>199</v>
      </c>
      <c r="G286" s="449" t="s">
        <v>669</v>
      </c>
      <c r="H286" s="449" t="str">
        <f>IFERROR(VLOOKUP(G286,'Cadastro de assessores'!A:B,2,FALSE),"Não Cadastrado")</f>
        <v>18986</v>
      </c>
      <c r="I286" s="449"/>
      <c r="J286" s="49" t="s">
        <v>224</v>
      </c>
      <c r="K286" s="449" t="s">
        <v>2340</v>
      </c>
      <c r="L286" s="460">
        <v>43700.0</v>
      </c>
      <c r="M286" s="460">
        <v>43700.0</v>
      </c>
      <c r="N286" s="722">
        <v>44105.0</v>
      </c>
      <c r="O286" s="449" t="s">
        <v>2341</v>
      </c>
      <c r="P286" s="452">
        <v>0.01</v>
      </c>
      <c r="Q286" s="461" t="s">
        <v>5879</v>
      </c>
      <c r="R286" s="453"/>
      <c r="S286" s="449" t="str">
        <f t="shared" si="30"/>
        <v/>
      </c>
      <c r="T286" s="449" t="s">
        <v>194</v>
      </c>
      <c r="U286" s="449" t="s">
        <v>2401</v>
      </c>
      <c r="V286" s="449" t="s">
        <v>199</v>
      </c>
      <c r="W286" s="455" t="s">
        <v>5883</v>
      </c>
      <c r="X286" s="455"/>
      <c r="Y286" s="455" t="s">
        <v>5884</v>
      </c>
      <c r="Z286" s="455" t="s">
        <v>5885</v>
      </c>
      <c r="AA286" s="455" t="s">
        <v>5886</v>
      </c>
      <c r="AB286" s="455" t="s">
        <v>5888</v>
      </c>
      <c r="AC286" s="455" t="s">
        <v>5889</v>
      </c>
      <c r="AD286" s="455" t="s">
        <v>5890</v>
      </c>
      <c r="AE286" s="455" t="s">
        <v>5891</v>
      </c>
      <c r="AF286" s="455" t="s">
        <v>5892</v>
      </c>
      <c r="AG286" s="455" t="s">
        <v>5893</v>
      </c>
      <c r="AH286" s="455" t="s">
        <v>2344</v>
      </c>
      <c r="AI286" s="455" t="s">
        <v>2344</v>
      </c>
      <c r="AJ286" s="455" t="s">
        <v>2344</v>
      </c>
      <c r="AK286" s="456">
        <v>332098.88</v>
      </c>
      <c r="AL286" s="456">
        <v>324200.71</v>
      </c>
      <c r="AM286" s="456" t="s">
        <v>3320</v>
      </c>
      <c r="AN286" s="456"/>
      <c r="AO286" s="456"/>
      <c r="AP286" s="456"/>
      <c r="AQ286" s="456"/>
      <c r="AR286" s="456"/>
      <c r="AS286" s="456"/>
      <c r="AT286" s="456"/>
      <c r="AU286" s="456"/>
      <c r="AV286" s="456"/>
      <c r="AW286" s="456"/>
      <c r="AX286" s="456"/>
      <c r="AY286" s="456"/>
      <c r="AZ286" s="456"/>
      <c r="BA286" s="456">
        <v>0.0</v>
      </c>
      <c r="BB286" s="456">
        <v>0.0</v>
      </c>
      <c r="BC286" s="456">
        <v>0.0</v>
      </c>
      <c r="BD286" s="456" t="s">
        <v>377</v>
      </c>
      <c r="BE286" s="456" t="s">
        <v>377</v>
      </c>
      <c r="BF286" s="456">
        <v>0.0</v>
      </c>
      <c r="BG286" s="456">
        <v>0.0</v>
      </c>
      <c r="BH286" s="456">
        <v>0.0</v>
      </c>
      <c r="BI286" s="456">
        <v>0.0</v>
      </c>
      <c r="BJ286" s="456">
        <v>0.0</v>
      </c>
      <c r="BK286" s="456">
        <v>0.0</v>
      </c>
      <c r="BL286" s="456">
        <v>0.0</v>
      </c>
      <c r="BM286" s="456">
        <v>0.0</v>
      </c>
      <c r="BN286" s="456">
        <v>0.0</v>
      </c>
      <c r="BO286" s="456">
        <v>0.0</v>
      </c>
      <c r="BP286" s="456">
        <v>0.0</v>
      </c>
      <c r="BQ286" s="456">
        <v>0.0</v>
      </c>
      <c r="BR286" s="456">
        <v>0.0</v>
      </c>
      <c r="BS286" s="90" t="s">
        <v>268</v>
      </c>
      <c r="BT286" s="90"/>
    </row>
    <row r="287" ht="15.75" customHeight="1">
      <c r="A287" s="444" t="s">
        <v>98</v>
      </c>
      <c r="B287" s="445" t="s">
        <v>5897</v>
      </c>
      <c r="C287" s="458" t="s">
        <v>5898</v>
      </c>
      <c r="D287" s="449">
        <v>4954616.0</v>
      </c>
      <c r="E287" s="449" t="s">
        <v>120</v>
      </c>
      <c r="F287" s="449" t="s">
        <v>54</v>
      </c>
      <c r="G287" s="449" t="s">
        <v>125</v>
      </c>
      <c r="H287" s="449"/>
      <c r="I287" s="449"/>
      <c r="J287" s="49" t="s">
        <v>2318</v>
      </c>
      <c r="K287" s="449"/>
      <c r="L287" s="460"/>
      <c r="M287" s="460"/>
      <c r="N287" s="459"/>
      <c r="O287" s="449" t="s">
        <v>2356</v>
      </c>
      <c r="P287" s="452">
        <v>0.01</v>
      </c>
      <c r="Q287" s="461"/>
      <c r="R287" s="453"/>
      <c r="S287" s="449"/>
      <c r="T287" s="449"/>
      <c r="U287" s="449"/>
      <c r="V287" s="449" t="s">
        <v>54</v>
      </c>
      <c r="W287" s="455"/>
      <c r="X287" s="455"/>
      <c r="Y287" s="455"/>
      <c r="Z287" s="455"/>
      <c r="AA287" s="455"/>
      <c r="AB287" s="455"/>
      <c r="AC287" s="455"/>
      <c r="AD287" s="455"/>
      <c r="AE287" s="455"/>
      <c r="AF287" s="455"/>
      <c r="AG287" s="455"/>
      <c r="AH287" s="455"/>
      <c r="AI287" s="455"/>
      <c r="AJ287" s="455"/>
      <c r="AK287" s="456"/>
      <c r="AL287" s="456"/>
      <c r="AM287" s="456"/>
      <c r="AN287" s="456"/>
      <c r="AO287" s="456"/>
      <c r="AP287" s="456"/>
      <c r="AQ287" s="456"/>
      <c r="AR287" s="456"/>
      <c r="AS287" s="456"/>
      <c r="AT287" s="456"/>
      <c r="AU287" s="456"/>
      <c r="AV287" s="456"/>
      <c r="AW287" s="456"/>
      <c r="AX287" s="456"/>
      <c r="AY287" s="456"/>
      <c r="AZ287" s="456"/>
      <c r="BA287" s="456"/>
      <c r="BB287" s="456"/>
      <c r="BC287" s="456"/>
      <c r="BD287" s="456"/>
      <c r="BE287" s="456"/>
      <c r="BF287" s="456"/>
      <c r="BG287" s="456"/>
      <c r="BH287" s="456"/>
      <c r="BI287" s="456">
        <v>0.0</v>
      </c>
      <c r="BJ287" s="456">
        <v>0.0</v>
      </c>
      <c r="BK287" s="456">
        <v>0.0</v>
      </c>
      <c r="BL287" s="456">
        <v>0.0</v>
      </c>
      <c r="BM287" s="456">
        <v>0.0</v>
      </c>
      <c r="BN287" s="456">
        <v>0.0</v>
      </c>
      <c r="BO287" s="456">
        <v>0.0</v>
      </c>
      <c r="BP287" s="456">
        <v>0.0</v>
      </c>
      <c r="BQ287" s="456">
        <v>0.0</v>
      </c>
      <c r="BR287" s="456">
        <v>0.0</v>
      </c>
      <c r="BS287" s="90">
        <v>0.0</v>
      </c>
      <c r="BT287" s="90"/>
    </row>
    <row r="288" ht="15.75" customHeight="1">
      <c r="A288" s="444" t="s">
        <v>98</v>
      </c>
      <c r="B288" s="183" t="s">
        <v>5903</v>
      </c>
      <c r="C288" s="458" t="s">
        <v>5904</v>
      </c>
      <c r="D288" s="449">
        <v>9398037.0</v>
      </c>
      <c r="E288" s="449" t="s">
        <v>120</v>
      </c>
      <c r="F288" s="449" t="s">
        <v>199</v>
      </c>
      <c r="G288" s="449" t="s">
        <v>4715</v>
      </c>
      <c r="H288" s="449"/>
      <c r="I288" s="449"/>
      <c r="J288" s="74" t="s">
        <v>183</v>
      </c>
      <c r="K288" s="449"/>
      <c r="L288" s="460"/>
      <c r="M288" s="460"/>
      <c r="N288" s="459"/>
      <c r="O288" s="449" t="s">
        <v>2341</v>
      </c>
      <c r="P288" s="452">
        <v>0.015</v>
      </c>
      <c r="Q288" s="461" t="s">
        <v>5907</v>
      </c>
      <c r="R288" s="453"/>
      <c r="S288" s="449"/>
      <c r="T288" s="449"/>
      <c r="U288" s="449"/>
      <c r="V288" s="449" t="s">
        <v>199</v>
      </c>
      <c r="W288" s="455"/>
      <c r="X288" s="455"/>
      <c r="Y288" s="455"/>
      <c r="Z288" s="455"/>
      <c r="AA288" s="455"/>
      <c r="AB288" s="455"/>
      <c r="AC288" s="455"/>
      <c r="AD288" s="455"/>
      <c r="AE288" s="455"/>
      <c r="AF288" s="455"/>
      <c r="AG288" s="455"/>
      <c r="AH288" s="455"/>
      <c r="AI288" s="455"/>
      <c r="AJ288" s="455"/>
      <c r="AK288" s="456"/>
      <c r="AL288" s="456"/>
      <c r="AM288" s="456"/>
      <c r="AN288" s="456"/>
      <c r="AO288" s="456"/>
      <c r="AP288" s="456"/>
      <c r="AQ288" s="456"/>
      <c r="AR288" s="456"/>
      <c r="AS288" s="456"/>
      <c r="AT288" s="456"/>
      <c r="AU288" s="456"/>
      <c r="AV288" s="456"/>
      <c r="AW288" s="456"/>
      <c r="AX288" s="456"/>
      <c r="AY288" s="456"/>
      <c r="AZ288" s="456"/>
      <c r="BA288" s="456"/>
      <c r="BB288" s="456"/>
      <c r="BC288" s="456"/>
      <c r="BD288" s="456"/>
      <c r="BE288" s="456"/>
      <c r="BF288" s="456"/>
      <c r="BG288" s="456"/>
      <c r="BH288" s="456"/>
      <c r="BI288" s="456"/>
      <c r="BJ288" s="456">
        <v>50128.04</v>
      </c>
      <c r="BK288" s="456">
        <v>50643.08</v>
      </c>
      <c r="BL288" s="456">
        <v>51296.25</v>
      </c>
      <c r="BM288" s="456">
        <v>51809.09</v>
      </c>
      <c r="BN288" s="456">
        <v>52436.09</v>
      </c>
      <c r="BO288" s="456">
        <v>52890.05</v>
      </c>
      <c r="BP288" s="456">
        <v>53362.71</v>
      </c>
      <c r="BQ288" s="456">
        <v>53778.16</v>
      </c>
      <c r="BR288" s="456">
        <v>54360.79</v>
      </c>
      <c r="BS288" s="90">
        <v>60916.81</v>
      </c>
      <c r="BT288" s="90"/>
    </row>
    <row r="289" ht="15.75" customHeight="1">
      <c r="A289" s="444" t="s">
        <v>98</v>
      </c>
      <c r="B289" s="445" t="s">
        <v>5913</v>
      </c>
      <c r="C289" s="458" t="s">
        <v>5915</v>
      </c>
      <c r="D289" s="449">
        <v>4645513.0</v>
      </c>
      <c r="E289" s="449" t="s">
        <v>255</v>
      </c>
      <c r="F289" s="449" t="s">
        <v>199</v>
      </c>
      <c r="G289" s="449" t="s">
        <v>3855</v>
      </c>
      <c r="H289" s="449" t="str">
        <f>IFERROR(VLOOKUP(G289,'Cadastro de assessores'!A:B,2,FALSE),"Não Cadastrado")</f>
        <v>19634</v>
      </c>
      <c r="I289" s="449"/>
      <c r="J289" s="49" t="s">
        <v>224</v>
      </c>
      <c r="K289" s="449" t="s">
        <v>2340</v>
      </c>
      <c r="L289" s="460">
        <v>44172.0</v>
      </c>
      <c r="M289" s="460">
        <v>44172.0</v>
      </c>
      <c r="N289" s="459">
        <v>44495.0</v>
      </c>
      <c r="O289" s="449" t="s">
        <v>2319</v>
      </c>
      <c r="P289" s="452">
        <v>0.02</v>
      </c>
      <c r="Q289" s="461" t="s">
        <v>5919</v>
      </c>
      <c r="R289" s="453"/>
      <c r="S289" s="449" t="str">
        <f>IF(BC289&lt;=0,"",IF(BC289&lt;=1000000,"Não Qualificado",IF(AND(BC289&gt;1000000,BC289&lt;=10000000),"Qualificado","Profissional")))</f>
        <v>Não Qualificado</v>
      </c>
      <c r="T289" s="449" t="s">
        <v>194</v>
      </c>
      <c r="U289" s="449" t="s">
        <v>5920</v>
      </c>
      <c r="V289" s="449" t="s">
        <v>54</v>
      </c>
      <c r="W289" s="455" t="s">
        <v>2344</v>
      </c>
      <c r="X289" s="455" t="s">
        <v>2344</v>
      </c>
      <c r="Y289" s="455" t="s">
        <v>2344</v>
      </c>
      <c r="Z289" s="455" t="s">
        <v>2344</v>
      </c>
      <c r="AA289" s="455" t="s">
        <v>2344</v>
      </c>
      <c r="AB289" s="455" t="s">
        <v>2344</v>
      </c>
      <c r="AC289" s="455" t="s">
        <v>2344</v>
      </c>
      <c r="AD289" s="455" t="s">
        <v>2344</v>
      </c>
      <c r="AE289" s="455" t="s">
        <v>2344</v>
      </c>
      <c r="AF289" s="455" t="s">
        <v>2344</v>
      </c>
      <c r="AG289" s="455" t="s">
        <v>2344</v>
      </c>
      <c r="AH289" s="455" t="s">
        <v>2344</v>
      </c>
      <c r="AI289" s="455" t="s">
        <v>5921</v>
      </c>
      <c r="AJ289" s="455" t="s">
        <v>5922</v>
      </c>
      <c r="AK289" s="456">
        <v>329546.06</v>
      </c>
      <c r="AL289" s="456">
        <v>205365.62</v>
      </c>
      <c r="AM289" s="456">
        <v>305910.29</v>
      </c>
      <c r="AN289" s="456">
        <v>304267.98</v>
      </c>
      <c r="AO289" s="456">
        <v>319354.3</v>
      </c>
      <c r="AP289" s="456">
        <v>322065.12</v>
      </c>
      <c r="AQ289" s="456">
        <v>320049.4</v>
      </c>
      <c r="AR289" s="456">
        <v>331508.61</v>
      </c>
      <c r="AS289" s="456">
        <v>326746.71</v>
      </c>
      <c r="AT289" s="456">
        <v>316433.87</v>
      </c>
      <c r="AU289" s="456">
        <v>312831.21</v>
      </c>
      <c r="AV289" s="456">
        <v>302599.64</v>
      </c>
      <c r="AW289" s="456">
        <v>286912.63</v>
      </c>
      <c r="AX289" s="456"/>
      <c r="AY289" s="456"/>
      <c r="AZ289" s="456"/>
      <c r="BA289" s="456">
        <v>0.0</v>
      </c>
      <c r="BB289" s="456">
        <v>0.0</v>
      </c>
      <c r="BC289" s="456">
        <v>171033.57</v>
      </c>
      <c r="BD289" s="456" t="s">
        <v>377</v>
      </c>
      <c r="BE289" s="456" t="s">
        <v>377</v>
      </c>
      <c r="BF289" s="456">
        <v>0.0</v>
      </c>
      <c r="BG289" s="456">
        <v>0.0</v>
      </c>
      <c r="BH289" s="456">
        <v>0.0</v>
      </c>
      <c r="BI289" s="456">
        <v>0.0</v>
      </c>
      <c r="BJ289" s="456">
        <v>0.0</v>
      </c>
      <c r="BK289" s="456">
        <v>0.0</v>
      </c>
      <c r="BL289" s="456">
        <v>0.0</v>
      </c>
      <c r="BM289" s="456">
        <v>0.0</v>
      </c>
      <c r="BN289" s="456">
        <v>0.0</v>
      </c>
      <c r="BO289" s="456">
        <v>0.0</v>
      </c>
      <c r="BP289" s="456">
        <v>0.0</v>
      </c>
      <c r="BQ289" s="456">
        <v>0.0</v>
      </c>
      <c r="BR289" s="456">
        <v>0.0</v>
      </c>
      <c r="BS289" s="90" t="s">
        <v>268</v>
      </c>
      <c r="BT289" s="90"/>
    </row>
    <row r="290" ht="15.75" customHeight="1">
      <c r="A290" s="444" t="s">
        <v>98</v>
      </c>
      <c r="B290" s="445" t="s">
        <v>843</v>
      </c>
      <c r="C290" s="468" t="s">
        <v>839</v>
      </c>
      <c r="D290" s="446">
        <v>8126020.0</v>
      </c>
      <c r="E290" s="447" t="s">
        <v>120</v>
      </c>
      <c r="F290" s="448" t="s">
        <v>199</v>
      </c>
      <c r="G290" s="446" t="s">
        <v>841</v>
      </c>
      <c r="H290" s="446"/>
      <c r="I290" s="446"/>
      <c r="J290" s="49" t="s">
        <v>2318</v>
      </c>
      <c r="K290" s="447"/>
      <c r="L290" s="450"/>
      <c r="M290" s="450"/>
      <c r="N290" s="449"/>
      <c r="O290" s="449" t="s">
        <v>2341</v>
      </c>
      <c r="P290" s="452">
        <v>0.015</v>
      </c>
      <c r="Q290" s="330" t="s">
        <v>5929</v>
      </c>
      <c r="R290" s="453"/>
      <c r="S290" s="449"/>
      <c r="T290" s="449"/>
      <c r="U290" s="449"/>
      <c r="V290" s="449" t="s">
        <v>199</v>
      </c>
      <c r="W290" s="454"/>
      <c r="X290" s="454"/>
      <c r="Y290" s="454"/>
      <c r="Z290" s="454"/>
      <c r="AA290" s="454"/>
      <c r="AB290" s="454"/>
      <c r="AC290" s="454"/>
      <c r="AD290" s="454"/>
      <c r="AE290" s="454"/>
      <c r="AF290" s="454"/>
      <c r="AG290" s="454"/>
      <c r="AH290" s="454"/>
      <c r="AI290" s="455"/>
      <c r="AJ290" s="456"/>
      <c r="AK290" s="456"/>
      <c r="AL290" s="456"/>
      <c r="AM290" s="456"/>
      <c r="AN290" s="456"/>
      <c r="AO290" s="456"/>
      <c r="AP290" s="456"/>
      <c r="AQ290" s="456"/>
      <c r="AR290" s="456"/>
      <c r="AS290" s="454"/>
      <c r="AT290" s="481"/>
      <c r="AU290" s="481"/>
      <c r="AV290" s="456"/>
      <c r="AW290" s="456"/>
      <c r="AX290" s="456"/>
      <c r="AY290" s="456"/>
      <c r="AZ290" s="456"/>
      <c r="BA290" s="456"/>
      <c r="BB290" s="456"/>
      <c r="BC290" s="456"/>
      <c r="BD290" s="456"/>
      <c r="BE290" s="456"/>
      <c r="BF290" s="456"/>
      <c r="BG290" s="456"/>
      <c r="BH290" s="456"/>
      <c r="BI290" s="456"/>
      <c r="BJ290" s="456"/>
      <c r="BK290" s="456"/>
      <c r="BL290" s="456">
        <v>7000.0</v>
      </c>
      <c r="BM290" s="456">
        <v>1000.0</v>
      </c>
      <c r="BN290" s="456">
        <v>0.0</v>
      </c>
      <c r="BO290" s="456">
        <v>0.0</v>
      </c>
      <c r="BP290" s="456">
        <v>0.0</v>
      </c>
      <c r="BQ290" s="456">
        <v>0.0</v>
      </c>
      <c r="BR290" s="456">
        <v>0.0</v>
      </c>
      <c r="BS290" s="90" t="s">
        <v>268</v>
      </c>
      <c r="BT290" s="90"/>
    </row>
    <row r="291" ht="15.75" customHeight="1">
      <c r="A291" s="444" t="s">
        <v>98</v>
      </c>
      <c r="B291" s="445" t="s">
        <v>5933</v>
      </c>
      <c r="C291" s="468" t="s">
        <v>5934</v>
      </c>
      <c r="D291" s="446">
        <v>5905556.0</v>
      </c>
      <c r="E291" s="447" t="s">
        <v>120</v>
      </c>
      <c r="F291" s="448" t="s">
        <v>199</v>
      </c>
      <c r="G291" s="446" t="s">
        <v>439</v>
      </c>
      <c r="H291" s="446" t="str">
        <f>IFERROR(VLOOKUP(G291,'Cadastro de assessores'!A:B,2,FALSE),"Não Cadastrado")</f>
        <v>18236</v>
      </c>
      <c r="I291" s="446"/>
      <c r="J291" s="49" t="s">
        <v>2318</v>
      </c>
      <c r="K291" s="447" t="s">
        <v>183</v>
      </c>
      <c r="L291" s="450">
        <v>44389.0</v>
      </c>
      <c r="M291" s="450">
        <v>44393.0</v>
      </c>
      <c r="N291" s="449"/>
      <c r="O291" s="449" t="s">
        <v>2319</v>
      </c>
      <c r="P291" s="452">
        <v>0.02</v>
      </c>
      <c r="Q291" s="330"/>
      <c r="R291" s="453"/>
      <c r="S291" s="449" t="str">
        <f t="shared" ref="S291:S293" si="31">IF(BC291&lt;=0,"",IF(BC291&lt;=1000000,"Não Qualificado",IF(AND(BC291&gt;1000000,BC291&lt;=10000000),"Qualificado","Profissional")))</f>
        <v/>
      </c>
      <c r="T291" s="449" t="s">
        <v>194</v>
      </c>
      <c r="U291" s="449" t="s">
        <v>2401</v>
      </c>
      <c r="V291" s="449" t="s">
        <v>199</v>
      </c>
      <c r="W291" s="454"/>
      <c r="X291" s="454"/>
      <c r="Y291" s="454"/>
      <c r="Z291" s="454"/>
      <c r="AA291" s="454"/>
      <c r="AB291" s="454"/>
      <c r="AC291" s="454"/>
      <c r="AD291" s="454"/>
      <c r="AE291" s="454"/>
      <c r="AF291" s="454"/>
      <c r="AG291" s="454"/>
      <c r="AH291" s="454"/>
      <c r="AI291" s="455"/>
      <c r="AJ291" s="456"/>
      <c r="AK291" s="456"/>
      <c r="AL291" s="456"/>
      <c r="AM291" s="456"/>
      <c r="AN291" s="456"/>
      <c r="AO291" s="456"/>
      <c r="AP291" s="456"/>
      <c r="AQ291" s="456"/>
      <c r="AR291" s="456"/>
      <c r="AS291" s="454"/>
      <c r="AT291" s="481">
        <v>96469.71</v>
      </c>
      <c r="AU291" s="481">
        <v>95332.49</v>
      </c>
      <c r="AV291" s="456">
        <v>92604.52</v>
      </c>
      <c r="AW291" s="456">
        <v>88372.16</v>
      </c>
      <c r="AX291" s="456">
        <v>88172.69</v>
      </c>
      <c r="AY291" s="456">
        <v>77546.64</v>
      </c>
      <c r="AZ291" s="456">
        <v>81352.37</v>
      </c>
      <c r="BA291" s="456">
        <v>87385.99</v>
      </c>
      <c r="BB291" s="456">
        <v>96671.79</v>
      </c>
      <c r="BC291" s="456">
        <v>0.0</v>
      </c>
      <c r="BD291" s="456">
        <v>94547.73</v>
      </c>
      <c r="BE291" s="456">
        <v>92679.64</v>
      </c>
      <c r="BF291" s="456">
        <v>90744.48</v>
      </c>
      <c r="BG291" s="456">
        <v>75280.12908</v>
      </c>
      <c r="BH291" s="456">
        <v>44144.69</v>
      </c>
      <c r="BI291" s="456">
        <v>198314.39</v>
      </c>
      <c r="BJ291" s="456">
        <v>159445.05</v>
      </c>
      <c r="BK291" s="456">
        <v>148951.53</v>
      </c>
      <c r="BL291" s="456">
        <v>120617.66</v>
      </c>
      <c r="BM291" s="456">
        <v>99306.6</v>
      </c>
      <c r="BN291" s="456">
        <v>91281.83</v>
      </c>
      <c r="BO291" s="456">
        <v>64272.01</v>
      </c>
      <c r="BP291" s="456">
        <v>57846.53</v>
      </c>
      <c r="BQ291" s="456">
        <v>32885.3</v>
      </c>
      <c r="BR291" s="456">
        <v>17389.31</v>
      </c>
      <c r="BS291" s="90" t="s">
        <v>268</v>
      </c>
      <c r="BT291" s="90"/>
    </row>
    <row r="292" ht="15.75" customHeight="1">
      <c r="A292" s="444" t="s">
        <v>98</v>
      </c>
      <c r="B292" s="445" t="s">
        <v>5946</v>
      </c>
      <c r="C292" s="458" t="s">
        <v>5947</v>
      </c>
      <c r="D292" s="449">
        <v>4554462.0</v>
      </c>
      <c r="E292" s="449" t="s">
        <v>255</v>
      </c>
      <c r="F292" s="449" t="s">
        <v>199</v>
      </c>
      <c r="G292" s="449" t="s">
        <v>4771</v>
      </c>
      <c r="H292" s="449" t="str">
        <f>IFERROR(VLOOKUP(G292,'Cadastro de assessores'!A:B,2,FALSE),"Não Cadastrado")</f>
        <v>12639</v>
      </c>
      <c r="I292" s="449"/>
      <c r="J292" s="49" t="s">
        <v>224</v>
      </c>
      <c r="K292" s="449" t="s">
        <v>2340</v>
      </c>
      <c r="L292" s="459">
        <v>44130.0</v>
      </c>
      <c r="M292" s="459">
        <v>44130.0</v>
      </c>
      <c r="N292" s="460">
        <v>44538.0</v>
      </c>
      <c r="O292" s="449" t="s">
        <v>2341</v>
      </c>
      <c r="P292" s="452">
        <v>0.015</v>
      </c>
      <c r="Q292" s="461" t="s">
        <v>5949</v>
      </c>
      <c r="R292" s="453"/>
      <c r="S292" s="449" t="str">
        <f t="shared" si="31"/>
        <v>Não Qualificado</v>
      </c>
      <c r="T292" s="449" t="s">
        <v>194</v>
      </c>
      <c r="U292" s="449" t="s">
        <v>2343</v>
      </c>
      <c r="V292" s="449" t="s">
        <v>199</v>
      </c>
      <c r="W292" s="455"/>
      <c r="X292" s="455"/>
      <c r="Y292" s="455"/>
      <c r="Z292" s="455"/>
      <c r="AA292" s="455"/>
      <c r="AB292" s="455"/>
      <c r="AC292" s="455"/>
      <c r="AD292" s="455"/>
      <c r="AE292" s="455"/>
      <c r="AF292" s="455"/>
      <c r="AG292" s="455"/>
      <c r="AH292" s="455"/>
      <c r="AI292" s="455" t="s">
        <v>5950</v>
      </c>
      <c r="AJ292" s="455" t="s">
        <v>5922</v>
      </c>
      <c r="AK292" s="456"/>
      <c r="AL292" s="456"/>
      <c r="AM292" s="456"/>
      <c r="AN292" s="456"/>
      <c r="AO292" s="456">
        <v>203907.82</v>
      </c>
      <c r="AP292" s="456">
        <v>205118.43</v>
      </c>
      <c r="AQ292" s="456">
        <v>204270.83</v>
      </c>
      <c r="AR292" s="456">
        <v>208846.83</v>
      </c>
      <c r="AS292" s="456">
        <v>207230.32</v>
      </c>
      <c r="AT292" s="456">
        <v>203171.67</v>
      </c>
      <c r="AU292" s="456">
        <v>171690.54</v>
      </c>
      <c r="AV292" s="456">
        <v>168189.0</v>
      </c>
      <c r="AW292" s="456">
        <v>162503.43</v>
      </c>
      <c r="AX292" s="456">
        <v>162642.22</v>
      </c>
      <c r="AY292" s="456"/>
      <c r="AZ292" s="456"/>
      <c r="BA292" s="456"/>
      <c r="BB292" s="456"/>
      <c r="BC292" s="456">
        <v>135652.4</v>
      </c>
      <c r="BD292" s="456" t="s">
        <v>377</v>
      </c>
      <c r="BE292" s="456" t="s">
        <v>377</v>
      </c>
      <c r="BF292" s="456">
        <v>0.0</v>
      </c>
      <c r="BG292" s="456">
        <v>0.0</v>
      </c>
      <c r="BH292" s="456">
        <v>0.0</v>
      </c>
      <c r="BI292" s="456">
        <v>0.0</v>
      </c>
      <c r="BJ292" s="456">
        <v>0.0</v>
      </c>
      <c r="BK292" s="456">
        <v>0.0</v>
      </c>
      <c r="BL292" s="456">
        <v>0.0</v>
      </c>
      <c r="BM292" s="456">
        <v>0.0</v>
      </c>
      <c r="BN292" s="456">
        <v>0.0</v>
      </c>
      <c r="BO292" s="456">
        <v>0.0</v>
      </c>
      <c r="BP292" s="456">
        <v>0.0</v>
      </c>
      <c r="BQ292" s="456">
        <v>0.0</v>
      </c>
      <c r="BR292" s="456">
        <v>0.0</v>
      </c>
      <c r="BS292" s="90" t="s">
        <v>268</v>
      </c>
      <c r="BT292" s="90"/>
    </row>
    <row r="293" ht="15.75" customHeight="1">
      <c r="A293" s="444" t="s">
        <v>98</v>
      </c>
      <c r="B293" s="445" t="s">
        <v>5954</v>
      </c>
      <c r="C293" s="468" t="s">
        <v>5955</v>
      </c>
      <c r="D293" s="448">
        <v>4988368.0</v>
      </c>
      <c r="E293" s="447" t="s">
        <v>120</v>
      </c>
      <c r="F293" s="447" t="s">
        <v>199</v>
      </c>
      <c r="G293" s="447" t="s">
        <v>1340</v>
      </c>
      <c r="H293" s="449" t="str">
        <f>IFERROR(VLOOKUP(G293,'Cadastro de assessores'!A:B,2,FALSE),"Não Cadastrado")</f>
        <v>13444</v>
      </c>
      <c r="I293" s="449"/>
      <c r="J293" s="74" t="s">
        <v>183</v>
      </c>
      <c r="K293" s="447" t="s">
        <v>183</v>
      </c>
      <c r="L293" s="700">
        <v>44293.0</v>
      </c>
      <c r="M293" s="700">
        <v>44293.0</v>
      </c>
      <c r="N293" s="446"/>
      <c r="O293" s="446" t="s">
        <v>2452</v>
      </c>
      <c r="P293" s="465">
        <v>0.008</v>
      </c>
      <c r="Q293" s="330"/>
      <c r="R293" s="453"/>
      <c r="S293" s="449" t="str">
        <f t="shared" si="31"/>
        <v>Não Qualificado</v>
      </c>
      <c r="T293" s="449" t="s">
        <v>194</v>
      </c>
      <c r="U293" s="449" t="s">
        <v>3281</v>
      </c>
      <c r="V293" s="449" t="s">
        <v>199</v>
      </c>
      <c r="W293" s="454"/>
      <c r="X293" s="454"/>
      <c r="Y293" s="454"/>
      <c r="Z293" s="454"/>
      <c r="AA293" s="454"/>
      <c r="AB293" s="454"/>
      <c r="AC293" s="454"/>
      <c r="AD293" s="454"/>
      <c r="AE293" s="454"/>
      <c r="AF293" s="454"/>
      <c r="AG293" s="454"/>
      <c r="AH293" s="454"/>
      <c r="AI293" s="454"/>
      <c r="AJ293" s="454"/>
      <c r="AK293" s="454"/>
      <c r="AL293" s="456"/>
      <c r="AM293" s="456"/>
      <c r="AN293" s="456"/>
      <c r="AO293" s="456"/>
      <c r="AP293" s="456">
        <v>99963.06</v>
      </c>
      <c r="AQ293" s="456">
        <v>100443.57</v>
      </c>
      <c r="AR293" s="456">
        <v>98241.13</v>
      </c>
      <c r="AS293" s="456">
        <v>97049.53</v>
      </c>
      <c r="AT293" s="456">
        <v>99209.56</v>
      </c>
      <c r="AU293" s="456">
        <v>96163.76</v>
      </c>
      <c r="AV293" s="456">
        <v>95085.21</v>
      </c>
      <c r="AW293" s="456">
        <v>94158.86</v>
      </c>
      <c r="AX293" s="456">
        <v>89477.18</v>
      </c>
      <c r="AY293" s="456">
        <v>95178.71</v>
      </c>
      <c r="AZ293" s="456">
        <v>95488.6</v>
      </c>
      <c r="BA293" s="456">
        <v>95495.22</v>
      </c>
      <c r="BB293" s="456">
        <v>96453.63</v>
      </c>
      <c r="BC293" s="456">
        <v>197226.95</v>
      </c>
      <c r="BD293" s="456">
        <v>97352.08</v>
      </c>
      <c r="BE293" s="456">
        <v>97349.84</v>
      </c>
      <c r="BF293" s="456">
        <v>98428.14</v>
      </c>
      <c r="BG293" s="456">
        <v>100785.74</v>
      </c>
      <c r="BH293" s="456">
        <v>100695.83</v>
      </c>
      <c r="BI293" s="456">
        <v>101678.19</v>
      </c>
      <c r="BJ293" s="456">
        <v>98640.43</v>
      </c>
      <c r="BK293" s="456">
        <v>98152.54</v>
      </c>
      <c r="BL293" s="456">
        <v>88635.97</v>
      </c>
      <c r="BM293" s="456">
        <v>87842.73</v>
      </c>
      <c r="BN293" s="456">
        <v>86492.87</v>
      </c>
      <c r="BO293" s="456">
        <v>89374.16</v>
      </c>
      <c r="BP293" s="456">
        <v>92952.14</v>
      </c>
      <c r="BQ293" s="456">
        <v>96941.44</v>
      </c>
      <c r="BR293" s="456">
        <v>99749.18</v>
      </c>
      <c r="BS293" s="90">
        <v>88830.55</v>
      </c>
      <c r="BT293" s="90"/>
    </row>
    <row r="294" ht="15.75" customHeight="1">
      <c r="A294" s="444" t="s">
        <v>98</v>
      </c>
      <c r="B294" s="445" t="s">
        <v>5961</v>
      </c>
      <c r="C294" s="468" t="s">
        <v>5962</v>
      </c>
      <c r="D294" s="469">
        <v>4823267.0</v>
      </c>
      <c r="E294" s="448" t="s">
        <v>120</v>
      </c>
      <c r="F294" s="448" t="s">
        <v>199</v>
      </c>
      <c r="G294" s="447" t="s">
        <v>212</v>
      </c>
      <c r="H294" s="447"/>
      <c r="I294" s="447"/>
      <c r="J294" s="49" t="s">
        <v>2318</v>
      </c>
      <c r="K294" s="447"/>
      <c r="L294" s="470"/>
      <c r="M294" s="470">
        <v>44945.0</v>
      </c>
      <c r="N294" s="449"/>
      <c r="O294" s="449" t="s">
        <v>2356</v>
      </c>
      <c r="P294" s="452">
        <v>0.012</v>
      </c>
      <c r="Q294" s="461"/>
      <c r="R294" s="453"/>
      <c r="S294" s="449"/>
      <c r="T294" s="449"/>
      <c r="U294" s="449"/>
      <c r="V294" s="449" t="s">
        <v>475</v>
      </c>
      <c r="W294" s="455"/>
      <c r="X294" s="455"/>
      <c r="Y294" s="455"/>
      <c r="Z294" s="455"/>
      <c r="AA294" s="455"/>
      <c r="AB294" s="455"/>
      <c r="AC294" s="455"/>
      <c r="AD294" s="455"/>
      <c r="AE294" s="455"/>
      <c r="AF294" s="455"/>
      <c r="AG294" s="455"/>
      <c r="AH294" s="455"/>
      <c r="AI294" s="455"/>
      <c r="AJ294" s="455"/>
      <c r="AK294" s="456"/>
      <c r="AL294" s="456"/>
      <c r="AM294" s="456"/>
      <c r="AN294" s="456"/>
      <c r="AO294" s="456"/>
      <c r="AP294" s="456"/>
      <c r="AQ294" s="456"/>
      <c r="AR294" s="456"/>
      <c r="AS294" s="456"/>
      <c r="AT294" s="456"/>
      <c r="AU294" s="456"/>
      <c r="AV294" s="456"/>
      <c r="AW294" s="456"/>
      <c r="AX294" s="456"/>
      <c r="AY294" s="456"/>
      <c r="AZ294" s="456"/>
      <c r="BA294" s="456"/>
      <c r="BB294" s="456"/>
      <c r="BC294" s="456"/>
      <c r="BD294" s="456"/>
      <c r="BE294" s="456"/>
      <c r="BF294" s="456"/>
      <c r="BG294" s="456"/>
      <c r="BH294" s="456"/>
      <c r="BI294" s="456"/>
      <c r="BJ294" s="456"/>
      <c r="BK294" s="456"/>
      <c r="BL294" s="456">
        <v>86558.3</v>
      </c>
      <c r="BM294" s="456">
        <v>45116.4</v>
      </c>
      <c r="BN294" s="456">
        <v>0.0</v>
      </c>
      <c r="BO294" s="456">
        <v>0.0</v>
      </c>
      <c r="BP294" s="456">
        <v>0.0</v>
      </c>
      <c r="BQ294" s="456">
        <v>0.0</v>
      </c>
      <c r="BR294" s="456">
        <v>0.0</v>
      </c>
      <c r="BS294" s="90" t="s">
        <v>268</v>
      </c>
      <c r="BT294" s="90"/>
    </row>
    <row r="295" ht="15.75" customHeight="1">
      <c r="A295" s="444" t="s">
        <v>98</v>
      </c>
      <c r="B295" s="445" t="s">
        <v>5968</v>
      </c>
      <c r="C295" s="468" t="s">
        <v>5969</v>
      </c>
      <c r="D295" s="469">
        <v>8023410.0</v>
      </c>
      <c r="E295" s="448" t="s">
        <v>120</v>
      </c>
      <c r="F295" s="448" t="s">
        <v>54</v>
      </c>
      <c r="G295" s="447" t="s">
        <v>1393</v>
      </c>
      <c r="H295" s="447" t="str">
        <f>IFERROR(VLOOKUP(G295,'Cadastro de assessores'!A:B,2,FALSE),"Não Cadastrado")</f>
        <v>17831</v>
      </c>
      <c r="I295" s="447"/>
      <c r="J295" s="49" t="s">
        <v>2318</v>
      </c>
      <c r="K295" s="447" t="s">
        <v>183</v>
      </c>
      <c r="L295" s="470">
        <v>44617.0</v>
      </c>
      <c r="M295" s="470">
        <v>44642.0</v>
      </c>
      <c r="N295" s="449"/>
      <c r="O295" s="449" t="s">
        <v>2365</v>
      </c>
      <c r="P295" s="452">
        <v>0.012</v>
      </c>
      <c r="Q295" s="461" t="s">
        <v>5973</v>
      </c>
      <c r="R295" s="453"/>
      <c r="S295" s="449" t="str">
        <f t="shared" ref="S295:S297" si="32">IF(BC295&lt;=0,"",IF(BC295&lt;=1000000,"Não Qualificado",IF(AND(BC295&gt;1000000,BC295&lt;=10000000),"Qualificado","Profissional")))</f>
        <v>Não Qualificado</v>
      </c>
      <c r="T295" s="449" t="s">
        <v>194</v>
      </c>
      <c r="U295" s="449" t="s">
        <v>2438</v>
      </c>
      <c r="V295" s="449" t="s">
        <v>54</v>
      </c>
      <c r="W295" s="455"/>
      <c r="X295" s="455"/>
      <c r="Y295" s="455"/>
      <c r="Z295" s="455"/>
      <c r="AA295" s="455"/>
      <c r="AB295" s="455"/>
      <c r="AC295" s="455"/>
      <c r="AD295" s="455"/>
      <c r="AE295" s="455"/>
      <c r="AF295" s="455"/>
      <c r="AG295" s="455"/>
      <c r="AH295" s="455"/>
      <c r="AI295" s="455"/>
      <c r="AJ295" s="455"/>
      <c r="AK295" s="456"/>
      <c r="AL295" s="456"/>
      <c r="AM295" s="456"/>
      <c r="AN295" s="456"/>
      <c r="AO295" s="456"/>
      <c r="AP295" s="456"/>
      <c r="AQ295" s="456"/>
      <c r="AR295" s="456"/>
      <c r="AS295" s="456"/>
      <c r="AT295" s="456"/>
      <c r="AU295" s="456"/>
      <c r="AV295" s="456"/>
      <c r="AW295" s="456"/>
      <c r="AX295" s="456"/>
      <c r="AY295" s="456"/>
      <c r="AZ295" s="456"/>
      <c r="BA295" s="456"/>
      <c r="BB295" s="456">
        <v>303257.45</v>
      </c>
      <c r="BC295" s="456">
        <v>101888.22</v>
      </c>
      <c r="BD295" s="456">
        <v>306956.53</v>
      </c>
      <c r="BE295" s="456">
        <v>307940.17</v>
      </c>
      <c r="BF295" s="456">
        <v>311174.01</v>
      </c>
      <c r="BG295" s="456">
        <v>313031.4226</v>
      </c>
      <c r="BH295" s="456">
        <v>314766.33</v>
      </c>
      <c r="BI295" s="456">
        <v>319192.21</v>
      </c>
      <c r="BJ295" s="456">
        <v>321469.84</v>
      </c>
      <c r="BK295" s="456">
        <v>324233.77</v>
      </c>
      <c r="BL295" s="456">
        <v>123118.27</v>
      </c>
      <c r="BM295" s="456">
        <v>93189.76</v>
      </c>
      <c r="BN295" s="456">
        <v>94201.17</v>
      </c>
      <c r="BO295" s="456">
        <v>95080.43</v>
      </c>
      <c r="BP295" s="456">
        <v>96062.0</v>
      </c>
      <c r="BQ295" s="456">
        <v>96222.37</v>
      </c>
      <c r="BR295" s="456">
        <v>97011.92</v>
      </c>
      <c r="BS295" s="90">
        <v>0.0</v>
      </c>
      <c r="BT295" s="90"/>
    </row>
    <row r="296" ht="15.75" customHeight="1">
      <c r="A296" s="444" t="s">
        <v>98</v>
      </c>
      <c r="B296" s="445" t="s">
        <v>5974</v>
      </c>
      <c r="C296" s="458" t="s">
        <v>5975</v>
      </c>
      <c r="D296" s="216">
        <v>4680314.0</v>
      </c>
      <c r="E296" s="447" t="s">
        <v>120</v>
      </c>
      <c r="F296" s="447" t="s">
        <v>199</v>
      </c>
      <c r="G296" s="447" t="s">
        <v>4852</v>
      </c>
      <c r="H296" s="447">
        <f>IFERROR(VLOOKUP(G296,'Cadastro de assessores'!A:B,2,FALSE),"Não Cadastrado")</f>
        <v>12340</v>
      </c>
      <c r="I296" s="447"/>
      <c r="J296" s="49" t="s">
        <v>2318</v>
      </c>
      <c r="K296" s="447" t="s">
        <v>183</v>
      </c>
      <c r="L296" s="451">
        <v>44181.0</v>
      </c>
      <c r="M296" s="451">
        <v>44186.0</v>
      </c>
      <c r="N296" s="449"/>
      <c r="O296" s="449" t="s">
        <v>2341</v>
      </c>
      <c r="P296" s="452">
        <v>0.015</v>
      </c>
      <c r="Q296" s="461"/>
      <c r="R296" s="453"/>
      <c r="S296" s="449" t="str">
        <f t="shared" si="32"/>
        <v/>
      </c>
      <c r="T296" s="449" t="s">
        <v>194</v>
      </c>
      <c r="U296" s="449" t="s">
        <v>2417</v>
      </c>
      <c r="V296" s="449" t="s">
        <v>199</v>
      </c>
      <c r="W296" s="455" t="s">
        <v>2344</v>
      </c>
      <c r="X296" s="455" t="s">
        <v>2344</v>
      </c>
      <c r="Y296" s="455" t="s">
        <v>2344</v>
      </c>
      <c r="Z296" s="455" t="s">
        <v>2344</v>
      </c>
      <c r="AA296" s="455" t="s">
        <v>2344</v>
      </c>
      <c r="AB296" s="455" t="s">
        <v>2344</v>
      </c>
      <c r="AC296" s="455" t="s">
        <v>2344</v>
      </c>
      <c r="AD296" s="455" t="s">
        <v>2344</v>
      </c>
      <c r="AE296" s="455" t="s">
        <v>2344</v>
      </c>
      <c r="AF296" s="455" t="s">
        <v>2344</v>
      </c>
      <c r="AG296" s="455" t="s">
        <v>2344</v>
      </c>
      <c r="AH296" s="455"/>
      <c r="AI296" s="455"/>
      <c r="AJ296" s="455"/>
      <c r="AK296" s="456">
        <v>100577.3</v>
      </c>
      <c r="AL296" s="456">
        <v>148725.97</v>
      </c>
      <c r="AM296" s="456">
        <v>144618.28</v>
      </c>
      <c r="AN296" s="456">
        <v>144412.38</v>
      </c>
      <c r="AO296" s="456">
        <v>149013.5</v>
      </c>
      <c r="AP296" s="456">
        <v>150002.52</v>
      </c>
      <c r="AQ296" s="456">
        <v>149416.74</v>
      </c>
      <c r="AR296" s="456">
        <v>152967.25</v>
      </c>
      <c r="AS296" s="456">
        <v>151735.84</v>
      </c>
      <c r="AT296" s="456">
        <v>148679.12</v>
      </c>
      <c r="AU296" s="456">
        <v>147757.02</v>
      </c>
      <c r="AV296" s="456">
        <v>144961.65</v>
      </c>
      <c r="AW296" s="456">
        <v>139301.15</v>
      </c>
      <c r="AX296" s="456">
        <v>139573.37</v>
      </c>
      <c r="AY296" s="456">
        <v>141521.42</v>
      </c>
      <c r="AZ296" s="456">
        <v>144725.21</v>
      </c>
      <c r="BA296" s="456">
        <v>145999.25</v>
      </c>
      <c r="BB296" s="456">
        <v>150946.87</v>
      </c>
      <c r="BC296" s="456"/>
      <c r="BD296" s="456">
        <v>150667.94</v>
      </c>
      <c r="BE296" s="456">
        <v>150146.3</v>
      </c>
      <c r="BF296" s="456">
        <v>152483.67</v>
      </c>
      <c r="BG296" s="456">
        <v>153180.1266</v>
      </c>
      <c r="BH296" s="456">
        <v>153671.85</v>
      </c>
      <c r="BI296" s="456">
        <v>159076.24</v>
      </c>
      <c r="BJ296" s="456">
        <v>158272.2</v>
      </c>
      <c r="BK296" s="456">
        <v>182891.96</v>
      </c>
      <c r="BL296" s="456">
        <v>160998.76</v>
      </c>
      <c r="BM296" s="456">
        <v>161990.96</v>
      </c>
      <c r="BN296" s="456">
        <v>0.0</v>
      </c>
      <c r="BO296" s="456">
        <v>0.0</v>
      </c>
      <c r="BP296" s="456">
        <v>0.0</v>
      </c>
      <c r="BQ296" s="456">
        <v>0.0</v>
      </c>
      <c r="BR296" s="456">
        <v>0.0</v>
      </c>
      <c r="BS296" s="90">
        <v>0.0</v>
      </c>
      <c r="BT296" s="90"/>
    </row>
    <row r="297" ht="15.75" customHeight="1">
      <c r="A297" s="444" t="s">
        <v>98</v>
      </c>
      <c r="B297" s="445" t="s">
        <v>5985</v>
      </c>
      <c r="C297" s="468" t="s">
        <v>5986</v>
      </c>
      <c r="D297" s="469">
        <v>7667659.0</v>
      </c>
      <c r="E297" s="448" t="s">
        <v>120</v>
      </c>
      <c r="F297" s="448" t="s">
        <v>54</v>
      </c>
      <c r="G297" s="447" t="s">
        <v>125</v>
      </c>
      <c r="H297" s="447" t="str">
        <f>IFERROR(VLOOKUP(G297,'Cadastro de assessores'!A:B,2,FALSE),"Não Cadastrado")</f>
        <v>18890</v>
      </c>
      <c r="I297" s="447"/>
      <c r="J297" s="74" t="s">
        <v>183</v>
      </c>
      <c r="K297" s="447" t="s">
        <v>183</v>
      </c>
      <c r="L297" s="470">
        <v>44641.0</v>
      </c>
      <c r="M297" s="470">
        <v>44645.0</v>
      </c>
      <c r="N297" s="449"/>
      <c r="O297" s="449" t="s">
        <v>2356</v>
      </c>
      <c r="P297" s="452">
        <v>0.007</v>
      </c>
      <c r="Q297" s="461"/>
      <c r="R297" s="453"/>
      <c r="S297" s="449" t="str">
        <f t="shared" si="32"/>
        <v>Não Qualificado</v>
      </c>
      <c r="T297" s="449" t="s">
        <v>194</v>
      </c>
      <c r="U297" s="449" t="s">
        <v>5987</v>
      </c>
      <c r="V297" s="449" t="s">
        <v>54</v>
      </c>
      <c r="W297" s="455"/>
      <c r="X297" s="455"/>
      <c r="Y297" s="455"/>
      <c r="Z297" s="455"/>
      <c r="AA297" s="455"/>
      <c r="AB297" s="455"/>
      <c r="AC297" s="455"/>
      <c r="AD297" s="455"/>
      <c r="AE297" s="455"/>
      <c r="AF297" s="455"/>
      <c r="AG297" s="455"/>
      <c r="AH297" s="455"/>
      <c r="AI297" s="455"/>
      <c r="AJ297" s="455"/>
      <c r="AK297" s="456"/>
      <c r="AL297" s="456"/>
      <c r="AM297" s="456"/>
      <c r="AN297" s="456"/>
      <c r="AO297" s="456"/>
      <c r="AP297" s="456"/>
      <c r="AQ297" s="456"/>
      <c r="AR297" s="456"/>
      <c r="AS297" s="456"/>
      <c r="AT297" s="456"/>
      <c r="AU297" s="456"/>
      <c r="AV297" s="456"/>
      <c r="AW297" s="456"/>
      <c r="AX297" s="456"/>
      <c r="AY297" s="456"/>
      <c r="AZ297" s="456"/>
      <c r="BA297" s="456"/>
      <c r="BB297" s="456">
        <v>0.0</v>
      </c>
      <c r="BC297" s="456">
        <v>272.08</v>
      </c>
      <c r="BD297" s="456">
        <v>51093.96</v>
      </c>
      <c r="BE297" s="456">
        <v>51406.68</v>
      </c>
      <c r="BF297" s="456">
        <v>51520.96</v>
      </c>
      <c r="BG297" s="456">
        <v>36542.71222</v>
      </c>
      <c r="BH297" s="456">
        <v>36571.84</v>
      </c>
      <c r="BI297" s="456">
        <v>36792.46</v>
      </c>
      <c r="BJ297" s="456">
        <v>36809.5</v>
      </c>
      <c r="BK297" s="456">
        <v>37105.89</v>
      </c>
      <c r="BL297" s="456">
        <v>37621.99</v>
      </c>
      <c r="BM297" s="456">
        <v>16417.9</v>
      </c>
      <c r="BN297" s="456">
        <v>38561.89</v>
      </c>
      <c r="BO297" s="456">
        <v>38950.61</v>
      </c>
      <c r="BP297" s="456">
        <v>39398.3</v>
      </c>
      <c r="BQ297" s="456">
        <v>39411.26</v>
      </c>
      <c r="BR297" s="456">
        <v>27250.95</v>
      </c>
      <c r="BS297" s="90">
        <v>22819.97</v>
      </c>
      <c r="BT297" s="90"/>
    </row>
    <row r="298" ht="15.75" customHeight="1">
      <c r="A298" s="444" t="s">
        <v>98</v>
      </c>
      <c r="B298" s="445" t="s">
        <v>5991</v>
      </c>
      <c r="C298" s="458" t="s">
        <v>5992</v>
      </c>
      <c r="D298" s="448">
        <v>2417083.0</v>
      </c>
      <c r="E298" s="447" t="s">
        <v>120</v>
      </c>
      <c r="F298" s="447" t="s">
        <v>54</v>
      </c>
      <c r="G298" s="447" t="s">
        <v>1393</v>
      </c>
      <c r="H298" s="447" t="str">
        <f>IFERROR(VLOOKUP(G298,'Cadastro de assessores'!A:B,2,FALSE),"Não Cadastrado")</f>
        <v>17831</v>
      </c>
      <c r="I298" s="447"/>
      <c r="J298" s="49" t="s">
        <v>224</v>
      </c>
      <c r="K298" s="447" t="s">
        <v>183</v>
      </c>
      <c r="L298" s="451">
        <v>44762.0</v>
      </c>
      <c r="M298" s="451">
        <v>44790.0</v>
      </c>
      <c r="N298" s="460">
        <v>44939.0</v>
      </c>
      <c r="O298" s="449" t="s">
        <v>2365</v>
      </c>
      <c r="P298" s="452">
        <v>0.012</v>
      </c>
      <c r="Q298" s="461" t="s">
        <v>5993</v>
      </c>
      <c r="R298" s="453"/>
      <c r="S298" s="449"/>
      <c r="T298" s="449"/>
      <c r="U298" s="449"/>
      <c r="V298" s="449" t="s">
        <v>3320</v>
      </c>
      <c r="W298" s="455"/>
      <c r="X298" s="455"/>
      <c r="Y298" s="455"/>
      <c r="Z298" s="455"/>
      <c r="AA298" s="455"/>
      <c r="AB298" s="455"/>
      <c r="AC298" s="455"/>
      <c r="AD298" s="455"/>
      <c r="AE298" s="455"/>
      <c r="AF298" s="455"/>
      <c r="AG298" s="455"/>
      <c r="AH298" s="455"/>
      <c r="AI298" s="455"/>
      <c r="AJ298" s="455"/>
      <c r="AK298" s="456"/>
      <c r="AL298" s="456"/>
      <c r="AM298" s="456"/>
      <c r="AN298" s="456"/>
      <c r="AO298" s="456"/>
      <c r="AP298" s="456"/>
      <c r="AQ298" s="456"/>
      <c r="AR298" s="456"/>
      <c r="AS298" s="456"/>
      <c r="AT298" s="456"/>
      <c r="AU298" s="456"/>
      <c r="AV298" s="456"/>
      <c r="AW298" s="456"/>
      <c r="AX298" s="456"/>
      <c r="AY298" s="456"/>
      <c r="AZ298" s="456"/>
      <c r="BA298" s="456"/>
      <c r="BB298" s="456"/>
      <c r="BC298" s="456"/>
      <c r="BD298" s="456"/>
      <c r="BE298" s="456"/>
      <c r="BF298" s="456"/>
      <c r="BG298" s="456">
        <v>663134.8764</v>
      </c>
      <c r="BH298" s="456">
        <v>668723.0</v>
      </c>
      <c r="BI298" s="456">
        <v>575232.35</v>
      </c>
      <c r="BJ298" s="456">
        <v>377849.86</v>
      </c>
      <c r="BK298" s="456">
        <v>310831.65</v>
      </c>
      <c r="BL298" s="456">
        <v>0.0</v>
      </c>
      <c r="BM298" s="456">
        <v>0.0</v>
      </c>
      <c r="BN298" s="456">
        <v>0.0</v>
      </c>
      <c r="BO298" s="456">
        <v>0.0</v>
      </c>
      <c r="BP298" s="456">
        <v>0.0</v>
      </c>
      <c r="BQ298" s="456">
        <v>0.0</v>
      </c>
      <c r="BR298" s="456">
        <v>0.0</v>
      </c>
      <c r="BS298" s="90" t="s">
        <v>268</v>
      </c>
      <c r="BT298" s="90"/>
    </row>
    <row r="299" ht="15.75" customHeight="1">
      <c r="A299" s="444" t="s">
        <v>98</v>
      </c>
      <c r="B299" s="445" t="s">
        <v>5996</v>
      </c>
      <c r="C299" s="468" t="s">
        <v>5997</v>
      </c>
      <c r="D299" s="214">
        <v>2114710.0</v>
      </c>
      <c r="E299" s="448" t="s">
        <v>120</v>
      </c>
      <c r="F299" s="448" t="s">
        <v>54</v>
      </c>
      <c r="G299" s="729" t="s">
        <v>5998</v>
      </c>
      <c r="H299" s="447" t="str">
        <f>IFERROR(VLOOKUP(G299,'Cadastro de assessores'!A:B,2,FALSE),"Não Cadastrado")</f>
        <v>Não Cadastrado</v>
      </c>
      <c r="I299" s="447"/>
      <c r="J299" s="49" t="s">
        <v>2318</v>
      </c>
      <c r="K299" s="447" t="s">
        <v>183</v>
      </c>
      <c r="L299" s="470">
        <v>44799.0</v>
      </c>
      <c r="M299" s="470">
        <v>44799.0</v>
      </c>
      <c r="N299" s="449"/>
      <c r="O299" s="449" t="s">
        <v>2365</v>
      </c>
      <c r="P299" s="452">
        <v>0.012</v>
      </c>
      <c r="Q299" s="461" t="s">
        <v>5999</v>
      </c>
      <c r="R299" s="453"/>
      <c r="S299" s="449"/>
      <c r="T299" s="449"/>
      <c r="U299" s="449"/>
      <c r="V299" s="449" t="s">
        <v>54</v>
      </c>
      <c r="W299" s="455"/>
      <c r="X299" s="455"/>
      <c r="Y299" s="455"/>
      <c r="Z299" s="455"/>
      <c r="AA299" s="455"/>
      <c r="AB299" s="455"/>
      <c r="AC299" s="455"/>
      <c r="AD299" s="455"/>
      <c r="AE299" s="455"/>
      <c r="AF299" s="455"/>
      <c r="AG299" s="455"/>
      <c r="AH299" s="455"/>
      <c r="AI299" s="455"/>
      <c r="AJ299" s="455"/>
      <c r="AK299" s="456"/>
      <c r="AL299" s="456"/>
      <c r="AM299" s="456"/>
      <c r="AN299" s="456"/>
      <c r="AO299" s="456"/>
      <c r="AP299" s="456"/>
      <c r="AQ299" s="456"/>
      <c r="AR299" s="456"/>
      <c r="AS299" s="456"/>
      <c r="AT299" s="456"/>
      <c r="AU299" s="456"/>
      <c r="AV299" s="456"/>
      <c r="AW299" s="456"/>
      <c r="AX299" s="456"/>
      <c r="AY299" s="456"/>
      <c r="AZ299" s="456"/>
      <c r="BA299" s="456"/>
      <c r="BB299" s="456"/>
      <c r="BC299" s="456"/>
      <c r="BD299" s="456"/>
      <c r="BE299" s="456"/>
      <c r="BF299" s="456"/>
      <c r="BG299" s="456">
        <v>789698.476</v>
      </c>
      <c r="BH299" s="456">
        <v>1579134.65</v>
      </c>
      <c r="BI299" s="456">
        <v>1607902.23</v>
      </c>
      <c r="BJ299" s="456">
        <v>2088836.05</v>
      </c>
      <c r="BK299" s="456">
        <v>2107549.47</v>
      </c>
      <c r="BL299" s="456">
        <v>2131749.16</v>
      </c>
      <c r="BM299" s="456">
        <v>111795.82</v>
      </c>
      <c r="BN299" s="456">
        <v>111758.99</v>
      </c>
      <c r="BO299" s="456">
        <v>113097.52</v>
      </c>
      <c r="BP299" s="456">
        <v>112074.57</v>
      </c>
      <c r="BQ299" s="456">
        <v>112443.37</v>
      </c>
      <c r="BR299" s="456">
        <v>113575.74</v>
      </c>
      <c r="BS299" s="90" t="s">
        <v>268</v>
      </c>
      <c r="BT299" s="90"/>
    </row>
    <row r="300" ht="15.75" customHeight="1">
      <c r="A300" s="444" t="s">
        <v>98</v>
      </c>
      <c r="B300" s="445" t="s">
        <v>6002</v>
      </c>
      <c r="C300" s="468" t="s">
        <v>6004</v>
      </c>
      <c r="D300" s="469">
        <v>7772568.0</v>
      </c>
      <c r="E300" s="448" t="s">
        <v>120</v>
      </c>
      <c r="F300" s="448" t="s">
        <v>199</v>
      </c>
      <c r="G300" s="447" t="s">
        <v>290</v>
      </c>
      <c r="H300" s="447">
        <f>IFERROR(VLOOKUP(G300,'Cadastro de assessores'!A:B,2,FALSE),"Não Cadastrado")</f>
        <v>12332</v>
      </c>
      <c r="I300" s="447"/>
      <c r="J300" s="49" t="s">
        <v>224</v>
      </c>
      <c r="K300" s="447" t="s">
        <v>183</v>
      </c>
      <c r="L300" s="470">
        <v>44636.0</v>
      </c>
      <c r="M300" s="470">
        <v>44637.0</v>
      </c>
      <c r="N300" s="449"/>
      <c r="O300" s="449" t="s">
        <v>2356</v>
      </c>
      <c r="P300" s="452">
        <v>0.007</v>
      </c>
      <c r="Q300" s="461" t="s">
        <v>6008</v>
      </c>
      <c r="R300" s="453"/>
      <c r="S300" s="449" t="str">
        <f t="shared" ref="S300:S313" si="33">IF(BC300&lt;=0,"",IF(BC300&lt;=1000000,"Não Qualificado",IF(AND(BC300&gt;1000000,BC300&lt;=10000000),"Qualificado","Profissional")))</f>
        <v>Não Qualificado</v>
      </c>
      <c r="T300" s="449" t="s">
        <v>194</v>
      </c>
      <c r="U300" s="449" t="s">
        <v>6009</v>
      </c>
      <c r="V300" s="449" t="s">
        <v>28</v>
      </c>
      <c r="W300" s="455"/>
      <c r="X300" s="455"/>
      <c r="Y300" s="455"/>
      <c r="Z300" s="455"/>
      <c r="AA300" s="455"/>
      <c r="AB300" s="455"/>
      <c r="AC300" s="455"/>
      <c r="AD300" s="455"/>
      <c r="AE300" s="455"/>
      <c r="AF300" s="455"/>
      <c r="AG300" s="455"/>
      <c r="AH300" s="455"/>
      <c r="AI300" s="455"/>
      <c r="AJ300" s="455"/>
      <c r="AK300" s="456"/>
      <c r="AL300" s="456"/>
      <c r="AM300" s="456"/>
      <c r="AN300" s="456"/>
      <c r="AO300" s="456"/>
      <c r="AP300" s="456"/>
      <c r="AQ300" s="456"/>
      <c r="AR300" s="456"/>
      <c r="AS300" s="456"/>
      <c r="AT300" s="456"/>
      <c r="AU300" s="456"/>
      <c r="AV300" s="456"/>
      <c r="AW300" s="456"/>
      <c r="AX300" s="456"/>
      <c r="AY300" s="456"/>
      <c r="AZ300" s="456"/>
      <c r="BA300" s="456"/>
      <c r="BB300" s="456">
        <v>173135.52</v>
      </c>
      <c r="BC300" s="456">
        <v>85183.01</v>
      </c>
      <c r="BD300" s="456">
        <v>227085.75</v>
      </c>
      <c r="BE300" s="456">
        <v>245364.84</v>
      </c>
      <c r="BF300" s="456">
        <v>247624.39</v>
      </c>
      <c r="BG300" s="456">
        <v>249896.468</v>
      </c>
      <c r="BH300" s="456">
        <v>252013.51</v>
      </c>
      <c r="BI300" s="456">
        <v>254348.71</v>
      </c>
      <c r="BJ300" s="456">
        <v>256659.96</v>
      </c>
      <c r="BK300" s="456">
        <v>259057.35</v>
      </c>
      <c r="BL300" s="456">
        <v>261952.89</v>
      </c>
      <c r="BM300" s="456">
        <v>264187.52</v>
      </c>
      <c r="BN300" s="456">
        <v>0.0</v>
      </c>
      <c r="BO300" s="456">
        <v>0.0</v>
      </c>
      <c r="BP300" s="456">
        <v>0.0</v>
      </c>
      <c r="BQ300" s="456">
        <v>0.0</v>
      </c>
      <c r="BR300" s="456">
        <v>0.0</v>
      </c>
      <c r="BS300" s="90" t="s">
        <v>268</v>
      </c>
      <c r="BT300" s="90"/>
    </row>
    <row r="301" ht="15.75" customHeight="1">
      <c r="A301" s="444" t="s">
        <v>98</v>
      </c>
      <c r="B301" s="445" t="s">
        <v>6013</v>
      </c>
      <c r="C301" s="468" t="s">
        <v>6014</v>
      </c>
      <c r="D301" s="469">
        <v>5702220.0</v>
      </c>
      <c r="E301" s="447" t="s">
        <v>120</v>
      </c>
      <c r="F301" s="447" t="s">
        <v>199</v>
      </c>
      <c r="G301" s="447" t="s">
        <v>1914</v>
      </c>
      <c r="H301" s="447">
        <f>IFERROR(VLOOKUP(G301,'Cadastro de assessores'!A:B,2,FALSE),"Não Cadastrado")</f>
        <v>12359</v>
      </c>
      <c r="I301" s="447"/>
      <c r="J301" s="74" t="s">
        <v>183</v>
      </c>
      <c r="K301" s="447" t="s">
        <v>183</v>
      </c>
      <c r="L301" s="470">
        <v>44655.0</v>
      </c>
      <c r="M301" s="470">
        <v>44656.0</v>
      </c>
      <c r="N301" s="449"/>
      <c r="O301" s="449" t="s">
        <v>2319</v>
      </c>
      <c r="P301" s="452">
        <v>0.007</v>
      </c>
      <c r="Q301" s="461"/>
      <c r="R301" s="453"/>
      <c r="S301" s="449" t="str">
        <f t="shared" si="33"/>
        <v>Não Qualificado</v>
      </c>
      <c r="T301" s="449" t="s">
        <v>194</v>
      </c>
      <c r="U301" s="449" t="s">
        <v>2383</v>
      </c>
      <c r="V301" s="449" t="s">
        <v>199</v>
      </c>
      <c r="W301" s="455"/>
      <c r="X301" s="455"/>
      <c r="Y301" s="455"/>
      <c r="Z301" s="455"/>
      <c r="AA301" s="455"/>
      <c r="AB301" s="455"/>
      <c r="AC301" s="455"/>
      <c r="AD301" s="455"/>
      <c r="AE301" s="455"/>
      <c r="AF301" s="455"/>
      <c r="AG301" s="455"/>
      <c r="AH301" s="455"/>
      <c r="AI301" s="455"/>
      <c r="AJ301" s="455"/>
      <c r="AK301" s="456"/>
      <c r="AL301" s="456"/>
      <c r="AM301" s="456"/>
      <c r="AN301" s="456"/>
      <c r="AO301" s="456"/>
      <c r="AP301" s="456"/>
      <c r="AQ301" s="456"/>
      <c r="AR301" s="456"/>
      <c r="AS301" s="456"/>
      <c r="AT301" s="456"/>
      <c r="AU301" s="456"/>
      <c r="AV301" s="456"/>
      <c r="AW301" s="456"/>
      <c r="AX301" s="456"/>
      <c r="AY301" s="456"/>
      <c r="AZ301" s="456"/>
      <c r="BA301" s="456"/>
      <c r="BB301" s="456"/>
      <c r="BC301" s="456">
        <v>303227.44</v>
      </c>
      <c r="BD301" s="456" t="s">
        <v>377</v>
      </c>
      <c r="BE301" s="456">
        <v>59550.3</v>
      </c>
      <c r="BF301" s="456">
        <v>60121.7</v>
      </c>
      <c r="BG301" s="456">
        <v>69062.60341</v>
      </c>
      <c r="BH301" s="456">
        <v>64055.88</v>
      </c>
      <c r="BI301" s="456">
        <v>67335.86</v>
      </c>
      <c r="BJ301" s="456">
        <v>67290.16</v>
      </c>
      <c r="BK301" s="456">
        <v>67728.27</v>
      </c>
      <c r="BL301" s="456">
        <v>65216.69</v>
      </c>
      <c r="BM301" s="456">
        <v>68777.16</v>
      </c>
      <c r="BN301" s="456">
        <v>16221.67</v>
      </c>
      <c r="BO301" s="456">
        <v>16405.5</v>
      </c>
      <c r="BP301" s="456">
        <v>16467.21</v>
      </c>
      <c r="BQ301" s="456">
        <v>16753.27</v>
      </c>
      <c r="BR301" s="456">
        <v>17125.53</v>
      </c>
      <c r="BS301" s="90">
        <v>18181.27</v>
      </c>
      <c r="BT301" s="90"/>
    </row>
    <row r="302" ht="15.75" customHeight="1">
      <c r="A302" s="444" t="s">
        <v>98</v>
      </c>
      <c r="B302" s="445" t="s">
        <v>6019</v>
      </c>
      <c r="C302" s="468" t="s">
        <v>6020</v>
      </c>
      <c r="D302" s="469">
        <v>8450642.0</v>
      </c>
      <c r="E302" s="448" t="s">
        <v>120</v>
      </c>
      <c r="F302" s="448" t="s">
        <v>54</v>
      </c>
      <c r="G302" s="447" t="s">
        <v>379</v>
      </c>
      <c r="H302" s="447" t="str">
        <f>IFERROR(VLOOKUP(G302,'Cadastro de assessores'!A:B,2,FALSE),"Não Cadastrado")</f>
        <v>18009</v>
      </c>
      <c r="I302" s="447"/>
      <c r="J302" s="49" t="s">
        <v>224</v>
      </c>
      <c r="K302" s="447" t="s">
        <v>183</v>
      </c>
      <c r="L302" s="470">
        <v>44671.0</v>
      </c>
      <c r="M302" s="470">
        <v>44679.0</v>
      </c>
      <c r="N302" s="459">
        <v>44890.0</v>
      </c>
      <c r="O302" s="449" t="s">
        <v>2341</v>
      </c>
      <c r="P302" s="452">
        <v>0.015</v>
      </c>
      <c r="Q302" s="730" t="s">
        <v>6022</v>
      </c>
      <c r="R302" s="453"/>
      <c r="S302" s="449" t="str">
        <f t="shared" si="33"/>
        <v>Não Qualificado</v>
      </c>
      <c r="T302" s="449" t="s">
        <v>194</v>
      </c>
      <c r="U302" s="449" t="s">
        <v>2438</v>
      </c>
      <c r="V302" s="449" t="s">
        <v>199</v>
      </c>
      <c r="W302" s="455"/>
      <c r="X302" s="455"/>
      <c r="Y302" s="455"/>
      <c r="Z302" s="455"/>
      <c r="AA302" s="455"/>
      <c r="AB302" s="455"/>
      <c r="AC302" s="455"/>
      <c r="AD302" s="455"/>
      <c r="AE302" s="455"/>
      <c r="AF302" s="455"/>
      <c r="AG302" s="455"/>
      <c r="AH302" s="455"/>
      <c r="AI302" s="455"/>
      <c r="AJ302" s="455"/>
      <c r="AK302" s="456"/>
      <c r="AL302" s="456"/>
      <c r="AM302" s="456"/>
      <c r="AN302" s="456"/>
      <c r="AO302" s="456"/>
      <c r="AP302" s="456"/>
      <c r="AQ302" s="456"/>
      <c r="AR302" s="456"/>
      <c r="AS302" s="456"/>
      <c r="AT302" s="456"/>
      <c r="AU302" s="456"/>
      <c r="AV302" s="456"/>
      <c r="AW302" s="456"/>
      <c r="AX302" s="456"/>
      <c r="AY302" s="456"/>
      <c r="AZ302" s="456"/>
      <c r="BA302" s="456"/>
      <c r="BB302" s="456"/>
      <c r="BC302" s="456">
        <v>289261.08</v>
      </c>
      <c r="BD302" s="456">
        <v>253373.37</v>
      </c>
      <c r="BE302" s="456">
        <v>240581.69</v>
      </c>
      <c r="BF302" s="456">
        <v>242687.63</v>
      </c>
      <c r="BG302" s="456">
        <v>243726.4447</v>
      </c>
      <c r="BH302" s="456">
        <v>245121.41</v>
      </c>
      <c r="BI302" s="456">
        <v>248592.94</v>
      </c>
      <c r="BJ302" s="456">
        <v>250265.26</v>
      </c>
      <c r="BK302" s="456">
        <v>0.0</v>
      </c>
      <c r="BL302" s="456">
        <v>0.0</v>
      </c>
      <c r="BM302" s="456">
        <v>0.0</v>
      </c>
      <c r="BN302" s="456">
        <v>0.0</v>
      </c>
      <c r="BO302" s="456">
        <v>0.0</v>
      </c>
      <c r="BP302" s="456">
        <v>0.0</v>
      </c>
      <c r="BQ302" s="456">
        <v>0.0</v>
      </c>
      <c r="BR302" s="456">
        <v>0.0</v>
      </c>
      <c r="BS302" s="90" t="s">
        <v>268</v>
      </c>
      <c r="BT302" s="90"/>
    </row>
    <row r="303" ht="15.75" customHeight="1">
      <c r="A303" s="444" t="s">
        <v>98</v>
      </c>
      <c r="B303" s="445" t="s">
        <v>6030</v>
      </c>
      <c r="C303" s="458" t="s">
        <v>6031</v>
      </c>
      <c r="D303" s="449">
        <v>4859807.0</v>
      </c>
      <c r="E303" s="449" t="s">
        <v>255</v>
      </c>
      <c r="F303" s="449" t="s">
        <v>622</v>
      </c>
      <c r="G303" s="449" t="s">
        <v>4773</v>
      </c>
      <c r="H303" s="449" t="str">
        <f>IFERROR(VLOOKUP(G303,'Cadastro de assessores'!A:B,2,FALSE),"Não Cadastrado")</f>
        <v>1449</v>
      </c>
      <c r="I303" s="449"/>
      <c r="J303" s="49" t="s">
        <v>224</v>
      </c>
      <c r="K303" s="449" t="s">
        <v>2340</v>
      </c>
      <c r="L303" s="460">
        <v>44246.0</v>
      </c>
      <c r="M303" s="460">
        <v>44246.0</v>
      </c>
      <c r="N303" s="460">
        <v>44319.0</v>
      </c>
      <c r="O303" s="449" t="s">
        <v>2319</v>
      </c>
      <c r="P303" s="452">
        <v>0.02</v>
      </c>
      <c r="Q303" s="461" t="s">
        <v>6032</v>
      </c>
      <c r="R303" s="453"/>
      <c r="S303" s="449" t="str">
        <f t="shared" si="33"/>
        <v>Não Qualificado</v>
      </c>
      <c r="T303" s="449" t="s">
        <v>194</v>
      </c>
      <c r="U303" s="449" t="s">
        <v>2343</v>
      </c>
      <c r="V303" s="449" t="s">
        <v>199</v>
      </c>
      <c r="W303" s="455"/>
      <c r="X303" s="455"/>
      <c r="Y303" s="455"/>
      <c r="Z303" s="455"/>
      <c r="AA303" s="455"/>
      <c r="AB303" s="455"/>
      <c r="AC303" s="455"/>
      <c r="AD303" s="455"/>
      <c r="AE303" s="455"/>
      <c r="AF303" s="455"/>
      <c r="AG303" s="455"/>
      <c r="AH303" s="455" t="s">
        <v>6033</v>
      </c>
      <c r="AI303" s="455" t="s">
        <v>6034</v>
      </c>
      <c r="AJ303" s="455" t="s">
        <v>6035</v>
      </c>
      <c r="AK303" s="456">
        <v>237505.21</v>
      </c>
      <c r="AL303" s="456">
        <v>233618.04</v>
      </c>
      <c r="AM303" s="456">
        <v>153929.73</v>
      </c>
      <c r="AN303" s="456">
        <v>153958.42</v>
      </c>
      <c r="AO303" s="456">
        <v>161660.97</v>
      </c>
      <c r="AP303" s="456">
        <v>162819.56</v>
      </c>
      <c r="AQ303" s="456">
        <v>162050.69</v>
      </c>
      <c r="AR303" s="456"/>
      <c r="AS303" s="456"/>
      <c r="AT303" s="456"/>
      <c r="AU303" s="456"/>
      <c r="AV303" s="456"/>
      <c r="AW303" s="456"/>
      <c r="AX303" s="456"/>
      <c r="AY303" s="456"/>
      <c r="AZ303" s="456"/>
      <c r="BA303" s="456">
        <v>0.0</v>
      </c>
      <c r="BB303" s="456">
        <v>0.0</v>
      </c>
      <c r="BC303" s="456">
        <v>110406.99</v>
      </c>
      <c r="BD303" s="456" t="s">
        <v>377</v>
      </c>
      <c r="BE303" s="456" t="s">
        <v>377</v>
      </c>
      <c r="BF303" s="456">
        <v>0.0</v>
      </c>
      <c r="BG303" s="456">
        <v>0.0</v>
      </c>
      <c r="BH303" s="456">
        <v>0.0</v>
      </c>
      <c r="BI303" s="456">
        <v>0.0</v>
      </c>
      <c r="BJ303" s="456">
        <v>0.0</v>
      </c>
      <c r="BK303" s="456">
        <v>0.0</v>
      </c>
      <c r="BL303" s="456">
        <v>0.0</v>
      </c>
      <c r="BM303" s="456">
        <v>0.0</v>
      </c>
      <c r="BN303" s="456">
        <v>0.0</v>
      </c>
      <c r="BO303" s="456">
        <v>0.0</v>
      </c>
      <c r="BP303" s="456">
        <v>0.0</v>
      </c>
      <c r="BQ303" s="456">
        <v>0.0</v>
      </c>
      <c r="BR303" s="456">
        <v>0.0</v>
      </c>
      <c r="BS303" s="90" t="s">
        <v>268</v>
      </c>
      <c r="BT303" s="90"/>
    </row>
    <row r="304" ht="15.75" customHeight="1">
      <c r="A304" s="444" t="s">
        <v>98</v>
      </c>
      <c r="B304" s="445" t="s">
        <v>6037</v>
      </c>
      <c r="C304" s="468" t="s">
        <v>6039</v>
      </c>
      <c r="D304" s="446">
        <v>5627240.0</v>
      </c>
      <c r="E304" s="447" t="s">
        <v>120</v>
      </c>
      <c r="F304" s="448" t="s">
        <v>54</v>
      </c>
      <c r="G304" s="447" t="s">
        <v>379</v>
      </c>
      <c r="H304" s="448" t="str">
        <f>IFERROR(VLOOKUP(G304,'Cadastro de assessores'!A:B,2,FALSE),"Não Cadastrado")</f>
        <v>18009</v>
      </c>
      <c r="I304" s="448"/>
      <c r="J304" s="49" t="s">
        <v>2318</v>
      </c>
      <c r="K304" s="447" t="s">
        <v>183</v>
      </c>
      <c r="L304" s="450">
        <v>44361.0</v>
      </c>
      <c r="M304" s="450">
        <v>44362.0</v>
      </c>
      <c r="N304" s="446"/>
      <c r="O304" s="446" t="s">
        <v>2356</v>
      </c>
      <c r="P304" s="452">
        <v>0.012</v>
      </c>
      <c r="Q304" s="330" t="s">
        <v>6040</v>
      </c>
      <c r="R304" s="453"/>
      <c r="S304" s="449" t="str">
        <f t="shared" si="33"/>
        <v/>
      </c>
      <c r="T304" s="449" t="s">
        <v>194</v>
      </c>
      <c r="U304" s="449" t="s">
        <v>2475</v>
      </c>
      <c r="V304" s="449" t="s">
        <v>618</v>
      </c>
      <c r="W304" s="454"/>
      <c r="X304" s="454"/>
      <c r="Y304" s="454"/>
      <c r="Z304" s="454"/>
      <c r="AA304" s="454"/>
      <c r="AB304" s="454"/>
      <c r="AC304" s="454"/>
      <c r="AD304" s="454"/>
      <c r="AE304" s="454"/>
      <c r="AF304" s="454"/>
      <c r="AG304" s="454"/>
      <c r="AH304" s="454"/>
      <c r="AI304" s="454"/>
      <c r="AJ304" s="454"/>
      <c r="AK304" s="456"/>
      <c r="AL304" s="456"/>
      <c r="AM304" s="456"/>
      <c r="AN304" s="456"/>
      <c r="AO304" s="456"/>
      <c r="AP304" s="456"/>
      <c r="AQ304" s="454"/>
      <c r="AR304" s="454"/>
      <c r="AS304" s="456">
        <v>63732.03</v>
      </c>
      <c r="AT304" s="456">
        <v>97202.55</v>
      </c>
      <c r="AU304" s="456">
        <v>96046.65</v>
      </c>
      <c r="AV304" s="456">
        <v>93349.35</v>
      </c>
      <c r="AW304" s="456">
        <v>88921.6</v>
      </c>
      <c r="AX304" s="456">
        <v>88591.58</v>
      </c>
      <c r="AY304" s="456">
        <v>89582.76</v>
      </c>
      <c r="AZ304" s="456">
        <v>93531.67</v>
      </c>
      <c r="BA304" s="456">
        <v>94268.69</v>
      </c>
      <c r="BB304" s="456">
        <v>98598.34</v>
      </c>
      <c r="BC304" s="456"/>
      <c r="BD304" s="456">
        <v>95561.64</v>
      </c>
      <c r="BE304" s="456">
        <v>93586.05</v>
      </c>
      <c r="BF304" s="456">
        <v>96544.67</v>
      </c>
      <c r="BG304" s="456">
        <v>98348.92281</v>
      </c>
      <c r="BH304" s="456">
        <v>97585.07</v>
      </c>
      <c r="BI304" s="456">
        <v>103101.74</v>
      </c>
      <c r="BJ304" s="456">
        <v>103016.55</v>
      </c>
      <c r="BK304" s="456">
        <v>103357.08</v>
      </c>
      <c r="BL304" s="456">
        <v>104732.11</v>
      </c>
      <c r="BM304" s="456">
        <v>104879.03</v>
      </c>
      <c r="BN304" s="456">
        <v>0.0</v>
      </c>
      <c r="BO304" s="456">
        <v>0.0</v>
      </c>
      <c r="BP304" s="456">
        <v>0.0</v>
      </c>
      <c r="BQ304" s="456">
        <v>0.0</v>
      </c>
      <c r="BR304" s="456">
        <v>0.0</v>
      </c>
      <c r="BS304" s="90" t="s">
        <v>268</v>
      </c>
      <c r="BT304" s="90"/>
    </row>
    <row r="305" ht="15.75" customHeight="1">
      <c r="A305" s="444" t="s">
        <v>98</v>
      </c>
      <c r="B305" s="445" t="s">
        <v>6046</v>
      </c>
      <c r="C305" s="468" t="s">
        <v>6047</v>
      </c>
      <c r="D305" s="446">
        <v>5634110.0</v>
      </c>
      <c r="E305" s="449" t="s">
        <v>120</v>
      </c>
      <c r="F305" s="507" t="s">
        <v>54</v>
      </c>
      <c r="G305" s="449" t="s">
        <v>379</v>
      </c>
      <c r="H305" s="507" t="str">
        <f>IFERROR(VLOOKUP(G305,'Cadastro de assessores'!A:B,2,FALSE),"Não Cadastrado")</f>
        <v>18009</v>
      </c>
      <c r="I305" s="507"/>
      <c r="J305" s="49" t="s">
        <v>224</v>
      </c>
      <c r="K305" s="449" t="s">
        <v>2340</v>
      </c>
      <c r="L305" s="460">
        <v>44356.0</v>
      </c>
      <c r="M305" s="460">
        <v>44356.0</v>
      </c>
      <c r="N305" s="508">
        <v>44714.0</v>
      </c>
      <c r="O305" s="446" t="s">
        <v>2319</v>
      </c>
      <c r="P305" s="452">
        <v>0.02</v>
      </c>
      <c r="Q305" s="330" t="s">
        <v>6050</v>
      </c>
      <c r="R305" s="453"/>
      <c r="S305" s="449" t="str">
        <f t="shared" si="33"/>
        <v>Não Qualificado</v>
      </c>
      <c r="T305" s="449" t="s">
        <v>194</v>
      </c>
      <c r="U305" s="507" t="s">
        <v>3587</v>
      </c>
      <c r="V305" s="507" t="s">
        <v>54</v>
      </c>
      <c r="W305" s="454"/>
      <c r="X305" s="454"/>
      <c r="Y305" s="454"/>
      <c r="Z305" s="454"/>
      <c r="AA305" s="454"/>
      <c r="AB305" s="454"/>
      <c r="AC305" s="454"/>
      <c r="AD305" s="454"/>
      <c r="AE305" s="454"/>
      <c r="AF305" s="454"/>
      <c r="AG305" s="454"/>
      <c r="AH305" s="454"/>
      <c r="AI305" s="454"/>
      <c r="AJ305" s="454"/>
      <c r="AK305" s="456"/>
      <c r="AL305" s="456"/>
      <c r="AM305" s="456"/>
      <c r="AN305" s="456"/>
      <c r="AO305" s="456"/>
      <c r="AP305" s="456"/>
      <c r="AQ305" s="456"/>
      <c r="AR305" s="454"/>
      <c r="AS305" s="456">
        <v>98702.31</v>
      </c>
      <c r="AT305" s="456">
        <v>95587.12</v>
      </c>
      <c r="AU305" s="456">
        <v>94370.88</v>
      </c>
      <c r="AV305" s="456">
        <v>91737.24</v>
      </c>
      <c r="AW305" s="456">
        <v>86822.36</v>
      </c>
      <c r="AX305" s="456">
        <v>86295.75</v>
      </c>
      <c r="AY305" s="456">
        <v>87434.35</v>
      </c>
      <c r="AZ305" s="456">
        <v>88096.89</v>
      </c>
      <c r="BA305" s="456">
        <v>88821.96</v>
      </c>
      <c r="BB305" s="456">
        <v>92875.76</v>
      </c>
      <c r="BC305" s="456">
        <v>15258.01</v>
      </c>
      <c r="BD305" s="456">
        <v>90290.48</v>
      </c>
      <c r="BE305" s="456" t="s">
        <v>377</v>
      </c>
      <c r="BF305" s="456">
        <v>0.0</v>
      </c>
      <c r="BG305" s="456">
        <v>0.0</v>
      </c>
      <c r="BH305" s="456">
        <v>0.0</v>
      </c>
      <c r="BI305" s="456">
        <v>0.0</v>
      </c>
      <c r="BJ305" s="456">
        <v>0.0</v>
      </c>
      <c r="BK305" s="456">
        <v>0.0</v>
      </c>
      <c r="BL305" s="456">
        <v>0.0</v>
      </c>
      <c r="BM305" s="456">
        <v>0.0</v>
      </c>
      <c r="BN305" s="456">
        <v>0.0</v>
      </c>
      <c r="BO305" s="456">
        <v>0.0</v>
      </c>
      <c r="BP305" s="456">
        <v>0.0</v>
      </c>
      <c r="BQ305" s="456">
        <v>0.0</v>
      </c>
      <c r="BR305" s="456">
        <v>0.0</v>
      </c>
      <c r="BS305" s="90" t="s">
        <v>268</v>
      </c>
      <c r="BT305" s="90"/>
    </row>
    <row r="306" ht="15.75" customHeight="1">
      <c r="A306" s="444" t="s">
        <v>98</v>
      </c>
      <c r="B306" s="445" t="s">
        <v>6055</v>
      </c>
      <c r="C306" s="458" t="s">
        <v>6056</v>
      </c>
      <c r="D306" s="449">
        <v>2866620.0</v>
      </c>
      <c r="E306" s="447" t="s">
        <v>120</v>
      </c>
      <c r="F306" s="447" t="s">
        <v>199</v>
      </c>
      <c r="G306" s="447" t="s">
        <v>120</v>
      </c>
      <c r="H306" s="447" t="str">
        <f>IFERROR(VLOOKUP(G306,'Cadastro de assessores'!A:B,2,FALSE),"Não Cadastrado")</f>
        <v>Não Cadastrado</v>
      </c>
      <c r="I306" s="447"/>
      <c r="J306" s="49" t="s">
        <v>2318</v>
      </c>
      <c r="K306" s="447" t="s">
        <v>183</v>
      </c>
      <c r="L306" s="450">
        <v>44000.0</v>
      </c>
      <c r="M306" s="450">
        <v>44000.0</v>
      </c>
      <c r="N306" s="449"/>
      <c r="O306" s="449" t="s">
        <v>2341</v>
      </c>
      <c r="P306" s="452">
        <v>0.015</v>
      </c>
      <c r="Q306" s="461"/>
      <c r="R306" s="453"/>
      <c r="S306" s="449" t="str">
        <f t="shared" si="33"/>
        <v/>
      </c>
      <c r="T306" s="449" t="s">
        <v>194</v>
      </c>
      <c r="U306" s="449" t="s">
        <v>3350</v>
      </c>
      <c r="V306" s="449" t="s">
        <v>199</v>
      </c>
      <c r="W306" s="455" t="s">
        <v>2344</v>
      </c>
      <c r="X306" s="455" t="s">
        <v>2344</v>
      </c>
      <c r="Y306" s="455" t="s">
        <v>2344</v>
      </c>
      <c r="Z306" s="455" t="s">
        <v>2344</v>
      </c>
      <c r="AA306" s="455" t="s">
        <v>2344</v>
      </c>
      <c r="AB306" s="455" t="s">
        <v>2344</v>
      </c>
      <c r="AC306" s="455" t="s">
        <v>2344</v>
      </c>
      <c r="AD306" s="455" t="s">
        <v>6061</v>
      </c>
      <c r="AE306" s="455" t="s">
        <v>6062</v>
      </c>
      <c r="AF306" s="455" t="s">
        <v>6063</v>
      </c>
      <c r="AG306" s="455" t="s">
        <v>6064</v>
      </c>
      <c r="AH306" s="455" t="s">
        <v>2344</v>
      </c>
      <c r="AI306" s="455" t="s">
        <v>6065</v>
      </c>
      <c r="AJ306" s="455" t="s">
        <v>6067</v>
      </c>
      <c r="AK306" s="456">
        <v>307680.36</v>
      </c>
      <c r="AL306" s="456">
        <v>302881.37</v>
      </c>
      <c r="AM306" s="456">
        <v>225754.68</v>
      </c>
      <c r="AN306" s="456">
        <v>225572.05</v>
      </c>
      <c r="AO306" s="456">
        <v>232792.13</v>
      </c>
      <c r="AP306" s="456">
        <v>234114.84</v>
      </c>
      <c r="AQ306" s="456">
        <v>233087.65</v>
      </c>
      <c r="AR306" s="456">
        <v>239006.34</v>
      </c>
      <c r="AS306" s="456">
        <v>237105.75</v>
      </c>
      <c r="AT306" s="456">
        <v>232288.84</v>
      </c>
      <c r="AU306" s="456">
        <v>230839.93</v>
      </c>
      <c r="AV306" s="456">
        <v>226786.52</v>
      </c>
      <c r="AW306" s="456">
        <v>218987.37</v>
      </c>
      <c r="AX306" s="456">
        <v>219103.78</v>
      </c>
      <c r="AY306" s="456">
        <v>222006.35</v>
      </c>
      <c r="AZ306" s="456">
        <v>227734.28</v>
      </c>
      <c r="BA306" s="456">
        <v>222275.17</v>
      </c>
      <c r="BB306" s="456">
        <v>238157.15</v>
      </c>
      <c r="BC306" s="456"/>
      <c r="BD306" s="456">
        <v>236058.35</v>
      </c>
      <c r="BE306" s="456">
        <v>234923.9</v>
      </c>
      <c r="BF306" s="456">
        <v>239849.5</v>
      </c>
      <c r="BG306" s="456">
        <v>241987.9483</v>
      </c>
      <c r="BH306" s="456">
        <v>242893.07</v>
      </c>
      <c r="BI306" s="456">
        <v>253322.28</v>
      </c>
      <c r="BJ306" s="456">
        <v>251207.17</v>
      </c>
      <c r="BK306" s="456">
        <v>252803.42</v>
      </c>
      <c r="BL306" s="456">
        <v>245320.63</v>
      </c>
      <c r="BM306" s="456">
        <v>246710.72</v>
      </c>
      <c r="BN306" s="456">
        <v>248980.74</v>
      </c>
      <c r="BO306" s="456">
        <v>71052.73</v>
      </c>
      <c r="BP306" s="456">
        <v>867.48</v>
      </c>
      <c r="BQ306" s="456">
        <v>0.0</v>
      </c>
      <c r="BR306" s="456">
        <v>0.0</v>
      </c>
      <c r="BS306" s="90">
        <v>0.0</v>
      </c>
      <c r="BT306" s="90"/>
    </row>
    <row r="307" ht="15.75" customHeight="1">
      <c r="A307" s="444" t="s">
        <v>98</v>
      </c>
      <c r="B307" s="445" t="s">
        <v>6070</v>
      </c>
      <c r="C307" s="458" t="s">
        <v>6071</v>
      </c>
      <c r="D307" s="731">
        <v>4990009.0</v>
      </c>
      <c r="E307" s="449" t="s">
        <v>120</v>
      </c>
      <c r="F307" s="507" t="s">
        <v>54</v>
      </c>
      <c r="G307" s="449" t="s">
        <v>379</v>
      </c>
      <c r="H307" s="449" t="str">
        <f>IFERROR(VLOOKUP(G307,'Cadastro de assessores'!A:B,2,FALSE),"Não Cadastrado")</f>
        <v>18009</v>
      </c>
      <c r="I307" s="449"/>
      <c r="J307" s="49" t="s">
        <v>224</v>
      </c>
      <c r="K307" s="449" t="s">
        <v>2340</v>
      </c>
      <c r="L307" s="460">
        <v>44274.0</v>
      </c>
      <c r="M307" s="460">
        <v>44274.0</v>
      </c>
      <c r="N307" s="460">
        <v>44649.0</v>
      </c>
      <c r="O307" s="449" t="s">
        <v>2341</v>
      </c>
      <c r="P307" s="452">
        <v>0.015</v>
      </c>
      <c r="Q307" s="461" t="s">
        <v>6072</v>
      </c>
      <c r="R307" s="453"/>
      <c r="S307" s="449" t="str">
        <f t="shared" si="33"/>
        <v/>
      </c>
      <c r="T307" s="449" t="s">
        <v>194</v>
      </c>
      <c r="U307" s="449" t="s">
        <v>2475</v>
      </c>
      <c r="V307" s="449" t="s">
        <v>618</v>
      </c>
      <c r="W307" s="455"/>
      <c r="X307" s="455"/>
      <c r="Y307" s="455"/>
      <c r="Z307" s="455"/>
      <c r="AA307" s="455"/>
      <c r="AB307" s="455"/>
      <c r="AC307" s="455"/>
      <c r="AD307" s="455"/>
      <c r="AE307" s="455"/>
      <c r="AF307" s="455"/>
      <c r="AG307" s="455"/>
      <c r="AH307" s="455"/>
      <c r="AI307" s="455"/>
      <c r="AJ307" s="455"/>
      <c r="AK307" s="456"/>
      <c r="AL307" s="456"/>
      <c r="AM307" s="456"/>
      <c r="AN307" s="456"/>
      <c r="AO307" s="456">
        <v>101127.26</v>
      </c>
      <c r="AP307" s="456">
        <v>131865.28</v>
      </c>
      <c r="AQ307" s="456">
        <v>131359.94</v>
      </c>
      <c r="AR307" s="456">
        <v>149552.95</v>
      </c>
      <c r="AS307" s="456">
        <v>148551.9</v>
      </c>
      <c r="AT307" s="456">
        <v>145846.78</v>
      </c>
      <c r="AU307" s="456">
        <v>144922.59</v>
      </c>
      <c r="AV307" s="456">
        <v>142336.99</v>
      </c>
      <c r="AW307" s="456">
        <v>138407.17</v>
      </c>
      <c r="AX307" s="456">
        <v>137788.14</v>
      </c>
      <c r="AY307" s="456">
        <v>139411.66</v>
      </c>
      <c r="AZ307" s="456">
        <v>164082.69</v>
      </c>
      <c r="BA307" s="456">
        <v>165142.25</v>
      </c>
      <c r="BB307" s="456">
        <v>171004.94</v>
      </c>
      <c r="BC307" s="456">
        <v>-177.81</v>
      </c>
      <c r="BD307" s="456" t="s">
        <v>377</v>
      </c>
      <c r="BE307" s="456" t="s">
        <v>377</v>
      </c>
      <c r="BF307" s="456">
        <v>0.0</v>
      </c>
      <c r="BG307" s="456">
        <v>0.0</v>
      </c>
      <c r="BH307" s="456">
        <v>0.0</v>
      </c>
      <c r="BI307" s="456">
        <v>0.0</v>
      </c>
      <c r="BJ307" s="456">
        <v>0.0</v>
      </c>
      <c r="BK307" s="456">
        <v>0.0</v>
      </c>
      <c r="BL307" s="456">
        <v>0.0</v>
      </c>
      <c r="BM307" s="456">
        <v>0.0</v>
      </c>
      <c r="BN307" s="456">
        <v>0.0</v>
      </c>
      <c r="BO307" s="456">
        <v>0.0</v>
      </c>
      <c r="BP307" s="456">
        <v>0.0</v>
      </c>
      <c r="BQ307" s="456">
        <v>0.0</v>
      </c>
      <c r="BR307" s="456">
        <v>0.0</v>
      </c>
      <c r="BS307" s="90" t="s">
        <v>268</v>
      </c>
      <c r="BT307" s="90"/>
    </row>
    <row r="308" ht="15.75" customHeight="1">
      <c r="A308" s="444" t="s">
        <v>98</v>
      </c>
      <c r="B308" s="445" t="s">
        <v>6081</v>
      </c>
      <c r="C308" s="458" t="s">
        <v>6082</v>
      </c>
      <c r="D308" s="449">
        <v>4606048.0</v>
      </c>
      <c r="E308" s="447" t="s">
        <v>255</v>
      </c>
      <c r="F308" s="447" t="s">
        <v>199</v>
      </c>
      <c r="G308" s="447" t="s">
        <v>1074</v>
      </c>
      <c r="H308" s="447" t="str">
        <f>IFERROR(VLOOKUP(G308,'Cadastro de assessores'!A:B,2,FALSE),"Não Cadastrado")</f>
        <v>14699</v>
      </c>
      <c r="I308" s="447"/>
      <c r="J308" s="74" t="s">
        <v>183</v>
      </c>
      <c r="K308" s="447" t="s">
        <v>183</v>
      </c>
      <c r="L308" s="451">
        <v>44154.0</v>
      </c>
      <c r="M308" s="451">
        <v>44160.0</v>
      </c>
      <c r="N308" s="449"/>
      <c r="O308" s="449" t="s">
        <v>2372</v>
      </c>
      <c r="P308" s="452">
        <v>0.025</v>
      </c>
      <c r="Q308" s="330"/>
      <c r="R308" s="453"/>
      <c r="S308" s="449" t="str">
        <f t="shared" si="33"/>
        <v>Não Qualificado</v>
      </c>
      <c r="T308" s="449" t="s">
        <v>194</v>
      </c>
      <c r="U308" s="449" t="s">
        <v>3672</v>
      </c>
      <c r="V308" s="449" t="s">
        <v>199</v>
      </c>
      <c r="W308" s="455" t="s">
        <v>2344</v>
      </c>
      <c r="X308" s="455" t="s">
        <v>2344</v>
      </c>
      <c r="Y308" s="455" t="s">
        <v>2344</v>
      </c>
      <c r="Z308" s="455" t="s">
        <v>2344</v>
      </c>
      <c r="AA308" s="455" t="s">
        <v>2344</v>
      </c>
      <c r="AB308" s="455" t="s">
        <v>2344</v>
      </c>
      <c r="AC308" s="455" t="s">
        <v>2344</v>
      </c>
      <c r="AD308" s="455" t="s">
        <v>2344</v>
      </c>
      <c r="AE308" s="455" t="s">
        <v>2344</v>
      </c>
      <c r="AF308" s="455" t="s">
        <v>2344</v>
      </c>
      <c r="AG308" s="455" t="s">
        <v>2344</v>
      </c>
      <c r="AH308" s="455"/>
      <c r="AI308" s="455"/>
      <c r="AJ308" s="455" t="s">
        <v>6067</v>
      </c>
      <c r="AK308" s="456">
        <v>306029.6</v>
      </c>
      <c r="AL308" s="456">
        <v>297349.0</v>
      </c>
      <c r="AM308" s="456">
        <v>292165.75</v>
      </c>
      <c r="AN308" s="456">
        <v>291527.32</v>
      </c>
      <c r="AO308" s="456">
        <v>299728.93</v>
      </c>
      <c r="AP308" s="456">
        <v>301480.52</v>
      </c>
      <c r="AQ308" s="456">
        <v>300257.27</v>
      </c>
      <c r="AR308" s="456">
        <v>307249.53</v>
      </c>
      <c r="AS308" s="456">
        <v>197741.52</v>
      </c>
      <c r="AT308" s="456">
        <v>187304.22</v>
      </c>
      <c r="AU308" s="456">
        <v>183028.79</v>
      </c>
      <c r="AV308" s="456">
        <v>172450.24</v>
      </c>
      <c r="AW308" s="456">
        <v>158992.65</v>
      </c>
      <c r="AX308" s="456">
        <v>157321.39</v>
      </c>
      <c r="AY308" s="456">
        <v>160664.31</v>
      </c>
      <c r="AZ308" s="456">
        <v>171102.46</v>
      </c>
      <c r="BA308" s="456">
        <v>173026.79</v>
      </c>
      <c r="BB308" s="456">
        <v>185417.32</v>
      </c>
      <c r="BC308" s="456">
        <v>154542.65</v>
      </c>
      <c r="BD308" s="456">
        <v>174042.42</v>
      </c>
      <c r="BE308" s="456">
        <v>166305.07</v>
      </c>
      <c r="BF308" s="456">
        <v>174428.33</v>
      </c>
      <c r="BG308" s="456">
        <v>175965.4102</v>
      </c>
      <c r="BH308" s="456">
        <v>173515.56</v>
      </c>
      <c r="BI308" s="456">
        <v>189775.57</v>
      </c>
      <c r="BJ308" s="456">
        <v>184323.62</v>
      </c>
      <c r="BK308" s="456">
        <v>183426.67</v>
      </c>
      <c r="BL308" s="456">
        <v>187418.58</v>
      </c>
      <c r="BM308" s="456">
        <v>179291.09</v>
      </c>
      <c r="BN308" s="456">
        <v>177690.55</v>
      </c>
      <c r="BO308" s="456">
        <v>159559.3</v>
      </c>
      <c r="BP308" s="456">
        <v>158018.4</v>
      </c>
      <c r="BQ308" s="456">
        <v>168627.02</v>
      </c>
      <c r="BR308" s="456">
        <v>175117.69</v>
      </c>
      <c r="BS308" s="90">
        <v>8229.2</v>
      </c>
      <c r="BT308" s="90"/>
    </row>
    <row r="309" ht="15.75" customHeight="1">
      <c r="A309" s="444" t="s">
        <v>98</v>
      </c>
      <c r="B309" s="445" t="s">
        <v>6086</v>
      </c>
      <c r="C309" s="506" t="s">
        <v>6087</v>
      </c>
      <c r="D309" s="490">
        <v>7783008.0</v>
      </c>
      <c r="E309" s="447" t="s">
        <v>120</v>
      </c>
      <c r="F309" s="448" t="s">
        <v>199</v>
      </c>
      <c r="G309" s="447" t="s">
        <v>212</v>
      </c>
      <c r="H309" s="447">
        <f>IFERROR(VLOOKUP(G309,'Cadastro de assessores'!A:B,2,FALSE),"Não Cadastrado")</f>
        <v>12344</v>
      </c>
      <c r="I309" s="447"/>
      <c r="J309" s="49" t="s">
        <v>2318</v>
      </c>
      <c r="K309" s="447" t="s">
        <v>183</v>
      </c>
      <c r="L309" s="450">
        <v>44587.0</v>
      </c>
      <c r="M309" s="450">
        <v>44594.0</v>
      </c>
      <c r="N309" s="446"/>
      <c r="O309" s="446" t="s">
        <v>2356</v>
      </c>
      <c r="P309" s="452">
        <v>0.007</v>
      </c>
      <c r="Q309" s="330" t="s">
        <v>6089</v>
      </c>
      <c r="R309" s="453"/>
      <c r="S309" s="449" t="str">
        <f t="shared" si="33"/>
        <v/>
      </c>
      <c r="T309" s="449" t="s">
        <v>194</v>
      </c>
      <c r="U309" s="446" t="s">
        <v>3350</v>
      </c>
      <c r="V309" s="446" t="s">
        <v>199</v>
      </c>
      <c r="W309" s="454"/>
      <c r="X309" s="454"/>
      <c r="Y309" s="454"/>
      <c r="Z309" s="454"/>
      <c r="AA309" s="454"/>
      <c r="AB309" s="454"/>
      <c r="AC309" s="454"/>
      <c r="AD309" s="454"/>
      <c r="AE309" s="454"/>
      <c r="AF309" s="454"/>
      <c r="AG309" s="455"/>
      <c r="AH309" s="455"/>
      <c r="AI309" s="455"/>
      <c r="AJ309" s="456"/>
      <c r="AK309" s="456"/>
      <c r="AL309" s="456"/>
      <c r="AM309" s="456"/>
      <c r="AN309" s="456"/>
      <c r="AO309" s="456"/>
      <c r="AP309" s="456"/>
      <c r="AQ309" s="456"/>
      <c r="AR309" s="456"/>
      <c r="AS309" s="456"/>
      <c r="AT309" s="456"/>
      <c r="AU309" s="456"/>
      <c r="AV309" s="456"/>
      <c r="AW309" s="456"/>
      <c r="AX309" s="456"/>
      <c r="AY309" s="456"/>
      <c r="AZ309" s="456"/>
      <c r="BA309" s="456">
        <v>680704.5</v>
      </c>
      <c r="BB309" s="456">
        <v>656710.79</v>
      </c>
      <c r="BC309" s="456"/>
      <c r="BD309" s="456">
        <v>617294.06</v>
      </c>
      <c r="BE309" s="456">
        <v>602692.65</v>
      </c>
      <c r="BF309" s="456">
        <v>607559.69</v>
      </c>
      <c r="BG309" s="456">
        <v>579756.5317</v>
      </c>
      <c r="BH309" s="456">
        <v>553265.99</v>
      </c>
      <c r="BI309" s="456">
        <v>526714.52</v>
      </c>
      <c r="BJ309" s="456">
        <v>500372.6</v>
      </c>
      <c r="BK309" s="456">
        <v>443717.27</v>
      </c>
      <c r="BL309" s="456">
        <v>473960.73</v>
      </c>
      <c r="BM309" s="456">
        <v>393283.51</v>
      </c>
      <c r="BN309" s="456">
        <v>239.76</v>
      </c>
      <c r="BO309" s="456">
        <v>239.76</v>
      </c>
      <c r="BP309" s="456">
        <v>0.0</v>
      </c>
      <c r="BQ309" s="456">
        <v>0.0</v>
      </c>
      <c r="BR309" s="456">
        <v>0.0</v>
      </c>
      <c r="BS309" s="90">
        <v>0.0</v>
      </c>
      <c r="BT309" s="90"/>
    </row>
    <row r="310" ht="15.75" customHeight="1">
      <c r="A310" s="444" t="s">
        <v>98</v>
      </c>
      <c r="B310" s="445" t="s">
        <v>6095</v>
      </c>
      <c r="C310" s="468" t="s">
        <v>6096</v>
      </c>
      <c r="D310" s="446">
        <v>6549214.0</v>
      </c>
      <c r="E310" s="449" t="s">
        <v>120</v>
      </c>
      <c r="F310" s="507" t="s">
        <v>54</v>
      </c>
      <c r="G310" s="449" t="s">
        <v>4057</v>
      </c>
      <c r="H310" s="449" t="str">
        <f>IFERROR(VLOOKUP(G310,'Cadastro de assessores'!A:B,2,FALSE),"Não Cadastrado")</f>
        <v>14294</v>
      </c>
      <c r="I310" s="449"/>
      <c r="J310" s="49" t="s">
        <v>224</v>
      </c>
      <c r="K310" s="449" t="s">
        <v>2340</v>
      </c>
      <c r="L310" s="459">
        <v>44487.0</v>
      </c>
      <c r="M310" s="459">
        <v>44487.0</v>
      </c>
      <c r="N310" s="508">
        <v>44810.0</v>
      </c>
      <c r="O310" s="446" t="s">
        <v>2341</v>
      </c>
      <c r="P310" s="452">
        <v>0.015</v>
      </c>
      <c r="Q310" s="330"/>
      <c r="R310" s="453"/>
      <c r="S310" s="449" t="str">
        <f t="shared" si="33"/>
        <v>Qualificado</v>
      </c>
      <c r="T310" s="449" t="s">
        <v>194</v>
      </c>
      <c r="U310" s="446" t="s">
        <v>2852</v>
      </c>
      <c r="V310" s="449" t="s">
        <v>2854</v>
      </c>
      <c r="W310" s="454"/>
      <c r="X310" s="454"/>
      <c r="Y310" s="454"/>
      <c r="Z310" s="454"/>
      <c r="AA310" s="454"/>
      <c r="AB310" s="454"/>
      <c r="AC310" s="454"/>
      <c r="AD310" s="454"/>
      <c r="AE310" s="454"/>
      <c r="AF310" s="454"/>
      <c r="AG310" s="455"/>
      <c r="AH310" s="455"/>
      <c r="AI310" s="455"/>
      <c r="AJ310" s="456"/>
      <c r="AK310" s="456"/>
      <c r="AL310" s="456"/>
      <c r="AM310" s="456"/>
      <c r="AN310" s="456"/>
      <c r="AO310" s="456"/>
      <c r="AP310" s="456"/>
      <c r="AQ310" s="456"/>
      <c r="AR310" s="456"/>
      <c r="AS310" s="456"/>
      <c r="AT310" s="456"/>
      <c r="AU310" s="456"/>
      <c r="AV310" s="456"/>
      <c r="AW310" s="456">
        <v>100044.75</v>
      </c>
      <c r="AX310" s="456">
        <v>104814.95</v>
      </c>
      <c r="AY310" s="456">
        <v>83319.3</v>
      </c>
      <c r="AZ310" s="456">
        <v>91987.47</v>
      </c>
      <c r="BA310" s="456">
        <v>94018.22</v>
      </c>
      <c r="BB310" s="456">
        <v>107069.2</v>
      </c>
      <c r="BC310" s="456">
        <v>1048601.01</v>
      </c>
      <c r="BD310" s="456">
        <v>116857.7</v>
      </c>
      <c r="BE310" s="456">
        <v>116438.48</v>
      </c>
      <c r="BF310" s="456">
        <v>130616.75</v>
      </c>
      <c r="BG310" s="456">
        <v>159300.809</v>
      </c>
      <c r="BH310" s="456">
        <v>0.0</v>
      </c>
      <c r="BI310" s="456">
        <v>0.0</v>
      </c>
      <c r="BJ310" s="456">
        <v>0.0</v>
      </c>
      <c r="BK310" s="456">
        <v>0.0</v>
      </c>
      <c r="BL310" s="456">
        <v>0.0</v>
      </c>
      <c r="BM310" s="456">
        <v>0.0</v>
      </c>
      <c r="BN310" s="456">
        <v>0.0</v>
      </c>
      <c r="BO310" s="456">
        <v>0.0</v>
      </c>
      <c r="BP310" s="456">
        <v>0.0</v>
      </c>
      <c r="BQ310" s="456">
        <v>0.0</v>
      </c>
      <c r="BR310" s="456">
        <v>0.0</v>
      </c>
      <c r="BS310" s="90" t="s">
        <v>268</v>
      </c>
      <c r="BT310" s="90"/>
    </row>
    <row r="311" ht="15.75" customHeight="1">
      <c r="A311" s="444" t="s">
        <v>98</v>
      </c>
      <c r="B311" s="445" t="s">
        <v>6100</v>
      </c>
      <c r="C311" s="559" t="s">
        <v>6101</v>
      </c>
      <c r="D311" s="490">
        <v>3025955.0</v>
      </c>
      <c r="E311" s="447" t="s">
        <v>120</v>
      </c>
      <c r="F311" s="448" t="s">
        <v>54</v>
      </c>
      <c r="G311" s="490" t="s">
        <v>379</v>
      </c>
      <c r="H311" s="447" t="str">
        <f>IFERROR(VLOOKUP(G311,'Cadastro de assessores'!A:B,2,FALSE),"Não Cadastrado")</f>
        <v>18009</v>
      </c>
      <c r="I311" s="447"/>
      <c r="J311" s="74" t="s">
        <v>183</v>
      </c>
      <c r="K311" s="447" t="s">
        <v>183</v>
      </c>
      <c r="L311" s="616">
        <v>44565.0</v>
      </c>
      <c r="M311" s="616">
        <v>44557.0</v>
      </c>
      <c r="N311" s="446"/>
      <c r="O311" s="446" t="s">
        <v>5539</v>
      </c>
      <c r="P311" s="452">
        <v>0.015</v>
      </c>
      <c r="Q311" s="330" t="s">
        <v>3896</v>
      </c>
      <c r="R311" s="453"/>
      <c r="S311" s="449" t="str">
        <f t="shared" si="33"/>
        <v>Não Qualificado</v>
      </c>
      <c r="T311" s="449" t="s">
        <v>194</v>
      </c>
      <c r="U311" s="507" t="s">
        <v>3587</v>
      </c>
      <c r="V311" s="507" t="s">
        <v>54</v>
      </c>
      <c r="W311" s="454"/>
      <c r="X311" s="454"/>
      <c r="Y311" s="454"/>
      <c r="Z311" s="454"/>
      <c r="AA311" s="454"/>
      <c r="AB311" s="454"/>
      <c r="AC311" s="454"/>
      <c r="AD311" s="454"/>
      <c r="AE311" s="454"/>
      <c r="AF311" s="454"/>
      <c r="AG311" s="455"/>
      <c r="AH311" s="455"/>
      <c r="AI311" s="456"/>
      <c r="AJ311" s="456"/>
      <c r="AK311" s="456"/>
      <c r="AL311" s="456"/>
      <c r="AM311" s="456"/>
      <c r="AN311" s="456"/>
      <c r="AO311" s="456"/>
      <c r="AP311" s="456"/>
      <c r="AQ311" s="456"/>
      <c r="AR311" s="456"/>
      <c r="AS311" s="456"/>
      <c r="AT311" s="456"/>
      <c r="AU311" s="456"/>
      <c r="AV311" s="456"/>
      <c r="AW311" s="454"/>
      <c r="AX311" s="454"/>
      <c r="AY311" s="454"/>
      <c r="AZ311" s="538">
        <v>209133.89</v>
      </c>
      <c r="BA311" s="538">
        <v>210671.09</v>
      </c>
      <c r="BB311" s="538">
        <v>285147.97</v>
      </c>
      <c r="BC311" s="538">
        <v>380297.33</v>
      </c>
      <c r="BD311" s="456">
        <v>287052.7</v>
      </c>
      <c r="BE311" s="456">
        <v>286979.89</v>
      </c>
      <c r="BF311" s="456">
        <v>307590.81</v>
      </c>
      <c r="BG311" s="456">
        <v>309562.9111</v>
      </c>
      <c r="BH311" s="456">
        <v>311142.97</v>
      </c>
      <c r="BI311" s="456">
        <v>320073.89</v>
      </c>
      <c r="BJ311" s="456">
        <v>334033.85</v>
      </c>
      <c r="BK311" s="456">
        <v>336338.13</v>
      </c>
      <c r="BL311" s="456">
        <v>339884.8</v>
      </c>
      <c r="BM311" s="456">
        <v>141381.38</v>
      </c>
      <c r="BN311" s="456">
        <v>3.12</v>
      </c>
      <c r="BO311" s="456">
        <v>25058.76</v>
      </c>
      <c r="BP311" s="456">
        <v>25144.33</v>
      </c>
      <c r="BQ311" s="456">
        <v>25328.52</v>
      </c>
      <c r="BR311" s="456">
        <v>25633.9</v>
      </c>
      <c r="BS311" s="90">
        <v>0.0</v>
      </c>
      <c r="BT311" s="90"/>
    </row>
    <row r="312" ht="15.75" customHeight="1">
      <c r="A312" s="444" t="s">
        <v>98</v>
      </c>
      <c r="B312" s="445" t="s">
        <v>6106</v>
      </c>
      <c r="C312" s="506" t="s">
        <v>6107</v>
      </c>
      <c r="D312" s="446">
        <v>7443645.0</v>
      </c>
      <c r="E312" s="447" t="s">
        <v>120</v>
      </c>
      <c r="F312" s="448" t="s">
        <v>199</v>
      </c>
      <c r="G312" s="490" t="s">
        <v>4715</v>
      </c>
      <c r="H312" s="447">
        <f>IFERROR(VLOOKUP(G312,'Cadastro de assessores'!A:B,2,FALSE),"Não Cadastrado")</f>
        <v>12342</v>
      </c>
      <c r="I312" s="447"/>
      <c r="J312" s="49" t="s">
        <v>2318</v>
      </c>
      <c r="K312" s="449" t="s">
        <v>3320</v>
      </c>
      <c r="L312" s="449" t="s">
        <v>3320</v>
      </c>
      <c r="M312" s="548" t="s">
        <v>584</v>
      </c>
      <c r="N312" s="490"/>
      <c r="O312" s="490" t="s">
        <v>2356</v>
      </c>
      <c r="P312" s="638">
        <v>0.007</v>
      </c>
      <c r="Q312" s="330"/>
      <c r="R312" s="453"/>
      <c r="S312" s="449" t="str">
        <f t="shared" si="33"/>
        <v>Qualificado</v>
      </c>
      <c r="T312" s="449" t="s">
        <v>194</v>
      </c>
      <c r="U312" s="449" t="s">
        <v>2343</v>
      </c>
      <c r="V312" s="449" t="s">
        <v>199</v>
      </c>
      <c r="W312" s="454"/>
      <c r="X312" s="454"/>
      <c r="Y312" s="454"/>
      <c r="Z312" s="454"/>
      <c r="AA312" s="454"/>
      <c r="AB312" s="454"/>
      <c r="AC312" s="454"/>
      <c r="AD312" s="454"/>
      <c r="AE312" s="454"/>
      <c r="AF312" s="454"/>
      <c r="AG312" s="455"/>
      <c r="AH312" s="455"/>
      <c r="AI312" s="455"/>
      <c r="AJ312" s="456"/>
      <c r="AK312" s="456"/>
      <c r="AL312" s="456"/>
      <c r="AM312" s="456"/>
      <c r="AN312" s="456"/>
      <c r="AO312" s="456"/>
      <c r="AP312" s="456"/>
      <c r="AQ312" s="456"/>
      <c r="AR312" s="456"/>
      <c r="AS312" s="456"/>
      <c r="AT312" s="456"/>
      <c r="AU312" s="456"/>
      <c r="AV312" s="456"/>
      <c r="AW312" s="456"/>
      <c r="AX312" s="454"/>
      <c r="AY312" s="454"/>
      <c r="AZ312" s="455"/>
      <c r="BA312" s="455">
        <v>0.0</v>
      </c>
      <c r="BB312" s="455">
        <v>0.0</v>
      </c>
      <c r="BC312" s="455">
        <v>1035660.21</v>
      </c>
      <c r="BD312" s="456" t="s">
        <v>377</v>
      </c>
      <c r="BE312" s="456" t="s">
        <v>377</v>
      </c>
      <c r="BF312" s="456">
        <v>0.0</v>
      </c>
      <c r="BG312" s="456">
        <v>0.0</v>
      </c>
      <c r="BH312" s="456">
        <v>0.0</v>
      </c>
      <c r="BI312" s="456">
        <v>0.0</v>
      </c>
      <c r="BJ312" s="456">
        <v>0.0</v>
      </c>
      <c r="BK312" s="456">
        <v>0.0</v>
      </c>
      <c r="BL312" s="456">
        <v>0.0</v>
      </c>
      <c r="BM312" s="456">
        <v>0.0</v>
      </c>
      <c r="BN312" s="456">
        <v>0.0</v>
      </c>
      <c r="BO312" s="456">
        <v>0.0</v>
      </c>
      <c r="BP312" s="456">
        <v>0.0</v>
      </c>
      <c r="BQ312" s="456">
        <v>0.0</v>
      </c>
      <c r="BR312" s="456">
        <v>0.0</v>
      </c>
      <c r="BS312" s="90" t="s">
        <v>268</v>
      </c>
      <c r="BT312" s="90"/>
    </row>
    <row r="313" ht="15.75" customHeight="1">
      <c r="A313" s="444" t="s">
        <v>98</v>
      </c>
      <c r="B313" s="445" t="s">
        <v>6106</v>
      </c>
      <c r="C313" s="506" t="s">
        <v>6107</v>
      </c>
      <c r="D313" s="446">
        <v>6582735.0</v>
      </c>
      <c r="E313" s="447" t="s">
        <v>120</v>
      </c>
      <c r="F313" s="448" t="s">
        <v>199</v>
      </c>
      <c r="G313" s="490" t="s">
        <v>4715</v>
      </c>
      <c r="H313" s="447">
        <f>IFERROR(VLOOKUP(G313,'Cadastro de assessores'!A:B,2,FALSE),"Não Cadastrado")</f>
        <v>12342</v>
      </c>
      <c r="I313" s="447"/>
      <c r="J313" s="74" t="s">
        <v>183</v>
      </c>
      <c r="K313" s="447" t="s">
        <v>183</v>
      </c>
      <c r="L313" s="508">
        <v>44579.0</v>
      </c>
      <c r="M313" s="508">
        <v>44579.0</v>
      </c>
      <c r="N313" s="490"/>
      <c r="O313" s="490" t="s">
        <v>2356</v>
      </c>
      <c r="P313" s="638">
        <v>0.007</v>
      </c>
      <c r="Q313" s="330" t="s">
        <v>6110</v>
      </c>
      <c r="R313" s="453"/>
      <c r="S313" s="449" t="str">
        <f t="shared" si="33"/>
        <v>Não Qualificado</v>
      </c>
      <c r="T313" s="449" t="s">
        <v>194</v>
      </c>
      <c r="U313" s="449" t="s">
        <v>2343</v>
      </c>
      <c r="V313" s="449" t="s">
        <v>199</v>
      </c>
      <c r="W313" s="454"/>
      <c r="X313" s="454"/>
      <c r="Y313" s="454"/>
      <c r="Z313" s="454"/>
      <c r="AA313" s="454"/>
      <c r="AB313" s="454"/>
      <c r="AC313" s="454"/>
      <c r="AD313" s="454"/>
      <c r="AE313" s="454"/>
      <c r="AF313" s="454"/>
      <c r="AG313" s="455"/>
      <c r="AH313" s="455"/>
      <c r="AI313" s="455"/>
      <c r="AJ313" s="456"/>
      <c r="AK313" s="456"/>
      <c r="AL313" s="456"/>
      <c r="AM313" s="456"/>
      <c r="AN313" s="456"/>
      <c r="AO313" s="456"/>
      <c r="AP313" s="456"/>
      <c r="AQ313" s="456"/>
      <c r="AR313" s="456"/>
      <c r="AS313" s="456"/>
      <c r="AT313" s="456"/>
      <c r="AU313" s="456"/>
      <c r="AV313" s="456"/>
      <c r="AW313" s="456"/>
      <c r="AX313" s="454"/>
      <c r="AY313" s="454"/>
      <c r="AZ313" s="455"/>
      <c r="BA313" s="455">
        <v>0.0</v>
      </c>
      <c r="BB313" s="455">
        <v>203279.42</v>
      </c>
      <c r="BC313" s="455">
        <v>316024.1</v>
      </c>
      <c r="BD313" s="456">
        <v>197428.65</v>
      </c>
      <c r="BE313" s="456">
        <v>198708.34</v>
      </c>
      <c r="BF313" s="456">
        <v>199285.11</v>
      </c>
      <c r="BG313" s="456">
        <v>386283.3943</v>
      </c>
      <c r="BH313" s="456">
        <v>339331.71</v>
      </c>
      <c r="BI313" s="456">
        <v>286876.09</v>
      </c>
      <c r="BJ313" s="456">
        <v>257197.3</v>
      </c>
      <c r="BK313" s="456">
        <v>259892.53</v>
      </c>
      <c r="BL313" s="456">
        <v>262943.06</v>
      </c>
      <c r="BM313" s="456">
        <v>265583.85</v>
      </c>
      <c r="BN313" s="456">
        <v>287268.04</v>
      </c>
      <c r="BO313" s="456">
        <v>240839.23</v>
      </c>
      <c r="BP313" s="456">
        <v>228268.41</v>
      </c>
      <c r="BQ313" s="456">
        <v>230110.92</v>
      </c>
      <c r="BR313" s="456">
        <v>217513.04</v>
      </c>
      <c r="BS313" s="90" t="s">
        <v>268</v>
      </c>
      <c r="BT313" s="90"/>
    </row>
    <row r="314" ht="15.75" customHeight="1">
      <c r="A314" s="444" t="s">
        <v>98</v>
      </c>
      <c r="B314" s="445" t="s">
        <v>6116</v>
      </c>
      <c r="C314" s="468" t="s">
        <v>6117</v>
      </c>
      <c r="D314" s="611">
        <v>9215559.0</v>
      </c>
      <c r="E314" s="449" t="s">
        <v>120</v>
      </c>
      <c r="F314" s="507" t="s">
        <v>54</v>
      </c>
      <c r="G314" s="507" t="s">
        <v>125</v>
      </c>
      <c r="H314" s="447" t="str">
        <f>IFERROR(VLOOKUP(G314,'Cadastro de assessores'!A:B,2,FALSE),"Não Cadastrado")</f>
        <v>18890</v>
      </c>
      <c r="I314" s="507"/>
      <c r="J314" s="49" t="s">
        <v>2318</v>
      </c>
      <c r="K314" s="449"/>
      <c r="L314" s="508"/>
      <c r="M314" s="508"/>
      <c r="N314" s="508"/>
      <c r="O314" s="446" t="s">
        <v>2372</v>
      </c>
      <c r="P314" s="452">
        <v>0.025</v>
      </c>
      <c r="Q314" s="461" t="s">
        <v>3145</v>
      </c>
      <c r="R314" s="453"/>
      <c r="S314" s="449"/>
      <c r="T314" s="449"/>
      <c r="U314" s="449"/>
      <c r="V314" s="449" t="s">
        <v>54</v>
      </c>
      <c r="W314" s="455"/>
      <c r="X314" s="455"/>
      <c r="Y314" s="455"/>
      <c r="Z314" s="455"/>
      <c r="AA314" s="455"/>
      <c r="AB314" s="455"/>
      <c r="AC314" s="455"/>
      <c r="AD314" s="455"/>
      <c r="AE314" s="455"/>
      <c r="AF314" s="455"/>
      <c r="AG314" s="455"/>
      <c r="AH314" s="455"/>
      <c r="AI314" s="455"/>
      <c r="AJ314" s="455"/>
      <c r="AK314" s="456"/>
      <c r="AL314" s="456"/>
      <c r="AM314" s="456"/>
      <c r="AN314" s="456"/>
      <c r="AO314" s="456"/>
      <c r="AP314" s="456"/>
      <c r="AQ314" s="456"/>
      <c r="AR314" s="456"/>
      <c r="AS314" s="456"/>
      <c r="AT314" s="456"/>
      <c r="AU314" s="456"/>
      <c r="AV314" s="456"/>
      <c r="AW314" s="456"/>
      <c r="AX314" s="456"/>
      <c r="AY314" s="456"/>
      <c r="AZ314" s="456"/>
      <c r="BA314" s="456"/>
      <c r="BB314" s="456"/>
      <c r="BC314" s="456"/>
      <c r="BD314" s="456"/>
      <c r="BE314" s="456"/>
      <c r="BF314" s="456"/>
      <c r="BG314" s="456"/>
      <c r="BH314" s="456">
        <v>30564.99</v>
      </c>
      <c r="BI314" s="456">
        <v>34957.56</v>
      </c>
      <c r="BJ314" s="456">
        <v>37382.33</v>
      </c>
      <c r="BK314" s="456">
        <v>37471.02</v>
      </c>
      <c r="BL314" s="456">
        <v>11664.07</v>
      </c>
      <c r="BM314" s="456">
        <v>0.0</v>
      </c>
      <c r="BN314" s="456">
        <v>0.0</v>
      </c>
      <c r="BO314" s="456">
        <v>0.0</v>
      </c>
      <c r="BP314" s="456">
        <v>0.0</v>
      </c>
      <c r="BQ314" s="456">
        <v>0.0</v>
      </c>
      <c r="BR314" s="456">
        <v>0.0</v>
      </c>
      <c r="BS314" s="90">
        <v>0.0</v>
      </c>
      <c r="BT314" s="90"/>
    </row>
    <row r="315" ht="15.75" customHeight="1">
      <c r="A315" s="444" t="s">
        <v>98</v>
      </c>
      <c r="B315" s="445" t="s">
        <v>6123</v>
      </c>
      <c r="C315" s="468" t="s">
        <v>6125</v>
      </c>
      <c r="D315" s="446">
        <v>5752123.0</v>
      </c>
      <c r="E315" s="449" t="s">
        <v>120</v>
      </c>
      <c r="F315" s="507" t="s">
        <v>199</v>
      </c>
      <c r="G315" s="507" t="s">
        <v>2339</v>
      </c>
      <c r="H315" s="507" t="str">
        <f>IFERROR(VLOOKUP(G315,'Cadastro de assessores'!A:B,2,FALSE),"Não Cadastrado")</f>
        <v>17679</v>
      </c>
      <c r="I315" s="507"/>
      <c r="J315" s="49" t="s">
        <v>224</v>
      </c>
      <c r="K315" s="449" t="s">
        <v>2340</v>
      </c>
      <c r="L315" s="508">
        <v>44384.0</v>
      </c>
      <c r="M315" s="508">
        <v>44384.0</v>
      </c>
      <c r="N315" s="508">
        <v>44455.0</v>
      </c>
      <c r="O315" s="446" t="s">
        <v>2356</v>
      </c>
      <c r="P315" s="452">
        <v>0.007</v>
      </c>
      <c r="Q315" s="461" t="s">
        <v>6128</v>
      </c>
      <c r="R315" s="453"/>
      <c r="S315" s="449" t="str">
        <f t="shared" ref="S315:S316" si="34">IF(BC315&lt;=0,"",IF(BC315&lt;=1000000,"Não Qualificado",IF(AND(BC315&gt;1000000,BC315&lt;=10000000),"Qualificado","Profissional")))</f>
        <v>Não Qualificado</v>
      </c>
      <c r="T315" s="449" t="s">
        <v>194</v>
      </c>
      <c r="U315" s="449" t="s">
        <v>4515</v>
      </c>
      <c r="V315" s="449" t="s">
        <v>311</v>
      </c>
      <c r="W315" s="455"/>
      <c r="X315" s="455"/>
      <c r="Y315" s="455"/>
      <c r="Z315" s="455"/>
      <c r="AA315" s="455"/>
      <c r="AB315" s="455"/>
      <c r="AC315" s="455"/>
      <c r="AD315" s="455"/>
      <c r="AE315" s="455"/>
      <c r="AF315" s="455"/>
      <c r="AG315" s="455"/>
      <c r="AH315" s="455"/>
      <c r="AI315" s="455"/>
      <c r="AJ315" s="455"/>
      <c r="AK315" s="456"/>
      <c r="AL315" s="456"/>
      <c r="AM315" s="456"/>
      <c r="AN315" s="456"/>
      <c r="AO315" s="456"/>
      <c r="AP315" s="456"/>
      <c r="AQ315" s="456"/>
      <c r="AR315" s="456"/>
      <c r="AS315" s="456"/>
      <c r="AT315" s="456">
        <v>120381.92</v>
      </c>
      <c r="AU315" s="456">
        <v>120980.48</v>
      </c>
      <c r="AV315" s="456"/>
      <c r="AW315" s="456"/>
      <c r="AX315" s="456"/>
      <c r="AY315" s="456"/>
      <c r="AZ315" s="456"/>
      <c r="BA315" s="456">
        <v>0.0</v>
      </c>
      <c r="BB315" s="456">
        <v>0.0</v>
      </c>
      <c r="BC315" s="456">
        <v>144644.89</v>
      </c>
      <c r="BD315" s="456" t="s">
        <v>377</v>
      </c>
      <c r="BE315" s="456" t="s">
        <v>377</v>
      </c>
      <c r="BF315" s="456">
        <v>0.0</v>
      </c>
      <c r="BG315" s="456">
        <v>0.0</v>
      </c>
      <c r="BH315" s="456">
        <v>0.0</v>
      </c>
      <c r="BI315" s="456">
        <v>0.0</v>
      </c>
      <c r="BJ315" s="456">
        <v>0.0</v>
      </c>
      <c r="BK315" s="456">
        <v>0.0</v>
      </c>
      <c r="BL315" s="456">
        <v>0.0</v>
      </c>
      <c r="BM315" s="456">
        <v>0.0</v>
      </c>
      <c r="BN315" s="456">
        <v>0.0</v>
      </c>
      <c r="BO315" s="456">
        <v>0.0</v>
      </c>
      <c r="BP315" s="456">
        <v>0.0</v>
      </c>
      <c r="BQ315" s="456">
        <v>0.0</v>
      </c>
      <c r="BR315" s="456">
        <v>0.0</v>
      </c>
      <c r="BS315" s="90" t="s">
        <v>268</v>
      </c>
      <c r="BT315" s="90"/>
    </row>
    <row r="316" ht="15.75" customHeight="1">
      <c r="A316" s="444" t="s">
        <v>98</v>
      </c>
      <c r="B316" s="445" t="s">
        <v>6133</v>
      </c>
      <c r="C316" s="458" t="s">
        <v>6134</v>
      </c>
      <c r="D316" s="449">
        <v>4636125.0</v>
      </c>
      <c r="E316" s="447" t="s">
        <v>120</v>
      </c>
      <c r="F316" s="447" t="s">
        <v>199</v>
      </c>
      <c r="G316" s="447" t="s">
        <v>1914</v>
      </c>
      <c r="H316" s="447">
        <f>IFERROR(VLOOKUP(G316,'Cadastro de assessores'!A:B,2,FALSE),"Não Cadastrado")</f>
        <v>12359</v>
      </c>
      <c r="I316" s="447"/>
      <c r="J316" s="49" t="s">
        <v>2318</v>
      </c>
      <c r="K316" s="447" t="s">
        <v>183</v>
      </c>
      <c r="L316" s="450">
        <v>44215.0</v>
      </c>
      <c r="M316" s="450">
        <v>44215.0</v>
      </c>
      <c r="N316" s="446"/>
      <c r="O316" s="446" t="s">
        <v>2319</v>
      </c>
      <c r="P316" s="452">
        <v>0.02</v>
      </c>
      <c r="Q316" s="461" t="s">
        <v>3049</v>
      </c>
      <c r="R316" s="453"/>
      <c r="S316" s="449" t="str">
        <f t="shared" si="34"/>
        <v>Não Qualificado</v>
      </c>
      <c r="T316" s="449" t="s">
        <v>194</v>
      </c>
      <c r="U316" s="449" t="s">
        <v>2417</v>
      </c>
      <c r="V316" s="449" t="s">
        <v>199</v>
      </c>
      <c r="W316" s="455"/>
      <c r="X316" s="455"/>
      <c r="Y316" s="455"/>
      <c r="Z316" s="455"/>
      <c r="AA316" s="455"/>
      <c r="AB316" s="455"/>
      <c r="AC316" s="455"/>
      <c r="AD316" s="455"/>
      <c r="AE316" s="455"/>
      <c r="AF316" s="455"/>
      <c r="AG316" s="455"/>
      <c r="AH316" s="455" t="s">
        <v>2344</v>
      </c>
      <c r="AI316" s="455" t="s">
        <v>2344</v>
      </c>
      <c r="AJ316" s="455" t="s">
        <v>6137</v>
      </c>
      <c r="AK316" s="456">
        <v>71242.6</v>
      </c>
      <c r="AL316" s="456">
        <v>99603.65</v>
      </c>
      <c r="AM316" s="456">
        <v>282852.81</v>
      </c>
      <c r="AN316" s="456">
        <v>282223.17</v>
      </c>
      <c r="AO316" s="456">
        <v>295719.25</v>
      </c>
      <c r="AP316" s="456">
        <v>298229.53</v>
      </c>
      <c r="AQ316" s="456">
        <v>296338.72</v>
      </c>
      <c r="AR316" s="456">
        <v>306037.4</v>
      </c>
      <c r="AS316" s="456">
        <v>302715.34</v>
      </c>
      <c r="AT316" s="456">
        <v>293033.03</v>
      </c>
      <c r="AU316" s="456">
        <v>289701.01</v>
      </c>
      <c r="AV316" s="456">
        <v>280538.17</v>
      </c>
      <c r="AW316" s="456">
        <v>265079.39</v>
      </c>
      <c r="AX316" s="456">
        <v>264229.68</v>
      </c>
      <c r="AY316" s="456">
        <v>268418.53</v>
      </c>
      <c r="AZ316" s="456">
        <v>277987.65</v>
      </c>
      <c r="BA316" s="456">
        <v>280486.8</v>
      </c>
      <c r="BB316" s="456">
        <v>294172.1</v>
      </c>
      <c r="BC316" s="456">
        <v>90351.4</v>
      </c>
      <c r="BD316" s="456">
        <v>248103.57</v>
      </c>
      <c r="BE316" s="456">
        <v>241908.2</v>
      </c>
      <c r="BF316" s="456">
        <v>250661.74</v>
      </c>
      <c r="BG316" s="456">
        <v>231363.6937</v>
      </c>
      <c r="BH316" s="456">
        <v>229237.76</v>
      </c>
      <c r="BI316" s="456">
        <v>18994.52</v>
      </c>
      <c r="BJ316" s="456">
        <v>18729.51</v>
      </c>
      <c r="BK316" s="456">
        <v>18685.36</v>
      </c>
      <c r="BL316" s="456">
        <v>19638.44</v>
      </c>
      <c r="BM316" s="456">
        <v>19781.8</v>
      </c>
      <c r="BN316" s="456">
        <v>0.0</v>
      </c>
      <c r="BO316" s="456">
        <v>0.0</v>
      </c>
      <c r="BP316" s="456">
        <v>0.0</v>
      </c>
      <c r="BQ316" s="456">
        <v>0.0</v>
      </c>
      <c r="BR316" s="456">
        <v>0.0</v>
      </c>
      <c r="BS316" s="90" t="s">
        <v>268</v>
      </c>
      <c r="BT316" s="90"/>
    </row>
    <row r="317" ht="15.75" customHeight="1">
      <c r="A317" s="444" t="s">
        <v>98</v>
      </c>
      <c r="B317" s="445" t="s">
        <v>6140</v>
      </c>
      <c r="C317" s="458" t="s">
        <v>6141</v>
      </c>
      <c r="D317" s="449">
        <v>9098658.0</v>
      </c>
      <c r="E317" s="447" t="s">
        <v>120</v>
      </c>
      <c r="F317" s="447" t="s">
        <v>54</v>
      </c>
      <c r="G317" s="447" t="s">
        <v>348</v>
      </c>
      <c r="H317" s="447">
        <f>IFERROR(VLOOKUP(G317,'Cadastro de assessores'!A:B,2,FALSE),"Não Cadastrado")</f>
        <v>12331</v>
      </c>
      <c r="I317" s="447"/>
      <c r="J317" s="49" t="s">
        <v>2318</v>
      </c>
      <c r="K317" s="447" t="s">
        <v>183</v>
      </c>
      <c r="L317" s="451">
        <v>44795.0</v>
      </c>
      <c r="M317" s="451">
        <v>44795.0</v>
      </c>
      <c r="N317" s="449"/>
      <c r="O317" s="449" t="s">
        <v>2356</v>
      </c>
      <c r="P317" s="452">
        <v>0.007</v>
      </c>
      <c r="Q317" s="461" t="s">
        <v>6143</v>
      </c>
      <c r="R317" s="453"/>
      <c r="S317" s="449"/>
      <c r="T317" s="449" t="s">
        <v>194</v>
      </c>
      <c r="U317" s="449"/>
      <c r="V317" s="449" t="s">
        <v>618</v>
      </c>
      <c r="W317" s="455"/>
      <c r="X317" s="455"/>
      <c r="Y317" s="455"/>
      <c r="Z317" s="455"/>
      <c r="AA317" s="455"/>
      <c r="AB317" s="455"/>
      <c r="AC317" s="455"/>
      <c r="AD317" s="455"/>
      <c r="AE317" s="455"/>
      <c r="AF317" s="455"/>
      <c r="AG317" s="455"/>
      <c r="AH317" s="455"/>
      <c r="AI317" s="455"/>
      <c r="AJ317" s="455"/>
      <c r="AK317" s="456"/>
      <c r="AL317" s="456"/>
      <c r="AM317" s="456"/>
      <c r="AN317" s="456"/>
      <c r="AO317" s="456"/>
      <c r="AP317" s="456"/>
      <c r="AQ317" s="456"/>
      <c r="AR317" s="456"/>
      <c r="AS317" s="456"/>
      <c r="AT317" s="456"/>
      <c r="AU317" s="456"/>
      <c r="AV317" s="456"/>
      <c r="AW317" s="456"/>
      <c r="AX317" s="456"/>
      <c r="AY317" s="456"/>
      <c r="AZ317" s="456"/>
      <c r="BA317" s="456"/>
      <c r="BB317" s="456"/>
      <c r="BC317" s="456"/>
      <c r="BD317" s="456"/>
      <c r="BE317" s="456"/>
      <c r="BF317" s="456"/>
      <c r="BG317" s="456">
        <v>200683.6924</v>
      </c>
      <c r="BH317" s="456">
        <v>202691.78</v>
      </c>
      <c r="BI317" s="456">
        <v>204679.61</v>
      </c>
      <c r="BJ317" s="456">
        <v>206503.16</v>
      </c>
      <c r="BK317" s="456">
        <v>208393.24</v>
      </c>
      <c r="BL317" s="456">
        <v>210649.9</v>
      </c>
      <c r="BM317" s="456">
        <v>212295.67</v>
      </c>
      <c r="BN317" s="456">
        <v>437.47</v>
      </c>
      <c r="BO317" s="456">
        <v>437.47</v>
      </c>
      <c r="BP317" s="456">
        <v>437.47</v>
      </c>
      <c r="BQ317" s="456">
        <v>437.47</v>
      </c>
      <c r="BR317" s="456">
        <v>437.47</v>
      </c>
      <c r="BS317" s="90" t="s">
        <v>268</v>
      </c>
      <c r="BT317" s="90"/>
    </row>
    <row r="318" ht="15.75" customHeight="1">
      <c r="A318" s="444" t="s">
        <v>98</v>
      </c>
      <c r="B318" s="445" t="s">
        <v>1163</v>
      </c>
      <c r="C318" s="458" t="s">
        <v>1159</v>
      </c>
      <c r="D318" s="449">
        <v>4588112.0</v>
      </c>
      <c r="E318" s="447" t="s">
        <v>120</v>
      </c>
      <c r="F318" s="447" t="s">
        <v>199</v>
      </c>
      <c r="G318" s="447" t="s">
        <v>1108</v>
      </c>
      <c r="H318" s="447" t="str">
        <f>IFERROR(VLOOKUP(G318,'Cadastro de assessores'!A:B,2,FALSE),"Não Cadastrado")</f>
        <v>18836</v>
      </c>
      <c r="I318" s="447"/>
      <c r="J318" s="74" t="s">
        <v>183</v>
      </c>
      <c r="K318" s="447" t="s">
        <v>183</v>
      </c>
      <c r="L318" s="451">
        <v>44144.0</v>
      </c>
      <c r="M318" s="451">
        <v>44148.0</v>
      </c>
      <c r="N318" s="449"/>
      <c r="O318" s="449" t="s">
        <v>2365</v>
      </c>
      <c r="P318" s="452">
        <v>0.012</v>
      </c>
      <c r="Q318" s="461"/>
      <c r="R318" s="453"/>
      <c r="S318" s="449" t="str">
        <f t="shared" ref="S318:S325" si="35">IF(BC318&lt;=0,"",IF(BC318&lt;=1000000,"Não Qualificado",IF(AND(BC318&gt;1000000,BC318&lt;=10000000),"Qualificado","Profissional")))</f>
        <v>Não Qualificado</v>
      </c>
      <c r="T318" s="449" t="s">
        <v>194</v>
      </c>
      <c r="U318" s="449" t="s">
        <v>3820</v>
      </c>
      <c r="V318" s="449" t="s">
        <v>397</v>
      </c>
      <c r="W318" s="455" t="s">
        <v>2344</v>
      </c>
      <c r="X318" s="455" t="s">
        <v>2344</v>
      </c>
      <c r="Y318" s="455" t="s">
        <v>2344</v>
      </c>
      <c r="Z318" s="455" t="s">
        <v>2344</v>
      </c>
      <c r="AA318" s="455" t="s">
        <v>2344</v>
      </c>
      <c r="AB318" s="455" t="s">
        <v>2344</v>
      </c>
      <c r="AC318" s="455" t="s">
        <v>2344</v>
      </c>
      <c r="AD318" s="455" t="s">
        <v>2344</v>
      </c>
      <c r="AE318" s="455" t="s">
        <v>2344</v>
      </c>
      <c r="AF318" s="455" t="s">
        <v>2344</v>
      </c>
      <c r="AG318" s="455" t="s">
        <v>2344</v>
      </c>
      <c r="AH318" s="455"/>
      <c r="AI318" s="455"/>
      <c r="AJ318" s="455" t="s">
        <v>6137</v>
      </c>
      <c r="AK318" s="456"/>
      <c r="AL318" s="456"/>
      <c r="AM318" s="456">
        <v>107414.67</v>
      </c>
      <c r="AN318" s="456">
        <v>107328.47</v>
      </c>
      <c r="AO318" s="456">
        <v>109205.15</v>
      </c>
      <c r="AP318" s="456">
        <v>109600.12</v>
      </c>
      <c r="AQ318" s="456">
        <v>109269.47</v>
      </c>
      <c r="AR318" s="456">
        <v>110797.67</v>
      </c>
      <c r="AS318" s="456">
        <v>110586.18</v>
      </c>
      <c r="AT318" s="456">
        <v>124435.38</v>
      </c>
      <c r="AU318" s="456">
        <v>144196.93</v>
      </c>
      <c r="AV318" s="456">
        <v>164009.35</v>
      </c>
      <c r="AW318" s="456">
        <v>168978.84</v>
      </c>
      <c r="AX318" s="456">
        <v>252039.81</v>
      </c>
      <c r="AY318" s="456">
        <v>294457.55</v>
      </c>
      <c r="AZ318" s="456">
        <v>340523.57</v>
      </c>
      <c r="BA318" s="456">
        <v>353255.04</v>
      </c>
      <c r="BB318" s="456">
        <v>371639.07</v>
      </c>
      <c r="BC318" s="456">
        <v>530537.43</v>
      </c>
      <c r="BD318" s="456">
        <v>394200.21</v>
      </c>
      <c r="BE318" s="456">
        <v>414724.95</v>
      </c>
      <c r="BF318" s="456">
        <v>430305.69</v>
      </c>
      <c r="BG318" s="456">
        <v>433533.6309</v>
      </c>
      <c r="BH318" s="456">
        <v>435866.4</v>
      </c>
      <c r="BI318" s="456">
        <v>465295.94</v>
      </c>
      <c r="BJ318" s="456">
        <v>476264.18</v>
      </c>
      <c r="BK318" s="456">
        <v>490285.08</v>
      </c>
      <c r="BL318" s="456">
        <v>505198.14</v>
      </c>
      <c r="BM318" s="456">
        <v>508589.76</v>
      </c>
      <c r="BN318" s="456">
        <v>619944.7</v>
      </c>
      <c r="BO318" s="456">
        <v>625401.07</v>
      </c>
      <c r="BP318" s="456">
        <v>630796.23</v>
      </c>
      <c r="BQ318" s="456">
        <v>635222.94</v>
      </c>
      <c r="BR318" s="456">
        <v>167814.15</v>
      </c>
      <c r="BS318" s="90">
        <v>15529.4</v>
      </c>
      <c r="BT318" s="90"/>
    </row>
    <row r="319" ht="15.75" customHeight="1">
      <c r="A319" s="444" t="s">
        <v>98</v>
      </c>
      <c r="B319" s="445" t="s">
        <v>6153</v>
      </c>
      <c r="C319" s="468" t="s">
        <v>6154</v>
      </c>
      <c r="D319" s="469">
        <v>7046512.0</v>
      </c>
      <c r="E319" s="447" t="s">
        <v>255</v>
      </c>
      <c r="F319" s="447" t="s">
        <v>199</v>
      </c>
      <c r="G319" s="447" t="s">
        <v>2587</v>
      </c>
      <c r="H319" s="447" t="str">
        <f>IFERROR(VLOOKUP(G319,'Cadastro de assessores'!A:B,2,FALSE),"Não Cadastrado")</f>
        <v>1298</v>
      </c>
      <c r="I319" s="447"/>
      <c r="J319" s="49" t="s">
        <v>224</v>
      </c>
      <c r="K319" s="447" t="s">
        <v>183</v>
      </c>
      <c r="L319" s="450">
        <v>44673.0</v>
      </c>
      <c r="M319" s="450">
        <v>44673.0</v>
      </c>
      <c r="N319" s="528">
        <v>44994.0</v>
      </c>
      <c r="O319" s="490" t="s">
        <v>2365</v>
      </c>
      <c r="P319" s="452">
        <v>0.012</v>
      </c>
      <c r="Q319" s="330" t="s">
        <v>6157</v>
      </c>
      <c r="R319" s="453"/>
      <c r="S319" s="449" t="str">
        <f t="shared" si="35"/>
        <v>Não Qualificado</v>
      </c>
      <c r="T319" s="446" t="s">
        <v>234</v>
      </c>
      <c r="U319" s="446" t="s">
        <v>6158</v>
      </c>
      <c r="V319" s="446" t="s">
        <v>618</v>
      </c>
      <c r="W319" s="454"/>
      <c r="X319" s="454"/>
      <c r="Y319" s="454"/>
      <c r="Z319" s="454"/>
      <c r="AA319" s="454"/>
      <c r="AB319" s="454"/>
      <c r="AC319" s="454"/>
      <c r="AD319" s="454"/>
      <c r="AE319" s="454"/>
      <c r="AF319" s="454"/>
      <c r="AG319" s="455"/>
      <c r="AH319" s="455"/>
      <c r="AI319" s="455"/>
      <c r="AJ319" s="456"/>
      <c r="AK319" s="456"/>
      <c r="AL319" s="456"/>
      <c r="AM319" s="735"/>
      <c r="AN319" s="735"/>
      <c r="AO319" s="456"/>
      <c r="AP319" s="456"/>
      <c r="AQ319" s="456"/>
      <c r="AR319" s="456"/>
      <c r="AS319" s="456"/>
      <c r="AT319" s="456"/>
      <c r="AU319" s="456"/>
      <c r="AV319" s="456"/>
      <c r="AW319" s="454"/>
      <c r="AX319" s="481"/>
      <c r="AY319" s="481"/>
      <c r="AZ319" s="456"/>
      <c r="BA319" s="456"/>
      <c r="BB319" s="456"/>
      <c r="BC319" s="456">
        <v>72021.58</v>
      </c>
      <c r="BD319" s="456">
        <v>249325.31</v>
      </c>
      <c r="BE319" s="456">
        <v>249447.19</v>
      </c>
      <c r="BF319" s="456">
        <v>252090.88</v>
      </c>
      <c r="BG319" s="456">
        <v>253423.9628</v>
      </c>
      <c r="BH319" s="456">
        <v>255315.7</v>
      </c>
      <c r="BI319" s="456">
        <v>259776.68</v>
      </c>
      <c r="BJ319" s="456">
        <v>230397.37</v>
      </c>
      <c r="BK319" s="456">
        <v>232085.87</v>
      </c>
      <c r="BL319" s="456">
        <v>234667.14</v>
      </c>
      <c r="BM319" s="456">
        <v>0.0</v>
      </c>
      <c r="BN319" s="456">
        <v>239490.04</v>
      </c>
      <c r="BO319" s="456">
        <v>161440.75</v>
      </c>
      <c r="BP319" s="456">
        <v>130216.12</v>
      </c>
      <c r="BQ319" s="456">
        <v>131208.74</v>
      </c>
      <c r="BR319" s="456">
        <v>0.0</v>
      </c>
      <c r="BS319" s="90">
        <v>0.0</v>
      </c>
      <c r="BT319" s="90"/>
    </row>
    <row r="320" ht="15.75" customHeight="1">
      <c r="A320" s="444" t="s">
        <v>98</v>
      </c>
      <c r="B320" s="445" t="s">
        <v>6161</v>
      </c>
      <c r="C320" s="458" t="s">
        <v>6162</v>
      </c>
      <c r="D320" s="449">
        <v>4616618.0</v>
      </c>
      <c r="E320" s="447" t="s">
        <v>255</v>
      </c>
      <c r="F320" s="447" t="s">
        <v>199</v>
      </c>
      <c r="G320" s="447" t="s">
        <v>4809</v>
      </c>
      <c r="H320" s="447" t="str">
        <f>IFERROR(VLOOKUP(G320,'Cadastro de assessores'!A:B,2,FALSE),"Não Cadastrado")</f>
        <v>14091</v>
      </c>
      <c r="I320" s="447"/>
      <c r="J320" s="49" t="s">
        <v>2318</v>
      </c>
      <c r="K320" s="447" t="s">
        <v>183</v>
      </c>
      <c r="L320" s="451">
        <v>44154.0</v>
      </c>
      <c r="M320" s="451">
        <v>44159.0</v>
      </c>
      <c r="N320" s="449"/>
      <c r="O320" s="449" t="s">
        <v>2365</v>
      </c>
      <c r="P320" s="452">
        <v>0.012</v>
      </c>
      <c r="Q320" s="461" t="s">
        <v>6164</v>
      </c>
      <c r="R320" s="453"/>
      <c r="S320" s="449" t="str">
        <f t="shared" si="35"/>
        <v>Não Qualificado</v>
      </c>
      <c r="T320" s="449" t="s">
        <v>194</v>
      </c>
      <c r="U320" s="449" t="s">
        <v>2417</v>
      </c>
      <c r="V320" s="449" t="s">
        <v>199</v>
      </c>
      <c r="W320" s="455" t="s">
        <v>2344</v>
      </c>
      <c r="X320" s="455" t="s">
        <v>2344</v>
      </c>
      <c r="Y320" s="455" t="s">
        <v>2344</v>
      </c>
      <c r="Z320" s="455" t="s">
        <v>2344</v>
      </c>
      <c r="AA320" s="455" t="s">
        <v>2344</v>
      </c>
      <c r="AB320" s="455" t="s">
        <v>2344</v>
      </c>
      <c r="AC320" s="455" t="s">
        <v>2344</v>
      </c>
      <c r="AD320" s="455" t="s">
        <v>2344</v>
      </c>
      <c r="AE320" s="455" t="s">
        <v>2344</v>
      </c>
      <c r="AF320" s="455" t="s">
        <v>2344</v>
      </c>
      <c r="AG320" s="455" t="s">
        <v>2344</v>
      </c>
      <c r="AH320" s="455" t="s">
        <v>2344</v>
      </c>
      <c r="AI320" s="455" t="s">
        <v>2344</v>
      </c>
      <c r="AJ320" s="455" t="s">
        <v>6165</v>
      </c>
      <c r="AK320" s="456">
        <v>102155.66</v>
      </c>
      <c r="AL320" s="456">
        <v>100585.08</v>
      </c>
      <c r="AM320" s="456">
        <v>290025.61</v>
      </c>
      <c r="AN320" s="456">
        <v>290081.49</v>
      </c>
      <c r="AO320" s="456">
        <v>298827.07</v>
      </c>
      <c r="AP320" s="456">
        <v>300676.65</v>
      </c>
      <c r="AQ320" s="456">
        <v>299456.77</v>
      </c>
      <c r="AR320" s="456">
        <v>306777.4</v>
      </c>
      <c r="AS320" s="456">
        <v>304393.64</v>
      </c>
      <c r="AT320" s="456">
        <v>298279.14</v>
      </c>
      <c r="AU320" s="456">
        <v>296464.05</v>
      </c>
      <c r="AV320" s="456">
        <v>291379.14</v>
      </c>
      <c r="AW320" s="456">
        <v>280232.55</v>
      </c>
      <c r="AX320" s="456">
        <v>280772.16</v>
      </c>
      <c r="AY320" s="456">
        <v>284131.72</v>
      </c>
      <c r="AZ320" s="456">
        <v>290201.62</v>
      </c>
      <c r="BA320" s="456">
        <v>292353.28</v>
      </c>
      <c r="BB320" s="456">
        <v>302003.69</v>
      </c>
      <c r="BC320" s="456">
        <v>397682.34</v>
      </c>
      <c r="BD320" s="456">
        <v>303692.95</v>
      </c>
      <c r="BE320" s="456">
        <v>304488.47</v>
      </c>
      <c r="BF320" s="456">
        <v>308229.09</v>
      </c>
      <c r="BG320" s="456">
        <v>309307.947</v>
      </c>
      <c r="BH320" s="456">
        <v>311362.16</v>
      </c>
      <c r="BI320" s="456">
        <v>318946.91</v>
      </c>
      <c r="BJ320" s="456">
        <v>319335.85</v>
      </c>
      <c r="BK320" s="456">
        <v>321893.05</v>
      </c>
      <c r="BL320" s="456">
        <v>325689.12</v>
      </c>
      <c r="BM320" s="456">
        <v>91701.25</v>
      </c>
      <c r="BN320" s="456">
        <v>0.0</v>
      </c>
      <c r="BO320" s="456">
        <v>0.0</v>
      </c>
      <c r="BP320" s="456">
        <v>0.0</v>
      </c>
      <c r="BQ320" s="456">
        <v>0.0</v>
      </c>
      <c r="BR320" s="456">
        <v>0.0</v>
      </c>
      <c r="BS320" s="90">
        <v>0.0</v>
      </c>
      <c r="BT320" s="90"/>
    </row>
    <row r="321" ht="15.75" customHeight="1">
      <c r="A321" s="444" t="s">
        <v>98</v>
      </c>
      <c r="B321" s="445" t="s">
        <v>6161</v>
      </c>
      <c r="C321" s="458" t="s">
        <v>6162</v>
      </c>
      <c r="D321" s="449">
        <v>4859015.0</v>
      </c>
      <c r="E321" s="447" t="s">
        <v>255</v>
      </c>
      <c r="F321" s="447" t="s">
        <v>199</v>
      </c>
      <c r="G321" s="447" t="s">
        <v>4809</v>
      </c>
      <c r="H321" s="447" t="str">
        <f>IFERROR(VLOOKUP(G321,'Cadastro de assessores'!A:B,2,FALSE),"Não Cadastrado")</f>
        <v>14091</v>
      </c>
      <c r="I321" s="447"/>
      <c r="J321" s="49" t="s">
        <v>2318</v>
      </c>
      <c r="K321" s="447" t="s">
        <v>183</v>
      </c>
      <c r="L321" s="450">
        <v>44239.0</v>
      </c>
      <c r="M321" s="450">
        <v>44239.0</v>
      </c>
      <c r="N321" s="446"/>
      <c r="O321" s="446" t="s">
        <v>2452</v>
      </c>
      <c r="P321" s="452">
        <v>0.008</v>
      </c>
      <c r="Q321" s="461"/>
      <c r="R321" s="453"/>
      <c r="S321" s="449" t="str">
        <f t="shared" si="35"/>
        <v/>
      </c>
      <c r="T321" s="449" t="s">
        <v>194</v>
      </c>
      <c r="U321" s="449" t="s">
        <v>2417</v>
      </c>
      <c r="V321" s="449" t="s">
        <v>199</v>
      </c>
      <c r="W321" s="455"/>
      <c r="X321" s="455"/>
      <c r="Y321" s="455"/>
      <c r="Z321" s="455"/>
      <c r="AA321" s="455"/>
      <c r="AB321" s="455"/>
      <c r="AC321" s="455"/>
      <c r="AD321" s="455"/>
      <c r="AE321" s="455"/>
      <c r="AF321" s="455"/>
      <c r="AG321" s="455"/>
      <c r="AH321" s="455"/>
      <c r="AI321" s="455"/>
      <c r="AJ321" s="455"/>
      <c r="AK321" s="456"/>
      <c r="AL321" s="456"/>
      <c r="AM321" s="456">
        <v>198727.5</v>
      </c>
      <c r="AN321" s="456">
        <v>192314.93</v>
      </c>
      <c r="AO321" s="456">
        <v>190919.89</v>
      </c>
      <c r="AP321" s="456">
        <v>191073.82</v>
      </c>
      <c r="AQ321" s="456">
        <v>192000.39</v>
      </c>
      <c r="AR321" s="456">
        <v>188773.71</v>
      </c>
      <c r="AS321" s="456">
        <v>186275.5</v>
      </c>
      <c r="AT321" s="456">
        <v>190107.97</v>
      </c>
      <c r="AU321" s="456">
        <v>184208.08</v>
      </c>
      <c r="AV321" s="456">
        <v>184212.78</v>
      </c>
      <c r="AW321" s="456">
        <v>180716.23</v>
      </c>
      <c r="AX321" s="456">
        <v>171724.43</v>
      </c>
      <c r="AY321" s="456">
        <v>182669.77</v>
      </c>
      <c r="AZ321" s="456">
        <v>183249.41</v>
      </c>
      <c r="BA321" s="456">
        <v>183325.6</v>
      </c>
      <c r="BB321" s="456">
        <v>185080.55</v>
      </c>
      <c r="BC321" s="456"/>
      <c r="BD321" s="456">
        <v>188515.52</v>
      </c>
      <c r="BE321" s="456">
        <v>188392.44</v>
      </c>
      <c r="BF321" s="456">
        <v>190748.75</v>
      </c>
      <c r="BG321" s="456">
        <v>195688.12</v>
      </c>
      <c r="BH321" s="456">
        <v>195461.21</v>
      </c>
      <c r="BI321" s="456">
        <v>197343.51</v>
      </c>
      <c r="BJ321" s="456">
        <v>191318.42</v>
      </c>
      <c r="BK321" s="456">
        <v>190837.88</v>
      </c>
      <c r="BL321" s="456">
        <v>191838.83</v>
      </c>
      <c r="BM321" s="456">
        <v>5779.03</v>
      </c>
      <c r="BN321" s="456">
        <v>0.0</v>
      </c>
      <c r="BO321" s="456">
        <v>0.0</v>
      </c>
      <c r="BP321" s="456">
        <v>0.0</v>
      </c>
      <c r="BQ321" s="456">
        <v>0.0</v>
      </c>
      <c r="BR321" s="456">
        <v>0.0</v>
      </c>
      <c r="BS321" s="90">
        <v>0.0</v>
      </c>
      <c r="BT321" s="90"/>
    </row>
    <row r="322" ht="15.75" customHeight="1">
      <c r="A322" s="444" t="s">
        <v>98</v>
      </c>
      <c r="B322" s="445" t="s">
        <v>6175</v>
      </c>
      <c r="C322" s="468" t="s">
        <v>6176</v>
      </c>
      <c r="D322" s="446">
        <v>5666607.0</v>
      </c>
      <c r="E322" s="604" t="s">
        <v>120</v>
      </c>
      <c r="F322" s="446" t="s">
        <v>54</v>
      </c>
      <c r="G322" s="446" t="s">
        <v>4777</v>
      </c>
      <c r="H322" s="446" t="str">
        <f>IFERROR(VLOOKUP(G322,'Cadastro de assessores'!A:B,2,FALSE),"Não Cadastrado")</f>
        <v>1275</v>
      </c>
      <c r="I322" s="446"/>
      <c r="J322" s="49" t="s">
        <v>224</v>
      </c>
      <c r="K322" s="449" t="s">
        <v>2340</v>
      </c>
      <c r="L322" s="605">
        <v>44376.0</v>
      </c>
      <c r="M322" s="605">
        <v>44376.0</v>
      </c>
      <c r="N322" s="508">
        <v>44775.0</v>
      </c>
      <c r="O322" s="446" t="s">
        <v>2372</v>
      </c>
      <c r="P322" s="465">
        <v>0.025</v>
      </c>
      <c r="Q322" s="330" t="s">
        <v>6179</v>
      </c>
      <c r="R322" s="453"/>
      <c r="S322" s="449" t="str">
        <f t="shared" si="35"/>
        <v>Não Qualificado</v>
      </c>
      <c r="T322" s="449" t="s">
        <v>194</v>
      </c>
      <c r="U322" s="446" t="s">
        <v>2852</v>
      </c>
      <c r="V322" s="449" t="s">
        <v>2854</v>
      </c>
      <c r="W322" s="454"/>
      <c r="X322" s="454"/>
      <c r="Y322" s="454"/>
      <c r="Z322" s="454"/>
      <c r="AA322" s="454"/>
      <c r="AB322" s="454"/>
      <c r="AC322" s="454"/>
      <c r="AD322" s="454"/>
      <c r="AE322" s="454"/>
      <c r="AF322" s="454"/>
      <c r="AG322" s="454"/>
      <c r="AH322" s="454"/>
      <c r="AI322" s="454"/>
      <c r="AJ322" s="456"/>
      <c r="AK322" s="456"/>
      <c r="AL322" s="456"/>
      <c r="AM322" s="456"/>
      <c r="AN322" s="456"/>
      <c r="AO322" s="456"/>
      <c r="AP322" s="454"/>
      <c r="AQ322" s="481"/>
      <c r="AR322" s="454"/>
      <c r="AS322" s="456">
        <v>200315.82</v>
      </c>
      <c r="AT322" s="456">
        <v>189632.39</v>
      </c>
      <c r="AU322" s="456">
        <v>185080.39</v>
      </c>
      <c r="AV322" s="456">
        <v>173719.75</v>
      </c>
      <c r="AW322" s="456">
        <v>159599.85</v>
      </c>
      <c r="AX322" s="456">
        <v>158023.11</v>
      </c>
      <c r="AY322" s="456">
        <v>161393.67</v>
      </c>
      <c r="AZ322" s="456">
        <v>169900.55</v>
      </c>
      <c r="BA322" s="456">
        <v>175438.24</v>
      </c>
      <c r="BB322" s="456">
        <v>184850.54</v>
      </c>
      <c r="BC322" s="456">
        <v>38276.93</v>
      </c>
      <c r="BD322" s="456">
        <v>178120.53</v>
      </c>
      <c r="BE322" s="456">
        <v>176072.1</v>
      </c>
      <c r="BF322" s="456">
        <v>179992.21</v>
      </c>
      <c r="BG322" s="456">
        <v>0.0</v>
      </c>
      <c r="BH322" s="456">
        <v>0.0</v>
      </c>
      <c r="BI322" s="456">
        <v>0.0</v>
      </c>
      <c r="BJ322" s="456">
        <v>0.0</v>
      </c>
      <c r="BK322" s="456">
        <v>0.0</v>
      </c>
      <c r="BL322" s="456">
        <v>0.0</v>
      </c>
      <c r="BM322" s="456">
        <v>0.0</v>
      </c>
      <c r="BN322" s="456">
        <v>0.0</v>
      </c>
      <c r="BO322" s="456">
        <v>0.0</v>
      </c>
      <c r="BP322" s="456">
        <v>0.0</v>
      </c>
      <c r="BQ322" s="456">
        <v>0.0</v>
      </c>
      <c r="BR322" s="456">
        <v>0.0</v>
      </c>
      <c r="BS322" s="90" t="s">
        <v>268</v>
      </c>
      <c r="BT322" s="90"/>
    </row>
    <row r="323" ht="15.75" customHeight="1">
      <c r="A323" s="444" t="s">
        <v>98</v>
      </c>
      <c r="B323" s="445" t="s">
        <v>6182</v>
      </c>
      <c r="C323" s="559" t="s">
        <v>6183</v>
      </c>
      <c r="D323" s="469">
        <v>5914962.0</v>
      </c>
      <c r="E323" s="447" t="s">
        <v>120</v>
      </c>
      <c r="F323" s="448" t="s">
        <v>54</v>
      </c>
      <c r="G323" s="447" t="s">
        <v>4057</v>
      </c>
      <c r="H323" s="447" t="str">
        <f>IFERROR(VLOOKUP(G323,'Cadastro de assessores'!A:B,2,FALSE),"Não Cadastrado")</f>
        <v>14294</v>
      </c>
      <c r="I323" s="447"/>
      <c r="J323" s="49" t="s">
        <v>224</v>
      </c>
      <c r="K323" s="447" t="s">
        <v>183</v>
      </c>
      <c r="L323" s="450">
        <v>44454.0</v>
      </c>
      <c r="M323" s="450">
        <v>44461.0</v>
      </c>
      <c r="N323" s="508">
        <v>44830.0</v>
      </c>
      <c r="O323" s="449" t="s">
        <v>2356</v>
      </c>
      <c r="P323" s="452">
        <v>0.007</v>
      </c>
      <c r="Q323" s="330"/>
      <c r="R323" s="453"/>
      <c r="S323" s="449" t="str">
        <f t="shared" si="35"/>
        <v/>
      </c>
      <c r="T323" s="449" t="s">
        <v>194</v>
      </c>
      <c r="U323" s="446" t="s">
        <v>5368</v>
      </c>
      <c r="V323" s="446" t="s">
        <v>475</v>
      </c>
      <c r="W323" s="454"/>
      <c r="X323" s="454"/>
      <c r="Y323" s="454"/>
      <c r="Z323" s="454"/>
      <c r="AA323" s="454"/>
      <c r="AB323" s="454"/>
      <c r="AC323" s="454"/>
      <c r="AD323" s="454"/>
      <c r="AE323" s="454"/>
      <c r="AF323" s="454"/>
      <c r="AG323" s="454"/>
      <c r="AH323" s="454"/>
      <c r="AI323" s="454"/>
      <c r="AJ323" s="456"/>
      <c r="AK323" s="456"/>
      <c r="AL323" s="456"/>
      <c r="AM323" s="456"/>
      <c r="AN323" s="456"/>
      <c r="AO323" s="456"/>
      <c r="AP323" s="454"/>
      <c r="AQ323" s="481"/>
      <c r="AR323" s="456"/>
      <c r="AS323" s="456"/>
      <c r="AT323" s="456"/>
      <c r="AU323" s="454"/>
      <c r="AV323" s="456"/>
      <c r="AW323" s="456">
        <v>128752.45</v>
      </c>
      <c r="AX323" s="456">
        <v>130820.5</v>
      </c>
      <c r="AY323" s="456">
        <v>130065.38</v>
      </c>
      <c r="AZ323" s="456">
        <v>131208.17</v>
      </c>
      <c r="BA323" s="456">
        <v>132167.12</v>
      </c>
      <c r="BB323" s="456">
        <v>133773.16</v>
      </c>
      <c r="BC323" s="456"/>
      <c r="BD323" s="456">
        <v>145049.05</v>
      </c>
      <c r="BE323" s="456">
        <v>146308.82</v>
      </c>
      <c r="BF323" s="456">
        <v>155644.94</v>
      </c>
      <c r="BG323" s="456">
        <v>155900.2507</v>
      </c>
      <c r="BH323" s="456">
        <v>0.0</v>
      </c>
      <c r="BI323" s="456">
        <v>0.0</v>
      </c>
      <c r="BJ323" s="456">
        <v>0.0</v>
      </c>
      <c r="BK323" s="456">
        <v>0.0</v>
      </c>
      <c r="BL323" s="456">
        <v>0.0</v>
      </c>
      <c r="BM323" s="456">
        <v>0.0</v>
      </c>
      <c r="BN323" s="456">
        <v>0.0</v>
      </c>
      <c r="BO323" s="456">
        <v>0.0</v>
      </c>
      <c r="BP323" s="456">
        <v>0.0</v>
      </c>
      <c r="BQ323" s="456">
        <v>0.0</v>
      </c>
      <c r="BR323" s="456">
        <v>0.0</v>
      </c>
      <c r="BS323" s="90" t="s">
        <v>268</v>
      </c>
      <c r="BT323" s="90"/>
    </row>
    <row r="324" ht="15.75" customHeight="1">
      <c r="A324" s="444" t="s">
        <v>98</v>
      </c>
      <c r="B324" s="445" t="s">
        <v>6188</v>
      </c>
      <c r="C324" s="559" t="s">
        <v>6189</v>
      </c>
      <c r="D324" s="469">
        <v>5958737.0</v>
      </c>
      <c r="E324" s="448" t="s">
        <v>120</v>
      </c>
      <c r="F324" s="448" t="s">
        <v>54</v>
      </c>
      <c r="G324" s="447" t="s">
        <v>348</v>
      </c>
      <c r="H324" s="447">
        <f>IFERROR(VLOOKUP(G324,'Cadastro de assessores'!A:B,2,FALSE),"Não Cadastrado")</f>
        <v>12331</v>
      </c>
      <c r="I324" s="447"/>
      <c r="J324" s="49" t="s">
        <v>2318</v>
      </c>
      <c r="K324" s="447" t="s">
        <v>183</v>
      </c>
      <c r="L324" s="470">
        <v>44596.0</v>
      </c>
      <c r="M324" s="470">
        <v>44614.0</v>
      </c>
      <c r="N324" s="449"/>
      <c r="O324" s="449" t="s">
        <v>2356</v>
      </c>
      <c r="P324" s="452">
        <v>0.007</v>
      </c>
      <c r="Q324" s="330"/>
      <c r="R324" s="453"/>
      <c r="S324" s="449" t="str">
        <f t="shared" si="35"/>
        <v/>
      </c>
      <c r="T324" s="449" t="s">
        <v>194</v>
      </c>
      <c r="U324" s="446" t="s">
        <v>6191</v>
      </c>
      <c r="V324" s="446" t="s">
        <v>199</v>
      </c>
      <c r="W324" s="454"/>
      <c r="X324" s="454"/>
      <c r="Y324" s="454"/>
      <c r="Z324" s="454"/>
      <c r="AA324" s="454"/>
      <c r="AB324" s="454"/>
      <c r="AC324" s="454"/>
      <c r="AD324" s="454"/>
      <c r="AE324" s="454"/>
      <c r="AF324" s="454"/>
      <c r="AG324" s="454"/>
      <c r="AH324" s="454"/>
      <c r="AI324" s="454"/>
      <c r="AJ324" s="456"/>
      <c r="AK324" s="456"/>
      <c r="AL324" s="456"/>
      <c r="AM324" s="456"/>
      <c r="AN324" s="456"/>
      <c r="AO324" s="456"/>
      <c r="AP324" s="456"/>
      <c r="AQ324" s="456"/>
      <c r="AR324" s="454"/>
      <c r="AS324" s="456"/>
      <c r="AT324" s="456"/>
      <c r="AU324" s="456"/>
      <c r="AV324" s="456"/>
      <c r="AW324" s="456"/>
      <c r="AX324" s="456"/>
      <c r="AY324" s="456"/>
      <c r="AZ324" s="456"/>
      <c r="BA324" s="456">
        <v>128582.77</v>
      </c>
      <c r="BB324" s="456">
        <v>145318.65</v>
      </c>
      <c r="BC324" s="456"/>
      <c r="BD324" s="456">
        <v>145587.37</v>
      </c>
      <c r="BE324" s="456">
        <v>146863.61</v>
      </c>
      <c r="BF324" s="456">
        <v>147657.98</v>
      </c>
      <c r="BG324" s="456">
        <v>172170.3196</v>
      </c>
      <c r="BH324" s="456">
        <v>173148.76</v>
      </c>
      <c r="BI324" s="456">
        <v>174525.24</v>
      </c>
      <c r="BJ324" s="456">
        <v>175547.65</v>
      </c>
      <c r="BK324" s="456">
        <v>177090.98</v>
      </c>
      <c r="BL324" s="456">
        <v>203528.22</v>
      </c>
      <c r="BM324" s="456">
        <v>180543.3</v>
      </c>
      <c r="BN324" s="456">
        <v>158083.02</v>
      </c>
      <c r="BO324" s="456">
        <v>38309.03</v>
      </c>
      <c r="BP324" s="456">
        <v>38727.52</v>
      </c>
      <c r="BQ324" s="456">
        <v>39050.22</v>
      </c>
      <c r="BR324" s="456">
        <v>39514.69</v>
      </c>
      <c r="BS324" s="90">
        <v>0.0</v>
      </c>
      <c r="BT324" s="90"/>
    </row>
    <row r="325" ht="15.75" customHeight="1">
      <c r="A325" s="444" t="s">
        <v>98</v>
      </c>
      <c r="B325" s="445" t="s">
        <v>6193</v>
      </c>
      <c r="C325" s="458" t="s">
        <v>6194</v>
      </c>
      <c r="D325" s="446">
        <v>4712860.0</v>
      </c>
      <c r="E325" s="449" t="s">
        <v>255</v>
      </c>
      <c r="F325" s="449" t="s">
        <v>199</v>
      </c>
      <c r="G325" s="449" t="s">
        <v>3877</v>
      </c>
      <c r="H325" s="449" t="str">
        <f>IFERROR(VLOOKUP(G325,'Cadastro de assessores'!A:B,2,FALSE),"Não Cadastrado")</f>
        <v>15049</v>
      </c>
      <c r="I325" s="449"/>
      <c r="J325" s="49" t="s">
        <v>224</v>
      </c>
      <c r="K325" s="449" t="s">
        <v>2340</v>
      </c>
      <c r="L325" s="460">
        <v>44203.0</v>
      </c>
      <c r="M325" s="460">
        <v>44203.0</v>
      </c>
      <c r="N325" s="460">
        <v>44418.0</v>
      </c>
      <c r="O325" s="449" t="s">
        <v>2341</v>
      </c>
      <c r="P325" s="452">
        <v>0.015</v>
      </c>
      <c r="Q325" s="461" t="s">
        <v>3730</v>
      </c>
      <c r="R325" s="453"/>
      <c r="S325" s="449" t="str">
        <f t="shared" si="35"/>
        <v>Não Qualificado</v>
      </c>
      <c r="T325" s="449" t="s">
        <v>194</v>
      </c>
      <c r="U325" s="449" t="s">
        <v>3350</v>
      </c>
      <c r="V325" s="449" t="s">
        <v>199</v>
      </c>
      <c r="W325" s="455"/>
      <c r="X325" s="455"/>
      <c r="Y325" s="455"/>
      <c r="Z325" s="455"/>
      <c r="AA325" s="455"/>
      <c r="AB325" s="455"/>
      <c r="AC325" s="455"/>
      <c r="AD325" s="455"/>
      <c r="AE325" s="455"/>
      <c r="AF325" s="455"/>
      <c r="AG325" s="455"/>
      <c r="AH325" s="455"/>
      <c r="AI325" s="455"/>
      <c r="AJ325" s="455"/>
      <c r="AK325" s="456"/>
      <c r="AL325" s="456">
        <v>95618.89</v>
      </c>
      <c r="AM325" s="456">
        <v>92985.04</v>
      </c>
      <c r="AN325" s="456">
        <v>92959.36</v>
      </c>
      <c r="AO325" s="456">
        <v>94511.63</v>
      </c>
      <c r="AP325" s="456">
        <v>95110.84</v>
      </c>
      <c r="AQ325" s="456">
        <v>94746.88</v>
      </c>
      <c r="AR325" s="456">
        <v>96899.75</v>
      </c>
      <c r="AS325" s="456">
        <v>96198.58</v>
      </c>
      <c r="AT325" s="456">
        <v>94300.67</v>
      </c>
      <c r="AU325" s="456"/>
      <c r="AV325" s="456"/>
      <c r="AW325" s="456"/>
      <c r="AX325" s="456"/>
      <c r="AY325" s="456"/>
      <c r="AZ325" s="456"/>
      <c r="BA325" s="456">
        <v>0.0</v>
      </c>
      <c r="BB325" s="456">
        <v>0.0</v>
      </c>
      <c r="BC325" s="456">
        <v>101520.71</v>
      </c>
      <c r="BD325" s="456" t="s">
        <v>377</v>
      </c>
      <c r="BE325" s="456" t="s">
        <v>377</v>
      </c>
      <c r="BF325" s="456">
        <v>0.0</v>
      </c>
      <c r="BG325" s="456">
        <v>0.0</v>
      </c>
      <c r="BH325" s="456">
        <v>0.0</v>
      </c>
      <c r="BI325" s="456">
        <v>0.0</v>
      </c>
      <c r="BJ325" s="456">
        <v>0.0</v>
      </c>
      <c r="BK325" s="456">
        <v>0.0</v>
      </c>
      <c r="BL325" s="456">
        <v>0.0</v>
      </c>
      <c r="BM325" s="456">
        <v>0.0</v>
      </c>
      <c r="BN325" s="456">
        <v>0.0</v>
      </c>
      <c r="BO325" s="456">
        <v>0.0</v>
      </c>
      <c r="BP325" s="456">
        <v>0.0</v>
      </c>
      <c r="BQ325" s="456">
        <v>0.0</v>
      </c>
      <c r="BR325" s="456">
        <v>0.0</v>
      </c>
      <c r="BS325" s="90" t="s">
        <v>268</v>
      </c>
      <c r="BT325" s="90"/>
    </row>
    <row r="326" ht="15.75" customHeight="1">
      <c r="A326" s="444" t="s">
        <v>98</v>
      </c>
      <c r="B326" s="445" t="s">
        <v>6200</v>
      </c>
      <c r="C326" s="458" t="s">
        <v>6201</v>
      </c>
      <c r="D326" s="449">
        <v>2201017.0</v>
      </c>
      <c r="E326" s="447" t="s">
        <v>255</v>
      </c>
      <c r="F326" s="447" t="s">
        <v>199</v>
      </c>
      <c r="G326" s="447" t="s">
        <v>2489</v>
      </c>
      <c r="H326" s="447"/>
      <c r="I326" s="447"/>
      <c r="J326" s="49" t="s">
        <v>2318</v>
      </c>
      <c r="K326" s="447"/>
      <c r="L326" s="450"/>
      <c r="M326" s="450">
        <v>44893.0</v>
      </c>
      <c r="N326" s="449"/>
      <c r="O326" s="449" t="s">
        <v>2356</v>
      </c>
      <c r="P326" s="452">
        <v>0.01</v>
      </c>
      <c r="Q326" s="461" t="s">
        <v>6202</v>
      </c>
      <c r="R326" s="453"/>
      <c r="S326" s="449"/>
      <c r="T326" s="449"/>
      <c r="U326" s="449"/>
      <c r="V326" s="449" t="s">
        <v>475</v>
      </c>
      <c r="W326" s="455"/>
      <c r="X326" s="455"/>
      <c r="Y326" s="455"/>
      <c r="Z326" s="455"/>
      <c r="AA326" s="455"/>
      <c r="AB326" s="455"/>
      <c r="AC326" s="455"/>
      <c r="AD326" s="455"/>
      <c r="AE326" s="455"/>
      <c r="AF326" s="455"/>
      <c r="AG326" s="455"/>
      <c r="AH326" s="455"/>
      <c r="AI326" s="455"/>
      <c r="AJ326" s="455"/>
      <c r="AK326" s="456"/>
      <c r="AL326" s="456"/>
      <c r="AM326" s="456"/>
      <c r="AN326" s="735"/>
      <c r="AO326" s="735"/>
      <c r="AP326" s="456"/>
      <c r="AQ326" s="456"/>
      <c r="AR326" s="456"/>
      <c r="AS326" s="456"/>
      <c r="AT326" s="456"/>
      <c r="AU326" s="456"/>
      <c r="AV326" s="456"/>
      <c r="AW326" s="456"/>
      <c r="AX326" s="456"/>
      <c r="AY326" s="456"/>
      <c r="AZ326" s="456"/>
      <c r="BA326" s="456"/>
      <c r="BB326" s="456"/>
      <c r="BC326" s="456"/>
      <c r="BD326" s="456"/>
      <c r="BE326" s="456"/>
      <c r="BF326" s="456"/>
      <c r="BG326" s="456"/>
      <c r="BH326" s="456"/>
      <c r="BI326" s="456">
        <v>481697.27</v>
      </c>
      <c r="BJ326" s="456">
        <v>487687.13</v>
      </c>
      <c r="BK326" s="456">
        <v>484843.17</v>
      </c>
      <c r="BL326" s="456">
        <v>491773.35</v>
      </c>
      <c r="BM326" s="456">
        <v>493946.49</v>
      </c>
      <c r="BN326" s="456">
        <v>498294.66</v>
      </c>
      <c r="BO326" s="456">
        <v>479114.96</v>
      </c>
      <c r="BP326" s="456">
        <v>482755.61</v>
      </c>
      <c r="BQ326" s="456">
        <v>479240.26</v>
      </c>
      <c r="BR326" s="456">
        <v>0.0</v>
      </c>
      <c r="BS326" s="90" t="s">
        <v>268</v>
      </c>
      <c r="BT326" s="90"/>
    </row>
    <row r="327" ht="15.75" customHeight="1">
      <c r="A327" s="444" t="s">
        <v>98</v>
      </c>
      <c r="B327" s="445" t="s">
        <v>6212</v>
      </c>
      <c r="C327" s="468" t="s">
        <v>6213</v>
      </c>
      <c r="D327" s="446">
        <v>5661723.0</v>
      </c>
      <c r="E327" s="447" t="s">
        <v>669</v>
      </c>
      <c r="F327" s="448" t="s">
        <v>199</v>
      </c>
      <c r="G327" s="448" t="s">
        <v>669</v>
      </c>
      <c r="H327" s="448" t="str">
        <f>IFERROR(VLOOKUP(G327,'Cadastro de assessores'!A:B,2,FALSE),"Não Cadastrado")</f>
        <v>18986</v>
      </c>
      <c r="I327" s="448"/>
      <c r="J327" s="49" t="s">
        <v>2318</v>
      </c>
      <c r="K327" s="449" t="s">
        <v>183</v>
      </c>
      <c r="L327" s="450">
        <v>44369.0</v>
      </c>
      <c r="M327" s="450">
        <v>44369.0</v>
      </c>
      <c r="N327" s="449"/>
      <c r="O327" s="449" t="s">
        <v>2341</v>
      </c>
      <c r="P327" s="452">
        <v>0.015</v>
      </c>
      <c r="Q327" s="330"/>
      <c r="R327" s="453"/>
      <c r="S327" s="449" t="str">
        <f t="shared" ref="S327:S342" si="36">IF(BC327&lt;=0,"",IF(BC327&lt;=1000000,"Não Qualificado",IF(AND(BC327&gt;1000000,BC327&lt;=10000000),"Qualificado","Profissional")))</f>
        <v/>
      </c>
      <c r="T327" s="449" t="s">
        <v>194</v>
      </c>
      <c r="U327" s="446" t="s">
        <v>2494</v>
      </c>
      <c r="V327" s="446" t="s">
        <v>199</v>
      </c>
      <c r="W327" s="454"/>
      <c r="X327" s="454"/>
      <c r="Y327" s="454"/>
      <c r="Z327" s="454"/>
      <c r="AA327" s="454"/>
      <c r="AB327" s="454"/>
      <c r="AC327" s="454"/>
      <c r="AD327" s="454"/>
      <c r="AE327" s="454"/>
      <c r="AF327" s="454"/>
      <c r="AG327" s="454"/>
      <c r="AH327" s="454"/>
      <c r="AI327" s="454"/>
      <c r="AJ327" s="456"/>
      <c r="AK327" s="456"/>
      <c r="AL327" s="456"/>
      <c r="AM327" s="456"/>
      <c r="AN327" s="456"/>
      <c r="AO327" s="456"/>
      <c r="AP327" s="456"/>
      <c r="AQ327" s="456"/>
      <c r="AR327" s="454"/>
      <c r="AS327" s="456">
        <v>49605.42</v>
      </c>
      <c r="AT327" s="456">
        <v>48648.71</v>
      </c>
      <c r="AU327" s="456">
        <v>48329.01</v>
      </c>
      <c r="AV327" s="456">
        <v>47715.11</v>
      </c>
      <c r="AW327" s="456">
        <v>46267.62</v>
      </c>
      <c r="AX327" s="456">
        <v>46293.58</v>
      </c>
      <c r="AY327" s="456">
        <v>0.81</v>
      </c>
      <c r="AZ327" s="456">
        <v>0.81</v>
      </c>
      <c r="BA327" s="456">
        <v>0.81</v>
      </c>
      <c r="BB327" s="456">
        <v>0.81</v>
      </c>
      <c r="BC327" s="456"/>
      <c r="BD327" s="456">
        <v>0.81</v>
      </c>
      <c r="BE327" s="456">
        <v>0.81</v>
      </c>
      <c r="BF327" s="456">
        <v>0.81</v>
      </c>
      <c r="BG327" s="456">
        <v>0.81</v>
      </c>
      <c r="BH327" s="456">
        <v>0.81</v>
      </c>
      <c r="BI327" s="456">
        <v>0.81</v>
      </c>
      <c r="BJ327" s="456">
        <v>0.81</v>
      </c>
      <c r="BK327" s="456">
        <v>0.81</v>
      </c>
      <c r="BL327" s="456">
        <v>0.81</v>
      </c>
      <c r="BM327" s="456">
        <v>0.81</v>
      </c>
      <c r="BN327" s="456">
        <v>0.81</v>
      </c>
      <c r="BO327" s="456">
        <v>0.81</v>
      </c>
      <c r="BP327" s="456">
        <v>0.81</v>
      </c>
      <c r="BQ327" s="456">
        <v>0.81</v>
      </c>
      <c r="BR327" s="456">
        <v>0.81</v>
      </c>
      <c r="BS327" s="90">
        <v>0.0</v>
      </c>
      <c r="BT327" s="90"/>
    </row>
    <row r="328" ht="15.75" customHeight="1">
      <c r="A328" s="444" t="s">
        <v>98</v>
      </c>
      <c r="B328" s="445" t="s">
        <v>6218</v>
      </c>
      <c r="C328" s="458" t="s">
        <v>6219</v>
      </c>
      <c r="D328" s="449">
        <v>4600625.0</v>
      </c>
      <c r="E328" s="447" t="s">
        <v>120</v>
      </c>
      <c r="F328" s="447" t="s">
        <v>199</v>
      </c>
      <c r="G328" s="447" t="s">
        <v>841</v>
      </c>
      <c r="H328" s="447" t="str">
        <f>IFERROR(VLOOKUP(G328,'Cadastro de assessores'!A:B,2,FALSE),"Não Cadastrado")</f>
        <v>18256</v>
      </c>
      <c r="I328" s="447"/>
      <c r="J328" s="49" t="s">
        <v>2318</v>
      </c>
      <c r="K328" s="447" t="s">
        <v>183</v>
      </c>
      <c r="L328" s="451">
        <v>44180.0</v>
      </c>
      <c r="M328" s="451">
        <v>44180.0</v>
      </c>
      <c r="N328" s="449"/>
      <c r="O328" s="449" t="s">
        <v>2372</v>
      </c>
      <c r="P328" s="452">
        <v>0.025</v>
      </c>
      <c r="Q328" s="461" t="s">
        <v>6220</v>
      </c>
      <c r="R328" s="453"/>
      <c r="S328" s="449" t="str">
        <f t="shared" si="36"/>
        <v>Não Qualificado</v>
      </c>
      <c r="T328" s="449" t="s">
        <v>194</v>
      </c>
      <c r="U328" s="449" t="s">
        <v>2417</v>
      </c>
      <c r="V328" s="449" t="s">
        <v>199</v>
      </c>
      <c r="W328" s="455" t="s">
        <v>2344</v>
      </c>
      <c r="X328" s="455" t="s">
        <v>2344</v>
      </c>
      <c r="Y328" s="455" t="s">
        <v>2344</v>
      </c>
      <c r="Z328" s="455" t="s">
        <v>2344</v>
      </c>
      <c r="AA328" s="455" t="s">
        <v>2344</v>
      </c>
      <c r="AB328" s="455" t="s">
        <v>2344</v>
      </c>
      <c r="AC328" s="455" t="s">
        <v>2344</v>
      </c>
      <c r="AD328" s="455" t="s">
        <v>2344</v>
      </c>
      <c r="AE328" s="455" t="s">
        <v>2344</v>
      </c>
      <c r="AF328" s="455" t="s">
        <v>2344</v>
      </c>
      <c r="AG328" s="455" t="s">
        <v>2344</v>
      </c>
      <c r="AH328" s="455" t="s">
        <v>2344</v>
      </c>
      <c r="AI328" s="455" t="s">
        <v>2344</v>
      </c>
      <c r="AJ328" s="455" t="s">
        <v>2344</v>
      </c>
      <c r="AK328" s="456">
        <v>75255.79</v>
      </c>
      <c r="AL328" s="456">
        <v>70732.07</v>
      </c>
      <c r="AM328" s="456">
        <v>65003.35</v>
      </c>
      <c r="AN328" s="456">
        <v>64619.09</v>
      </c>
      <c r="AO328" s="456">
        <v>69029.42</v>
      </c>
      <c r="AP328" s="456">
        <v>69841.7</v>
      </c>
      <c r="AQ328" s="456">
        <v>69134.24</v>
      </c>
      <c r="AR328" s="456">
        <v>72323.9</v>
      </c>
      <c r="AS328" s="456">
        <v>70488.41</v>
      </c>
      <c r="AT328" s="456">
        <v>66449.91</v>
      </c>
      <c r="AU328" s="456">
        <v>64404.4</v>
      </c>
      <c r="AV328" s="456">
        <v>59945.7</v>
      </c>
      <c r="AW328" s="456">
        <v>55051.81</v>
      </c>
      <c r="AX328" s="456">
        <v>54430.69</v>
      </c>
      <c r="AY328" s="456">
        <v>54415.61</v>
      </c>
      <c r="AZ328" s="456">
        <v>57000.24</v>
      </c>
      <c r="BA328" s="456">
        <v>57911.54</v>
      </c>
      <c r="BB328" s="456">
        <v>61225.48</v>
      </c>
      <c r="BC328" s="456">
        <v>143401.9</v>
      </c>
      <c r="BD328" s="456">
        <v>56582.97</v>
      </c>
      <c r="BE328" s="456">
        <v>53980.61</v>
      </c>
      <c r="BF328" s="456">
        <v>56977.16</v>
      </c>
      <c r="BG328" s="456">
        <v>57822.96</v>
      </c>
      <c r="BH328" s="456">
        <v>55249.76</v>
      </c>
      <c r="BI328" s="456">
        <v>60434.08</v>
      </c>
      <c r="BJ328" s="456">
        <v>58032.59</v>
      </c>
      <c r="BK328" s="456">
        <v>57584.98</v>
      </c>
      <c r="BL328" s="456">
        <v>58448.53</v>
      </c>
      <c r="BM328" s="456">
        <v>89.57</v>
      </c>
      <c r="BN328" s="456">
        <v>78.16</v>
      </c>
      <c r="BO328" s="456">
        <v>335.64</v>
      </c>
      <c r="BP328" s="456">
        <v>0.0</v>
      </c>
      <c r="BQ328" s="456">
        <v>0.0</v>
      </c>
      <c r="BR328" s="456">
        <v>0.0</v>
      </c>
      <c r="BS328" s="90">
        <v>0.0</v>
      </c>
      <c r="BT328" s="90"/>
    </row>
    <row r="329" ht="15.75" customHeight="1">
      <c r="A329" s="444" t="s">
        <v>98</v>
      </c>
      <c r="B329" s="445" t="s">
        <v>6221</v>
      </c>
      <c r="C329" s="468" t="s">
        <v>6223</v>
      </c>
      <c r="D329" s="446">
        <v>5630594.0</v>
      </c>
      <c r="E329" s="447" t="s">
        <v>120</v>
      </c>
      <c r="F329" s="448" t="s">
        <v>199</v>
      </c>
      <c r="G329" s="447" t="s">
        <v>4747</v>
      </c>
      <c r="H329" s="448" t="str">
        <f>IFERROR(VLOOKUP(G329,'Cadastro de assessores'!A:B,2,FALSE),"Não Cadastrado")</f>
        <v>13896</v>
      </c>
      <c r="I329" s="448"/>
      <c r="J329" s="49" t="s">
        <v>2318</v>
      </c>
      <c r="K329" s="447" t="s">
        <v>183</v>
      </c>
      <c r="L329" s="450">
        <v>44356.0</v>
      </c>
      <c r="M329" s="450">
        <v>44356.0</v>
      </c>
      <c r="N329" s="446"/>
      <c r="O329" s="446" t="s">
        <v>3701</v>
      </c>
      <c r="P329" s="452">
        <v>0.02</v>
      </c>
      <c r="Q329" s="330"/>
      <c r="R329" s="453"/>
      <c r="S329" s="449" t="str">
        <f t="shared" si="36"/>
        <v/>
      </c>
      <c r="T329" s="449" t="s">
        <v>194</v>
      </c>
      <c r="U329" s="449" t="s">
        <v>2475</v>
      </c>
      <c r="V329" s="449" t="s">
        <v>618</v>
      </c>
      <c r="W329" s="454"/>
      <c r="X329" s="454"/>
      <c r="Y329" s="454"/>
      <c r="Z329" s="454"/>
      <c r="AA329" s="454"/>
      <c r="AB329" s="454"/>
      <c r="AC329" s="454"/>
      <c r="AD329" s="454"/>
      <c r="AE329" s="454"/>
      <c r="AF329" s="454"/>
      <c r="AG329" s="454"/>
      <c r="AH329" s="454"/>
      <c r="AI329" s="454"/>
      <c r="AJ329" s="454"/>
      <c r="AK329" s="456"/>
      <c r="AL329" s="456"/>
      <c r="AM329" s="456"/>
      <c r="AN329" s="456"/>
      <c r="AO329" s="456"/>
      <c r="AP329" s="456"/>
      <c r="AQ329" s="456"/>
      <c r="AR329" s="454"/>
      <c r="AS329" s="456">
        <v>153619.88</v>
      </c>
      <c r="AT329" s="456">
        <v>156076.47</v>
      </c>
      <c r="AU329" s="456">
        <v>154220.47</v>
      </c>
      <c r="AV329" s="456">
        <v>149869.22</v>
      </c>
      <c r="AW329" s="456">
        <v>141844.48</v>
      </c>
      <c r="AX329" s="456">
        <v>141000.98</v>
      </c>
      <c r="AY329" s="456">
        <v>142954.6</v>
      </c>
      <c r="AZ329" s="456">
        <v>149333.9</v>
      </c>
      <c r="BA329" s="456">
        <v>150720.23</v>
      </c>
      <c r="BB329" s="456">
        <v>157694.13</v>
      </c>
      <c r="BC329" s="456"/>
      <c r="BD329" s="456">
        <v>153095.99</v>
      </c>
      <c r="BE329" s="456">
        <v>148993.34</v>
      </c>
      <c r="BF329" s="456">
        <v>153449.76</v>
      </c>
      <c r="BG329" s="456">
        <v>156135.7734</v>
      </c>
      <c r="BH329" s="456">
        <v>156252.37</v>
      </c>
      <c r="BI329" s="456">
        <v>167045.85</v>
      </c>
      <c r="BJ329" s="456">
        <v>167432.1</v>
      </c>
      <c r="BK329" s="456">
        <v>168063.45</v>
      </c>
      <c r="BL329" s="456">
        <v>167660.04</v>
      </c>
      <c r="BM329" s="456">
        <v>166984.88</v>
      </c>
      <c r="BN329" s="456">
        <v>167509.25</v>
      </c>
      <c r="BO329" s="456">
        <v>158596.25</v>
      </c>
      <c r="BP329" s="456">
        <v>159905.05</v>
      </c>
      <c r="BQ329" s="456">
        <v>0.0</v>
      </c>
      <c r="BR329" s="456">
        <v>0.0</v>
      </c>
      <c r="BS329" s="90" t="s">
        <v>268</v>
      </c>
      <c r="BT329" s="90"/>
    </row>
    <row r="330" ht="15.75" customHeight="1">
      <c r="A330" s="444" t="s">
        <v>98</v>
      </c>
      <c r="B330" s="445" t="s">
        <v>6225</v>
      </c>
      <c r="C330" s="458" t="s">
        <v>6227</v>
      </c>
      <c r="D330" s="449">
        <v>4680045.0</v>
      </c>
      <c r="E330" s="705" t="s">
        <v>255</v>
      </c>
      <c r="F330" s="447" t="s">
        <v>199</v>
      </c>
      <c r="G330" s="447" t="s">
        <v>3877</v>
      </c>
      <c r="H330" s="447" t="str">
        <f>IFERROR(VLOOKUP(G330,'Cadastro de assessores'!A:B,2,FALSE),"Não Cadastrado")</f>
        <v>15049</v>
      </c>
      <c r="I330" s="447"/>
      <c r="J330" s="49" t="s">
        <v>2318</v>
      </c>
      <c r="K330" s="449" t="s">
        <v>295</v>
      </c>
      <c r="L330" s="451">
        <v>44182.0</v>
      </c>
      <c r="M330" s="451">
        <v>44183.0</v>
      </c>
      <c r="N330" s="449"/>
      <c r="O330" s="449" t="s">
        <v>2341</v>
      </c>
      <c r="P330" s="452">
        <v>0.015</v>
      </c>
      <c r="Q330" s="554"/>
      <c r="R330" s="453"/>
      <c r="S330" s="449" t="str">
        <f t="shared" si="36"/>
        <v>Não Qualificado</v>
      </c>
      <c r="T330" s="449" t="s">
        <v>194</v>
      </c>
      <c r="U330" s="449" t="s">
        <v>3350</v>
      </c>
      <c r="V330" s="449" t="s">
        <v>199</v>
      </c>
      <c r="W330" s="455" t="s">
        <v>2344</v>
      </c>
      <c r="X330" s="455" t="s">
        <v>2344</v>
      </c>
      <c r="Y330" s="455" t="s">
        <v>2344</v>
      </c>
      <c r="Z330" s="455" t="s">
        <v>2344</v>
      </c>
      <c r="AA330" s="455" t="s">
        <v>2344</v>
      </c>
      <c r="AB330" s="455" t="s">
        <v>2344</v>
      </c>
      <c r="AC330" s="455" t="s">
        <v>2344</v>
      </c>
      <c r="AD330" s="455" t="s">
        <v>2344</v>
      </c>
      <c r="AE330" s="455" t="s">
        <v>2344</v>
      </c>
      <c r="AF330" s="455" t="s">
        <v>2344</v>
      </c>
      <c r="AG330" s="455" t="s">
        <v>2344</v>
      </c>
      <c r="AH330" s="455" t="s">
        <v>2344</v>
      </c>
      <c r="AI330" s="455" t="s">
        <v>2344</v>
      </c>
      <c r="AJ330" s="455" t="s">
        <v>2344</v>
      </c>
      <c r="AK330" s="456">
        <v>398203.88</v>
      </c>
      <c r="AL330" s="456">
        <v>391190.59</v>
      </c>
      <c r="AM330" s="456">
        <v>381578.86</v>
      </c>
      <c r="AN330" s="456">
        <v>381104.04</v>
      </c>
      <c r="AO330" s="456">
        <v>392422.07</v>
      </c>
      <c r="AP330" s="456">
        <v>394786.57</v>
      </c>
      <c r="AQ330" s="456">
        <v>393223.01</v>
      </c>
      <c r="AR330" s="456">
        <v>402610.52</v>
      </c>
      <c r="AS330" s="456">
        <v>399057.16</v>
      </c>
      <c r="AT330" s="456">
        <v>3864.74</v>
      </c>
      <c r="AU330" s="456">
        <v>3867.97</v>
      </c>
      <c r="AV330" s="456">
        <v>2921.22</v>
      </c>
      <c r="AW330" s="456">
        <v>3874.79</v>
      </c>
      <c r="AX330" s="456">
        <v>3879.85</v>
      </c>
      <c r="AY330" s="456">
        <v>3886.82</v>
      </c>
      <c r="AZ330" s="456">
        <v>3894.69</v>
      </c>
      <c r="BA330" s="456">
        <v>3905.05</v>
      </c>
      <c r="BB330" s="456">
        <v>3928.37</v>
      </c>
      <c r="BC330" s="456">
        <v>822796.83</v>
      </c>
      <c r="BD330" s="456">
        <v>3994.84</v>
      </c>
      <c r="BE330" s="456">
        <v>4027.07</v>
      </c>
      <c r="BF330" s="456">
        <v>4057.32</v>
      </c>
      <c r="BG330" s="456">
        <v>4094.4</v>
      </c>
      <c r="BH330" s="456">
        <v>4129.71</v>
      </c>
      <c r="BI330" s="456">
        <v>4165.5</v>
      </c>
      <c r="BJ330" s="456">
        <v>4213.98</v>
      </c>
      <c r="BK330" s="456">
        <v>4245.58</v>
      </c>
      <c r="BL330" s="456">
        <v>4286.82</v>
      </c>
      <c r="BM330" s="456">
        <v>4318.15</v>
      </c>
      <c r="BN330" s="456">
        <v>4363.3</v>
      </c>
      <c r="BO330" s="456">
        <v>4403.72</v>
      </c>
      <c r="BP330" s="456">
        <v>4448.87</v>
      </c>
      <c r="BQ330" s="456">
        <v>4452.84</v>
      </c>
      <c r="BR330" s="456">
        <v>4501.47</v>
      </c>
      <c r="BS330" s="90">
        <v>0.0</v>
      </c>
      <c r="BT330" s="90"/>
    </row>
    <row r="331" ht="15.75" customHeight="1">
      <c r="A331" s="444" t="s">
        <v>98</v>
      </c>
      <c r="B331" s="445" t="s">
        <v>6230</v>
      </c>
      <c r="C331" s="559" t="s">
        <v>6231</v>
      </c>
      <c r="D331" s="449">
        <v>7854925.0</v>
      </c>
      <c r="E331" s="701" t="s">
        <v>120</v>
      </c>
      <c r="F331" s="701" t="s">
        <v>54</v>
      </c>
      <c r="G331" s="447" t="s">
        <v>1393</v>
      </c>
      <c r="H331" s="447" t="str">
        <f>IFERROR(VLOOKUP(G331,'Cadastro de assessores'!A:B,2,FALSE),"Não Cadastrado")</f>
        <v>17831</v>
      </c>
      <c r="I331" s="447"/>
      <c r="J331" s="49" t="s">
        <v>2318</v>
      </c>
      <c r="K331" s="447" t="s">
        <v>183</v>
      </c>
      <c r="L331" s="450">
        <v>44602.0</v>
      </c>
      <c r="M331" s="450">
        <v>44606.0</v>
      </c>
      <c r="N331" s="449"/>
      <c r="O331" s="449" t="s">
        <v>6233</v>
      </c>
      <c r="P331" s="452">
        <v>0.012</v>
      </c>
      <c r="Q331" s="468" t="s">
        <v>6234</v>
      </c>
      <c r="R331" s="453"/>
      <c r="S331" s="449" t="str">
        <f t="shared" si="36"/>
        <v/>
      </c>
      <c r="T331" s="449" t="s">
        <v>194</v>
      </c>
      <c r="U331" s="449" t="s">
        <v>2438</v>
      </c>
      <c r="V331" s="449" t="s">
        <v>54</v>
      </c>
      <c r="W331" s="455"/>
      <c r="X331" s="455"/>
      <c r="Y331" s="455"/>
      <c r="Z331" s="455"/>
      <c r="AA331" s="455"/>
      <c r="AB331" s="455"/>
      <c r="AC331" s="455"/>
      <c r="AD331" s="455"/>
      <c r="AE331" s="455"/>
      <c r="AF331" s="455"/>
      <c r="AG331" s="455"/>
      <c r="AH331" s="455"/>
      <c r="AI331" s="455"/>
      <c r="AJ331" s="455"/>
      <c r="AK331" s="456"/>
      <c r="AL331" s="456"/>
      <c r="AM331" s="456"/>
      <c r="AN331" s="735"/>
      <c r="AO331" s="735"/>
      <c r="AP331" s="456"/>
      <c r="AQ331" s="456"/>
      <c r="AR331" s="456"/>
      <c r="AS331" s="456"/>
      <c r="AT331" s="456"/>
      <c r="AU331" s="456"/>
      <c r="AV331" s="456"/>
      <c r="AW331" s="456"/>
      <c r="AX331" s="456"/>
      <c r="AY331" s="456"/>
      <c r="AZ331" s="456"/>
      <c r="BA331" s="456">
        <v>1003072.97</v>
      </c>
      <c r="BB331" s="456">
        <v>1018292.54</v>
      </c>
      <c r="BC331" s="456"/>
      <c r="BD331" s="456">
        <v>1038688.66</v>
      </c>
      <c r="BE331" s="456">
        <v>1044856.15</v>
      </c>
      <c r="BF331" s="456">
        <v>1051319.62</v>
      </c>
      <c r="BG331" s="456">
        <v>1100.97</v>
      </c>
      <c r="BH331" s="456">
        <v>163.2</v>
      </c>
      <c r="BI331" s="456">
        <v>164.54</v>
      </c>
      <c r="BJ331" s="456">
        <v>165.91</v>
      </c>
      <c r="BK331" s="456">
        <v>116.32</v>
      </c>
      <c r="BL331" s="456">
        <v>116.32</v>
      </c>
      <c r="BM331" s="456">
        <v>116.32</v>
      </c>
      <c r="BN331" s="456">
        <v>116.32</v>
      </c>
      <c r="BO331" s="456">
        <v>116.32</v>
      </c>
      <c r="BP331" s="456">
        <v>116.32</v>
      </c>
      <c r="BQ331" s="456">
        <v>116.32</v>
      </c>
      <c r="BR331" s="456">
        <v>116.32</v>
      </c>
      <c r="BS331" s="90">
        <v>0.0</v>
      </c>
      <c r="BT331" s="90"/>
    </row>
    <row r="332" ht="15.75" customHeight="1">
      <c r="A332" s="444" t="s">
        <v>98</v>
      </c>
      <c r="B332" s="445" t="s">
        <v>6236</v>
      </c>
      <c r="C332" s="458" t="s">
        <v>6237</v>
      </c>
      <c r="D332" s="449">
        <v>4901933.0</v>
      </c>
      <c r="E332" s="449" t="s">
        <v>120</v>
      </c>
      <c r="F332" s="507" t="s">
        <v>54</v>
      </c>
      <c r="G332" s="449" t="s">
        <v>379</v>
      </c>
      <c r="H332" s="449" t="str">
        <f>IFERROR(VLOOKUP(G332,'Cadastro de assessores'!A:B,2,FALSE),"Não Cadastrado")</f>
        <v>18009</v>
      </c>
      <c r="I332" s="449"/>
      <c r="J332" s="49" t="s">
        <v>224</v>
      </c>
      <c r="K332" s="449" t="s">
        <v>2340</v>
      </c>
      <c r="L332" s="460">
        <v>44251.0</v>
      </c>
      <c r="M332" s="460">
        <v>44251.0</v>
      </c>
      <c r="N332" s="460">
        <v>44783.0</v>
      </c>
      <c r="O332" s="449" t="s">
        <v>2341</v>
      </c>
      <c r="P332" s="452">
        <v>0.015</v>
      </c>
      <c r="Q332" s="461" t="s">
        <v>6238</v>
      </c>
      <c r="R332" s="453"/>
      <c r="S332" s="449" t="str">
        <f t="shared" si="36"/>
        <v>Não Qualificado</v>
      </c>
      <c r="T332" s="449" t="s">
        <v>194</v>
      </c>
      <c r="U332" s="449" t="s">
        <v>4767</v>
      </c>
      <c r="V332" s="449" t="s">
        <v>199</v>
      </c>
      <c r="W332" s="455"/>
      <c r="X332" s="455"/>
      <c r="Y332" s="455"/>
      <c r="Z332" s="455"/>
      <c r="AA332" s="455"/>
      <c r="AB332" s="455"/>
      <c r="AC332" s="455"/>
      <c r="AD332" s="455"/>
      <c r="AE332" s="455"/>
      <c r="AF332" s="455"/>
      <c r="AG332" s="455"/>
      <c r="AH332" s="455"/>
      <c r="AI332" s="455"/>
      <c r="AJ332" s="455"/>
      <c r="AK332" s="456"/>
      <c r="AL332" s="456"/>
      <c r="AM332" s="456">
        <v>200000.0</v>
      </c>
      <c r="AN332" s="735">
        <v>197301.5</v>
      </c>
      <c r="AO332" s="735">
        <v>410072.96</v>
      </c>
      <c r="AP332" s="456">
        <v>412635.92</v>
      </c>
      <c r="AQ332" s="456">
        <v>410569.99</v>
      </c>
      <c r="AR332" s="456">
        <v>422673.94</v>
      </c>
      <c r="AS332" s="456">
        <v>415486.04</v>
      </c>
      <c r="AT332" s="456">
        <v>396133.56</v>
      </c>
      <c r="AU332" s="456">
        <v>388922.28</v>
      </c>
      <c r="AV332" s="456">
        <v>388226.11</v>
      </c>
      <c r="AW332" s="456">
        <v>366560.86</v>
      </c>
      <c r="AX332" s="456">
        <v>355485.47</v>
      </c>
      <c r="AY332" s="456">
        <v>-2821.13</v>
      </c>
      <c r="AZ332" s="456">
        <v>-2814.8</v>
      </c>
      <c r="BA332" s="456">
        <v>-2807.95</v>
      </c>
      <c r="BB332" s="456">
        <v>995528.52</v>
      </c>
      <c r="BC332" s="456">
        <v>180103.83</v>
      </c>
      <c r="BD332" s="456">
        <v>1001939.54</v>
      </c>
      <c r="BE332" s="456">
        <v>1004743.2</v>
      </c>
      <c r="BF332" s="456">
        <v>1009946.06</v>
      </c>
      <c r="BG332" s="456">
        <v>0.0</v>
      </c>
      <c r="BH332" s="456">
        <v>0.0</v>
      </c>
      <c r="BI332" s="456">
        <v>0.0</v>
      </c>
      <c r="BJ332" s="456">
        <v>0.0</v>
      </c>
      <c r="BK332" s="456">
        <v>0.0</v>
      </c>
      <c r="BL332" s="456">
        <v>0.0</v>
      </c>
      <c r="BM332" s="456">
        <v>0.0</v>
      </c>
      <c r="BN332" s="456">
        <v>0.0</v>
      </c>
      <c r="BO332" s="456">
        <v>0.0</v>
      </c>
      <c r="BP332" s="456">
        <v>0.0</v>
      </c>
      <c r="BQ332" s="456">
        <v>0.0</v>
      </c>
      <c r="BR332" s="456">
        <v>0.0</v>
      </c>
      <c r="BS332" s="90" t="s">
        <v>268</v>
      </c>
      <c r="BT332" s="90"/>
    </row>
    <row r="333" ht="15.75" customHeight="1">
      <c r="A333" s="444" t="s">
        <v>98</v>
      </c>
      <c r="B333" s="445" t="s">
        <v>1675</v>
      </c>
      <c r="C333" s="468" t="s">
        <v>1673</v>
      </c>
      <c r="D333" s="446">
        <v>581733.0</v>
      </c>
      <c r="E333" s="447" t="s">
        <v>120</v>
      </c>
      <c r="F333" s="448" t="s">
        <v>199</v>
      </c>
      <c r="G333" s="447" t="s">
        <v>803</v>
      </c>
      <c r="H333" s="447" t="str">
        <f>IFERROR(VLOOKUP(G333,'Cadastro de assessores'!A:B,2,FALSE),"Não Cadastrado")</f>
        <v>18467</v>
      </c>
      <c r="I333" s="447"/>
      <c r="J333" s="49" t="s">
        <v>2318</v>
      </c>
      <c r="K333" s="447" t="s">
        <v>183</v>
      </c>
      <c r="L333" s="450">
        <v>44452.0</v>
      </c>
      <c r="M333" s="450">
        <v>44453.0</v>
      </c>
      <c r="N333" s="446"/>
      <c r="O333" s="446" t="s">
        <v>2372</v>
      </c>
      <c r="P333" s="452">
        <v>0.015</v>
      </c>
      <c r="Q333" s="330" t="s">
        <v>6242</v>
      </c>
      <c r="R333" s="453"/>
      <c r="S333" s="449" t="str">
        <f t="shared" si="36"/>
        <v>Não Qualificado</v>
      </c>
      <c r="T333" s="449" t="s">
        <v>194</v>
      </c>
      <c r="U333" s="446" t="s">
        <v>2383</v>
      </c>
      <c r="V333" s="449" t="s">
        <v>199</v>
      </c>
      <c r="W333" s="454"/>
      <c r="X333" s="454"/>
      <c r="Y333" s="454"/>
      <c r="Z333" s="454"/>
      <c r="AA333" s="454"/>
      <c r="AB333" s="454"/>
      <c r="AC333" s="454"/>
      <c r="AD333" s="454"/>
      <c r="AE333" s="454"/>
      <c r="AF333" s="454"/>
      <c r="AG333" s="454"/>
      <c r="AH333" s="455"/>
      <c r="AI333" s="455"/>
      <c r="AJ333" s="456"/>
      <c r="AK333" s="456"/>
      <c r="AL333" s="456"/>
      <c r="AM333" s="456"/>
      <c r="AN333" s="456"/>
      <c r="AO333" s="456"/>
      <c r="AP333" s="456"/>
      <c r="AQ333" s="456"/>
      <c r="AR333" s="456"/>
      <c r="AS333" s="456"/>
      <c r="AT333" s="456"/>
      <c r="AU333" s="454"/>
      <c r="AV333" s="456">
        <v>951031.16</v>
      </c>
      <c r="AW333" s="456">
        <v>869851.48</v>
      </c>
      <c r="AX333" s="456">
        <v>860398.99</v>
      </c>
      <c r="AY333" s="456">
        <v>876757.37</v>
      </c>
      <c r="AZ333" s="456">
        <v>941496.43</v>
      </c>
      <c r="BA333" s="456">
        <v>951734.16</v>
      </c>
      <c r="BB333" s="456">
        <v>1909937.42</v>
      </c>
      <c r="BC333" s="456">
        <v>50896.83</v>
      </c>
      <c r="BD333" s="456">
        <v>2812912.31</v>
      </c>
      <c r="BE333" s="456">
        <v>2709337.74</v>
      </c>
      <c r="BF333" s="456">
        <v>2826546.62</v>
      </c>
      <c r="BG333" s="456">
        <v>2894138.846</v>
      </c>
      <c r="BH333" s="456">
        <v>2869342.75</v>
      </c>
      <c r="BI333" s="456">
        <v>3085341.3</v>
      </c>
      <c r="BJ333" s="456">
        <v>3031384.59</v>
      </c>
      <c r="BK333" s="456">
        <v>6054896.47</v>
      </c>
      <c r="BL333" s="456">
        <v>6194944.69</v>
      </c>
      <c r="BM333" s="456">
        <v>5970335.17</v>
      </c>
      <c r="BN333" s="456">
        <v>1090856.55</v>
      </c>
      <c r="BO333" s="456">
        <v>1065158.95</v>
      </c>
      <c r="BP333" s="456">
        <v>722.79</v>
      </c>
      <c r="BQ333" s="456">
        <v>722.79</v>
      </c>
      <c r="BR333" s="456">
        <v>722.79</v>
      </c>
      <c r="BS333" s="90">
        <v>0.0</v>
      </c>
      <c r="BT333" s="90"/>
    </row>
    <row r="334" ht="15.75" customHeight="1">
      <c r="A334" s="444" t="s">
        <v>98</v>
      </c>
      <c r="B334" s="445" t="s">
        <v>1675</v>
      </c>
      <c r="C334" s="468" t="s">
        <v>1673</v>
      </c>
      <c r="D334" s="469">
        <v>8089465.0</v>
      </c>
      <c r="E334" s="739" t="s">
        <v>120</v>
      </c>
      <c r="F334" s="448" t="s">
        <v>199</v>
      </c>
      <c r="G334" s="447" t="s">
        <v>803</v>
      </c>
      <c r="H334" s="447" t="str">
        <f>IFERROR(VLOOKUP(G334,'Cadastro de assessores'!A:B,2,FALSE),"Não Cadastrado")</f>
        <v>18467</v>
      </c>
      <c r="I334" s="447"/>
      <c r="J334" s="49" t="s">
        <v>2318</v>
      </c>
      <c r="K334" s="446" t="s">
        <v>183</v>
      </c>
      <c r="L334" s="740">
        <v>44630.0</v>
      </c>
      <c r="M334" s="740">
        <v>44631.0</v>
      </c>
      <c r="N334" s="446"/>
      <c r="O334" s="446" t="s">
        <v>2356</v>
      </c>
      <c r="P334" s="465">
        <v>0.007</v>
      </c>
      <c r="Q334" s="330" t="s">
        <v>6242</v>
      </c>
      <c r="R334" s="453"/>
      <c r="S334" s="449" t="str">
        <f t="shared" si="36"/>
        <v>Não Qualificado</v>
      </c>
      <c r="T334" s="449" t="s">
        <v>194</v>
      </c>
      <c r="U334" s="446" t="s">
        <v>2383</v>
      </c>
      <c r="V334" s="446" t="s">
        <v>199</v>
      </c>
      <c r="W334" s="454"/>
      <c r="X334" s="454"/>
      <c r="Y334" s="454"/>
      <c r="Z334" s="454"/>
      <c r="AA334" s="454"/>
      <c r="AB334" s="454"/>
      <c r="AC334" s="454"/>
      <c r="AD334" s="454"/>
      <c r="AE334" s="454"/>
      <c r="AF334" s="454"/>
      <c r="AG334" s="454"/>
      <c r="AH334" s="454"/>
      <c r="AI334" s="454"/>
      <c r="AJ334" s="454"/>
      <c r="AK334" s="456"/>
      <c r="AL334" s="456"/>
      <c r="AM334" s="456"/>
      <c r="AN334" s="456"/>
      <c r="AO334" s="456"/>
      <c r="AP334" s="456"/>
      <c r="AQ334" s="456"/>
      <c r="AR334" s="456"/>
      <c r="AS334" s="456"/>
      <c r="AT334" s="456"/>
      <c r="AU334" s="454"/>
      <c r="AV334" s="456"/>
      <c r="AW334" s="456"/>
      <c r="AX334" s="456"/>
      <c r="AY334" s="456"/>
      <c r="AZ334" s="456"/>
      <c r="BA334" s="456">
        <v>0.0</v>
      </c>
      <c r="BB334" s="456">
        <v>503946.85</v>
      </c>
      <c r="BC334" s="456">
        <v>637816.29</v>
      </c>
      <c r="BD334" s="456">
        <v>516582.41</v>
      </c>
      <c r="BE334" s="456">
        <v>520424.92</v>
      </c>
      <c r="BF334" s="456">
        <v>525088.31</v>
      </c>
      <c r="BG334" s="456">
        <v>528815.6007</v>
      </c>
      <c r="BH334" s="456">
        <v>531858.44</v>
      </c>
      <c r="BI334" s="456">
        <v>535918.58</v>
      </c>
      <c r="BJ334" s="456">
        <v>540175.41</v>
      </c>
      <c r="BK334" s="456">
        <v>545058.25</v>
      </c>
      <c r="BL334" s="456">
        <v>551445.04</v>
      </c>
      <c r="BM334" s="456">
        <v>555998.5</v>
      </c>
      <c r="BN334" s="456">
        <v>561634.64</v>
      </c>
      <c r="BO334" s="456">
        <v>567176.34</v>
      </c>
      <c r="BP334" s="456">
        <v>570061.59</v>
      </c>
      <c r="BQ334" s="456">
        <v>238794.46</v>
      </c>
      <c r="BR334" s="456">
        <v>242014.64</v>
      </c>
      <c r="BS334" s="90">
        <v>0.0</v>
      </c>
      <c r="BT334" s="90"/>
    </row>
    <row r="335" ht="15.75" customHeight="1">
      <c r="A335" s="444" t="s">
        <v>98</v>
      </c>
      <c r="B335" s="445" t="s">
        <v>6252</v>
      </c>
      <c r="C335" s="468" t="s">
        <v>6253</v>
      </c>
      <c r="D335" s="446">
        <v>5581002.0</v>
      </c>
      <c r="E335" s="447" t="s">
        <v>120</v>
      </c>
      <c r="F335" s="447" t="s">
        <v>199</v>
      </c>
      <c r="G335" s="448" t="s">
        <v>212</v>
      </c>
      <c r="H335" s="448">
        <f>IFERROR(VLOOKUP(G335,'Cadastro de assessores'!A:B,2,FALSE),"Não Cadastrado")</f>
        <v>12344</v>
      </c>
      <c r="I335" s="448"/>
      <c r="J335" s="49" t="s">
        <v>2318</v>
      </c>
      <c r="K335" s="447" t="s">
        <v>183</v>
      </c>
      <c r="L335" s="450">
        <v>44340.0</v>
      </c>
      <c r="M335" s="450">
        <v>44340.0</v>
      </c>
      <c r="N335" s="446"/>
      <c r="O335" s="446" t="s">
        <v>2372</v>
      </c>
      <c r="P335" s="452">
        <v>0.025</v>
      </c>
      <c r="Q335" s="461" t="s">
        <v>6254</v>
      </c>
      <c r="R335" s="453"/>
      <c r="S335" s="449" t="str">
        <f t="shared" si="36"/>
        <v/>
      </c>
      <c r="T335" s="449" t="s">
        <v>194</v>
      </c>
      <c r="U335" s="449" t="s">
        <v>2343</v>
      </c>
      <c r="V335" s="449" t="s">
        <v>199</v>
      </c>
      <c r="W335" s="455"/>
      <c r="X335" s="454"/>
      <c r="Y335" s="454"/>
      <c r="Z335" s="454"/>
      <c r="AA335" s="454"/>
      <c r="AB335" s="454"/>
      <c r="AC335" s="454"/>
      <c r="AD335" s="454"/>
      <c r="AE335" s="454"/>
      <c r="AF335" s="454"/>
      <c r="AG335" s="454"/>
      <c r="AH335" s="454"/>
      <c r="AI335" s="454"/>
      <c r="AJ335" s="454"/>
      <c r="AK335" s="456"/>
      <c r="AL335" s="456"/>
      <c r="AM335" s="456"/>
      <c r="AN335" s="456"/>
      <c r="AO335" s="456"/>
      <c r="AP335" s="456"/>
      <c r="AQ335" s="454"/>
      <c r="AR335" s="481">
        <v>60542.03</v>
      </c>
      <c r="AS335" s="456">
        <v>59852.3</v>
      </c>
      <c r="AT335" s="456">
        <v>57965.74</v>
      </c>
      <c r="AU335" s="456">
        <v>57258.44</v>
      </c>
      <c r="AV335" s="456">
        <v>55669.98</v>
      </c>
      <c r="AW335" s="456">
        <v>53045.04</v>
      </c>
      <c r="AX335" s="456">
        <v>52818.05</v>
      </c>
      <c r="AY335" s="456">
        <v>52872.73</v>
      </c>
      <c r="AZ335" s="456">
        <v>56187.18</v>
      </c>
      <c r="BA335" s="456">
        <v>56655.89</v>
      </c>
      <c r="BB335" s="456">
        <v>60093.62</v>
      </c>
      <c r="BC335" s="456"/>
      <c r="BD335" s="456">
        <v>57003.27</v>
      </c>
      <c r="BE335" s="456">
        <v>55103.46</v>
      </c>
      <c r="BF335" s="456">
        <v>57551.0</v>
      </c>
      <c r="BG335" s="456">
        <v>57857.50375</v>
      </c>
      <c r="BH335" s="456">
        <v>57454.6</v>
      </c>
      <c r="BI335" s="456">
        <v>61644.2</v>
      </c>
      <c r="BJ335" s="456">
        <v>60365.74</v>
      </c>
      <c r="BK335" s="456">
        <v>60031.65</v>
      </c>
      <c r="BL335" s="456">
        <v>61670.9</v>
      </c>
      <c r="BM335" s="456">
        <v>59245.23</v>
      </c>
      <c r="BN335" s="456">
        <v>18568.03</v>
      </c>
      <c r="BO335" s="456">
        <v>0.0</v>
      </c>
      <c r="BP335" s="456">
        <v>0.0</v>
      </c>
      <c r="BQ335" s="456">
        <v>0.0</v>
      </c>
      <c r="BR335" s="456">
        <v>0.0</v>
      </c>
      <c r="BS335" s="90">
        <v>0.0</v>
      </c>
      <c r="BT335" s="90"/>
    </row>
    <row r="336" ht="15.75" customHeight="1">
      <c r="A336" s="444" t="s">
        <v>98</v>
      </c>
      <c r="B336" s="445" t="s">
        <v>6252</v>
      </c>
      <c r="C336" s="458" t="s">
        <v>6253</v>
      </c>
      <c r="D336" s="689">
        <v>4924154.0</v>
      </c>
      <c r="E336" s="447" t="s">
        <v>120</v>
      </c>
      <c r="F336" s="447" t="s">
        <v>199</v>
      </c>
      <c r="G336" s="447" t="s">
        <v>212</v>
      </c>
      <c r="H336" s="447">
        <f>IFERROR(VLOOKUP(G336,'Cadastro de assessores'!A:B,2,FALSE),"Não Cadastrado")</f>
        <v>12344</v>
      </c>
      <c r="I336" s="447"/>
      <c r="J336" s="74" t="s">
        <v>183</v>
      </c>
      <c r="K336" s="447" t="s">
        <v>183</v>
      </c>
      <c r="L336" s="450">
        <v>44265.0</v>
      </c>
      <c r="M336" s="450">
        <v>44265.0</v>
      </c>
      <c r="N336" s="449"/>
      <c r="O336" s="449" t="s">
        <v>2356</v>
      </c>
      <c r="P336" s="452">
        <v>0.007</v>
      </c>
      <c r="Q336" s="461" t="s">
        <v>6258</v>
      </c>
      <c r="R336" s="453"/>
      <c r="S336" s="449" t="str">
        <f t="shared" si="36"/>
        <v>Não Qualificado</v>
      </c>
      <c r="T336" s="449" t="s">
        <v>194</v>
      </c>
      <c r="U336" s="449" t="s">
        <v>2343</v>
      </c>
      <c r="V336" s="449" t="s">
        <v>199</v>
      </c>
      <c r="W336" s="455"/>
      <c r="X336" s="455"/>
      <c r="Y336" s="455"/>
      <c r="Z336" s="455"/>
      <c r="AA336" s="455"/>
      <c r="AB336" s="455"/>
      <c r="AC336" s="455"/>
      <c r="AD336" s="455"/>
      <c r="AE336" s="455"/>
      <c r="AF336" s="455"/>
      <c r="AG336" s="455"/>
      <c r="AH336" s="455"/>
      <c r="AI336" s="455"/>
      <c r="AJ336" s="455"/>
      <c r="AK336" s="456"/>
      <c r="AL336" s="456"/>
      <c r="AM336" s="456"/>
      <c r="AN336" s="456" t="s">
        <v>3320</v>
      </c>
      <c r="AO336" s="456">
        <v>205953.3</v>
      </c>
      <c r="AP336" s="456">
        <v>456248.41</v>
      </c>
      <c r="AQ336" s="456">
        <v>454408.78</v>
      </c>
      <c r="AR336" s="456">
        <v>464742.7</v>
      </c>
      <c r="AS336" s="456">
        <v>462387.94</v>
      </c>
      <c r="AT336" s="456">
        <v>453138.04</v>
      </c>
      <c r="AU336" s="456">
        <v>450340.15</v>
      </c>
      <c r="AV336" s="456">
        <v>444220.23</v>
      </c>
      <c r="AW336" s="456">
        <v>430012.36</v>
      </c>
      <c r="AX336" s="456">
        <v>430130.71</v>
      </c>
      <c r="AY336" s="456">
        <v>639580.41</v>
      </c>
      <c r="AZ336" s="456">
        <v>649053.12</v>
      </c>
      <c r="BA336" s="456">
        <v>655845.78</v>
      </c>
      <c r="BB336" s="456">
        <v>667367.74</v>
      </c>
      <c r="BC336" s="456">
        <v>205028.31</v>
      </c>
      <c r="BD336" s="456">
        <v>677757.69</v>
      </c>
      <c r="BE336" s="456">
        <v>684294.89</v>
      </c>
      <c r="BF336" s="456">
        <v>689325.44</v>
      </c>
      <c r="BG336" s="456">
        <v>692045.3834</v>
      </c>
      <c r="BH336" s="456">
        <v>695614.45</v>
      </c>
      <c r="BI336" s="456">
        <v>700089.31</v>
      </c>
      <c r="BJ336" s="456">
        <v>705989.9</v>
      </c>
      <c r="BK336" s="456">
        <v>711561.15</v>
      </c>
      <c r="BL336" s="456">
        <v>719129.12</v>
      </c>
      <c r="BM336" s="456">
        <v>723866.31</v>
      </c>
      <c r="BN336" s="456">
        <v>49953.48</v>
      </c>
      <c r="BO336" s="456">
        <v>50333.8</v>
      </c>
      <c r="BP336" s="456">
        <v>50750.19</v>
      </c>
      <c r="BQ336" s="456">
        <v>51134.81</v>
      </c>
      <c r="BR336" s="456">
        <v>51619.49</v>
      </c>
      <c r="BS336" s="90">
        <v>57798.85</v>
      </c>
      <c r="BT336" s="90"/>
    </row>
    <row r="337" ht="15.75" customHeight="1">
      <c r="A337" s="444" t="s">
        <v>98</v>
      </c>
      <c r="B337" s="445" t="s">
        <v>6263</v>
      </c>
      <c r="C337" s="468" t="s">
        <v>6264</v>
      </c>
      <c r="D337" s="446">
        <v>2580097.0</v>
      </c>
      <c r="E337" s="449" t="s">
        <v>120</v>
      </c>
      <c r="F337" s="449" t="s">
        <v>199</v>
      </c>
      <c r="G337" s="449" t="s">
        <v>1174</v>
      </c>
      <c r="H337" s="449" t="str">
        <f>IFERROR(VLOOKUP(G337,'Cadastro de assessores'!A:B,2,FALSE),"Não Cadastrado")</f>
        <v>18266</v>
      </c>
      <c r="I337" s="449"/>
      <c r="J337" s="49" t="s">
        <v>224</v>
      </c>
      <c r="K337" s="449" t="s">
        <v>2340</v>
      </c>
      <c r="L337" s="508">
        <v>44341.0</v>
      </c>
      <c r="M337" s="508">
        <v>44341.0</v>
      </c>
      <c r="N337" s="460">
        <v>44788.0</v>
      </c>
      <c r="O337" s="446" t="s">
        <v>6268</v>
      </c>
      <c r="P337" s="452">
        <v>0.025</v>
      </c>
      <c r="Q337" s="461" t="s">
        <v>6269</v>
      </c>
      <c r="R337" s="453"/>
      <c r="S337" s="449" t="str">
        <f t="shared" si="36"/>
        <v/>
      </c>
      <c r="T337" s="449" t="s">
        <v>194</v>
      </c>
      <c r="U337" s="449" t="s">
        <v>2343</v>
      </c>
      <c r="V337" s="449" t="s">
        <v>199</v>
      </c>
      <c r="W337" s="455"/>
      <c r="X337" s="454"/>
      <c r="Y337" s="454"/>
      <c r="Z337" s="454"/>
      <c r="AA337" s="454"/>
      <c r="AB337" s="454"/>
      <c r="AC337" s="454"/>
      <c r="AD337" s="454"/>
      <c r="AE337" s="454"/>
      <c r="AF337" s="454"/>
      <c r="AG337" s="454"/>
      <c r="AH337" s="454"/>
      <c r="AI337" s="454"/>
      <c r="AJ337" s="454"/>
      <c r="AK337" s="456"/>
      <c r="AL337" s="456"/>
      <c r="AM337" s="456"/>
      <c r="AN337" s="456"/>
      <c r="AO337" s="456"/>
      <c r="AP337" s="456"/>
      <c r="AQ337" s="454"/>
      <c r="AR337" s="481"/>
      <c r="AS337" s="456">
        <v>577652.22</v>
      </c>
      <c r="AT337" s="456">
        <v>575639.6</v>
      </c>
      <c r="AU337" s="456">
        <v>568694.87</v>
      </c>
      <c r="AV337" s="456">
        <v>560472.09</v>
      </c>
      <c r="AW337" s="456">
        <v>536502.82</v>
      </c>
      <c r="AX337" s="456">
        <v>521307.3</v>
      </c>
      <c r="AY337" s="456">
        <v>542612.58</v>
      </c>
      <c r="AZ337" s="456">
        <v>559074.34</v>
      </c>
      <c r="BA337" s="456">
        <v>563877.35</v>
      </c>
      <c r="BB337" s="456">
        <v>586788.45</v>
      </c>
      <c r="BC337" s="456"/>
      <c r="BD337" s="456">
        <v>581428.85</v>
      </c>
      <c r="BE337" s="456">
        <v>567151.2</v>
      </c>
      <c r="BF337" s="456">
        <v>589720.54</v>
      </c>
      <c r="BG337" s="456">
        <v>0.0</v>
      </c>
      <c r="BH337" s="456">
        <v>0.0</v>
      </c>
      <c r="BI337" s="456">
        <v>0.0</v>
      </c>
      <c r="BJ337" s="456">
        <v>0.0</v>
      </c>
      <c r="BK337" s="456">
        <v>0.0</v>
      </c>
      <c r="BL337" s="456">
        <v>0.0</v>
      </c>
      <c r="BM337" s="456">
        <v>0.0</v>
      </c>
      <c r="BN337" s="456">
        <v>0.0</v>
      </c>
      <c r="BO337" s="456">
        <v>0.0</v>
      </c>
      <c r="BP337" s="456">
        <v>0.0</v>
      </c>
      <c r="BQ337" s="456">
        <v>0.0</v>
      </c>
      <c r="BR337" s="456">
        <v>0.0</v>
      </c>
      <c r="BS337" s="90" t="s">
        <v>268</v>
      </c>
      <c r="BT337" s="90"/>
    </row>
    <row r="338" ht="15.75" customHeight="1">
      <c r="A338" s="444" t="s">
        <v>98</v>
      </c>
      <c r="B338" s="445" t="s">
        <v>6274</v>
      </c>
      <c r="C338" s="468" t="s">
        <v>6275</v>
      </c>
      <c r="D338" s="446">
        <v>6130739.0</v>
      </c>
      <c r="E338" s="449" t="s">
        <v>120</v>
      </c>
      <c r="F338" s="507" t="s">
        <v>54</v>
      </c>
      <c r="G338" s="446" t="s">
        <v>379</v>
      </c>
      <c r="H338" s="446" t="str">
        <f>IFERROR(VLOOKUP(G338,'Cadastro de assessores'!A:B,2,FALSE),"Não Cadastrado")</f>
        <v>18009</v>
      </c>
      <c r="I338" s="446"/>
      <c r="J338" s="49" t="s">
        <v>224</v>
      </c>
      <c r="K338" s="449" t="s">
        <v>2340</v>
      </c>
      <c r="L338" s="460">
        <v>44424.0</v>
      </c>
      <c r="M338" s="460">
        <v>44424.0</v>
      </c>
      <c r="N338" s="508">
        <v>44642.0</v>
      </c>
      <c r="O338" s="446" t="s">
        <v>3721</v>
      </c>
      <c r="P338" s="452">
        <v>0.02</v>
      </c>
      <c r="Q338" s="461" t="s">
        <v>6277</v>
      </c>
      <c r="R338" s="453"/>
      <c r="S338" s="449" t="str">
        <f t="shared" si="36"/>
        <v>Não Qualificado</v>
      </c>
      <c r="T338" s="449" t="s">
        <v>194</v>
      </c>
      <c r="U338" s="446" t="s">
        <v>2475</v>
      </c>
      <c r="V338" s="446" t="s">
        <v>618</v>
      </c>
      <c r="W338" s="454"/>
      <c r="X338" s="454"/>
      <c r="Y338" s="454"/>
      <c r="Z338" s="454"/>
      <c r="AA338" s="454"/>
      <c r="AB338" s="454"/>
      <c r="AC338" s="454"/>
      <c r="AD338" s="454"/>
      <c r="AE338" s="454"/>
      <c r="AF338" s="454"/>
      <c r="AG338" s="454"/>
      <c r="AH338" s="454"/>
      <c r="AI338" s="456"/>
      <c r="AJ338" s="456"/>
      <c r="AK338" s="456"/>
      <c r="AL338" s="456"/>
      <c r="AM338" s="456"/>
      <c r="AN338" s="456"/>
      <c r="AO338" s="456"/>
      <c r="AP338" s="456"/>
      <c r="AQ338" s="454"/>
      <c r="AR338" s="456"/>
      <c r="AS338" s="538"/>
      <c r="AT338" s="481"/>
      <c r="AU338" s="481">
        <v>58370.93</v>
      </c>
      <c r="AV338" s="456">
        <v>63281.05</v>
      </c>
      <c r="AW338" s="456">
        <v>60958.62</v>
      </c>
      <c r="AX338" s="456">
        <v>55399.79</v>
      </c>
      <c r="AY338" s="456">
        <v>57692.72</v>
      </c>
      <c r="AZ338" s="456">
        <v>59869.84</v>
      </c>
      <c r="BA338" s="456">
        <v>61564.78</v>
      </c>
      <c r="BB338" s="456">
        <v>0.0</v>
      </c>
      <c r="BC338" s="456">
        <v>146845.2</v>
      </c>
      <c r="BD338" s="456" t="s">
        <v>377</v>
      </c>
      <c r="BE338" s="456" t="s">
        <v>377</v>
      </c>
      <c r="BF338" s="456">
        <v>0.0</v>
      </c>
      <c r="BG338" s="456">
        <v>0.0</v>
      </c>
      <c r="BH338" s="456">
        <v>0.0</v>
      </c>
      <c r="BI338" s="456">
        <v>0.0</v>
      </c>
      <c r="BJ338" s="456">
        <v>0.0</v>
      </c>
      <c r="BK338" s="456">
        <v>0.0</v>
      </c>
      <c r="BL338" s="456">
        <v>0.0</v>
      </c>
      <c r="BM338" s="456">
        <v>0.0</v>
      </c>
      <c r="BN338" s="456">
        <v>0.0</v>
      </c>
      <c r="BO338" s="456">
        <v>0.0</v>
      </c>
      <c r="BP338" s="456">
        <v>0.0</v>
      </c>
      <c r="BQ338" s="456">
        <v>0.0</v>
      </c>
      <c r="BR338" s="456">
        <v>0.0</v>
      </c>
      <c r="BS338" s="90" t="s">
        <v>268</v>
      </c>
      <c r="BT338" s="90"/>
    </row>
    <row r="339" ht="15.75" customHeight="1">
      <c r="A339" s="444" t="s">
        <v>98</v>
      </c>
      <c r="B339" s="445" t="s">
        <v>6283</v>
      </c>
      <c r="C339" s="468" t="s">
        <v>6284</v>
      </c>
      <c r="D339" s="446">
        <v>511539.0</v>
      </c>
      <c r="E339" s="447" t="s">
        <v>120</v>
      </c>
      <c r="F339" s="448" t="s">
        <v>54</v>
      </c>
      <c r="G339" s="447" t="s">
        <v>379</v>
      </c>
      <c r="H339" s="448" t="str">
        <f>IFERROR(VLOOKUP(G339,'Cadastro de assessores'!A:B,2,FALSE),"Não Cadastrado")</f>
        <v>18009</v>
      </c>
      <c r="I339" s="448"/>
      <c r="J339" s="49" t="s">
        <v>2318</v>
      </c>
      <c r="K339" s="447" t="s">
        <v>183</v>
      </c>
      <c r="L339" s="450">
        <v>44368.0</v>
      </c>
      <c r="M339" s="450">
        <v>44379.0</v>
      </c>
      <c r="N339" s="446"/>
      <c r="O339" s="446" t="s">
        <v>3638</v>
      </c>
      <c r="P339" s="452">
        <v>0.02</v>
      </c>
      <c r="Q339" s="461" t="s">
        <v>6287</v>
      </c>
      <c r="R339" s="453"/>
      <c r="S339" s="449" t="str">
        <f t="shared" si="36"/>
        <v>Não Qualificado</v>
      </c>
      <c r="T339" s="449" t="s">
        <v>194</v>
      </c>
      <c r="U339" s="446" t="s">
        <v>2475</v>
      </c>
      <c r="V339" s="446" t="s">
        <v>618</v>
      </c>
      <c r="W339" s="454"/>
      <c r="X339" s="454"/>
      <c r="Y339" s="454"/>
      <c r="Z339" s="454"/>
      <c r="AA339" s="454"/>
      <c r="AB339" s="454"/>
      <c r="AC339" s="454"/>
      <c r="AD339" s="454"/>
      <c r="AE339" s="454"/>
      <c r="AF339" s="454"/>
      <c r="AG339" s="454"/>
      <c r="AH339" s="454"/>
      <c r="AI339" s="454"/>
      <c r="AJ339" s="456"/>
      <c r="AK339" s="456"/>
      <c r="AL339" s="456"/>
      <c r="AM339" s="456"/>
      <c r="AN339" s="456"/>
      <c r="AO339" s="456"/>
      <c r="AP339" s="456"/>
      <c r="AQ339" s="456"/>
      <c r="AR339" s="454"/>
      <c r="AS339" s="456">
        <v>219293.09</v>
      </c>
      <c r="AT339" s="456">
        <v>323991.89</v>
      </c>
      <c r="AU339" s="456">
        <v>324379.8</v>
      </c>
      <c r="AV339" s="456">
        <v>302822.08</v>
      </c>
      <c r="AW339" s="456">
        <v>280057.33</v>
      </c>
      <c r="AX339" s="456">
        <v>280203.68</v>
      </c>
      <c r="AY339" s="456">
        <v>298775.29</v>
      </c>
      <c r="AZ339" s="456">
        <v>313786.7</v>
      </c>
      <c r="BA339" s="456">
        <v>300363.98</v>
      </c>
      <c r="BB339" s="456">
        <v>229960.55</v>
      </c>
      <c r="BC339" s="456">
        <v>510153.46</v>
      </c>
      <c r="BD339" s="456">
        <v>173094.36</v>
      </c>
      <c r="BE339" s="456">
        <v>173489.34</v>
      </c>
      <c r="BF339" s="456">
        <v>169590.33</v>
      </c>
      <c r="BG339" s="456">
        <v>174099.9796</v>
      </c>
      <c r="BH339" s="456">
        <v>173274.89</v>
      </c>
      <c r="BI339" s="456">
        <v>187390.69</v>
      </c>
      <c r="BJ339" s="456">
        <v>185400.78</v>
      </c>
      <c r="BK339" s="456">
        <v>187647.31</v>
      </c>
      <c r="BL339" s="456">
        <v>190456.27</v>
      </c>
      <c r="BM339" s="456">
        <v>56607.46</v>
      </c>
      <c r="BN339" s="456">
        <v>144933.72</v>
      </c>
      <c r="BO339" s="456">
        <v>273767.52</v>
      </c>
      <c r="BP339" s="456">
        <v>304981.88</v>
      </c>
      <c r="BQ339" s="456">
        <v>313360.17</v>
      </c>
      <c r="BR339" s="456">
        <v>335727.37</v>
      </c>
      <c r="BS339" s="90" t="s">
        <v>268</v>
      </c>
      <c r="BT339" s="90"/>
    </row>
    <row r="340" ht="15.75" customHeight="1">
      <c r="A340" s="444" t="s">
        <v>98</v>
      </c>
      <c r="B340" s="445" t="s">
        <v>6290</v>
      </c>
      <c r="C340" s="458" t="s">
        <v>6291</v>
      </c>
      <c r="D340" s="449">
        <v>4687018.0</v>
      </c>
      <c r="E340" s="449" t="s">
        <v>255</v>
      </c>
      <c r="F340" s="449" t="s">
        <v>199</v>
      </c>
      <c r="G340" s="449" t="s">
        <v>4782</v>
      </c>
      <c r="H340" s="449" t="str">
        <f>IFERROR(VLOOKUP(G340,'Cadastro de assessores'!A:B,2,FALSE),"Não Cadastrado")</f>
        <v>1153</v>
      </c>
      <c r="I340" s="449"/>
      <c r="J340" s="49" t="s">
        <v>224</v>
      </c>
      <c r="K340" s="449" t="s">
        <v>2340</v>
      </c>
      <c r="L340" s="460">
        <v>44225.0</v>
      </c>
      <c r="M340" s="460">
        <v>44225.0</v>
      </c>
      <c r="N340" s="460">
        <v>44627.0</v>
      </c>
      <c r="O340" s="449" t="s">
        <v>2372</v>
      </c>
      <c r="P340" s="452">
        <v>0.025</v>
      </c>
      <c r="Q340" s="461" t="s">
        <v>6294</v>
      </c>
      <c r="R340" s="453"/>
      <c r="S340" s="449" t="str">
        <f t="shared" si="36"/>
        <v>Não Qualificado</v>
      </c>
      <c r="T340" s="449" t="s">
        <v>194</v>
      </c>
      <c r="U340" s="449" t="s">
        <v>2374</v>
      </c>
      <c r="V340" s="449" t="s">
        <v>199</v>
      </c>
      <c r="W340" s="455"/>
      <c r="X340" s="455"/>
      <c r="Y340" s="455"/>
      <c r="Z340" s="455"/>
      <c r="AA340" s="455"/>
      <c r="AB340" s="455"/>
      <c r="AC340" s="455"/>
      <c r="AD340" s="455"/>
      <c r="AE340" s="455"/>
      <c r="AF340" s="455"/>
      <c r="AG340" s="455"/>
      <c r="AH340" s="455"/>
      <c r="AI340" s="455"/>
      <c r="AJ340" s="455"/>
      <c r="AK340" s="456"/>
      <c r="AL340" s="456">
        <v>100000.0</v>
      </c>
      <c r="AM340" s="456">
        <v>91602.81</v>
      </c>
      <c r="AN340" s="456">
        <v>91781.65</v>
      </c>
      <c r="AO340" s="456">
        <v>98550.31</v>
      </c>
      <c r="AP340" s="456">
        <v>99915.38</v>
      </c>
      <c r="AQ340" s="456">
        <v>98882.91</v>
      </c>
      <c r="AR340" s="456">
        <v>104542.83</v>
      </c>
      <c r="AS340" s="456">
        <v>102105.65</v>
      </c>
      <c r="AT340" s="456">
        <v>96664.69</v>
      </c>
      <c r="AU340" s="456">
        <v>94607.91</v>
      </c>
      <c r="AV340" s="456">
        <v>89003.16</v>
      </c>
      <c r="AW340" s="456">
        <v>82348.38</v>
      </c>
      <c r="AX340" s="456">
        <v>81517.85</v>
      </c>
      <c r="AY340" s="456">
        <v>83123.07</v>
      </c>
      <c r="AZ340" s="456">
        <v>88260.56</v>
      </c>
      <c r="BA340" s="456">
        <v>89433.03</v>
      </c>
      <c r="BB340" s="456">
        <v>0.0</v>
      </c>
      <c r="BC340" s="456">
        <v>668697.21</v>
      </c>
      <c r="BD340" s="456" t="s">
        <v>377</v>
      </c>
      <c r="BE340" s="456" t="s">
        <v>377</v>
      </c>
      <c r="BF340" s="456">
        <v>0.0</v>
      </c>
      <c r="BG340" s="456">
        <v>0.0</v>
      </c>
      <c r="BH340" s="456">
        <v>0.0</v>
      </c>
      <c r="BI340" s="456">
        <v>0.0</v>
      </c>
      <c r="BJ340" s="456">
        <v>0.0</v>
      </c>
      <c r="BK340" s="456">
        <v>0.0</v>
      </c>
      <c r="BL340" s="456">
        <v>0.0</v>
      </c>
      <c r="BM340" s="456">
        <v>0.0</v>
      </c>
      <c r="BN340" s="456">
        <v>0.0</v>
      </c>
      <c r="BO340" s="456">
        <v>0.0</v>
      </c>
      <c r="BP340" s="456">
        <v>0.0</v>
      </c>
      <c r="BQ340" s="456">
        <v>0.0</v>
      </c>
      <c r="BR340" s="456">
        <v>0.0</v>
      </c>
      <c r="BS340" s="90" t="s">
        <v>268</v>
      </c>
      <c r="BT340" s="90"/>
    </row>
    <row r="341" ht="15.75" customHeight="1">
      <c r="A341" s="444" t="s">
        <v>98</v>
      </c>
      <c r="B341" s="445" t="s">
        <v>6297</v>
      </c>
      <c r="C341" s="458" t="s">
        <v>6298</v>
      </c>
      <c r="D341" s="449">
        <v>4637696.0</v>
      </c>
      <c r="E341" s="447" t="s">
        <v>120</v>
      </c>
      <c r="F341" s="447" t="s">
        <v>199</v>
      </c>
      <c r="G341" s="447" t="s">
        <v>841</v>
      </c>
      <c r="H341" s="447" t="str">
        <f>IFERROR(VLOOKUP(G341,'Cadastro de assessores'!A:B,2,FALSE),"Não Cadastrado")</f>
        <v>18256</v>
      </c>
      <c r="I341" s="447"/>
      <c r="J341" s="49" t="s">
        <v>2318</v>
      </c>
      <c r="K341" s="447" t="s">
        <v>183</v>
      </c>
      <c r="L341" s="450">
        <v>44249.0</v>
      </c>
      <c r="M341" s="450">
        <v>44249.0</v>
      </c>
      <c r="N341" s="449"/>
      <c r="O341" s="449" t="s">
        <v>2341</v>
      </c>
      <c r="P341" s="452">
        <v>0.015</v>
      </c>
      <c r="Q341" s="461"/>
      <c r="R341" s="453"/>
      <c r="S341" s="449" t="str">
        <f t="shared" si="36"/>
        <v>Não Qualificado</v>
      </c>
      <c r="T341" s="449" t="s">
        <v>194</v>
      </c>
      <c r="U341" s="449" t="s">
        <v>2343</v>
      </c>
      <c r="V341" s="449" t="s">
        <v>199</v>
      </c>
      <c r="W341" s="455" t="s">
        <v>2344</v>
      </c>
      <c r="X341" s="455" t="s">
        <v>2344</v>
      </c>
      <c r="Y341" s="455" t="s">
        <v>2344</v>
      </c>
      <c r="Z341" s="455" t="s">
        <v>2344</v>
      </c>
      <c r="AA341" s="455" t="s">
        <v>2344</v>
      </c>
      <c r="AB341" s="455" t="s">
        <v>2344</v>
      </c>
      <c r="AC341" s="455" t="s">
        <v>2344</v>
      </c>
      <c r="AD341" s="455" t="s">
        <v>2344</v>
      </c>
      <c r="AE341" s="455" t="s">
        <v>2344</v>
      </c>
      <c r="AF341" s="455" t="s">
        <v>2344</v>
      </c>
      <c r="AG341" s="455" t="s">
        <v>2344</v>
      </c>
      <c r="AH341" s="455" t="s">
        <v>2344</v>
      </c>
      <c r="AI341" s="455" t="s">
        <v>2344</v>
      </c>
      <c r="AJ341" s="455" t="s">
        <v>2344</v>
      </c>
      <c r="AK341" s="456" t="s">
        <v>3320</v>
      </c>
      <c r="AL341" s="456"/>
      <c r="AM341" s="456">
        <v>49451.99</v>
      </c>
      <c r="AN341" s="735">
        <v>75248.01</v>
      </c>
      <c r="AO341" s="735">
        <v>78717.96</v>
      </c>
      <c r="AP341" s="456">
        <v>79160.38</v>
      </c>
      <c r="AQ341" s="456">
        <v>78833.65</v>
      </c>
      <c r="AR341" s="456">
        <v>80682.09</v>
      </c>
      <c r="AS341" s="456">
        <v>80278.39</v>
      </c>
      <c r="AT341" s="456">
        <v>78284.75</v>
      </c>
      <c r="AU341" s="456">
        <v>77617.91</v>
      </c>
      <c r="AV341" s="456">
        <v>75855.05</v>
      </c>
      <c r="AW341" s="456">
        <v>73112.98</v>
      </c>
      <c r="AX341" s="456">
        <v>73294.37</v>
      </c>
      <c r="AY341" s="456">
        <v>74032.06</v>
      </c>
      <c r="AZ341" s="456">
        <v>75932.62</v>
      </c>
      <c r="BA341" s="456">
        <v>76605.95</v>
      </c>
      <c r="BB341" s="456">
        <v>74292.56</v>
      </c>
      <c r="BC341" s="456">
        <v>122586.49</v>
      </c>
      <c r="BD341" s="456">
        <v>78639.99</v>
      </c>
      <c r="BE341" s="456">
        <v>78399.95</v>
      </c>
      <c r="BF341" s="456">
        <v>79430.77</v>
      </c>
      <c r="BG341" s="456">
        <v>79736.02775</v>
      </c>
      <c r="BH341" s="456">
        <v>80278.92</v>
      </c>
      <c r="BI341" s="456">
        <v>83171.17</v>
      </c>
      <c r="BJ341" s="456">
        <v>82709.7</v>
      </c>
      <c r="BK341" s="456">
        <v>83389.41</v>
      </c>
      <c r="BL341" s="456">
        <v>84332.43</v>
      </c>
      <c r="BM341" s="456">
        <v>84962.65</v>
      </c>
      <c r="BN341" s="456">
        <v>85859.23</v>
      </c>
      <c r="BO341" s="456">
        <v>86675.12</v>
      </c>
      <c r="BP341" s="456">
        <v>87061.07</v>
      </c>
      <c r="BQ341" s="456">
        <v>87691.38</v>
      </c>
      <c r="BR341" s="456">
        <v>88568.73</v>
      </c>
      <c r="BS341" s="90">
        <v>0.0</v>
      </c>
      <c r="BT341" s="90"/>
    </row>
    <row r="342" ht="15.75" customHeight="1">
      <c r="A342" s="444" t="s">
        <v>98</v>
      </c>
      <c r="B342" s="445" t="s">
        <v>6304</v>
      </c>
      <c r="C342" s="458" t="s">
        <v>6305</v>
      </c>
      <c r="D342" s="449">
        <v>4644940.0</v>
      </c>
      <c r="E342" s="447" t="s">
        <v>669</v>
      </c>
      <c r="F342" s="447" t="s">
        <v>199</v>
      </c>
      <c r="G342" s="447" t="s">
        <v>669</v>
      </c>
      <c r="H342" s="447" t="str">
        <f>IFERROR(VLOOKUP(G342,'Cadastro de assessores'!A:B,2,FALSE),"Não Cadastrado")</f>
        <v>18986</v>
      </c>
      <c r="I342" s="447"/>
      <c r="J342" s="49" t="s">
        <v>2318</v>
      </c>
      <c r="K342" s="447" t="s">
        <v>183</v>
      </c>
      <c r="L342" s="451">
        <v>44186.0</v>
      </c>
      <c r="M342" s="451">
        <v>44195.0</v>
      </c>
      <c r="N342" s="449"/>
      <c r="O342" s="449" t="s">
        <v>2365</v>
      </c>
      <c r="P342" s="452">
        <v>0.012</v>
      </c>
      <c r="Q342" s="461"/>
      <c r="R342" s="453"/>
      <c r="S342" s="449" t="str">
        <f t="shared" si="36"/>
        <v>Não Qualificado</v>
      </c>
      <c r="T342" s="449" t="s">
        <v>194</v>
      </c>
      <c r="U342" s="449" t="s">
        <v>2383</v>
      </c>
      <c r="V342" s="449" t="s">
        <v>199</v>
      </c>
      <c r="W342" s="455" t="s">
        <v>2344</v>
      </c>
      <c r="X342" s="455" t="s">
        <v>2344</v>
      </c>
      <c r="Y342" s="455" t="s">
        <v>2344</v>
      </c>
      <c r="Z342" s="455" t="s">
        <v>2344</v>
      </c>
      <c r="AA342" s="455" t="s">
        <v>2344</v>
      </c>
      <c r="AB342" s="455" t="s">
        <v>2344</v>
      </c>
      <c r="AC342" s="455" t="s">
        <v>2344</v>
      </c>
      <c r="AD342" s="455" t="s">
        <v>2344</v>
      </c>
      <c r="AE342" s="455" t="s">
        <v>2344</v>
      </c>
      <c r="AF342" s="455" t="s">
        <v>2344</v>
      </c>
      <c r="AG342" s="455" t="s">
        <v>2344</v>
      </c>
      <c r="AH342" s="455" t="s">
        <v>2344</v>
      </c>
      <c r="AI342" s="455" t="s">
        <v>2344</v>
      </c>
      <c r="AJ342" s="455" t="s">
        <v>2344</v>
      </c>
      <c r="AK342" s="456">
        <v>219924.3</v>
      </c>
      <c r="AL342" s="456">
        <v>218648.6</v>
      </c>
      <c r="AM342" s="456">
        <v>215302.17</v>
      </c>
      <c r="AN342" s="735">
        <v>215535.41</v>
      </c>
      <c r="AO342" s="735">
        <v>218476.43</v>
      </c>
      <c r="AP342" s="456">
        <v>219212.25</v>
      </c>
      <c r="AQ342" s="456">
        <v>218800.15</v>
      </c>
      <c r="AR342" s="456">
        <v>220297.73</v>
      </c>
      <c r="AS342" s="456">
        <v>219623.1</v>
      </c>
      <c r="AT342" s="456">
        <v>217750.94</v>
      </c>
      <c r="AU342" s="456">
        <v>16405.69</v>
      </c>
      <c r="AV342" s="456">
        <v>15050.99</v>
      </c>
      <c r="AW342" s="456">
        <v>14244.51</v>
      </c>
      <c r="AX342" s="456">
        <v>13938.25</v>
      </c>
      <c r="AY342" s="456">
        <v>14065.4</v>
      </c>
      <c r="AZ342" s="456">
        <v>14699.1</v>
      </c>
      <c r="BA342" s="456">
        <v>14346.95</v>
      </c>
      <c r="BB342" s="456">
        <v>15267.34</v>
      </c>
      <c r="BC342" s="456">
        <v>131747.56</v>
      </c>
      <c r="BD342" s="456">
        <v>14444.03</v>
      </c>
      <c r="BE342" s="456">
        <v>14139.94</v>
      </c>
      <c r="BF342" s="456">
        <v>14523.45</v>
      </c>
      <c r="BG342" s="456">
        <v>14565.87</v>
      </c>
      <c r="BH342" s="456">
        <v>14454.44</v>
      </c>
      <c r="BI342" s="456">
        <v>15350.47</v>
      </c>
      <c r="BJ342" s="456">
        <v>15075.8</v>
      </c>
      <c r="BK342" s="456">
        <v>20.0</v>
      </c>
      <c r="BL342" s="456">
        <v>41.88</v>
      </c>
      <c r="BM342" s="456">
        <v>41.88</v>
      </c>
      <c r="BN342" s="456">
        <v>41.89</v>
      </c>
      <c r="BO342" s="456">
        <v>41.89</v>
      </c>
      <c r="BP342" s="456">
        <v>41.89</v>
      </c>
      <c r="BQ342" s="456">
        <v>41.89</v>
      </c>
      <c r="BR342" s="456">
        <v>41.89</v>
      </c>
      <c r="BS342" s="90">
        <v>0.0</v>
      </c>
      <c r="BT342" s="90"/>
    </row>
    <row r="343" ht="15.75" customHeight="1">
      <c r="A343" s="444" t="s">
        <v>98</v>
      </c>
      <c r="B343" s="445" t="s">
        <v>6313</v>
      </c>
      <c r="C343" s="559" t="s">
        <v>1720</v>
      </c>
      <c r="D343" s="469">
        <v>4358218.0</v>
      </c>
      <c r="E343" s="448" t="s">
        <v>120</v>
      </c>
      <c r="F343" s="448" t="s">
        <v>199</v>
      </c>
      <c r="G343" s="447" t="s">
        <v>212</v>
      </c>
      <c r="H343" s="447">
        <f>IFERROR(VLOOKUP(G343,'Cadastro de assessores'!A:B,2,FALSE),"Não Cadastrado")</f>
        <v>12344</v>
      </c>
      <c r="I343" s="447"/>
      <c r="J343" s="49" t="s">
        <v>2318</v>
      </c>
      <c r="K343" s="447" t="s">
        <v>183</v>
      </c>
      <c r="L343" s="470">
        <v>44782.0</v>
      </c>
      <c r="M343" s="470">
        <v>44774.0</v>
      </c>
      <c r="N343" s="446"/>
      <c r="O343" s="446" t="s">
        <v>2356</v>
      </c>
      <c r="P343" s="452">
        <v>0.007</v>
      </c>
      <c r="Q343" s="461" t="s">
        <v>2356</v>
      </c>
      <c r="R343" s="453"/>
      <c r="S343" s="449"/>
      <c r="T343" s="449" t="s">
        <v>194</v>
      </c>
      <c r="U343" s="449" t="s">
        <v>2343</v>
      </c>
      <c r="V343" s="449" t="s">
        <v>199</v>
      </c>
      <c r="W343" s="455"/>
      <c r="X343" s="455"/>
      <c r="Y343" s="455"/>
      <c r="Z343" s="455"/>
      <c r="AA343" s="455"/>
      <c r="AB343" s="455"/>
      <c r="AC343" s="455"/>
      <c r="AD343" s="455"/>
      <c r="AE343" s="455"/>
      <c r="AF343" s="455"/>
      <c r="AG343" s="455"/>
      <c r="AH343" s="455"/>
      <c r="AI343" s="455"/>
      <c r="AJ343" s="455"/>
      <c r="AK343" s="456"/>
      <c r="AL343" s="456"/>
      <c r="AM343" s="456"/>
      <c r="AN343" s="735"/>
      <c r="AO343" s="735"/>
      <c r="AP343" s="456"/>
      <c r="AQ343" s="456"/>
      <c r="AR343" s="456"/>
      <c r="AS343" s="456"/>
      <c r="AT343" s="456"/>
      <c r="AU343" s="456"/>
      <c r="AV343" s="456"/>
      <c r="AW343" s="456"/>
      <c r="AX343" s="456"/>
      <c r="AY343" s="456"/>
      <c r="AZ343" s="456"/>
      <c r="BA343" s="456"/>
      <c r="BB343" s="456"/>
      <c r="BC343" s="456"/>
      <c r="BD343" s="456"/>
      <c r="BE343" s="456">
        <v>107140.46</v>
      </c>
      <c r="BF343" s="456">
        <v>107928.65</v>
      </c>
      <c r="BG343" s="456">
        <v>109258.9438</v>
      </c>
      <c r="BH343" s="456">
        <v>108363.94</v>
      </c>
      <c r="BI343" s="456">
        <v>109430.78</v>
      </c>
      <c r="BJ343" s="456">
        <v>110426.31</v>
      </c>
      <c r="BK343" s="456">
        <v>111432.62</v>
      </c>
      <c r="BL343" s="456">
        <v>112653.58</v>
      </c>
      <c r="BM343" s="456">
        <v>113563.18</v>
      </c>
      <c r="BN343" s="456">
        <v>54935.96</v>
      </c>
      <c r="BO343" s="456">
        <v>0.0</v>
      </c>
      <c r="BP343" s="456">
        <v>0.0</v>
      </c>
      <c r="BQ343" s="456">
        <v>0.0</v>
      </c>
      <c r="BR343" s="456">
        <v>0.0</v>
      </c>
      <c r="BS343" s="90">
        <v>0.0</v>
      </c>
      <c r="BT343" s="90"/>
    </row>
    <row r="344" ht="15.75" customHeight="1">
      <c r="A344" s="444" t="s">
        <v>98</v>
      </c>
      <c r="B344" s="445" t="s">
        <v>6319</v>
      </c>
      <c r="C344" s="559" t="s">
        <v>6320</v>
      </c>
      <c r="D344" s="469">
        <v>7998263.0</v>
      </c>
      <c r="E344" s="448" t="s">
        <v>120</v>
      </c>
      <c r="F344" s="448" t="s">
        <v>54</v>
      </c>
      <c r="G344" s="447" t="s">
        <v>348</v>
      </c>
      <c r="H344" s="447">
        <f>IFERROR(VLOOKUP(G344,'Cadastro de assessores'!A:B,2,FALSE),"Não Cadastrado")</f>
        <v>12331</v>
      </c>
      <c r="I344" s="447"/>
      <c r="J344" s="49" t="s">
        <v>2318</v>
      </c>
      <c r="K344" s="447" t="s">
        <v>183</v>
      </c>
      <c r="L344" s="470">
        <v>44615.0</v>
      </c>
      <c r="M344" s="470">
        <v>44623.0</v>
      </c>
      <c r="N344" s="446"/>
      <c r="O344" s="446" t="s">
        <v>2356</v>
      </c>
      <c r="P344" s="452">
        <v>0.007</v>
      </c>
      <c r="Q344" s="461" t="s">
        <v>315</v>
      </c>
      <c r="R344" s="453"/>
      <c r="S344" s="449" t="str">
        <f t="shared" ref="S344:S356" si="37">IF(BC344&lt;=0,"",IF(BC344&lt;=1000000,"Não Qualificado",IF(AND(BC344&gt;1000000,BC344&lt;=10000000),"Qualificado","Profissional")))</f>
        <v>Não Qualificado</v>
      </c>
      <c r="T344" s="449" t="s">
        <v>194</v>
      </c>
      <c r="U344" s="449" t="s">
        <v>3898</v>
      </c>
      <c r="V344" s="449" t="s">
        <v>54</v>
      </c>
      <c r="W344" s="455"/>
      <c r="X344" s="455"/>
      <c r="Y344" s="455"/>
      <c r="Z344" s="455"/>
      <c r="AA344" s="455"/>
      <c r="AB344" s="455"/>
      <c r="AC344" s="455"/>
      <c r="AD344" s="455"/>
      <c r="AE344" s="455"/>
      <c r="AF344" s="455"/>
      <c r="AG344" s="455"/>
      <c r="AH344" s="455"/>
      <c r="AI344" s="455"/>
      <c r="AJ344" s="455"/>
      <c r="AK344" s="456"/>
      <c r="AL344" s="456"/>
      <c r="AM344" s="456"/>
      <c r="AN344" s="735"/>
      <c r="AO344" s="735"/>
      <c r="AP344" s="456"/>
      <c r="AQ344" s="456"/>
      <c r="AR344" s="456"/>
      <c r="AS344" s="456"/>
      <c r="AT344" s="456"/>
      <c r="AU344" s="456"/>
      <c r="AV344" s="456"/>
      <c r="AW344" s="456"/>
      <c r="AX344" s="456"/>
      <c r="AY344" s="456"/>
      <c r="AZ344" s="456"/>
      <c r="BA344" s="456"/>
      <c r="BB344" s="456">
        <v>121675.07</v>
      </c>
      <c r="BC344" s="456">
        <v>507136.02</v>
      </c>
      <c r="BD344" s="456">
        <v>123814.09</v>
      </c>
      <c r="BE344" s="456">
        <v>124514.67</v>
      </c>
      <c r="BF344" s="456">
        <v>124935.9</v>
      </c>
      <c r="BG344" s="456">
        <v>141745.8053</v>
      </c>
      <c r="BH344" s="456">
        <v>142806.16</v>
      </c>
      <c r="BI344" s="456">
        <v>143997.01</v>
      </c>
      <c r="BJ344" s="456">
        <v>144033.93</v>
      </c>
      <c r="BK344" s="456">
        <v>145564.7</v>
      </c>
      <c r="BL344" s="456">
        <v>162873.7</v>
      </c>
      <c r="BM344" s="456">
        <v>149002.39</v>
      </c>
      <c r="BN344" s="456">
        <v>0.0</v>
      </c>
      <c r="BO344" s="456">
        <v>0.0</v>
      </c>
      <c r="BP344" s="456">
        <v>0.0</v>
      </c>
      <c r="BQ344" s="456">
        <v>0.0</v>
      </c>
      <c r="BR344" s="456">
        <v>0.0</v>
      </c>
      <c r="BS344" s="90">
        <v>0.0</v>
      </c>
      <c r="BT344" s="90"/>
    </row>
    <row r="345" ht="15.75" customHeight="1">
      <c r="A345" s="444" t="s">
        <v>98</v>
      </c>
      <c r="B345" s="445" t="s">
        <v>6327</v>
      </c>
      <c r="C345" s="458" t="s">
        <v>6328</v>
      </c>
      <c r="D345" s="449">
        <v>4697028.0</v>
      </c>
      <c r="E345" s="447" t="s">
        <v>255</v>
      </c>
      <c r="F345" s="447" t="s">
        <v>199</v>
      </c>
      <c r="G345" s="447" t="s">
        <v>3979</v>
      </c>
      <c r="H345" s="447" t="str">
        <f>IFERROR(VLOOKUP(G345,'Cadastro de assessores'!A:B,2,FALSE),"Não Cadastrado")</f>
        <v>19157</v>
      </c>
      <c r="I345" s="447"/>
      <c r="J345" s="49" t="s">
        <v>224</v>
      </c>
      <c r="K345" s="447" t="s">
        <v>183</v>
      </c>
      <c r="L345" s="451">
        <v>44189.0</v>
      </c>
      <c r="M345" s="451">
        <v>44195.0</v>
      </c>
      <c r="N345" s="449"/>
      <c r="O345" s="449" t="s">
        <v>2319</v>
      </c>
      <c r="P345" s="452">
        <v>0.02</v>
      </c>
      <c r="Q345" s="461"/>
      <c r="R345" s="453"/>
      <c r="S345" s="449" t="str">
        <f t="shared" si="37"/>
        <v/>
      </c>
      <c r="T345" s="449" t="s">
        <v>194</v>
      </c>
      <c r="U345" s="449" t="s">
        <v>4450</v>
      </c>
      <c r="V345" s="449" t="s">
        <v>199</v>
      </c>
      <c r="W345" s="455" t="s">
        <v>2344</v>
      </c>
      <c r="X345" s="455" t="s">
        <v>2344</v>
      </c>
      <c r="Y345" s="455" t="s">
        <v>2344</v>
      </c>
      <c r="Z345" s="455" t="s">
        <v>2344</v>
      </c>
      <c r="AA345" s="455" t="s">
        <v>2344</v>
      </c>
      <c r="AB345" s="455" t="s">
        <v>2344</v>
      </c>
      <c r="AC345" s="455" t="s">
        <v>2344</v>
      </c>
      <c r="AD345" s="455" t="s">
        <v>2344</v>
      </c>
      <c r="AE345" s="455" t="s">
        <v>2344</v>
      </c>
      <c r="AF345" s="455" t="s">
        <v>2344</v>
      </c>
      <c r="AG345" s="455" t="s">
        <v>2344</v>
      </c>
      <c r="AH345" s="455" t="s">
        <v>2344</v>
      </c>
      <c r="AI345" s="455" t="s">
        <v>2344</v>
      </c>
      <c r="AJ345" s="455" t="s">
        <v>2344</v>
      </c>
      <c r="AK345" s="456">
        <v>203913.24</v>
      </c>
      <c r="AL345" s="456">
        <v>198367.63</v>
      </c>
      <c r="AM345" s="456">
        <v>190710.34</v>
      </c>
      <c r="AN345" s="735">
        <v>190901.3</v>
      </c>
      <c r="AO345" s="735">
        <v>198964.46</v>
      </c>
      <c r="AP345" s="456">
        <v>200620.27</v>
      </c>
      <c r="AQ345" s="456">
        <v>199374.08</v>
      </c>
      <c r="AR345" s="456">
        <v>206282.08</v>
      </c>
      <c r="AS345" s="456">
        <v>203701.2</v>
      </c>
      <c r="AT345" s="456">
        <v>197116.9</v>
      </c>
      <c r="AU345" s="456">
        <v>194862.89</v>
      </c>
      <c r="AV345" s="456">
        <v>163898.1</v>
      </c>
      <c r="AW345" s="456">
        <v>154877.21</v>
      </c>
      <c r="AX345" s="456">
        <v>141420.73</v>
      </c>
      <c r="AY345" s="456">
        <v>95039.49</v>
      </c>
      <c r="AZ345" s="456">
        <v>99776.19</v>
      </c>
      <c r="BA345" s="456">
        <v>96054.1</v>
      </c>
      <c r="BB345" s="456">
        <v>86746.4</v>
      </c>
      <c r="BC345" s="456"/>
      <c r="BD345" s="456">
        <v>65396.66</v>
      </c>
      <c r="BE345" s="456">
        <v>57537.42</v>
      </c>
      <c r="BF345" s="456">
        <v>61165.2</v>
      </c>
      <c r="BG345" s="456">
        <v>62153.12</v>
      </c>
      <c r="BH345" s="456">
        <v>59378.76</v>
      </c>
      <c r="BI345" s="456">
        <v>62764.61</v>
      </c>
      <c r="BJ345" s="456">
        <v>0.0</v>
      </c>
      <c r="BK345" s="456">
        <v>0.0</v>
      </c>
      <c r="BL345" s="456">
        <v>0.0</v>
      </c>
      <c r="BM345" s="456">
        <v>0.0</v>
      </c>
      <c r="BN345" s="456">
        <v>0.0</v>
      </c>
      <c r="BO345" s="456">
        <v>0.0</v>
      </c>
      <c r="BP345" s="456">
        <v>0.0</v>
      </c>
      <c r="BQ345" s="456">
        <v>0.0</v>
      </c>
      <c r="BR345" s="456">
        <v>0.0</v>
      </c>
      <c r="BS345" s="90" t="s">
        <v>268</v>
      </c>
      <c r="BT345" s="90"/>
    </row>
    <row r="346" ht="15.75" customHeight="1">
      <c r="A346" s="444" t="s">
        <v>98</v>
      </c>
      <c r="B346" s="445" t="s">
        <v>6332</v>
      </c>
      <c r="C346" s="458" t="s">
        <v>6333</v>
      </c>
      <c r="D346" s="449">
        <v>4945025.0</v>
      </c>
      <c r="E346" s="447" t="s">
        <v>120</v>
      </c>
      <c r="F346" s="447" t="s">
        <v>199</v>
      </c>
      <c r="G346" s="447" t="s">
        <v>439</v>
      </c>
      <c r="H346" s="447" t="str">
        <f>IFERROR(VLOOKUP(G346,'Cadastro de assessores'!A:B,2,FALSE),"Não Cadastrado")</f>
        <v>18236</v>
      </c>
      <c r="I346" s="447"/>
      <c r="J346" s="49" t="s">
        <v>2318</v>
      </c>
      <c r="K346" s="447" t="s">
        <v>183</v>
      </c>
      <c r="L346" s="450">
        <v>44266.0</v>
      </c>
      <c r="M346" s="450">
        <v>44266.0</v>
      </c>
      <c r="N346" s="449"/>
      <c r="O346" s="449" t="s">
        <v>2365</v>
      </c>
      <c r="P346" s="452">
        <v>0.012</v>
      </c>
      <c r="Q346" s="461" t="s">
        <v>315</v>
      </c>
      <c r="R346" s="453"/>
      <c r="S346" s="449" t="str">
        <f t="shared" si="37"/>
        <v>Qualificado</v>
      </c>
      <c r="T346" s="449" t="s">
        <v>194</v>
      </c>
      <c r="U346" s="449" t="s">
        <v>3672</v>
      </c>
      <c r="V346" s="449" t="s">
        <v>199</v>
      </c>
      <c r="W346" s="455"/>
      <c r="X346" s="455"/>
      <c r="Y346" s="455"/>
      <c r="Z346" s="455"/>
      <c r="AA346" s="455"/>
      <c r="AB346" s="455"/>
      <c r="AC346" s="455"/>
      <c r="AD346" s="455"/>
      <c r="AE346" s="455"/>
      <c r="AF346" s="455"/>
      <c r="AG346" s="455"/>
      <c r="AH346" s="455"/>
      <c r="AI346" s="455"/>
      <c r="AJ346" s="455"/>
      <c r="AK346" s="456"/>
      <c r="AL346" s="456"/>
      <c r="AM346" s="456"/>
      <c r="AN346" s="735"/>
      <c r="AO346" s="735">
        <v>201954.1</v>
      </c>
      <c r="AP346" s="456">
        <v>202852.06</v>
      </c>
      <c r="AQ346" s="456">
        <v>202487.48</v>
      </c>
      <c r="AR346" s="456">
        <v>205149.78</v>
      </c>
      <c r="AS346" s="456">
        <v>204729.64</v>
      </c>
      <c r="AT346" s="456">
        <v>203100.33</v>
      </c>
      <c r="AU346" s="456">
        <v>202950.8</v>
      </c>
      <c r="AV346" s="456">
        <v>201870.78</v>
      </c>
      <c r="AW346" s="456">
        <v>200146.25</v>
      </c>
      <c r="AX346" s="456">
        <v>200782.89</v>
      </c>
      <c r="AY346" s="456">
        <v>202879.77</v>
      </c>
      <c r="AZ346" s="456">
        <v>206469.79</v>
      </c>
      <c r="BA346" s="456">
        <v>207928.19</v>
      </c>
      <c r="BB346" s="456">
        <v>212603.54</v>
      </c>
      <c r="BC346" s="456">
        <v>1508584.52</v>
      </c>
      <c r="BD346" s="456">
        <v>213289.16</v>
      </c>
      <c r="BE346" s="456">
        <v>213751.81</v>
      </c>
      <c r="BF346" s="456">
        <v>216538.31</v>
      </c>
      <c r="BG346" s="456">
        <v>218074.6657</v>
      </c>
      <c r="BH346" s="456">
        <v>219043.36</v>
      </c>
      <c r="BI346" s="456">
        <v>223090.4</v>
      </c>
      <c r="BJ346" s="456">
        <v>223367.66</v>
      </c>
      <c r="BK346" s="456">
        <v>225079.94</v>
      </c>
      <c r="BL346" s="456">
        <v>227581.7</v>
      </c>
      <c r="BM346" s="456">
        <v>229005.91</v>
      </c>
      <c r="BN346" s="456">
        <v>231275.95</v>
      </c>
      <c r="BO346" s="456">
        <v>112.29</v>
      </c>
      <c r="BP346" s="456">
        <v>112.29</v>
      </c>
      <c r="BQ346" s="456">
        <v>112.29</v>
      </c>
      <c r="BR346" s="456">
        <v>112.29</v>
      </c>
      <c r="BS346" s="90">
        <v>0.0</v>
      </c>
      <c r="BT346" s="90"/>
    </row>
    <row r="347" ht="15.75" customHeight="1">
      <c r="A347" s="444" t="s">
        <v>98</v>
      </c>
      <c r="B347" s="445" t="s">
        <v>6340</v>
      </c>
      <c r="C347" s="506" t="s">
        <v>6342</v>
      </c>
      <c r="D347" s="446">
        <v>7438369.0</v>
      </c>
      <c r="E347" s="449" t="s">
        <v>255</v>
      </c>
      <c r="F347" s="507" t="s">
        <v>199</v>
      </c>
      <c r="G347" s="446" t="s">
        <v>2489</v>
      </c>
      <c r="H347" s="449" t="str">
        <f>IFERROR(VLOOKUP(G347,'Cadastro de assessores'!A:B,2,FALSE),"Não Cadastrado")</f>
        <v>12624</v>
      </c>
      <c r="I347" s="449"/>
      <c r="J347" s="49" t="s">
        <v>224</v>
      </c>
      <c r="K347" s="449" t="s">
        <v>2340</v>
      </c>
      <c r="L347" s="744">
        <v>44551.0</v>
      </c>
      <c r="M347" s="744">
        <v>44551.0</v>
      </c>
      <c r="N347" s="745">
        <v>44329.0</v>
      </c>
      <c r="O347" s="446" t="s">
        <v>2372</v>
      </c>
      <c r="P347" s="452">
        <v>0.025</v>
      </c>
      <c r="Q347" s="461" t="s">
        <v>6346</v>
      </c>
      <c r="R347" s="453"/>
      <c r="S347" s="449" t="str">
        <f t="shared" si="37"/>
        <v>Não Qualificado</v>
      </c>
      <c r="T347" s="449" t="s">
        <v>194</v>
      </c>
      <c r="U347" s="449" t="s">
        <v>2343</v>
      </c>
      <c r="V347" s="449" t="s">
        <v>199</v>
      </c>
      <c r="W347" s="455"/>
      <c r="X347" s="455"/>
      <c r="Y347" s="455"/>
      <c r="Z347" s="455"/>
      <c r="AA347" s="455"/>
      <c r="AB347" s="455"/>
      <c r="AC347" s="455"/>
      <c r="AD347" s="455"/>
      <c r="AE347" s="455"/>
      <c r="AF347" s="455"/>
      <c r="AG347" s="455"/>
      <c r="AH347" s="455"/>
      <c r="AI347" s="455"/>
      <c r="AJ347" s="455"/>
      <c r="AK347" s="456"/>
      <c r="AL347" s="456"/>
      <c r="AM347" s="456"/>
      <c r="AN347" s="456"/>
      <c r="AO347" s="456"/>
      <c r="AP347" s="456"/>
      <c r="AQ347" s="456"/>
      <c r="AR347" s="456"/>
      <c r="AS347" s="456"/>
      <c r="AT347" s="456"/>
      <c r="AU347" s="456"/>
      <c r="AV347" s="456"/>
      <c r="AW347" s="456"/>
      <c r="AX347" s="454"/>
      <c r="AY347" s="454"/>
      <c r="AZ347" s="455"/>
      <c r="BA347" s="455">
        <v>0.0</v>
      </c>
      <c r="BB347" s="455">
        <v>30467.31</v>
      </c>
      <c r="BC347" s="455">
        <v>156168.97</v>
      </c>
      <c r="BD347" s="456" t="s">
        <v>377</v>
      </c>
      <c r="BE347" s="456" t="s">
        <v>377</v>
      </c>
      <c r="BF347" s="456">
        <v>0.0</v>
      </c>
      <c r="BG347" s="456">
        <v>0.0</v>
      </c>
      <c r="BH347" s="456">
        <v>0.0</v>
      </c>
      <c r="BI347" s="456">
        <v>0.0</v>
      </c>
      <c r="BJ347" s="456">
        <v>0.0</v>
      </c>
      <c r="BK347" s="456">
        <v>0.0</v>
      </c>
      <c r="BL347" s="456">
        <v>0.0</v>
      </c>
      <c r="BM347" s="456">
        <v>0.0</v>
      </c>
      <c r="BN347" s="456">
        <v>0.0</v>
      </c>
      <c r="BO347" s="456">
        <v>0.0</v>
      </c>
      <c r="BP347" s="456">
        <v>0.0</v>
      </c>
      <c r="BQ347" s="456">
        <v>0.0</v>
      </c>
      <c r="BR347" s="456">
        <v>0.0</v>
      </c>
      <c r="BS347" s="90" t="s">
        <v>268</v>
      </c>
      <c r="BT347" s="90"/>
    </row>
    <row r="348" ht="15.75" customHeight="1">
      <c r="A348" s="444" t="s">
        <v>98</v>
      </c>
      <c r="B348" s="445" t="s">
        <v>6340</v>
      </c>
      <c r="C348" s="506" t="s">
        <v>6342</v>
      </c>
      <c r="D348" s="446">
        <v>7542389.0</v>
      </c>
      <c r="E348" s="449" t="s">
        <v>255</v>
      </c>
      <c r="F348" s="507" t="s">
        <v>199</v>
      </c>
      <c r="G348" s="446" t="s">
        <v>2489</v>
      </c>
      <c r="H348" s="449" t="str">
        <f>IFERROR(VLOOKUP(G348,'Cadastro de assessores'!A:B,2,FALSE),"Não Cadastrado")</f>
        <v>12624</v>
      </c>
      <c r="I348" s="449"/>
      <c r="J348" s="49" t="s">
        <v>224</v>
      </c>
      <c r="K348" s="449" t="s">
        <v>2340</v>
      </c>
      <c r="L348" s="508">
        <v>44579.0</v>
      </c>
      <c r="M348" s="508">
        <v>44579.0</v>
      </c>
      <c r="N348" s="508">
        <v>44694.0</v>
      </c>
      <c r="O348" s="446" t="s">
        <v>2356</v>
      </c>
      <c r="P348" s="452">
        <v>0.007</v>
      </c>
      <c r="Q348" s="461" t="s">
        <v>6346</v>
      </c>
      <c r="R348" s="453"/>
      <c r="S348" s="449" t="str">
        <f t="shared" si="37"/>
        <v>Não Qualificado</v>
      </c>
      <c r="T348" s="449" t="s">
        <v>194</v>
      </c>
      <c r="U348" s="449" t="s">
        <v>2343</v>
      </c>
      <c r="V348" s="449" t="s">
        <v>199</v>
      </c>
      <c r="W348" s="455"/>
      <c r="X348" s="455"/>
      <c r="Y348" s="455"/>
      <c r="Z348" s="455"/>
      <c r="AA348" s="455"/>
      <c r="AB348" s="455"/>
      <c r="AC348" s="455"/>
      <c r="AD348" s="455"/>
      <c r="AE348" s="455"/>
      <c r="AF348" s="455"/>
      <c r="AG348" s="455"/>
      <c r="AH348" s="455"/>
      <c r="AI348" s="455"/>
      <c r="AJ348" s="455"/>
      <c r="AK348" s="456"/>
      <c r="AL348" s="456"/>
      <c r="AM348" s="456"/>
      <c r="AN348" s="456"/>
      <c r="AO348" s="456"/>
      <c r="AP348" s="456"/>
      <c r="AQ348" s="456"/>
      <c r="AR348" s="456"/>
      <c r="AS348" s="456"/>
      <c r="AT348" s="456"/>
      <c r="AU348" s="456"/>
      <c r="AV348" s="456"/>
      <c r="AW348" s="456"/>
      <c r="AX348" s="454"/>
      <c r="AY348" s="454"/>
      <c r="AZ348" s="538">
        <v>119497.48</v>
      </c>
      <c r="BA348" s="538">
        <v>133883.44</v>
      </c>
      <c r="BB348" s="538">
        <v>133883.94</v>
      </c>
      <c r="BC348" s="538">
        <v>830803.48</v>
      </c>
      <c r="BD348" s="456" t="s">
        <v>377</v>
      </c>
      <c r="BE348" s="456" t="s">
        <v>377</v>
      </c>
      <c r="BF348" s="456">
        <v>0.0</v>
      </c>
      <c r="BG348" s="456">
        <v>0.0</v>
      </c>
      <c r="BH348" s="456">
        <v>0.0</v>
      </c>
      <c r="BI348" s="456">
        <v>0.0</v>
      </c>
      <c r="BJ348" s="456">
        <v>0.0</v>
      </c>
      <c r="BK348" s="456">
        <v>0.0</v>
      </c>
      <c r="BL348" s="456">
        <v>0.0</v>
      </c>
      <c r="BM348" s="456">
        <v>0.0</v>
      </c>
      <c r="BN348" s="456">
        <v>0.0</v>
      </c>
      <c r="BO348" s="456">
        <v>0.0</v>
      </c>
      <c r="BP348" s="456">
        <v>0.0</v>
      </c>
      <c r="BQ348" s="456">
        <v>0.0</v>
      </c>
      <c r="BR348" s="456">
        <v>0.0</v>
      </c>
      <c r="BS348" s="90" t="s">
        <v>268</v>
      </c>
      <c r="BT348" s="90"/>
    </row>
    <row r="349" ht="15.75" customHeight="1">
      <c r="A349" s="444" t="s">
        <v>98</v>
      </c>
      <c r="B349" s="445" t="s">
        <v>6357</v>
      </c>
      <c r="C349" s="458" t="s">
        <v>6358</v>
      </c>
      <c r="D349" s="449">
        <v>4455201.0</v>
      </c>
      <c r="E349" s="449" t="s">
        <v>255</v>
      </c>
      <c r="F349" s="449" t="s">
        <v>199</v>
      </c>
      <c r="G349" s="449" t="s">
        <v>3606</v>
      </c>
      <c r="H349" s="449" t="str">
        <f>IFERROR(VLOOKUP(G349,'Cadastro de assessores'!A:B,2,FALSE),"Não Cadastrado")</f>
        <v>16459</v>
      </c>
      <c r="I349" s="449"/>
      <c r="J349" s="49" t="s">
        <v>224</v>
      </c>
      <c r="K349" s="449" t="s">
        <v>2340</v>
      </c>
      <c r="L349" s="460">
        <v>44097.0</v>
      </c>
      <c r="M349" s="460">
        <v>44097.0</v>
      </c>
      <c r="N349" s="460">
        <v>44210.0</v>
      </c>
      <c r="O349" s="449" t="s">
        <v>2319</v>
      </c>
      <c r="P349" s="452">
        <v>0.02</v>
      </c>
      <c r="Q349" s="461" t="s">
        <v>6361</v>
      </c>
      <c r="R349" s="453"/>
      <c r="S349" s="449" t="str">
        <f t="shared" si="37"/>
        <v/>
      </c>
      <c r="T349" s="449" t="s">
        <v>194</v>
      </c>
      <c r="U349" s="449" t="s">
        <v>2383</v>
      </c>
      <c r="V349" s="449" t="s">
        <v>199</v>
      </c>
      <c r="W349" s="455" t="s">
        <v>2344</v>
      </c>
      <c r="X349" s="455" t="s">
        <v>2344</v>
      </c>
      <c r="Y349" s="455" t="s">
        <v>2344</v>
      </c>
      <c r="Z349" s="455" t="s">
        <v>2344</v>
      </c>
      <c r="AA349" s="455" t="s">
        <v>2344</v>
      </c>
      <c r="AB349" s="455" t="s">
        <v>2344</v>
      </c>
      <c r="AC349" s="455" t="s">
        <v>2344</v>
      </c>
      <c r="AD349" s="455" t="s">
        <v>2344</v>
      </c>
      <c r="AE349" s="455" t="s">
        <v>2344</v>
      </c>
      <c r="AF349" s="455" t="s">
        <v>2344</v>
      </c>
      <c r="AG349" s="455" t="s">
        <v>2344</v>
      </c>
      <c r="AH349" s="455" t="s">
        <v>6362</v>
      </c>
      <c r="AI349" s="455" t="s">
        <v>6363</v>
      </c>
      <c r="AJ349" s="455" t="s">
        <v>6364</v>
      </c>
      <c r="AK349" s="456">
        <v>774604.53</v>
      </c>
      <c r="AL349" s="456">
        <v>753280.3</v>
      </c>
      <c r="AM349" s="456">
        <v>690327.24</v>
      </c>
      <c r="AN349" s="456">
        <v>685623.34</v>
      </c>
      <c r="AO349" s="456">
        <v>713304.58</v>
      </c>
      <c r="AP349" s="456">
        <v>718059.13</v>
      </c>
      <c r="AQ349" s="456">
        <v>714527.22</v>
      </c>
      <c r="AR349" s="456">
        <v>735509.98</v>
      </c>
      <c r="AS349" s="456">
        <v>728065.06</v>
      </c>
      <c r="AT349" s="456">
        <v>705050.81</v>
      </c>
      <c r="AU349" s="456">
        <v>693189.9</v>
      </c>
      <c r="AV349" s="456">
        <v>677689.93</v>
      </c>
      <c r="AW349" s="456">
        <v>635151.74</v>
      </c>
      <c r="AX349" s="456">
        <v>633391.68</v>
      </c>
      <c r="AY349" s="456">
        <v>643145.08</v>
      </c>
      <c r="AZ349" s="456"/>
      <c r="BA349" s="456">
        <v>0.0</v>
      </c>
      <c r="BB349" s="456">
        <v>0.0</v>
      </c>
      <c r="BC349" s="456">
        <v>0.0</v>
      </c>
      <c r="BD349" s="456" t="s">
        <v>377</v>
      </c>
      <c r="BE349" s="456" t="s">
        <v>377</v>
      </c>
      <c r="BF349" s="456">
        <v>0.0</v>
      </c>
      <c r="BG349" s="456">
        <v>0.0</v>
      </c>
      <c r="BH349" s="456">
        <v>0.0</v>
      </c>
      <c r="BI349" s="456">
        <v>0.0</v>
      </c>
      <c r="BJ349" s="456">
        <v>0.0</v>
      </c>
      <c r="BK349" s="456">
        <v>0.0</v>
      </c>
      <c r="BL349" s="456">
        <v>0.0</v>
      </c>
      <c r="BM349" s="456">
        <v>0.0</v>
      </c>
      <c r="BN349" s="456">
        <v>0.0</v>
      </c>
      <c r="BO349" s="456">
        <v>0.0</v>
      </c>
      <c r="BP349" s="456">
        <v>0.0</v>
      </c>
      <c r="BQ349" s="456">
        <v>0.0</v>
      </c>
      <c r="BR349" s="456">
        <v>0.0</v>
      </c>
      <c r="BS349" s="90" t="s">
        <v>268</v>
      </c>
      <c r="BT349" s="90"/>
    </row>
    <row r="350" ht="15.75" customHeight="1">
      <c r="A350" s="444" t="s">
        <v>98</v>
      </c>
      <c r="B350" s="445" t="s">
        <v>6368</v>
      </c>
      <c r="C350" s="468" t="s">
        <v>6369</v>
      </c>
      <c r="D350" s="446">
        <v>8598875.0</v>
      </c>
      <c r="E350" s="447" t="s">
        <v>120</v>
      </c>
      <c r="F350" s="447" t="s">
        <v>199</v>
      </c>
      <c r="G350" s="446" t="s">
        <v>628</v>
      </c>
      <c r="H350" s="448" t="str">
        <f>IFERROR(VLOOKUP(G350,'Cadastro de assessores'!A:B,2,FALSE),"Não Cadastrado")</f>
        <v>14739</v>
      </c>
      <c r="I350" s="448"/>
      <c r="J350" s="49" t="s">
        <v>2318</v>
      </c>
      <c r="K350" s="447" t="s">
        <v>183</v>
      </c>
      <c r="L350" s="470">
        <v>44699.0</v>
      </c>
      <c r="M350" s="470">
        <v>44708.0</v>
      </c>
      <c r="N350" s="446"/>
      <c r="O350" s="446" t="s">
        <v>3721</v>
      </c>
      <c r="P350" s="452">
        <v>0.02</v>
      </c>
      <c r="Q350" s="461" t="s">
        <v>6370</v>
      </c>
      <c r="R350" s="453"/>
      <c r="S350" s="449" t="str">
        <f t="shared" si="37"/>
        <v/>
      </c>
      <c r="T350" s="449" t="s">
        <v>194</v>
      </c>
      <c r="U350" s="446" t="s">
        <v>4901</v>
      </c>
      <c r="V350" s="449" t="s">
        <v>618</v>
      </c>
      <c r="W350" s="454"/>
      <c r="X350" s="454"/>
      <c r="Y350" s="454"/>
      <c r="Z350" s="454"/>
      <c r="AA350" s="454"/>
      <c r="AB350" s="454"/>
      <c r="AC350" s="454"/>
      <c r="AD350" s="454"/>
      <c r="AE350" s="454"/>
      <c r="AF350" s="454"/>
      <c r="AG350" s="454"/>
      <c r="AH350" s="454"/>
      <c r="AI350" s="455"/>
      <c r="AJ350" s="456"/>
      <c r="AK350" s="456"/>
      <c r="AL350" s="456"/>
      <c r="AM350" s="456"/>
      <c r="AN350" s="456"/>
      <c r="AO350" s="456"/>
      <c r="AP350" s="456"/>
      <c r="AQ350" s="456"/>
      <c r="AR350" s="456"/>
      <c r="AS350" s="456"/>
      <c r="AT350" s="456"/>
      <c r="AU350" s="454"/>
      <c r="AV350" s="456"/>
      <c r="AW350" s="456"/>
      <c r="AX350" s="456"/>
      <c r="AY350" s="456"/>
      <c r="AZ350" s="456"/>
      <c r="BA350" s="456"/>
      <c r="BB350" s="456"/>
      <c r="BC350" s="456">
        <v>0.0</v>
      </c>
      <c r="BD350" s="456" t="s">
        <v>377</v>
      </c>
      <c r="BE350" s="456">
        <v>138554.7</v>
      </c>
      <c r="BF350" s="456">
        <v>147423.68</v>
      </c>
      <c r="BG350" s="456">
        <v>155945.14</v>
      </c>
      <c r="BH350" s="456">
        <v>150354.77</v>
      </c>
      <c r="BI350" s="456">
        <v>167228.41</v>
      </c>
      <c r="BJ350" s="456">
        <v>216429.48</v>
      </c>
      <c r="BK350" s="456">
        <v>209762.99</v>
      </c>
      <c r="BL350" s="456">
        <v>214537.92</v>
      </c>
      <c r="BM350" s="456">
        <v>201086.56</v>
      </c>
      <c r="BN350" s="456">
        <v>7056.78</v>
      </c>
      <c r="BO350" s="456">
        <v>7461.18</v>
      </c>
      <c r="BP350" s="456">
        <v>0.0</v>
      </c>
      <c r="BQ350" s="456">
        <v>0.0</v>
      </c>
      <c r="BR350" s="456">
        <v>0.0</v>
      </c>
      <c r="BS350" s="90">
        <v>0.0</v>
      </c>
      <c r="BT350" s="90"/>
    </row>
    <row r="351" ht="15.75" customHeight="1">
      <c r="A351" s="444" t="s">
        <v>98</v>
      </c>
      <c r="B351" s="445" t="s">
        <v>6368</v>
      </c>
      <c r="C351" s="468" t="s">
        <v>6369</v>
      </c>
      <c r="D351" s="446">
        <v>8524764.0</v>
      </c>
      <c r="E351" s="447" t="s">
        <v>120</v>
      </c>
      <c r="F351" s="447" t="s">
        <v>199</v>
      </c>
      <c r="G351" s="446" t="s">
        <v>628</v>
      </c>
      <c r="H351" s="448" t="str">
        <f>IFERROR(VLOOKUP(G351,'Cadastro de assessores'!A:B,2,FALSE),"Não Cadastrado")</f>
        <v>14739</v>
      </c>
      <c r="I351" s="448"/>
      <c r="J351" s="49" t="s">
        <v>2318</v>
      </c>
      <c r="K351" s="447" t="s">
        <v>183</v>
      </c>
      <c r="L351" s="470">
        <v>44691.0</v>
      </c>
      <c r="M351" s="470">
        <v>44698.0</v>
      </c>
      <c r="N351" s="446"/>
      <c r="O351" s="446" t="s">
        <v>2372</v>
      </c>
      <c r="P351" s="452">
        <v>0.025</v>
      </c>
      <c r="Q351" s="461" t="s">
        <v>6370</v>
      </c>
      <c r="R351" s="453"/>
      <c r="S351" s="449" t="str">
        <f t="shared" si="37"/>
        <v>Qualificado</v>
      </c>
      <c r="T351" s="449" t="s">
        <v>194</v>
      </c>
      <c r="U351" s="446" t="s">
        <v>4901</v>
      </c>
      <c r="V351" s="446" t="s">
        <v>618</v>
      </c>
      <c r="W351" s="454"/>
      <c r="X351" s="454"/>
      <c r="Y351" s="454"/>
      <c r="Z351" s="454"/>
      <c r="AA351" s="454"/>
      <c r="AB351" s="454"/>
      <c r="AC351" s="454"/>
      <c r="AD351" s="454"/>
      <c r="AE351" s="454"/>
      <c r="AF351" s="454"/>
      <c r="AG351" s="454"/>
      <c r="AH351" s="454"/>
      <c r="AI351" s="455"/>
      <c r="AJ351" s="456"/>
      <c r="AK351" s="456"/>
      <c r="AL351" s="456"/>
      <c r="AM351" s="735"/>
      <c r="AN351" s="735"/>
      <c r="AO351" s="456"/>
      <c r="AP351" s="456"/>
      <c r="AQ351" s="456"/>
      <c r="AR351" s="454"/>
      <c r="AS351" s="456"/>
      <c r="AT351" s="456"/>
      <c r="AU351" s="456"/>
      <c r="AV351" s="456"/>
      <c r="AW351" s="456"/>
      <c r="AX351" s="456"/>
      <c r="AY351" s="456"/>
      <c r="AZ351" s="456"/>
      <c r="BA351" s="456"/>
      <c r="BB351" s="456"/>
      <c r="BC351" s="456">
        <v>1119603.89</v>
      </c>
      <c r="BD351" s="456">
        <v>237952.74</v>
      </c>
      <c r="BE351" s="456">
        <v>227591.61</v>
      </c>
      <c r="BF351" s="456">
        <v>235897.35</v>
      </c>
      <c r="BG351" s="456">
        <v>238028.04</v>
      </c>
      <c r="BH351" s="456">
        <v>237712.06</v>
      </c>
      <c r="BI351" s="456">
        <v>263197.54</v>
      </c>
      <c r="BJ351" s="456">
        <v>380180.74</v>
      </c>
      <c r="BK351" s="456">
        <v>378507.95</v>
      </c>
      <c r="BL351" s="456">
        <v>382409.58</v>
      </c>
      <c r="BM351" s="456">
        <v>368144.81</v>
      </c>
      <c r="BN351" s="456">
        <v>26433.7</v>
      </c>
      <c r="BO351" s="456">
        <v>23206.02</v>
      </c>
      <c r="BP351" s="456">
        <v>0.0</v>
      </c>
      <c r="BQ351" s="456">
        <v>0.0</v>
      </c>
      <c r="BR351" s="456">
        <v>0.0</v>
      </c>
      <c r="BS351" s="90">
        <v>0.0</v>
      </c>
      <c r="BT351" s="90"/>
    </row>
    <row r="352" ht="15.75" customHeight="1">
      <c r="A352" s="444" t="s">
        <v>98</v>
      </c>
      <c r="B352" s="445" t="s">
        <v>6378</v>
      </c>
      <c r="C352" s="746" t="s">
        <v>6380</v>
      </c>
      <c r="D352" s="747">
        <v>5686058.0</v>
      </c>
      <c r="E352" s="449" t="s">
        <v>120</v>
      </c>
      <c r="F352" s="507" t="s">
        <v>199</v>
      </c>
      <c r="G352" s="507" t="s">
        <v>4786</v>
      </c>
      <c r="H352" s="507" t="str">
        <f>IFERROR(VLOOKUP(G352,'Cadastro de assessores'!A:B,2,FALSE),"Não Cadastrado")</f>
        <v>16130</v>
      </c>
      <c r="I352" s="507"/>
      <c r="J352" s="49" t="s">
        <v>224</v>
      </c>
      <c r="K352" s="449" t="s">
        <v>2340</v>
      </c>
      <c r="L352" s="460">
        <v>44370.0</v>
      </c>
      <c r="M352" s="460">
        <v>44370.0</v>
      </c>
      <c r="N352" s="460">
        <v>44768.0</v>
      </c>
      <c r="O352" s="449" t="s">
        <v>2356</v>
      </c>
      <c r="P352" s="452">
        <v>0.007</v>
      </c>
      <c r="Q352" s="461" t="s">
        <v>6387</v>
      </c>
      <c r="R352" s="453"/>
      <c r="S352" s="449" t="str">
        <f t="shared" si="37"/>
        <v>Não Qualificado</v>
      </c>
      <c r="T352" s="449" t="s">
        <v>194</v>
      </c>
      <c r="U352" s="446" t="s">
        <v>2417</v>
      </c>
      <c r="V352" s="446" t="s">
        <v>199</v>
      </c>
      <c r="W352" s="454"/>
      <c r="X352" s="454"/>
      <c r="Y352" s="454"/>
      <c r="Z352" s="454"/>
      <c r="AA352" s="454"/>
      <c r="AB352" s="454"/>
      <c r="AC352" s="454"/>
      <c r="AD352" s="454"/>
      <c r="AE352" s="454"/>
      <c r="AF352" s="454"/>
      <c r="AG352" s="454"/>
      <c r="AH352" s="454"/>
      <c r="AI352" s="455"/>
      <c r="AJ352" s="456"/>
      <c r="AK352" s="456"/>
      <c r="AL352" s="456"/>
      <c r="AM352" s="456"/>
      <c r="AN352" s="456"/>
      <c r="AO352" s="456"/>
      <c r="AP352" s="456"/>
      <c r="AQ352" s="456"/>
      <c r="AR352" s="454"/>
      <c r="AS352" s="456">
        <v>99246.78</v>
      </c>
      <c r="AT352" s="456">
        <v>97305.05</v>
      </c>
      <c r="AU352" s="456">
        <v>96614.96</v>
      </c>
      <c r="AV352" s="456">
        <v>94951.89</v>
      </c>
      <c r="AW352" s="456">
        <v>95565.96</v>
      </c>
      <c r="AX352" s="456">
        <v>96304.6</v>
      </c>
      <c r="AY352" s="456">
        <v>117165.5</v>
      </c>
      <c r="AZ352" s="456">
        <v>118168.01</v>
      </c>
      <c r="BA352" s="456">
        <v>139079.83</v>
      </c>
      <c r="BB352" s="456">
        <v>284735.23</v>
      </c>
      <c r="BC352" s="456">
        <v>531842.69</v>
      </c>
      <c r="BD352" s="456">
        <v>548401.83</v>
      </c>
      <c r="BE352" s="456">
        <v>648875.89</v>
      </c>
      <c r="BF352" s="456">
        <v>0.0</v>
      </c>
      <c r="BG352" s="456">
        <v>0.0</v>
      </c>
      <c r="BH352" s="456">
        <v>0.0</v>
      </c>
      <c r="BI352" s="456">
        <v>0.0</v>
      </c>
      <c r="BJ352" s="456">
        <v>0.0</v>
      </c>
      <c r="BK352" s="456">
        <v>0.0</v>
      </c>
      <c r="BL352" s="456">
        <v>0.0</v>
      </c>
      <c r="BM352" s="456">
        <v>0.0</v>
      </c>
      <c r="BN352" s="456">
        <v>0.0</v>
      </c>
      <c r="BO352" s="456">
        <v>0.0</v>
      </c>
      <c r="BP352" s="456">
        <v>0.0</v>
      </c>
      <c r="BQ352" s="456">
        <v>0.0</v>
      </c>
      <c r="BR352" s="456">
        <v>0.0</v>
      </c>
      <c r="BS352" s="90" t="s">
        <v>268</v>
      </c>
      <c r="BT352" s="90"/>
    </row>
    <row r="353" ht="15.75" customHeight="1">
      <c r="A353" s="444" t="s">
        <v>98</v>
      </c>
      <c r="B353" s="445" t="s">
        <v>6389</v>
      </c>
      <c r="C353" s="458" t="s">
        <v>6390</v>
      </c>
      <c r="D353" s="449">
        <v>4899222.0</v>
      </c>
      <c r="E353" s="447" t="s">
        <v>120</v>
      </c>
      <c r="F353" s="447" t="s">
        <v>54</v>
      </c>
      <c r="G353" s="447" t="s">
        <v>1393</v>
      </c>
      <c r="H353" s="448" t="str">
        <f>IFERROR(VLOOKUP(G353,'Cadastro de assessores'!A:B,2,FALSE),"Não Cadastrado")</f>
        <v>17831</v>
      </c>
      <c r="I353" s="448"/>
      <c r="J353" s="74" t="s">
        <v>183</v>
      </c>
      <c r="K353" s="447" t="s">
        <v>183</v>
      </c>
      <c r="L353" s="470">
        <v>44714.0</v>
      </c>
      <c r="M353" s="470">
        <v>44714.0</v>
      </c>
      <c r="N353" s="446"/>
      <c r="O353" s="446" t="s">
        <v>2372</v>
      </c>
      <c r="P353" s="452">
        <v>0.025</v>
      </c>
      <c r="Q353" s="461" t="s">
        <v>6392</v>
      </c>
      <c r="R353" s="453"/>
      <c r="S353" s="449" t="str">
        <f t="shared" si="37"/>
        <v/>
      </c>
      <c r="T353" s="449" t="s">
        <v>194</v>
      </c>
      <c r="U353" s="449" t="s">
        <v>2438</v>
      </c>
      <c r="V353" s="449" t="s">
        <v>54</v>
      </c>
      <c r="W353" s="455"/>
      <c r="X353" s="455"/>
      <c r="Y353" s="455"/>
      <c r="Z353" s="455"/>
      <c r="AA353" s="455"/>
      <c r="AB353" s="455"/>
      <c r="AC353" s="455"/>
      <c r="AD353" s="455"/>
      <c r="AE353" s="455"/>
      <c r="AF353" s="455"/>
      <c r="AG353" s="455"/>
      <c r="AH353" s="455"/>
      <c r="AI353" s="455"/>
      <c r="AJ353" s="455"/>
      <c r="AK353" s="456"/>
      <c r="AL353" s="456"/>
      <c r="AM353" s="456"/>
      <c r="AN353" s="735"/>
      <c r="AO353" s="735"/>
      <c r="AP353" s="456"/>
      <c r="AQ353" s="456"/>
      <c r="AR353" s="456"/>
      <c r="AS353" s="456"/>
      <c r="AT353" s="456"/>
      <c r="AU353" s="456"/>
      <c r="AV353" s="456"/>
      <c r="AW353" s="456"/>
      <c r="AX353" s="456"/>
      <c r="AY353" s="456"/>
      <c r="AZ353" s="456"/>
      <c r="BA353" s="456"/>
      <c r="BB353" s="456"/>
      <c r="BC353" s="456"/>
      <c r="BD353" s="456">
        <v>646194.66</v>
      </c>
      <c r="BE353" s="456">
        <v>843079.98</v>
      </c>
      <c r="BF353" s="456">
        <v>478004.06</v>
      </c>
      <c r="BG353" s="456">
        <v>792260.4245</v>
      </c>
      <c r="BH353" s="456">
        <v>694471.53</v>
      </c>
      <c r="BI353" s="456">
        <v>509495.87</v>
      </c>
      <c r="BJ353" s="456">
        <v>380167.11</v>
      </c>
      <c r="BK353" s="456">
        <v>2630.27</v>
      </c>
      <c r="BL353" s="456">
        <v>1979.16</v>
      </c>
      <c r="BM353" s="456">
        <v>1993.5</v>
      </c>
      <c r="BN353" s="456">
        <v>175.05</v>
      </c>
      <c r="BO353" s="456">
        <v>1891.45</v>
      </c>
      <c r="BP353" s="456">
        <v>1903.3</v>
      </c>
      <c r="BQ353" s="456">
        <v>1916.92</v>
      </c>
      <c r="BR353" s="456">
        <v>1927.39</v>
      </c>
      <c r="BS353" s="90">
        <v>2841.49</v>
      </c>
      <c r="BT353" s="90"/>
    </row>
    <row r="354" ht="15.75" customHeight="1">
      <c r="A354" s="444" t="s">
        <v>98</v>
      </c>
      <c r="B354" s="445" t="s">
        <v>6398</v>
      </c>
      <c r="C354" s="458" t="s">
        <v>5495</v>
      </c>
      <c r="D354" s="449">
        <v>4402972.0</v>
      </c>
      <c r="E354" s="447" t="s">
        <v>669</v>
      </c>
      <c r="F354" s="447" t="s">
        <v>199</v>
      </c>
      <c r="G354" s="447" t="s">
        <v>669</v>
      </c>
      <c r="H354" s="447" t="str">
        <f>IFERROR(VLOOKUP(G354,'Cadastro de assessores'!A:B,2,FALSE),"Não Cadastrado")</f>
        <v>18986</v>
      </c>
      <c r="I354" s="447"/>
      <c r="J354" s="49" t="s">
        <v>2318</v>
      </c>
      <c r="K354" s="449" t="s">
        <v>295</v>
      </c>
      <c r="L354" s="450">
        <v>44063.0</v>
      </c>
      <c r="M354" s="450">
        <v>44068.0</v>
      </c>
      <c r="N354" s="449"/>
      <c r="O354" s="449" t="s">
        <v>2341</v>
      </c>
      <c r="P354" s="452">
        <v>0.015</v>
      </c>
      <c r="Q354" s="461"/>
      <c r="R354" s="453"/>
      <c r="S354" s="449" t="str">
        <f t="shared" si="37"/>
        <v>Não Qualificado</v>
      </c>
      <c r="T354" s="449" t="s">
        <v>194</v>
      </c>
      <c r="U354" s="449" t="s">
        <v>2571</v>
      </c>
      <c r="V354" s="449" t="s">
        <v>199</v>
      </c>
      <c r="W354" s="455" t="s">
        <v>2344</v>
      </c>
      <c r="X354" s="455" t="s">
        <v>2344</v>
      </c>
      <c r="Y354" s="455" t="s">
        <v>2344</v>
      </c>
      <c r="Z354" s="455" t="s">
        <v>2344</v>
      </c>
      <c r="AA354" s="455" t="s">
        <v>2344</v>
      </c>
      <c r="AB354" s="455" t="s">
        <v>2344</v>
      </c>
      <c r="AC354" s="455" t="s">
        <v>2344</v>
      </c>
      <c r="AD354" s="455" t="s">
        <v>2344</v>
      </c>
      <c r="AE354" s="455" t="s">
        <v>2344</v>
      </c>
      <c r="AF354" s="455" t="s">
        <v>2344</v>
      </c>
      <c r="AG354" s="455" t="s">
        <v>6401</v>
      </c>
      <c r="AH354" s="455" t="s">
        <v>6402</v>
      </c>
      <c r="AI354" s="455" t="s">
        <v>6403</v>
      </c>
      <c r="AJ354" s="455" t="s">
        <v>6405</v>
      </c>
      <c r="AK354" s="456">
        <v>94454.37</v>
      </c>
      <c r="AL354" s="456">
        <v>73479.28</v>
      </c>
      <c r="AM354" s="456">
        <v>1298.32</v>
      </c>
      <c r="AN354" s="735">
        <v>1226.15</v>
      </c>
      <c r="AO354" s="735">
        <v>1226.47</v>
      </c>
      <c r="AP354" s="456">
        <v>1225.36</v>
      </c>
      <c r="AQ354" s="456">
        <v>1225.08</v>
      </c>
      <c r="AR354" s="456">
        <v>324.06</v>
      </c>
      <c r="AS354" s="456">
        <v>323.64</v>
      </c>
      <c r="AT354" s="456">
        <v>323.2</v>
      </c>
      <c r="AU354" s="456">
        <v>322.76</v>
      </c>
      <c r="AV354" s="456">
        <v>283.84</v>
      </c>
      <c r="AW354" s="456"/>
      <c r="AX354" s="456">
        <v>0.06</v>
      </c>
      <c r="AY354" s="456">
        <v>0.06</v>
      </c>
      <c r="AZ354" s="456">
        <v>0.06</v>
      </c>
      <c r="BA354" s="456">
        <v>0.06</v>
      </c>
      <c r="BB354" s="456">
        <v>0.06</v>
      </c>
      <c r="BC354" s="456">
        <v>105027.9</v>
      </c>
      <c r="BD354" s="456">
        <v>0.06</v>
      </c>
      <c r="BE354" s="456" t="s">
        <v>377</v>
      </c>
      <c r="BF354" s="456">
        <v>0.06</v>
      </c>
      <c r="BG354" s="456">
        <v>0.06</v>
      </c>
      <c r="BH354" s="456">
        <v>0.06</v>
      </c>
      <c r="BI354" s="456">
        <v>0.06</v>
      </c>
      <c r="BJ354" s="456">
        <v>0.06</v>
      </c>
      <c r="BK354" s="456">
        <v>0.06</v>
      </c>
      <c r="BL354" s="456">
        <v>0.06</v>
      </c>
      <c r="BM354" s="456">
        <v>0.06</v>
      </c>
      <c r="BN354" s="456">
        <v>0.06</v>
      </c>
      <c r="BO354" s="456">
        <v>0.06</v>
      </c>
      <c r="BP354" s="456">
        <v>0.06</v>
      </c>
      <c r="BQ354" s="456">
        <v>0.06</v>
      </c>
      <c r="BR354" s="456">
        <v>0.06</v>
      </c>
      <c r="BS354" s="90">
        <v>0.0</v>
      </c>
      <c r="BT354" s="90"/>
    </row>
    <row r="355" ht="15.75" customHeight="1">
      <c r="A355" s="444" t="s">
        <v>98</v>
      </c>
      <c r="B355" s="445" t="s">
        <v>6412</v>
      </c>
      <c r="C355" s="458" t="s">
        <v>6413</v>
      </c>
      <c r="D355" s="449">
        <v>4681835.0</v>
      </c>
      <c r="E355" s="449" t="s">
        <v>255</v>
      </c>
      <c r="F355" s="449" t="s">
        <v>199</v>
      </c>
      <c r="G355" s="449" t="s">
        <v>3606</v>
      </c>
      <c r="H355" s="449" t="str">
        <f>IFERROR(VLOOKUP(G355,'Cadastro de assessores'!A:B,2,FALSE),"Não Cadastrado")</f>
        <v>16459</v>
      </c>
      <c r="I355" s="449"/>
      <c r="J355" s="49" t="s">
        <v>224</v>
      </c>
      <c r="K355" s="449" t="s">
        <v>2340</v>
      </c>
      <c r="L355" s="460">
        <v>44204.0</v>
      </c>
      <c r="M355" s="460">
        <v>44204.0</v>
      </c>
      <c r="N355" s="460">
        <v>44713.0</v>
      </c>
      <c r="O355" s="449" t="s">
        <v>2319</v>
      </c>
      <c r="P355" s="452">
        <v>0.02</v>
      </c>
      <c r="Q355" s="461" t="s">
        <v>6414</v>
      </c>
      <c r="R355" s="453"/>
      <c r="S355" s="449" t="str">
        <f t="shared" si="37"/>
        <v>Não Qualificado</v>
      </c>
      <c r="T355" s="449" t="s">
        <v>194</v>
      </c>
      <c r="U355" s="449" t="s">
        <v>2343</v>
      </c>
      <c r="V355" s="449" t="s">
        <v>199</v>
      </c>
      <c r="W355" s="455"/>
      <c r="X355" s="455"/>
      <c r="Y355" s="455"/>
      <c r="Z355" s="455"/>
      <c r="AA355" s="455"/>
      <c r="AB355" s="455"/>
      <c r="AC355" s="455"/>
      <c r="AD355" s="455"/>
      <c r="AE355" s="455"/>
      <c r="AF355" s="455"/>
      <c r="AG355" s="455"/>
      <c r="AH355" s="455"/>
      <c r="AI355" s="455"/>
      <c r="AJ355" s="455"/>
      <c r="AK355" s="456"/>
      <c r="AL355" s="456">
        <v>96179.17</v>
      </c>
      <c r="AM355" s="456">
        <v>92407.43</v>
      </c>
      <c r="AN355" s="456">
        <v>92371.06</v>
      </c>
      <c r="AO355" s="456">
        <v>96514.89</v>
      </c>
      <c r="AP355" s="456">
        <v>97322.08</v>
      </c>
      <c r="AQ355" s="456">
        <v>96720.15</v>
      </c>
      <c r="AR355" s="456">
        <v>100081.11</v>
      </c>
      <c r="AS355" s="456">
        <v>98711.22</v>
      </c>
      <c r="AT355" s="456">
        <v>95561.7</v>
      </c>
      <c r="AU355" s="456">
        <v>94461.34</v>
      </c>
      <c r="AV355" s="456">
        <v>91168.91</v>
      </c>
      <c r="AW355" s="456">
        <v>86375.18</v>
      </c>
      <c r="AX355" s="456">
        <v>86161.87</v>
      </c>
      <c r="AY355" s="456">
        <v>87472.18</v>
      </c>
      <c r="AZ355" s="456">
        <v>90711.81</v>
      </c>
      <c r="BA355" s="456">
        <v>91463.2</v>
      </c>
      <c r="BB355" s="456">
        <v>95563.28</v>
      </c>
      <c r="BC355" s="456">
        <v>202352.48</v>
      </c>
      <c r="BD355" s="456">
        <v>93639.74</v>
      </c>
      <c r="BE355" s="456" t="s">
        <v>377</v>
      </c>
      <c r="BF355" s="456">
        <v>0.0</v>
      </c>
      <c r="BG355" s="456">
        <v>0.0</v>
      </c>
      <c r="BH355" s="456">
        <v>0.0</v>
      </c>
      <c r="BI355" s="456">
        <v>0.0</v>
      </c>
      <c r="BJ355" s="456">
        <v>0.0</v>
      </c>
      <c r="BK355" s="456">
        <v>0.0</v>
      </c>
      <c r="BL355" s="456">
        <v>0.0</v>
      </c>
      <c r="BM355" s="456">
        <v>0.0</v>
      </c>
      <c r="BN355" s="456">
        <v>0.0</v>
      </c>
      <c r="BO355" s="456">
        <v>0.0</v>
      </c>
      <c r="BP355" s="456">
        <v>0.0</v>
      </c>
      <c r="BQ355" s="456">
        <v>0.0</v>
      </c>
      <c r="BR355" s="456">
        <v>0.0</v>
      </c>
      <c r="BS355" s="90" t="s">
        <v>268</v>
      </c>
      <c r="BT355" s="90"/>
    </row>
    <row r="356" ht="15.75" customHeight="1">
      <c r="A356" s="444" t="s">
        <v>98</v>
      </c>
      <c r="B356" s="445" t="s">
        <v>6420</v>
      </c>
      <c r="C356" s="458" t="s">
        <v>6422</v>
      </c>
      <c r="D356" s="449">
        <v>4557602.0</v>
      </c>
      <c r="E356" s="447" t="s">
        <v>255</v>
      </c>
      <c r="F356" s="447" t="s">
        <v>199</v>
      </c>
      <c r="G356" s="447" t="s">
        <v>3885</v>
      </c>
      <c r="H356" s="447" t="str">
        <f>IFERROR(VLOOKUP(G356,'Cadastro de assessores'!A:B,2,FALSE),"Não Cadastrado")</f>
        <v>17243</v>
      </c>
      <c r="I356" s="447"/>
      <c r="J356" s="49" t="s">
        <v>2318</v>
      </c>
      <c r="K356" s="447" t="s">
        <v>183</v>
      </c>
      <c r="L356" s="450">
        <v>44165.0</v>
      </c>
      <c r="M356" s="450">
        <v>44169.0</v>
      </c>
      <c r="N356" s="449"/>
      <c r="O356" s="449" t="s">
        <v>2319</v>
      </c>
      <c r="P356" s="452">
        <v>0.02</v>
      </c>
      <c r="Q356" s="461"/>
      <c r="R356" s="453"/>
      <c r="S356" s="449" t="str">
        <f t="shared" si="37"/>
        <v>Não Qualificado</v>
      </c>
      <c r="T356" s="449" t="s">
        <v>194</v>
      </c>
      <c r="U356" s="449" t="s">
        <v>3350</v>
      </c>
      <c r="V356" s="449" t="s">
        <v>199</v>
      </c>
      <c r="W356" s="455" t="s">
        <v>2344</v>
      </c>
      <c r="X356" s="455" t="s">
        <v>2344</v>
      </c>
      <c r="Y356" s="455" t="s">
        <v>2344</v>
      </c>
      <c r="Z356" s="455" t="s">
        <v>2344</v>
      </c>
      <c r="AA356" s="455" t="s">
        <v>2344</v>
      </c>
      <c r="AB356" s="455" t="s">
        <v>2344</v>
      </c>
      <c r="AC356" s="455" t="s">
        <v>2344</v>
      </c>
      <c r="AD356" s="455" t="s">
        <v>2344</v>
      </c>
      <c r="AE356" s="455" t="s">
        <v>2344</v>
      </c>
      <c r="AF356" s="455" t="s">
        <v>2344</v>
      </c>
      <c r="AG356" s="455" t="s">
        <v>2344</v>
      </c>
      <c r="AH356" s="455" t="s">
        <v>2344</v>
      </c>
      <c r="AI356" s="455" t="s">
        <v>2344</v>
      </c>
      <c r="AJ356" s="455" t="s">
        <v>2344</v>
      </c>
      <c r="AK356" s="456">
        <v>317233.19</v>
      </c>
      <c r="AL356" s="456">
        <v>309671.52</v>
      </c>
      <c r="AM356" s="456">
        <v>293527.47</v>
      </c>
      <c r="AN356" s="735">
        <v>292200.83</v>
      </c>
      <c r="AO356" s="735">
        <v>305587.8</v>
      </c>
      <c r="AP356" s="456">
        <v>308117.75</v>
      </c>
      <c r="AQ356" s="456">
        <v>306220.64</v>
      </c>
      <c r="AR356" s="456">
        <v>316996.88</v>
      </c>
      <c r="AS356" s="456">
        <v>312758.85</v>
      </c>
      <c r="AT356" s="456">
        <v>303088.8</v>
      </c>
      <c r="AU356" s="456">
        <v>299789.64</v>
      </c>
      <c r="AV356" s="456">
        <v>290114.83</v>
      </c>
      <c r="AW356" s="456">
        <v>275603.76</v>
      </c>
      <c r="AX356" s="456">
        <v>274443.04</v>
      </c>
      <c r="AY356" s="456">
        <v>278831.42</v>
      </c>
      <c r="AZ356" s="456">
        <v>288143.89</v>
      </c>
      <c r="BA356" s="456">
        <v>290898.22</v>
      </c>
      <c r="BB356" s="456">
        <v>304496.45</v>
      </c>
      <c r="BC356" s="456">
        <v>77756.17</v>
      </c>
      <c r="BD356" s="456">
        <v>297564.41</v>
      </c>
      <c r="BE356" s="456">
        <v>291165.57</v>
      </c>
      <c r="BF356" s="456">
        <v>299399.73</v>
      </c>
      <c r="BG356" s="456">
        <v>303840.3086</v>
      </c>
      <c r="BH356" s="456">
        <v>301904.36</v>
      </c>
      <c r="BI356" s="456">
        <v>316744.91</v>
      </c>
      <c r="BJ356" s="456">
        <v>317091.54</v>
      </c>
      <c r="BK356" s="456">
        <v>318201.11</v>
      </c>
      <c r="BL356" s="456">
        <v>319067.62</v>
      </c>
      <c r="BM356" s="456">
        <v>317919.15</v>
      </c>
      <c r="BN356" s="456">
        <v>319255.13</v>
      </c>
      <c r="BO356" s="456">
        <v>320710.18</v>
      </c>
      <c r="BP356" s="456">
        <v>318004.18</v>
      </c>
      <c r="BQ356" s="456">
        <v>323912.65</v>
      </c>
      <c r="BR356" s="456">
        <v>0.0</v>
      </c>
      <c r="BS356" s="90" t="s">
        <v>268</v>
      </c>
      <c r="BT356" s="90"/>
    </row>
    <row r="357" ht="15.75" customHeight="1">
      <c r="A357" s="444" t="s">
        <v>98</v>
      </c>
      <c r="B357" s="445" t="s">
        <v>6424</v>
      </c>
      <c r="C357" s="468" t="s">
        <v>6426</v>
      </c>
      <c r="D357" s="203">
        <v>8993002.0</v>
      </c>
      <c r="E357" s="449" t="s">
        <v>120</v>
      </c>
      <c r="F357" s="507" t="s">
        <v>54</v>
      </c>
      <c r="G357" s="449" t="s">
        <v>125</v>
      </c>
      <c r="H357" s="447" t="str">
        <f>IFERROR(VLOOKUP(G357,'Cadastro de assessores'!A:B,2,FALSE),"Não Cadastrado")</f>
        <v>18890</v>
      </c>
      <c r="I357" s="447"/>
      <c r="J357" s="49" t="s">
        <v>2318</v>
      </c>
      <c r="K357" s="449" t="s">
        <v>183</v>
      </c>
      <c r="L357" s="460">
        <v>44768.0</v>
      </c>
      <c r="M357" s="460">
        <v>44769.0</v>
      </c>
      <c r="N357" s="508"/>
      <c r="O357" s="446" t="s">
        <v>6427</v>
      </c>
      <c r="P357" s="452">
        <v>0.01</v>
      </c>
      <c r="Q357" s="330" t="s">
        <v>3145</v>
      </c>
      <c r="R357" s="453"/>
      <c r="S357" s="449"/>
      <c r="T357" s="449" t="s">
        <v>194</v>
      </c>
      <c r="U357" s="216"/>
      <c r="V357" s="449" t="s">
        <v>221</v>
      </c>
      <c r="W357" s="455"/>
      <c r="X357" s="454"/>
      <c r="Y357" s="454"/>
      <c r="Z357" s="454"/>
      <c r="AA357" s="454"/>
      <c r="AB357" s="454"/>
      <c r="AC357" s="454"/>
      <c r="AD357" s="454"/>
      <c r="AE357" s="454"/>
      <c r="AF357" s="454"/>
      <c r="AG357" s="454"/>
      <c r="AH357" s="454"/>
      <c r="AI357" s="454"/>
      <c r="AJ357" s="454"/>
      <c r="AK357" s="456"/>
      <c r="AL357" s="456"/>
      <c r="AM357" s="456"/>
      <c r="AN357" s="456"/>
      <c r="AO357" s="456"/>
      <c r="AP357" s="456"/>
      <c r="AQ357" s="454"/>
      <c r="AR357" s="481"/>
      <c r="AS357" s="456"/>
      <c r="AT357" s="456"/>
      <c r="AU357" s="456"/>
      <c r="AV357" s="456"/>
      <c r="AW357" s="456"/>
      <c r="AX357" s="456"/>
      <c r="AY357" s="456"/>
      <c r="AZ357" s="456"/>
      <c r="BA357" s="456"/>
      <c r="BB357" s="456"/>
      <c r="BC357" s="456"/>
      <c r="BD357" s="456"/>
      <c r="BE357" s="456"/>
      <c r="BF357" s="456">
        <v>49731.53</v>
      </c>
      <c r="BG357" s="456">
        <v>48826.38684</v>
      </c>
      <c r="BH357" s="456">
        <v>48512.35</v>
      </c>
      <c r="BI357" s="456">
        <v>50028.03</v>
      </c>
      <c r="BJ357" s="456">
        <v>47405.94</v>
      </c>
      <c r="BK357" s="456">
        <v>47686.43</v>
      </c>
      <c r="BL357" s="456">
        <v>51036.94</v>
      </c>
      <c r="BM357" s="456">
        <v>0.0</v>
      </c>
      <c r="BN357" s="456">
        <v>0.0</v>
      </c>
      <c r="BO357" s="456">
        <v>0.0</v>
      </c>
      <c r="BP357" s="456">
        <v>0.0</v>
      </c>
      <c r="BQ357" s="456">
        <v>0.0</v>
      </c>
      <c r="BR357" s="456">
        <v>0.0</v>
      </c>
      <c r="BS357" s="90">
        <v>0.0</v>
      </c>
      <c r="BT357" s="90"/>
    </row>
    <row r="358" ht="15.75" customHeight="1">
      <c r="A358" s="444" t="s">
        <v>98</v>
      </c>
      <c r="B358" s="445" t="s">
        <v>6424</v>
      </c>
      <c r="C358" s="468" t="s">
        <v>6426</v>
      </c>
      <c r="D358" s="749">
        <v>8688674.0</v>
      </c>
      <c r="E358" s="449" t="s">
        <v>120</v>
      </c>
      <c r="F358" s="507" t="s">
        <v>54</v>
      </c>
      <c r="G358" s="449" t="s">
        <v>125</v>
      </c>
      <c r="H358" s="447" t="str">
        <f>IFERROR(VLOOKUP(G358,'Cadastro de assessores'!A:B,2,FALSE),"Não Cadastrado")</f>
        <v>18890</v>
      </c>
      <c r="I358" s="447"/>
      <c r="J358" s="49" t="s">
        <v>2318</v>
      </c>
      <c r="K358" s="449" t="s">
        <v>183</v>
      </c>
      <c r="L358" s="460">
        <v>44713.0</v>
      </c>
      <c r="M358" s="460">
        <v>44714.0</v>
      </c>
      <c r="N358" s="508"/>
      <c r="O358" s="446" t="s">
        <v>5294</v>
      </c>
      <c r="P358" s="452">
        <v>0.012</v>
      </c>
      <c r="Q358" s="330" t="s">
        <v>3145</v>
      </c>
      <c r="R358" s="453"/>
      <c r="S358" s="449" t="s">
        <v>244</v>
      </c>
      <c r="T358" s="449" t="s">
        <v>194</v>
      </c>
      <c r="U358" s="216" t="s">
        <v>2438</v>
      </c>
      <c r="V358" s="449" t="s">
        <v>54</v>
      </c>
      <c r="W358" s="455"/>
      <c r="X358" s="454"/>
      <c r="Y358" s="454"/>
      <c r="Z358" s="454"/>
      <c r="AA358" s="454"/>
      <c r="AB358" s="454"/>
      <c r="AC358" s="454"/>
      <c r="AD358" s="454"/>
      <c r="AE358" s="454"/>
      <c r="AF358" s="454"/>
      <c r="AG358" s="454"/>
      <c r="AH358" s="454"/>
      <c r="AI358" s="454"/>
      <c r="AJ358" s="454"/>
      <c r="AK358" s="456"/>
      <c r="AL358" s="456"/>
      <c r="AM358" s="456"/>
      <c r="AN358" s="456"/>
      <c r="AO358" s="456"/>
      <c r="AP358" s="456"/>
      <c r="AQ358" s="454"/>
      <c r="AR358" s="481"/>
      <c r="AS358" s="456"/>
      <c r="AT358" s="456"/>
      <c r="AU358" s="456"/>
      <c r="AV358" s="456"/>
      <c r="AW358" s="456"/>
      <c r="AX358" s="456"/>
      <c r="AY358" s="456"/>
      <c r="AZ358" s="456"/>
      <c r="BA358" s="456"/>
      <c r="BB358" s="456"/>
      <c r="BC358" s="456"/>
      <c r="BD358" s="456" t="s">
        <v>377</v>
      </c>
      <c r="BE358" s="456">
        <v>1410652.59</v>
      </c>
      <c r="BF358" s="456">
        <v>1425464.27</v>
      </c>
      <c r="BG358" s="456">
        <v>1436656.16</v>
      </c>
      <c r="BH358" s="456">
        <v>1446777.59</v>
      </c>
      <c r="BI358" s="456">
        <v>1458166.68</v>
      </c>
      <c r="BJ358" s="456">
        <v>1125921.2</v>
      </c>
      <c r="BK358" s="456">
        <v>1074731.92</v>
      </c>
      <c r="BL358" s="456">
        <v>24168.04</v>
      </c>
      <c r="BM358" s="456">
        <v>349.25</v>
      </c>
      <c r="BN358" s="456">
        <v>349.25</v>
      </c>
      <c r="BO358" s="456">
        <v>349.25</v>
      </c>
      <c r="BP358" s="456">
        <v>349.25</v>
      </c>
      <c r="BQ358" s="456">
        <v>349.25</v>
      </c>
      <c r="BR358" s="456">
        <v>349.25</v>
      </c>
      <c r="BS358" s="90">
        <v>0.0</v>
      </c>
      <c r="BT358" s="90"/>
    </row>
    <row r="359" ht="15.75" customHeight="1">
      <c r="A359" s="444" t="s">
        <v>98</v>
      </c>
      <c r="B359" s="445" t="s">
        <v>6433</v>
      </c>
      <c r="C359" s="468" t="s">
        <v>6434</v>
      </c>
      <c r="D359" s="446">
        <v>5593800.0</v>
      </c>
      <c r="E359" s="449" t="s">
        <v>120</v>
      </c>
      <c r="F359" s="507" t="s">
        <v>54</v>
      </c>
      <c r="G359" s="449" t="s">
        <v>379</v>
      </c>
      <c r="H359" s="446" t="str">
        <f>IFERROR(VLOOKUP(G359,'Cadastro de assessores'!A:B,2,FALSE),"Não Cadastrado")</f>
        <v>18009</v>
      </c>
      <c r="I359" s="446"/>
      <c r="J359" s="49" t="s">
        <v>224</v>
      </c>
      <c r="K359" s="449" t="s">
        <v>2340</v>
      </c>
      <c r="L359" s="460">
        <v>44344.0</v>
      </c>
      <c r="M359" s="460">
        <v>44344.0</v>
      </c>
      <c r="N359" s="508">
        <v>44711.0</v>
      </c>
      <c r="O359" s="446" t="s">
        <v>2319</v>
      </c>
      <c r="P359" s="452">
        <v>0.02</v>
      </c>
      <c r="Q359" s="330" t="s">
        <v>6436</v>
      </c>
      <c r="R359" s="453"/>
      <c r="S359" s="449" t="str">
        <f t="shared" ref="S359:S363" si="38">IF(BC359&lt;=0,"",IF(BC359&lt;=1000000,"Não Qualificado",IF(AND(BC359&gt;1000000,BC359&lt;=10000000),"Qualificado","Profissional")))</f>
        <v>Não Qualificado</v>
      </c>
      <c r="T359" s="449" t="s">
        <v>194</v>
      </c>
      <c r="U359" s="216" t="s">
        <v>2475</v>
      </c>
      <c r="V359" s="449" t="s">
        <v>618</v>
      </c>
      <c r="W359" s="455"/>
      <c r="X359" s="454"/>
      <c r="Y359" s="454"/>
      <c r="Z359" s="454"/>
      <c r="AA359" s="454"/>
      <c r="AB359" s="454"/>
      <c r="AC359" s="454"/>
      <c r="AD359" s="454"/>
      <c r="AE359" s="454"/>
      <c r="AF359" s="454"/>
      <c r="AG359" s="454"/>
      <c r="AH359" s="454"/>
      <c r="AI359" s="454"/>
      <c r="AJ359" s="454"/>
      <c r="AK359" s="456"/>
      <c r="AL359" s="456"/>
      <c r="AM359" s="456"/>
      <c r="AN359" s="456"/>
      <c r="AO359" s="456"/>
      <c r="AP359" s="456"/>
      <c r="AQ359" s="454"/>
      <c r="AR359" s="481">
        <v>140726.9</v>
      </c>
      <c r="AS359" s="456">
        <v>138739.15</v>
      </c>
      <c r="AT359" s="456">
        <v>154241.19</v>
      </c>
      <c r="AU359" s="456">
        <v>152219.51</v>
      </c>
      <c r="AV359" s="456">
        <v>147934.25</v>
      </c>
      <c r="AW359" s="456">
        <v>140647.66</v>
      </c>
      <c r="AX359" s="456">
        <v>140121.88</v>
      </c>
      <c r="AY359" s="456">
        <v>141849.91</v>
      </c>
      <c r="AZ359" s="456">
        <v>146763.74</v>
      </c>
      <c r="BA359" s="456">
        <v>148101.17</v>
      </c>
      <c r="BB359" s="456">
        <v>154192.7</v>
      </c>
      <c r="BC359" s="456">
        <v>615862.33</v>
      </c>
      <c r="BD359" s="456">
        <v>2471.56</v>
      </c>
      <c r="BE359" s="456" t="s">
        <v>377</v>
      </c>
      <c r="BF359" s="456">
        <v>0.0</v>
      </c>
      <c r="BG359" s="456">
        <v>0.0</v>
      </c>
      <c r="BH359" s="456">
        <v>0.0</v>
      </c>
      <c r="BI359" s="456">
        <v>0.0</v>
      </c>
      <c r="BJ359" s="456">
        <v>0.0</v>
      </c>
      <c r="BK359" s="456">
        <v>0.0</v>
      </c>
      <c r="BL359" s="456">
        <v>0.0</v>
      </c>
      <c r="BM359" s="456">
        <v>0.0</v>
      </c>
      <c r="BN359" s="456">
        <v>0.0</v>
      </c>
      <c r="BO359" s="456">
        <v>0.0</v>
      </c>
      <c r="BP359" s="456">
        <v>0.0</v>
      </c>
      <c r="BQ359" s="456">
        <v>0.0</v>
      </c>
      <c r="BR359" s="456">
        <v>0.0</v>
      </c>
      <c r="BS359" s="90" t="s">
        <v>268</v>
      </c>
      <c r="BT359" s="90"/>
    </row>
    <row r="360" ht="15.75" customHeight="1">
      <c r="A360" s="444" t="s">
        <v>98</v>
      </c>
      <c r="B360" s="445" t="s">
        <v>6440</v>
      </c>
      <c r="C360" s="468" t="s">
        <v>6441</v>
      </c>
      <c r="D360" s="446">
        <v>6493585.0</v>
      </c>
      <c r="E360" s="447" t="s">
        <v>255</v>
      </c>
      <c r="F360" s="448" t="s">
        <v>199</v>
      </c>
      <c r="G360" s="447" t="s">
        <v>2587</v>
      </c>
      <c r="H360" s="490" t="str">
        <f>IFERROR(VLOOKUP(G360,'Cadastro de assessores'!A:B,2,FALSE),"Não Cadastrado")</f>
        <v>1298</v>
      </c>
      <c r="I360" s="490"/>
      <c r="J360" s="49" t="s">
        <v>2318</v>
      </c>
      <c r="K360" s="447" t="s">
        <v>183</v>
      </c>
      <c r="L360" s="450">
        <v>44449.0</v>
      </c>
      <c r="M360" s="450">
        <v>44452.0</v>
      </c>
      <c r="N360" s="490"/>
      <c r="O360" s="490" t="s">
        <v>2365</v>
      </c>
      <c r="P360" s="452">
        <v>0.012</v>
      </c>
      <c r="Q360" s="461"/>
      <c r="R360" s="453"/>
      <c r="S360" s="449" t="str">
        <f t="shared" si="38"/>
        <v>Não Qualificado</v>
      </c>
      <c r="T360" s="449" t="s">
        <v>194</v>
      </c>
      <c r="U360" s="203" t="s">
        <v>3955</v>
      </c>
      <c r="V360" s="449" t="s">
        <v>618</v>
      </c>
      <c r="W360" s="455"/>
      <c r="X360" s="454"/>
      <c r="Y360" s="454"/>
      <c r="Z360" s="454"/>
      <c r="AA360" s="454"/>
      <c r="AB360" s="454"/>
      <c r="AC360" s="454"/>
      <c r="AD360" s="454"/>
      <c r="AE360" s="454"/>
      <c r="AF360" s="454"/>
      <c r="AG360" s="454"/>
      <c r="AH360" s="455"/>
      <c r="AI360" s="455"/>
      <c r="AJ360" s="456"/>
      <c r="AK360" s="456"/>
      <c r="AL360" s="456"/>
      <c r="AM360" s="456"/>
      <c r="AN360" s="456"/>
      <c r="AO360" s="456"/>
      <c r="AP360" s="456"/>
      <c r="AQ360" s="456"/>
      <c r="AR360" s="456"/>
      <c r="AS360" s="456"/>
      <c r="AT360" s="456"/>
      <c r="AU360" s="454"/>
      <c r="AV360" s="456">
        <v>198562.71</v>
      </c>
      <c r="AW360" s="456">
        <v>195922.54</v>
      </c>
      <c r="AX360" s="456">
        <v>196248.35</v>
      </c>
      <c r="AY360" s="456">
        <v>198014.73</v>
      </c>
      <c r="AZ360" s="456">
        <v>204922.36</v>
      </c>
      <c r="BA360" s="456">
        <v>206477.71</v>
      </c>
      <c r="BB360" s="456">
        <v>210700.79</v>
      </c>
      <c r="BC360" s="456">
        <v>125961.82</v>
      </c>
      <c r="BD360" s="456">
        <v>210823.62</v>
      </c>
      <c r="BE360" s="456">
        <v>211478.38</v>
      </c>
      <c r="BF360" s="456">
        <v>214620.19</v>
      </c>
      <c r="BG360" s="456">
        <v>216976.7963</v>
      </c>
      <c r="BH360" s="456">
        <v>218673.21</v>
      </c>
      <c r="BI360" s="456">
        <v>223114.13</v>
      </c>
      <c r="BJ360" s="456">
        <v>223849.49</v>
      </c>
      <c r="BK360" s="456">
        <v>225840.6</v>
      </c>
      <c r="BL360" s="456">
        <v>228494.33</v>
      </c>
      <c r="BM360" s="456">
        <v>230102.72</v>
      </c>
      <c r="BN360" s="456">
        <v>228315.04</v>
      </c>
      <c r="BO360" s="456">
        <v>0.0</v>
      </c>
      <c r="BP360" s="456">
        <v>0.0</v>
      </c>
      <c r="BQ360" s="456">
        <v>0.0</v>
      </c>
      <c r="BR360" s="456">
        <v>0.0</v>
      </c>
      <c r="BS360" s="90">
        <v>0.0</v>
      </c>
      <c r="BT360" s="90"/>
    </row>
    <row r="361" ht="15.75" customHeight="1">
      <c r="A361" s="444" t="s">
        <v>98</v>
      </c>
      <c r="B361" s="445" t="s">
        <v>6449</v>
      </c>
      <c r="C361" s="468" t="s">
        <v>6450</v>
      </c>
      <c r="D361" s="446">
        <v>6980115.0</v>
      </c>
      <c r="E361" s="446" t="s">
        <v>120</v>
      </c>
      <c r="F361" s="446" t="s">
        <v>54</v>
      </c>
      <c r="G361" s="446" t="s">
        <v>4057</v>
      </c>
      <c r="H361" s="446" t="str">
        <f>IFERROR(VLOOKUP(G361,'Cadastro de assessores'!A:B,2,FALSE),"Não Cadastrado")</f>
        <v>14294</v>
      </c>
      <c r="I361" s="446"/>
      <c r="J361" s="49" t="s">
        <v>224</v>
      </c>
      <c r="K361" s="449" t="s">
        <v>2340</v>
      </c>
      <c r="L361" s="459">
        <v>44517.0</v>
      </c>
      <c r="M361" s="459">
        <v>44517.0</v>
      </c>
      <c r="N361" s="508">
        <v>44816.0</v>
      </c>
      <c r="O361" s="446" t="s">
        <v>2452</v>
      </c>
      <c r="P361" s="452">
        <v>0.008</v>
      </c>
      <c r="Q361" s="207" t="s">
        <v>6452</v>
      </c>
      <c r="R361" s="453"/>
      <c r="S361" s="449" t="str">
        <f t="shared" si="38"/>
        <v>Não Qualificado</v>
      </c>
      <c r="T361" s="449" t="s">
        <v>194</v>
      </c>
      <c r="U361" s="203" t="s">
        <v>6453</v>
      </c>
      <c r="V361" s="449" t="s">
        <v>618</v>
      </c>
      <c r="W361" s="455"/>
      <c r="X361" s="454"/>
      <c r="Y361" s="454"/>
      <c r="Z361" s="454"/>
      <c r="AA361" s="454"/>
      <c r="AB361" s="454"/>
      <c r="AC361" s="454"/>
      <c r="AD361" s="454"/>
      <c r="AE361" s="454"/>
      <c r="AF361" s="454"/>
      <c r="AG361" s="454"/>
      <c r="AH361" s="455"/>
      <c r="AI361" s="456"/>
      <c r="AJ361" s="456"/>
      <c r="AK361" s="456"/>
      <c r="AL361" s="456"/>
      <c r="AM361" s="456"/>
      <c r="AN361" s="456"/>
      <c r="AO361" s="456"/>
      <c r="AP361" s="456"/>
      <c r="AQ361" s="456"/>
      <c r="AR361" s="456"/>
      <c r="AS361" s="456"/>
      <c r="AT361" s="454"/>
      <c r="AU361" s="456"/>
      <c r="AV361" s="456"/>
      <c r="AW361" s="454"/>
      <c r="AX361" s="481"/>
      <c r="AY361" s="481">
        <v>622112.9</v>
      </c>
      <c r="AZ361" s="456">
        <v>624171.54</v>
      </c>
      <c r="BA361" s="456">
        <v>624168.06</v>
      </c>
      <c r="BB361" s="456">
        <v>630465.5</v>
      </c>
      <c r="BC361" s="456">
        <v>103037.99</v>
      </c>
      <c r="BD361" s="456">
        <v>636032.88</v>
      </c>
      <c r="BE361" s="456">
        <v>635429.7</v>
      </c>
      <c r="BF361" s="456">
        <v>643027.28</v>
      </c>
      <c r="BG361" s="456">
        <v>659761.02</v>
      </c>
      <c r="BH361" s="456">
        <v>0.0</v>
      </c>
      <c r="BI361" s="456">
        <v>0.0</v>
      </c>
      <c r="BJ361" s="456">
        <v>0.0</v>
      </c>
      <c r="BK361" s="456">
        <v>0.0</v>
      </c>
      <c r="BL361" s="456">
        <v>0.0</v>
      </c>
      <c r="BM361" s="456">
        <v>0.0</v>
      </c>
      <c r="BN361" s="456">
        <v>0.0</v>
      </c>
      <c r="BO361" s="456">
        <v>0.0</v>
      </c>
      <c r="BP361" s="456">
        <v>0.0</v>
      </c>
      <c r="BQ361" s="456">
        <v>0.0</v>
      </c>
      <c r="BR361" s="456">
        <v>0.0</v>
      </c>
      <c r="BS361" s="90" t="s">
        <v>268</v>
      </c>
      <c r="BT361" s="90"/>
    </row>
    <row r="362" ht="15.75" customHeight="1">
      <c r="A362" s="444" t="s">
        <v>98</v>
      </c>
      <c r="B362" s="445" t="s">
        <v>6458</v>
      </c>
      <c r="C362" s="468" t="s">
        <v>6459</v>
      </c>
      <c r="D362" s="446">
        <v>7719774.0</v>
      </c>
      <c r="E362" s="447" t="s">
        <v>255</v>
      </c>
      <c r="F362" s="448" t="s">
        <v>199</v>
      </c>
      <c r="G362" s="447" t="s">
        <v>2531</v>
      </c>
      <c r="H362" s="490" t="str">
        <f>IFERROR(VLOOKUP(G362,'Cadastro de assessores'!A:B,2,FALSE),"Não Cadastrado")</f>
        <v>1441</v>
      </c>
      <c r="I362" s="490"/>
      <c r="J362" s="49" t="s">
        <v>224</v>
      </c>
      <c r="K362" s="447" t="s">
        <v>183</v>
      </c>
      <c r="L362" s="450">
        <v>44585.0</v>
      </c>
      <c r="M362" s="450">
        <v>44599.0</v>
      </c>
      <c r="N362" s="616">
        <v>44886.0</v>
      </c>
      <c r="O362" s="446" t="s">
        <v>2452</v>
      </c>
      <c r="P362" s="452">
        <v>0.008</v>
      </c>
      <c r="Q362" s="330" t="s">
        <v>6460</v>
      </c>
      <c r="R362" s="453"/>
      <c r="S362" s="449" t="str">
        <f t="shared" si="38"/>
        <v>Não Qualificado</v>
      </c>
      <c r="T362" s="449" t="s">
        <v>194</v>
      </c>
      <c r="U362" s="446" t="s">
        <v>4296</v>
      </c>
      <c r="V362" s="449" t="s">
        <v>199</v>
      </c>
      <c r="W362" s="455"/>
      <c r="X362" s="454"/>
      <c r="Y362" s="454"/>
      <c r="Z362" s="454"/>
      <c r="AA362" s="454"/>
      <c r="AB362" s="454"/>
      <c r="AC362" s="454"/>
      <c r="AD362" s="454"/>
      <c r="AE362" s="454"/>
      <c r="AF362" s="454"/>
      <c r="AG362" s="454"/>
      <c r="AH362" s="454"/>
      <c r="AI362" s="455"/>
      <c r="AJ362" s="456"/>
      <c r="AK362" s="456"/>
      <c r="AL362" s="456"/>
      <c r="AM362" s="456"/>
      <c r="AN362" s="456"/>
      <c r="AO362" s="456"/>
      <c r="AP362" s="456"/>
      <c r="AQ362" s="456"/>
      <c r="AR362" s="456"/>
      <c r="AS362" s="456"/>
      <c r="AT362" s="456"/>
      <c r="AU362" s="454"/>
      <c r="AV362" s="456"/>
      <c r="AW362" s="456"/>
      <c r="AX362" s="456"/>
      <c r="AY362" s="456"/>
      <c r="AZ362" s="456"/>
      <c r="BA362" s="456">
        <v>1494682.24</v>
      </c>
      <c r="BB362" s="456">
        <v>1508520.52</v>
      </c>
      <c r="BC362" s="456">
        <v>428250.24</v>
      </c>
      <c r="BD362" s="456">
        <v>1487446.66</v>
      </c>
      <c r="BE362" s="456">
        <v>1468469.96</v>
      </c>
      <c r="BF362" s="456">
        <v>1464005.56</v>
      </c>
      <c r="BG362" s="456">
        <v>1483441.68</v>
      </c>
      <c r="BH362" s="456">
        <v>1470140.64</v>
      </c>
      <c r="BI362" s="456">
        <v>1474076.27</v>
      </c>
      <c r="BJ362" s="456">
        <v>0.0</v>
      </c>
      <c r="BK362" s="456">
        <v>0.0</v>
      </c>
      <c r="BL362" s="456">
        <v>0.0</v>
      </c>
      <c r="BM362" s="456">
        <v>0.0</v>
      </c>
      <c r="BN362" s="456">
        <v>0.0</v>
      </c>
      <c r="BO362" s="456">
        <v>0.0</v>
      </c>
      <c r="BP362" s="456">
        <v>0.0</v>
      </c>
      <c r="BQ362" s="456">
        <v>0.0</v>
      </c>
      <c r="BR362" s="456">
        <v>0.0</v>
      </c>
      <c r="BS362" s="90" t="s">
        <v>268</v>
      </c>
      <c r="BT362" s="90"/>
    </row>
    <row r="363" ht="15.75" customHeight="1">
      <c r="A363" s="444" t="s">
        <v>98</v>
      </c>
      <c r="B363" s="445" t="s">
        <v>6468</v>
      </c>
      <c r="C363" s="468" t="s">
        <v>6469</v>
      </c>
      <c r="D363" s="446">
        <v>6604192.0</v>
      </c>
      <c r="E363" s="447" t="s">
        <v>120</v>
      </c>
      <c r="F363" s="448" t="s">
        <v>199</v>
      </c>
      <c r="G363" s="447" t="s">
        <v>803</v>
      </c>
      <c r="H363" s="447" t="str">
        <f>IFERROR(VLOOKUP(G363,'Cadastro de assessores'!A:B,2,FALSE),"Não Cadastrado")</f>
        <v>18467</v>
      </c>
      <c r="I363" s="447"/>
      <c r="J363" s="49" t="s">
        <v>2318</v>
      </c>
      <c r="K363" s="447" t="s">
        <v>183</v>
      </c>
      <c r="L363" s="450">
        <v>44460.0</v>
      </c>
      <c r="M363" s="450">
        <v>44460.0</v>
      </c>
      <c r="N363" s="446"/>
      <c r="O363" s="446" t="s">
        <v>2356</v>
      </c>
      <c r="P363" s="452">
        <v>0.007</v>
      </c>
      <c r="Q363" s="330"/>
      <c r="R363" s="453"/>
      <c r="S363" s="449" t="str">
        <f t="shared" si="38"/>
        <v>Não Qualificado</v>
      </c>
      <c r="T363" s="449" t="s">
        <v>194</v>
      </c>
      <c r="U363" s="446" t="s">
        <v>6471</v>
      </c>
      <c r="V363" s="449" t="s">
        <v>618</v>
      </c>
      <c r="W363" s="455"/>
      <c r="X363" s="454"/>
      <c r="Y363" s="454"/>
      <c r="Z363" s="454"/>
      <c r="AA363" s="454"/>
      <c r="AB363" s="454"/>
      <c r="AC363" s="454"/>
      <c r="AD363" s="454"/>
      <c r="AE363" s="454"/>
      <c r="AF363" s="454"/>
      <c r="AG363" s="454"/>
      <c r="AH363" s="454"/>
      <c r="AI363" s="455"/>
      <c r="AJ363" s="456"/>
      <c r="AK363" s="456"/>
      <c r="AL363" s="456"/>
      <c r="AM363" s="456"/>
      <c r="AN363" s="456"/>
      <c r="AO363" s="456"/>
      <c r="AP363" s="456"/>
      <c r="AQ363" s="456"/>
      <c r="AR363" s="456"/>
      <c r="AS363" s="456"/>
      <c r="AT363" s="456"/>
      <c r="AU363" s="454"/>
      <c r="AV363" s="456"/>
      <c r="AW363" s="456">
        <v>304470.2</v>
      </c>
      <c r="AX363" s="456">
        <v>308141.15</v>
      </c>
      <c r="AY363" s="456">
        <v>311235.9</v>
      </c>
      <c r="AZ363" s="456">
        <v>313997.4</v>
      </c>
      <c r="BA363" s="456">
        <v>316637.57</v>
      </c>
      <c r="BB363" s="456">
        <v>321013.12</v>
      </c>
      <c r="BC363" s="456">
        <v>613885.83</v>
      </c>
      <c r="BD363" s="456">
        <v>1522449.36</v>
      </c>
      <c r="BE363" s="456">
        <v>1534249.84</v>
      </c>
      <c r="BF363" s="456">
        <v>1522770.63</v>
      </c>
      <c r="BG363" s="456">
        <v>1539560.941</v>
      </c>
      <c r="BH363" s="456">
        <v>1551122.53</v>
      </c>
      <c r="BI363" s="456">
        <v>1562293.26</v>
      </c>
      <c r="BJ363" s="456">
        <v>1559919.75</v>
      </c>
      <c r="BK363" s="456">
        <v>1572668.71</v>
      </c>
      <c r="BL363" s="456">
        <v>1582665.74</v>
      </c>
      <c r="BM363" s="456">
        <v>1589417.95</v>
      </c>
      <c r="BN363" s="456">
        <v>0.0</v>
      </c>
      <c r="BO363" s="456">
        <v>0.0</v>
      </c>
      <c r="BP363" s="456">
        <v>0.0</v>
      </c>
      <c r="BQ363" s="456">
        <v>0.0</v>
      </c>
      <c r="BR363" s="456">
        <v>0.0</v>
      </c>
      <c r="BS363" s="90">
        <v>0.0</v>
      </c>
      <c r="BT363" s="90"/>
    </row>
    <row r="364" ht="15.75" customHeight="1">
      <c r="A364" s="444" t="s">
        <v>98</v>
      </c>
      <c r="B364" s="445" t="s">
        <v>6473</v>
      </c>
      <c r="C364" s="468" t="s">
        <v>6474</v>
      </c>
      <c r="D364" s="446">
        <v>6065019.0</v>
      </c>
      <c r="E364" s="447" t="s">
        <v>120</v>
      </c>
      <c r="F364" s="507" t="s">
        <v>54</v>
      </c>
      <c r="G364" s="449" t="s">
        <v>125</v>
      </c>
      <c r="H364" s="447" t="str">
        <f>IFERROR(VLOOKUP(G364,'Cadastro de assessores'!A:B,2,FALSE),"Não Cadastrado")</f>
        <v>18890</v>
      </c>
      <c r="I364" s="447"/>
      <c r="J364" s="49" t="s">
        <v>2318</v>
      </c>
      <c r="K364" s="449" t="s">
        <v>183</v>
      </c>
      <c r="L364" s="460">
        <v>44746.0</v>
      </c>
      <c r="M364" s="460">
        <v>44749.0</v>
      </c>
      <c r="N364" s="449"/>
      <c r="O364" s="449" t="s">
        <v>2356</v>
      </c>
      <c r="P364" s="452">
        <v>0.007</v>
      </c>
      <c r="Q364" s="461" t="s">
        <v>3145</v>
      </c>
      <c r="R364" s="453"/>
      <c r="S364" s="449" t="s">
        <v>244</v>
      </c>
      <c r="T364" s="449" t="s">
        <v>194</v>
      </c>
      <c r="U364" s="449" t="s">
        <v>2438</v>
      </c>
      <c r="V364" s="449" t="s">
        <v>54</v>
      </c>
      <c r="W364" s="455"/>
      <c r="X364" s="455"/>
      <c r="Y364" s="455"/>
      <c r="Z364" s="455"/>
      <c r="AA364" s="455"/>
      <c r="AB364" s="455"/>
      <c r="AC364" s="455"/>
      <c r="AD364" s="455"/>
      <c r="AE364" s="455"/>
      <c r="AF364" s="455"/>
      <c r="AG364" s="455"/>
      <c r="AH364" s="455"/>
      <c r="AI364" s="455"/>
      <c r="AJ364" s="455"/>
      <c r="AK364" s="456"/>
      <c r="AL364" s="456"/>
      <c r="AM364" s="456"/>
      <c r="AN364" s="456"/>
      <c r="AO364" s="456"/>
      <c r="AP364" s="456"/>
      <c r="AQ364" s="456"/>
      <c r="AR364" s="456"/>
      <c r="AS364" s="456"/>
      <c r="AT364" s="456"/>
      <c r="AU364" s="456"/>
      <c r="AV364" s="456"/>
      <c r="AW364" s="456"/>
      <c r="AX364" s="456"/>
      <c r="AY364" s="456"/>
      <c r="AZ364" s="456"/>
      <c r="BA364" s="456"/>
      <c r="BB364" s="456"/>
      <c r="BC364" s="456"/>
      <c r="BD364" s="456"/>
      <c r="BE364" s="456" t="s">
        <v>377</v>
      </c>
      <c r="BF364" s="456">
        <v>12131.07</v>
      </c>
      <c r="BG364" s="456">
        <v>18739.93586</v>
      </c>
      <c r="BH364" s="456">
        <v>24777.15</v>
      </c>
      <c r="BI364" s="456">
        <v>30855.6</v>
      </c>
      <c r="BJ364" s="456">
        <v>29896.26</v>
      </c>
      <c r="BK364" s="456">
        <v>100317.87</v>
      </c>
      <c r="BL364" s="456">
        <v>11798.19</v>
      </c>
      <c r="BM364" s="456">
        <v>854.79</v>
      </c>
      <c r="BN364" s="456">
        <v>855.05</v>
      </c>
      <c r="BO364" s="456">
        <v>0.03</v>
      </c>
      <c r="BP364" s="456">
        <v>0.03</v>
      </c>
      <c r="BQ364" s="456">
        <v>0.03</v>
      </c>
      <c r="BR364" s="456">
        <v>0.03</v>
      </c>
      <c r="BS364" s="90">
        <v>0.0</v>
      </c>
      <c r="BT364" s="90"/>
    </row>
    <row r="365" ht="15.75" customHeight="1">
      <c r="A365" s="444" t="s">
        <v>98</v>
      </c>
      <c r="B365" s="445" t="s">
        <v>6480</v>
      </c>
      <c r="C365" s="468" t="s">
        <v>6481</v>
      </c>
      <c r="D365" s="446">
        <v>8688629.0</v>
      </c>
      <c r="E365" s="449" t="s">
        <v>120</v>
      </c>
      <c r="F365" s="507" t="s">
        <v>54</v>
      </c>
      <c r="G365" s="449" t="s">
        <v>125</v>
      </c>
      <c r="H365" s="447" t="str">
        <f>IFERROR(VLOOKUP(G365,'Cadastro de assessores'!A:B,2,FALSE),"Não Cadastrado")</f>
        <v>18890</v>
      </c>
      <c r="I365" s="447"/>
      <c r="J365" s="49" t="s">
        <v>2318</v>
      </c>
      <c r="K365" s="449" t="s">
        <v>183</v>
      </c>
      <c r="L365" s="460">
        <v>44712.0</v>
      </c>
      <c r="M365" s="460">
        <v>44714.0</v>
      </c>
      <c r="N365" s="449"/>
      <c r="O365" s="449" t="s">
        <v>5294</v>
      </c>
      <c r="P365" s="452">
        <v>0.012</v>
      </c>
      <c r="Q365" s="461" t="s">
        <v>3145</v>
      </c>
      <c r="R365" s="453"/>
      <c r="S365" s="449"/>
      <c r="T365" s="449" t="s">
        <v>194</v>
      </c>
      <c r="U365" s="449" t="s">
        <v>2438</v>
      </c>
      <c r="V365" s="449" t="s">
        <v>54</v>
      </c>
      <c r="W365" s="455"/>
      <c r="X365" s="455"/>
      <c r="Y365" s="455"/>
      <c r="Z365" s="455"/>
      <c r="AA365" s="455"/>
      <c r="AB365" s="455"/>
      <c r="AC365" s="455"/>
      <c r="AD365" s="455"/>
      <c r="AE365" s="455"/>
      <c r="AF365" s="455"/>
      <c r="AG365" s="455"/>
      <c r="AH365" s="455"/>
      <c r="AI365" s="455"/>
      <c r="AJ365" s="455"/>
      <c r="AK365" s="456"/>
      <c r="AL365" s="456"/>
      <c r="AM365" s="456"/>
      <c r="AN365" s="456"/>
      <c r="AO365" s="456"/>
      <c r="AP365" s="456"/>
      <c r="AQ365" s="456"/>
      <c r="AR365" s="456"/>
      <c r="AS365" s="456"/>
      <c r="AT365" s="456"/>
      <c r="AU365" s="456"/>
      <c r="AV365" s="456"/>
      <c r="AW365" s="456"/>
      <c r="AX365" s="456"/>
      <c r="AY365" s="456"/>
      <c r="AZ365" s="456"/>
      <c r="BA365" s="456"/>
      <c r="BB365" s="456"/>
      <c r="BC365" s="456"/>
      <c r="BD365" s="456" t="s">
        <v>377</v>
      </c>
      <c r="BE365" s="456">
        <v>1612243.57</v>
      </c>
      <c r="BF365" s="456">
        <v>1628226.75</v>
      </c>
      <c r="BG365" s="456">
        <v>1637936.958</v>
      </c>
      <c r="BH365" s="456">
        <v>1646828.42</v>
      </c>
      <c r="BI365" s="456">
        <v>1661295.01</v>
      </c>
      <c r="BJ365" s="456">
        <v>1674139.22</v>
      </c>
      <c r="BK365" s="456">
        <v>1687918.14</v>
      </c>
      <c r="BL365" s="456">
        <v>53711.29</v>
      </c>
      <c r="BM365" s="456">
        <v>443.33</v>
      </c>
      <c r="BN365" s="456">
        <v>0.59</v>
      </c>
      <c r="BO365" s="456">
        <v>0.59</v>
      </c>
      <c r="BP365" s="456">
        <v>0.59</v>
      </c>
      <c r="BQ365" s="456">
        <v>0.59</v>
      </c>
      <c r="BR365" s="456">
        <v>0.59</v>
      </c>
      <c r="BS365" s="90">
        <v>0.0</v>
      </c>
      <c r="BT365" s="90"/>
    </row>
    <row r="366" ht="15.75" customHeight="1">
      <c r="A366" s="444" t="s">
        <v>98</v>
      </c>
      <c r="B366" s="445" t="s">
        <v>6485</v>
      </c>
      <c r="C366" s="458" t="s">
        <v>6486</v>
      </c>
      <c r="D366" s="449">
        <v>9268978.0</v>
      </c>
      <c r="E366" s="447" t="s">
        <v>120</v>
      </c>
      <c r="F366" s="447" t="s">
        <v>54</v>
      </c>
      <c r="G366" s="447" t="s">
        <v>348</v>
      </c>
      <c r="H366" s="447">
        <f>IFERROR(VLOOKUP(G366,'Cadastro de assessores'!A:B,2,FALSE),"Não Cadastrado")</f>
        <v>12331</v>
      </c>
      <c r="I366" s="447"/>
      <c r="J366" s="49" t="s">
        <v>2318</v>
      </c>
      <c r="K366" s="449"/>
      <c r="L366" s="460">
        <v>44826.0</v>
      </c>
      <c r="M366" s="460">
        <v>44832.0</v>
      </c>
      <c r="N366" s="449"/>
      <c r="O366" s="449" t="s">
        <v>2356</v>
      </c>
      <c r="P366" s="452">
        <v>0.01</v>
      </c>
      <c r="Q366" s="461" t="s">
        <v>6487</v>
      </c>
      <c r="R366" s="453"/>
      <c r="S366" s="449"/>
      <c r="T366" s="449"/>
      <c r="U366" s="449"/>
      <c r="V366" s="449" t="s">
        <v>54</v>
      </c>
      <c r="W366" s="455"/>
      <c r="X366" s="455"/>
      <c r="Y366" s="455"/>
      <c r="Z366" s="455"/>
      <c r="AA366" s="455"/>
      <c r="AB366" s="455"/>
      <c r="AC366" s="455"/>
      <c r="AD366" s="455"/>
      <c r="AE366" s="455"/>
      <c r="AF366" s="455"/>
      <c r="AG366" s="455"/>
      <c r="AH366" s="455"/>
      <c r="AI366" s="455"/>
      <c r="AJ366" s="455"/>
      <c r="AK366" s="456"/>
      <c r="AL366" s="456"/>
      <c r="AM366" s="456"/>
      <c r="AN366" s="456"/>
      <c r="AO366" s="456"/>
      <c r="AP366" s="456"/>
      <c r="AQ366" s="456"/>
      <c r="AR366" s="456"/>
      <c r="AS366" s="456"/>
      <c r="AT366" s="456"/>
      <c r="AU366" s="456"/>
      <c r="AV366" s="456"/>
      <c r="AW366" s="456"/>
      <c r="AX366" s="456"/>
      <c r="AY366" s="456"/>
      <c r="AZ366" s="456"/>
      <c r="BA366" s="456"/>
      <c r="BB366" s="456"/>
      <c r="BC366" s="456"/>
      <c r="BD366" s="456"/>
      <c r="BE366" s="456"/>
      <c r="BF366" s="456"/>
      <c r="BG366" s="456"/>
      <c r="BH366" s="456">
        <v>210135.77</v>
      </c>
      <c r="BI366" s="456">
        <v>220039.16</v>
      </c>
      <c r="BJ366" s="456">
        <v>225153.08</v>
      </c>
      <c r="BK366" s="456">
        <v>227412.2</v>
      </c>
      <c r="BL366" s="456">
        <v>78119.87</v>
      </c>
      <c r="BM366" s="456">
        <v>419.2</v>
      </c>
      <c r="BN366" s="456">
        <v>0.0</v>
      </c>
      <c r="BO366" s="456">
        <v>0.0</v>
      </c>
      <c r="BP366" s="456">
        <v>0.0</v>
      </c>
      <c r="BQ366" s="456">
        <v>0.0</v>
      </c>
      <c r="BR366" s="456">
        <v>0.0</v>
      </c>
      <c r="BS366" s="90">
        <v>0.0</v>
      </c>
      <c r="BT366" s="90"/>
    </row>
    <row r="367" ht="15.75" customHeight="1">
      <c r="A367" s="444" t="s">
        <v>98</v>
      </c>
      <c r="B367" s="445" t="s">
        <v>6492</v>
      </c>
      <c r="C367" s="458" t="s">
        <v>6493</v>
      </c>
      <c r="D367" s="449">
        <v>4488691.0</v>
      </c>
      <c r="E367" s="447" t="s">
        <v>120</v>
      </c>
      <c r="F367" s="447" t="s">
        <v>199</v>
      </c>
      <c r="G367" s="447" t="s">
        <v>2339</v>
      </c>
      <c r="H367" s="447" t="str">
        <f>IFERROR(VLOOKUP(G367,'Cadastro de assessores'!A:B,2,FALSE),"Não Cadastrado")</f>
        <v>17679</v>
      </c>
      <c r="I367" s="447"/>
      <c r="J367" s="49" t="s">
        <v>2318</v>
      </c>
      <c r="K367" s="449" t="s">
        <v>295</v>
      </c>
      <c r="L367" s="449" t="s">
        <v>3320</v>
      </c>
      <c r="M367" s="548" t="s">
        <v>4295</v>
      </c>
      <c r="N367" s="449"/>
      <c r="O367" s="449" t="s">
        <v>2365</v>
      </c>
      <c r="P367" s="452">
        <v>0.012</v>
      </c>
      <c r="Q367" s="461"/>
      <c r="R367" s="453"/>
      <c r="S367" s="449" t="str">
        <f t="shared" ref="S367:S372" si="39">IF(BC367&lt;=0,"",IF(BC367&lt;=1000000,"Não Qualificado",IF(AND(BC367&gt;1000000,BC367&lt;=10000000),"Qualificado","Profissional")))</f>
        <v>Não Qualificado</v>
      </c>
      <c r="T367" s="449" t="s">
        <v>194</v>
      </c>
      <c r="U367" s="449" t="s">
        <v>2374</v>
      </c>
      <c r="V367" s="449" t="s">
        <v>199</v>
      </c>
      <c r="W367" s="455" t="s">
        <v>2344</v>
      </c>
      <c r="X367" s="455" t="s">
        <v>2344</v>
      </c>
      <c r="Y367" s="455" t="s">
        <v>2344</v>
      </c>
      <c r="Z367" s="455" t="s">
        <v>2344</v>
      </c>
      <c r="AA367" s="455" t="s">
        <v>2344</v>
      </c>
      <c r="AB367" s="455" t="s">
        <v>2344</v>
      </c>
      <c r="AC367" s="455" t="s">
        <v>2344</v>
      </c>
      <c r="AD367" s="455" t="s">
        <v>2344</v>
      </c>
      <c r="AE367" s="455" t="s">
        <v>2344</v>
      </c>
      <c r="AF367" s="455" t="s">
        <v>2344</v>
      </c>
      <c r="AG367" s="455" t="s">
        <v>2344</v>
      </c>
      <c r="AH367" s="455" t="s">
        <v>2344</v>
      </c>
      <c r="AI367" s="455" t="s">
        <v>2344</v>
      </c>
      <c r="AJ367" s="455" t="s">
        <v>2344</v>
      </c>
      <c r="AK367" s="456" t="s">
        <v>3320</v>
      </c>
      <c r="AL367" s="456"/>
      <c r="AM367" s="456" t="s">
        <v>3320</v>
      </c>
      <c r="AN367" s="456" t="s">
        <v>3320</v>
      </c>
      <c r="AO367" s="456"/>
      <c r="AP367" s="456"/>
      <c r="AQ367" s="456"/>
      <c r="AR367" s="456"/>
      <c r="AS367" s="456"/>
      <c r="AT367" s="456"/>
      <c r="AU367" s="456"/>
      <c r="AV367" s="456"/>
      <c r="AW367" s="456"/>
      <c r="AX367" s="456"/>
      <c r="AY367" s="456"/>
      <c r="AZ367" s="456"/>
      <c r="BA367" s="456">
        <v>0.0</v>
      </c>
      <c r="BB367" s="456">
        <v>0.0</v>
      </c>
      <c r="BC367" s="456">
        <v>12149.7</v>
      </c>
      <c r="BD367" s="456" t="s">
        <v>377</v>
      </c>
      <c r="BE367" s="456" t="s">
        <v>377</v>
      </c>
      <c r="BF367" s="456">
        <v>0.0</v>
      </c>
      <c r="BG367" s="456">
        <v>0.0</v>
      </c>
      <c r="BH367" s="456">
        <v>0.0</v>
      </c>
      <c r="BI367" s="456">
        <v>0.0</v>
      </c>
      <c r="BJ367" s="456">
        <v>0.0</v>
      </c>
      <c r="BK367" s="456">
        <v>0.0</v>
      </c>
      <c r="BL367" s="456">
        <v>0.0</v>
      </c>
      <c r="BM367" s="456">
        <v>0.0</v>
      </c>
      <c r="BN367" s="456">
        <v>0.0</v>
      </c>
      <c r="BO367" s="456">
        <v>0.0</v>
      </c>
      <c r="BP367" s="456">
        <v>0.0</v>
      </c>
      <c r="BQ367" s="456">
        <v>0.0</v>
      </c>
      <c r="BR367" s="456">
        <v>0.0</v>
      </c>
      <c r="BS367" s="90">
        <v>0.0</v>
      </c>
      <c r="BT367" s="90"/>
    </row>
    <row r="368" ht="15.75" customHeight="1">
      <c r="A368" s="444" t="s">
        <v>98</v>
      </c>
      <c r="B368" s="445" t="s">
        <v>6500</v>
      </c>
      <c r="C368" s="458" t="s">
        <v>6501</v>
      </c>
      <c r="D368" s="469">
        <v>3247402.0</v>
      </c>
      <c r="E368" s="447" t="s">
        <v>120</v>
      </c>
      <c r="F368" s="448" t="s">
        <v>54</v>
      </c>
      <c r="G368" s="447" t="s">
        <v>348</v>
      </c>
      <c r="H368" s="490">
        <f>IFERROR(VLOOKUP(G368,'Cadastro de assessores'!A:B,2,FALSE),"Não Cadastrado")</f>
        <v>12331</v>
      </c>
      <c r="I368" s="490"/>
      <c r="J368" s="49" t="s">
        <v>2318</v>
      </c>
      <c r="K368" s="447" t="s">
        <v>183</v>
      </c>
      <c r="L368" s="450">
        <v>44673.0</v>
      </c>
      <c r="M368" s="450">
        <v>44673.0</v>
      </c>
      <c r="N368" s="446"/>
      <c r="O368" s="446" t="s">
        <v>2365</v>
      </c>
      <c r="P368" s="452">
        <v>0.012</v>
      </c>
      <c r="Q368" s="207" t="s">
        <v>6503</v>
      </c>
      <c r="R368" s="453"/>
      <c r="S368" s="449" t="str">
        <f t="shared" si="39"/>
        <v>Não Qualificado</v>
      </c>
      <c r="T368" s="449" t="s">
        <v>194</v>
      </c>
      <c r="U368" s="446" t="s">
        <v>2438</v>
      </c>
      <c r="V368" s="449" t="s">
        <v>54</v>
      </c>
      <c r="W368" s="455"/>
      <c r="X368" s="454"/>
      <c r="Y368" s="454"/>
      <c r="Z368" s="454"/>
      <c r="AA368" s="454"/>
      <c r="AB368" s="454"/>
      <c r="AC368" s="454"/>
      <c r="AD368" s="454"/>
      <c r="AE368" s="454"/>
      <c r="AF368" s="454"/>
      <c r="AG368" s="454"/>
      <c r="AH368" s="454"/>
      <c r="AI368" s="455"/>
      <c r="AJ368" s="456"/>
      <c r="AK368" s="456"/>
      <c r="AL368" s="456"/>
      <c r="AM368" s="456"/>
      <c r="AN368" s="456"/>
      <c r="AO368" s="456"/>
      <c r="AP368" s="456"/>
      <c r="AQ368" s="456"/>
      <c r="AR368" s="456"/>
      <c r="AS368" s="456"/>
      <c r="AT368" s="456"/>
      <c r="AU368" s="454"/>
      <c r="AV368" s="456"/>
      <c r="AW368" s="456"/>
      <c r="AX368" s="456"/>
      <c r="AY368" s="456"/>
      <c r="AZ368" s="456"/>
      <c r="BA368" s="456"/>
      <c r="BB368" s="456"/>
      <c r="BC368" s="456">
        <v>501006.0</v>
      </c>
      <c r="BD368" s="456">
        <v>230449.33</v>
      </c>
      <c r="BE368" s="456">
        <v>230628.01</v>
      </c>
      <c r="BF368" s="456">
        <v>233855.81</v>
      </c>
      <c r="BG368" s="456">
        <v>199362.1822</v>
      </c>
      <c r="BH368" s="456">
        <v>500493.73</v>
      </c>
      <c r="BI368" s="456">
        <v>507359.81</v>
      </c>
      <c r="BJ368" s="456">
        <v>509880.36</v>
      </c>
      <c r="BK368" s="456">
        <v>514134.5</v>
      </c>
      <c r="BL368" s="456">
        <v>519917.41</v>
      </c>
      <c r="BM368" s="456">
        <v>5.51</v>
      </c>
      <c r="BN368" s="456">
        <v>6.73</v>
      </c>
      <c r="BO368" s="456">
        <v>6.73</v>
      </c>
      <c r="BP368" s="456">
        <v>6.73</v>
      </c>
      <c r="BQ368" s="456">
        <v>6.73</v>
      </c>
      <c r="BR368" s="456">
        <v>0.0</v>
      </c>
      <c r="BS368" s="90" t="s">
        <v>268</v>
      </c>
      <c r="BT368" s="90"/>
    </row>
    <row r="369" ht="15.75" customHeight="1">
      <c r="A369" s="444" t="s">
        <v>98</v>
      </c>
      <c r="B369" s="445" t="s">
        <v>6506</v>
      </c>
      <c r="C369" s="468" t="s">
        <v>6507</v>
      </c>
      <c r="D369" s="446">
        <v>6000381.0</v>
      </c>
      <c r="E369" s="447" t="s">
        <v>255</v>
      </c>
      <c r="F369" s="447" t="s">
        <v>199</v>
      </c>
      <c r="G369" s="447" t="s">
        <v>212</v>
      </c>
      <c r="H369" s="447">
        <f>IFERROR(VLOOKUP(G369,'Cadastro de assessores'!A:B,2,FALSE),"Não Cadastrado")</f>
        <v>12344</v>
      </c>
      <c r="I369" s="447"/>
      <c r="J369" s="49" t="s">
        <v>2318</v>
      </c>
      <c r="K369" s="447" t="s">
        <v>183</v>
      </c>
      <c r="L369" s="450">
        <v>44404.0</v>
      </c>
      <c r="M369" s="450">
        <v>44404.0</v>
      </c>
      <c r="N369" s="449"/>
      <c r="O369" s="449" t="s">
        <v>2365</v>
      </c>
      <c r="P369" s="452">
        <v>0.012</v>
      </c>
      <c r="Q369" s="330" t="s">
        <v>6513</v>
      </c>
      <c r="R369" s="453"/>
      <c r="S369" s="449" t="str">
        <f t="shared" si="39"/>
        <v>Não Qualificado</v>
      </c>
      <c r="T369" s="449" t="s">
        <v>194</v>
      </c>
      <c r="U369" s="446" t="s">
        <v>2417</v>
      </c>
      <c r="V369" s="449" t="s">
        <v>199</v>
      </c>
      <c r="W369" s="455"/>
      <c r="X369" s="454"/>
      <c r="Y369" s="454"/>
      <c r="Z369" s="454"/>
      <c r="AA369" s="454"/>
      <c r="AB369" s="454"/>
      <c r="AC369" s="454"/>
      <c r="AD369" s="454"/>
      <c r="AE369" s="454"/>
      <c r="AF369" s="454"/>
      <c r="AG369" s="454"/>
      <c r="AH369" s="455"/>
      <c r="AI369" s="455"/>
      <c r="AJ369" s="456"/>
      <c r="AK369" s="456"/>
      <c r="AL369" s="456"/>
      <c r="AM369" s="735"/>
      <c r="AN369" s="735"/>
      <c r="AO369" s="456"/>
      <c r="AP369" s="456"/>
      <c r="AQ369" s="456"/>
      <c r="AR369" s="456"/>
      <c r="AS369" s="454"/>
      <c r="AT369" s="481">
        <v>298524.36</v>
      </c>
      <c r="AU369" s="481">
        <v>297960.23</v>
      </c>
      <c r="AV369" s="456">
        <v>296252.66</v>
      </c>
      <c r="AW369" s="456">
        <v>293133.87</v>
      </c>
      <c r="AX369" s="456">
        <v>294661.52</v>
      </c>
      <c r="AY369" s="456">
        <v>297491.97</v>
      </c>
      <c r="AZ369" s="456">
        <v>302140.15</v>
      </c>
      <c r="BA369" s="456">
        <v>304389.5</v>
      </c>
      <c r="BB369" s="456">
        <v>310305.51</v>
      </c>
      <c r="BC369" s="456">
        <v>435077.12</v>
      </c>
      <c r="BD369" s="456">
        <v>312992.66</v>
      </c>
      <c r="BE369" s="456">
        <v>314051.05</v>
      </c>
      <c r="BF369" s="456">
        <v>317844.27</v>
      </c>
      <c r="BG369" s="456">
        <v>319589.2727</v>
      </c>
      <c r="BH369" s="456">
        <v>320781.76</v>
      </c>
      <c r="BI369" s="456">
        <v>325873.06</v>
      </c>
      <c r="BJ369" s="456">
        <v>327190.34</v>
      </c>
      <c r="BK369" s="456">
        <v>329752.29</v>
      </c>
      <c r="BL369" s="456">
        <v>333367.57</v>
      </c>
      <c r="BM369" s="456">
        <v>335433.23</v>
      </c>
      <c r="BN369" s="456">
        <v>4.99</v>
      </c>
      <c r="BO369" s="456">
        <v>4.99</v>
      </c>
      <c r="BP369" s="456">
        <v>4.99</v>
      </c>
      <c r="BQ369" s="456">
        <v>4.99</v>
      </c>
      <c r="BR369" s="456">
        <v>4.99</v>
      </c>
      <c r="BS369" s="90">
        <v>0.0</v>
      </c>
      <c r="BT369" s="90"/>
    </row>
    <row r="370" ht="15.75" customHeight="1">
      <c r="A370" s="444" t="s">
        <v>98</v>
      </c>
      <c r="B370" s="445" t="s">
        <v>6518</v>
      </c>
      <c r="C370" s="468" t="s">
        <v>6519</v>
      </c>
      <c r="D370" s="446">
        <v>3081966.0</v>
      </c>
      <c r="E370" s="447" t="s">
        <v>120</v>
      </c>
      <c r="F370" s="447" t="s">
        <v>199</v>
      </c>
      <c r="G370" s="447" t="s">
        <v>388</v>
      </c>
      <c r="H370" s="446" t="str">
        <f>IFERROR(VLOOKUP(G370,'Cadastro de assessores'!A:B,2,FALSE),"Não Cadastrado")</f>
        <v>18993</v>
      </c>
      <c r="I370" s="446"/>
      <c r="J370" s="49" t="s">
        <v>2318</v>
      </c>
      <c r="K370" s="447" t="s">
        <v>183</v>
      </c>
      <c r="L370" s="451">
        <v>44488.0</v>
      </c>
      <c r="M370" s="451">
        <v>44498.0</v>
      </c>
      <c r="N370" s="446"/>
      <c r="O370" s="446" t="s">
        <v>2356</v>
      </c>
      <c r="P370" s="452">
        <v>0.005</v>
      </c>
      <c r="Q370" s="330"/>
      <c r="R370" s="453"/>
      <c r="S370" s="449" t="str">
        <f t="shared" si="39"/>
        <v>Não Qualificado</v>
      </c>
      <c r="T370" s="449" t="s">
        <v>194</v>
      </c>
      <c r="U370" s="446" t="s">
        <v>3820</v>
      </c>
      <c r="V370" s="449" t="s">
        <v>397</v>
      </c>
      <c r="W370" s="455"/>
      <c r="X370" s="454"/>
      <c r="Y370" s="454"/>
      <c r="Z370" s="454"/>
      <c r="AA370" s="454"/>
      <c r="AB370" s="454"/>
      <c r="AC370" s="454"/>
      <c r="AD370" s="454"/>
      <c r="AE370" s="454"/>
      <c r="AF370" s="454"/>
      <c r="AG370" s="455"/>
      <c r="AH370" s="455"/>
      <c r="AI370" s="455"/>
      <c r="AJ370" s="456"/>
      <c r="AK370" s="456"/>
      <c r="AL370" s="456"/>
      <c r="AM370" s="456"/>
      <c r="AN370" s="456"/>
      <c r="AO370" s="456"/>
      <c r="AP370" s="456"/>
      <c r="AQ370" s="456"/>
      <c r="AR370" s="456"/>
      <c r="AS370" s="456"/>
      <c r="AT370" s="456"/>
      <c r="AU370" s="456"/>
      <c r="AV370" s="456"/>
      <c r="AW370" s="456"/>
      <c r="AX370" s="456">
        <v>148807.49</v>
      </c>
      <c r="AY370" s="456">
        <v>150280.38</v>
      </c>
      <c r="AZ370" s="456">
        <v>151551.92</v>
      </c>
      <c r="BA370" s="456">
        <v>152719.36</v>
      </c>
      <c r="BB370" s="456">
        <v>154441.86</v>
      </c>
      <c r="BC370" s="456">
        <v>124331.55</v>
      </c>
      <c r="BD370" s="456">
        <v>157901.39</v>
      </c>
      <c r="BE370" s="456">
        <v>159407.19</v>
      </c>
      <c r="BF370" s="456">
        <v>160698.38</v>
      </c>
      <c r="BG370" s="456">
        <v>161622.9699</v>
      </c>
      <c r="BH370" s="456">
        <v>162620.43</v>
      </c>
      <c r="BI370" s="456">
        <v>163873.94</v>
      </c>
      <c r="BJ370" s="456">
        <v>165442.04</v>
      </c>
      <c r="BK370" s="456">
        <v>166885.65</v>
      </c>
      <c r="BL370" s="456">
        <v>108309.34</v>
      </c>
      <c r="BM370" s="456">
        <v>109061.65</v>
      </c>
      <c r="BN370" s="456">
        <v>110460.5</v>
      </c>
      <c r="BO370" s="456">
        <v>111514.64</v>
      </c>
      <c r="BP370" s="456">
        <v>50307.6</v>
      </c>
      <c r="BQ370" s="456">
        <v>50590.47</v>
      </c>
      <c r="BR370" s="456">
        <v>50982.51</v>
      </c>
      <c r="BS370" s="90">
        <v>0.0</v>
      </c>
      <c r="BT370" s="90"/>
    </row>
    <row r="371" ht="15.75" customHeight="1">
      <c r="A371" s="444" t="s">
        <v>98</v>
      </c>
      <c r="B371" s="445" t="s">
        <v>6526</v>
      </c>
      <c r="C371" s="463" t="s">
        <v>6527</v>
      </c>
      <c r="D371" s="447">
        <v>4848711.0</v>
      </c>
      <c r="E371" s="447" t="s">
        <v>255</v>
      </c>
      <c r="F371" s="447" t="s">
        <v>199</v>
      </c>
      <c r="G371" s="447" t="s">
        <v>3877</v>
      </c>
      <c r="H371" s="447" t="str">
        <f>IFERROR(VLOOKUP(G371,'Cadastro de assessores'!A:B,2,FALSE),"Não Cadastrado")</f>
        <v>15049</v>
      </c>
      <c r="I371" s="447"/>
      <c r="J371" s="49" t="s">
        <v>2318</v>
      </c>
      <c r="K371" s="447" t="s">
        <v>183</v>
      </c>
      <c r="L371" s="450">
        <v>44236.0</v>
      </c>
      <c r="M371" s="450">
        <v>44236.0</v>
      </c>
      <c r="N371" s="449"/>
      <c r="O371" s="449" t="s">
        <v>2365</v>
      </c>
      <c r="P371" s="452">
        <v>0.012</v>
      </c>
      <c r="Q371" s="610"/>
      <c r="R371" s="453"/>
      <c r="S371" s="449" t="str">
        <f t="shared" si="39"/>
        <v>Não Qualificado</v>
      </c>
      <c r="T371" s="449" t="s">
        <v>194</v>
      </c>
      <c r="U371" s="449" t="s">
        <v>2374</v>
      </c>
      <c r="V371" s="449" t="s">
        <v>199</v>
      </c>
      <c r="W371" s="455"/>
      <c r="X371" s="455"/>
      <c r="Y371" s="455"/>
      <c r="Z371" s="455"/>
      <c r="AA371" s="455"/>
      <c r="AB371" s="455"/>
      <c r="AC371" s="455"/>
      <c r="AD371" s="455"/>
      <c r="AE371" s="455"/>
      <c r="AF371" s="455"/>
      <c r="AG371" s="455"/>
      <c r="AH371" s="455"/>
      <c r="AI371" s="455" t="s">
        <v>2344</v>
      </c>
      <c r="AJ371" s="455"/>
      <c r="AK371" s="456"/>
      <c r="AL371" s="456"/>
      <c r="AM371" s="456">
        <v>154879.93</v>
      </c>
      <c r="AN371" s="735">
        <v>155088.12</v>
      </c>
      <c r="AO371" s="735">
        <v>157476.63</v>
      </c>
      <c r="AP371" s="456">
        <v>158057.03</v>
      </c>
      <c r="AQ371" s="456">
        <v>157786.46</v>
      </c>
      <c r="AR371" s="456">
        <v>159802.49</v>
      </c>
      <c r="AS371" s="456">
        <v>159536.3</v>
      </c>
      <c r="AT371" s="456">
        <v>158372.56</v>
      </c>
      <c r="AU371" s="456">
        <v>158287.92</v>
      </c>
      <c r="AV371" s="456">
        <v>157252.02</v>
      </c>
      <c r="AW371" s="456">
        <v>155466.36</v>
      </c>
      <c r="AX371" s="456">
        <v>156240.44</v>
      </c>
      <c r="AY371" s="456">
        <v>157955.02</v>
      </c>
      <c r="AZ371" s="456">
        <v>160602.78</v>
      </c>
      <c r="BA371" s="456">
        <v>161847.22</v>
      </c>
      <c r="BB371" s="456">
        <v>165326.03</v>
      </c>
      <c r="BC371" s="456">
        <v>117338.96</v>
      </c>
      <c r="BD371" s="456">
        <v>163834.95</v>
      </c>
      <c r="BE371" s="456">
        <v>164240.82</v>
      </c>
      <c r="BF371" s="456">
        <v>166058.57</v>
      </c>
      <c r="BG371" s="456">
        <v>165488.9922</v>
      </c>
      <c r="BH371" s="456">
        <v>166086.43</v>
      </c>
      <c r="BI371" s="456">
        <v>168623.49</v>
      </c>
      <c r="BJ371" s="456">
        <v>169221.56</v>
      </c>
      <c r="BK371" s="456">
        <v>169807.29</v>
      </c>
      <c r="BL371" s="456">
        <v>171632.45</v>
      </c>
      <c r="BM371" s="456">
        <v>244.41</v>
      </c>
      <c r="BN371" s="456">
        <v>0.0</v>
      </c>
      <c r="BO371" s="456">
        <v>0.0</v>
      </c>
      <c r="BP371" s="456">
        <v>0.0</v>
      </c>
      <c r="BQ371" s="456">
        <v>0.0</v>
      </c>
      <c r="BR371" s="456">
        <v>0.0</v>
      </c>
      <c r="BS371" s="90">
        <v>0.0</v>
      </c>
      <c r="BT371" s="90"/>
    </row>
    <row r="372" ht="15.75" customHeight="1">
      <c r="A372" s="444" t="s">
        <v>98</v>
      </c>
      <c r="B372" s="445" t="s">
        <v>983</v>
      </c>
      <c r="C372" s="458" t="s">
        <v>977</v>
      </c>
      <c r="D372" s="449">
        <v>3064790.0</v>
      </c>
      <c r="E372" s="449" t="s">
        <v>120</v>
      </c>
      <c r="F372" s="449" t="s">
        <v>199</v>
      </c>
      <c r="G372" s="449" t="s">
        <v>803</v>
      </c>
      <c r="H372" s="449" t="str">
        <f>IFERROR(VLOOKUP(G372,'Cadastro de assessores'!A:B,2,FALSE),"Não Cadastrado")</f>
        <v>18467</v>
      </c>
      <c r="I372" s="449"/>
      <c r="J372" s="49" t="s">
        <v>224</v>
      </c>
      <c r="K372" s="449" t="s">
        <v>2340</v>
      </c>
      <c r="L372" s="460">
        <v>43699.0</v>
      </c>
      <c r="M372" s="460">
        <v>43699.0</v>
      </c>
      <c r="N372" s="449"/>
      <c r="O372" s="449" t="s">
        <v>2341</v>
      </c>
      <c r="P372" s="452">
        <v>0.015</v>
      </c>
      <c r="Q372" s="461" t="s">
        <v>6534</v>
      </c>
      <c r="R372" s="453"/>
      <c r="S372" s="449" t="str">
        <f t="shared" si="39"/>
        <v>Não Qualificado</v>
      </c>
      <c r="T372" s="449" t="s">
        <v>194</v>
      </c>
      <c r="U372" s="449" t="s">
        <v>3587</v>
      </c>
      <c r="V372" s="449" t="s">
        <v>54</v>
      </c>
      <c r="W372" s="455" t="s">
        <v>6535</v>
      </c>
      <c r="X372" s="455"/>
      <c r="Y372" s="455" t="s">
        <v>6536</v>
      </c>
      <c r="Z372" s="455" t="s">
        <v>2344</v>
      </c>
      <c r="AA372" s="455" t="s">
        <v>2344</v>
      </c>
      <c r="AB372" s="455" t="s">
        <v>2344</v>
      </c>
      <c r="AC372" s="455" t="s">
        <v>2344</v>
      </c>
      <c r="AD372" s="455" t="s">
        <v>2344</v>
      </c>
      <c r="AE372" s="455" t="s">
        <v>2344</v>
      </c>
      <c r="AF372" s="455" t="s">
        <v>2344</v>
      </c>
      <c r="AG372" s="455" t="s">
        <v>2344</v>
      </c>
      <c r="AH372" s="455"/>
      <c r="AI372" s="455"/>
      <c r="AJ372" s="455"/>
      <c r="AK372" s="456"/>
      <c r="AL372" s="456"/>
      <c r="AM372" s="456" t="s">
        <v>3320</v>
      </c>
      <c r="AN372" s="456" t="s">
        <v>3320</v>
      </c>
      <c r="AO372" s="456"/>
      <c r="AP372" s="456"/>
      <c r="AQ372" s="456"/>
      <c r="AR372" s="456"/>
      <c r="AS372" s="456"/>
      <c r="AT372" s="456"/>
      <c r="AU372" s="456"/>
      <c r="AV372" s="456"/>
      <c r="AW372" s="456"/>
      <c r="AX372" s="456"/>
      <c r="AY372" s="456"/>
      <c r="AZ372" s="456"/>
      <c r="BA372" s="456">
        <v>0.0</v>
      </c>
      <c r="BB372" s="456">
        <v>0.0</v>
      </c>
      <c r="BC372" s="456">
        <v>128599.14</v>
      </c>
      <c r="BD372" s="456" t="s">
        <v>377</v>
      </c>
      <c r="BE372" s="456" t="s">
        <v>377</v>
      </c>
      <c r="BF372" s="456">
        <v>0.0</v>
      </c>
      <c r="BG372" s="456">
        <v>0.0</v>
      </c>
      <c r="BH372" s="456">
        <v>0.0</v>
      </c>
      <c r="BI372" s="456">
        <v>0.0</v>
      </c>
      <c r="BJ372" s="456">
        <v>0.0</v>
      </c>
      <c r="BK372" s="456">
        <v>0.0</v>
      </c>
      <c r="BL372" s="456">
        <v>0.0</v>
      </c>
      <c r="BM372" s="456">
        <v>0.0</v>
      </c>
      <c r="BN372" s="456">
        <v>0.0</v>
      </c>
      <c r="BO372" s="456">
        <v>0.0</v>
      </c>
      <c r="BP372" s="456">
        <v>0.0</v>
      </c>
      <c r="BQ372" s="456">
        <v>0.0</v>
      </c>
      <c r="BR372" s="456">
        <v>0.0</v>
      </c>
      <c r="BS372" s="90" t="s">
        <v>268</v>
      </c>
      <c r="BT372" s="90"/>
    </row>
    <row r="373" ht="15.75" customHeight="1">
      <c r="A373" s="444" t="s">
        <v>98</v>
      </c>
      <c r="B373" s="445" t="s">
        <v>1306</v>
      </c>
      <c r="C373" s="559" t="s">
        <v>6541</v>
      </c>
      <c r="D373" s="469">
        <v>188081.0</v>
      </c>
      <c r="E373" s="448" t="s">
        <v>120</v>
      </c>
      <c r="F373" s="448" t="s">
        <v>199</v>
      </c>
      <c r="G373" s="447" t="s">
        <v>290</v>
      </c>
      <c r="H373" s="449">
        <f>IFERROR(VLOOKUP(G373,'Cadastro de assessores'!A:B,2,FALSE),"Não Cadastrado")</f>
        <v>12332</v>
      </c>
      <c r="I373" s="449"/>
      <c r="J373" s="49" t="s">
        <v>2318</v>
      </c>
      <c r="K373" s="447" t="s">
        <v>183</v>
      </c>
      <c r="L373" s="460">
        <v>44770.0</v>
      </c>
      <c r="M373" s="460">
        <v>44774.0</v>
      </c>
      <c r="N373" s="449"/>
      <c r="O373" s="449" t="s">
        <v>2356</v>
      </c>
      <c r="P373" s="452">
        <v>0.007</v>
      </c>
      <c r="Q373" s="610"/>
      <c r="R373" s="453"/>
      <c r="S373" s="449"/>
      <c r="T373" s="449"/>
      <c r="U373" s="449"/>
      <c r="V373" s="449" t="s">
        <v>618</v>
      </c>
      <c r="W373" s="455"/>
      <c r="X373" s="455"/>
      <c r="Y373" s="455"/>
      <c r="Z373" s="455"/>
      <c r="AA373" s="455"/>
      <c r="AB373" s="455"/>
      <c r="AC373" s="455"/>
      <c r="AD373" s="455"/>
      <c r="AE373" s="455"/>
      <c r="AF373" s="455"/>
      <c r="AG373" s="455"/>
      <c r="AH373" s="455"/>
      <c r="AI373" s="455"/>
      <c r="AJ373" s="455"/>
      <c r="AK373" s="456"/>
      <c r="AL373" s="456"/>
      <c r="AM373" s="456"/>
      <c r="AN373" s="735"/>
      <c r="AO373" s="735"/>
      <c r="AP373" s="456"/>
      <c r="AQ373" s="456"/>
      <c r="AR373" s="456"/>
      <c r="AS373" s="456"/>
      <c r="AT373" s="456"/>
      <c r="AU373" s="456"/>
      <c r="AV373" s="456"/>
      <c r="AW373" s="456"/>
      <c r="AX373" s="456"/>
      <c r="AY373" s="456"/>
      <c r="AZ373" s="456"/>
      <c r="BA373" s="456"/>
      <c r="BB373" s="456"/>
      <c r="BC373" s="456"/>
      <c r="BD373" s="456"/>
      <c r="BE373" s="456"/>
      <c r="BF373" s="456">
        <v>0.0</v>
      </c>
      <c r="BG373" s="456">
        <v>252769.9428</v>
      </c>
      <c r="BH373" s="456">
        <v>255247.38</v>
      </c>
      <c r="BI373" s="456">
        <v>338156.19</v>
      </c>
      <c r="BJ373" s="456">
        <v>341323.48</v>
      </c>
      <c r="BK373" s="456">
        <v>344469.54</v>
      </c>
      <c r="BL373" s="456">
        <v>566800.34</v>
      </c>
      <c r="BM373" s="456">
        <v>350469.23</v>
      </c>
      <c r="BN373" s="456">
        <v>303227.2</v>
      </c>
      <c r="BO373" s="456">
        <v>0.0</v>
      </c>
      <c r="BP373" s="456">
        <v>0.0</v>
      </c>
      <c r="BQ373" s="456">
        <v>0.0</v>
      </c>
      <c r="BR373" s="456">
        <v>0.0</v>
      </c>
      <c r="BS373" s="90">
        <v>0.0</v>
      </c>
      <c r="BT373" s="90"/>
    </row>
    <row r="374" ht="15.75" customHeight="1">
      <c r="A374" s="444" t="s">
        <v>98</v>
      </c>
      <c r="B374" s="445" t="s">
        <v>6552</v>
      </c>
      <c r="C374" s="559" t="s">
        <v>6553</v>
      </c>
      <c r="D374" s="469">
        <v>2834519.0</v>
      </c>
      <c r="E374" s="448" t="s">
        <v>120</v>
      </c>
      <c r="F374" s="448" t="s">
        <v>54</v>
      </c>
      <c r="G374" s="447" t="s">
        <v>348</v>
      </c>
      <c r="H374" s="490">
        <f>IFERROR(VLOOKUP(G374,'Cadastro de assessores'!A:B,2,FALSE),"Não Cadastrado")</f>
        <v>12331</v>
      </c>
      <c r="I374" s="490"/>
      <c r="J374" s="49" t="s">
        <v>2318</v>
      </c>
      <c r="K374" s="447" t="s">
        <v>183</v>
      </c>
      <c r="L374" s="460">
        <v>44596.0</v>
      </c>
      <c r="M374" s="460">
        <v>44614.0</v>
      </c>
      <c r="N374" s="449"/>
      <c r="O374" s="449" t="s">
        <v>2341</v>
      </c>
      <c r="P374" s="452">
        <v>0.015</v>
      </c>
      <c r="Q374" s="461" t="s">
        <v>6556</v>
      </c>
      <c r="R374" s="453"/>
      <c r="S374" s="449" t="str">
        <f t="shared" ref="S374:S379" si="40">IF(BC374&lt;=0,"",IF(BC374&lt;=1000000,"Não Qualificado",IF(AND(BC374&gt;1000000,BC374&lt;=10000000),"Qualificado","Profissional")))</f>
        <v>Qualificado</v>
      </c>
      <c r="T374" s="449" t="s">
        <v>194</v>
      </c>
      <c r="U374" s="449" t="s">
        <v>2438</v>
      </c>
      <c r="V374" s="449" t="s">
        <v>54</v>
      </c>
      <c r="W374" s="455"/>
      <c r="X374" s="455"/>
      <c r="Y374" s="455"/>
      <c r="Z374" s="455"/>
      <c r="AA374" s="455"/>
      <c r="AB374" s="455"/>
      <c r="AC374" s="455"/>
      <c r="AD374" s="455"/>
      <c r="AE374" s="455"/>
      <c r="AF374" s="455"/>
      <c r="AG374" s="455"/>
      <c r="AH374" s="455"/>
      <c r="AI374" s="455"/>
      <c r="AJ374" s="455"/>
      <c r="AK374" s="456"/>
      <c r="AL374" s="456"/>
      <c r="AM374" s="456"/>
      <c r="AN374" s="735"/>
      <c r="AO374" s="735"/>
      <c r="AP374" s="456"/>
      <c r="AQ374" s="456"/>
      <c r="AR374" s="456"/>
      <c r="AS374" s="456"/>
      <c r="AT374" s="456"/>
      <c r="AU374" s="456"/>
      <c r="AV374" s="456"/>
      <c r="AW374" s="456"/>
      <c r="AX374" s="456"/>
      <c r="AY374" s="456"/>
      <c r="AZ374" s="456"/>
      <c r="BA374" s="456">
        <v>178148.22</v>
      </c>
      <c r="BB374" s="456">
        <v>184654.33</v>
      </c>
      <c r="BC374" s="456">
        <v>1120443.75</v>
      </c>
      <c r="BD374" s="456">
        <v>148217.62</v>
      </c>
      <c r="BE374" s="456">
        <v>139911.74</v>
      </c>
      <c r="BF374" s="456">
        <v>151115.27</v>
      </c>
      <c r="BG374" s="456">
        <v>164470.1813</v>
      </c>
      <c r="BH374" s="456">
        <v>163933.62</v>
      </c>
      <c r="BI374" s="456">
        <v>114520.74</v>
      </c>
      <c r="BJ374" s="456">
        <v>112332.7</v>
      </c>
      <c r="BK374" s="456">
        <v>96854.51</v>
      </c>
      <c r="BL374" s="456">
        <v>98084.75</v>
      </c>
      <c r="BM374" s="456">
        <v>101552.8</v>
      </c>
      <c r="BN374" s="456">
        <v>2001.54</v>
      </c>
      <c r="BO374" s="456">
        <v>2074.87</v>
      </c>
      <c r="BP374" s="456">
        <v>2097.1</v>
      </c>
      <c r="BQ374" s="456">
        <v>2114.07</v>
      </c>
      <c r="BR374" s="456">
        <v>1477.3</v>
      </c>
      <c r="BS374" s="90">
        <v>66.14</v>
      </c>
      <c r="BT374" s="90"/>
    </row>
    <row r="375" ht="15.75" customHeight="1">
      <c r="A375" s="444" t="s">
        <v>98</v>
      </c>
      <c r="B375" s="445">
        <v>7.31212665E9</v>
      </c>
      <c r="C375" s="458" t="s">
        <v>6563</v>
      </c>
      <c r="D375" s="449">
        <v>4854627.0</v>
      </c>
      <c r="E375" s="449" t="s">
        <v>120</v>
      </c>
      <c r="F375" s="449" t="s">
        <v>54</v>
      </c>
      <c r="G375" s="449" t="s">
        <v>379</v>
      </c>
      <c r="H375" s="449" t="str">
        <f>IFERROR(VLOOKUP(G375,'Cadastro de assessores'!A:B,2,FALSE),"Não Cadastrado")</f>
        <v>18009</v>
      </c>
      <c r="I375" s="449"/>
      <c r="J375" s="49" t="s">
        <v>224</v>
      </c>
      <c r="K375" s="449" t="s">
        <v>2340</v>
      </c>
      <c r="L375" s="460">
        <v>44237.0</v>
      </c>
      <c r="M375" s="460">
        <v>44237.0</v>
      </c>
      <c r="N375" s="460">
        <v>44613.0</v>
      </c>
      <c r="O375" s="449" t="s">
        <v>2341</v>
      </c>
      <c r="P375" s="452">
        <v>0.015</v>
      </c>
      <c r="Q375" s="461" t="s">
        <v>6567</v>
      </c>
      <c r="R375" s="453"/>
      <c r="S375" s="449" t="str">
        <f t="shared" si="40"/>
        <v/>
      </c>
      <c r="T375" s="449" t="s">
        <v>194</v>
      </c>
      <c r="U375" s="449" t="s">
        <v>2475</v>
      </c>
      <c r="V375" s="449" t="s">
        <v>618</v>
      </c>
      <c r="W375" s="455"/>
      <c r="X375" s="455"/>
      <c r="Y375" s="455"/>
      <c r="Z375" s="455"/>
      <c r="AA375" s="455"/>
      <c r="AB375" s="455"/>
      <c r="AC375" s="455"/>
      <c r="AD375" s="455"/>
      <c r="AE375" s="455"/>
      <c r="AF375" s="455"/>
      <c r="AG375" s="455"/>
      <c r="AH375" s="455"/>
      <c r="AI375" s="455"/>
      <c r="AJ375" s="455"/>
      <c r="AK375" s="456"/>
      <c r="AL375" s="456"/>
      <c r="AM375" s="456">
        <v>192732.9</v>
      </c>
      <c r="AN375" s="456">
        <v>193596.62</v>
      </c>
      <c r="AO375" s="456">
        <v>199152.52</v>
      </c>
      <c r="AP375" s="456">
        <v>200370.03</v>
      </c>
      <c r="AQ375" s="456">
        <v>199537.44</v>
      </c>
      <c r="AR375" s="456">
        <v>204119.34</v>
      </c>
      <c r="AS375" s="456">
        <v>202792.61</v>
      </c>
      <c r="AT375" s="456">
        <v>198775.82</v>
      </c>
      <c r="AU375" s="456">
        <v>197572.66</v>
      </c>
      <c r="AV375" s="456">
        <v>194198.87</v>
      </c>
      <c r="AW375" s="456">
        <v>189054.87</v>
      </c>
      <c r="AX375" s="456">
        <v>188318.29</v>
      </c>
      <c r="AY375" s="456">
        <v>190688.55</v>
      </c>
      <c r="AZ375" s="456">
        <v>196346.64</v>
      </c>
      <c r="BA375" s="456">
        <v>197619.38</v>
      </c>
      <c r="BB375" s="456">
        <v>0.0</v>
      </c>
      <c r="BC375" s="456"/>
      <c r="BD375" s="456" t="s">
        <v>377</v>
      </c>
      <c r="BE375" s="456" t="s">
        <v>377</v>
      </c>
      <c r="BF375" s="456">
        <v>0.0</v>
      </c>
      <c r="BG375" s="456">
        <v>0.0</v>
      </c>
      <c r="BH375" s="456">
        <v>0.0</v>
      </c>
      <c r="BI375" s="456">
        <v>0.0</v>
      </c>
      <c r="BJ375" s="456">
        <v>0.0</v>
      </c>
      <c r="BK375" s="456">
        <v>0.0</v>
      </c>
      <c r="BL375" s="456">
        <v>0.0</v>
      </c>
      <c r="BM375" s="456">
        <v>0.0</v>
      </c>
      <c r="BN375" s="456">
        <v>0.0</v>
      </c>
      <c r="BO375" s="456">
        <v>0.0</v>
      </c>
      <c r="BP375" s="456">
        <v>0.0</v>
      </c>
      <c r="BQ375" s="456">
        <v>0.0</v>
      </c>
      <c r="BR375" s="456">
        <v>0.0</v>
      </c>
      <c r="BS375" s="90" t="s">
        <v>268</v>
      </c>
      <c r="BT375" s="90"/>
    </row>
    <row r="376" ht="15.75" customHeight="1">
      <c r="A376" s="444" t="s">
        <v>98</v>
      </c>
      <c r="B376" s="445" t="s">
        <v>6569</v>
      </c>
      <c r="C376" s="468" t="s">
        <v>6570</v>
      </c>
      <c r="D376" s="446">
        <v>5378763.0</v>
      </c>
      <c r="E376" s="449" t="s">
        <v>120</v>
      </c>
      <c r="F376" s="507" t="s">
        <v>54</v>
      </c>
      <c r="G376" s="449" t="s">
        <v>379</v>
      </c>
      <c r="H376" s="507" t="str">
        <f>IFERROR(VLOOKUP(G376,'Cadastro de assessores'!A:B,2,FALSE),"Não Cadastrado")</f>
        <v>18009</v>
      </c>
      <c r="I376" s="507"/>
      <c r="J376" s="49" t="s">
        <v>224</v>
      </c>
      <c r="K376" s="449" t="s">
        <v>2340</v>
      </c>
      <c r="L376" s="449" t="s">
        <v>3320</v>
      </c>
      <c r="M376" s="449" t="s">
        <v>3320</v>
      </c>
      <c r="N376" s="460">
        <v>44619.0</v>
      </c>
      <c r="O376" s="449" t="s">
        <v>2372</v>
      </c>
      <c r="P376" s="452">
        <v>0.025</v>
      </c>
      <c r="Q376" s="330"/>
      <c r="R376" s="453"/>
      <c r="S376" s="449" t="str">
        <f t="shared" si="40"/>
        <v>Não Qualificado</v>
      </c>
      <c r="T376" s="449" t="s">
        <v>194</v>
      </c>
      <c r="U376" s="449" t="s">
        <v>2475</v>
      </c>
      <c r="V376" s="449" t="s">
        <v>618</v>
      </c>
      <c r="W376" s="455"/>
      <c r="X376" s="455"/>
      <c r="Y376" s="454"/>
      <c r="Z376" s="454"/>
      <c r="AA376" s="454"/>
      <c r="AB376" s="454"/>
      <c r="AC376" s="454"/>
      <c r="AD376" s="454"/>
      <c r="AE376" s="454"/>
      <c r="AF376" s="454"/>
      <c r="AG376" s="454"/>
      <c r="AH376" s="454"/>
      <c r="AI376" s="454"/>
      <c r="AJ376" s="454"/>
      <c r="AK376" s="456"/>
      <c r="AL376" s="456"/>
      <c r="AM376" s="456"/>
      <c r="AN376" s="456"/>
      <c r="AO376" s="456"/>
      <c r="AP376" s="456"/>
      <c r="AQ376" s="454"/>
      <c r="AR376" s="481"/>
      <c r="AS376" s="456"/>
      <c r="AT376" s="456"/>
      <c r="AU376" s="456"/>
      <c r="AV376" s="456"/>
      <c r="AW376" s="456"/>
      <c r="AX376" s="456"/>
      <c r="AY376" s="456"/>
      <c r="AZ376" s="456"/>
      <c r="BA376" s="456">
        <v>0.0</v>
      </c>
      <c r="BB376" s="456">
        <v>0.0</v>
      </c>
      <c r="BC376" s="456">
        <v>321004.04</v>
      </c>
      <c r="BD376" s="456" t="s">
        <v>377</v>
      </c>
      <c r="BE376" s="456" t="s">
        <v>377</v>
      </c>
      <c r="BF376" s="456">
        <v>10000.0</v>
      </c>
      <c r="BG376" s="456">
        <v>0.0</v>
      </c>
      <c r="BH376" s="456">
        <v>0.0</v>
      </c>
      <c r="BI376" s="456">
        <v>0.0</v>
      </c>
      <c r="BJ376" s="456">
        <v>0.0</v>
      </c>
      <c r="BK376" s="456">
        <v>0.0</v>
      </c>
      <c r="BL376" s="456">
        <v>0.0</v>
      </c>
      <c r="BM376" s="456">
        <v>0.0</v>
      </c>
      <c r="BN376" s="456">
        <v>0.0</v>
      </c>
      <c r="BO376" s="456">
        <v>0.0</v>
      </c>
      <c r="BP376" s="456">
        <v>0.0</v>
      </c>
      <c r="BQ376" s="456">
        <v>0.0</v>
      </c>
      <c r="BR376" s="456">
        <v>0.0</v>
      </c>
      <c r="BS376" s="90" t="s">
        <v>268</v>
      </c>
      <c r="BT376" s="90"/>
    </row>
    <row r="377" ht="15.75" customHeight="1">
      <c r="A377" s="444" t="s">
        <v>98</v>
      </c>
      <c r="B377" s="445" t="s">
        <v>6575</v>
      </c>
      <c r="C377" s="468" t="s">
        <v>6577</v>
      </c>
      <c r="D377" s="446">
        <v>5947531.0</v>
      </c>
      <c r="E377" s="447" t="s">
        <v>120</v>
      </c>
      <c r="F377" s="448" t="s">
        <v>54</v>
      </c>
      <c r="G377" s="447" t="s">
        <v>379</v>
      </c>
      <c r="H377" s="448" t="str">
        <f>IFERROR(VLOOKUP(G377,'Cadastro de assessores'!A:B,2,FALSE),"Não Cadastrado")</f>
        <v>18009</v>
      </c>
      <c r="I377" s="448"/>
      <c r="J377" s="49" t="s">
        <v>2318</v>
      </c>
      <c r="K377" s="449" t="s">
        <v>295</v>
      </c>
      <c r="L377" s="449" t="s">
        <v>3320</v>
      </c>
      <c r="M377" s="548" t="s">
        <v>4295</v>
      </c>
      <c r="N377" s="446"/>
      <c r="O377" s="446" t="s">
        <v>2372</v>
      </c>
      <c r="P377" s="452">
        <v>0.025</v>
      </c>
      <c r="Q377" s="207"/>
      <c r="R377" s="453"/>
      <c r="S377" s="449" t="str">
        <f t="shared" si="40"/>
        <v/>
      </c>
      <c r="T377" s="449" t="s">
        <v>194</v>
      </c>
      <c r="U377" s="449" t="s">
        <v>2475</v>
      </c>
      <c r="V377" s="449" t="s">
        <v>618</v>
      </c>
      <c r="W377" s="455"/>
      <c r="X377" s="455"/>
      <c r="Y377" s="454"/>
      <c r="Z377" s="454"/>
      <c r="AA377" s="454"/>
      <c r="AB377" s="454"/>
      <c r="AC377" s="454"/>
      <c r="AD377" s="454"/>
      <c r="AE377" s="454"/>
      <c r="AF377" s="454"/>
      <c r="AG377" s="454"/>
      <c r="AH377" s="455"/>
      <c r="AI377" s="456"/>
      <c r="AJ377" s="456"/>
      <c r="AK377" s="456"/>
      <c r="AL377" s="456"/>
      <c r="AM377" s="456"/>
      <c r="AN377" s="456"/>
      <c r="AO377" s="456"/>
      <c r="AP377" s="456"/>
      <c r="AQ377" s="454"/>
      <c r="AR377" s="456"/>
      <c r="AS377" s="454"/>
      <c r="AT377" s="481"/>
      <c r="AU377" s="481"/>
      <c r="AV377" s="456"/>
      <c r="AW377" s="456"/>
      <c r="AX377" s="456"/>
      <c r="AY377" s="456"/>
      <c r="AZ377" s="456"/>
      <c r="BA377" s="456">
        <v>0.0</v>
      </c>
      <c r="BB377" s="456">
        <v>0.0</v>
      </c>
      <c r="BC377" s="456"/>
      <c r="BD377" s="456" t="s">
        <v>377</v>
      </c>
      <c r="BE377" s="456" t="s">
        <v>377</v>
      </c>
      <c r="BF377" s="456">
        <v>0.0</v>
      </c>
      <c r="BG377" s="456">
        <v>0.0</v>
      </c>
      <c r="BH377" s="456">
        <v>0.0</v>
      </c>
      <c r="BI377" s="456">
        <v>0.0</v>
      </c>
      <c r="BJ377" s="456">
        <v>0.0</v>
      </c>
      <c r="BK377" s="456">
        <v>0.0</v>
      </c>
      <c r="BL377" s="456">
        <v>0.0</v>
      </c>
      <c r="BM377" s="456">
        <v>0.0</v>
      </c>
      <c r="BN377" s="456">
        <v>0.0</v>
      </c>
      <c r="BO377" s="456">
        <v>0.0</v>
      </c>
      <c r="BP377" s="456">
        <v>0.0</v>
      </c>
      <c r="BQ377" s="456">
        <v>0.0</v>
      </c>
      <c r="BR377" s="456">
        <v>0.0</v>
      </c>
      <c r="BS377" s="90">
        <v>0.0</v>
      </c>
      <c r="BT377" s="90"/>
    </row>
    <row r="378" ht="15.75" customHeight="1">
      <c r="A378" s="444" t="s">
        <v>98</v>
      </c>
      <c r="B378" s="445" t="s">
        <v>6583</v>
      </c>
      <c r="C378" s="468" t="s">
        <v>6584</v>
      </c>
      <c r="D378" s="446">
        <v>5655163.0</v>
      </c>
      <c r="E378" s="449" t="s">
        <v>120</v>
      </c>
      <c r="F378" s="507" t="s">
        <v>54</v>
      </c>
      <c r="G378" s="507" t="s">
        <v>379</v>
      </c>
      <c r="H378" s="507" t="str">
        <f>IFERROR(VLOOKUP(G378,'Cadastro de assessores'!A:B,2,FALSE),"Não Cadastrado")</f>
        <v>18009</v>
      </c>
      <c r="I378" s="507"/>
      <c r="J378" s="49" t="s">
        <v>224</v>
      </c>
      <c r="K378" s="449" t="s">
        <v>2340</v>
      </c>
      <c r="L378" s="460"/>
      <c r="M378" s="460">
        <v>44369.0</v>
      </c>
      <c r="N378" s="616">
        <v>44545.0</v>
      </c>
      <c r="O378" s="446" t="s">
        <v>2372</v>
      </c>
      <c r="P378" s="452">
        <v>0.025</v>
      </c>
      <c r="Q378" s="554" t="s">
        <v>6585</v>
      </c>
      <c r="R378" s="453"/>
      <c r="S378" s="449" t="str">
        <f t="shared" si="40"/>
        <v>Não Qualificado</v>
      </c>
      <c r="T378" s="449" t="s">
        <v>194</v>
      </c>
      <c r="U378" s="203" t="s">
        <v>6586</v>
      </c>
      <c r="V378" s="449" t="s">
        <v>618</v>
      </c>
      <c r="W378" s="455"/>
      <c r="X378" s="455"/>
      <c r="Y378" s="454"/>
      <c r="Z378" s="454"/>
      <c r="AA378" s="454"/>
      <c r="AB378" s="454"/>
      <c r="AC378" s="454"/>
      <c r="AD378" s="454"/>
      <c r="AE378" s="454"/>
      <c r="AF378" s="454"/>
      <c r="AG378" s="454"/>
      <c r="AH378" s="454"/>
      <c r="AI378" s="455"/>
      <c r="AJ378" s="456"/>
      <c r="AK378" s="456"/>
      <c r="AL378" s="456"/>
      <c r="AM378" s="456"/>
      <c r="AN378" s="456"/>
      <c r="AO378" s="456"/>
      <c r="AP378" s="456"/>
      <c r="AQ378" s="456"/>
      <c r="AR378" s="454"/>
      <c r="AS378" s="456">
        <v>133106.04</v>
      </c>
      <c r="AT378" s="456">
        <v>126045.16</v>
      </c>
      <c r="AU378" s="456">
        <v>123039.47</v>
      </c>
      <c r="AV378" s="456">
        <v>116166.74</v>
      </c>
      <c r="AW378" s="456">
        <v>105240.49</v>
      </c>
      <c r="AX378" s="456">
        <v>104171.26</v>
      </c>
      <c r="AY378" s="456"/>
      <c r="AZ378" s="456"/>
      <c r="BA378" s="456">
        <v>0.0</v>
      </c>
      <c r="BB378" s="456">
        <v>0.0</v>
      </c>
      <c r="BC378" s="456">
        <v>148158.71</v>
      </c>
      <c r="BD378" s="456" t="s">
        <v>377</v>
      </c>
      <c r="BE378" s="456" t="s">
        <v>377</v>
      </c>
      <c r="BF378" s="456">
        <v>0.0</v>
      </c>
      <c r="BG378" s="456">
        <v>0.0</v>
      </c>
      <c r="BH378" s="456">
        <v>0.0</v>
      </c>
      <c r="BI378" s="456">
        <v>0.0</v>
      </c>
      <c r="BJ378" s="456">
        <v>0.0</v>
      </c>
      <c r="BK378" s="456">
        <v>0.0</v>
      </c>
      <c r="BL378" s="456">
        <v>0.0</v>
      </c>
      <c r="BM378" s="456">
        <v>0.0</v>
      </c>
      <c r="BN378" s="456">
        <v>0.0</v>
      </c>
      <c r="BO378" s="456">
        <v>0.0</v>
      </c>
      <c r="BP378" s="456">
        <v>0.0</v>
      </c>
      <c r="BQ378" s="456">
        <v>0.0</v>
      </c>
      <c r="BR378" s="456">
        <v>0.0</v>
      </c>
      <c r="BS378" s="90" t="s">
        <v>268</v>
      </c>
      <c r="BT378" s="90"/>
    </row>
    <row r="379" ht="15.75" customHeight="1">
      <c r="A379" s="444" t="s">
        <v>98</v>
      </c>
      <c r="B379" s="445" t="s">
        <v>6591</v>
      </c>
      <c r="C379" s="559" t="s">
        <v>6592</v>
      </c>
      <c r="D379" s="490">
        <v>7048589.0</v>
      </c>
      <c r="E379" s="447" t="s">
        <v>120</v>
      </c>
      <c r="F379" s="448" t="s">
        <v>54</v>
      </c>
      <c r="G379" s="447" t="s">
        <v>1393</v>
      </c>
      <c r="H379" s="448" t="str">
        <f>IFERROR(VLOOKUP(G379,'Cadastro de assessores'!A:B,2,FALSE),"Não Cadastrado")</f>
        <v>17831</v>
      </c>
      <c r="I379" s="448"/>
      <c r="J379" s="49" t="s">
        <v>2318</v>
      </c>
      <c r="K379" s="449" t="s">
        <v>183</v>
      </c>
      <c r="L379" s="450">
        <v>44508.0</v>
      </c>
      <c r="M379" s="450">
        <v>44508.0</v>
      </c>
      <c r="N379" s="446"/>
      <c r="O379" s="446" t="s">
        <v>2365</v>
      </c>
      <c r="P379" s="452">
        <v>0.012</v>
      </c>
      <c r="Q379" s="330"/>
      <c r="R379" s="453"/>
      <c r="S379" s="449" t="str">
        <f t="shared" si="40"/>
        <v>Não Qualificado</v>
      </c>
      <c r="T379" s="449" t="s">
        <v>194</v>
      </c>
      <c r="U379" s="449" t="s">
        <v>3587</v>
      </c>
      <c r="V379" s="449" t="s">
        <v>54</v>
      </c>
      <c r="W379" s="455"/>
      <c r="X379" s="455"/>
      <c r="Y379" s="454"/>
      <c r="Z379" s="454"/>
      <c r="AA379" s="454"/>
      <c r="AB379" s="454"/>
      <c r="AC379" s="454"/>
      <c r="AD379" s="454"/>
      <c r="AE379" s="454"/>
      <c r="AF379" s="454"/>
      <c r="AG379" s="455"/>
      <c r="AH379" s="455"/>
      <c r="AI379" s="455"/>
      <c r="AJ379" s="456"/>
      <c r="AK379" s="456"/>
      <c r="AL379" s="456"/>
      <c r="AM379" s="456"/>
      <c r="AN379" s="456"/>
      <c r="AO379" s="456"/>
      <c r="AP379" s="456"/>
      <c r="AQ379" s="456"/>
      <c r="AR379" s="456"/>
      <c r="AS379" s="456"/>
      <c r="AT379" s="456"/>
      <c r="AU379" s="456"/>
      <c r="AV379" s="456"/>
      <c r="AW379" s="454"/>
      <c r="AX379" s="481"/>
      <c r="AY379" s="481">
        <v>143656.05</v>
      </c>
      <c r="AZ379" s="456">
        <v>229.69</v>
      </c>
      <c r="BA379" s="456">
        <v>231.16</v>
      </c>
      <c r="BB379" s="456">
        <v>235.96</v>
      </c>
      <c r="BC379" s="456">
        <v>251784.73</v>
      </c>
      <c r="BD379" s="456">
        <v>352.23</v>
      </c>
      <c r="BE379" s="456">
        <v>355.46</v>
      </c>
      <c r="BF379" s="456">
        <v>357.11</v>
      </c>
      <c r="BG379" s="456">
        <v>359.09</v>
      </c>
      <c r="BH379" s="456">
        <v>360.63</v>
      </c>
      <c r="BI379" s="456">
        <v>362.5</v>
      </c>
      <c r="BJ379" s="456">
        <v>365.06</v>
      </c>
      <c r="BK379" s="456">
        <v>366.81</v>
      </c>
      <c r="BL379" s="456">
        <v>369.04</v>
      </c>
      <c r="BM379" s="456">
        <v>370.74</v>
      </c>
      <c r="BN379" s="456">
        <v>371.45</v>
      </c>
      <c r="BO379" s="456">
        <v>371.45</v>
      </c>
      <c r="BP379" s="456">
        <v>371.45</v>
      </c>
      <c r="BQ379" s="456">
        <v>371.45</v>
      </c>
      <c r="BR379" s="456">
        <v>371.45</v>
      </c>
      <c r="BS379" s="90">
        <v>0.0</v>
      </c>
      <c r="BT379" s="90"/>
    </row>
    <row r="380" ht="15.75" customHeight="1">
      <c r="A380" s="444" t="s">
        <v>98</v>
      </c>
      <c r="B380" s="445" t="s">
        <v>6597</v>
      </c>
      <c r="C380" s="559" t="s">
        <v>6598</v>
      </c>
      <c r="D380" s="448">
        <v>3502759.0</v>
      </c>
      <c r="E380" s="447" t="s">
        <v>120</v>
      </c>
      <c r="F380" s="448" t="s">
        <v>54</v>
      </c>
      <c r="G380" s="447" t="s">
        <v>348</v>
      </c>
      <c r="H380" s="448"/>
      <c r="I380" s="448"/>
      <c r="J380" s="49" t="s">
        <v>2318</v>
      </c>
      <c r="K380" s="449"/>
      <c r="L380" s="451"/>
      <c r="M380" s="447"/>
      <c r="N380" s="446"/>
      <c r="O380" s="446" t="s">
        <v>2341</v>
      </c>
      <c r="P380" s="452">
        <v>0.015</v>
      </c>
      <c r="Q380" s="330"/>
      <c r="R380" s="453"/>
      <c r="S380" s="449"/>
      <c r="T380" s="449"/>
      <c r="U380" s="446"/>
      <c r="V380" s="449" t="s">
        <v>54</v>
      </c>
      <c r="W380" s="455"/>
      <c r="X380" s="455"/>
      <c r="Y380" s="454"/>
      <c r="Z380" s="454"/>
      <c r="AA380" s="454"/>
      <c r="AB380" s="454"/>
      <c r="AC380" s="454"/>
      <c r="AD380" s="454"/>
      <c r="AE380" s="454"/>
      <c r="AF380" s="454"/>
      <c r="AG380" s="455"/>
      <c r="AH380" s="455"/>
      <c r="AI380" s="455"/>
      <c r="AJ380" s="456"/>
      <c r="AK380" s="456"/>
      <c r="AL380" s="456"/>
      <c r="AM380" s="456"/>
      <c r="AN380" s="456"/>
      <c r="AO380" s="456"/>
      <c r="AP380" s="456"/>
      <c r="AQ380" s="456"/>
      <c r="AR380" s="456"/>
      <c r="AS380" s="456"/>
      <c r="AT380" s="456"/>
      <c r="AU380" s="456"/>
      <c r="AV380" s="456"/>
      <c r="AW380" s="454"/>
      <c r="AX380" s="481"/>
      <c r="AY380" s="481"/>
      <c r="AZ380" s="456"/>
      <c r="BA380" s="456"/>
      <c r="BB380" s="456"/>
      <c r="BC380" s="456"/>
      <c r="BD380" s="456"/>
      <c r="BE380" s="456"/>
      <c r="BF380" s="456"/>
      <c r="BG380" s="456"/>
      <c r="BH380" s="456"/>
      <c r="BI380" s="456"/>
      <c r="BJ380" s="456"/>
      <c r="BK380" s="456"/>
      <c r="BL380" s="456">
        <v>190952.18</v>
      </c>
      <c r="BM380" s="456">
        <v>188025.53</v>
      </c>
      <c r="BN380" s="456">
        <v>0.0</v>
      </c>
      <c r="BO380" s="456">
        <v>0.0</v>
      </c>
      <c r="BP380" s="456">
        <v>0.0</v>
      </c>
      <c r="BQ380" s="456">
        <v>0.0</v>
      </c>
      <c r="BR380" s="456">
        <v>0.0</v>
      </c>
      <c r="BS380" s="90" t="s">
        <v>268</v>
      </c>
      <c r="BT380" s="90"/>
    </row>
    <row r="381" ht="15.75" customHeight="1">
      <c r="A381" s="444" t="s">
        <v>98</v>
      </c>
      <c r="B381" s="445" t="s">
        <v>6604</v>
      </c>
      <c r="C381" s="559" t="s">
        <v>6605</v>
      </c>
      <c r="D381" s="448">
        <v>9281869.0</v>
      </c>
      <c r="E381" s="447" t="s">
        <v>120</v>
      </c>
      <c r="F381" s="448" t="s">
        <v>91</v>
      </c>
      <c r="G381" s="447" t="s">
        <v>4902</v>
      </c>
      <c r="H381" s="448">
        <f>IFERROR(VLOOKUP(G381,'Cadastro de assessores'!A:B,2,FALSE),"Não Cadastrado")</f>
        <v>12360</v>
      </c>
      <c r="I381" s="448"/>
      <c r="J381" s="49" t="s">
        <v>224</v>
      </c>
      <c r="K381" s="449"/>
      <c r="L381" s="451">
        <v>44831.0</v>
      </c>
      <c r="M381" s="451">
        <v>44831.0</v>
      </c>
      <c r="N381" s="446"/>
      <c r="O381" s="446" t="s">
        <v>2372</v>
      </c>
      <c r="P381" s="452">
        <v>0.025</v>
      </c>
      <c r="Q381" s="330" t="s">
        <v>6610</v>
      </c>
      <c r="R381" s="453"/>
      <c r="S381" s="449"/>
      <c r="T381" s="449"/>
      <c r="U381" s="446"/>
      <c r="V381" s="449" t="s">
        <v>54</v>
      </c>
      <c r="W381" s="455"/>
      <c r="X381" s="455"/>
      <c r="Y381" s="454"/>
      <c r="Z381" s="454"/>
      <c r="AA381" s="454"/>
      <c r="AB381" s="454"/>
      <c r="AC381" s="454"/>
      <c r="AD381" s="454"/>
      <c r="AE381" s="454"/>
      <c r="AF381" s="454"/>
      <c r="AG381" s="455"/>
      <c r="AH381" s="455"/>
      <c r="AI381" s="455"/>
      <c r="AJ381" s="456"/>
      <c r="AK381" s="456"/>
      <c r="AL381" s="456"/>
      <c r="AM381" s="456"/>
      <c r="AN381" s="456"/>
      <c r="AO381" s="456"/>
      <c r="AP381" s="456"/>
      <c r="AQ381" s="456"/>
      <c r="AR381" s="456"/>
      <c r="AS381" s="456"/>
      <c r="AT381" s="456"/>
      <c r="AU381" s="456"/>
      <c r="AV381" s="456"/>
      <c r="AW381" s="454"/>
      <c r="AX381" s="481"/>
      <c r="AY381" s="481"/>
      <c r="AZ381" s="456"/>
      <c r="BA381" s="456"/>
      <c r="BB381" s="456"/>
      <c r="BC381" s="456"/>
      <c r="BD381" s="456"/>
      <c r="BE381" s="456"/>
      <c r="BF381" s="456"/>
      <c r="BG381" s="456"/>
      <c r="BH381" s="456">
        <v>99669.71</v>
      </c>
      <c r="BI381" s="456">
        <v>96983.41</v>
      </c>
      <c r="BJ381" s="456">
        <v>0.0</v>
      </c>
      <c r="BK381" s="456">
        <v>0.0</v>
      </c>
      <c r="BL381" s="456">
        <v>0.0</v>
      </c>
      <c r="BM381" s="456">
        <v>0.0</v>
      </c>
      <c r="BN381" s="456">
        <v>0.0</v>
      </c>
      <c r="BO381" s="456">
        <v>0.0</v>
      </c>
      <c r="BP381" s="456">
        <v>0.0</v>
      </c>
      <c r="BQ381" s="456">
        <v>0.0</v>
      </c>
      <c r="BR381" s="456">
        <v>0.0</v>
      </c>
      <c r="BS381" s="90" t="s">
        <v>268</v>
      </c>
      <c r="BT381" s="90"/>
    </row>
    <row r="382" ht="15.75" customHeight="1">
      <c r="A382" s="444" t="s">
        <v>98</v>
      </c>
      <c r="B382" s="445" t="s">
        <v>6618</v>
      </c>
      <c r="C382" s="559" t="s">
        <v>6619</v>
      </c>
      <c r="D382" s="448">
        <v>4006849.0</v>
      </c>
      <c r="E382" s="447" t="s">
        <v>120</v>
      </c>
      <c r="F382" s="448" t="s">
        <v>54</v>
      </c>
      <c r="G382" s="447" t="s">
        <v>379</v>
      </c>
      <c r="H382" s="448" t="str">
        <f>IFERROR(VLOOKUP(G382,'Cadastro de assessores'!A:B,2,FALSE),"Não Cadastrado")</f>
        <v>18009</v>
      </c>
      <c r="I382" s="448"/>
      <c r="J382" s="49" t="s">
        <v>2318</v>
      </c>
      <c r="K382" s="449" t="s">
        <v>183</v>
      </c>
      <c r="L382" s="451">
        <v>44517.0</v>
      </c>
      <c r="M382" s="451">
        <v>44517.0</v>
      </c>
      <c r="N382" s="446"/>
      <c r="O382" s="446" t="s">
        <v>2341</v>
      </c>
      <c r="P382" s="452">
        <v>0.015</v>
      </c>
      <c r="Q382" s="330" t="s">
        <v>3896</v>
      </c>
      <c r="R382" s="453"/>
      <c r="S382" s="449" t="str">
        <f t="shared" ref="S382:S385" si="41">IF(BC382&lt;=0,"",IF(BC382&lt;=1000000,"Não Qualificado",IF(AND(BC382&gt;1000000,BC382&lt;=10000000),"Qualificado","Profissional")))</f>
        <v>Não Qualificado</v>
      </c>
      <c r="T382" s="449" t="s">
        <v>194</v>
      </c>
      <c r="U382" s="446" t="s">
        <v>3898</v>
      </c>
      <c r="V382" s="449" t="s">
        <v>54</v>
      </c>
      <c r="W382" s="455"/>
      <c r="X382" s="455"/>
      <c r="Y382" s="454"/>
      <c r="Z382" s="454"/>
      <c r="AA382" s="454"/>
      <c r="AB382" s="454"/>
      <c r="AC382" s="454"/>
      <c r="AD382" s="454"/>
      <c r="AE382" s="454"/>
      <c r="AF382" s="454"/>
      <c r="AG382" s="455"/>
      <c r="AH382" s="455"/>
      <c r="AI382" s="455"/>
      <c r="AJ382" s="456"/>
      <c r="AK382" s="456"/>
      <c r="AL382" s="456"/>
      <c r="AM382" s="456"/>
      <c r="AN382" s="456"/>
      <c r="AO382" s="456"/>
      <c r="AP382" s="456"/>
      <c r="AQ382" s="456"/>
      <c r="AR382" s="456"/>
      <c r="AS382" s="456"/>
      <c r="AT382" s="456"/>
      <c r="AU382" s="456"/>
      <c r="AV382" s="456"/>
      <c r="AW382" s="454"/>
      <c r="AX382" s="481"/>
      <c r="AY382" s="481">
        <v>1154690.82</v>
      </c>
      <c r="AZ382" s="456">
        <v>1185044.9</v>
      </c>
      <c r="BA382" s="456">
        <v>1192460.35</v>
      </c>
      <c r="BB382" s="456">
        <v>1232692.22</v>
      </c>
      <c r="BC382" s="456">
        <v>210796.51</v>
      </c>
      <c r="BD382" s="456">
        <v>1220416.37</v>
      </c>
      <c r="BE382" s="456">
        <v>1218127.27</v>
      </c>
      <c r="BF382" s="456">
        <v>1237671.2</v>
      </c>
      <c r="BG382" s="456">
        <v>1244901.25</v>
      </c>
      <c r="BH382" s="456">
        <v>1248058.23</v>
      </c>
      <c r="BI382" s="456">
        <v>1284223.81</v>
      </c>
      <c r="BJ382" s="456">
        <v>1285944.77</v>
      </c>
      <c r="BK382" s="456">
        <v>1294417.73</v>
      </c>
      <c r="BL382" s="456">
        <v>1303546.17</v>
      </c>
      <c r="BM382" s="456">
        <v>1311574.18</v>
      </c>
      <c r="BN382" s="456">
        <v>1326126.39</v>
      </c>
      <c r="BO382" s="456">
        <v>0.0</v>
      </c>
      <c r="BP382" s="456">
        <v>0.0</v>
      </c>
      <c r="BQ382" s="456">
        <v>0.0</v>
      </c>
      <c r="BR382" s="456">
        <v>0.0</v>
      </c>
      <c r="BS382" s="90" t="s">
        <v>268</v>
      </c>
      <c r="BT382" s="90"/>
    </row>
    <row r="383" ht="15.75" customHeight="1">
      <c r="A383" s="444" t="s">
        <v>98</v>
      </c>
      <c r="B383" s="445" t="s">
        <v>6624</v>
      </c>
      <c r="C383" s="458" t="s">
        <v>6397</v>
      </c>
      <c r="D383" s="449">
        <v>4017894.0</v>
      </c>
      <c r="E383" s="449" t="s">
        <v>120</v>
      </c>
      <c r="F383" s="449" t="s">
        <v>199</v>
      </c>
      <c r="G383" s="449" t="s">
        <v>4744</v>
      </c>
      <c r="H383" s="449" t="str">
        <f>IFERROR(VLOOKUP(G383,'Cadastro de assessores'!A:B,2,FALSE),"Não Cadastrado")</f>
        <v>12846</v>
      </c>
      <c r="I383" s="449"/>
      <c r="J383" s="49" t="s">
        <v>224</v>
      </c>
      <c r="K383" s="449" t="s">
        <v>2340</v>
      </c>
      <c r="L383" s="460"/>
      <c r="M383" s="460">
        <v>44291.0</v>
      </c>
      <c r="N383" s="460">
        <v>44378.0</v>
      </c>
      <c r="O383" s="449" t="s">
        <v>2372</v>
      </c>
      <c r="P383" s="452">
        <v>0.01</v>
      </c>
      <c r="Q383" s="461" t="s">
        <v>4807</v>
      </c>
      <c r="R383" s="453"/>
      <c r="S383" s="449" t="str">
        <f t="shared" si="41"/>
        <v>Não Qualificado</v>
      </c>
      <c r="T383" s="449" t="s">
        <v>194</v>
      </c>
      <c r="U383" s="449" t="s">
        <v>3587</v>
      </c>
      <c r="V383" s="449" t="s">
        <v>54</v>
      </c>
      <c r="W383" s="455"/>
      <c r="X383" s="455"/>
      <c r="Y383" s="455"/>
      <c r="Z383" s="455"/>
      <c r="AA383" s="455"/>
      <c r="AB383" s="455"/>
      <c r="AC383" s="455"/>
      <c r="AD383" s="455"/>
      <c r="AE383" s="455"/>
      <c r="AF383" s="455"/>
      <c r="AG383" s="455"/>
      <c r="AH383" s="455"/>
      <c r="AI383" s="455"/>
      <c r="AJ383" s="455"/>
      <c r="AK383" s="456"/>
      <c r="AL383" s="456"/>
      <c r="AM383" s="456"/>
      <c r="AN383" s="456"/>
      <c r="AO383" s="456"/>
      <c r="AP383" s="456">
        <v>1281133.42</v>
      </c>
      <c r="AQ383" s="456">
        <v>1293411.05</v>
      </c>
      <c r="AR383" s="456">
        <v>1311526.19</v>
      </c>
      <c r="AS383" s="456">
        <v>1322381.07</v>
      </c>
      <c r="AT383" s="456"/>
      <c r="AU383" s="456"/>
      <c r="AV383" s="456"/>
      <c r="AW383" s="456"/>
      <c r="AX383" s="456"/>
      <c r="AY383" s="456"/>
      <c r="AZ383" s="456"/>
      <c r="BA383" s="456">
        <v>0.0</v>
      </c>
      <c r="BB383" s="456">
        <v>0.0</v>
      </c>
      <c r="BC383" s="456">
        <v>233620.35</v>
      </c>
      <c r="BD383" s="456" t="s">
        <v>377</v>
      </c>
      <c r="BE383" s="456" t="s">
        <v>377</v>
      </c>
      <c r="BF383" s="456">
        <v>0.0</v>
      </c>
      <c r="BG383" s="456">
        <v>0.0</v>
      </c>
      <c r="BH383" s="456">
        <v>0.0</v>
      </c>
      <c r="BI383" s="456">
        <v>0.0</v>
      </c>
      <c r="BJ383" s="456">
        <v>0.0</v>
      </c>
      <c r="BK383" s="456">
        <v>0.0</v>
      </c>
      <c r="BL383" s="456">
        <v>0.0</v>
      </c>
      <c r="BM383" s="456">
        <v>0.0</v>
      </c>
      <c r="BN383" s="456">
        <v>0.0</v>
      </c>
      <c r="BO383" s="456">
        <v>0.0</v>
      </c>
      <c r="BP383" s="456">
        <v>0.0</v>
      </c>
      <c r="BQ383" s="456">
        <v>0.0</v>
      </c>
      <c r="BR383" s="456">
        <v>0.0</v>
      </c>
      <c r="BS383" s="90" t="s">
        <v>268</v>
      </c>
      <c r="BT383" s="90"/>
    </row>
    <row r="384" ht="15.75" customHeight="1">
      <c r="A384" s="444" t="s">
        <v>98</v>
      </c>
      <c r="B384" s="445" t="s">
        <v>1739</v>
      </c>
      <c r="C384" s="458" t="s">
        <v>6629</v>
      </c>
      <c r="D384" s="449">
        <v>2172838.0</v>
      </c>
      <c r="E384" s="449" t="s">
        <v>120</v>
      </c>
      <c r="F384" s="449" t="s">
        <v>199</v>
      </c>
      <c r="G384" s="449" t="s">
        <v>439</v>
      </c>
      <c r="H384" s="449" t="str">
        <f>IFERROR(VLOOKUP(G384,'Cadastro de assessores'!A:B,2,FALSE),"Não Cadastrado")</f>
        <v>18236</v>
      </c>
      <c r="I384" s="449"/>
      <c r="J384" s="49" t="s">
        <v>224</v>
      </c>
      <c r="K384" s="449" t="s">
        <v>2340</v>
      </c>
      <c r="L384" s="460"/>
      <c r="M384" s="460">
        <v>43671.0</v>
      </c>
      <c r="N384" s="449" t="s">
        <v>2916</v>
      </c>
      <c r="O384" s="449" t="s">
        <v>2372</v>
      </c>
      <c r="P384" s="452">
        <v>1.0E-4</v>
      </c>
      <c r="Q384" s="607" t="s">
        <v>2918</v>
      </c>
      <c r="R384" s="453"/>
      <c r="S384" s="449" t="str">
        <f t="shared" si="41"/>
        <v>Não Qualificado</v>
      </c>
      <c r="T384" s="449" t="s">
        <v>234</v>
      </c>
      <c r="U384" s="449" t="s">
        <v>2374</v>
      </c>
      <c r="V384" s="449" t="s">
        <v>199</v>
      </c>
      <c r="W384" s="455" t="s">
        <v>6632</v>
      </c>
      <c r="X384" s="455"/>
      <c r="Y384" s="455" t="s">
        <v>6633</v>
      </c>
      <c r="Z384" s="455" t="s">
        <v>2344</v>
      </c>
      <c r="AA384" s="455" t="s">
        <v>2344</v>
      </c>
      <c r="AB384" s="455" t="s">
        <v>2344</v>
      </c>
      <c r="AC384" s="455" t="s">
        <v>2344</v>
      </c>
      <c r="AD384" s="455" t="s">
        <v>2344</v>
      </c>
      <c r="AE384" s="455" t="s">
        <v>2344</v>
      </c>
      <c r="AF384" s="455" t="s">
        <v>2344</v>
      </c>
      <c r="AG384" s="455" t="s">
        <v>2344</v>
      </c>
      <c r="AH384" s="455"/>
      <c r="AI384" s="455" t="s">
        <v>2344</v>
      </c>
      <c r="AJ384" s="455"/>
      <c r="AK384" s="456"/>
      <c r="AL384" s="456"/>
      <c r="AM384" s="456" t="s">
        <v>3320</v>
      </c>
      <c r="AN384" s="456" t="s">
        <v>3320</v>
      </c>
      <c r="AO384" s="456"/>
      <c r="AP384" s="456"/>
      <c r="AQ384" s="456"/>
      <c r="AR384" s="456"/>
      <c r="AS384" s="456"/>
      <c r="AT384" s="456"/>
      <c r="AU384" s="456"/>
      <c r="AV384" s="456"/>
      <c r="AW384" s="456"/>
      <c r="AX384" s="456"/>
      <c r="AY384" s="456"/>
      <c r="AZ384" s="456"/>
      <c r="BA384" s="456">
        <v>0.0</v>
      </c>
      <c r="BB384" s="456">
        <v>0.0</v>
      </c>
      <c r="BC384" s="456">
        <v>700251.99</v>
      </c>
      <c r="BD384" s="456" t="s">
        <v>377</v>
      </c>
      <c r="BE384" s="456" t="s">
        <v>377</v>
      </c>
      <c r="BF384" s="456">
        <v>0.0</v>
      </c>
      <c r="BG384" s="456">
        <v>0.0</v>
      </c>
      <c r="BH384" s="456">
        <v>0.0</v>
      </c>
      <c r="BI384" s="456">
        <v>0.0</v>
      </c>
      <c r="BJ384" s="456">
        <v>0.0</v>
      </c>
      <c r="BK384" s="456">
        <v>0.0</v>
      </c>
      <c r="BL384" s="456">
        <v>0.0</v>
      </c>
      <c r="BM384" s="456">
        <v>0.0</v>
      </c>
      <c r="BN384" s="456">
        <v>0.0</v>
      </c>
      <c r="BO384" s="456">
        <v>0.0</v>
      </c>
      <c r="BP384" s="456">
        <v>0.0</v>
      </c>
      <c r="BQ384" s="456">
        <v>0.0</v>
      </c>
      <c r="BR384" s="456">
        <v>0.0</v>
      </c>
      <c r="BS384" s="90" t="s">
        <v>268</v>
      </c>
      <c r="BT384" s="90"/>
    </row>
    <row r="385" ht="15.75" customHeight="1">
      <c r="A385" s="444" t="s">
        <v>98</v>
      </c>
      <c r="B385" s="445" t="s">
        <v>6641</v>
      </c>
      <c r="C385" s="458" t="s">
        <v>6642</v>
      </c>
      <c r="D385" s="449">
        <v>6683617.0</v>
      </c>
      <c r="E385" s="449" t="s">
        <v>120</v>
      </c>
      <c r="F385" s="449" t="s">
        <v>54</v>
      </c>
      <c r="G385" s="507" t="s">
        <v>379</v>
      </c>
      <c r="H385" s="449" t="str">
        <f>IFERROR(VLOOKUP(G385,'Cadastro de assessores'!A:B,2,FALSE),"Não Cadastrado")</f>
        <v>18009</v>
      </c>
      <c r="I385" s="449"/>
      <c r="J385" s="49" t="s">
        <v>224</v>
      </c>
      <c r="K385" s="449" t="s">
        <v>2340</v>
      </c>
      <c r="L385" s="460"/>
      <c r="M385" s="460">
        <v>44463.0</v>
      </c>
      <c r="N385" s="460">
        <v>44678.0</v>
      </c>
      <c r="O385" s="449" t="s">
        <v>3721</v>
      </c>
      <c r="P385" s="452">
        <v>0.02</v>
      </c>
      <c r="Q385" s="330" t="s">
        <v>6643</v>
      </c>
      <c r="R385" s="453"/>
      <c r="S385" s="449" t="str">
        <f t="shared" si="41"/>
        <v>Não Qualificado</v>
      </c>
      <c r="T385" s="449" t="s">
        <v>194</v>
      </c>
      <c r="U385" s="446" t="s">
        <v>6644</v>
      </c>
      <c r="V385" s="449" t="s">
        <v>2854</v>
      </c>
      <c r="W385" s="455"/>
      <c r="X385" s="454"/>
      <c r="Y385" s="454"/>
      <c r="Z385" s="454"/>
      <c r="AA385" s="454"/>
      <c r="AB385" s="454"/>
      <c r="AC385" s="454"/>
      <c r="AD385" s="454"/>
      <c r="AE385" s="454"/>
      <c r="AF385" s="454"/>
      <c r="AG385" s="455"/>
      <c r="AH385" s="455"/>
      <c r="AI385" s="455"/>
      <c r="AJ385" s="456"/>
      <c r="AK385" s="456"/>
      <c r="AL385" s="456"/>
      <c r="AM385" s="456"/>
      <c r="AN385" s="456"/>
      <c r="AO385" s="456"/>
      <c r="AP385" s="456"/>
      <c r="AQ385" s="456"/>
      <c r="AR385" s="456"/>
      <c r="AS385" s="456"/>
      <c r="AT385" s="456"/>
      <c r="AU385" s="454"/>
      <c r="AV385" s="456"/>
      <c r="AW385" s="456">
        <v>50414.87</v>
      </c>
      <c r="AX385" s="456">
        <v>45721.57</v>
      </c>
      <c r="AY385" s="456">
        <v>46351.95</v>
      </c>
      <c r="AZ385" s="456">
        <v>48129.78</v>
      </c>
      <c r="BA385" s="456">
        <v>49538.29</v>
      </c>
      <c r="BB385" s="456">
        <v>51830.18</v>
      </c>
      <c r="BC385" s="456">
        <v>169257.75</v>
      </c>
      <c r="BD385" s="456" t="s">
        <v>377</v>
      </c>
      <c r="BE385" s="456" t="s">
        <v>377</v>
      </c>
      <c r="BF385" s="456">
        <v>0.0</v>
      </c>
      <c r="BG385" s="456">
        <v>0.0</v>
      </c>
      <c r="BH385" s="456">
        <v>0.0</v>
      </c>
      <c r="BI385" s="456">
        <v>0.0</v>
      </c>
      <c r="BJ385" s="456">
        <v>0.0</v>
      </c>
      <c r="BK385" s="456">
        <v>0.0</v>
      </c>
      <c r="BL385" s="456">
        <v>0.0</v>
      </c>
      <c r="BM385" s="456">
        <v>0.0</v>
      </c>
      <c r="BN385" s="456">
        <v>0.0</v>
      </c>
      <c r="BO385" s="456">
        <v>0.0</v>
      </c>
      <c r="BP385" s="456">
        <v>0.0</v>
      </c>
      <c r="BQ385" s="456">
        <v>0.0</v>
      </c>
      <c r="BR385" s="456">
        <v>0.0</v>
      </c>
      <c r="BS385" s="90" t="s">
        <v>268</v>
      </c>
      <c r="BT385" s="90"/>
    </row>
    <row r="386" ht="15.75" customHeight="1">
      <c r="A386" s="444" t="s">
        <v>98</v>
      </c>
      <c r="B386" s="445" t="s">
        <v>6646</v>
      </c>
      <c r="C386" s="458" t="s">
        <v>6647</v>
      </c>
      <c r="D386" s="449">
        <v>2587496.0</v>
      </c>
      <c r="E386" s="449" t="s">
        <v>120</v>
      </c>
      <c r="F386" s="449" t="s">
        <v>54</v>
      </c>
      <c r="G386" s="507" t="s">
        <v>1393</v>
      </c>
      <c r="H386" s="449"/>
      <c r="I386" s="449"/>
      <c r="J386" s="49" t="s">
        <v>224</v>
      </c>
      <c r="K386" s="449"/>
      <c r="L386" s="460"/>
      <c r="M386" s="460">
        <v>44861.0</v>
      </c>
      <c r="N386" s="460"/>
      <c r="O386" s="449" t="s">
        <v>6648</v>
      </c>
      <c r="P386" s="452">
        <v>0.01</v>
      </c>
      <c r="Q386" s="461"/>
      <c r="R386" s="453"/>
      <c r="S386" s="449"/>
      <c r="T386" s="449"/>
      <c r="U386" s="446"/>
      <c r="V386" s="449" t="s">
        <v>54</v>
      </c>
      <c r="W386" s="455"/>
      <c r="X386" s="455"/>
      <c r="Y386" s="455"/>
      <c r="Z386" s="455"/>
      <c r="AA386" s="455"/>
      <c r="AB386" s="455"/>
      <c r="AC386" s="455"/>
      <c r="AD386" s="455"/>
      <c r="AE386" s="455"/>
      <c r="AF386" s="455"/>
      <c r="AG386" s="455"/>
      <c r="AH386" s="455"/>
      <c r="AI386" s="455"/>
      <c r="AJ386" s="455"/>
      <c r="AK386" s="456"/>
      <c r="AL386" s="456"/>
      <c r="AM386" s="456"/>
      <c r="AN386" s="456"/>
      <c r="AO386" s="456"/>
      <c r="AP386" s="456"/>
      <c r="AQ386" s="456"/>
      <c r="AR386" s="456"/>
      <c r="AS386" s="456"/>
      <c r="AT386" s="456"/>
      <c r="AU386" s="456"/>
      <c r="AV386" s="456"/>
      <c r="AW386" s="456"/>
      <c r="AX386" s="456"/>
      <c r="AY386" s="456"/>
      <c r="AZ386" s="456"/>
      <c r="BA386" s="456"/>
      <c r="BB386" s="456"/>
      <c r="BC386" s="456"/>
      <c r="BD386" s="456"/>
      <c r="BE386" s="456"/>
      <c r="BF386" s="456"/>
      <c r="BG386" s="456"/>
      <c r="BH386" s="456"/>
      <c r="BI386" s="456">
        <v>200988.51</v>
      </c>
      <c r="BJ386" s="456">
        <v>202983.16</v>
      </c>
      <c r="BK386" s="456">
        <v>204762.79</v>
      </c>
      <c r="BL386" s="456">
        <v>207000.32</v>
      </c>
      <c r="BM386" s="456">
        <v>208764.45</v>
      </c>
      <c r="BN386" s="456">
        <v>211245.87</v>
      </c>
      <c r="BO386" s="456">
        <v>1009.34</v>
      </c>
      <c r="BP386" s="456">
        <v>1068.81</v>
      </c>
      <c r="BQ386" s="456">
        <v>1053.55</v>
      </c>
      <c r="BR386" s="456">
        <v>1073.18</v>
      </c>
      <c r="BS386" s="90" t="s">
        <v>268</v>
      </c>
      <c r="BT386" s="90"/>
    </row>
    <row r="387" ht="15.75" customHeight="1">
      <c r="A387" s="444" t="s">
        <v>98</v>
      </c>
      <c r="B387" s="445" t="s">
        <v>6651</v>
      </c>
      <c r="C387" s="458" t="s">
        <v>6653</v>
      </c>
      <c r="D387" s="449">
        <v>4742129.0</v>
      </c>
      <c r="E387" s="449" t="s">
        <v>120</v>
      </c>
      <c r="F387" s="449" t="s">
        <v>622</v>
      </c>
      <c r="G387" s="507" t="s">
        <v>379</v>
      </c>
      <c r="H387" s="449" t="str">
        <f>IFERROR(VLOOKUP(G387,'Cadastro de assessores'!A:B,2,FALSE),"Não Cadastrado")</f>
        <v>18009</v>
      </c>
      <c r="I387" s="449"/>
      <c r="J387" s="49" t="s">
        <v>224</v>
      </c>
      <c r="K387" s="449" t="s">
        <v>2340</v>
      </c>
      <c r="L387" s="460"/>
      <c r="M387" s="460">
        <v>44207.0</v>
      </c>
      <c r="N387" s="460">
        <v>44648.0</v>
      </c>
      <c r="O387" s="449" t="s">
        <v>3701</v>
      </c>
      <c r="P387" s="452">
        <v>0.02</v>
      </c>
      <c r="Q387" s="461" t="s">
        <v>6656</v>
      </c>
      <c r="R387" s="453"/>
      <c r="S387" s="449" t="str">
        <f t="shared" ref="S387:S397" si="42">IF(BC387&lt;=0,"",IF(BC387&lt;=1000000,"Não Qualificado",IF(AND(BC387&gt;1000000,BC387&lt;=10000000),"Qualificado","Profissional")))</f>
        <v/>
      </c>
      <c r="T387" s="449" t="s">
        <v>194</v>
      </c>
      <c r="U387" s="446" t="s">
        <v>2475</v>
      </c>
      <c r="V387" s="449" t="s">
        <v>618</v>
      </c>
      <c r="W387" s="455"/>
      <c r="X387" s="455"/>
      <c r="Y387" s="455"/>
      <c r="Z387" s="455"/>
      <c r="AA387" s="455"/>
      <c r="AB387" s="455"/>
      <c r="AC387" s="455"/>
      <c r="AD387" s="455"/>
      <c r="AE387" s="455"/>
      <c r="AF387" s="455"/>
      <c r="AG387" s="455"/>
      <c r="AH387" s="455"/>
      <c r="AI387" s="455"/>
      <c r="AJ387" s="455"/>
      <c r="AK387" s="456"/>
      <c r="AL387" s="456">
        <v>224570.39</v>
      </c>
      <c r="AM387" s="456">
        <v>336721.76</v>
      </c>
      <c r="AN387" s="456">
        <v>337117.81</v>
      </c>
      <c r="AO387" s="456">
        <v>352032.43</v>
      </c>
      <c r="AP387" s="456">
        <v>439774.48</v>
      </c>
      <c r="AQ387" s="456">
        <v>436896.14</v>
      </c>
      <c r="AR387" s="456">
        <v>548573.53</v>
      </c>
      <c r="AS387" s="456">
        <v>685024.87</v>
      </c>
      <c r="AT387" s="456">
        <v>738293.69</v>
      </c>
      <c r="AU387" s="456">
        <v>726507.76</v>
      </c>
      <c r="AV387" s="456">
        <v>701854.81</v>
      </c>
      <c r="AW387" s="456">
        <v>656127.12</v>
      </c>
      <c r="AX387" s="456">
        <v>652318.31</v>
      </c>
      <c r="AY387" s="456">
        <v>663629.2</v>
      </c>
      <c r="AZ387" s="456">
        <v>690477.12</v>
      </c>
      <c r="BA387" s="456">
        <v>697547.68</v>
      </c>
      <c r="BB387" s="456">
        <v>115.53</v>
      </c>
      <c r="BC387" s="456"/>
      <c r="BD387" s="456" t="s">
        <v>377</v>
      </c>
      <c r="BE387" s="456" t="s">
        <v>377</v>
      </c>
      <c r="BF387" s="456">
        <v>0.0</v>
      </c>
      <c r="BG387" s="456">
        <v>0.0</v>
      </c>
      <c r="BH387" s="456">
        <v>0.0</v>
      </c>
      <c r="BI387" s="456">
        <v>0.0</v>
      </c>
      <c r="BJ387" s="456">
        <v>0.0</v>
      </c>
      <c r="BK387" s="456">
        <v>0.0</v>
      </c>
      <c r="BL387" s="456">
        <v>0.0</v>
      </c>
      <c r="BM387" s="456">
        <v>0.0</v>
      </c>
      <c r="BN387" s="456">
        <v>0.0</v>
      </c>
      <c r="BO387" s="456">
        <v>0.0</v>
      </c>
      <c r="BP387" s="456">
        <v>0.0</v>
      </c>
      <c r="BQ387" s="456">
        <v>0.0</v>
      </c>
      <c r="BR387" s="456">
        <v>0.0</v>
      </c>
      <c r="BS387" s="90" t="s">
        <v>268</v>
      </c>
      <c r="BT387" s="90"/>
    </row>
    <row r="388" ht="15.75" customHeight="1">
      <c r="A388" s="444" t="s">
        <v>98</v>
      </c>
      <c r="B388" s="445" t="s">
        <v>6651</v>
      </c>
      <c r="C388" s="458" t="s">
        <v>6653</v>
      </c>
      <c r="D388" s="449">
        <v>4782053.0</v>
      </c>
      <c r="E388" s="449" t="s">
        <v>120</v>
      </c>
      <c r="F388" s="449" t="s">
        <v>622</v>
      </c>
      <c r="G388" s="507" t="s">
        <v>379</v>
      </c>
      <c r="H388" s="449" t="str">
        <f>IFERROR(VLOOKUP(G388,'Cadastro de assessores'!A:B,2,FALSE),"Não Cadastrado")</f>
        <v>18009</v>
      </c>
      <c r="I388" s="449"/>
      <c r="J388" s="49" t="s">
        <v>224</v>
      </c>
      <c r="K388" s="449" t="s">
        <v>2340</v>
      </c>
      <c r="L388" s="460"/>
      <c r="M388" s="460">
        <v>44216.0</v>
      </c>
      <c r="N388" s="460">
        <v>44648.0</v>
      </c>
      <c r="O388" s="449" t="s">
        <v>2452</v>
      </c>
      <c r="P388" s="452">
        <v>0.008</v>
      </c>
      <c r="Q388" s="461" t="s">
        <v>6660</v>
      </c>
      <c r="R388" s="453"/>
      <c r="S388" s="449" t="str">
        <f t="shared" si="42"/>
        <v/>
      </c>
      <c r="T388" s="449" t="s">
        <v>194</v>
      </c>
      <c r="U388" s="446" t="s">
        <v>2475</v>
      </c>
      <c r="V388" s="449" t="s">
        <v>618</v>
      </c>
      <c r="W388" s="455"/>
      <c r="X388" s="454"/>
      <c r="Y388" s="455"/>
      <c r="Z388" s="455"/>
      <c r="AA388" s="455"/>
      <c r="AB388" s="455"/>
      <c r="AC388" s="455"/>
      <c r="AD388" s="455"/>
      <c r="AE388" s="455"/>
      <c r="AF388" s="455"/>
      <c r="AG388" s="455"/>
      <c r="AH388" s="455"/>
      <c r="AI388" s="455"/>
      <c r="AJ388" s="455"/>
      <c r="AK388" s="456"/>
      <c r="AL388" s="456">
        <v>150327.2</v>
      </c>
      <c r="AM388" s="456">
        <v>151542.71</v>
      </c>
      <c r="AN388" s="456">
        <v>146001.16</v>
      </c>
      <c r="AO388" s="456">
        <v>144764.4</v>
      </c>
      <c r="AP388" s="456">
        <v>143692.04</v>
      </c>
      <c r="AQ388" s="456">
        <v>144346.87</v>
      </c>
      <c r="AR388" s="456">
        <v>142014.29</v>
      </c>
      <c r="AS388" s="456">
        <v>140255.92</v>
      </c>
      <c r="AT388" s="456">
        <v>143143.78</v>
      </c>
      <c r="AU388" s="456">
        <v>140273.0</v>
      </c>
      <c r="AV388" s="456">
        <v>139142.76</v>
      </c>
      <c r="AW388" s="456">
        <v>137257.21</v>
      </c>
      <c r="AX388" s="456">
        <v>130248.82</v>
      </c>
      <c r="AY388" s="456">
        <v>137909.68</v>
      </c>
      <c r="AZ388" s="456">
        <v>138356.51</v>
      </c>
      <c r="BA388" s="456">
        <v>138386.23</v>
      </c>
      <c r="BB388" s="456">
        <v>0.0</v>
      </c>
      <c r="BC388" s="456"/>
      <c r="BD388" s="456" t="s">
        <v>377</v>
      </c>
      <c r="BE388" s="456" t="s">
        <v>377</v>
      </c>
      <c r="BF388" s="456">
        <v>0.0</v>
      </c>
      <c r="BG388" s="456">
        <v>0.0</v>
      </c>
      <c r="BH388" s="456">
        <v>0.0</v>
      </c>
      <c r="BI388" s="456">
        <v>0.0</v>
      </c>
      <c r="BJ388" s="456">
        <v>0.0</v>
      </c>
      <c r="BK388" s="456">
        <v>0.0</v>
      </c>
      <c r="BL388" s="456">
        <v>0.0</v>
      </c>
      <c r="BM388" s="456">
        <v>0.0</v>
      </c>
      <c r="BN388" s="456">
        <v>0.0</v>
      </c>
      <c r="BO388" s="456">
        <v>0.0</v>
      </c>
      <c r="BP388" s="456">
        <v>0.0</v>
      </c>
      <c r="BQ388" s="456">
        <v>0.0</v>
      </c>
      <c r="BR388" s="456">
        <v>0.0</v>
      </c>
      <c r="BS388" s="90" t="s">
        <v>268</v>
      </c>
      <c r="BT388" s="90"/>
    </row>
    <row r="389" ht="15.75" customHeight="1">
      <c r="A389" s="444" t="s">
        <v>98</v>
      </c>
      <c r="B389" s="445" t="s">
        <v>6665</v>
      </c>
      <c r="C389" s="458" t="s">
        <v>6666</v>
      </c>
      <c r="D389" s="448">
        <v>5663320.0</v>
      </c>
      <c r="E389" s="447" t="s">
        <v>120</v>
      </c>
      <c r="F389" s="448" t="s">
        <v>199</v>
      </c>
      <c r="G389" s="448" t="s">
        <v>4857</v>
      </c>
      <c r="H389" s="448">
        <f>IFERROR(VLOOKUP(G389,'Cadastro de assessores'!A:B,2,FALSE),"Não Cadastrado")</f>
        <v>12338</v>
      </c>
      <c r="I389" s="448"/>
      <c r="J389" s="49" t="s">
        <v>2318</v>
      </c>
      <c r="K389" s="447" t="s">
        <v>183</v>
      </c>
      <c r="L389" s="450">
        <v>44385.0</v>
      </c>
      <c r="M389" s="450">
        <v>44385.0</v>
      </c>
      <c r="N389" s="446"/>
      <c r="O389" s="446" t="s">
        <v>2452</v>
      </c>
      <c r="P389" s="452">
        <v>0.008</v>
      </c>
      <c r="Q389" s="207" t="s">
        <v>6667</v>
      </c>
      <c r="R389" s="453"/>
      <c r="S389" s="449" t="str">
        <f t="shared" si="42"/>
        <v>Não Qualificado</v>
      </c>
      <c r="T389" s="449" t="s">
        <v>194</v>
      </c>
      <c r="U389" s="446" t="s">
        <v>2383</v>
      </c>
      <c r="V389" s="449" t="s">
        <v>199</v>
      </c>
      <c r="W389" s="455"/>
      <c r="X389" s="454"/>
      <c r="Y389" s="454"/>
      <c r="Z389" s="454"/>
      <c r="AA389" s="454"/>
      <c r="AB389" s="454"/>
      <c r="AC389" s="454"/>
      <c r="AD389" s="454"/>
      <c r="AE389" s="454"/>
      <c r="AF389" s="454"/>
      <c r="AG389" s="454"/>
      <c r="AH389" s="454"/>
      <c r="AI389" s="454"/>
      <c r="AJ389" s="456"/>
      <c r="AK389" s="456"/>
      <c r="AL389" s="456"/>
      <c r="AM389" s="735"/>
      <c r="AN389" s="735"/>
      <c r="AO389" s="456"/>
      <c r="AP389" s="456"/>
      <c r="AQ389" s="456"/>
      <c r="AR389" s="454"/>
      <c r="AS389" s="456"/>
      <c r="AT389" s="456">
        <v>233890.4</v>
      </c>
      <c r="AU389" s="456">
        <v>226700.52</v>
      </c>
      <c r="AV389" s="456">
        <v>224260.6</v>
      </c>
      <c r="AW389" s="456">
        <v>214936.12</v>
      </c>
      <c r="AX389" s="456">
        <v>210709.05</v>
      </c>
      <c r="AY389" s="456">
        <v>222949.45</v>
      </c>
      <c r="AZ389" s="456">
        <v>223662.39</v>
      </c>
      <c r="BA389" s="456">
        <v>223729.29</v>
      </c>
      <c r="BB389" s="456">
        <v>225909.93</v>
      </c>
      <c r="BC389" s="456">
        <v>219675.44</v>
      </c>
      <c r="BD389" s="456">
        <v>227907.85</v>
      </c>
      <c r="BE389" s="456">
        <v>227733.09</v>
      </c>
      <c r="BF389" s="456">
        <v>230473.63</v>
      </c>
      <c r="BG389" s="456">
        <v>210734.56</v>
      </c>
      <c r="BH389" s="456">
        <v>190593.61</v>
      </c>
      <c r="BI389" s="456">
        <v>192484.43</v>
      </c>
      <c r="BJ389" s="456">
        <v>186696.69</v>
      </c>
      <c r="BK389" s="456">
        <v>186079.9</v>
      </c>
      <c r="BL389" s="456">
        <v>186979.68</v>
      </c>
      <c r="BM389" s="456">
        <v>185506.95</v>
      </c>
      <c r="BN389" s="456">
        <v>0.0</v>
      </c>
      <c r="BO389" s="456">
        <v>0.0</v>
      </c>
      <c r="BP389" s="456">
        <v>0.0</v>
      </c>
      <c r="BQ389" s="456">
        <v>0.0</v>
      </c>
      <c r="BR389" s="456">
        <v>0.0</v>
      </c>
      <c r="BS389" s="90">
        <v>0.0</v>
      </c>
      <c r="BT389" s="90"/>
    </row>
    <row r="390" ht="15.75" customHeight="1">
      <c r="A390" s="444" t="s">
        <v>98</v>
      </c>
      <c r="B390" s="445" t="s">
        <v>6665</v>
      </c>
      <c r="C390" s="458" t="s">
        <v>6666</v>
      </c>
      <c r="D390" s="449">
        <v>2660830.0</v>
      </c>
      <c r="E390" s="447" t="s">
        <v>120</v>
      </c>
      <c r="F390" s="447" t="s">
        <v>199</v>
      </c>
      <c r="G390" s="447" t="s">
        <v>212</v>
      </c>
      <c r="H390" s="447">
        <f>IFERROR(VLOOKUP(G390,'Cadastro de assessores'!A:B,2,FALSE),"Não Cadastrado")</f>
        <v>12344</v>
      </c>
      <c r="I390" s="447"/>
      <c r="J390" s="49" t="s">
        <v>2318</v>
      </c>
      <c r="K390" s="447" t="s">
        <v>183</v>
      </c>
      <c r="L390" s="450">
        <v>43741.0</v>
      </c>
      <c r="M390" s="450">
        <v>43741.0</v>
      </c>
      <c r="N390" s="449"/>
      <c r="O390" s="449" t="s">
        <v>5361</v>
      </c>
      <c r="P390" s="452">
        <v>0.007</v>
      </c>
      <c r="Q390" s="207" t="s">
        <v>6667</v>
      </c>
      <c r="R390" s="453"/>
      <c r="S390" s="449" t="str">
        <f t="shared" si="42"/>
        <v>Não Qualificado</v>
      </c>
      <c r="T390" s="449" t="s">
        <v>194</v>
      </c>
      <c r="U390" s="446" t="s">
        <v>2383</v>
      </c>
      <c r="V390" s="449" t="s">
        <v>199</v>
      </c>
      <c r="W390" s="455" t="s">
        <v>6673</v>
      </c>
      <c r="X390" s="454"/>
      <c r="Y390" s="455" t="s">
        <v>6674</v>
      </c>
      <c r="Z390" s="455" t="s">
        <v>6675</v>
      </c>
      <c r="AA390" s="455" t="s">
        <v>6676</v>
      </c>
      <c r="AB390" s="455" t="s">
        <v>6677</v>
      </c>
      <c r="AC390" s="455" t="s">
        <v>6678</v>
      </c>
      <c r="AD390" s="455" t="s">
        <v>6679</v>
      </c>
      <c r="AE390" s="455" t="s">
        <v>6680</v>
      </c>
      <c r="AF390" s="455" t="s">
        <v>6681</v>
      </c>
      <c r="AG390" s="455" t="s">
        <v>6682</v>
      </c>
      <c r="AH390" s="455" t="s">
        <v>6683</v>
      </c>
      <c r="AI390" s="455" t="s">
        <v>6684</v>
      </c>
      <c r="AJ390" s="455" t="s">
        <v>6685</v>
      </c>
      <c r="AK390" s="456">
        <v>728345.95</v>
      </c>
      <c r="AL390" s="456">
        <v>718046.08</v>
      </c>
      <c r="AM390" s="456">
        <v>699729.73</v>
      </c>
      <c r="AN390" s="735">
        <v>699544.75</v>
      </c>
      <c r="AO390" s="735">
        <v>699877.13</v>
      </c>
      <c r="AP390" s="456">
        <v>704201.8</v>
      </c>
      <c r="AQ390" s="456">
        <v>702602.87</v>
      </c>
      <c r="AR390" s="456">
        <v>731952.87</v>
      </c>
      <c r="AS390" s="456">
        <v>725662.79</v>
      </c>
      <c r="AT390" s="456">
        <v>710371.14</v>
      </c>
      <c r="AU390" s="456">
        <v>706527.23</v>
      </c>
      <c r="AV390" s="456">
        <v>691154.64</v>
      </c>
      <c r="AW390" s="456">
        <v>661580.2</v>
      </c>
      <c r="AX390" s="456">
        <v>659962.36</v>
      </c>
      <c r="AY390" s="456">
        <v>668724.58</v>
      </c>
      <c r="AZ390" s="456">
        <v>688595.25</v>
      </c>
      <c r="BA390" s="456">
        <v>692986.1</v>
      </c>
      <c r="BB390" s="456">
        <v>0.0</v>
      </c>
      <c r="BC390" s="456">
        <v>205300.29</v>
      </c>
      <c r="BD390" s="456">
        <v>719705.65</v>
      </c>
      <c r="BE390" s="456">
        <v>718062.83</v>
      </c>
      <c r="BF390" s="456">
        <v>732241.88</v>
      </c>
      <c r="BG390" s="456">
        <v>738749.5456</v>
      </c>
      <c r="BH390" s="456">
        <v>740720.96</v>
      </c>
      <c r="BI390" s="456">
        <v>761158.89</v>
      </c>
      <c r="BJ390" s="456">
        <v>762447.75</v>
      </c>
      <c r="BK390" s="456">
        <v>1003486.68</v>
      </c>
      <c r="BL390" s="456">
        <v>1115595.03</v>
      </c>
      <c r="BM390" s="456">
        <v>1124836.35</v>
      </c>
      <c r="BN390" s="456">
        <v>2.34</v>
      </c>
      <c r="BO390" s="456">
        <v>0.0</v>
      </c>
      <c r="BP390" s="456">
        <v>0.0</v>
      </c>
      <c r="BQ390" s="456">
        <v>0.0</v>
      </c>
      <c r="BR390" s="456">
        <v>0.0</v>
      </c>
      <c r="BS390" s="90">
        <v>0.0</v>
      </c>
      <c r="BT390" s="90"/>
    </row>
    <row r="391" ht="15.75" customHeight="1">
      <c r="A391" s="444" t="s">
        <v>98</v>
      </c>
      <c r="B391" s="445" t="s">
        <v>6665</v>
      </c>
      <c r="C391" s="458" t="s">
        <v>6666</v>
      </c>
      <c r="D391" s="469">
        <v>7878590.0</v>
      </c>
      <c r="E391" s="448" t="s">
        <v>120</v>
      </c>
      <c r="F391" s="448" t="s">
        <v>199</v>
      </c>
      <c r="G391" s="447" t="s">
        <v>212</v>
      </c>
      <c r="H391" s="447">
        <f>IFERROR(VLOOKUP(G391,'Cadastro de assessores'!A:B,2,FALSE),"Não Cadastrado")</f>
        <v>12344</v>
      </c>
      <c r="I391" s="447"/>
      <c r="J391" s="49" t="s">
        <v>2318</v>
      </c>
      <c r="K391" s="449" t="s">
        <v>295</v>
      </c>
      <c r="L391" s="449" t="s">
        <v>3320</v>
      </c>
      <c r="M391" s="548" t="s">
        <v>4295</v>
      </c>
      <c r="N391" s="446"/>
      <c r="O391" s="446" t="s">
        <v>6689</v>
      </c>
      <c r="P391" s="452">
        <v>0.01</v>
      </c>
      <c r="Q391" s="207" t="s">
        <v>6667</v>
      </c>
      <c r="R391" s="453"/>
      <c r="S391" s="449" t="str">
        <f t="shared" si="42"/>
        <v>Não Qualificado</v>
      </c>
      <c r="T391" s="449" t="s">
        <v>194</v>
      </c>
      <c r="U391" s="446" t="s">
        <v>2383</v>
      </c>
      <c r="V391" s="449" t="s">
        <v>199</v>
      </c>
      <c r="W391" s="455"/>
      <c r="X391" s="454"/>
      <c r="Y391" s="454"/>
      <c r="Z391" s="454"/>
      <c r="AA391" s="454"/>
      <c r="AB391" s="454"/>
      <c r="AC391" s="454"/>
      <c r="AD391" s="454"/>
      <c r="AE391" s="454"/>
      <c r="AF391" s="454"/>
      <c r="AG391" s="454"/>
      <c r="AH391" s="454"/>
      <c r="AI391" s="454"/>
      <c r="AJ391" s="456"/>
      <c r="AK391" s="456"/>
      <c r="AL391" s="456"/>
      <c r="AM391" s="735"/>
      <c r="AN391" s="735"/>
      <c r="AO391" s="456"/>
      <c r="AP391" s="456"/>
      <c r="AQ391" s="456"/>
      <c r="AR391" s="454"/>
      <c r="AS391" s="456"/>
      <c r="AT391" s="456"/>
      <c r="AU391" s="456"/>
      <c r="AV391" s="456"/>
      <c r="AW391" s="456"/>
      <c r="AX391" s="456"/>
      <c r="AY391" s="456"/>
      <c r="AZ391" s="456"/>
      <c r="BA391" s="456">
        <v>0.0</v>
      </c>
      <c r="BB391" s="456">
        <v>0.0</v>
      </c>
      <c r="BC391" s="456">
        <v>586690.75</v>
      </c>
      <c r="BD391" s="456" t="s">
        <v>377</v>
      </c>
      <c r="BE391" s="456" t="s">
        <v>377</v>
      </c>
      <c r="BF391" s="456">
        <v>0.0</v>
      </c>
      <c r="BG391" s="456">
        <v>0.0</v>
      </c>
      <c r="BH391" s="456">
        <v>0.0</v>
      </c>
      <c r="BI391" s="456">
        <v>0.0</v>
      </c>
      <c r="BJ391" s="456">
        <v>0.0</v>
      </c>
      <c r="BK391" s="456">
        <v>0.0</v>
      </c>
      <c r="BL391" s="456">
        <v>0.0</v>
      </c>
      <c r="BM391" s="456">
        <v>0.0</v>
      </c>
      <c r="BN391" s="456">
        <v>0.0</v>
      </c>
      <c r="BO391" s="456">
        <v>0.0</v>
      </c>
      <c r="BP391" s="456">
        <v>0.0</v>
      </c>
      <c r="BQ391" s="456">
        <v>0.0</v>
      </c>
      <c r="BR391" s="456">
        <v>0.0</v>
      </c>
      <c r="BS391" s="90" t="s">
        <v>268</v>
      </c>
      <c r="BT391" s="90"/>
    </row>
    <row r="392" ht="15.75" customHeight="1">
      <c r="A392" s="444" t="s">
        <v>98</v>
      </c>
      <c r="B392" s="445" t="s">
        <v>6693</v>
      </c>
      <c r="C392" s="559" t="s">
        <v>6694</v>
      </c>
      <c r="D392" s="490">
        <v>7273700.0</v>
      </c>
      <c r="E392" s="447" t="s">
        <v>120</v>
      </c>
      <c r="F392" s="448" t="s">
        <v>54</v>
      </c>
      <c r="G392" s="490" t="s">
        <v>379</v>
      </c>
      <c r="H392" s="448" t="str">
        <f>IFERROR(VLOOKUP(G392,'Cadastro de assessores'!A:B,2,FALSE),"Não Cadastrado")</f>
        <v>18009</v>
      </c>
      <c r="I392" s="448"/>
      <c r="J392" s="49" t="s">
        <v>2318</v>
      </c>
      <c r="K392" s="447" t="s">
        <v>183</v>
      </c>
      <c r="L392" s="450">
        <v>44532.0</v>
      </c>
      <c r="M392" s="450">
        <v>44536.0</v>
      </c>
      <c r="N392" s="490"/>
      <c r="O392" s="490" t="s">
        <v>2356</v>
      </c>
      <c r="P392" s="452">
        <v>0.007</v>
      </c>
      <c r="Q392" s="330" t="s">
        <v>6695</v>
      </c>
      <c r="R392" s="453"/>
      <c r="S392" s="449" t="str">
        <f t="shared" si="42"/>
        <v/>
      </c>
      <c r="T392" s="449" t="s">
        <v>234</v>
      </c>
      <c r="U392" s="446" t="s">
        <v>5296</v>
      </c>
      <c r="V392" s="449" t="s">
        <v>54</v>
      </c>
      <c r="W392" s="455"/>
      <c r="X392" s="454"/>
      <c r="Y392" s="454"/>
      <c r="Z392" s="454"/>
      <c r="AA392" s="454"/>
      <c r="AB392" s="454"/>
      <c r="AC392" s="454"/>
      <c r="AD392" s="454"/>
      <c r="AE392" s="454"/>
      <c r="AF392" s="454"/>
      <c r="AG392" s="455"/>
      <c r="AH392" s="455"/>
      <c r="AI392" s="455"/>
      <c r="AJ392" s="456"/>
      <c r="AK392" s="456"/>
      <c r="AL392" s="456"/>
      <c r="AM392" s="735"/>
      <c r="AN392" s="735"/>
      <c r="AO392" s="456"/>
      <c r="AP392" s="456"/>
      <c r="AQ392" s="456"/>
      <c r="AR392" s="456"/>
      <c r="AS392" s="456"/>
      <c r="AT392" s="456"/>
      <c r="AU392" s="456"/>
      <c r="AV392" s="456"/>
      <c r="AW392" s="454"/>
      <c r="AX392" s="481"/>
      <c r="AY392" s="481">
        <v>798775.32</v>
      </c>
      <c r="AZ392" s="456">
        <v>806244.44</v>
      </c>
      <c r="BA392" s="456">
        <v>812278.29</v>
      </c>
      <c r="BB392" s="456">
        <v>820892.96</v>
      </c>
      <c r="BC392" s="456"/>
      <c r="BD392" s="456">
        <v>841699.28</v>
      </c>
      <c r="BE392" s="456">
        <v>848852.05</v>
      </c>
      <c r="BF392" s="456">
        <v>855252.84</v>
      </c>
      <c r="BG392" s="456">
        <v>858020.7469</v>
      </c>
      <c r="BH392" s="456">
        <v>860727.15</v>
      </c>
      <c r="BI392" s="456">
        <v>866486.11</v>
      </c>
      <c r="BJ392" s="456">
        <v>872301.33</v>
      </c>
      <c r="BK392" s="456">
        <v>876928.48</v>
      </c>
      <c r="BL392" s="456">
        <v>887050.94</v>
      </c>
      <c r="BM392" s="456">
        <v>891525.69</v>
      </c>
      <c r="BN392" s="456">
        <v>900310.16</v>
      </c>
      <c r="BO392" s="456">
        <v>908622.64</v>
      </c>
      <c r="BP392" s="456">
        <v>0.0</v>
      </c>
      <c r="BQ392" s="456">
        <v>0.0</v>
      </c>
      <c r="BR392" s="456">
        <v>0.0</v>
      </c>
      <c r="BS392" s="90">
        <v>0.0</v>
      </c>
      <c r="BT392" s="90"/>
    </row>
    <row r="393" ht="15.75" customHeight="1">
      <c r="A393" s="444" t="s">
        <v>98</v>
      </c>
      <c r="B393" s="445" t="s">
        <v>6699</v>
      </c>
      <c r="C393" s="458" t="s">
        <v>6296</v>
      </c>
      <c r="D393" s="449">
        <v>4461414.0</v>
      </c>
      <c r="E393" s="449" t="s">
        <v>255</v>
      </c>
      <c r="F393" s="449" t="s">
        <v>199</v>
      </c>
      <c r="G393" s="449" t="s">
        <v>548</v>
      </c>
      <c r="H393" s="449" t="str">
        <f>IFERROR(VLOOKUP(G393,'Cadastro de assessores'!A:B,2,FALSE),"Não Cadastrado")</f>
        <v>14574</v>
      </c>
      <c r="I393" s="449"/>
      <c r="J393" s="49" t="s">
        <v>224</v>
      </c>
      <c r="K393" s="449" t="s">
        <v>2340</v>
      </c>
      <c r="L393" s="460">
        <v>44090.0</v>
      </c>
      <c r="M393" s="460">
        <v>44090.0</v>
      </c>
      <c r="N393" s="460">
        <v>44408.0</v>
      </c>
      <c r="O393" s="449" t="s">
        <v>2365</v>
      </c>
      <c r="P393" s="452">
        <v>0.012</v>
      </c>
      <c r="Q393" s="554" t="s">
        <v>6700</v>
      </c>
      <c r="R393" s="453"/>
      <c r="S393" s="449" t="str">
        <f t="shared" si="42"/>
        <v/>
      </c>
      <c r="T393" s="449" t="s">
        <v>234</v>
      </c>
      <c r="U393" s="449" t="s">
        <v>2357</v>
      </c>
      <c r="V393" s="449" t="s">
        <v>199</v>
      </c>
      <c r="W393" s="455" t="s">
        <v>2344</v>
      </c>
      <c r="X393" s="455" t="s">
        <v>2344</v>
      </c>
      <c r="Y393" s="455" t="s">
        <v>2344</v>
      </c>
      <c r="Z393" s="455" t="s">
        <v>2344</v>
      </c>
      <c r="AA393" s="455" t="s">
        <v>2344</v>
      </c>
      <c r="AB393" s="455" t="s">
        <v>2344</v>
      </c>
      <c r="AC393" s="455" t="s">
        <v>2344</v>
      </c>
      <c r="AD393" s="455" t="s">
        <v>2344</v>
      </c>
      <c r="AE393" s="455" t="s">
        <v>2344</v>
      </c>
      <c r="AF393" s="455" t="s">
        <v>2344</v>
      </c>
      <c r="AG393" s="455" t="s">
        <v>2344</v>
      </c>
      <c r="AH393" s="455" t="s">
        <v>6703</v>
      </c>
      <c r="AI393" s="455" t="s">
        <v>6704</v>
      </c>
      <c r="AJ393" s="455" t="s">
        <v>6705</v>
      </c>
      <c r="AK393" s="456">
        <v>824425.92</v>
      </c>
      <c r="AL393" s="456">
        <v>818157.82</v>
      </c>
      <c r="AM393" s="456">
        <v>797632.2</v>
      </c>
      <c r="AN393" s="456">
        <v>794363.69</v>
      </c>
      <c r="AO393" s="456">
        <v>805332.45</v>
      </c>
      <c r="AP393" s="456">
        <v>807290.9</v>
      </c>
      <c r="AQ393" s="456">
        <v>805671.44</v>
      </c>
      <c r="AR393" s="456">
        <v>816751.5</v>
      </c>
      <c r="AS393" s="456">
        <v>217316.62</v>
      </c>
      <c r="AT393" s="456">
        <v>218141.09</v>
      </c>
      <c r="AU393" s="456"/>
      <c r="AV393" s="456"/>
      <c r="AW393" s="456"/>
      <c r="AX393" s="456"/>
      <c r="AY393" s="456"/>
      <c r="AZ393" s="456"/>
      <c r="BA393" s="456">
        <v>0.0</v>
      </c>
      <c r="BB393" s="456">
        <v>0.0</v>
      </c>
      <c r="BC393" s="456"/>
      <c r="BD393" s="456" t="s">
        <v>377</v>
      </c>
      <c r="BE393" s="456" t="s">
        <v>377</v>
      </c>
      <c r="BF393" s="456">
        <v>0.0</v>
      </c>
      <c r="BG393" s="456">
        <v>0.0</v>
      </c>
      <c r="BH393" s="456">
        <v>0.0</v>
      </c>
      <c r="BI393" s="456">
        <v>0.0</v>
      </c>
      <c r="BJ393" s="456">
        <v>0.0</v>
      </c>
      <c r="BK393" s="456">
        <v>0.0</v>
      </c>
      <c r="BL393" s="456">
        <v>0.0</v>
      </c>
      <c r="BM393" s="456">
        <v>0.0</v>
      </c>
      <c r="BN393" s="456">
        <v>0.0</v>
      </c>
      <c r="BO393" s="456">
        <v>0.0</v>
      </c>
      <c r="BP393" s="456">
        <v>0.0</v>
      </c>
      <c r="BQ393" s="456">
        <v>0.0</v>
      </c>
      <c r="BR393" s="456">
        <v>0.0</v>
      </c>
      <c r="BS393" s="90" t="s">
        <v>268</v>
      </c>
      <c r="BT393" s="90"/>
    </row>
    <row r="394" ht="18.0" customHeight="1">
      <c r="A394" s="444" t="s">
        <v>98</v>
      </c>
      <c r="B394" s="445" t="s">
        <v>6707</v>
      </c>
      <c r="C394" s="559" t="s">
        <v>6708</v>
      </c>
      <c r="D394" s="469">
        <v>3428496.0</v>
      </c>
      <c r="E394" s="448" t="s">
        <v>120</v>
      </c>
      <c r="F394" s="448" t="s">
        <v>54</v>
      </c>
      <c r="G394" s="447" t="s">
        <v>348</v>
      </c>
      <c r="H394" s="448">
        <f>IFERROR(VLOOKUP(G394,'Cadastro de assessores'!A:B,2,FALSE),"Não Cadastrado")</f>
        <v>12331</v>
      </c>
      <c r="I394" s="448"/>
      <c r="J394" s="49" t="s">
        <v>2318</v>
      </c>
      <c r="K394" s="447" t="s">
        <v>183</v>
      </c>
      <c r="L394" s="470">
        <v>44613.0</v>
      </c>
      <c r="M394" s="470">
        <v>44613.0</v>
      </c>
      <c r="N394" s="216"/>
      <c r="O394" s="490" t="s">
        <v>3716</v>
      </c>
      <c r="P394" s="452">
        <v>0.012</v>
      </c>
      <c r="Q394" s="330" t="s">
        <v>6709</v>
      </c>
      <c r="R394" s="453"/>
      <c r="S394" s="449" t="str">
        <f t="shared" si="42"/>
        <v/>
      </c>
      <c r="T394" s="449" t="s">
        <v>194</v>
      </c>
      <c r="U394" s="449" t="s">
        <v>2438</v>
      </c>
      <c r="V394" s="449" t="s">
        <v>54</v>
      </c>
      <c r="W394" s="455"/>
      <c r="X394" s="455"/>
      <c r="Y394" s="455"/>
      <c r="Z394" s="455"/>
      <c r="AA394" s="455"/>
      <c r="AB394" s="455"/>
      <c r="AC394" s="455"/>
      <c r="AD394" s="455"/>
      <c r="AE394" s="455"/>
      <c r="AF394" s="455"/>
      <c r="AG394" s="455"/>
      <c r="AH394" s="455"/>
      <c r="AI394" s="455"/>
      <c r="AJ394" s="455"/>
      <c r="AK394" s="456"/>
      <c r="AL394" s="456"/>
      <c r="AM394" s="456"/>
      <c r="AN394" s="456"/>
      <c r="AO394" s="456"/>
      <c r="AP394" s="456"/>
      <c r="AQ394" s="456"/>
      <c r="AR394" s="456"/>
      <c r="AS394" s="456"/>
      <c r="AT394" s="456"/>
      <c r="AU394" s="456"/>
      <c r="AV394" s="456"/>
      <c r="AW394" s="456"/>
      <c r="AX394" s="456"/>
      <c r="AY394" s="456"/>
      <c r="AZ394" s="456"/>
      <c r="BA394" s="456">
        <v>608764.43</v>
      </c>
      <c r="BB394" s="456">
        <v>764523.03</v>
      </c>
      <c r="BC394" s="456"/>
      <c r="BD394" s="456">
        <v>1476338.36</v>
      </c>
      <c r="BE394" s="456">
        <v>1483477.26</v>
      </c>
      <c r="BF394" s="456">
        <v>1494423.55</v>
      </c>
      <c r="BG394" s="456">
        <v>1499011.937</v>
      </c>
      <c r="BH394" s="456">
        <v>733901.03</v>
      </c>
      <c r="BI394" s="456">
        <v>751791.51</v>
      </c>
      <c r="BJ394" s="456">
        <v>748568.31</v>
      </c>
      <c r="BK394" s="456">
        <v>750256.06</v>
      </c>
      <c r="BL394" s="456">
        <v>757793.14</v>
      </c>
      <c r="BM394" s="456">
        <v>761629.99</v>
      </c>
      <c r="BN394" s="456">
        <v>104791.33</v>
      </c>
      <c r="BO394" s="456">
        <v>0.0</v>
      </c>
      <c r="BP394" s="456">
        <v>0.0</v>
      </c>
      <c r="BQ394" s="456">
        <v>0.0</v>
      </c>
      <c r="BR394" s="456">
        <v>0.0</v>
      </c>
      <c r="BS394" s="90">
        <v>0.0</v>
      </c>
      <c r="BT394" s="90"/>
    </row>
    <row r="395" ht="15.75" customHeight="1">
      <c r="A395" s="444" t="s">
        <v>98</v>
      </c>
      <c r="B395" s="445" t="s">
        <v>6707</v>
      </c>
      <c r="C395" s="468" t="s">
        <v>6708</v>
      </c>
      <c r="D395" s="771">
        <v>8088158.0</v>
      </c>
      <c r="E395" s="507" t="s">
        <v>120</v>
      </c>
      <c r="F395" s="507" t="s">
        <v>54</v>
      </c>
      <c r="G395" s="449" t="s">
        <v>348</v>
      </c>
      <c r="H395" s="507">
        <f>IFERROR(VLOOKUP(G395,'Cadastro de assessores'!A:B,2,FALSE),"Não Cadastrado")</f>
        <v>12331</v>
      </c>
      <c r="I395" s="507"/>
      <c r="J395" s="74" t="s">
        <v>183</v>
      </c>
      <c r="K395" s="449" t="s">
        <v>183</v>
      </c>
      <c r="L395" s="772">
        <v>44682.0</v>
      </c>
      <c r="M395" s="772">
        <v>44682.0</v>
      </c>
      <c r="N395" s="507"/>
      <c r="O395" s="507" t="s">
        <v>3177</v>
      </c>
      <c r="P395" s="452">
        <v>0.008</v>
      </c>
      <c r="Q395" s="330" t="s">
        <v>6714</v>
      </c>
      <c r="R395" s="453"/>
      <c r="S395" s="449" t="str">
        <f t="shared" si="42"/>
        <v/>
      </c>
      <c r="T395" s="449" t="s">
        <v>194</v>
      </c>
      <c r="U395" s="449" t="s">
        <v>2438</v>
      </c>
      <c r="V395" s="449" t="s">
        <v>54</v>
      </c>
      <c r="W395" s="455"/>
      <c r="X395" s="454"/>
      <c r="Y395" s="454"/>
      <c r="Z395" s="454"/>
      <c r="AA395" s="454"/>
      <c r="AB395" s="454"/>
      <c r="AC395" s="454"/>
      <c r="AD395" s="454"/>
      <c r="AE395" s="454"/>
      <c r="AF395" s="454"/>
      <c r="AG395" s="454"/>
      <c r="AH395" s="454"/>
      <c r="AI395" s="455"/>
      <c r="AJ395" s="456"/>
      <c r="AK395" s="456"/>
      <c r="AL395" s="456"/>
      <c r="AM395" s="456"/>
      <c r="AN395" s="456"/>
      <c r="AO395" s="456"/>
      <c r="AP395" s="456"/>
      <c r="AQ395" s="456"/>
      <c r="AR395" s="454"/>
      <c r="AS395" s="456"/>
      <c r="AT395" s="456"/>
      <c r="AU395" s="456"/>
      <c r="AV395" s="456"/>
      <c r="AW395" s="456"/>
      <c r="AX395" s="456"/>
      <c r="AY395" s="456"/>
      <c r="AZ395" s="456"/>
      <c r="BA395" s="456">
        <v>0.0</v>
      </c>
      <c r="BB395" s="456">
        <v>0.0</v>
      </c>
      <c r="BC395" s="456"/>
      <c r="BD395" s="456">
        <v>210.03</v>
      </c>
      <c r="BE395" s="456">
        <v>408.8</v>
      </c>
      <c r="BF395" s="456">
        <v>161.77</v>
      </c>
      <c r="BG395" s="456">
        <v>508.42</v>
      </c>
      <c r="BH395" s="456">
        <v>709209.21</v>
      </c>
      <c r="BI395" s="456">
        <v>709760.34</v>
      </c>
      <c r="BJ395" s="456">
        <v>716288.71</v>
      </c>
      <c r="BK395" s="456">
        <v>722106.7</v>
      </c>
      <c r="BL395" s="456">
        <v>729620.86</v>
      </c>
      <c r="BM395" s="456">
        <v>732334.44</v>
      </c>
      <c r="BN395" s="456">
        <v>741505.33</v>
      </c>
      <c r="BO395" s="456">
        <v>311009.9</v>
      </c>
      <c r="BP395" s="456">
        <v>2082.87</v>
      </c>
      <c r="BQ395" s="456">
        <v>2096.38</v>
      </c>
      <c r="BR395" s="456">
        <v>2120.51</v>
      </c>
      <c r="BS395" s="90">
        <v>0.0</v>
      </c>
      <c r="BT395" s="90"/>
    </row>
    <row r="396" ht="15.75" customHeight="1">
      <c r="A396" s="444" t="s">
        <v>98</v>
      </c>
      <c r="B396" s="445" t="s">
        <v>6715</v>
      </c>
      <c r="C396" s="468" t="s">
        <v>4590</v>
      </c>
      <c r="D396" s="448">
        <v>5682953.0</v>
      </c>
      <c r="E396" s="447" t="s">
        <v>120</v>
      </c>
      <c r="F396" s="448" t="s">
        <v>199</v>
      </c>
      <c r="G396" s="448" t="s">
        <v>628</v>
      </c>
      <c r="H396" s="448" t="str">
        <f>IFERROR(VLOOKUP(G396,'Cadastro de assessores'!A:B,2,FALSE),"Não Cadastrado")</f>
        <v>14739</v>
      </c>
      <c r="I396" s="448"/>
      <c r="J396" s="74" t="s">
        <v>183</v>
      </c>
      <c r="K396" s="447" t="s">
        <v>183</v>
      </c>
      <c r="L396" s="450">
        <v>44453.0</v>
      </c>
      <c r="M396" s="450">
        <v>44424.0</v>
      </c>
      <c r="N396" s="449"/>
      <c r="O396" s="449" t="s">
        <v>2365</v>
      </c>
      <c r="P396" s="452">
        <v>0.012</v>
      </c>
      <c r="Q396" s="330"/>
      <c r="R396" s="453"/>
      <c r="S396" s="449" t="str">
        <f t="shared" si="42"/>
        <v>Não Qualificado</v>
      </c>
      <c r="T396" s="449" t="s">
        <v>194</v>
      </c>
      <c r="U396" s="446" t="s">
        <v>2571</v>
      </c>
      <c r="V396" s="449" t="s">
        <v>199</v>
      </c>
      <c r="W396" s="455"/>
      <c r="X396" s="454"/>
      <c r="Y396" s="454"/>
      <c r="Z396" s="454"/>
      <c r="AA396" s="454"/>
      <c r="AB396" s="454"/>
      <c r="AC396" s="454"/>
      <c r="AD396" s="454"/>
      <c r="AE396" s="454"/>
      <c r="AF396" s="454"/>
      <c r="AG396" s="454"/>
      <c r="AH396" s="454"/>
      <c r="AI396" s="455"/>
      <c r="AJ396" s="456"/>
      <c r="AK396" s="456"/>
      <c r="AL396" s="456"/>
      <c r="AM396" s="735"/>
      <c r="AN396" s="735"/>
      <c r="AO396" s="456"/>
      <c r="AP396" s="456"/>
      <c r="AQ396" s="456"/>
      <c r="AR396" s="454"/>
      <c r="AS396" s="456"/>
      <c r="AT396" s="456">
        <v>50626.88</v>
      </c>
      <c r="AU396" s="456">
        <v>49791.72</v>
      </c>
      <c r="AV396" s="456">
        <v>274812.43</v>
      </c>
      <c r="AW396" s="456">
        <v>271139.99</v>
      </c>
      <c r="AX396" s="456">
        <v>271991.02</v>
      </c>
      <c r="AY396" s="456">
        <v>274371.6</v>
      </c>
      <c r="AZ396" s="456">
        <v>278488.32</v>
      </c>
      <c r="BA396" s="456">
        <v>280398.74</v>
      </c>
      <c r="BB396" s="456">
        <v>285771.86</v>
      </c>
      <c r="BC396" s="456">
        <v>95484.5</v>
      </c>
      <c r="BD396" s="456">
        <v>256322.46</v>
      </c>
      <c r="BE396" s="456">
        <v>256407.7</v>
      </c>
      <c r="BF396" s="456">
        <v>258865.59</v>
      </c>
      <c r="BG396" s="456">
        <v>260173.3384</v>
      </c>
      <c r="BH396" s="456">
        <v>251124.35</v>
      </c>
      <c r="BI396" s="456">
        <v>255862.78</v>
      </c>
      <c r="BJ396" s="456">
        <v>235612.79</v>
      </c>
      <c r="BK396" s="456">
        <v>237016.06</v>
      </c>
      <c r="BL396" s="456">
        <v>240008.05</v>
      </c>
      <c r="BM396" s="456">
        <v>242008.9</v>
      </c>
      <c r="BN396" s="456">
        <v>50636.8</v>
      </c>
      <c r="BO396" s="456">
        <v>51371.55</v>
      </c>
      <c r="BP396" s="456">
        <v>52096.28</v>
      </c>
      <c r="BQ396" s="456">
        <v>52327.76</v>
      </c>
      <c r="BR396" s="456">
        <v>8407.58</v>
      </c>
      <c r="BS396" s="90">
        <v>54921.86</v>
      </c>
      <c r="BT396" s="90"/>
    </row>
    <row r="397" ht="15.75" customHeight="1">
      <c r="A397" s="444" t="s">
        <v>98</v>
      </c>
      <c r="B397" s="445" t="s">
        <v>6721</v>
      </c>
      <c r="C397" s="458" t="s">
        <v>6627</v>
      </c>
      <c r="D397" s="449">
        <v>4719236.0</v>
      </c>
      <c r="E397" s="449" t="s">
        <v>120</v>
      </c>
      <c r="F397" s="449" t="s">
        <v>199</v>
      </c>
      <c r="G397" s="449" t="s">
        <v>2339</v>
      </c>
      <c r="H397" s="449" t="str">
        <f>IFERROR(VLOOKUP(G397,'Cadastro de assessores'!A:B,2,FALSE),"Não Cadastrado")</f>
        <v>17679</v>
      </c>
      <c r="I397" s="449"/>
      <c r="J397" s="49" t="s">
        <v>224</v>
      </c>
      <c r="K397" s="449" t="s">
        <v>2340</v>
      </c>
      <c r="L397" s="459">
        <v>44196.0</v>
      </c>
      <c r="M397" s="459">
        <v>44196.0</v>
      </c>
      <c r="N397" s="460">
        <v>44428.0</v>
      </c>
      <c r="O397" s="449" t="s">
        <v>2356</v>
      </c>
      <c r="P397" s="452">
        <v>0.007</v>
      </c>
      <c r="Q397" s="461" t="s">
        <v>6723</v>
      </c>
      <c r="R397" s="453"/>
      <c r="S397" s="449" t="str">
        <f t="shared" si="42"/>
        <v>Não Qualificado</v>
      </c>
      <c r="T397" s="449" t="s">
        <v>194</v>
      </c>
      <c r="U397" s="449" t="s">
        <v>4515</v>
      </c>
      <c r="V397" s="449" t="s">
        <v>311</v>
      </c>
      <c r="W397" s="455"/>
      <c r="X397" s="455"/>
      <c r="Y397" s="455"/>
      <c r="Z397" s="455"/>
      <c r="AA397" s="455"/>
      <c r="AB397" s="455"/>
      <c r="AC397" s="455"/>
      <c r="AD397" s="455"/>
      <c r="AE397" s="455"/>
      <c r="AF397" s="455"/>
      <c r="AG397" s="455"/>
      <c r="AH397" s="455"/>
      <c r="AI397" s="455"/>
      <c r="AJ397" s="455"/>
      <c r="AK397" s="456"/>
      <c r="AL397" s="456">
        <v>64189.17</v>
      </c>
      <c r="AM397" s="456">
        <v>78769.93</v>
      </c>
      <c r="AN397" s="456">
        <v>78738.98</v>
      </c>
      <c r="AO397" s="456">
        <v>81266.49</v>
      </c>
      <c r="AP397" s="456">
        <v>80444.93</v>
      </c>
      <c r="AQ397" s="456">
        <v>80135.98</v>
      </c>
      <c r="AR397" s="456">
        <v>81919.73</v>
      </c>
      <c r="AS397" s="456">
        <v>81315.16</v>
      </c>
      <c r="AT397" s="456">
        <v>79432.33</v>
      </c>
      <c r="AU397" s="456"/>
      <c r="AV397" s="456"/>
      <c r="AW397" s="456"/>
      <c r="AX397" s="456"/>
      <c r="AY397" s="456"/>
      <c r="AZ397" s="456"/>
      <c r="BA397" s="456">
        <v>0.0</v>
      </c>
      <c r="BB397" s="456">
        <v>0.0</v>
      </c>
      <c r="BC397" s="456">
        <v>59935.9</v>
      </c>
      <c r="BD397" s="456" t="s">
        <v>377</v>
      </c>
      <c r="BE397" s="456" t="s">
        <v>377</v>
      </c>
      <c r="BF397" s="456">
        <v>0.0</v>
      </c>
      <c r="BG397" s="456">
        <v>0.0</v>
      </c>
      <c r="BH397" s="456">
        <v>0.0</v>
      </c>
      <c r="BI397" s="456">
        <v>0.0</v>
      </c>
      <c r="BJ397" s="456">
        <v>0.0</v>
      </c>
      <c r="BK397" s="456">
        <v>0.0</v>
      </c>
      <c r="BL397" s="456">
        <v>0.0</v>
      </c>
      <c r="BM397" s="456">
        <v>0.0</v>
      </c>
      <c r="BN397" s="456">
        <v>0.0</v>
      </c>
      <c r="BO397" s="456">
        <v>0.0</v>
      </c>
      <c r="BP397" s="456">
        <v>0.0</v>
      </c>
      <c r="BQ397" s="456">
        <v>0.0</v>
      </c>
      <c r="BR397" s="456">
        <v>0.0</v>
      </c>
      <c r="BS397" s="90" t="s">
        <v>268</v>
      </c>
      <c r="BT397" s="90"/>
    </row>
    <row r="398" ht="15.75" customHeight="1">
      <c r="A398" s="444" t="s">
        <v>98</v>
      </c>
      <c r="B398" s="445" t="s">
        <v>6729</v>
      </c>
      <c r="C398" s="458" t="s">
        <v>6730</v>
      </c>
      <c r="D398" s="449">
        <v>2749522.0</v>
      </c>
      <c r="E398" s="449" t="s">
        <v>255</v>
      </c>
      <c r="F398" s="449" t="s">
        <v>199</v>
      </c>
      <c r="G398" s="449" t="s">
        <v>2489</v>
      </c>
      <c r="H398" s="449" t="str">
        <f>IFERROR(VLOOKUP(G398,'Cadastro de assessores'!A:B,2,FALSE),"Não Cadastrado")</f>
        <v>12624</v>
      </c>
      <c r="I398" s="449"/>
      <c r="J398" s="74" t="s">
        <v>183</v>
      </c>
      <c r="K398" s="449" t="s">
        <v>183</v>
      </c>
      <c r="L398" s="459">
        <v>44771.0</v>
      </c>
      <c r="M398" s="459">
        <v>44771.0</v>
      </c>
      <c r="N398" s="460"/>
      <c r="O398" s="449" t="s">
        <v>2356</v>
      </c>
      <c r="P398" s="452">
        <v>0.007</v>
      </c>
      <c r="Q398" s="461"/>
      <c r="R398" s="453"/>
      <c r="S398" s="449"/>
      <c r="T398" s="449" t="s">
        <v>194</v>
      </c>
      <c r="U398" s="449" t="s">
        <v>4296</v>
      </c>
      <c r="V398" s="449" t="s">
        <v>199</v>
      </c>
      <c r="W398" s="455"/>
      <c r="X398" s="455"/>
      <c r="Y398" s="455"/>
      <c r="Z398" s="455"/>
      <c r="AA398" s="455"/>
      <c r="AB398" s="455"/>
      <c r="AC398" s="455"/>
      <c r="AD398" s="455"/>
      <c r="AE398" s="455"/>
      <c r="AF398" s="455"/>
      <c r="AG398" s="455"/>
      <c r="AH398" s="455"/>
      <c r="AI398" s="455"/>
      <c r="AJ398" s="455"/>
      <c r="AK398" s="456"/>
      <c r="AL398" s="456"/>
      <c r="AM398" s="456"/>
      <c r="AN398" s="456"/>
      <c r="AO398" s="456"/>
      <c r="AP398" s="456"/>
      <c r="AQ398" s="456"/>
      <c r="AR398" s="456"/>
      <c r="AS398" s="456"/>
      <c r="AT398" s="456"/>
      <c r="AU398" s="456"/>
      <c r="AV398" s="456"/>
      <c r="AW398" s="456"/>
      <c r="AX398" s="456"/>
      <c r="AY398" s="456"/>
      <c r="AZ398" s="456"/>
      <c r="BA398" s="456"/>
      <c r="BB398" s="456"/>
      <c r="BC398" s="456"/>
      <c r="BD398" s="456"/>
      <c r="BE398" s="456"/>
      <c r="BF398" s="456">
        <v>682062.64</v>
      </c>
      <c r="BG398" s="456">
        <v>699173.0598</v>
      </c>
      <c r="BH398" s="456">
        <v>698099.3</v>
      </c>
      <c r="BI398" s="456">
        <v>706817.1</v>
      </c>
      <c r="BJ398" s="456">
        <v>706887.92</v>
      </c>
      <c r="BK398" s="456">
        <v>713019.99</v>
      </c>
      <c r="BL398" s="456">
        <v>720021.13</v>
      </c>
      <c r="BM398" s="456">
        <v>724235.35</v>
      </c>
      <c r="BN398" s="456">
        <v>733275.55</v>
      </c>
      <c r="BO398" s="456">
        <v>739349.58</v>
      </c>
      <c r="BP398" s="456">
        <v>746938.93</v>
      </c>
      <c r="BQ398" s="456">
        <v>752829.53</v>
      </c>
      <c r="BR398" s="456">
        <v>285145.68</v>
      </c>
      <c r="BS398" s="90">
        <v>811595.93</v>
      </c>
      <c r="BT398" s="90"/>
    </row>
    <row r="399" ht="15.75" customHeight="1">
      <c r="A399" s="444" t="s">
        <v>98</v>
      </c>
      <c r="B399" s="445" t="s">
        <v>6737</v>
      </c>
      <c r="C399" s="468" t="s">
        <v>6739</v>
      </c>
      <c r="D399" s="507">
        <v>5606475.0</v>
      </c>
      <c r="E399" s="449" t="s">
        <v>120</v>
      </c>
      <c r="F399" s="507" t="s">
        <v>54</v>
      </c>
      <c r="G399" s="446" t="s">
        <v>4777</v>
      </c>
      <c r="H399" s="446" t="str">
        <f>IFERROR(VLOOKUP(G399,'Cadastro de assessores'!A:B,2,FALSE),"Não Cadastrado")</f>
        <v>1275</v>
      </c>
      <c r="I399" s="446"/>
      <c r="J399" s="49" t="s">
        <v>224</v>
      </c>
      <c r="K399" s="449" t="s">
        <v>2340</v>
      </c>
      <c r="L399" s="460">
        <v>44364.0</v>
      </c>
      <c r="M399" s="460">
        <v>44364.0</v>
      </c>
      <c r="N399" s="460">
        <v>44803.0</v>
      </c>
      <c r="O399" s="449" t="s">
        <v>2341</v>
      </c>
      <c r="P399" s="452">
        <v>0.015</v>
      </c>
      <c r="Q399" s="330" t="s">
        <v>4024</v>
      </c>
      <c r="R399" s="453"/>
      <c r="S399" s="449" t="str">
        <f t="shared" ref="S399:S414" si="43">IF(BC399&lt;=0,"",IF(BC399&lt;=1000000,"Não Qualificado",IF(AND(BC399&gt;1000000,BC399&lt;=10000000),"Qualificado","Profissional")))</f>
        <v>Não Qualificado</v>
      </c>
      <c r="T399" s="449" t="s">
        <v>194</v>
      </c>
      <c r="U399" s="446" t="s">
        <v>6741</v>
      </c>
      <c r="V399" s="446" t="s">
        <v>475</v>
      </c>
      <c r="W399" s="454"/>
      <c r="X399" s="454"/>
      <c r="Y399" s="454"/>
      <c r="Z399" s="454"/>
      <c r="AA399" s="454"/>
      <c r="AB399" s="454"/>
      <c r="AC399" s="454"/>
      <c r="AD399" s="454"/>
      <c r="AE399" s="454"/>
      <c r="AF399" s="454"/>
      <c r="AG399" s="454"/>
      <c r="AH399" s="454"/>
      <c r="AI399" s="454"/>
      <c r="AJ399" s="454"/>
      <c r="AK399" s="456"/>
      <c r="AL399" s="456"/>
      <c r="AM399" s="456"/>
      <c r="AN399" s="456"/>
      <c r="AO399" s="456"/>
      <c r="AP399" s="456"/>
      <c r="AQ399" s="454"/>
      <c r="AR399" s="481"/>
      <c r="AS399" s="456">
        <v>493850.64</v>
      </c>
      <c r="AT399" s="456">
        <v>484401.99</v>
      </c>
      <c r="AU399" s="456">
        <v>481150.35</v>
      </c>
      <c r="AV399" s="456">
        <v>472668.29</v>
      </c>
      <c r="AW399" s="456">
        <v>457668.06</v>
      </c>
      <c r="AX399" s="456">
        <v>457278.98</v>
      </c>
      <c r="AY399" s="456">
        <v>462815.38</v>
      </c>
      <c r="AZ399" s="456">
        <v>475308.69</v>
      </c>
      <c r="BA399" s="456">
        <v>480169.18</v>
      </c>
      <c r="BB399" s="456">
        <v>495671.17</v>
      </c>
      <c r="BC399" s="456">
        <v>148192.24</v>
      </c>
      <c r="BD399" s="456">
        <v>492052.54</v>
      </c>
      <c r="BE399" s="456">
        <v>490284.7</v>
      </c>
      <c r="BF399" s="456">
        <v>498174.94</v>
      </c>
      <c r="BG399" s="456">
        <v>500139.3656</v>
      </c>
      <c r="BH399" s="456">
        <v>0.0</v>
      </c>
      <c r="BI399" s="456">
        <v>0.0</v>
      </c>
      <c r="BJ399" s="456">
        <v>0.0</v>
      </c>
      <c r="BK399" s="456">
        <v>0.0</v>
      </c>
      <c r="BL399" s="456">
        <v>0.0</v>
      </c>
      <c r="BM399" s="456">
        <v>0.0</v>
      </c>
      <c r="BN399" s="456">
        <v>0.0</v>
      </c>
      <c r="BO399" s="456">
        <v>0.0</v>
      </c>
      <c r="BP399" s="456">
        <v>0.0</v>
      </c>
      <c r="BQ399" s="456">
        <v>0.0</v>
      </c>
      <c r="BR399" s="456">
        <v>0.0</v>
      </c>
      <c r="BS399" s="90" t="s">
        <v>268</v>
      </c>
      <c r="BT399" s="90"/>
    </row>
    <row r="400" ht="15.75" customHeight="1">
      <c r="A400" s="444" t="s">
        <v>98</v>
      </c>
      <c r="B400" s="445" t="s">
        <v>6746</v>
      </c>
      <c r="C400" s="458" t="s">
        <v>6747</v>
      </c>
      <c r="D400" s="449">
        <v>2214585.0</v>
      </c>
      <c r="E400" s="447" t="s">
        <v>255</v>
      </c>
      <c r="F400" s="447" t="s">
        <v>199</v>
      </c>
      <c r="G400" s="447" t="s">
        <v>3606</v>
      </c>
      <c r="H400" s="447" t="str">
        <f>IFERROR(VLOOKUP(G400,'Cadastro de assessores'!A:B,2,FALSE),"Não Cadastrado")</f>
        <v>16459</v>
      </c>
      <c r="I400" s="447"/>
      <c r="J400" s="49" t="s">
        <v>2318</v>
      </c>
      <c r="K400" s="449" t="s">
        <v>183</v>
      </c>
      <c r="L400" s="450">
        <v>44085.0</v>
      </c>
      <c r="M400" s="450">
        <v>44085.0</v>
      </c>
      <c r="N400" s="449"/>
      <c r="O400" s="449" t="s">
        <v>2319</v>
      </c>
      <c r="P400" s="452">
        <v>0.02</v>
      </c>
      <c r="Q400" s="330"/>
      <c r="R400" s="453"/>
      <c r="S400" s="449" t="str">
        <f t="shared" si="43"/>
        <v/>
      </c>
      <c r="T400" s="449" t="s">
        <v>194</v>
      </c>
      <c r="U400" s="449" t="s">
        <v>3350</v>
      </c>
      <c r="V400" s="449" t="s">
        <v>199</v>
      </c>
      <c r="W400" s="455" t="s">
        <v>2344</v>
      </c>
      <c r="X400" s="455" t="s">
        <v>2344</v>
      </c>
      <c r="Y400" s="455" t="s">
        <v>2344</v>
      </c>
      <c r="Z400" s="455" t="s">
        <v>2344</v>
      </c>
      <c r="AA400" s="455" t="s">
        <v>2344</v>
      </c>
      <c r="AB400" s="455" t="s">
        <v>2344</v>
      </c>
      <c r="AC400" s="455" t="s">
        <v>2344</v>
      </c>
      <c r="AD400" s="455" t="s">
        <v>2344</v>
      </c>
      <c r="AE400" s="455" t="s">
        <v>2344</v>
      </c>
      <c r="AF400" s="455" t="s">
        <v>2344</v>
      </c>
      <c r="AG400" s="455" t="s">
        <v>2344</v>
      </c>
      <c r="AH400" s="455" t="s">
        <v>6751</v>
      </c>
      <c r="AI400" s="455" t="s">
        <v>6752</v>
      </c>
      <c r="AJ400" s="455" t="s">
        <v>6753</v>
      </c>
      <c r="AK400" s="456">
        <v>329541.59</v>
      </c>
      <c r="AL400" s="456">
        <v>323910.37</v>
      </c>
      <c r="AM400" s="456">
        <v>305618.18</v>
      </c>
      <c r="AN400" s="735">
        <v>304591.92</v>
      </c>
      <c r="AO400" s="735">
        <v>314935.94</v>
      </c>
      <c r="AP400" s="456">
        <v>316992.38</v>
      </c>
      <c r="AQ400" s="456">
        <v>315428.74</v>
      </c>
      <c r="AR400" s="456">
        <v>324334.32</v>
      </c>
      <c r="AS400" s="456">
        <v>320763.01</v>
      </c>
      <c r="AT400" s="456">
        <v>310131.47</v>
      </c>
      <c r="AU400" s="456">
        <v>305413.6</v>
      </c>
      <c r="AV400" s="456">
        <v>298473.23</v>
      </c>
      <c r="AW400" s="456">
        <v>280092.54</v>
      </c>
      <c r="AX400" s="456">
        <v>279487.43</v>
      </c>
      <c r="AY400" s="456">
        <v>283761.34</v>
      </c>
      <c r="AZ400" s="456">
        <v>296042.05</v>
      </c>
      <c r="BA400" s="456">
        <v>298101.98</v>
      </c>
      <c r="BB400" s="456">
        <v>312974.65</v>
      </c>
      <c r="BC400" s="456"/>
      <c r="BD400" s="456">
        <v>3535.64</v>
      </c>
      <c r="BE400" s="456">
        <v>141.95</v>
      </c>
      <c r="BF400" s="456">
        <v>141.97</v>
      </c>
      <c r="BG400" s="456">
        <v>383.17</v>
      </c>
      <c r="BH400" s="456">
        <v>383.17</v>
      </c>
      <c r="BI400" s="456">
        <v>383.17</v>
      </c>
      <c r="BJ400" s="456">
        <v>383.17</v>
      </c>
      <c r="BK400" s="456">
        <v>383.17</v>
      </c>
      <c r="BL400" s="456">
        <v>1030.73</v>
      </c>
      <c r="BM400" s="456">
        <v>1038.73</v>
      </c>
      <c r="BN400" s="456">
        <v>1047.58</v>
      </c>
      <c r="BO400" s="456">
        <v>1057.58</v>
      </c>
      <c r="BP400" s="456">
        <v>0.0</v>
      </c>
      <c r="BQ400" s="456">
        <v>0.0</v>
      </c>
      <c r="BR400" s="456">
        <v>0.0</v>
      </c>
      <c r="BS400" s="90">
        <v>0.0</v>
      </c>
      <c r="BT400" s="90"/>
    </row>
    <row r="401" ht="15.75" customHeight="1">
      <c r="A401" s="444" t="s">
        <v>98</v>
      </c>
      <c r="B401" s="445" t="s">
        <v>6754</v>
      </c>
      <c r="C401" s="458" t="s">
        <v>6755</v>
      </c>
      <c r="D401" s="449">
        <v>4911406.0</v>
      </c>
      <c r="E401" s="447" t="s">
        <v>255</v>
      </c>
      <c r="F401" s="447" t="s">
        <v>199</v>
      </c>
      <c r="G401" s="447" t="s">
        <v>548</v>
      </c>
      <c r="H401" s="447" t="str">
        <f>IFERROR(VLOOKUP(G401,'Cadastro de assessores'!A:B,2,FALSE),"Não Cadastrado")</f>
        <v>14574</v>
      </c>
      <c r="I401" s="447"/>
      <c r="J401" s="49" t="s">
        <v>2318</v>
      </c>
      <c r="K401" s="449" t="s">
        <v>295</v>
      </c>
      <c r="L401" s="449" t="s">
        <v>3320</v>
      </c>
      <c r="M401" s="548" t="s">
        <v>584</v>
      </c>
      <c r="N401" s="446"/>
      <c r="O401" s="446" t="s">
        <v>2452</v>
      </c>
      <c r="P401" s="452">
        <v>0.008</v>
      </c>
      <c r="Q401" s="330"/>
      <c r="R401" s="453"/>
      <c r="S401" s="449" t="str">
        <f t="shared" si="43"/>
        <v>Não Qualificado</v>
      </c>
      <c r="T401" s="449" t="s">
        <v>194</v>
      </c>
      <c r="U401" s="449" t="s">
        <v>3350</v>
      </c>
      <c r="V401" s="449" t="s">
        <v>199</v>
      </c>
      <c r="W401" s="455"/>
      <c r="X401" s="455"/>
      <c r="Y401" s="455"/>
      <c r="Z401" s="455"/>
      <c r="AA401" s="455"/>
      <c r="AB401" s="455"/>
      <c r="AC401" s="455"/>
      <c r="AD401" s="455"/>
      <c r="AE401" s="455"/>
      <c r="AF401" s="455"/>
      <c r="AG401" s="455"/>
      <c r="AH401" s="455"/>
      <c r="AI401" s="455"/>
      <c r="AJ401" s="455"/>
      <c r="AK401" s="456"/>
      <c r="AL401" s="456"/>
      <c r="AM401" s="456"/>
      <c r="AN401" s="456" t="s">
        <v>3320</v>
      </c>
      <c r="AO401" s="456"/>
      <c r="AP401" s="456"/>
      <c r="AQ401" s="456"/>
      <c r="AR401" s="456"/>
      <c r="AS401" s="456"/>
      <c r="AT401" s="456"/>
      <c r="AU401" s="456"/>
      <c r="AV401" s="456"/>
      <c r="AW401" s="456"/>
      <c r="AX401" s="456"/>
      <c r="AY401" s="456"/>
      <c r="AZ401" s="456"/>
      <c r="BA401" s="456">
        <v>0.0</v>
      </c>
      <c r="BB401" s="456">
        <v>0.0</v>
      </c>
      <c r="BC401" s="456">
        <v>71853.02</v>
      </c>
      <c r="BD401" s="456" t="s">
        <v>377</v>
      </c>
      <c r="BE401" s="456" t="s">
        <v>377</v>
      </c>
      <c r="BF401" s="456">
        <v>0.0</v>
      </c>
      <c r="BG401" s="456">
        <v>0.0</v>
      </c>
      <c r="BH401" s="456">
        <v>0.0</v>
      </c>
      <c r="BI401" s="456">
        <v>0.0</v>
      </c>
      <c r="BJ401" s="456">
        <v>0.0</v>
      </c>
      <c r="BK401" s="456">
        <v>0.0</v>
      </c>
      <c r="BL401" s="456">
        <v>0.0</v>
      </c>
      <c r="BM401" s="456">
        <v>0.0</v>
      </c>
      <c r="BN401" s="456">
        <v>0.0</v>
      </c>
      <c r="BO401" s="456">
        <v>0.0</v>
      </c>
      <c r="BP401" s="456">
        <v>0.0</v>
      </c>
      <c r="BQ401" s="456">
        <v>0.0</v>
      </c>
      <c r="BR401" s="456">
        <v>0.0</v>
      </c>
      <c r="BS401" s="90">
        <v>0.0</v>
      </c>
      <c r="BT401" s="90"/>
    </row>
    <row r="402" ht="15.75" customHeight="1">
      <c r="A402" s="444" t="s">
        <v>98</v>
      </c>
      <c r="B402" s="445" t="s">
        <v>6754</v>
      </c>
      <c r="C402" s="458" t="s">
        <v>6755</v>
      </c>
      <c r="D402" s="449">
        <v>4886679.0</v>
      </c>
      <c r="E402" s="449" t="s">
        <v>255</v>
      </c>
      <c r="F402" s="449" t="s">
        <v>199</v>
      </c>
      <c r="G402" s="449" t="s">
        <v>548</v>
      </c>
      <c r="H402" s="449" t="str">
        <f>IFERROR(VLOOKUP(G402,'Cadastro de assessores'!A:B,2,FALSE),"Não Cadastrado")</f>
        <v>14574</v>
      </c>
      <c r="I402" s="449"/>
      <c r="J402" s="49" t="s">
        <v>224</v>
      </c>
      <c r="K402" s="449" t="s">
        <v>2340</v>
      </c>
      <c r="L402" s="460">
        <v>44256.0</v>
      </c>
      <c r="M402" s="460">
        <v>44256.0</v>
      </c>
      <c r="N402" s="460">
        <v>44691.0</v>
      </c>
      <c r="O402" s="449" t="s">
        <v>2341</v>
      </c>
      <c r="P402" s="452">
        <v>0.015</v>
      </c>
      <c r="Q402" s="330" t="s">
        <v>6763</v>
      </c>
      <c r="R402" s="453"/>
      <c r="S402" s="449" t="str">
        <f t="shared" si="43"/>
        <v/>
      </c>
      <c r="T402" s="449" t="s">
        <v>194</v>
      </c>
      <c r="U402" s="449" t="s">
        <v>3350</v>
      </c>
      <c r="V402" s="449" t="s">
        <v>199</v>
      </c>
      <c r="W402" s="455"/>
      <c r="X402" s="455"/>
      <c r="Y402" s="455"/>
      <c r="Z402" s="455"/>
      <c r="AA402" s="455"/>
      <c r="AB402" s="455"/>
      <c r="AC402" s="455"/>
      <c r="AD402" s="455"/>
      <c r="AE402" s="455"/>
      <c r="AF402" s="455"/>
      <c r="AG402" s="455"/>
      <c r="AH402" s="455"/>
      <c r="AI402" s="455"/>
      <c r="AJ402" s="455"/>
      <c r="AK402" s="456"/>
      <c r="AL402" s="456"/>
      <c r="AM402" s="456"/>
      <c r="AN402" s="456">
        <v>99936.81</v>
      </c>
      <c r="AO402" s="456">
        <v>103199.15</v>
      </c>
      <c r="AP402" s="456">
        <v>193479.34</v>
      </c>
      <c r="AQ402" s="456">
        <v>192699.12</v>
      </c>
      <c r="AR402" s="456">
        <v>196844.75</v>
      </c>
      <c r="AS402" s="456">
        <v>195050.44</v>
      </c>
      <c r="AT402" s="456">
        <v>191427.57</v>
      </c>
      <c r="AU402" s="456">
        <v>190365.51</v>
      </c>
      <c r="AV402" s="456">
        <v>188354.5</v>
      </c>
      <c r="AW402" s="456">
        <v>182255.57</v>
      </c>
      <c r="AX402" s="456">
        <v>181424.57</v>
      </c>
      <c r="AY402" s="456">
        <v>183609.21</v>
      </c>
      <c r="AZ402" s="456">
        <v>188784.73</v>
      </c>
      <c r="BA402" s="456">
        <v>189811.14</v>
      </c>
      <c r="BB402" s="456">
        <v>196985.34</v>
      </c>
      <c r="BC402" s="456"/>
      <c r="BD402" s="456" t="s">
        <v>377</v>
      </c>
      <c r="BE402" s="456" t="s">
        <v>377</v>
      </c>
      <c r="BF402" s="456">
        <v>0.0</v>
      </c>
      <c r="BG402" s="456">
        <v>0.0</v>
      </c>
      <c r="BH402" s="456">
        <v>0.0</v>
      </c>
      <c r="BI402" s="456">
        <v>0.0</v>
      </c>
      <c r="BJ402" s="456">
        <v>0.0</v>
      </c>
      <c r="BK402" s="456">
        <v>0.0</v>
      </c>
      <c r="BL402" s="456">
        <v>0.0</v>
      </c>
      <c r="BM402" s="456">
        <v>0.0</v>
      </c>
      <c r="BN402" s="456">
        <v>0.0</v>
      </c>
      <c r="BO402" s="456">
        <v>0.0</v>
      </c>
      <c r="BP402" s="456">
        <v>0.0</v>
      </c>
      <c r="BQ402" s="456">
        <v>0.0</v>
      </c>
      <c r="BR402" s="456">
        <v>0.0</v>
      </c>
      <c r="BS402" s="90" t="s">
        <v>268</v>
      </c>
      <c r="BT402" s="90"/>
    </row>
    <row r="403" ht="15.75" customHeight="1">
      <c r="A403" s="444" t="s">
        <v>98</v>
      </c>
      <c r="B403" s="445" t="s">
        <v>6766</v>
      </c>
      <c r="C403" s="468" t="s">
        <v>6767</v>
      </c>
      <c r="D403" s="446">
        <v>6675462.0</v>
      </c>
      <c r="E403" s="447" t="s">
        <v>120</v>
      </c>
      <c r="F403" s="447" t="s">
        <v>54</v>
      </c>
      <c r="G403" s="446" t="s">
        <v>125</v>
      </c>
      <c r="H403" s="447" t="str">
        <f>IFERROR(VLOOKUP(G403,'Cadastro de assessores'!A:B,2,FALSE),"Não Cadastrado")</f>
        <v>18890</v>
      </c>
      <c r="I403" s="447"/>
      <c r="J403" s="49" t="s">
        <v>2318</v>
      </c>
      <c r="K403" s="449" t="s">
        <v>183</v>
      </c>
      <c r="L403" s="450">
        <v>44684.0</v>
      </c>
      <c r="M403" s="450">
        <v>44686.0</v>
      </c>
      <c r="N403" s="446"/>
      <c r="O403" s="446" t="s">
        <v>2365</v>
      </c>
      <c r="P403" s="452">
        <v>0.012</v>
      </c>
      <c r="Q403" s="330" t="s">
        <v>3145</v>
      </c>
      <c r="R403" s="453"/>
      <c r="S403" s="449" t="str">
        <f t="shared" si="43"/>
        <v>Não Qualificado</v>
      </c>
      <c r="T403" s="449" t="s">
        <v>194</v>
      </c>
      <c r="U403" s="449" t="s">
        <v>2438</v>
      </c>
      <c r="V403" s="449" t="s">
        <v>54</v>
      </c>
      <c r="W403" s="455"/>
      <c r="X403" s="455"/>
      <c r="Y403" s="455"/>
      <c r="Z403" s="455"/>
      <c r="AA403" s="455"/>
      <c r="AB403" s="455"/>
      <c r="AC403" s="455"/>
      <c r="AD403" s="455"/>
      <c r="AE403" s="455"/>
      <c r="AF403" s="455"/>
      <c r="AG403" s="455"/>
      <c r="AH403" s="455"/>
      <c r="AI403" s="455"/>
      <c r="AJ403" s="455"/>
      <c r="AK403" s="456"/>
      <c r="AL403" s="456"/>
      <c r="AM403" s="456"/>
      <c r="AN403" s="735"/>
      <c r="AO403" s="735"/>
      <c r="AP403" s="456"/>
      <c r="AQ403" s="456"/>
      <c r="AR403" s="456"/>
      <c r="AS403" s="456"/>
      <c r="AT403" s="456"/>
      <c r="AU403" s="456"/>
      <c r="AV403" s="456"/>
      <c r="AW403" s="456"/>
      <c r="AX403" s="456"/>
      <c r="AY403" s="456"/>
      <c r="AZ403" s="456"/>
      <c r="BA403" s="456"/>
      <c r="BB403" s="456"/>
      <c r="BC403" s="456">
        <v>142663.05</v>
      </c>
      <c r="BD403" s="456">
        <v>101010.38</v>
      </c>
      <c r="BE403" s="456">
        <v>202531.59</v>
      </c>
      <c r="BF403" s="456">
        <v>224769.31</v>
      </c>
      <c r="BG403" s="456">
        <v>276830.1525</v>
      </c>
      <c r="BH403" s="456">
        <v>288757.72</v>
      </c>
      <c r="BI403" s="456">
        <v>291977.32</v>
      </c>
      <c r="BJ403" s="456">
        <v>294469.48</v>
      </c>
      <c r="BK403" s="456">
        <v>297078.7</v>
      </c>
      <c r="BL403" s="456">
        <v>46636.41</v>
      </c>
      <c r="BM403" s="456">
        <v>7.06</v>
      </c>
      <c r="BN403" s="456">
        <v>4.29</v>
      </c>
      <c r="BO403" s="456">
        <v>4.29</v>
      </c>
      <c r="BP403" s="456">
        <v>4.29</v>
      </c>
      <c r="BQ403" s="456">
        <v>4.29</v>
      </c>
      <c r="BR403" s="456">
        <v>4.29</v>
      </c>
      <c r="BS403" s="90">
        <v>0.0</v>
      </c>
      <c r="BT403" s="90"/>
    </row>
    <row r="404" ht="15.75" customHeight="1">
      <c r="A404" s="444" t="s">
        <v>98</v>
      </c>
      <c r="B404" s="445" t="s">
        <v>6774</v>
      </c>
      <c r="C404" s="458" t="s">
        <v>6776</v>
      </c>
      <c r="D404" s="449">
        <v>4457777.0</v>
      </c>
      <c r="E404" s="449" t="s">
        <v>669</v>
      </c>
      <c r="F404" s="449" t="s">
        <v>199</v>
      </c>
      <c r="G404" s="449" t="s">
        <v>669</v>
      </c>
      <c r="H404" s="449" t="str">
        <f>IFERROR(VLOOKUP(G404,'Cadastro de assessores'!A:B,2,FALSE),"Não Cadastrado")</f>
        <v>18986</v>
      </c>
      <c r="I404" s="449"/>
      <c r="J404" s="49" t="s">
        <v>224</v>
      </c>
      <c r="K404" s="449" t="s">
        <v>2340</v>
      </c>
      <c r="L404" s="459">
        <v>44151.0</v>
      </c>
      <c r="M404" s="459">
        <v>44151.0</v>
      </c>
      <c r="N404" s="459">
        <v>44543.0</v>
      </c>
      <c r="O404" s="449" t="s">
        <v>2341</v>
      </c>
      <c r="P404" s="452">
        <v>0.015</v>
      </c>
      <c r="Q404" s="330" t="s">
        <v>6777</v>
      </c>
      <c r="R404" s="453"/>
      <c r="S404" s="449" t="str">
        <f t="shared" si="43"/>
        <v>Não Qualificado</v>
      </c>
      <c r="T404" s="449" t="s">
        <v>194</v>
      </c>
      <c r="U404" s="449" t="s">
        <v>2322</v>
      </c>
      <c r="V404" s="449" t="s">
        <v>54</v>
      </c>
      <c r="W404" s="455" t="s">
        <v>2344</v>
      </c>
      <c r="X404" s="455" t="s">
        <v>2344</v>
      </c>
      <c r="Y404" s="455" t="s">
        <v>2344</v>
      </c>
      <c r="Z404" s="455" t="s">
        <v>2344</v>
      </c>
      <c r="AA404" s="455" t="s">
        <v>2344</v>
      </c>
      <c r="AB404" s="455" t="s">
        <v>2344</v>
      </c>
      <c r="AC404" s="455" t="s">
        <v>2344</v>
      </c>
      <c r="AD404" s="455" t="s">
        <v>2344</v>
      </c>
      <c r="AE404" s="455" t="s">
        <v>2344</v>
      </c>
      <c r="AF404" s="455" t="s">
        <v>2344</v>
      </c>
      <c r="AG404" s="455" t="s">
        <v>2344</v>
      </c>
      <c r="AH404" s="455" t="s">
        <v>2344</v>
      </c>
      <c r="AI404" s="455" t="s">
        <v>2344</v>
      </c>
      <c r="AJ404" s="455" t="s">
        <v>6778</v>
      </c>
      <c r="AK404" s="456">
        <v>77147.06</v>
      </c>
      <c r="AL404" s="456">
        <v>98750.86</v>
      </c>
      <c r="AM404" s="456">
        <v>95541.36</v>
      </c>
      <c r="AN404" s="456">
        <v>95598.63</v>
      </c>
      <c r="AO404" s="456">
        <v>98267.16</v>
      </c>
      <c r="AP404" s="456">
        <v>98765.11</v>
      </c>
      <c r="AQ404" s="456">
        <v>98364.61</v>
      </c>
      <c r="AR404" s="456">
        <v>100527.93</v>
      </c>
      <c r="AS404" s="456">
        <v>101374.6</v>
      </c>
      <c r="AT404" s="456">
        <v>99517.12</v>
      </c>
      <c r="AU404" s="456">
        <v>99949.7</v>
      </c>
      <c r="AV404" s="456">
        <v>98292.38</v>
      </c>
      <c r="AW404" s="456">
        <v>94877.06</v>
      </c>
      <c r="AX404" s="456">
        <v>76660.54</v>
      </c>
      <c r="AY404" s="456"/>
      <c r="AZ404" s="456"/>
      <c r="BA404" s="456">
        <v>0.0</v>
      </c>
      <c r="BB404" s="456">
        <v>0.0</v>
      </c>
      <c r="BC404" s="456">
        <v>312735.04</v>
      </c>
      <c r="BD404" s="456" t="s">
        <v>377</v>
      </c>
      <c r="BE404" s="456" t="s">
        <v>377</v>
      </c>
      <c r="BF404" s="456">
        <v>0.0</v>
      </c>
      <c r="BG404" s="456">
        <v>0.0</v>
      </c>
      <c r="BH404" s="456">
        <v>0.0</v>
      </c>
      <c r="BI404" s="456">
        <v>0.0</v>
      </c>
      <c r="BJ404" s="456">
        <v>0.0</v>
      </c>
      <c r="BK404" s="456">
        <v>0.0</v>
      </c>
      <c r="BL404" s="456">
        <v>0.0</v>
      </c>
      <c r="BM404" s="456">
        <v>0.0</v>
      </c>
      <c r="BN404" s="456">
        <v>0.0</v>
      </c>
      <c r="BO404" s="456">
        <v>0.0</v>
      </c>
      <c r="BP404" s="456">
        <v>0.0</v>
      </c>
      <c r="BQ404" s="456">
        <v>0.0</v>
      </c>
      <c r="BR404" s="456">
        <v>0.0</v>
      </c>
      <c r="BS404" s="90" t="s">
        <v>268</v>
      </c>
      <c r="BT404" s="90"/>
    </row>
    <row r="405" ht="15.75" customHeight="1">
      <c r="A405" s="444" t="s">
        <v>98</v>
      </c>
      <c r="B405" s="445" t="s">
        <v>6780</v>
      </c>
      <c r="C405" s="559" t="s">
        <v>6781</v>
      </c>
      <c r="D405" s="446">
        <v>7514118.0</v>
      </c>
      <c r="E405" s="447" t="s">
        <v>120</v>
      </c>
      <c r="F405" s="448" t="s">
        <v>54</v>
      </c>
      <c r="G405" s="490" t="s">
        <v>379</v>
      </c>
      <c r="H405" s="446" t="str">
        <f>IFERROR(VLOOKUP(G405,'Cadastro de assessores'!A:B,2,FALSE),"Não Cadastrado")</f>
        <v>18009</v>
      </c>
      <c r="I405" s="446"/>
      <c r="J405" s="49" t="s">
        <v>2318</v>
      </c>
      <c r="K405" s="449" t="s">
        <v>183</v>
      </c>
      <c r="L405" s="450">
        <v>44564.0</v>
      </c>
      <c r="M405" s="450">
        <v>44572.0</v>
      </c>
      <c r="N405" s="446"/>
      <c r="O405" s="446" t="s">
        <v>2356</v>
      </c>
      <c r="P405" s="452">
        <v>0.007</v>
      </c>
      <c r="Q405" s="330"/>
      <c r="R405" s="453"/>
      <c r="S405" s="449" t="str">
        <f t="shared" si="43"/>
        <v/>
      </c>
      <c r="T405" s="449" t="s">
        <v>234</v>
      </c>
      <c r="U405" s="449" t="s">
        <v>2438</v>
      </c>
      <c r="V405" s="449" t="s">
        <v>54</v>
      </c>
      <c r="W405" s="455"/>
      <c r="X405" s="455"/>
      <c r="Y405" s="454"/>
      <c r="Z405" s="454"/>
      <c r="AA405" s="454"/>
      <c r="AB405" s="454"/>
      <c r="AC405" s="454"/>
      <c r="AD405" s="454"/>
      <c r="AE405" s="454"/>
      <c r="AF405" s="454"/>
      <c r="AG405" s="454"/>
      <c r="AH405" s="454"/>
      <c r="AI405" s="454"/>
      <c r="AJ405" s="456"/>
      <c r="AK405" s="456"/>
      <c r="AL405" s="735"/>
      <c r="AM405" s="735"/>
      <c r="AN405" s="456"/>
      <c r="AO405" s="456"/>
      <c r="AP405" s="454"/>
      <c r="AQ405" s="481"/>
      <c r="AR405" s="456"/>
      <c r="AS405" s="456"/>
      <c r="AT405" s="456"/>
      <c r="AU405" s="456"/>
      <c r="AV405" s="456"/>
      <c r="AW405" s="456"/>
      <c r="AX405" s="454"/>
      <c r="AY405" s="454"/>
      <c r="AZ405" s="538">
        <v>281805.66</v>
      </c>
      <c r="BA405" s="538">
        <v>1010363.11</v>
      </c>
      <c r="BB405" s="538">
        <v>1023239.7</v>
      </c>
      <c r="BC405" s="538"/>
      <c r="BD405" s="456">
        <v>1134569.05</v>
      </c>
      <c r="BE405" s="456">
        <v>1208265.9</v>
      </c>
      <c r="BF405" s="456">
        <v>1220736.4</v>
      </c>
      <c r="BG405" s="456">
        <v>1227981.592</v>
      </c>
      <c r="BH405" s="456">
        <v>1233107.77</v>
      </c>
      <c r="BI405" s="456">
        <v>1305804.06</v>
      </c>
      <c r="BJ405" s="456">
        <v>1317450.88</v>
      </c>
      <c r="BK405" s="456">
        <v>1328926.45</v>
      </c>
      <c r="BL405" s="456">
        <v>1339751.03</v>
      </c>
      <c r="BM405" s="456">
        <v>545.21</v>
      </c>
      <c r="BN405" s="456">
        <v>506.66</v>
      </c>
      <c r="BO405" s="456">
        <v>0.0</v>
      </c>
      <c r="BP405" s="456">
        <v>0.0</v>
      </c>
      <c r="BQ405" s="456">
        <v>0.0</v>
      </c>
      <c r="BR405" s="456">
        <v>0.0</v>
      </c>
      <c r="BS405" s="90">
        <v>0.0</v>
      </c>
      <c r="BT405" s="90"/>
    </row>
    <row r="406" ht="15.75" customHeight="1">
      <c r="A406" s="444" t="s">
        <v>98</v>
      </c>
      <c r="B406" s="445" t="s">
        <v>6780</v>
      </c>
      <c r="C406" s="468" t="s">
        <v>6781</v>
      </c>
      <c r="D406" s="469">
        <v>7605641.0</v>
      </c>
      <c r="E406" s="447" t="s">
        <v>120</v>
      </c>
      <c r="F406" s="448" t="s">
        <v>54</v>
      </c>
      <c r="G406" s="490" t="s">
        <v>379</v>
      </c>
      <c r="H406" s="446" t="str">
        <f>IFERROR(VLOOKUP(G406,'Cadastro de assessores'!A:B,2,FALSE),"Não Cadastrado")</f>
        <v>18009</v>
      </c>
      <c r="I406" s="446"/>
      <c r="J406" s="49" t="s">
        <v>2318</v>
      </c>
      <c r="K406" s="449" t="s">
        <v>183</v>
      </c>
      <c r="L406" s="470">
        <v>44669.0</v>
      </c>
      <c r="M406" s="470">
        <v>44669.0</v>
      </c>
      <c r="N406" s="446"/>
      <c r="O406" s="446" t="s">
        <v>2356</v>
      </c>
      <c r="P406" s="452">
        <v>0.007</v>
      </c>
      <c r="Q406" s="330"/>
      <c r="R406" s="453"/>
      <c r="S406" s="449" t="str">
        <f t="shared" si="43"/>
        <v>Não Qualificado</v>
      </c>
      <c r="T406" s="449" t="s">
        <v>234</v>
      </c>
      <c r="U406" s="449" t="s">
        <v>2438</v>
      </c>
      <c r="V406" s="449" t="s">
        <v>54</v>
      </c>
      <c r="W406" s="455"/>
      <c r="X406" s="455"/>
      <c r="Y406" s="454"/>
      <c r="Z406" s="454"/>
      <c r="AA406" s="454"/>
      <c r="AB406" s="454"/>
      <c r="AC406" s="454"/>
      <c r="AD406" s="454"/>
      <c r="AE406" s="454"/>
      <c r="AF406" s="454"/>
      <c r="AG406" s="454"/>
      <c r="AH406" s="454"/>
      <c r="AI406" s="454"/>
      <c r="AJ406" s="454"/>
      <c r="AK406" s="456"/>
      <c r="AL406" s="456"/>
      <c r="AM406" s="735"/>
      <c r="AN406" s="735"/>
      <c r="AO406" s="456"/>
      <c r="AP406" s="456"/>
      <c r="AQ406" s="454"/>
      <c r="AR406" s="481"/>
      <c r="AS406" s="456"/>
      <c r="AT406" s="456"/>
      <c r="AU406" s="456"/>
      <c r="AV406" s="456"/>
      <c r="AW406" s="456"/>
      <c r="AX406" s="456"/>
      <c r="AY406" s="456"/>
      <c r="AZ406" s="456"/>
      <c r="BA406" s="456"/>
      <c r="BB406" s="456">
        <v>0.0</v>
      </c>
      <c r="BC406" s="456">
        <v>353922.44</v>
      </c>
      <c r="BD406" s="456">
        <v>1516608.45</v>
      </c>
      <c r="BE406" s="456">
        <v>1532582.45</v>
      </c>
      <c r="BF406" s="456">
        <v>1544067.12</v>
      </c>
      <c r="BG406" s="456">
        <v>1554830.861</v>
      </c>
      <c r="BH406" s="456">
        <v>1564026.26</v>
      </c>
      <c r="BI406" s="456">
        <v>1576162.9</v>
      </c>
      <c r="BJ406" s="456">
        <v>1590647.67</v>
      </c>
      <c r="BK406" s="456">
        <v>1604475.64</v>
      </c>
      <c r="BL406" s="456">
        <v>1623294.72</v>
      </c>
      <c r="BM406" s="456">
        <v>0.35</v>
      </c>
      <c r="BN406" s="456">
        <v>1.67</v>
      </c>
      <c r="BO406" s="456">
        <v>0.0</v>
      </c>
      <c r="BP406" s="456">
        <v>0.0</v>
      </c>
      <c r="BQ406" s="456">
        <v>0.0</v>
      </c>
      <c r="BR406" s="456">
        <v>0.0</v>
      </c>
      <c r="BS406" s="90">
        <v>0.0</v>
      </c>
      <c r="BT406" s="90"/>
    </row>
    <row r="407" ht="15.75" customHeight="1">
      <c r="A407" s="444" t="s">
        <v>98</v>
      </c>
      <c r="B407" s="445" t="s">
        <v>6790</v>
      </c>
      <c r="C407" s="468" t="s">
        <v>6330</v>
      </c>
      <c r="D407" s="446">
        <v>515215.0</v>
      </c>
      <c r="E407" s="447" t="s">
        <v>120</v>
      </c>
      <c r="F407" s="448" t="s">
        <v>54</v>
      </c>
      <c r="G407" s="447" t="s">
        <v>379</v>
      </c>
      <c r="H407" s="446" t="str">
        <f>IFERROR(VLOOKUP(G407,'Cadastro de assessores'!A:B,2,FALSE),"Não Cadastrado")</f>
        <v>18009</v>
      </c>
      <c r="I407" s="446"/>
      <c r="J407" s="49" t="s">
        <v>2318</v>
      </c>
      <c r="K407" s="449" t="s">
        <v>295</v>
      </c>
      <c r="L407" s="450">
        <v>44349.0</v>
      </c>
      <c r="M407" s="450">
        <v>44349.0</v>
      </c>
      <c r="N407" s="449"/>
      <c r="O407" s="449" t="s">
        <v>3701</v>
      </c>
      <c r="P407" s="452">
        <v>0.02</v>
      </c>
      <c r="Q407" s="330" t="s">
        <v>6791</v>
      </c>
      <c r="R407" s="453"/>
      <c r="S407" s="449" t="str">
        <f t="shared" si="43"/>
        <v/>
      </c>
      <c r="T407" s="446" t="s">
        <v>194</v>
      </c>
      <c r="U407" s="446" t="s">
        <v>3955</v>
      </c>
      <c r="V407" s="446" t="s">
        <v>618</v>
      </c>
      <c r="W407" s="454"/>
      <c r="X407" s="454"/>
      <c r="Y407" s="454"/>
      <c r="Z407" s="454"/>
      <c r="AA407" s="454"/>
      <c r="AB407" s="454"/>
      <c r="AC407" s="454"/>
      <c r="AD407" s="454"/>
      <c r="AE407" s="454"/>
      <c r="AF407" s="454"/>
      <c r="AG407" s="454"/>
      <c r="AH407" s="454"/>
      <c r="AI407" s="454"/>
      <c r="AJ407" s="454"/>
      <c r="AK407" s="456"/>
      <c r="AL407" s="456"/>
      <c r="AM407" s="735"/>
      <c r="AN407" s="735"/>
      <c r="AO407" s="456"/>
      <c r="AP407" s="456"/>
      <c r="AQ407" s="454"/>
      <c r="AR407" s="481"/>
      <c r="AS407" s="456">
        <v>74917.16</v>
      </c>
      <c r="AT407" s="456">
        <v>74785.83</v>
      </c>
      <c r="AU407" s="456">
        <v>0.02</v>
      </c>
      <c r="AV407" s="456">
        <v>-29.5</v>
      </c>
      <c r="AW407" s="456"/>
      <c r="AX407" s="456"/>
      <c r="AY407" s="456"/>
      <c r="AZ407" s="456"/>
      <c r="BA407" s="456">
        <v>0.0</v>
      </c>
      <c r="BB407" s="456">
        <v>0.0</v>
      </c>
      <c r="BC407" s="456"/>
      <c r="BD407" s="456">
        <v>-29.5</v>
      </c>
      <c r="BE407" s="456" t="s">
        <v>377</v>
      </c>
      <c r="BF407" s="456">
        <v>-29.5</v>
      </c>
      <c r="BG407" s="456">
        <v>20.5</v>
      </c>
      <c r="BH407" s="456">
        <v>20.5</v>
      </c>
      <c r="BI407" s="456">
        <v>20.5</v>
      </c>
      <c r="BJ407" s="456">
        <v>20.5</v>
      </c>
      <c r="BK407" s="456">
        <v>20.5</v>
      </c>
      <c r="BL407" s="456">
        <v>20.5</v>
      </c>
      <c r="BM407" s="456">
        <v>20.5</v>
      </c>
      <c r="BN407" s="456">
        <v>0.0</v>
      </c>
      <c r="BO407" s="456">
        <v>20.5</v>
      </c>
      <c r="BP407" s="456">
        <v>20.5</v>
      </c>
      <c r="BQ407" s="456">
        <v>20.5</v>
      </c>
      <c r="BR407" s="456">
        <v>20.5</v>
      </c>
      <c r="BS407" s="90">
        <v>0.0</v>
      </c>
      <c r="BT407" s="90"/>
    </row>
    <row r="408" ht="15.75" customHeight="1">
      <c r="A408" s="444" t="s">
        <v>98</v>
      </c>
      <c r="B408" s="445" t="s">
        <v>6795</v>
      </c>
      <c r="C408" s="468" t="s">
        <v>6797</v>
      </c>
      <c r="D408" s="446">
        <v>6403193.0</v>
      </c>
      <c r="E408" s="449" t="s">
        <v>120</v>
      </c>
      <c r="F408" s="507" t="s">
        <v>199</v>
      </c>
      <c r="G408" s="507" t="s">
        <v>4786</v>
      </c>
      <c r="H408" s="507" t="str">
        <f>IFERROR(VLOOKUP(G408,'Cadastro de assessores'!A:B,2,FALSE),"Não Cadastrado")</f>
        <v>16130</v>
      </c>
      <c r="I408" s="507"/>
      <c r="J408" s="49" t="s">
        <v>224</v>
      </c>
      <c r="K408" s="449" t="s">
        <v>2340</v>
      </c>
      <c r="L408" s="508">
        <v>44434.0</v>
      </c>
      <c r="M408" s="508">
        <v>44434.0</v>
      </c>
      <c r="N408" s="508">
        <v>44764.0</v>
      </c>
      <c r="O408" s="446" t="s">
        <v>2356</v>
      </c>
      <c r="P408" s="452">
        <v>0.007</v>
      </c>
      <c r="Q408" s="330" t="s">
        <v>6802</v>
      </c>
      <c r="R408" s="453"/>
      <c r="S408" s="449" t="str">
        <f t="shared" si="43"/>
        <v>Qualificado</v>
      </c>
      <c r="T408" s="446" t="s">
        <v>194</v>
      </c>
      <c r="U408" s="446" t="s">
        <v>2417</v>
      </c>
      <c r="V408" s="449" t="s">
        <v>54</v>
      </c>
      <c r="W408" s="454"/>
      <c r="X408" s="454"/>
      <c r="Y408" s="454"/>
      <c r="Z408" s="454"/>
      <c r="AA408" s="454"/>
      <c r="AB408" s="454"/>
      <c r="AC408" s="454"/>
      <c r="AD408" s="454"/>
      <c r="AE408" s="454"/>
      <c r="AF408" s="454"/>
      <c r="AG408" s="454"/>
      <c r="AH408" s="455"/>
      <c r="AI408" s="455"/>
      <c r="AJ408" s="456"/>
      <c r="AK408" s="456"/>
      <c r="AL408" s="456"/>
      <c r="AM408" s="456"/>
      <c r="AN408" s="456"/>
      <c r="AO408" s="456"/>
      <c r="AP408" s="456"/>
      <c r="AQ408" s="456"/>
      <c r="AR408" s="456"/>
      <c r="AS408" s="538"/>
      <c r="AT408" s="481"/>
      <c r="AU408" s="481">
        <v>100081.55</v>
      </c>
      <c r="AV408" s="456">
        <v>401052.66</v>
      </c>
      <c r="AW408" s="456">
        <v>404053.61</v>
      </c>
      <c r="AX408" s="456">
        <v>407585.7</v>
      </c>
      <c r="AY408" s="456">
        <v>511876.18</v>
      </c>
      <c r="AZ408" s="456">
        <v>516222.95</v>
      </c>
      <c r="BA408" s="456">
        <v>519805.21</v>
      </c>
      <c r="BB408" s="456">
        <v>525820.66</v>
      </c>
      <c r="BC408" s="456">
        <v>1602506.14</v>
      </c>
      <c r="BD408" s="456">
        <v>537710.94</v>
      </c>
      <c r="BE408" s="456">
        <v>542394.89</v>
      </c>
      <c r="BF408" s="456">
        <v>0.0</v>
      </c>
      <c r="BG408" s="456">
        <v>0.0</v>
      </c>
      <c r="BH408" s="456">
        <v>0.0</v>
      </c>
      <c r="BI408" s="456">
        <v>0.0</v>
      </c>
      <c r="BJ408" s="456">
        <v>0.0</v>
      </c>
      <c r="BK408" s="456">
        <v>0.0</v>
      </c>
      <c r="BL408" s="456">
        <v>0.0</v>
      </c>
      <c r="BM408" s="456">
        <v>0.0</v>
      </c>
      <c r="BN408" s="456">
        <v>0.0</v>
      </c>
      <c r="BO408" s="456">
        <v>0.0</v>
      </c>
      <c r="BP408" s="456">
        <v>0.0</v>
      </c>
      <c r="BQ408" s="456">
        <v>0.0</v>
      </c>
      <c r="BR408" s="456">
        <v>0.0</v>
      </c>
      <c r="BS408" s="90" t="s">
        <v>268</v>
      </c>
      <c r="BT408" s="90"/>
    </row>
    <row r="409" ht="15.75" customHeight="1">
      <c r="A409" s="444" t="s">
        <v>98</v>
      </c>
      <c r="B409" s="445" t="s">
        <v>1736</v>
      </c>
      <c r="C409" s="458" t="s">
        <v>1734</v>
      </c>
      <c r="D409" s="449">
        <v>490973.0</v>
      </c>
      <c r="E409" s="447" t="s">
        <v>120</v>
      </c>
      <c r="F409" s="447" t="s">
        <v>199</v>
      </c>
      <c r="G409" s="447" t="s">
        <v>803</v>
      </c>
      <c r="H409" s="447" t="str">
        <f>IFERROR(VLOOKUP(G409,'Cadastro de assessores'!A:B,2,FALSE),"Não Cadastrado")</f>
        <v>18467</v>
      </c>
      <c r="I409" s="447"/>
      <c r="J409" s="49" t="s">
        <v>2318</v>
      </c>
      <c r="K409" s="449" t="s">
        <v>183</v>
      </c>
      <c r="L409" s="450">
        <v>43685.0</v>
      </c>
      <c r="M409" s="450">
        <v>43690.0</v>
      </c>
      <c r="N409" s="449"/>
      <c r="O409" s="449" t="s">
        <v>2319</v>
      </c>
      <c r="P409" s="452">
        <v>0.02</v>
      </c>
      <c r="Q409" s="461" t="s">
        <v>6809</v>
      </c>
      <c r="R409" s="453"/>
      <c r="S409" s="449" t="str">
        <f t="shared" si="43"/>
        <v/>
      </c>
      <c r="T409" s="449" t="s">
        <v>194</v>
      </c>
      <c r="U409" s="449" t="s">
        <v>3587</v>
      </c>
      <c r="V409" s="449" t="s">
        <v>54</v>
      </c>
      <c r="W409" s="455" t="s">
        <v>6810</v>
      </c>
      <c r="X409" s="455"/>
      <c r="Y409" s="455" t="s">
        <v>6812</v>
      </c>
      <c r="Z409" s="455" t="s">
        <v>6813</v>
      </c>
      <c r="AA409" s="455" t="s">
        <v>6814</v>
      </c>
      <c r="AB409" s="455" t="s">
        <v>6815</v>
      </c>
      <c r="AC409" s="455" t="s">
        <v>6816</v>
      </c>
      <c r="AD409" s="455" t="s">
        <v>6817</v>
      </c>
      <c r="AE409" s="455" t="s">
        <v>6818</v>
      </c>
      <c r="AF409" s="455" t="s">
        <v>6819</v>
      </c>
      <c r="AG409" s="455" t="s">
        <v>6820</v>
      </c>
      <c r="AH409" s="455" t="s">
        <v>6821</v>
      </c>
      <c r="AI409" s="455" t="s">
        <v>6822</v>
      </c>
      <c r="AJ409" s="455" t="s">
        <v>6823</v>
      </c>
      <c r="AK409" s="456">
        <v>377277.63</v>
      </c>
      <c r="AL409" s="456">
        <v>372342.05</v>
      </c>
      <c r="AM409" s="456">
        <v>365886.79</v>
      </c>
      <c r="AN409" s="735">
        <v>367375.02</v>
      </c>
      <c r="AO409" s="735">
        <v>388099.18</v>
      </c>
      <c r="AP409" s="456">
        <v>411909.35</v>
      </c>
      <c r="AQ409" s="456">
        <v>408810.09</v>
      </c>
      <c r="AR409" s="456">
        <v>423220.96</v>
      </c>
      <c r="AS409" s="456">
        <v>437157.42</v>
      </c>
      <c r="AT409" s="456">
        <v>423777.84</v>
      </c>
      <c r="AU409" s="456">
        <v>421472.39</v>
      </c>
      <c r="AV409" s="456">
        <v>408110.15</v>
      </c>
      <c r="AW409" s="456">
        <v>392185.47</v>
      </c>
      <c r="AX409" s="456">
        <v>395919.73</v>
      </c>
      <c r="AY409" s="456">
        <v>401064.3</v>
      </c>
      <c r="AZ409" s="456">
        <v>415573.85</v>
      </c>
      <c r="BA409" s="456">
        <v>534553.85</v>
      </c>
      <c r="BB409" s="456">
        <v>563642.78</v>
      </c>
      <c r="BC409" s="456"/>
      <c r="BD409" s="456">
        <v>572089.55</v>
      </c>
      <c r="BE409" s="456">
        <v>559168.46</v>
      </c>
      <c r="BF409" s="456">
        <v>578620.56</v>
      </c>
      <c r="BG409" s="456">
        <v>586081.2738</v>
      </c>
      <c r="BH409" s="456">
        <v>602471.68</v>
      </c>
      <c r="BI409" s="456">
        <v>733172.77</v>
      </c>
      <c r="BJ409" s="456">
        <v>909125.09</v>
      </c>
      <c r="BK409" s="456">
        <v>912564.68</v>
      </c>
      <c r="BL409" s="456">
        <v>941665.15</v>
      </c>
      <c r="BM409" s="456">
        <v>938391.97</v>
      </c>
      <c r="BN409" s="456">
        <v>322653.23</v>
      </c>
      <c r="BO409" s="456">
        <v>243391.24</v>
      </c>
      <c r="BP409" s="456">
        <v>0.0</v>
      </c>
      <c r="BQ409" s="456">
        <v>0.0</v>
      </c>
      <c r="BR409" s="456">
        <v>0.0</v>
      </c>
      <c r="BS409" s="90">
        <v>0.0</v>
      </c>
      <c r="BT409" s="90"/>
    </row>
    <row r="410" ht="15.75" customHeight="1">
      <c r="A410" s="444" t="s">
        <v>98</v>
      </c>
      <c r="B410" s="445" t="s">
        <v>6825</v>
      </c>
      <c r="C410" s="458" t="s">
        <v>6826</v>
      </c>
      <c r="D410" s="446">
        <v>3318900.0</v>
      </c>
      <c r="E410" s="447" t="s">
        <v>669</v>
      </c>
      <c r="F410" s="447" t="s">
        <v>199</v>
      </c>
      <c r="G410" s="447" t="s">
        <v>669</v>
      </c>
      <c r="H410" s="447" t="str">
        <f>IFERROR(VLOOKUP(G410,'Cadastro de assessores'!A:B,2,FALSE),"Não Cadastrado")</f>
        <v>18986</v>
      </c>
      <c r="I410" s="447"/>
      <c r="J410" s="49" t="s">
        <v>2318</v>
      </c>
      <c r="K410" s="449" t="s">
        <v>183</v>
      </c>
      <c r="L410" s="450">
        <v>44449.0</v>
      </c>
      <c r="M410" s="450">
        <v>44452.0</v>
      </c>
      <c r="N410" s="446"/>
      <c r="O410" s="446" t="s">
        <v>2341</v>
      </c>
      <c r="P410" s="452">
        <v>0.015</v>
      </c>
      <c r="Q410" s="461"/>
      <c r="R410" s="453"/>
      <c r="S410" s="449" t="str">
        <f t="shared" si="43"/>
        <v>Não Qualificado</v>
      </c>
      <c r="T410" s="449" t="s">
        <v>194</v>
      </c>
      <c r="U410" s="446" t="s">
        <v>2401</v>
      </c>
      <c r="V410" s="449" t="s">
        <v>199</v>
      </c>
      <c r="W410" s="454"/>
      <c r="X410" s="454"/>
      <c r="Y410" s="454"/>
      <c r="Z410" s="454"/>
      <c r="AA410" s="454"/>
      <c r="AB410" s="454"/>
      <c r="AC410" s="454"/>
      <c r="AD410" s="454"/>
      <c r="AE410" s="454"/>
      <c r="AF410" s="454"/>
      <c r="AG410" s="454"/>
      <c r="AH410" s="455"/>
      <c r="AI410" s="455"/>
      <c r="AJ410" s="456"/>
      <c r="AK410" s="456"/>
      <c r="AL410" s="456"/>
      <c r="AM410" s="735"/>
      <c r="AN410" s="735"/>
      <c r="AO410" s="456"/>
      <c r="AP410" s="456"/>
      <c r="AQ410" s="456"/>
      <c r="AR410" s="456"/>
      <c r="AS410" s="538"/>
      <c r="AT410" s="481"/>
      <c r="AU410" s="481"/>
      <c r="AV410" s="456">
        <v>83087.47</v>
      </c>
      <c r="AW410" s="456">
        <v>80381.74</v>
      </c>
      <c r="AX410" s="456">
        <v>54054.56</v>
      </c>
      <c r="AY410" s="456">
        <v>54159.89</v>
      </c>
      <c r="AZ410" s="456">
        <v>53598.77</v>
      </c>
      <c r="BA410" s="456">
        <v>53833.71</v>
      </c>
      <c r="BB410" s="456">
        <v>55172.41</v>
      </c>
      <c r="BC410" s="456">
        <v>155896.65</v>
      </c>
      <c r="BD410" s="456">
        <v>52790.19</v>
      </c>
      <c r="BE410" s="456">
        <v>31022.45</v>
      </c>
      <c r="BF410" s="456">
        <v>12549.41</v>
      </c>
      <c r="BG410" s="456">
        <v>12773.99</v>
      </c>
      <c r="BH410" s="456">
        <v>12801.12</v>
      </c>
      <c r="BI410" s="456">
        <v>14291.24</v>
      </c>
      <c r="BJ410" s="456">
        <v>13612.7</v>
      </c>
      <c r="BK410" s="456">
        <v>12.0</v>
      </c>
      <c r="BL410" s="456">
        <v>-4.93</v>
      </c>
      <c r="BM410" s="456">
        <v>-4.93</v>
      </c>
      <c r="BN410" s="456">
        <v>-4.92</v>
      </c>
      <c r="BO410" s="456">
        <v>-4.92</v>
      </c>
      <c r="BP410" s="456">
        <v>-4.92</v>
      </c>
      <c r="BQ410" s="456">
        <v>-4.92</v>
      </c>
      <c r="BR410" s="456">
        <v>-4.92</v>
      </c>
      <c r="BS410" s="90">
        <v>0.0</v>
      </c>
      <c r="BT410" s="90"/>
    </row>
    <row r="411" ht="15.75" customHeight="1">
      <c r="A411" s="444" t="s">
        <v>98</v>
      </c>
      <c r="B411" s="445" t="s">
        <v>6832</v>
      </c>
      <c r="C411" s="458" t="s">
        <v>6833</v>
      </c>
      <c r="D411" s="449">
        <v>4634086.0</v>
      </c>
      <c r="E411" s="447" t="s">
        <v>255</v>
      </c>
      <c r="F411" s="447" t="s">
        <v>199</v>
      </c>
      <c r="G411" s="447" t="s">
        <v>3885</v>
      </c>
      <c r="H411" s="447" t="str">
        <f>IFERROR(VLOOKUP(G411,'Cadastro de assessores'!A:B,2,FALSE),"Não Cadastrado")</f>
        <v>17243</v>
      </c>
      <c r="I411" s="447"/>
      <c r="J411" s="49" t="s">
        <v>2318</v>
      </c>
      <c r="K411" s="449" t="s">
        <v>183</v>
      </c>
      <c r="L411" s="450">
        <v>44167.0</v>
      </c>
      <c r="M411" s="450">
        <v>44167.0</v>
      </c>
      <c r="N411" s="449"/>
      <c r="O411" s="449" t="s">
        <v>2365</v>
      </c>
      <c r="P411" s="452">
        <v>0.012</v>
      </c>
      <c r="Q411" s="461"/>
      <c r="R411" s="453"/>
      <c r="S411" s="449" t="str">
        <f t="shared" si="43"/>
        <v>Não Qualificado</v>
      </c>
      <c r="T411" s="449" t="s">
        <v>194</v>
      </c>
      <c r="U411" s="216" t="s">
        <v>2343</v>
      </c>
      <c r="V411" s="449" t="s">
        <v>199</v>
      </c>
      <c r="W411" s="455" t="s">
        <v>2344</v>
      </c>
      <c r="X411" s="455" t="s">
        <v>2344</v>
      </c>
      <c r="Y411" s="455" t="s">
        <v>2344</v>
      </c>
      <c r="Z411" s="455" t="s">
        <v>2344</v>
      </c>
      <c r="AA411" s="455" t="s">
        <v>2344</v>
      </c>
      <c r="AB411" s="455" t="s">
        <v>2344</v>
      </c>
      <c r="AC411" s="455" t="s">
        <v>2344</v>
      </c>
      <c r="AD411" s="455" t="s">
        <v>2344</v>
      </c>
      <c r="AE411" s="455" t="s">
        <v>2344</v>
      </c>
      <c r="AF411" s="455" t="s">
        <v>2344</v>
      </c>
      <c r="AG411" s="455" t="s">
        <v>2344</v>
      </c>
      <c r="AH411" s="455" t="s">
        <v>2344</v>
      </c>
      <c r="AI411" s="455" t="s">
        <v>2344</v>
      </c>
      <c r="AJ411" s="455" t="s">
        <v>2344</v>
      </c>
      <c r="AK411" s="456">
        <v>301774.78</v>
      </c>
      <c r="AL411" s="456">
        <v>299630.37</v>
      </c>
      <c r="AM411" s="456">
        <v>295142.77</v>
      </c>
      <c r="AN411" s="735">
        <v>294852.26</v>
      </c>
      <c r="AO411" s="735">
        <v>299097.05</v>
      </c>
      <c r="AP411" s="456">
        <v>299720.39</v>
      </c>
      <c r="AQ411" s="456">
        <v>299174.73</v>
      </c>
      <c r="AR411" s="456">
        <v>302561.66</v>
      </c>
      <c r="AS411" s="456">
        <v>302085.63</v>
      </c>
      <c r="AT411" s="456">
        <v>299974.36</v>
      </c>
      <c r="AU411" s="456">
        <v>299840.38</v>
      </c>
      <c r="AV411" s="456">
        <v>297669.93</v>
      </c>
      <c r="AW411" s="456">
        <v>291660.97</v>
      </c>
      <c r="AX411" s="456">
        <v>293641.97</v>
      </c>
      <c r="AY411" s="456">
        <v>296463.38</v>
      </c>
      <c r="AZ411" s="456">
        <v>300048.22</v>
      </c>
      <c r="BA411" s="456">
        <v>301397.41</v>
      </c>
      <c r="BB411" s="456">
        <v>308707.91</v>
      </c>
      <c r="BC411" s="456">
        <v>34169.09</v>
      </c>
      <c r="BD411" s="456">
        <v>313067.03</v>
      </c>
      <c r="BE411" s="456">
        <v>313758.26</v>
      </c>
      <c r="BF411" s="456">
        <v>317221.37</v>
      </c>
      <c r="BG411" s="456">
        <v>318508.4382</v>
      </c>
      <c r="BH411" s="456">
        <v>320011.97</v>
      </c>
      <c r="BI411" s="456">
        <v>325067.6</v>
      </c>
      <c r="BJ411" s="456">
        <v>326531.48</v>
      </c>
      <c r="BK411" s="456">
        <v>328934.3</v>
      </c>
      <c r="BL411" s="456">
        <v>36691.7</v>
      </c>
      <c r="BM411" s="456">
        <v>36894.54</v>
      </c>
      <c r="BN411" s="456">
        <v>5.88</v>
      </c>
      <c r="BO411" s="456">
        <v>5.88</v>
      </c>
      <c r="BP411" s="456">
        <v>5.88</v>
      </c>
      <c r="BQ411" s="456">
        <v>5.88</v>
      </c>
      <c r="BR411" s="456">
        <v>5.88</v>
      </c>
      <c r="BS411" s="90">
        <v>0.0</v>
      </c>
      <c r="BT411" s="90"/>
    </row>
    <row r="412" ht="15.75" customHeight="1">
      <c r="A412" s="444" t="s">
        <v>98</v>
      </c>
      <c r="B412" s="445" t="s">
        <v>6837</v>
      </c>
      <c r="C412" s="506" t="s">
        <v>6838</v>
      </c>
      <c r="D412" s="490">
        <v>7047969.0</v>
      </c>
      <c r="E412" s="447" t="s">
        <v>120</v>
      </c>
      <c r="F412" s="447" t="s">
        <v>199</v>
      </c>
      <c r="G412" s="447" t="s">
        <v>4849</v>
      </c>
      <c r="H412" s="447">
        <f>IFERROR(VLOOKUP(G412,'Cadastro de assessores'!A:B,2,FALSE),"Não Cadastrado")</f>
        <v>12343</v>
      </c>
      <c r="I412" s="447"/>
      <c r="J412" s="49" t="s">
        <v>2318</v>
      </c>
      <c r="K412" s="449" t="s">
        <v>183</v>
      </c>
      <c r="L412" s="451">
        <v>44510.0</v>
      </c>
      <c r="M412" s="451">
        <v>44511.0</v>
      </c>
      <c r="N412" s="446"/>
      <c r="O412" s="446" t="s">
        <v>2356</v>
      </c>
      <c r="P412" s="452">
        <v>0.007</v>
      </c>
      <c r="Q412" s="461"/>
      <c r="R412" s="453"/>
      <c r="S412" s="449" t="str">
        <f t="shared" si="43"/>
        <v>Não Qualificado</v>
      </c>
      <c r="T412" s="449" t="s">
        <v>194</v>
      </c>
      <c r="U412" s="203" t="s">
        <v>2383</v>
      </c>
      <c r="V412" s="449" t="s">
        <v>199</v>
      </c>
      <c r="W412" s="454"/>
      <c r="X412" s="454"/>
      <c r="Y412" s="454"/>
      <c r="Z412" s="454"/>
      <c r="AA412" s="454"/>
      <c r="AB412" s="454"/>
      <c r="AC412" s="454"/>
      <c r="AD412" s="454"/>
      <c r="AE412" s="454"/>
      <c r="AF412" s="454"/>
      <c r="AG412" s="455"/>
      <c r="AH412" s="455"/>
      <c r="AI412" s="455"/>
      <c r="AJ412" s="456"/>
      <c r="AK412" s="456"/>
      <c r="AL412" s="456"/>
      <c r="AM412" s="456"/>
      <c r="AN412" s="456"/>
      <c r="AO412" s="456"/>
      <c r="AP412" s="456"/>
      <c r="AQ412" s="456"/>
      <c r="AR412" s="456"/>
      <c r="AS412" s="456"/>
      <c r="AT412" s="456"/>
      <c r="AU412" s="456"/>
      <c r="AV412" s="456"/>
      <c r="AW412" s="454"/>
      <c r="AX412" s="481"/>
      <c r="AY412" s="481">
        <v>101631.51</v>
      </c>
      <c r="AZ412" s="456">
        <v>101963.6</v>
      </c>
      <c r="BA412" s="456">
        <v>102696.02</v>
      </c>
      <c r="BB412" s="456">
        <v>104407.62</v>
      </c>
      <c r="BC412" s="456">
        <v>267830.76</v>
      </c>
      <c r="BD412" s="456">
        <v>105663.93</v>
      </c>
      <c r="BE412" s="456">
        <v>106448.84</v>
      </c>
      <c r="BF412" s="456">
        <v>106365.27</v>
      </c>
      <c r="BG412" s="456">
        <v>107805.12</v>
      </c>
      <c r="BH412" s="456">
        <v>108546.23</v>
      </c>
      <c r="BI412" s="456">
        <v>109615.26</v>
      </c>
      <c r="BJ412" s="456">
        <v>99446.05</v>
      </c>
      <c r="BK412" s="456">
        <v>100431.51</v>
      </c>
      <c r="BL412" s="456">
        <v>101790.79</v>
      </c>
      <c r="BM412" s="456">
        <v>163236.43</v>
      </c>
      <c r="BN412" s="456">
        <v>8.12</v>
      </c>
      <c r="BO412" s="456">
        <v>0.0</v>
      </c>
      <c r="BP412" s="456">
        <v>0.0</v>
      </c>
      <c r="BQ412" s="456">
        <v>0.0</v>
      </c>
      <c r="BR412" s="456">
        <v>0.0</v>
      </c>
      <c r="BS412" s="90" t="s">
        <v>268</v>
      </c>
      <c r="BT412" s="90"/>
    </row>
    <row r="413" ht="15.75" customHeight="1">
      <c r="A413" s="444" t="s">
        <v>98</v>
      </c>
      <c r="B413" s="445" t="s">
        <v>1380</v>
      </c>
      <c r="C413" s="458" t="s">
        <v>1378</v>
      </c>
      <c r="D413" s="449">
        <v>4679169.0</v>
      </c>
      <c r="E413" s="447" t="s">
        <v>120</v>
      </c>
      <c r="F413" s="447" t="s">
        <v>199</v>
      </c>
      <c r="G413" s="447" t="s">
        <v>439</v>
      </c>
      <c r="H413" s="447" t="str">
        <f>IFERROR(VLOOKUP(G413,'Cadastro de assessores'!A:B,2,FALSE),"Não Cadastrado")</f>
        <v>18236</v>
      </c>
      <c r="I413" s="447"/>
      <c r="J413" s="49" t="s">
        <v>2318</v>
      </c>
      <c r="K413" s="449" t="s">
        <v>295</v>
      </c>
      <c r="L413" s="449" t="s">
        <v>3320</v>
      </c>
      <c r="M413" s="548" t="s">
        <v>4295</v>
      </c>
      <c r="N413" s="446"/>
      <c r="O413" s="446" t="s">
        <v>2452</v>
      </c>
      <c r="P413" s="452">
        <v>0.008</v>
      </c>
      <c r="Q413" s="461"/>
      <c r="R413" s="453"/>
      <c r="S413" s="449" t="str">
        <f t="shared" si="43"/>
        <v>Não Qualificado</v>
      </c>
      <c r="T413" s="449" t="s">
        <v>194</v>
      </c>
      <c r="U413" s="449" t="s">
        <v>2343</v>
      </c>
      <c r="V413" s="449" t="s">
        <v>199</v>
      </c>
      <c r="W413" s="455" t="s">
        <v>2344</v>
      </c>
      <c r="X413" s="455" t="s">
        <v>2344</v>
      </c>
      <c r="Y413" s="455" t="s">
        <v>2344</v>
      </c>
      <c r="Z413" s="455" t="s">
        <v>2344</v>
      </c>
      <c r="AA413" s="455" t="s">
        <v>2344</v>
      </c>
      <c r="AB413" s="455" t="s">
        <v>2344</v>
      </c>
      <c r="AC413" s="455" t="s">
        <v>2344</v>
      </c>
      <c r="AD413" s="455" t="s">
        <v>2344</v>
      </c>
      <c r="AE413" s="455" t="s">
        <v>2344</v>
      </c>
      <c r="AF413" s="455" t="s">
        <v>2344</v>
      </c>
      <c r="AG413" s="455" t="s">
        <v>2344</v>
      </c>
      <c r="AH413" s="455" t="s">
        <v>2344</v>
      </c>
      <c r="AI413" s="455" t="s">
        <v>2344</v>
      </c>
      <c r="AJ413" s="455" t="s">
        <v>2344</v>
      </c>
      <c r="AK413" s="456" t="s">
        <v>3320</v>
      </c>
      <c r="AL413" s="456"/>
      <c r="AM413" s="456" t="s">
        <v>3320</v>
      </c>
      <c r="AN413" s="456"/>
      <c r="AO413" s="456"/>
      <c r="AP413" s="456"/>
      <c r="AQ413" s="456"/>
      <c r="AR413" s="456"/>
      <c r="AS413" s="456"/>
      <c r="AT413" s="456"/>
      <c r="AU413" s="456"/>
      <c r="AV413" s="456"/>
      <c r="AW413" s="456"/>
      <c r="AX413" s="456"/>
      <c r="AY413" s="456"/>
      <c r="AZ413" s="456"/>
      <c r="BA413" s="456">
        <v>0.0</v>
      </c>
      <c r="BB413" s="456">
        <v>0.0</v>
      </c>
      <c r="BC413" s="456">
        <v>112.96</v>
      </c>
      <c r="BD413" s="456" t="s">
        <v>377</v>
      </c>
      <c r="BE413" s="456" t="s">
        <v>377</v>
      </c>
      <c r="BF413" s="456">
        <v>0.0</v>
      </c>
      <c r="BG413" s="456">
        <v>0.0</v>
      </c>
      <c r="BH413" s="456">
        <v>0.0</v>
      </c>
      <c r="BI413" s="456">
        <v>0.0</v>
      </c>
      <c r="BJ413" s="456">
        <v>0.0</v>
      </c>
      <c r="BK413" s="456">
        <v>0.0</v>
      </c>
      <c r="BL413" s="456">
        <v>0.0</v>
      </c>
      <c r="BM413" s="456">
        <v>0.0</v>
      </c>
      <c r="BN413" s="456">
        <v>0.0</v>
      </c>
      <c r="BO413" s="456">
        <v>0.0</v>
      </c>
      <c r="BP413" s="456">
        <v>0.0</v>
      </c>
      <c r="BQ413" s="456">
        <v>0.0</v>
      </c>
      <c r="BR413" s="456">
        <v>0.0</v>
      </c>
      <c r="BS413" s="90">
        <v>0.0</v>
      </c>
      <c r="BT413" s="90"/>
    </row>
    <row r="414" ht="15.75" customHeight="1">
      <c r="A414" s="444" t="s">
        <v>98</v>
      </c>
      <c r="B414" s="445" t="s">
        <v>1380</v>
      </c>
      <c r="C414" s="458" t="s">
        <v>1378</v>
      </c>
      <c r="D414" s="449">
        <v>2096281.0</v>
      </c>
      <c r="E414" s="447" t="s">
        <v>120</v>
      </c>
      <c r="F414" s="447" t="s">
        <v>199</v>
      </c>
      <c r="G414" s="447" t="s">
        <v>439</v>
      </c>
      <c r="H414" s="447" t="str">
        <f>IFERROR(VLOOKUP(G414,'Cadastro de assessores'!A:B,2,FALSE),"Não Cadastrado")</f>
        <v>18236</v>
      </c>
      <c r="I414" s="447"/>
      <c r="J414" s="74" t="s">
        <v>183</v>
      </c>
      <c r="K414" s="449" t="s">
        <v>183</v>
      </c>
      <c r="L414" s="450">
        <v>44294.0</v>
      </c>
      <c r="M414" s="450">
        <v>44294.0</v>
      </c>
      <c r="N414" s="449"/>
      <c r="O414" s="449" t="s">
        <v>2372</v>
      </c>
      <c r="P414" s="452">
        <v>0.02</v>
      </c>
      <c r="Q414" s="461"/>
      <c r="R414" s="453"/>
      <c r="S414" s="449" t="str">
        <f t="shared" si="43"/>
        <v>Não Qualificado</v>
      </c>
      <c r="T414" s="449" t="s">
        <v>194</v>
      </c>
      <c r="U414" s="449" t="s">
        <v>2343</v>
      </c>
      <c r="V414" s="449" t="s">
        <v>199</v>
      </c>
      <c r="W414" s="455"/>
      <c r="X414" s="455"/>
      <c r="Y414" s="455"/>
      <c r="Z414" s="455"/>
      <c r="AA414" s="455"/>
      <c r="AB414" s="455"/>
      <c r="AC414" s="455"/>
      <c r="AD414" s="455"/>
      <c r="AE414" s="455"/>
      <c r="AF414" s="455"/>
      <c r="AG414" s="455"/>
      <c r="AH414" s="455"/>
      <c r="AI414" s="455"/>
      <c r="AJ414" s="455"/>
      <c r="AK414" s="456"/>
      <c r="AL414" s="456"/>
      <c r="AM414" s="456"/>
      <c r="AN414" s="735">
        <v>3752150.03</v>
      </c>
      <c r="AO414" s="735"/>
      <c r="AP414" s="456">
        <v>3984072.13</v>
      </c>
      <c r="AQ414" s="456">
        <v>3952997.39</v>
      </c>
      <c r="AR414" s="456">
        <v>4073997.31</v>
      </c>
      <c r="AS414" s="456">
        <v>3992156.26</v>
      </c>
      <c r="AT414" s="456">
        <v>3819312.89</v>
      </c>
      <c r="AU414" s="456">
        <v>3754041.04</v>
      </c>
      <c r="AV414" s="456">
        <v>4235811.18</v>
      </c>
      <c r="AW414" s="456">
        <v>3347547.01</v>
      </c>
      <c r="AX414" s="456">
        <v>3311474.3</v>
      </c>
      <c r="AY414" s="456">
        <v>3375579.18</v>
      </c>
      <c r="AZ414" s="456">
        <v>3570905.22</v>
      </c>
      <c r="BA414" s="456">
        <v>3586642.03</v>
      </c>
      <c r="BB414" s="456">
        <v>3801306.08</v>
      </c>
      <c r="BC414" s="456">
        <v>6.89</v>
      </c>
      <c r="BD414" s="456">
        <v>4349976.96</v>
      </c>
      <c r="BE414" s="456">
        <v>4191688.29</v>
      </c>
      <c r="BF414" s="456">
        <v>4383914.28</v>
      </c>
      <c r="BG414" s="456">
        <v>4403819.68</v>
      </c>
      <c r="BH414" s="456">
        <v>4367841.78</v>
      </c>
      <c r="BI414" s="456">
        <v>4694580.11</v>
      </c>
      <c r="BJ414" s="456">
        <v>4621282.94</v>
      </c>
      <c r="BK414" s="456">
        <v>4598452.6</v>
      </c>
      <c r="BL414" s="456">
        <v>4687501.27</v>
      </c>
      <c r="BM414" s="456">
        <v>4303766.62</v>
      </c>
      <c r="BN414" s="456">
        <v>1925384.58</v>
      </c>
      <c r="BO414" s="456">
        <v>645002.8</v>
      </c>
      <c r="BP414" s="456">
        <v>649620.09</v>
      </c>
      <c r="BQ414" s="456">
        <v>437940.9</v>
      </c>
      <c r="BR414" s="456">
        <v>417595.95</v>
      </c>
      <c r="BS414" s="90">
        <v>268901.47</v>
      </c>
      <c r="BT414" s="90"/>
    </row>
    <row r="415" ht="15.75" customHeight="1">
      <c r="A415" s="444" t="s">
        <v>98</v>
      </c>
      <c r="B415" s="445" t="s">
        <v>6846</v>
      </c>
      <c r="C415" s="458" t="s">
        <v>6847</v>
      </c>
      <c r="D415" s="449">
        <v>6199853.0</v>
      </c>
      <c r="E415" s="449" t="s">
        <v>120</v>
      </c>
      <c r="F415" s="449" t="s">
        <v>54</v>
      </c>
      <c r="G415" s="449" t="s">
        <v>348</v>
      </c>
      <c r="H415" s="447">
        <f>IFERROR(VLOOKUP(G415,'Cadastro de assessores'!A:B,2,FALSE),"Não Cadastrado")</f>
        <v>12331</v>
      </c>
      <c r="I415" s="449"/>
      <c r="J415" s="49" t="s">
        <v>2318</v>
      </c>
      <c r="K415" s="449"/>
      <c r="L415" s="459"/>
      <c r="M415" s="459">
        <v>44851.0</v>
      </c>
      <c r="N415" s="460"/>
      <c r="O415" s="449" t="s">
        <v>2341</v>
      </c>
      <c r="P415" s="452">
        <v>0.015</v>
      </c>
      <c r="Q415" s="461" t="s">
        <v>3908</v>
      </c>
      <c r="R415" s="453"/>
      <c r="S415" s="449"/>
      <c r="T415" s="449"/>
      <c r="U415" s="449"/>
      <c r="V415" s="449" t="s">
        <v>54</v>
      </c>
      <c r="W415" s="455"/>
      <c r="X415" s="455"/>
      <c r="Y415" s="455"/>
      <c r="Z415" s="455"/>
      <c r="AA415" s="455"/>
      <c r="AB415" s="455"/>
      <c r="AC415" s="455"/>
      <c r="AD415" s="455"/>
      <c r="AE415" s="455"/>
      <c r="AF415" s="455"/>
      <c r="AG415" s="455"/>
      <c r="AH415" s="455"/>
      <c r="AI415" s="455"/>
      <c r="AJ415" s="455"/>
      <c r="AK415" s="456"/>
      <c r="AL415" s="456"/>
      <c r="AM415" s="456"/>
      <c r="AN415" s="456"/>
      <c r="AO415" s="456"/>
      <c r="AP415" s="456"/>
      <c r="AQ415" s="456"/>
      <c r="AR415" s="456"/>
      <c r="AS415" s="456"/>
      <c r="AT415" s="456"/>
      <c r="AU415" s="456"/>
      <c r="AV415" s="456"/>
      <c r="AW415" s="456"/>
      <c r="AX415" s="456"/>
      <c r="AY415" s="456"/>
      <c r="AZ415" s="456"/>
      <c r="BA415" s="456"/>
      <c r="BB415" s="456"/>
      <c r="BC415" s="456"/>
      <c r="BD415" s="456"/>
      <c r="BE415" s="456"/>
      <c r="BF415" s="456"/>
      <c r="BG415" s="456"/>
      <c r="BH415" s="456"/>
      <c r="BI415" s="456">
        <v>100475.74</v>
      </c>
      <c r="BJ415" s="456">
        <v>101193.93</v>
      </c>
      <c r="BK415" s="456">
        <v>101927.08</v>
      </c>
      <c r="BL415" s="456">
        <v>102982.85</v>
      </c>
      <c r="BM415" s="456">
        <v>103754.03</v>
      </c>
      <c r="BN415" s="456">
        <v>0.0</v>
      </c>
      <c r="BO415" s="456">
        <v>0.0</v>
      </c>
      <c r="BP415" s="456">
        <v>0.0</v>
      </c>
      <c r="BQ415" s="456">
        <v>0.0</v>
      </c>
      <c r="BR415" s="456">
        <v>0.0</v>
      </c>
      <c r="BS415" s="90">
        <v>0.0</v>
      </c>
      <c r="BT415" s="90"/>
    </row>
    <row r="416" ht="15.75" customHeight="1">
      <c r="A416" s="444" t="s">
        <v>98</v>
      </c>
      <c r="B416" s="445" t="s">
        <v>6849</v>
      </c>
      <c r="C416" s="458" t="s">
        <v>6078</v>
      </c>
      <c r="D416" s="449">
        <v>528568.0</v>
      </c>
      <c r="E416" s="449" t="s">
        <v>255</v>
      </c>
      <c r="F416" s="449" t="s">
        <v>199</v>
      </c>
      <c r="G416" s="449" t="s">
        <v>368</v>
      </c>
      <c r="H416" s="449" t="str">
        <f>IFERROR(VLOOKUP(G416,'Cadastro de assessores'!A:B,2,FALSE),"Não Cadastrado")</f>
        <v>17896</v>
      </c>
      <c r="I416" s="449"/>
      <c r="J416" s="49" t="s">
        <v>224</v>
      </c>
      <c r="K416" s="449" t="s">
        <v>2340</v>
      </c>
      <c r="L416" s="459">
        <v>44183.0</v>
      </c>
      <c r="M416" s="459">
        <v>44183.0</v>
      </c>
      <c r="N416" s="460">
        <v>44315.0</v>
      </c>
      <c r="O416" s="449" t="s">
        <v>2319</v>
      </c>
      <c r="P416" s="452">
        <v>0.02</v>
      </c>
      <c r="Q416" s="461" t="s">
        <v>6850</v>
      </c>
      <c r="R416" s="453"/>
      <c r="S416" s="449" t="str">
        <f t="shared" ref="S416:S419" si="44">IF(BC416&lt;=0,"",IF(BC416&lt;=1000000,"Não Qualificado",IF(AND(BC416&gt;1000000,BC416&lt;=10000000),"Qualificado","Profissional")))</f>
        <v>Não Qualificado</v>
      </c>
      <c r="T416" s="449" t="s">
        <v>194</v>
      </c>
      <c r="U416" s="449" t="s">
        <v>2343</v>
      </c>
      <c r="V416" s="449" t="s">
        <v>199</v>
      </c>
      <c r="W416" s="455" t="s">
        <v>2344</v>
      </c>
      <c r="X416" s="455" t="s">
        <v>2344</v>
      </c>
      <c r="Y416" s="455" t="s">
        <v>2344</v>
      </c>
      <c r="Z416" s="455" t="s">
        <v>2344</v>
      </c>
      <c r="AA416" s="455" t="s">
        <v>2344</v>
      </c>
      <c r="AB416" s="455" t="s">
        <v>2344</v>
      </c>
      <c r="AC416" s="455" t="s">
        <v>2344</v>
      </c>
      <c r="AD416" s="455" t="s">
        <v>2344</v>
      </c>
      <c r="AE416" s="455" t="s">
        <v>2344</v>
      </c>
      <c r="AF416" s="455" t="s">
        <v>2344</v>
      </c>
      <c r="AG416" s="455" t="s">
        <v>2344</v>
      </c>
      <c r="AH416" s="455" t="s">
        <v>2344</v>
      </c>
      <c r="AI416" s="455" t="s">
        <v>2344</v>
      </c>
      <c r="AJ416" s="455" t="s">
        <v>2344</v>
      </c>
      <c r="AK416" s="456">
        <v>198992.23</v>
      </c>
      <c r="AL416" s="456">
        <v>193698.3</v>
      </c>
      <c r="AM416" s="456">
        <v>186081.09</v>
      </c>
      <c r="AN416" s="456">
        <v>186177.67</v>
      </c>
      <c r="AO416" s="456">
        <v>193917.59</v>
      </c>
      <c r="AP416" s="456">
        <v>195556.91</v>
      </c>
      <c r="AQ416" s="456">
        <v>194902.6</v>
      </c>
      <c r="AR416" s="456"/>
      <c r="AS416" s="456"/>
      <c r="AT416" s="456"/>
      <c r="AU416" s="456"/>
      <c r="AV416" s="456"/>
      <c r="AW416" s="456"/>
      <c r="AX416" s="456"/>
      <c r="AY416" s="456"/>
      <c r="AZ416" s="456"/>
      <c r="BA416" s="456">
        <v>0.0</v>
      </c>
      <c r="BB416" s="456">
        <v>0.0</v>
      </c>
      <c r="BC416" s="456">
        <v>78438.23</v>
      </c>
      <c r="BD416" s="456" t="s">
        <v>377</v>
      </c>
      <c r="BE416" s="456" t="s">
        <v>377</v>
      </c>
      <c r="BF416" s="456">
        <v>0.0</v>
      </c>
      <c r="BG416" s="456">
        <v>0.0</v>
      </c>
      <c r="BH416" s="456">
        <v>0.0</v>
      </c>
      <c r="BI416" s="456">
        <v>0.0</v>
      </c>
      <c r="BJ416" s="456">
        <v>0.0</v>
      </c>
      <c r="BK416" s="456">
        <v>0.0</v>
      </c>
      <c r="BL416" s="456">
        <v>0.0</v>
      </c>
      <c r="BM416" s="456">
        <v>0.0</v>
      </c>
      <c r="BN416" s="456">
        <v>0.0</v>
      </c>
      <c r="BO416" s="456">
        <v>0.0</v>
      </c>
      <c r="BP416" s="456">
        <v>0.0</v>
      </c>
      <c r="BQ416" s="456">
        <v>0.0</v>
      </c>
      <c r="BR416" s="456">
        <v>0.0</v>
      </c>
      <c r="BS416" s="90" t="s">
        <v>268</v>
      </c>
      <c r="BT416" s="90"/>
    </row>
    <row r="417" ht="15.75" customHeight="1">
      <c r="A417" s="444" t="s">
        <v>98</v>
      </c>
      <c r="B417" s="445" t="s">
        <v>6855</v>
      </c>
      <c r="C417" s="468" t="s">
        <v>6856</v>
      </c>
      <c r="D417" s="446">
        <v>7388997.0</v>
      </c>
      <c r="E417" s="447" t="s">
        <v>120</v>
      </c>
      <c r="F417" s="448" t="s">
        <v>199</v>
      </c>
      <c r="G417" s="490" t="s">
        <v>4715</v>
      </c>
      <c r="H417" s="447">
        <f>IFERROR(VLOOKUP(G417,'Cadastro de assessores'!A:B,2,FALSE),"Não Cadastrado")</f>
        <v>12342</v>
      </c>
      <c r="I417" s="447"/>
      <c r="J417" s="49" t="s">
        <v>224</v>
      </c>
      <c r="K417" s="449" t="s">
        <v>183</v>
      </c>
      <c r="L417" s="451">
        <v>44539.0</v>
      </c>
      <c r="M417" s="451">
        <v>44543.0</v>
      </c>
      <c r="N417" s="490"/>
      <c r="O417" s="490" t="s">
        <v>2356</v>
      </c>
      <c r="P417" s="452">
        <v>0.007</v>
      </c>
      <c r="Q417" s="207"/>
      <c r="R417" s="453"/>
      <c r="S417" s="449" t="str">
        <f t="shared" si="44"/>
        <v/>
      </c>
      <c r="T417" s="449" t="s">
        <v>194</v>
      </c>
      <c r="U417" s="449" t="s">
        <v>3820</v>
      </c>
      <c r="V417" s="449" t="s">
        <v>397</v>
      </c>
      <c r="W417" s="454"/>
      <c r="X417" s="454"/>
      <c r="Y417" s="454"/>
      <c r="Z417" s="454"/>
      <c r="AA417" s="454"/>
      <c r="AB417" s="454"/>
      <c r="AC417" s="454"/>
      <c r="AD417" s="454"/>
      <c r="AE417" s="454"/>
      <c r="AF417" s="454"/>
      <c r="AG417" s="455"/>
      <c r="AH417" s="455"/>
      <c r="AI417" s="455"/>
      <c r="AJ417" s="456"/>
      <c r="AK417" s="456"/>
      <c r="AL417" s="456"/>
      <c r="AM417" s="735"/>
      <c r="AN417" s="735"/>
      <c r="AO417" s="456"/>
      <c r="AP417" s="456"/>
      <c r="AQ417" s="456"/>
      <c r="AR417" s="456"/>
      <c r="AS417" s="456"/>
      <c r="AT417" s="456"/>
      <c r="AU417" s="456"/>
      <c r="AV417" s="456"/>
      <c r="AW417" s="456"/>
      <c r="AX417" s="454"/>
      <c r="AY417" s="454"/>
      <c r="AZ417" s="455"/>
      <c r="BA417" s="455">
        <v>0.0</v>
      </c>
      <c r="BB417" s="455">
        <v>155247.02</v>
      </c>
      <c r="BC417" s="455"/>
      <c r="BD417" s="456">
        <v>204753.49</v>
      </c>
      <c r="BE417" s="456">
        <v>206673.78</v>
      </c>
      <c r="BF417" s="456">
        <v>208311.42</v>
      </c>
      <c r="BG417" s="456">
        <v>209379.4007</v>
      </c>
      <c r="BH417" s="456">
        <v>210570.18</v>
      </c>
      <c r="BI417" s="456">
        <v>212101.64</v>
      </c>
      <c r="BJ417" s="456">
        <v>214005.76</v>
      </c>
      <c r="BK417" s="456">
        <v>215830.17</v>
      </c>
      <c r="BL417" s="456">
        <v>218227.0</v>
      </c>
      <c r="BM417" s="456">
        <v>219651.65</v>
      </c>
      <c r="BN417" s="456">
        <v>221356.13</v>
      </c>
      <c r="BO417" s="456">
        <v>214825.95</v>
      </c>
      <c r="BP417" s="456">
        <v>212871.18</v>
      </c>
      <c r="BQ417" s="456">
        <v>209431.54</v>
      </c>
      <c r="BR417" s="456">
        <v>206209.21</v>
      </c>
      <c r="BS417" s="90" t="s">
        <v>268</v>
      </c>
      <c r="BT417" s="90"/>
    </row>
    <row r="418" ht="15.75" customHeight="1">
      <c r="A418" s="444" t="s">
        <v>98</v>
      </c>
      <c r="B418" s="445" t="s">
        <v>6862</v>
      </c>
      <c r="C418" s="458" t="s">
        <v>5515</v>
      </c>
      <c r="D418" s="449">
        <v>3445098.0</v>
      </c>
      <c r="E418" s="447" t="s">
        <v>669</v>
      </c>
      <c r="F418" s="447" t="s">
        <v>199</v>
      </c>
      <c r="G418" s="447" t="s">
        <v>669</v>
      </c>
      <c r="H418" s="447" t="str">
        <f>IFERROR(VLOOKUP(G418,'Cadastro de assessores'!A:B,2,FALSE),"Não Cadastrado")</f>
        <v>18986</v>
      </c>
      <c r="I418" s="447"/>
      <c r="J418" s="49" t="s">
        <v>2318</v>
      </c>
      <c r="K418" s="449" t="s">
        <v>295</v>
      </c>
      <c r="L418" s="450">
        <v>44036.0</v>
      </c>
      <c r="M418" s="450">
        <v>44043.0</v>
      </c>
      <c r="N418" s="449"/>
      <c r="O418" s="449" t="s">
        <v>2341</v>
      </c>
      <c r="P418" s="452">
        <v>0.015</v>
      </c>
      <c r="Q418" s="461"/>
      <c r="R418" s="453"/>
      <c r="S418" s="449" t="str">
        <f t="shared" si="44"/>
        <v>Não Qualificado</v>
      </c>
      <c r="T418" s="449" t="s">
        <v>194</v>
      </c>
      <c r="U418" s="449" t="s">
        <v>3587</v>
      </c>
      <c r="V418" s="449" t="s">
        <v>54</v>
      </c>
      <c r="W418" s="455" t="s">
        <v>2344</v>
      </c>
      <c r="X418" s="455" t="s">
        <v>2344</v>
      </c>
      <c r="Y418" s="455" t="s">
        <v>2344</v>
      </c>
      <c r="Z418" s="455" t="s">
        <v>2344</v>
      </c>
      <c r="AA418" s="455" t="s">
        <v>2344</v>
      </c>
      <c r="AB418" s="455" t="s">
        <v>2344</v>
      </c>
      <c r="AC418" s="455" t="s">
        <v>2344</v>
      </c>
      <c r="AD418" s="455" t="s">
        <v>2344</v>
      </c>
      <c r="AE418" s="455" t="s">
        <v>2344</v>
      </c>
      <c r="AF418" s="455" t="s">
        <v>6864</v>
      </c>
      <c r="AG418" s="455" t="s">
        <v>6865</v>
      </c>
      <c r="AH418" s="455" t="s">
        <v>6866</v>
      </c>
      <c r="AI418" s="455" t="s">
        <v>6867</v>
      </c>
      <c r="AJ418" s="455" t="s">
        <v>6868</v>
      </c>
      <c r="AK418" s="456">
        <v>230034.47</v>
      </c>
      <c r="AL418" s="456">
        <v>164120.99</v>
      </c>
      <c r="AM418" s="456">
        <v>49992.45</v>
      </c>
      <c r="AN418" s="735">
        <v>9340.95</v>
      </c>
      <c r="AO418" s="735">
        <v>766.32</v>
      </c>
      <c r="AP418" s="456">
        <v>765.72</v>
      </c>
      <c r="AQ418" s="456">
        <v>765.52</v>
      </c>
      <c r="AR418" s="456">
        <v>764.47</v>
      </c>
      <c r="AS418" s="456">
        <v>763.42</v>
      </c>
      <c r="AT418" s="456">
        <v>762.32</v>
      </c>
      <c r="AU418" s="456">
        <v>761.22</v>
      </c>
      <c r="AV418" s="456">
        <v>603.78</v>
      </c>
      <c r="AW418" s="456">
        <v>759.17</v>
      </c>
      <c r="AX418" s="456">
        <v>758.17</v>
      </c>
      <c r="AY418" s="456"/>
      <c r="AZ418" s="456"/>
      <c r="BA418" s="456">
        <v>0.0</v>
      </c>
      <c r="BB418" s="456">
        <v>0.0</v>
      </c>
      <c r="BC418" s="456">
        <v>100974.27</v>
      </c>
      <c r="BD418" s="456">
        <v>6.72</v>
      </c>
      <c r="BE418" s="456">
        <v>6.72</v>
      </c>
      <c r="BF418" s="456">
        <v>6.73</v>
      </c>
      <c r="BG418" s="456">
        <v>6.73</v>
      </c>
      <c r="BH418" s="456">
        <v>6.73</v>
      </c>
      <c r="BI418" s="456">
        <v>6.73</v>
      </c>
      <c r="BJ418" s="456">
        <v>6.73</v>
      </c>
      <c r="BK418" s="456">
        <v>6.73</v>
      </c>
      <c r="BL418" s="456">
        <v>6.73</v>
      </c>
      <c r="BM418" s="456">
        <v>6.73</v>
      </c>
      <c r="BN418" s="456">
        <v>6.73</v>
      </c>
      <c r="BO418" s="456">
        <v>6.73</v>
      </c>
      <c r="BP418" s="456">
        <v>6.73</v>
      </c>
      <c r="BQ418" s="456">
        <v>6.73</v>
      </c>
      <c r="BR418" s="456">
        <v>6.73</v>
      </c>
      <c r="BS418" s="90">
        <v>0.0</v>
      </c>
      <c r="BT418" s="90"/>
    </row>
    <row r="419" ht="15.75" customHeight="1">
      <c r="A419" s="444" t="s">
        <v>98</v>
      </c>
      <c r="B419" s="445" t="s">
        <v>6873</v>
      </c>
      <c r="C419" s="468" t="s">
        <v>6874</v>
      </c>
      <c r="D419" s="540">
        <v>7709062.0</v>
      </c>
      <c r="E419" s="507" t="s">
        <v>120</v>
      </c>
      <c r="F419" s="507" t="s">
        <v>54</v>
      </c>
      <c r="G419" s="449" t="s">
        <v>4705</v>
      </c>
      <c r="H419" s="449" t="str">
        <f>IFERROR(VLOOKUP(G419,'Cadastro de assessores'!A:B,2,FALSE),"Não Cadastrado")</f>
        <v>15544</v>
      </c>
      <c r="I419" s="449"/>
      <c r="J419" s="49" t="s">
        <v>224</v>
      </c>
      <c r="K419" s="449" t="s">
        <v>295</v>
      </c>
      <c r="L419" s="460">
        <v>44615.0</v>
      </c>
      <c r="M419" s="460">
        <v>44623.0</v>
      </c>
      <c r="N419" s="508">
        <v>44820.0</v>
      </c>
      <c r="O419" s="446" t="s">
        <v>4116</v>
      </c>
      <c r="P419" s="452">
        <v>0.01</v>
      </c>
      <c r="Q419" s="461" t="s">
        <v>6876</v>
      </c>
      <c r="R419" s="453"/>
      <c r="S419" s="449" t="str">
        <f t="shared" si="44"/>
        <v>Não Qualificado</v>
      </c>
      <c r="T419" s="449" t="s">
        <v>194</v>
      </c>
      <c r="U419" s="449" t="s">
        <v>2438</v>
      </c>
      <c r="V419" s="449" t="s">
        <v>54</v>
      </c>
      <c r="W419" s="455"/>
      <c r="X419" s="455"/>
      <c r="Y419" s="455"/>
      <c r="Z419" s="455"/>
      <c r="AA419" s="455"/>
      <c r="AB419" s="455"/>
      <c r="AC419" s="455"/>
      <c r="AD419" s="455"/>
      <c r="AE419" s="455"/>
      <c r="AF419" s="455"/>
      <c r="AG419" s="455"/>
      <c r="AH419" s="455"/>
      <c r="AI419" s="455"/>
      <c r="AJ419" s="455"/>
      <c r="AK419" s="456"/>
      <c r="AL419" s="456"/>
      <c r="AM419" s="456"/>
      <c r="AN419" s="456"/>
      <c r="AO419" s="456"/>
      <c r="AP419" s="456"/>
      <c r="AQ419" s="456"/>
      <c r="AR419" s="456"/>
      <c r="AS419" s="456"/>
      <c r="AT419" s="456"/>
      <c r="AU419" s="456"/>
      <c r="AV419" s="456"/>
      <c r="AW419" s="456"/>
      <c r="AX419" s="456"/>
      <c r="AY419" s="456"/>
      <c r="AZ419" s="456"/>
      <c r="BA419" s="456"/>
      <c r="BB419" s="456">
        <v>424475.61</v>
      </c>
      <c r="BC419" s="456">
        <v>964.67</v>
      </c>
      <c r="BD419" s="456">
        <v>421105.59</v>
      </c>
      <c r="BE419" s="456">
        <v>418513.57</v>
      </c>
      <c r="BF419" s="456">
        <v>427884.57</v>
      </c>
      <c r="BG419" s="456">
        <v>31955.28</v>
      </c>
      <c r="BH419" s="456">
        <v>0.0</v>
      </c>
      <c r="BI419" s="456">
        <v>0.0</v>
      </c>
      <c r="BJ419" s="456">
        <v>0.0</v>
      </c>
      <c r="BK419" s="456">
        <v>0.0</v>
      </c>
      <c r="BL419" s="456">
        <v>0.0</v>
      </c>
      <c r="BM419" s="456">
        <v>0.0</v>
      </c>
      <c r="BN419" s="456">
        <v>0.0</v>
      </c>
      <c r="BO419" s="456">
        <v>0.0</v>
      </c>
      <c r="BP419" s="456">
        <v>0.0</v>
      </c>
      <c r="BQ419" s="456">
        <v>0.0</v>
      </c>
      <c r="BR419" s="456">
        <v>0.0</v>
      </c>
      <c r="BS419" s="90" t="s">
        <v>268</v>
      </c>
      <c r="BT419" s="90"/>
    </row>
    <row r="420" ht="15.75" customHeight="1">
      <c r="A420" s="444" t="s">
        <v>98</v>
      </c>
      <c r="B420" s="445" t="s">
        <v>6880</v>
      </c>
      <c r="C420" s="468" t="s">
        <v>6881</v>
      </c>
      <c r="D420" s="214">
        <v>5577.0</v>
      </c>
      <c r="E420" s="447" t="s">
        <v>120</v>
      </c>
      <c r="F420" s="447" t="s">
        <v>199</v>
      </c>
      <c r="G420" s="447" t="s">
        <v>212</v>
      </c>
      <c r="H420" s="447">
        <f>IFERROR(VLOOKUP(G420,'Cadastro de assessores'!A:B,2,FALSE),"Não Cadastrado")</f>
        <v>12344</v>
      </c>
      <c r="I420" s="447"/>
      <c r="J420" s="49" t="s">
        <v>2318</v>
      </c>
      <c r="K420" s="447" t="s">
        <v>183</v>
      </c>
      <c r="L420" s="470">
        <v>44760.0</v>
      </c>
      <c r="M420" s="470">
        <v>44764.0</v>
      </c>
      <c r="N420" s="446"/>
      <c r="O420" s="446" t="s">
        <v>2365</v>
      </c>
      <c r="P420" s="452">
        <v>0.012</v>
      </c>
      <c r="Q420" s="330"/>
      <c r="R420" s="453"/>
      <c r="S420" s="449"/>
      <c r="T420" s="449" t="s">
        <v>194</v>
      </c>
      <c r="U420" s="446"/>
      <c r="V420" s="446" t="s">
        <v>475</v>
      </c>
      <c r="W420" s="454"/>
      <c r="X420" s="454"/>
      <c r="Y420" s="454"/>
      <c r="Z420" s="454"/>
      <c r="AA420" s="454"/>
      <c r="AB420" s="454"/>
      <c r="AC420" s="454"/>
      <c r="AD420" s="454"/>
      <c r="AE420" s="454"/>
      <c r="AF420" s="454"/>
      <c r="AG420" s="454"/>
      <c r="AH420" s="454"/>
      <c r="AI420" s="454"/>
      <c r="AJ420" s="454"/>
      <c r="AK420" s="456"/>
      <c r="AL420" s="456"/>
      <c r="AM420" s="735"/>
      <c r="AN420" s="735"/>
      <c r="AO420" s="456"/>
      <c r="AP420" s="456"/>
      <c r="AQ420" s="456"/>
      <c r="AR420" s="454"/>
      <c r="AS420" s="456"/>
      <c r="AT420" s="456"/>
      <c r="AU420" s="456"/>
      <c r="AV420" s="456"/>
      <c r="AW420" s="456"/>
      <c r="AX420" s="456"/>
      <c r="AY420" s="456"/>
      <c r="AZ420" s="456"/>
      <c r="BA420" s="456"/>
      <c r="BB420" s="456"/>
      <c r="BC420" s="456"/>
      <c r="BD420" s="456"/>
      <c r="BE420" s="456"/>
      <c r="BF420" s="456">
        <v>150452.47</v>
      </c>
      <c r="BG420" s="456">
        <v>255396.9278</v>
      </c>
      <c r="BH420" s="456">
        <v>257973.14</v>
      </c>
      <c r="BI420" s="456">
        <v>262330.57</v>
      </c>
      <c r="BJ420" s="456">
        <v>263258.57</v>
      </c>
      <c r="BK420" s="456">
        <v>285879.14</v>
      </c>
      <c r="BL420" s="456">
        <v>389043.01</v>
      </c>
      <c r="BM420" s="456">
        <v>392301.38</v>
      </c>
      <c r="BN420" s="456">
        <v>0.0</v>
      </c>
      <c r="BO420" s="456">
        <v>0.0</v>
      </c>
      <c r="BP420" s="456">
        <v>0.0</v>
      </c>
      <c r="BQ420" s="456">
        <v>0.0</v>
      </c>
      <c r="BR420" s="456">
        <v>0.0</v>
      </c>
      <c r="BS420" s="90">
        <v>0.0</v>
      </c>
      <c r="BT420" s="90"/>
    </row>
    <row r="421" ht="15.75" customHeight="1">
      <c r="A421" s="444" t="s">
        <v>98</v>
      </c>
      <c r="B421" s="445" t="s">
        <v>6886</v>
      </c>
      <c r="C421" s="468" t="s">
        <v>6887</v>
      </c>
      <c r="D421" s="469">
        <v>2284049.0</v>
      </c>
      <c r="E421" s="447" t="s">
        <v>120</v>
      </c>
      <c r="F421" s="447" t="s">
        <v>199</v>
      </c>
      <c r="G421" s="447" t="s">
        <v>212</v>
      </c>
      <c r="H421" s="447">
        <f>IFERROR(VLOOKUP(G421,'Cadastro de assessores'!A:B,2,FALSE),"Não Cadastrado")</f>
        <v>12344</v>
      </c>
      <c r="I421" s="447"/>
      <c r="J421" s="49" t="s">
        <v>2318</v>
      </c>
      <c r="K421" s="447" t="s">
        <v>183</v>
      </c>
      <c r="L421" s="470">
        <v>44636.0</v>
      </c>
      <c r="M421" s="470">
        <v>44645.0</v>
      </c>
      <c r="N421" s="446"/>
      <c r="O421" s="446" t="s">
        <v>2356</v>
      </c>
      <c r="P421" s="452">
        <v>0.007</v>
      </c>
      <c r="Q421" s="330"/>
      <c r="R421" s="453"/>
      <c r="S421" s="449" t="str">
        <f t="shared" ref="S421:S428" si="45">IF(BC421&lt;=0,"",IF(BC421&lt;=1000000,"Não Qualificado",IF(AND(BC421&gt;1000000,BC421&lt;=10000000),"Qualificado","Profissional")))</f>
        <v>Não Qualificado</v>
      </c>
      <c r="T421" s="449" t="s">
        <v>194</v>
      </c>
      <c r="U421" s="446" t="s">
        <v>5808</v>
      </c>
      <c r="V421" s="446" t="s">
        <v>199</v>
      </c>
      <c r="W421" s="454"/>
      <c r="X421" s="454"/>
      <c r="Y421" s="454"/>
      <c r="Z421" s="454"/>
      <c r="AA421" s="454"/>
      <c r="AB421" s="454"/>
      <c r="AC421" s="454"/>
      <c r="AD421" s="454"/>
      <c r="AE421" s="454"/>
      <c r="AF421" s="454"/>
      <c r="AG421" s="454"/>
      <c r="AH421" s="454"/>
      <c r="AI421" s="454"/>
      <c r="AJ421" s="454"/>
      <c r="AK421" s="456"/>
      <c r="AL421" s="456"/>
      <c r="AM421" s="735"/>
      <c r="AN421" s="735"/>
      <c r="AO421" s="456"/>
      <c r="AP421" s="456"/>
      <c r="AQ421" s="456"/>
      <c r="AR421" s="454"/>
      <c r="AS421" s="456"/>
      <c r="AT421" s="456"/>
      <c r="AU421" s="456"/>
      <c r="AV421" s="456"/>
      <c r="AW421" s="456"/>
      <c r="AX421" s="456"/>
      <c r="AY421" s="456"/>
      <c r="AZ421" s="456"/>
      <c r="BA421" s="456"/>
      <c r="BB421" s="456">
        <v>77144.95</v>
      </c>
      <c r="BC421" s="456">
        <v>8178.93</v>
      </c>
      <c r="BD421" s="456">
        <v>95150.09</v>
      </c>
      <c r="BE421" s="456">
        <v>94945.35</v>
      </c>
      <c r="BF421" s="456">
        <v>95631.23</v>
      </c>
      <c r="BG421" s="456">
        <v>97307.95969</v>
      </c>
      <c r="BH421" s="456">
        <v>97831.77</v>
      </c>
      <c r="BI421" s="456">
        <v>98500.44</v>
      </c>
      <c r="BJ421" s="456">
        <v>98453.76</v>
      </c>
      <c r="BK421" s="456">
        <v>99020.15</v>
      </c>
      <c r="BL421" s="456">
        <v>99457.3</v>
      </c>
      <c r="BM421" s="456">
        <v>100191.32</v>
      </c>
      <c r="BN421" s="456">
        <v>66.07</v>
      </c>
      <c r="BO421" s="456">
        <v>66.07</v>
      </c>
      <c r="BP421" s="456">
        <v>66.07</v>
      </c>
      <c r="BQ421" s="456">
        <v>66.07</v>
      </c>
      <c r="BR421" s="456">
        <v>66.07</v>
      </c>
      <c r="BS421" s="90">
        <v>5249.61</v>
      </c>
      <c r="BT421" s="90"/>
    </row>
    <row r="422" ht="15.75" customHeight="1">
      <c r="A422" s="444" t="s">
        <v>98</v>
      </c>
      <c r="B422" s="445" t="s">
        <v>6903</v>
      </c>
      <c r="C422" s="468" t="s">
        <v>6904</v>
      </c>
      <c r="D422" s="446">
        <v>5603037.0</v>
      </c>
      <c r="E422" s="449" t="s">
        <v>669</v>
      </c>
      <c r="F422" s="507" t="s">
        <v>199</v>
      </c>
      <c r="G422" s="446" t="s">
        <v>669</v>
      </c>
      <c r="H422" s="446" t="str">
        <f>IFERROR(VLOOKUP(G422,'Cadastro de assessores'!A:B,2,FALSE),"Não Cadastrado")</f>
        <v>18986</v>
      </c>
      <c r="I422" s="446"/>
      <c r="J422" s="49" t="s">
        <v>224</v>
      </c>
      <c r="K422" s="778" t="s">
        <v>183</v>
      </c>
      <c r="L422" s="460">
        <v>44358.0</v>
      </c>
      <c r="M422" s="460">
        <v>44361.0</v>
      </c>
      <c r="N422" s="460">
        <v>44831.0</v>
      </c>
      <c r="O422" s="449" t="s">
        <v>2365</v>
      </c>
      <c r="P422" s="452">
        <v>0.012</v>
      </c>
      <c r="Q422" s="330" t="s">
        <v>6905</v>
      </c>
      <c r="R422" s="453"/>
      <c r="S422" s="449" t="str">
        <f t="shared" si="45"/>
        <v/>
      </c>
      <c r="T422" s="449" t="s">
        <v>194</v>
      </c>
      <c r="U422" s="446" t="s">
        <v>4296</v>
      </c>
      <c r="V422" s="446" t="s">
        <v>199</v>
      </c>
      <c r="W422" s="454"/>
      <c r="X422" s="454"/>
      <c r="Y422" s="454"/>
      <c r="Z422" s="454"/>
      <c r="AA422" s="454"/>
      <c r="AB422" s="454"/>
      <c r="AC422" s="454"/>
      <c r="AD422" s="454"/>
      <c r="AE422" s="454"/>
      <c r="AF422" s="454"/>
      <c r="AG422" s="454"/>
      <c r="AH422" s="454"/>
      <c r="AI422" s="454"/>
      <c r="AJ422" s="454"/>
      <c r="AK422" s="456"/>
      <c r="AL422" s="456"/>
      <c r="AM422" s="735"/>
      <c r="AN422" s="735"/>
      <c r="AO422" s="456"/>
      <c r="AP422" s="456"/>
      <c r="AQ422" s="456"/>
      <c r="AR422" s="454"/>
      <c r="AS422" s="456">
        <v>179080.44</v>
      </c>
      <c r="AT422" s="456">
        <v>177667.68</v>
      </c>
      <c r="AU422" s="456">
        <v>177390.63</v>
      </c>
      <c r="AV422" s="456">
        <v>176513.25</v>
      </c>
      <c r="AW422" s="456">
        <v>174540.56</v>
      </c>
      <c r="AX422" s="456">
        <v>175051.04</v>
      </c>
      <c r="AY422" s="456">
        <v>176221.37</v>
      </c>
      <c r="AZ422" s="456">
        <v>179778.6</v>
      </c>
      <c r="BA422" s="456">
        <v>181123.17</v>
      </c>
      <c r="BB422" s="456">
        <v>185286.7</v>
      </c>
      <c r="BC422" s="456"/>
      <c r="BD422" s="456">
        <v>186279.26</v>
      </c>
      <c r="BE422" s="456">
        <v>186726.57</v>
      </c>
      <c r="BF422" s="456">
        <v>189154.18</v>
      </c>
      <c r="BG422" s="456">
        <v>190267.4228</v>
      </c>
      <c r="BH422" s="456">
        <v>0.0</v>
      </c>
      <c r="BI422" s="456">
        <v>0.0</v>
      </c>
      <c r="BJ422" s="456">
        <v>0.0</v>
      </c>
      <c r="BK422" s="456">
        <v>0.0</v>
      </c>
      <c r="BL422" s="456">
        <v>0.0</v>
      </c>
      <c r="BM422" s="456">
        <v>0.0</v>
      </c>
      <c r="BN422" s="456">
        <v>0.0</v>
      </c>
      <c r="BO422" s="456">
        <v>0.0</v>
      </c>
      <c r="BP422" s="456">
        <v>0.0</v>
      </c>
      <c r="BQ422" s="456">
        <v>0.0</v>
      </c>
      <c r="BR422" s="456">
        <v>0.0</v>
      </c>
      <c r="BS422" s="90" t="s">
        <v>268</v>
      </c>
      <c r="BT422" s="90"/>
    </row>
    <row r="423" ht="15.75" customHeight="1">
      <c r="A423" s="444" t="s">
        <v>98</v>
      </c>
      <c r="B423" s="445" t="s">
        <v>6911</v>
      </c>
      <c r="C423" s="468" t="s">
        <v>6912</v>
      </c>
      <c r="D423" s="507">
        <v>5646446.0</v>
      </c>
      <c r="E423" s="449" t="s">
        <v>255</v>
      </c>
      <c r="F423" s="507" t="s">
        <v>199</v>
      </c>
      <c r="G423" s="507" t="s">
        <v>4338</v>
      </c>
      <c r="H423" s="448">
        <f>IFERROR(VLOOKUP(G423,'Cadastro de assessores'!A:B,2,FALSE),"Não Cadastrado")</f>
        <v>12347</v>
      </c>
      <c r="I423" s="448"/>
      <c r="J423" s="49" t="s">
        <v>2318</v>
      </c>
      <c r="K423" s="447" t="s">
        <v>183</v>
      </c>
      <c r="L423" s="450">
        <v>44361.0</v>
      </c>
      <c r="M423" s="450">
        <v>44361.0</v>
      </c>
      <c r="N423" s="449"/>
      <c r="O423" s="449" t="s">
        <v>2365</v>
      </c>
      <c r="P423" s="452">
        <v>0.012</v>
      </c>
      <c r="Q423" s="466" t="s">
        <v>6916</v>
      </c>
      <c r="R423" s="453"/>
      <c r="S423" s="449" t="str">
        <f t="shared" si="45"/>
        <v/>
      </c>
      <c r="T423" s="449" t="s">
        <v>194</v>
      </c>
      <c r="U423" s="446" t="s">
        <v>4450</v>
      </c>
      <c r="V423" s="446" t="s">
        <v>199</v>
      </c>
      <c r="W423" s="454"/>
      <c r="X423" s="454"/>
      <c r="Y423" s="454"/>
      <c r="Z423" s="454"/>
      <c r="AA423" s="454"/>
      <c r="AB423" s="454"/>
      <c r="AC423" s="454"/>
      <c r="AD423" s="454"/>
      <c r="AE423" s="454"/>
      <c r="AF423" s="454"/>
      <c r="AG423" s="454"/>
      <c r="AH423" s="454"/>
      <c r="AI423" s="454"/>
      <c r="AJ423" s="454"/>
      <c r="AK423" s="456"/>
      <c r="AL423" s="456"/>
      <c r="AM423" s="735"/>
      <c r="AN423" s="735"/>
      <c r="AO423" s="456"/>
      <c r="AP423" s="456"/>
      <c r="AQ423" s="456"/>
      <c r="AR423" s="454"/>
      <c r="AS423" s="456">
        <v>99486.96</v>
      </c>
      <c r="AT423" s="456">
        <v>98741.88</v>
      </c>
      <c r="AU423" s="456">
        <v>98622.08</v>
      </c>
      <c r="AV423" s="456">
        <v>97992.65</v>
      </c>
      <c r="AW423" s="456">
        <v>96580.0</v>
      </c>
      <c r="AX423" s="456">
        <v>96741.63</v>
      </c>
      <c r="AY423" s="456">
        <v>97588.61</v>
      </c>
      <c r="AZ423" s="456">
        <v>99675.81</v>
      </c>
      <c r="BA423" s="456">
        <v>100420.04</v>
      </c>
      <c r="BB423" s="456">
        <v>102689.98</v>
      </c>
      <c r="BC423" s="456"/>
      <c r="BD423" s="456">
        <v>103368.06</v>
      </c>
      <c r="BE423" s="456">
        <v>103599.96</v>
      </c>
      <c r="BF423" s="456">
        <v>104929.58</v>
      </c>
      <c r="BG423" s="456">
        <v>105561.3726</v>
      </c>
      <c r="BH423" s="456">
        <v>105848.05</v>
      </c>
      <c r="BI423" s="456">
        <v>107710.65</v>
      </c>
      <c r="BJ423" s="456">
        <v>107750.06</v>
      </c>
      <c r="BK423" s="456">
        <v>139.04</v>
      </c>
      <c r="BL423" s="456">
        <v>138.75</v>
      </c>
      <c r="BM423" s="456">
        <v>138.75</v>
      </c>
      <c r="BN423" s="456">
        <v>0.0</v>
      </c>
      <c r="BO423" s="456">
        <v>0.0</v>
      </c>
      <c r="BP423" s="456">
        <v>0.0</v>
      </c>
      <c r="BQ423" s="456">
        <v>0.0</v>
      </c>
      <c r="BR423" s="456">
        <v>0.0</v>
      </c>
      <c r="BS423" s="90">
        <v>0.0</v>
      </c>
      <c r="BT423" s="90"/>
    </row>
    <row r="424" ht="15.75" customHeight="1">
      <c r="A424" s="444" t="s">
        <v>98</v>
      </c>
      <c r="B424" s="445" t="s">
        <v>1422</v>
      </c>
      <c r="C424" s="458" t="s">
        <v>6919</v>
      </c>
      <c r="D424" s="449">
        <v>3768368.0</v>
      </c>
      <c r="E424" s="447" t="s">
        <v>120</v>
      </c>
      <c r="F424" s="447" t="s">
        <v>199</v>
      </c>
      <c r="G424" s="447" t="s">
        <v>1108</v>
      </c>
      <c r="H424" s="447" t="str">
        <f>IFERROR(VLOOKUP(G424,'Cadastro de assessores'!A:B,2,FALSE),"Não Cadastrado")</f>
        <v>18836</v>
      </c>
      <c r="I424" s="447"/>
      <c r="J424" s="49" t="s">
        <v>2318</v>
      </c>
      <c r="K424" s="447" t="s">
        <v>183</v>
      </c>
      <c r="L424" s="451">
        <v>44138.0</v>
      </c>
      <c r="M424" s="451">
        <v>44151.0</v>
      </c>
      <c r="N424" s="446"/>
      <c r="O424" s="446" t="s">
        <v>2452</v>
      </c>
      <c r="P424" s="452">
        <v>0.008</v>
      </c>
      <c r="Q424" s="461"/>
      <c r="R424" s="453"/>
      <c r="S424" s="449" t="str">
        <f t="shared" si="45"/>
        <v/>
      </c>
      <c r="T424" s="449" t="s">
        <v>194</v>
      </c>
      <c r="U424" s="449" t="s">
        <v>3820</v>
      </c>
      <c r="V424" s="449" t="s">
        <v>397</v>
      </c>
      <c r="W424" s="455" t="s">
        <v>2344</v>
      </c>
      <c r="X424" s="455" t="s">
        <v>2344</v>
      </c>
      <c r="Y424" s="455" t="s">
        <v>2344</v>
      </c>
      <c r="Z424" s="455" t="s">
        <v>2344</v>
      </c>
      <c r="AA424" s="455" t="s">
        <v>2344</v>
      </c>
      <c r="AB424" s="455" t="s">
        <v>2344</v>
      </c>
      <c r="AC424" s="455" t="s">
        <v>2344</v>
      </c>
      <c r="AD424" s="455" t="s">
        <v>2344</v>
      </c>
      <c r="AE424" s="455" t="s">
        <v>2344</v>
      </c>
      <c r="AF424" s="455" t="s">
        <v>2344</v>
      </c>
      <c r="AG424" s="455" t="s">
        <v>2344</v>
      </c>
      <c r="AH424" s="455" t="s">
        <v>2344</v>
      </c>
      <c r="AI424" s="455" t="s">
        <v>2344</v>
      </c>
      <c r="AJ424" s="455" t="s">
        <v>6922</v>
      </c>
      <c r="AK424" s="456">
        <v>184047.01</v>
      </c>
      <c r="AL424" s="456">
        <v>185599.02</v>
      </c>
      <c r="AM424" s="456">
        <v>192943.12</v>
      </c>
      <c r="AN424" s="735">
        <v>186927.29</v>
      </c>
      <c r="AO424" s="735">
        <v>187877.53</v>
      </c>
      <c r="AP424" s="456">
        <v>188044.73</v>
      </c>
      <c r="AQ424" s="456">
        <v>193084.91</v>
      </c>
      <c r="AR424" s="456">
        <v>193593.09</v>
      </c>
      <c r="AS424" s="456">
        <v>193457.96</v>
      </c>
      <c r="AT424" s="456">
        <v>199267.25</v>
      </c>
      <c r="AU424" s="456">
        <v>193341.29</v>
      </c>
      <c r="AV424" s="456">
        <v>191535.03</v>
      </c>
      <c r="AW424" s="456">
        <v>187466.74</v>
      </c>
      <c r="AX424" s="456">
        <v>175512.59</v>
      </c>
      <c r="AY424" s="456">
        <v>183520.45</v>
      </c>
      <c r="AZ424" s="456">
        <v>186195.0</v>
      </c>
      <c r="BA424" s="456">
        <v>188387.74</v>
      </c>
      <c r="BB424" s="456">
        <v>188617.9</v>
      </c>
      <c r="BC424" s="456"/>
      <c r="BD424" s="456">
        <v>195352.51</v>
      </c>
      <c r="BE424" s="456">
        <v>195450.77</v>
      </c>
      <c r="BF424" s="456">
        <v>197563.01</v>
      </c>
      <c r="BG424" s="456">
        <v>202898.63</v>
      </c>
      <c r="BH424" s="456">
        <v>202815.16</v>
      </c>
      <c r="BI424" s="456">
        <v>207841.93</v>
      </c>
      <c r="BJ424" s="456">
        <v>201561.6</v>
      </c>
      <c r="BK424" s="456">
        <v>201031.41</v>
      </c>
      <c r="BL424" s="456">
        <v>202277.88</v>
      </c>
      <c r="BM424" s="456">
        <v>200845.23</v>
      </c>
      <c r="BN424" s="456">
        <v>0.0</v>
      </c>
      <c r="BO424" s="456">
        <v>0.0</v>
      </c>
      <c r="BP424" s="456">
        <v>0.0</v>
      </c>
      <c r="BQ424" s="456">
        <v>0.0</v>
      </c>
      <c r="BR424" s="456">
        <v>0.0</v>
      </c>
      <c r="BS424" s="90">
        <v>0.0</v>
      </c>
      <c r="BT424" s="90"/>
    </row>
    <row r="425" ht="15.75" customHeight="1">
      <c r="A425" s="444" t="s">
        <v>98</v>
      </c>
      <c r="B425" s="445" t="s">
        <v>1422</v>
      </c>
      <c r="C425" s="458" t="s">
        <v>6919</v>
      </c>
      <c r="D425" s="449">
        <v>4587723.0</v>
      </c>
      <c r="E425" s="447" t="s">
        <v>120</v>
      </c>
      <c r="F425" s="447" t="s">
        <v>199</v>
      </c>
      <c r="G425" s="447" t="s">
        <v>1108</v>
      </c>
      <c r="H425" s="447" t="str">
        <f>IFERROR(VLOOKUP(G425,'Cadastro de assessores'!A:B,2,FALSE),"Não Cadastrado")</f>
        <v>18836</v>
      </c>
      <c r="I425" s="447"/>
      <c r="J425" s="49" t="s">
        <v>2318</v>
      </c>
      <c r="K425" s="447" t="s">
        <v>183</v>
      </c>
      <c r="L425" s="451">
        <v>44151.0</v>
      </c>
      <c r="M425" s="451">
        <v>44151.0</v>
      </c>
      <c r="N425" s="449"/>
      <c r="O425" s="449" t="s">
        <v>2372</v>
      </c>
      <c r="P425" s="452">
        <v>0.025</v>
      </c>
      <c r="Q425" s="461"/>
      <c r="R425" s="453"/>
      <c r="S425" s="449" t="str">
        <f t="shared" si="45"/>
        <v/>
      </c>
      <c r="T425" s="449" t="s">
        <v>194</v>
      </c>
      <c r="U425" s="449" t="s">
        <v>3820</v>
      </c>
      <c r="V425" s="449" t="s">
        <v>397</v>
      </c>
      <c r="W425" s="455" t="s">
        <v>2344</v>
      </c>
      <c r="X425" s="455" t="s">
        <v>2344</v>
      </c>
      <c r="Y425" s="455" t="s">
        <v>2344</v>
      </c>
      <c r="Z425" s="455" t="s">
        <v>2344</v>
      </c>
      <c r="AA425" s="455" t="s">
        <v>2344</v>
      </c>
      <c r="AB425" s="455" t="s">
        <v>2344</v>
      </c>
      <c r="AC425" s="455" t="s">
        <v>2344</v>
      </c>
      <c r="AD425" s="455" t="s">
        <v>2344</v>
      </c>
      <c r="AE425" s="455" t="s">
        <v>2344</v>
      </c>
      <c r="AF425" s="455" t="s">
        <v>2344</v>
      </c>
      <c r="AG425" s="455" t="s">
        <v>2344</v>
      </c>
      <c r="AH425" s="455" t="s">
        <v>2344</v>
      </c>
      <c r="AI425" s="455" t="s">
        <v>2344</v>
      </c>
      <c r="AJ425" s="455" t="s">
        <v>6929</v>
      </c>
      <c r="AK425" s="456">
        <v>15676.76</v>
      </c>
      <c r="AL425" s="456">
        <v>24612.3</v>
      </c>
      <c r="AM425" s="456">
        <v>33703.22</v>
      </c>
      <c r="AN425" s="735">
        <v>33680.96</v>
      </c>
      <c r="AO425" s="735">
        <v>45797.09</v>
      </c>
      <c r="AP425" s="456">
        <v>46396.0</v>
      </c>
      <c r="AQ425" s="456">
        <v>51829.96</v>
      </c>
      <c r="AR425" s="456">
        <v>64245.73</v>
      </c>
      <c r="AS425" s="456">
        <v>70964.86</v>
      </c>
      <c r="AT425" s="456">
        <v>67196.11</v>
      </c>
      <c r="AU425" s="456">
        <v>85891.04</v>
      </c>
      <c r="AV425" s="456">
        <v>80647.26</v>
      </c>
      <c r="AW425" s="456">
        <v>83487.95</v>
      </c>
      <c r="AX425" s="456">
        <v>92608.39</v>
      </c>
      <c r="AY425" s="456">
        <v>104133.22</v>
      </c>
      <c r="AZ425" s="456">
        <v>119622.19</v>
      </c>
      <c r="BA425" s="456">
        <v>128875.88</v>
      </c>
      <c r="BB425" s="456">
        <v>137140.29</v>
      </c>
      <c r="BC425" s="456"/>
      <c r="BD425" s="456">
        <v>137549.93</v>
      </c>
      <c r="BE425" s="456">
        <v>131729.25</v>
      </c>
      <c r="BF425" s="456">
        <v>137512.7</v>
      </c>
      <c r="BG425" s="456">
        <v>138136.74</v>
      </c>
      <c r="BH425" s="456">
        <v>136969.75</v>
      </c>
      <c r="BI425" s="456">
        <v>158847.8</v>
      </c>
      <c r="BJ425" s="456">
        <v>154876.33</v>
      </c>
      <c r="BK425" s="456">
        <v>154678.89</v>
      </c>
      <c r="BL425" s="456">
        <v>168123.34</v>
      </c>
      <c r="BM425" s="456">
        <v>161244.16</v>
      </c>
      <c r="BN425" s="456">
        <v>0.0</v>
      </c>
      <c r="BO425" s="456">
        <v>0.0</v>
      </c>
      <c r="BP425" s="456">
        <v>0.0</v>
      </c>
      <c r="BQ425" s="456">
        <v>12.98</v>
      </c>
      <c r="BR425" s="456">
        <v>12.98</v>
      </c>
      <c r="BS425" s="90">
        <v>0.0</v>
      </c>
      <c r="BT425" s="90"/>
    </row>
    <row r="426" ht="15.75" customHeight="1">
      <c r="A426" s="444" t="s">
        <v>98</v>
      </c>
      <c r="B426" s="445" t="s">
        <v>6933</v>
      </c>
      <c r="C426" s="468" t="s">
        <v>6934</v>
      </c>
      <c r="D426" s="446">
        <v>5563710.0</v>
      </c>
      <c r="E426" s="449" t="s">
        <v>120</v>
      </c>
      <c r="F426" s="507" t="s">
        <v>54</v>
      </c>
      <c r="G426" s="449" t="s">
        <v>379</v>
      </c>
      <c r="H426" s="507" t="str">
        <f>IFERROR(VLOOKUP(G426,'Cadastro de assessores'!A:B,2,FALSE),"Não Cadastrado")</f>
        <v>18009</v>
      </c>
      <c r="I426" s="507"/>
      <c r="J426" s="49" t="s">
        <v>224</v>
      </c>
      <c r="K426" s="449" t="s">
        <v>2340</v>
      </c>
      <c r="L426" s="460">
        <v>44362.0</v>
      </c>
      <c r="M426" s="460">
        <v>44362.0</v>
      </c>
      <c r="N426" s="508">
        <v>44714.0</v>
      </c>
      <c r="O426" s="446" t="s">
        <v>2319</v>
      </c>
      <c r="P426" s="452">
        <v>0.02</v>
      </c>
      <c r="Q426" s="461" t="s">
        <v>6050</v>
      </c>
      <c r="R426" s="453"/>
      <c r="S426" s="449" t="str">
        <f t="shared" si="45"/>
        <v>Não Qualificado</v>
      </c>
      <c r="T426" s="449" t="s">
        <v>194</v>
      </c>
      <c r="U426" s="449" t="s">
        <v>2475</v>
      </c>
      <c r="V426" s="449" t="s">
        <v>618</v>
      </c>
      <c r="W426" s="454"/>
      <c r="X426" s="454"/>
      <c r="Y426" s="454"/>
      <c r="Z426" s="454"/>
      <c r="AA426" s="454"/>
      <c r="AB426" s="454"/>
      <c r="AC426" s="454"/>
      <c r="AD426" s="454"/>
      <c r="AE426" s="454"/>
      <c r="AF426" s="454"/>
      <c r="AG426" s="454"/>
      <c r="AH426" s="454"/>
      <c r="AI426" s="454"/>
      <c r="AJ426" s="454"/>
      <c r="AK426" s="456"/>
      <c r="AL426" s="456"/>
      <c r="AM426" s="456"/>
      <c r="AN426" s="456"/>
      <c r="AO426" s="456"/>
      <c r="AP426" s="456"/>
      <c r="AQ426" s="454"/>
      <c r="AR426" s="481"/>
      <c r="AS426" s="456">
        <v>137240.56</v>
      </c>
      <c r="AT426" s="456">
        <v>142568.02</v>
      </c>
      <c r="AU426" s="456">
        <v>155404.07</v>
      </c>
      <c r="AV426" s="456">
        <v>165764.8</v>
      </c>
      <c r="AW426" s="456">
        <v>157071.65</v>
      </c>
      <c r="AX426" s="456">
        <v>156313.53</v>
      </c>
      <c r="AY426" s="456">
        <v>158236.33</v>
      </c>
      <c r="AZ426" s="456">
        <v>176018.59</v>
      </c>
      <c r="BA426" s="456">
        <v>187598.03</v>
      </c>
      <c r="BB426" s="456">
        <v>195810.51</v>
      </c>
      <c r="BC426" s="456">
        <v>127064.87</v>
      </c>
      <c r="BD426" s="456">
        <v>270352.33</v>
      </c>
      <c r="BE426" s="456" t="s">
        <v>377</v>
      </c>
      <c r="BF426" s="456">
        <v>0.0</v>
      </c>
      <c r="BG426" s="456">
        <v>0.0</v>
      </c>
      <c r="BH426" s="456">
        <v>0.0</v>
      </c>
      <c r="BI426" s="456">
        <v>0.0</v>
      </c>
      <c r="BJ426" s="456">
        <v>0.0</v>
      </c>
      <c r="BK426" s="456">
        <v>0.0</v>
      </c>
      <c r="BL426" s="456">
        <v>0.0</v>
      </c>
      <c r="BM426" s="456">
        <v>0.0</v>
      </c>
      <c r="BN426" s="456">
        <v>0.0</v>
      </c>
      <c r="BO426" s="456">
        <v>0.0</v>
      </c>
      <c r="BP426" s="456">
        <v>0.0</v>
      </c>
      <c r="BQ426" s="456">
        <v>0.0</v>
      </c>
      <c r="BR426" s="456">
        <v>0.0</v>
      </c>
      <c r="BS426" s="90" t="s">
        <v>268</v>
      </c>
      <c r="BT426" s="90"/>
    </row>
    <row r="427" ht="15.75" customHeight="1">
      <c r="A427" s="444" t="s">
        <v>98</v>
      </c>
      <c r="B427" s="445" t="s">
        <v>6940</v>
      </c>
      <c r="C427" s="458" t="s">
        <v>6431</v>
      </c>
      <c r="D427" s="449">
        <v>5709377.0</v>
      </c>
      <c r="E427" s="449" t="s">
        <v>120</v>
      </c>
      <c r="F427" s="449" t="s">
        <v>199</v>
      </c>
      <c r="G427" s="449" t="s">
        <v>4797</v>
      </c>
      <c r="H427" s="449" t="str">
        <f>IFERROR(VLOOKUP(G427,'Cadastro de assessores'!A:B,2,FALSE),"Não Cadastrado")</f>
        <v>17109</v>
      </c>
      <c r="I427" s="449"/>
      <c r="J427" s="49" t="s">
        <v>224</v>
      </c>
      <c r="K427" s="449" t="s">
        <v>2340</v>
      </c>
      <c r="L427" s="449" t="s">
        <v>3320</v>
      </c>
      <c r="M427" s="449" t="s">
        <v>3320</v>
      </c>
      <c r="N427" s="460">
        <v>44384.0</v>
      </c>
      <c r="O427" s="449" t="s">
        <v>2365</v>
      </c>
      <c r="P427" s="452">
        <v>0.012</v>
      </c>
      <c r="Q427" s="461" t="s">
        <v>6944</v>
      </c>
      <c r="R427" s="453"/>
      <c r="S427" s="449" t="str">
        <f t="shared" si="45"/>
        <v>Não Qualificado</v>
      </c>
      <c r="T427" s="449" t="s">
        <v>194</v>
      </c>
      <c r="U427" s="449"/>
      <c r="V427" s="449" t="s">
        <v>3320</v>
      </c>
      <c r="W427" s="455"/>
      <c r="X427" s="455"/>
      <c r="Y427" s="455"/>
      <c r="Z427" s="455"/>
      <c r="AA427" s="455"/>
      <c r="AB427" s="455"/>
      <c r="AC427" s="455"/>
      <c r="AD427" s="455"/>
      <c r="AE427" s="455"/>
      <c r="AF427" s="455"/>
      <c r="AG427" s="455"/>
      <c r="AH427" s="455"/>
      <c r="AI427" s="455"/>
      <c r="AJ427" s="455"/>
      <c r="AK427" s="456"/>
      <c r="AL427" s="456"/>
      <c r="AM427" s="456"/>
      <c r="AN427" s="456"/>
      <c r="AO427" s="456"/>
      <c r="AP427" s="456"/>
      <c r="AQ427" s="456"/>
      <c r="AR427" s="456"/>
      <c r="AS427" s="456">
        <v>999.9</v>
      </c>
      <c r="AT427" s="456"/>
      <c r="AU427" s="456"/>
      <c r="AV427" s="456"/>
      <c r="AW427" s="456"/>
      <c r="AX427" s="456"/>
      <c r="AY427" s="456"/>
      <c r="AZ427" s="456">
        <v>0.0</v>
      </c>
      <c r="BA427" s="456">
        <v>0.0</v>
      </c>
      <c r="BB427" s="456">
        <v>0.0</v>
      </c>
      <c r="BC427" s="456">
        <v>209385.67</v>
      </c>
      <c r="BD427" s="456" t="s">
        <v>377</v>
      </c>
      <c r="BE427" s="456" t="s">
        <v>377</v>
      </c>
      <c r="BF427" s="456">
        <v>0.0</v>
      </c>
      <c r="BG427" s="456">
        <v>0.0</v>
      </c>
      <c r="BH427" s="456">
        <v>0.0</v>
      </c>
      <c r="BI427" s="456">
        <v>0.0</v>
      </c>
      <c r="BJ427" s="456">
        <v>0.0</v>
      </c>
      <c r="BK427" s="456">
        <v>0.0</v>
      </c>
      <c r="BL427" s="456">
        <v>0.0</v>
      </c>
      <c r="BM427" s="456">
        <v>0.0</v>
      </c>
      <c r="BN427" s="456">
        <v>0.0</v>
      </c>
      <c r="BO427" s="456">
        <v>0.0</v>
      </c>
      <c r="BP427" s="456">
        <v>0.0</v>
      </c>
      <c r="BQ427" s="456">
        <v>0.0</v>
      </c>
      <c r="BR427" s="456">
        <v>0.0</v>
      </c>
      <c r="BS427" s="90" t="s">
        <v>268</v>
      </c>
      <c r="BT427" s="90"/>
    </row>
    <row r="428" ht="15.75" customHeight="1">
      <c r="A428" s="444" t="s">
        <v>98</v>
      </c>
      <c r="B428" s="445" t="s">
        <v>6948</v>
      </c>
      <c r="C428" s="468" t="s">
        <v>6949</v>
      </c>
      <c r="D428" s="446">
        <v>2545354.0</v>
      </c>
      <c r="E428" s="447" t="s">
        <v>120</v>
      </c>
      <c r="F428" s="448" t="s">
        <v>54</v>
      </c>
      <c r="G428" s="447" t="s">
        <v>379</v>
      </c>
      <c r="H428" s="448" t="str">
        <f>IFERROR(VLOOKUP(G428,'Cadastro de assessores'!A:B,2,FALSE),"Não Cadastrado")</f>
        <v>18009</v>
      </c>
      <c r="I428" s="448"/>
      <c r="J428" s="49" t="s">
        <v>2318</v>
      </c>
      <c r="K428" s="446" t="s">
        <v>183</v>
      </c>
      <c r="L428" s="781">
        <v>44355.0</v>
      </c>
      <c r="M428" s="781">
        <v>44355.0</v>
      </c>
      <c r="N428" s="698"/>
      <c r="O428" s="449" t="s">
        <v>2341</v>
      </c>
      <c r="P428" s="452">
        <v>0.015</v>
      </c>
      <c r="Q428" s="330"/>
      <c r="R428" s="453"/>
      <c r="S428" s="449" t="str">
        <f t="shared" si="45"/>
        <v>Não Qualificado</v>
      </c>
      <c r="T428" s="449" t="s">
        <v>194</v>
      </c>
      <c r="U428" s="446" t="s">
        <v>3955</v>
      </c>
      <c r="V428" s="446" t="s">
        <v>618</v>
      </c>
      <c r="W428" s="454"/>
      <c r="X428" s="454"/>
      <c r="Y428" s="454"/>
      <c r="Z428" s="454"/>
      <c r="AA428" s="454"/>
      <c r="AB428" s="454"/>
      <c r="AC428" s="454"/>
      <c r="AD428" s="454"/>
      <c r="AE428" s="454"/>
      <c r="AF428" s="454"/>
      <c r="AG428" s="454"/>
      <c r="AH428" s="454"/>
      <c r="AI428" s="454"/>
      <c r="AJ428" s="454"/>
      <c r="AK428" s="456"/>
      <c r="AL428" s="456"/>
      <c r="AM428" s="735"/>
      <c r="AN428" s="735"/>
      <c r="AO428" s="456"/>
      <c r="AP428" s="456"/>
      <c r="AQ428" s="454"/>
      <c r="AR428" s="481">
        <v>106043.2</v>
      </c>
      <c r="AS428" s="456">
        <v>105556.23</v>
      </c>
      <c r="AT428" s="456">
        <v>103419.67</v>
      </c>
      <c r="AU428" s="456">
        <v>102651.87</v>
      </c>
      <c r="AV428" s="456">
        <v>101005.98</v>
      </c>
      <c r="AW428" s="456">
        <v>97830.85</v>
      </c>
      <c r="AX428" s="456">
        <v>97916.9</v>
      </c>
      <c r="AY428" s="456">
        <v>99553.4</v>
      </c>
      <c r="AZ428" s="456">
        <v>102375.85</v>
      </c>
      <c r="BA428" s="456">
        <v>103712.78</v>
      </c>
      <c r="BB428" s="456">
        <v>107291.42</v>
      </c>
      <c r="BC428" s="456">
        <v>425951.26</v>
      </c>
      <c r="BD428" s="456">
        <v>106911.84</v>
      </c>
      <c r="BE428" s="456">
        <v>106914.33</v>
      </c>
      <c r="BF428" s="456">
        <v>108805.46</v>
      </c>
      <c r="BG428" s="456">
        <v>109470.7346</v>
      </c>
      <c r="BH428" s="456">
        <v>110235.43</v>
      </c>
      <c r="BI428" s="456">
        <v>113933.09</v>
      </c>
      <c r="BJ428" s="456">
        <v>113898.02</v>
      </c>
      <c r="BK428" s="456">
        <v>64741.32</v>
      </c>
      <c r="BL428" s="456">
        <v>35329.14</v>
      </c>
      <c r="BM428" s="456">
        <v>23545.26</v>
      </c>
      <c r="BN428" s="456">
        <v>19034.5</v>
      </c>
      <c r="BO428" s="456">
        <v>110.2</v>
      </c>
      <c r="BP428" s="456">
        <v>111.03</v>
      </c>
      <c r="BQ428" s="456">
        <v>111.55</v>
      </c>
      <c r="BR428" s="456">
        <v>112.37</v>
      </c>
      <c r="BS428" s="90">
        <v>0.0</v>
      </c>
      <c r="BT428" s="90"/>
    </row>
    <row r="429" ht="15.75" customHeight="1">
      <c r="A429" s="444" t="s">
        <v>98</v>
      </c>
      <c r="B429" s="445" t="s">
        <v>6953</v>
      </c>
      <c r="C429" s="559" t="s">
        <v>6954</v>
      </c>
      <c r="D429" s="469">
        <v>2751241.0</v>
      </c>
      <c r="E429" s="448" t="s">
        <v>120</v>
      </c>
      <c r="F429" s="448" t="s">
        <v>54</v>
      </c>
      <c r="G429" s="447" t="s">
        <v>348</v>
      </c>
      <c r="H429" s="448">
        <f>IFERROR(VLOOKUP(G429,'Cadastro de assessores'!A:B,2,FALSE),"Não Cadastrado")</f>
        <v>12331</v>
      </c>
      <c r="I429" s="448"/>
      <c r="J429" s="74" t="s">
        <v>183</v>
      </c>
      <c r="K429" s="446"/>
      <c r="L429" s="783"/>
      <c r="M429" s="783">
        <v>44851.0</v>
      </c>
      <c r="N429" s="749"/>
      <c r="O429" s="448" t="s">
        <v>2341</v>
      </c>
      <c r="P429" s="784">
        <v>0.015</v>
      </c>
      <c r="Q429" s="785" t="s">
        <v>6958</v>
      </c>
      <c r="R429" s="453"/>
      <c r="S429" s="449"/>
      <c r="T429" s="449"/>
      <c r="U429" s="449"/>
      <c r="V429" s="449" t="s">
        <v>54</v>
      </c>
      <c r="W429" s="707"/>
      <c r="X429" s="786"/>
      <c r="Y429" s="786"/>
      <c r="Z429" s="706"/>
      <c r="AA429" s="454"/>
      <c r="AB429" s="787"/>
      <c r="AC429" s="707"/>
      <c r="AD429" s="786"/>
      <c r="AE429" s="786"/>
      <c r="AF429" s="706"/>
      <c r="AG429" s="454"/>
      <c r="AH429" s="787"/>
      <c r="AI429" s="707"/>
      <c r="AJ429" s="786"/>
      <c r="AK429" s="786"/>
      <c r="AL429" s="706"/>
      <c r="AM429" s="454"/>
      <c r="AN429" s="787"/>
      <c r="AO429" s="707"/>
      <c r="AP429" s="786"/>
      <c r="AQ429" s="786"/>
      <c r="AR429" s="706"/>
      <c r="AS429" s="454"/>
      <c r="AT429" s="787"/>
      <c r="AU429" s="707"/>
      <c r="AV429" s="786"/>
      <c r="AW429" s="786"/>
      <c r="AX429" s="706"/>
      <c r="AY429" s="456"/>
      <c r="AZ429" s="456"/>
      <c r="BA429" s="456"/>
      <c r="BB429" s="456"/>
      <c r="BC429" s="456"/>
      <c r="BD429" s="456"/>
      <c r="BE429" s="456"/>
      <c r="BF429" s="456"/>
      <c r="BG429" s="456"/>
      <c r="BH429" s="456"/>
      <c r="BI429" s="456">
        <v>103928.57</v>
      </c>
      <c r="BJ429" s="456">
        <v>104574.15</v>
      </c>
      <c r="BK429" s="456">
        <v>105303.12</v>
      </c>
      <c r="BL429" s="456">
        <v>106512.7</v>
      </c>
      <c r="BM429" s="456">
        <v>107317.66</v>
      </c>
      <c r="BN429" s="456">
        <v>3678.58</v>
      </c>
      <c r="BO429" s="456">
        <v>3729.81</v>
      </c>
      <c r="BP429" s="456">
        <v>3778.8</v>
      </c>
      <c r="BQ429" s="456">
        <v>3809.0</v>
      </c>
      <c r="BR429" s="456">
        <v>3896.42</v>
      </c>
      <c r="BS429" s="90">
        <v>11896.32</v>
      </c>
      <c r="BT429" s="90"/>
    </row>
    <row r="430" ht="15.75" customHeight="1">
      <c r="A430" s="444" t="s">
        <v>98</v>
      </c>
      <c r="B430" s="445" t="s">
        <v>6963</v>
      </c>
      <c r="C430" s="559" t="s">
        <v>6964</v>
      </c>
      <c r="D430" s="469">
        <v>6029791.0</v>
      </c>
      <c r="E430" s="448" t="s">
        <v>120</v>
      </c>
      <c r="F430" s="448" t="s">
        <v>54</v>
      </c>
      <c r="G430" s="447" t="s">
        <v>125</v>
      </c>
      <c r="H430" s="448" t="str">
        <f>IFERROR(VLOOKUP(G430,'Cadastro de assessores'!A:B,2,FALSE),"Não Cadastrado")</f>
        <v>18890</v>
      </c>
      <c r="I430" s="448"/>
      <c r="J430" s="49" t="s">
        <v>2318</v>
      </c>
      <c r="K430" s="446" t="s">
        <v>183</v>
      </c>
      <c r="L430" s="508">
        <v>44600.0</v>
      </c>
      <c r="M430" s="508">
        <v>44605.0</v>
      </c>
      <c r="N430" s="448"/>
      <c r="O430" s="448" t="s">
        <v>2356</v>
      </c>
      <c r="P430" s="784">
        <v>0.007</v>
      </c>
      <c r="Q430" s="330" t="s">
        <v>3145</v>
      </c>
      <c r="R430" s="453"/>
      <c r="S430" s="449" t="str">
        <f>IF(BC430&lt;=0,"",IF(BC430&lt;=1000000,"Não Qualificado",IF(AND(BC430&gt;1000000,BC430&lt;=10000000),"Qualificado","Profissional")))</f>
        <v/>
      </c>
      <c r="T430" s="449" t="s">
        <v>194</v>
      </c>
      <c r="U430" s="449" t="s">
        <v>2438</v>
      </c>
      <c r="V430" s="449" t="s">
        <v>54</v>
      </c>
      <c r="W430" s="707"/>
      <c r="X430" s="786"/>
      <c r="Y430" s="786"/>
      <c r="Z430" s="706"/>
      <c r="AA430" s="454"/>
      <c r="AB430" s="787"/>
      <c r="AC430" s="707"/>
      <c r="AD430" s="786"/>
      <c r="AE430" s="786"/>
      <c r="AF430" s="706"/>
      <c r="AG430" s="454"/>
      <c r="AH430" s="787"/>
      <c r="AI430" s="707"/>
      <c r="AJ430" s="786"/>
      <c r="AK430" s="786"/>
      <c r="AL430" s="706"/>
      <c r="AM430" s="454"/>
      <c r="AN430" s="787"/>
      <c r="AO430" s="707"/>
      <c r="AP430" s="786"/>
      <c r="AQ430" s="786"/>
      <c r="AR430" s="706"/>
      <c r="AS430" s="454"/>
      <c r="AT430" s="787"/>
      <c r="AU430" s="707"/>
      <c r="AV430" s="786"/>
      <c r="AW430" s="786"/>
      <c r="AX430" s="706"/>
      <c r="AY430" s="456"/>
      <c r="AZ430" s="456"/>
      <c r="BA430" s="456">
        <v>501012.16</v>
      </c>
      <c r="BB430" s="456">
        <v>0.0</v>
      </c>
      <c r="BC430" s="456"/>
      <c r="BD430" s="456">
        <v>792611.83</v>
      </c>
      <c r="BE430" s="456">
        <v>811748.8</v>
      </c>
      <c r="BF430" s="456">
        <v>832161.41</v>
      </c>
      <c r="BG430" s="456">
        <v>843701.7873</v>
      </c>
      <c r="BH430" s="456">
        <v>848714.19</v>
      </c>
      <c r="BI430" s="456">
        <v>859225.54</v>
      </c>
      <c r="BJ430" s="456">
        <v>866398.89</v>
      </c>
      <c r="BK430" s="456">
        <v>865501.09</v>
      </c>
      <c r="BL430" s="456">
        <v>460233.63</v>
      </c>
      <c r="BM430" s="456">
        <v>0.0</v>
      </c>
      <c r="BN430" s="456">
        <v>0.0</v>
      </c>
      <c r="BO430" s="456">
        <v>0.0</v>
      </c>
      <c r="BP430" s="456">
        <v>0.0</v>
      </c>
      <c r="BQ430" s="456">
        <v>0.0</v>
      </c>
      <c r="BR430" s="456">
        <v>0.0</v>
      </c>
      <c r="BS430" s="90">
        <v>0.0</v>
      </c>
      <c r="BT430" s="90"/>
    </row>
    <row r="431" ht="15.75" customHeight="1">
      <c r="A431" s="444" t="s">
        <v>98</v>
      </c>
      <c r="B431" s="445" t="s">
        <v>6971</v>
      </c>
      <c r="C431" s="458" t="s">
        <v>6972</v>
      </c>
      <c r="D431" s="449">
        <v>8698050.0</v>
      </c>
      <c r="E431" s="449" t="s">
        <v>120</v>
      </c>
      <c r="F431" s="449" t="s">
        <v>54</v>
      </c>
      <c r="G431" s="449" t="s">
        <v>1393</v>
      </c>
      <c r="H431" s="449" t="s">
        <v>4665</v>
      </c>
      <c r="I431" s="449"/>
      <c r="J431" s="49" t="s">
        <v>2318</v>
      </c>
      <c r="K431" s="449" t="s">
        <v>183</v>
      </c>
      <c r="L431" s="460">
        <v>44715.0</v>
      </c>
      <c r="M431" s="460">
        <v>44719.0</v>
      </c>
      <c r="N431" s="460"/>
      <c r="O431" s="449" t="s">
        <v>5294</v>
      </c>
      <c r="P431" s="452">
        <v>0.012</v>
      </c>
      <c r="Q431" s="330" t="s">
        <v>6973</v>
      </c>
      <c r="R431" s="453"/>
      <c r="S431" s="449"/>
      <c r="T431" s="449" t="s">
        <v>194</v>
      </c>
      <c r="U431" s="449" t="s">
        <v>3587</v>
      </c>
      <c r="V431" s="449" t="s">
        <v>54</v>
      </c>
      <c r="W431" s="455"/>
      <c r="X431" s="455"/>
      <c r="Y431" s="455"/>
      <c r="Z431" s="455"/>
      <c r="AA431" s="455"/>
      <c r="AB431" s="455"/>
      <c r="AC431" s="455"/>
      <c r="AD431" s="455"/>
      <c r="AE431" s="455"/>
      <c r="AF431" s="455"/>
      <c r="AG431" s="455"/>
      <c r="AH431" s="455"/>
      <c r="AI431" s="455"/>
      <c r="AJ431" s="455"/>
      <c r="AK431" s="456"/>
      <c r="AL431" s="456"/>
      <c r="AM431" s="456"/>
      <c r="AN431" s="456"/>
      <c r="AO431" s="456"/>
      <c r="AP431" s="456"/>
      <c r="AQ431" s="456"/>
      <c r="AR431" s="456"/>
      <c r="AS431" s="456"/>
      <c r="AT431" s="456"/>
      <c r="AU431" s="456"/>
      <c r="AV431" s="456"/>
      <c r="AW431" s="456"/>
      <c r="AX431" s="456"/>
      <c r="AY431" s="456"/>
      <c r="AZ431" s="456"/>
      <c r="BA431" s="456"/>
      <c r="BB431" s="456"/>
      <c r="BC431" s="456"/>
      <c r="BD431" s="456" t="s">
        <v>377</v>
      </c>
      <c r="BE431" s="456">
        <v>400567.54</v>
      </c>
      <c r="BF431" s="456">
        <v>404175.89</v>
      </c>
      <c r="BG431" s="456">
        <v>408754.9842</v>
      </c>
      <c r="BH431" s="456">
        <v>411443.97</v>
      </c>
      <c r="BI431" s="456">
        <v>416900.56</v>
      </c>
      <c r="BJ431" s="456">
        <v>414884.17</v>
      </c>
      <c r="BK431" s="456">
        <v>419341.93</v>
      </c>
      <c r="BL431" s="456">
        <v>424662.69</v>
      </c>
      <c r="BM431" s="456">
        <v>429028.78</v>
      </c>
      <c r="BN431" s="456">
        <v>435770.27</v>
      </c>
      <c r="BO431" s="456">
        <v>440120.83</v>
      </c>
      <c r="BP431" s="456">
        <v>445753.76</v>
      </c>
      <c r="BQ431" s="456">
        <v>16.93</v>
      </c>
      <c r="BR431" s="456">
        <v>16.93</v>
      </c>
      <c r="BS431" s="90">
        <v>0.0</v>
      </c>
      <c r="BT431" s="90"/>
    </row>
    <row r="432" ht="15.75" customHeight="1">
      <c r="A432" s="444" t="s">
        <v>98</v>
      </c>
      <c r="B432" s="445" t="s">
        <v>2309</v>
      </c>
      <c r="C432" s="543" t="s">
        <v>6978</v>
      </c>
      <c r="D432" s="544">
        <v>495561.0</v>
      </c>
      <c r="E432" s="449" t="s">
        <v>120</v>
      </c>
      <c r="F432" s="449" t="s">
        <v>199</v>
      </c>
      <c r="G432" s="449" t="s">
        <v>290</v>
      </c>
      <c r="H432" s="449"/>
      <c r="I432" s="449"/>
      <c r="J432" s="74" t="s">
        <v>183</v>
      </c>
      <c r="K432" s="449"/>
      <c r="L432" s="459"/>
      <c r="M432" s="459">
        <v>44918.0</v>
      </c>
      <c r="N432" s="460"/>
      <c r="O432" s="449" t="s">
        <v>2365</v>
      </c>
      <c r="P432" s="452">
        <v>0.008</v>
      </c>
      <c r="Q432" s="790" t="s">
        <v>6979</v>
      </c>
      <c r="R432" s="453"/>
      <c r="S432" s="449"/>
      <c r="T432" s="449"/>
      <c r="U432" s="449"/>
      <c r="V432" s="449" t="s">
        <v>199</v>
      </c>
      <c r="W432" s="455"/>
      <c r="X432" s="455"/>
      <c r="Y432" s="455"/>
      <c r="Z432" s="455"/>
      <c r="AA432" s="455"/>
      <c r="AB432" s="455"/>
      <c r="AC432" s="455"/>
      <c r="AD432" s="455"/>
      <c r="AE432" s="455"/>
      <c r="AF432" s="455"/>
      <c r="AG432" s="455"/>
      <c r="AH432" s="455"/>
      <c r="AI432" s="455"/>
      <c r="AJ432" s="455"/>
      <c r="AK432" s="456"/>
      <c r="AL432" s="456"/>
      <c r="AM432" s="456"/>
      <c r="AN432" s="456"/>
      <c r="AO432" s="456"/>
      <c r="AP432" s="456"/>
      <c r="AQ432" s="456"/>
      <c r="AR432" s="456"/>
      <c r="AS432" s="456"/>
      <c r="AT432" s="456"/>
      <c r="AU432" s="456"/>
      <c r="AV432" s="456"/>
      <c r="AW432" s="456"/>
      <c r="AX432" s="456"/>
      <c r="AY432" s="456"/>
      <c r="AZ432" s="456"/>
      <c r="BA432" s="456"/>
      <c r="BB432" s="456"/>
      <c r="BC432" s="456"/>
      <c r="BD432" s="456"/>
      <c r="BE432" s="456"/>
      <c r="BF432" s="456"/>
      <c r="BG432" s="456"/>
      <c r="BH432" s="456"/>
      <c r="BI432" s="456"/>
      <c r="BJ432" s="456">
        <v>0.0</v>
      </c>
      <c r="BK432" s="456">
        <v>2209492.2</v>
      </c>
      <c r="BL432" s="456">
        <v>2265115.96</v>
      </c>
      <c r="BM432" s="456">
        <v>2268079.33</v>
      </c>
      <c r="BN432" s="456">
        <v>381003.93</v>
      </c>
      <c r="BO432" s="456">
        <v>153048.14</v>
      </c>
      <c r="BP432" s="456">
        <v>169346.56</v>
      </c>
      <c r="BQ432" s="456">
        <v>190755.02</v>
      </c>
      <c r="BR432" s="456">
        <v>193409.92</v>
      </c>
      <c r="BS432" s="90">
        <v>8.09</v>
      </c>
      <c r="BT432" s="90"/>
    </row>
    <row r="433" ht="15.75" customHeight="1">
      <c r="A433" s="444" t="s">
        <v>98</v>
      </c>
      <c r="B433" s="445" t="s">
        <v>6986</v>
      </c>
      <c r="C433" s="458" t="s">
        <v>4424</v>
      </c>
      <c r="D433" s="449">
        <v>3520517.0</v>
      </c>
      <c r="E433" s="449" t="s">
        <v>669</v>
      </c>
      <c r="F433" s="449" t="s">
        <v>199</v>
      </c>
      <c r="G433" s="449" t="s">
        <v>669</v>
      </c>
      <c r="H433" s="449" t="str">
        <f>IFERROR(VLOOKUP(G433,'Cadastro de assessores'!A:B,2,FALSE),"Não Cadastrado")</f>
        <v>18986</v>
      </c>
      <c r="I433" s="449"/>
      <c r="J433" s="49" t="s">
        <v>224</v>
      </c>
      <c r="K433" s="449" t="s">
        <v>2340</v>
      </c>
      <c r="L433" s="459">
        <v>43749.0</v>
      </c>
      <c r="M433" s="459">
        <v>43749.0</v>
      </c>
      <c r="N433" s="460">
        <v>44305.0</v>
      </c>
      <c r="O433" s="449" t="s">
        <v>4383</v>
      </c>
      <c r="P433" s="452">
        <v>0.01</v>
      </c>
      <c r="Q433" s="330" t="s">
        <v>6991</v>
      </c>
      <c r="R433" s="453"/>
      <c r="S433" s="449" t="str">
        <f t="shared" ref="S433:S436" si="46">IF(BC433&lt;=0,"",IF(BC433&lt;=1000000,"Não Qualificado",IF(AND(BC433&gt;1000000,BC433&lt;=10000000),"Qualificado","Profissional")))</f>
        <v/>
      </c>
      <c r="T433" s="449" t="s">
        <v>194</v>
      </c>
      <c r="U433" s="449" t="s">
        <v>3350</v>
      </c>
      <c r="V433" s="449" t="s">
        <v>199</v>
      </c>
      <c r="W433" s="455" t="s">
        <v>6993</v>
      </c>
      <c r="X433" s="455"/>
      <c r="Y433" s="455" t="s">
        <v>6994</v>
      </c>
      <c r="Z433" s="455" t="s">
        <v>6995</v>
      </c>
      <c r="AA433" s="455" t="s">
        <v>6996</v>
      </c>
      <c r="AB433" s="455" t="s">
        <v>6997</v>
      </c>
      <c r="AC433" s="455" t="s">
        <v>6999</v>
      </c>
      <c r="AD433" s="455" t="s">
        <v>7000</v>
      </c>
      <c r="AE433" s="455" t="s">
        <v>7001</v>
      </c>
      <c r="AF433" s="455" t="s">
        <v>7002</v>
      </c>
      <c r="AG433" s="455" t="s">
        <v>7003</v>
      </c>
      <c r="AH433" s="455" t="s">
        <v>7004</v>
      </c>
      <c r="AI433" s="455" t="s">
        <v>7007</v>
      </c>
      <c r="AJ433" s="455" t="s">
        <v>7008</v>
      </c>
      <c r="AK433" s="456">
        <v>156787.52</v>
      </c>
      <c r="AL433" s="456">
        <v>140528.2</v>
      </c>
      <c r="AM433" s="456">
        <v>94313.92</v>
      </c>
      <c r="AN433" s="456">
        <v>93972.49</v>
      </c>
      <c r="AO433" s="456">
        <v>95592.52</v>
      </c>
      <c r="AP433" s="456"/>
      <c r="AQ433" s="456"/>
      <c r="AR433" s="456"/>
      <c r="AS433" s="456"/>
      <c r="AT433" s="456"/>
      <c r="AU433" s="456"/>
      <c r="AV433" s="456"/>
      <c r="AW433" s="456"/>
      <c r="AX433" s="456"/>
      <c r="AY433" s="456"/>
      <c r="AZ433" s="456">
        <v>0.0</v>
      </c>
      <c r="BA433" s="456">
        <v>0.0</v>
      </c>
      <c r="BB433" s="456">
        <v>0.0</v>
      </c>
      <c r="BC433" s="456"/>
      <c r="BD433" s="456" t="s">
        <v>377</v>
      </c>
      <c r="BE433" s="456" t="s">
        <v>377</v>
      </c>
      <c r="BF433" s="456">
        <v>0.0</v>
      </c>
      <c r="BG433" s="456">
        <v>0.0</v>
      </c>
      <c r="BH433" s="456">
        <v>0.0</v>
      </c>
      <c r="BI433" s="456">
        <v>0.0</v>
      </c>
      <c r="BJ433" s="456">
        <v>0.0</v>
      </c>
      <c r="BK433" s="456">
        <v>0.0</v>
      </c>
      <c r="BL433" s="456">
        <v>0.0</v>
      </c>
      <c r="BM433" s="456">
        <v>0.0</v>
      </c>
      <c r="BN433" s="456">
        <v>0.0</v>
      </c>
      <c r="BO433" s="456">
        <v>0.0</v>
      </c>
      <c r="BP433" s="456">
        <v>0.0</v>
      </c>
      <c r="BQ433" s="456">
        <v>0.0</v>
      </c>
      <c r="BR433" s="456">
        <v>0.0</v>
      </c>
      <c r="BS433" s="90" t="s">
        <v>268</v>
      </c>
      <c r="BT433" s="90"/>
    </row>
    <row r="434" ht="15.75" customHeight="1">
      <c r="A434" s="444" t="s">
        <v>98</v>
      </c>
      <c r="B434" s="445" t="s">
        <v>7014</v>
      </c>
      <c r="C434" s="559" t="s">
        <v>7015</v>
      </c>
      <c r="D434" s="448">
        <v>6579987.0</v>
      </c>
      <c r="E434" s="447" t="s">
        <v>120</v>
      </c>
      <c r="F434" s="448" t="s">
        <v>54</v>
      </c>
      <c r="G434" s="447" t="s">
        <v>379</v>
      </c>
      <c r="H434" s="447" t="str">
        <f>IFERROR(VLOOKUP(G434,'Cadastro de assessores'!A:B,2,FALSE),"Não Cadastrado")</f>
        <v>18009</v>
      </c>
      <c r="I434" s="447"/>
      <c r="J434" s="49" t="s">
        <v>224</v>
      </c>
      <c r="K434" s="447" t="s">
        <v>183</v>
      </c>
      <c r="L434" s="450">
        <v>44452.0</v>
      </c>
      <c r="M434" s="450">
        <v>44469.0</v>
      </c>
      <c r="N434" s="508">
        <v>44960.0</v>
      </c>
      <c r="O434" s="446" t="s">
        <v>2319</v>
      </c>
      <c r="P434" s="519">
        <v>0.02</v>
      </c>
      <c r="Q434" s="330" t="s">
        <v>7021</v>
      </c>
      <c r="R434" s="453"/>
      <c r="S434" s="449" t="str">
        <f t="shared" si="46"/>
        <v/>
      </c>
      <c r="T434" s="449" t="s">
        <v>194</v>
      </c>
      <c r="U434" s="449" t="s">
        <v>3383</v>
      </c>
      <c r="V434" s="449" t="s">
        <v>199</v>
      </c>
      <c r="W434" s="454"/>
      <c r="X434" s="454"/>
      <c r="Y434" s="454"/>
      <c r="Z434" s="454"/>
      <c r="AA434" s="454"/>
      <c r="AB434" s="454"/>
      <c r="AC434" s="454"/>
      <c r="AD434" s="454"/>
      <c r="AE434" s="454"/>
      <c r="AF434" s="454"/>
      <c r="AG434" s="455"/>
      <c r="AH434" s="455"/>
      <c r="AI434" s="455"/>
      <c r="AJ434" s="456"/>
      <c r="AK434" s="456"/>
      <c r="AL434" s="456"/>
      <c r="AM434" s="735"/>
      <c r="AN434" s="735"/>
      <c r="AO434" s="456"/>
      <c r="AP434" s="456"/>
      <c r="AQ434" s="456"/>
      <c r="AR434" s="456"/>
      <c r="AS434" s="456"/>
      <c r="AT434" s="456"/>
      <c r="AU434" s="454"/>
      <c r="AV434" s="456"/>
      <c r="AW434" s="456">
        <v>95889.91</v>
      </c>
      <c r="AX434" s="456">
        <v>104385.97</v>
      </c>
      <c r="AY434" s="456">
        <v>105809.93</v>
      </c>
      <c r="AZ434" s="456">
        <v>110725.69</v>
      </c>
      <c r="BA434" s="456">
        <v>111698.64</v>
      </c>
      <c r="BB434" s="456">
        <v>135099.81</v>
      </c>
      <c r="BC434" s="456"/>
      <c r="BD434" s="456">
        <v>130259.66</v>
      </c>
      <c r="BE434" s="456">
        <v>126546.16</v>
      </c>
      <c r="BF434" s="456">
        <v>130164.5</v>
      </c>
      <c r="BG434" s="456">
        <v>131824.5453</v>
      </c>
      <c r="BH434" s="456">
        <v>130119.83</v>
      </c>
      <c r="BI434" s="456">
        <v>143244.26</v>
      </c>
      <c r="BJ434" s="456">
        <v>143875.77</v>
      </c>
      <c r="BK434" s="456">
        <v>144431.71</v>
      </c>
      <c r="BL434" s="456">
        <v>15785.3</v>
      </c>
      <c r="BM434" s="456">
        <v>0.0</v>
      </c>
      <c r="BN434" s="456">
        <v>0.0</v>
      </c>
      <c r="BO434" s="456">
        <v>0.0</v>
      </c>
      <c r="BP434" s="456">
        <v>0.0</v>
      </c>
      <c r="BQ434" s="456">
        <v>0.0</v>
      </c>
      <c r="BR434" s="456">
        <v>0.0</v>
      </c>
      <c r="BS434" s="90" t="s">
        <v>268</v>
      </c>
      <c r="BT434" s="90"/>
    </row>
    <row r="435" ht="15.75" customHeight="1">
      <c r="A435" s="444" t="s">
        <v>98</v>
      </c>
      <c r="B435" s="445" t="s">
        <v>7028</v>
      </c>
      <c r="C435" s="458" t="s">
        <v>7029</v>
      </c>
      <c r="D435" s="449">
        <v>306126.0</v>
      </c>
      <c r="E435" s="447" t="s">
        <v>669</v>
      </c>
      <c r="F435" s="447" t="s">
        <v>199</v>
      </c>
      <c r="G435" s="447" t="s">
        <v>669</v>
      </c>
      <c r="H435" s="447" t="str">
        <f>IFERROR(VLOOKUP(G435,'Cadastro de assessores'!A:B,2,FALSE),"Não Cadastrado")</f>
        <v>18986</v>
      </c>
      <c r="I435" s="447"/>
      <c r="J435" s="49" t="s">
        <v>2318</v>
      </c>
      <c r="K435" s="447" t="s">
        <v>183</v>
      </c>
      <c r="L435" s="450">
        <v>44172.0</v>
      </c>
      <c r="M435" s="450">
        <v>44210.0</v>
      </c>
      <c r="N435" s="446"/>
      <c r="O435" s="446" t="s">
        <v>2319</v>
      </c>
      <c r="P435" s="519">
        <v>0.02</v>
      </c>
      <c r="Q435" s="461"/>
      <c r="R435" s="453"/>
      <c r="S435" s="449" t="str">
        <f t="shared" si="46"/>
        <v/>
      </c>
      <c r="T435" s="449" t="s">
        <v>194</v>
      </c>
      <c r="U435" s="449" t="s">
        <v>2343</v>
      </c>
      <c r="V435" s="449" t="s">
        <v>199</v>
      </c>
      <c r="W435" s="455"/>
      <c r="X435" s="455"/>
      <c r="Y435" s="455"/>
      <c r="Z435" s="455"/>
      <c r="AA435" s="455"/>
      <c r="AB435" s="455"/>
      <c r="AC435" s="455"/>
      <c r="AD435" s="455"/>
      <c r="AE435" s="455"/>
      <c r="AF435" s="455"/>
      <c r="AG435" s="455"/>
      <c r="AH435" s="455"/>
      <c r="AI435" s="455"/>
      <c r="AJ435" s="455"/>
      <c r="AK435" s="456"/>
      <c r="AL435" s="456">
        <v>587928.45</v>
      </c>
      <c r="AM435" s="456">
        <v>559968.71</v>
      </c>
      <c r="AN435" s="735">
        <v>560943.35</v>
      </c>
      <c r="AO435" s="735">
        <v>583217.03</v>
      </c>
      <c r="AP435" s="456">
        <v>587751.01</v>
      </c>
      <c r="AQ435" s="456">
        <v>584026.69</v>
      </c>
      <c r="AR435" s="456">
        <v>604804.2</v>
      </c>
      <c r="AS435" s="456">
        <v>596951.49</v>
      </c>
      <c r="AT435" s="456">
        <v>578458.86</v>
      </c>
      <c r="AU435" s="456">
        <v>572205.7</v>
      </c>
      <c r="AV435" s="456">
        <v>552858.06</v>
      </c>
      <c r="AW435" s="456">
        <v>522351.84</v>
      </c>
      <c r="AX435" s="456">
        <v>521112.27</v>
      </c>
      <c r="AY435" s="456">
        <v>530378.59</v>
      </c>
      <c r="AZ435" s="456">
        <v>548111.7</v>
      </c>
      <c r="BA435" s="456">
        <v>553398.15</v>
      </c>
      <c r="BB435" s="456">
        <v>578369.71</v>
      </c>
      <c r="BC435" s="456"/>
      <c r="BD435" s="456">
        <v>567706.0</v>
      </c>
      <c r="BE435" s="456">
        <v>556107.95</v>
      </c>
      <c r="BF435" s="456">
        <v>572752.08</v>
      </c>
      <c r="BG435" s="456">
        <v>582905.9579</v>
      </c>
      <c r="BH435" s="456">
        <v>577830.48</v>
      </c>
      <c r="BI435" s="456">
        <v>604248.7</v>
      </c>
      <c r="BJ435" s="456">
        <v>607648.4</v>
      </c>
      <c r="BK435" s="456">
        <v>609587.5</v>
      </c>
      <c r="BL435" s="456">
        <v>611407.73</v>
      </c>
      <c r="BM435" s="456">
        <v>608633.16</v>
      </c>
      <c r="BN435" s="456">
        <v>118488.77</v>
      </c>
      <c r="BO435" s="456">
        <v>183.01</v>
      </c>
      <c r="BP435" s="456">
        <v>183.01</v>
      </c>
      <c r="BQ435" s="456">
        <v>183.01</v>
      </c>
      <c r="BR435" s="456">
        <v>183.01</v>
      </c>
      <c r="BS435" s="90" t="s">
        <v>268</v>
      </c>
      <c r="BT435" s="90"/>
    </row>
    <row r="436" ht="15.75" customHeight="1">
      <c r="A436" s="444" t="s">
        <v>98</v>
      </c>
      <c r="B436" s="445" t="s">
        <v>7032</v>
      </c>
      <c r="C436" s="468" t="s">
        <v>7033</v>
      </c>
      <c r="D436" s="446">
        <v>2997463.0</v>
      </c>
      <c r="E436" s="447" t="s">
        <v>120</v>
      </c>
      <c r="F436" s="448" t="s">
        <v>199</v>
      </c>
      <c r="G436" s="448" t="s">
        <v>290</v>
      </c>
      <c r="H436" s="448">
        <f>IFERROR(VLOOKUP(G436,'Cadastro de assessores'!A:B,2,FALSE),"Não Cadastrado")</f>
        <v>12332</v>
      </c>
      <c r="I436" s="448"/>
      <c r="J436" s="49" t="s">
        <v>2318</v>
      </c>
      <c r="K436" s="446" t="s">
        <v>183</v>
      </c>
      <c r="L436" s="450">
        <v>44496.0</v>
      </c>
      <c r="M436" s="450">
        <v>44503.0</v>
      </c>
      <c r="N436" s="446"/>
      <c r="O436" s="446" t="s">
        <v>2356</v>
      </c>
      <c r="P436" s="452">
        <v>0.007</v>
      </c>
      <c r="Q436" s="330"/>
      <c r="R436" s="453"/>
      <c r="S436" s="449" t="str">
        <f t="shared" si="46"/>
        <v/>
      </c>
      <c r="T436" s="449" t="s">
        <v>194</v>
      </c>
      <c r="U436" s="446" t="s">
        <v>2417</v>
      </c>
      <c r="V436" s="449" t="s">
        <v>199</v>
      </c>
      <c r="W436" s="454"/>
      <c r="X436" s="454"/>
      <c r="Y436" s="454"/>
      <c r="Z436" s="454"/>
      <c r="AA436" s="454"/>
      <c r="AB436" s="454"/>
      <c r="AC436" s="454"/>
      <c r="AD436" s="454"/>
      <c r="AE436" s="454"/>
      <c r="AF436" s="454"/>
      <c r="AG436" s="455"/>
      <c r="AH436" s="455"/>
      <c r="AI436" s="455"/>
      <c r="AJ436" s="456"/>
      <c r="AK436" s="456"/>
      <c r="AL436" s="456"/>
      <c r="AM436" s="735"/>
      <c r="AN436" s="735"/>
      <c r="AO436" s="456"/>
      <c r="AP436" s="456"/>
      <c r="AQ436" s="456"/>
      <c r="AR436" s="456"/>
      <c r="AS436" s="456"/>
      <c r="AT436" s="456"/>
      <c r="AU436" s="456"/>
      <c r="AV436" s="456"/>
      <c r="AW436" s="456"/>
      <c r="AX436" s="456">
        <v>101078.2</v>
      </c>
      <c r="AY436" s="456">
        <v>116356.65</v>
      </c>
      <c r="AZ436" s="456">
        <v>123264.46</v>
      </c>
      <c r="BA436" s="456">
        <v>124208.69</v>
      </c>
      <c r="BB436" s="456">
        <v>129574.91</v>
      </c>
      <c r="BC436" s="456"/>
      <c r="BD436" s="456">
        <v>127342.89</v>
      </c>
      <c r="BE436" s="456">
        <v>128456.36</v>
      </c>
      <c r="BF436" s="456">
        <v>109092.5</v>
      </c>
      <c r="BG436" s="456">
        <v>109503.617</v>
      </c>
      <c r="BH436" s="456">
        <v>113595.31</v>
      </c>
      <c r="BI436" s="456">
        <v>114416.34</v>
      </c>
      <c r="BJ436" s="456">
        <v>115438.73</v>
      </c>
      <c r="BK436" s="456">
        <v>116341.96</v>
      </c>
      <c r="BL436" s="456">
        <v>117581.13</v>
      </c>
      <c r="BM436" s="456">
        <v>118295.62</v>
      </c>
      <c r="BN436" s="456">
        <v>119731.39</v>
      </c>
      <c r="BO436" s="456">
        <v>9309.15</v>
      </c>
      <c r="BP436" s="456">
        <v>9419.35</v>
      </c>
      <c r="BQ436" s="456">
        <v>9499.36</v>
      </c>
      <c r="BR436" s="456">
        <v>132.41</v>
      </c>
      <c r="BS436" s="90">
        <v>0.0</v>
      </c>
      <c r="BT436" s="90"/>
    </row>
    <row r="437" ht="15.75" customHeight="1">
      <c r="A437" s="444" t="s">
        <v>98</v>
      </c>
      <c r="B437" s="445" t="s">
        <v>7032</v>
      </c>
      <c r="C437" s="468" t="s">
        <v>7033</v>
      </c>
      <c r="D437" s="447">
        <v>9129986.0</v>
      </c>
      <c r="E437" s="447" t="s">
        <v>120</v>
      </c>
      <c r="F437" s="448" t="s">
        <v>199</v>
      </c>
      <c r="G437" s="448" t="s">
        <v>290</v>
      </c>
      <c r="H437" s="448">
        <f>IFERROR(VLOOKUP(G437,'Cadastro de assessores'!A:B,2,FALSE),"Não Cadastrado")</f>
        <v>12332</v>
      </c>
      <c r="I437" s="448"/>
      <c r="J437" s="49" t="s">
        <v>2318</v>
      </c>
      <c r="K437" s="449" t="s">
        <v>295</v>
      </c>
      <c r="L437" s="450">
        <v>44817.0</v>
      </c>
      <c r="M437" s="450">
        <v>44825.0</v>
      </c>
      <c r="N437" s="449"/>
      <c r="O437" s="449" t="s">
        <v>2372</v>
      </c>
      <c r="P437" s="519">
        <v>0.025</v>
      </c>
      <c r="Q437" s="237"/>
      <c r="R437" s="453"/>
      <c r="S437" s="449"/>
      <c r="T437" s="449"/>
      <c r="U437" s="449"/>
      <c r="V437" s="449" t="s">
        <v>3320</v>
      </c>
      <c r="W437" s="455"/>
      <c r="X437" s="455"/>
      <c r="Y437" s="455"/>
      <c r="Z437" s="455"/>
      <c r="AA437" s="455"/>
      <c r="AB437" s="455"/>
      <c r="AC437" s="455"/>
      <c r="AD437" s="455"/>
      <c r="AE437" s="455"/>
      <c r="AF437" s="455"/>
      <c r="AG437" s="455"/>
      <c r="AH437" s="455"/>
      <c r="AI437" s="455"/>
      <c r="AJ437" s="455"/>
      <c r="AK437" s="456"/>
      <c r="AL437" s="456"/>
      <c r="AM437" s="456"/>
      <c r="AN437" s="735"/>
      <c r="AO437" s="735"/>
      <c r="AP437" s="456"/>
      <c r="AQ437" s="456"/>
      <c r="AR437" s="456"/>
      <c r="AS437" s="456"/>
      <c r="AT437" s="456"/>
      <c r="AU437" s="456"/>
      <c r="AV437" s="456"/>
      <c r="AW437" s="456"/>
      <c r="AX437" s="456"/>
      <c r="AY437" s="456"/>
      <c r="AZ437" s="456"/>
      <c r="BA437" s="456"/>
      <c r="BB437" s="456"/>
      <c r="BC437" s="456"/>
      <c r="BD437" s="456"/>
      <c r="BE437" s="456"/>
      <c r="BF437" s="456"/>
      <c r="BG437" s="456">
        <v>0.0</v>
      </c>
      <c r="BH437" s="456">
        <v>11703.43</v>
      </c>
      <c r="BI437" s="456">
        <v>12539.47</v>
      </c>
      <c r="BJ437" s="456">
        <v>12068.04</v>
      </c>
      <c r="BK437" s="456">
        <v>12067.31</v>
      </c>
      <c r="BL437" s="456">
        <v>12268.09</v>
      </c>
      <c r="BM437" s="456">
        <v>11255.97</v>
      </c>
      <c r="BN437" s="456">
        <v>10981.6</v>
      </c>
      <c r="BO437" s="456">
        <v>10434.74</v>
      </c>
      <c r="BP437" s="456">
        <v>11097.81</v>
      </c>
      <c r="BQ437" s="456">
        <v>12035.22</v>
      </c>
      <c r="BR437" s="456">
        <v>12568.2</v>
      </c>
      <c r="BS437" s="90">
        <v>0.0</v>
      </c>
      <c r="BT437" s="90"/>
    </row>
    <row r="438" ht="15.75" customHeight="1">
      <c r="A438" s="444" t="s">
        <v>98</v>
      </c>
      <c r="B438" s="445" t="s">
        <v>7049</v>
      </c>
      <c r="C438" s="458" t="s">
        <v>7050</v>
      </c>
      <c r="D438" s="447">
        <v>4837612.0</v>
      </c>
      <c r="E438" s="447" t="s">
        <v>255</v>
      </c>
      <c r="F438" s="447" t="s">
        <v>199</v>
      </c>
      <c r="G438" s="447" t="s">
        <v>368</v>
      </c>
      <c r="H438" s="447" t="str">
        <f>IFERROR(VLOOKUP(G438,'Cadastro de assessores'!A:B,2,FALSE),"Não Cadastrado")</f>
        <v>17896</v>
      </c>
      <c r="I438" s="447"/>
      <c r="J438" s="49" t="s">
        <v>224</v>
      </c>
      <c r="K438" s="447" t="s">
        <v>183</v>
      </c>
      <c r="L438" s="450">
        <v>44232.0</v>
      </c>
      <c r="M438" s="450">
        <v>44250.0</v>
      </c>
      <c r="N438" s="460">
        <v>44984.0</v>
      </c>
      <c r="O438" s="449" t="s">
        <v>2341</v>
      </c>
      <c r="P438" s="519">
        <v>0.015</v>
      </c>
      <c r="Q438" s="237" t="s">
        <v>7053</v>
      </c>
      <c r="R438" s="453"/>
      <c r="S438" s="449" t="str">
        <f t="shared" ref="S438:S445" si="47">IF(BC438&lt;=0,"",IF(BC438&lt;=1000000,"Não Qualificado",IF(AND(BC438&gt;1000000,BC438&lt;=10000000),"Qualificado","Profissional")))</f>
        <v>Não Qualificado</v>
      </c>
      <c r="T438" s="449" t="s">
        <v>194</v>
      </c>
      <c r="U438" s="449" t="s">
        <v>3383</v>
      </c>
      <c r="V438" s="449" t="s">
        <v>199</v>
      </c>
      <c r="W438" s="455"/>
      <c r="X438" s="455"/>
      <c r="Y438" s="455"/>
      <c r="Z438" s="455"/>
      <c r="AA438" s="455"/>
      <c r="AB438" s="455"/>
      <c r="AC438" s="455"/>
      <c r="AD438" s="455"/>
      <c r="AE438" s="455"/>
      <c r="AF438" s="455"/>
      <c r="AG438" s="455"/>
      <c r="AH438" s="455"/>
      <c r="AI438" s="455"/>
      <c r="AJ438" s="455"/>
      <c r="AK438" s="456"/>
      <c r="AL438" s="456"/>
      <c r="AM438" s="456">
        <v>201365.72</v>
      </c>
      <c r="AN438" s="735">
        <v>560943.35</v>
      </c>
      <c r="AO438" s="735">
        <v>216054.67</v>
      </c>
      <c r="AP438" s="456">
        <v>227328.75</v>
      </c>
      <c r="AQ438" s="456">
        <v>226533.87</v>
      </c>
      <c r="AR438" s="456">
        <v>243192.57</v>
      </c>
      <c r="AS438" s="456">
        <v>289504.38</v>
      </c>
      <c r="AT438" s="456">
        <v>306110.09</v>
      </c>
      <c r="AU438" s="456">
        <v>304091.97</v>
      </c>
      <c r="AV438" s="456">
        <v>299048.75</v>
      </c>
      <c r="AW438" s="456">
        <v>316076.75</v>
      </c>
      <c r="AX438" s="456">
        <v>315702.89</v>
      </c>
      <c r="AY438" s="456">
        <v>319238.37</v>
      </c>
      <c r="AZ438" s="456">
        <v>379118.37</v>
      </c>
      <c r="BA438" s="456">
        <v>400159.43</v>
      </c>
      <c r="BB438" s="456">
        <v>465481.65</v>
      </c>
      <c r="BC438" s="456">
        <v>153664.18</v>
      </c>
      <c r="BD438" s="456">
        <v>504452.89</v>
      </c>
      <c r="BE438" s="456">
        <v>504436.09</v>
      </c>
      <c r="BF438" s="456">
        <v>514010.85</v>
      </c>
      <c r="BG438" s="456">
        <v>517079.1264</v>
      </c>
      <c r="BH438" s="456">
        <v>523071.33</v>
      </c>
      <c r="BI438" s="456">
        <v>537094.82</v>
      </c>
      <c r="BJ438" s="456">
        <v>538169.16</v>
      </c>
      <c r="BK438" s="456">
        <v>541049.95</v>
      </c>
      <c r="BL438" s="456">
        <v>545480.5</v>
      </c>
      <c r="BM438" s="456">
        <v>548740.43</v>
      </c>
      <c r="BN438" s="456">
        <v>0.0</v>
      </c>
      <c r="BO438" s="456">
        <v>0.0</v>
      </c>
      <c r="BP438" s="456">
        <v>0.0</v>
      </c>
      <c r="BQ438" s="456">
        <v>0.0</v>
      </c>
      <c r="BR438" s="456">
        <v>0.0</v>
      </c>
      <c r="BS438" s="90" t="s">
        <v>268</v>
      </c>
      <c r="BT438" s="90"/>
    </row>
    <row r="439" ht="15.75" customHeight="1">
      <c r="A439" s="444" t="s">
        <v>98</v>
      </c>
      <c r="B439" s="445" t="s">
        <v>7056</v>
      </c>
      <c r="C439" s="458" t="s">
        <v>6455</v>
      </c>
      <c r="D439" s="449">
        <v>4617147.0</v>
      </c>
      <c r="E439" s="449" t="s">
        <v>120</v>
      </c>
      <c r="F439" s="449" t="s">
        <v>199</v>
      </c>
      <c r="G439" s="449" t="s">
        <v>2339</v>
      </c>
      <c r="H439" s="449" t="str">
        <f>IFERROR(VLOOKUP(G439,'Cadastro de assessores'!A:B,2,FALSE),"Não Cadastrado")</f>
        <v>17679</v>
      </c>
      <c r="I439" s="449"/>
      <c r="J439" s="49" t="s">
        <v>224</v>
      </c>
      <c r="K439" s="449" t="s">
        <v>2340</v>
      </c>
      <c r="L439" s="460">
        <v>44166.0</v>
      </c>
      <c r="M439" s="460">
        <v>44166.0</v>
      </c>
      <c r="N439" s="460">
        <v>44390.0</v>
      </c>
      <c r="O439" s="449" t="s">
        <v>2341</v>
      </c>
      <c r="P439" s="452">
        <v>0.015</v>
      </c>
      <c r="Q439" s="461" t="s">
        <v>7058</v>
      </c>
      <c r="R439" s="453"/>
      <c r="S439" s="449" t="str">
        <f t="shared" si="47"/>
        <v>Não Qualificado</v>
      </c>
      <c r="T439" s="449" t="s">
        <v>194</v>
      </c>
      <c r="U439" s="449" t="s">
        <v>3820</v>
      </c>
      <c r="V439" s="449" t="s">
        <v>397</v>
      </c>
      <c r="W439" s="455" t="s">
        <v>2344</v>
      </c>
      <c r="X439" s="455" t="s">
        <v>2344</v>
      </c>
      <c r="Y439" s="455" t="s">
        <v>2344</v>
      </c>
      <c r="Z439" s="455" t="s">
        <v>2344</v>
      </c>
      <c r="AA439" s="455" t="s">
        <v>2344</v>
      </c>
      <c r="AB439" s="455" t="s">
        <v>2344</v>
      </c>
      <c r="AC439" s="455" t="s">
        <v>2344</v>
      </c>
      <c r="AD439" s="455" t="s">
        <v>2344</v>
      </c>
      <c r="AE439" s="455" t="s">
        <v>2344</v>
      </c>
      <c r="AF439" s="455" t="s">
        <v>2344</v>
      </c>
      <c r="AG439" s="455" t="s">
        <v>2344</v>
      </c>
      <c r="AH439" s="455" t="s">
        <v>2344</v>
      </c>
      <c r="AI439" s="455" t="s">
        <v>2344</v>
      </c>
      <c r="AJ439" s="455" t="s">
        <v>2344</v>
      </c>
      <c r="AK439" s="456">
        <v>145902.15</v>
      </c>
      <c r="AL439" s="456">
        <v>203277.95</v>
      </c>
      <c r="AM439" s="456">
        <v>197221.31</v>
      </c>
      <c r="AN439" s="456">
        <v>198226.84</v>
      </c>
      <c r="AO439" s="456">
        <v>203687.97</v>
      </c>
      <c r="AP439" s="456">
        <v>194987.16</v>
      </c>
      <c r="AQ439" s="456">
        <v>204139.66</v>
      </c>
      <c r="AR439" s="456">
        <v>209125.79</v>
      </c>
      <c r="AS439" s="456">
        <v>207398.62</v>
      </c>
      <c r="AT439" s="456"/>
      <c r="AU439" s="456"/>
      <c r="AV439" s="456"/>
      <c r="AW439" s="456"/>
      <c r="AX439" s="456"/>
      <c r="AY439" s="456"/>
      <c r="AZ439" s="456"/>
      <c r="BA439" s="456">
        <v>0.0</v>
      </c>
      <c r="BB439" s="456">
        <v>0.0</v>
      </c>
      <c r="BC439" s="456">
        <v>786619.56</v>
      </c>
      <c r="BD439" s="456" t="s">
        <v>377</v>
      </c>
      <c r="BE439" s="456" t="s">
        <v>377</v>
      </c>
      <c r="BF439" s="456">
        <v>0.0</v>
      </c>
      <c r="BG439" s="456">
        <v>0.0</v>
      </c>
      <c r="BH439" s="456">
        <v>0.0</v>
      </c>
      <c r="BI439" s="456">
        <v>0.0</v>
      </c>
      <c r="BJ439" s="456">
        <v>0.0</v>
      </c>
      <c r="BK439" s="456">
        <v>0.0</v>
      </c>
      <c r="BL439" s="456">
        <v>0.0</v>
      </c>
      <c r="BM439" s="456">
        <v>0.0</v>
      </c>
      <c r="BN439" s="456">
        <v>0.0</v>
      </c>
      <c r="BO439" s="456">
        <v>0.0</v>
      </c>
      <c r="BP439" s="456">
        <v>0.0</v>
      </c>
      <c r="BQ439" s="456">
        <v>0.0</v>
      </c>
      <c r="BR439" s="456">
        <v>0.0</v>
      </c>
      <c r="BS439" s="90" t="s">
        <v>268</v>
      </c>
      <c r="BT439" s="90"/>
    </row>
    <row r="440" ht="15.75" customHeight="1">
      <c r="A440" s="444" t="s">
        <v>98</v>
      </c>
      <c r="B440" s="445" t="s">
        <v>7063</v>
      </c>
      <c r="C440" s="468" t="s">
        <v>7064</v>
      </c>
      <c r="D440" s="446">
        <v>355180.0</v>
      </c>
      <c r="E440" s="449" t="s">
        <v>120</v>
      </c>
      <c r="F440" s="507" t="s">
        <v>54</v>
      </c>
      <c r="G440" s="507" t="s">
        <v>379</v>
      </c>
      <c r="H440" s="507" t="str">
        <f>IFERROR(VLOOKUP(G440,'Cadastro de assessores'!A:B,2,FALSE),"Não Cadastrado")</f>
        <v>18009</v>
      </c>
      <c r="I440" s="507"/>
      <c r="J440" s="49" t="s">
        <v>224</v>
      </c>
      <c r="K440" s="449" t="s">
        <v>2340</v>
      </c>
      <c r="L440" s="460">
        <v>44362.0</v>
      </c>
      <c r="M440" s="460">
        <v>44362.0</v>
      </c>
      <c r="N440" s="616">
        <v>44489.0</v>
      </c>
      <c r="O440" s="446" t="s">
        <v>2319</v>
      </c>
      <c r="P440" s="452">
        <v>0.02</v>
      </c>
      <c r="Q440" s="461" t="s">
        <v>7073</v>
      </c>
      <c r="R440" s="453"/>
      <c r="S440" s="449" t="str">
        <f t="shared" si="47"/>
        <v>Não Qualificado</v>
      </c>
      <c r="T440" s="449" t="s">
        <v>194</v>
      </c>
      <c r="U440" s="446" t="s">
        <v>5557</v>
      </c>
      <c r="V440" s="446" t="s">
        <v>475</v>
      </c>
      <c r="W440" s="454"/>
      <c r="X440" s="454"/>
      <c r="Y440" s="454"/>
      <c r="Z440" s="454"/>
      <c r="AA440" s="454"/>
      <c r="AB440" s="454"/>
      <c r="AC440" s="454"/>
      <c r="AD440" s="454"/>
      <c r="AE440" s="454"/>
      <c r="AF440" s="454"/>
      <c r="AG440" s="454"/>
      <c r="AH440" s="454"/>
      <c r="AI440" s="454"/>
      <c r="AJ440" s="454"/>
      <c r="AK440" s="456"/>
      <c r="AL440" s="456"/>
      <c r="AM440" s="456"/>
      <c r="AN440" s="456"/>
      <c r="AO440" s="456"/>
      <c r="AP440" s="456"/>
      <c r="AQ440" s="456"/>
      <c r="AR440" s="454"/>
      <c r="AS440" s="456">
        <v>101488.65</v>
      </c>
      <c r="AT440" s="456">
        <v>95947.73</v>
      </c>
      <c r="AU440" s="456">
        <v>95046.38</v>
      </c>
      <c r="AV440" s="456">
        <v>91628.14</v>
      </c>
      <c r="AW440" s="456">
        <v>87386.49</v>
      </c>
      <c r="AX440" s="456"/>
      <c r="AY440" s="456"/>
      <c r="AZ440" s="456"/>
      <c r="BA440" s="456">
        <v>0.0</v>
      </c>
      <c r="BB440" s="456">
        <v>0.0</v>
      </c>
      <c r="BC440" s="456">
        <v>23934.39</v>
      </c>
      <c r="BD440" s="456" t="s">
        <v>377</v>
      </c>
      <c r="BE440" s="456" t="s">
        <v>377</v>
      </c>
      <c r="BF440" s="456">
        <v>0.0</v>
      </c>
      <c r="BG440" s="456">
        <v>0.0</v>
      </c>
      <c r="BH440" s="456">
        <v>0.0</v>
      </c>
      <c r="BI440" s="456">
        <v>0.0</v>
      </c>
      <c r="BJ440" s="456">
        <v>0.0</v>
      </c>
      <c r="BK440" s="456">
        <v>0.0</v>
      </c>
      <c r="BL440" s="456">
        <v>0.0</v>
      </c>
      <c r="BM440" s="456">
        <v>0.0</v>
      </c>
      <c r="BN440" s="456">
        <v>0.0</v>
      </c>
      <c r="BO440" s="456">
        <v>0.0</v>
      </c>
      <c r="BP440" s="456">
        <v>0.0</v>
      </c>
      <c r="BQ440" s="456">
        <v>0.0</v>
      </c>
      <c r="BR440" s="456">
        <v>0.0</v>
      </c>
      <c r="BS440" s="90" t="s">
        <v>268</v>
      </c>
      <c r="BT440" s="90"/>
    </row>
    <row r="441" ht="15.75" customHeight="1">
      <c r="A441" s="444" t="s">
        <v>98</v>
      </c>
      <c r="B441" s="445" t="s">
        <v>7079</v>
      </c>
      <c r="C441" s="458" t="s">
        <v>6852</v>
      </c>
      <c r="D441" s="447">
        <v>396107.0</v>
      </c>
      <c r="E441" s="447" t="s">
        <v>669</v>
      </c>
      <c r="F441" s="447" t="s">
        <v>199</v>
      </c>
      <c r="G441" s="447" t="s">
        <v>669</v>
      </c>
      <c r="H441" s="447" t="str">
        <f>IFERROR(VLOOKUP(G441,'Cadastro de assessores'!A:B,2,FALSE),"Não Cadastrado")</f>
        <v>18986</v>
      </c>
      <c r="I441" s="447"/>
      <c r="J441" s="74" t="s">
        <v>183</v>
      </c>
      <c r="K441" s="447" t="s">
        <v>183</v>
      </c>
      <c r="L441" s="450">
        <v>44193.0</v>
      </c>
      <c r="M441" s="450">
        <v>44250.0</v>
      </c>
      <c r="N441" s="449"/>
      <c r="O441" s="449" t="s">
        <v>2341</v>
      </c>
      <c r="P441" s="452">
        <v>0.015</v>
      </c>
      <c r="Q441" s="461"/>
      <c r="R441" s="453"/>
      <c r="S441" s="449" t="str">
        <f t="shared" si="47"/>
        <v>Não Qualificado</v>
      </c>
      <c r="T441" s="449" t="s">
        <v>194</v>
      </c>
      <c r="U441" s="449" t="s">
        <v>3587</v>
      </c>
      <c r="V441" s="449" t="s">
        <v>54</v>
      </c>
      <c r="W441" s="455"/>
      <c r="X441" s="455"/>
      <c r="Y441" s="455"/>
      <c r="Z441" s="455"/>
      <c r="AA441" s="455"/>
      <c r="AB441" s="455"/>
      <c r="AC441" s="455"/>
      <c r="AD441" s="455"/>
      <c r="AE441" s="455"/>
      <c r="AF441" s="455"/>
      <c r="AG441" s="455"/>
      <c r="AH441" s="455"/>
      <c r="AI441" s="455"/>
      <c r="AJ441" s="455"/>
      <c r="AK441" s="456"/>
      <c r="AL441" s="456"/>
      <c r="AM441" s="456">
        <v>157087.58</v>
      </c>
      <c r="AN441" s="456">
        <v>154576.69</v>
      </c>
      <c r="AO441" s="456">
        <v>158171.95</v>
      </c>
      <c r="AP441" s="456">
        <v>159062.67</v>
      </c>
      <c r="AQ441" s="456">
        <v>158437.32</v>
      </c>
      <c r="AR441" s="456">
        <v>162461.68</v>
      </c>
      <c r="AS441" s="456">
        <v>149736.56</v>
      </c>
      <c r="AT441" s="456">
        <v>158170.83</v>
      </c>
      <c r="AU441" s="456">
        <v>157308.25</v>
      </c>
      <c r="AV441" s="456">
        <v>36166.56</v>
      </c>
      <c r="AW441" s="456">
        <v>36408.04</v>
      </c>
      <c r="AX441" s="456">
        <v>36570.81</v>
      </c>
      <c r="AY441" s="456">
        <v>36551.39</v>
      </c>
      <c r="AZ441" s="456">
        <v>36671.04</v>
      </c>
      <c r="BA441" s="456">
        <v>31743.1</v>
      </c>
      <c r="BB441" s="456">
        <v>33183.07</v>
      </c>
      <c r="BC441" s="456">
        <v>114269.59</v>
      </c>
      <c r="BD441" s="456">
        <v>32233.66</v>
      </c>
      <c r="BE441" s="456">
        <v>16126.55</v>
      </c>
      <c r="BF441" s="456">
        <v>16449.67</v>
      </c>
      <c r="BG441" s="456">
        <v>16733.81</v>
      </c>
      <c r="BH441" s="456">
        <v>16911.1</v>
      </c>
      <c r="BI441" s="456">
        <v>17298.09</v>
      </c>
      <c r="BJ441" s="456">
        <v>17322.98</v>
      </c>
      <c r="BK441" s="456">
        <v>17484.49</v>
      </c>
      <c r="BL441" s="456">
        <v>17626.81</v>
      </c>
      <c r="BM441" s="456">
        <v>17639.33</v>
      </c>
      <c r="BN441" s="456">
        <v>27513.92</v>
      </c>
      <c r="BO441" s="456">
        <v>38906.09</v>
      </c>
      <c r="BP441" s="456">
        <v>42025.16</v>
      </c>
      <c r="BQ441" s="456">
        <v>42403.86</v>
      </c>
      <c r="BR441" s="456">
        <v>45645.34</v>
      </c>
      <c r="BS441" s="90">
        <v>81715.48</v>
      </c>
      <c r="BT441" s="90"/>
    </row>
    <row r="442" ht="15.75" customHeight="1">
      <c r="A442" s="444" t="s">
        <v>98</v>
      </c>
      <c r="B442" s="445" t="s">
        <v>7082</v>
      </c>
      <c r="C442" s="458" t="s">
        <v>5887</v>
      </c>
      <c r="D442" s="449">
        <v>4836917.0</v>
      </c>
      <c r="E442" s="449" t="s">
        <v>669</v>
      </c>
      <c r="F442" s="449" t="s">
        <v>199</v>
      </c>
      <c r="G442" s="449" t="s">
        <v>669</v>
      </c>
      <c r="H442" s="449" t="str">
        <f>IFERROR(VLOOKUP(G442,'Cadastro de assessores'!A:B,2,FALSE),"Não Cadastrado")</f>
        <v>18986</v>
      </c>
      <c r="I442" s="449"/>
      <c r="J442" s="49" t="s">
        <v>224</v>
      </c>
      <c r="K442" s="449" t="s">
        <v>2340</v>
      </c>
      <c r="L442" s="460">
        <v>44244.0</v>
      </c>
      <c r="M442" s="460">
        <v>44244.0</v>
      </c>
      <c r="N442" s="460">
        <v>44270.0</v>
      </c>
      <c r="O442" s="449" t="s">
        <v>2341</v>
      </c>
      <c r="P442" s="452">
        <v>0.015</v>
      </c>
      <c r="Q442" s="461" t="s">
        <v>5314</v>
      </c>
      <c r="R442" s="453"/>
      <c r="S442" s="449" t="str">
        <f t="shared" si="47"/>
        <v/>
      </c>
      <c r="T442" s="449" t="s">
        <v>194</v>
      </c>
      <c r="U442" s="446" t="s">
        <v>4450</v>
      </c>
      <c r="V442" s="446" t="s">
        <v>199</v>
      </c>
      <c r="W442" s="455"/>
      <c r="X442" s="455"/>
      <c r="Y442" s="455"/>
      <c r="Z442" s="455"/>
      <c r="AA442" s="455"/>
      <c r="AB442" s="455"/>
      <c r="AC442" s="455"/>
      <c r="AD442" s="455"/>
      <c r="AE442" s="455"/>
      <c r="AF442" s="455"/>
      <c r="AG442" s="455"/>
      <c r="AH442" s="455"/>
      <c r="AI442" s="455"/>
      <c r="AJ442" s="455"/>
      <c r="AK442" s="456"/>
      <c r="AL442" s="456"/>
      <c r="AM442" s="456">
        <v>376120.08</v>
      </c>
      <c r="AN442" s="456">
        <v>378053.96</v>
      </c>
      <c r="AO442" s="456"/>
      <c r="AP442" s="456"/>
      <c r="AQ442" s="456"/>
      <c r="AR442" s="456"/>
      <c r="AS442" s="456"/>
      <c r="AT442" s="456"/>
      <c r="AU442" s="456"/>
      <c r="AV442" s="456"/>
      <c r="AW442" s="456"/>
      <c r="AX442" s="456"/>
      <c r="AY442" s="456"/>
      <c r="AZ442" s="456"/>
      <c r="BA442" s="456">
        <v>0.0</v>
      </c>
      <c r="BB442" s="456">
        <v>0.0</v>
      </c>
      <c r="BC442" s="456"/>
      <c r="BD442" s="456" t="s">
        <v>377</v>
      </c>
      <c r="BE442" s="456" t="s">
        <v>377</v>
      </c>
      <c r="BF442" s="456">
        <v>0.0</v>
      </c>
      <c r="BG442" s="456">
        <v>0.0</v>
      </c>
      <c r="BH442" s="456">
        <v>0.0</v>
      </c>
      <c r="BI442" s="456">
        <v>0.0</v>
      </c>
      <c r="BJ442" s="456">
        <v>0.0</v>
      </c>
      <c r="BK442" s="456">
        <v>0.0</v>
      </c>
      <c r="BL442" s="456">
        <v>0.0</v>
      </c>
      <c r="BM442" s="456">
        <v>0.0</v>
      </c>
      <c r="BN442" s="456">
        <v>0.0</v>
      </c>
      <c r="BO442" s="456">
        <v>0.0</v>
      </c>
      <c r="BP442" s="456">
        <v>0.0</v>
      </c>
      <c r="BQ442" s="456">
        <v>0.0</v>
      </c>
      <c r="BR442" s="456">
        <v>0.0</v>
      </c>
      <c r="BS442" s="90" t="s">
        <v>268</v>
      </c>
      <c r="BT442" s="90"/>
    </row>
    <row r="443" ht="15.75" customHeight="1">
      <c r="A443" s="444" t="s">
        <v>98</v>
      </c>
      <c r="B443" s="445" t="s">
        <v>7092</v>
      </c>
      <c r="C443" s="458" t="s">
        <v>6743</v>
      </c>
      <c r="D443" s="449">
        <v>4425136.0</v>
      </c>
      <c r="E443" s="449" t="s">
        <v>120</v>
      </c>
      <c r="F443" s="449" t="s">
        <v>199</v>
      </c>
      <c r="G443" s="449" t="s">
        <v>2339</v>
      </c>
      <c r="H443" s="449" t="str">
        <f>IFERROR(VLOOKUP(G443,'Cadastro de assessores'!A:B,2,FALSE),"Não Cadastrado")</f>
        <v>17679</v>
      </c>
      <c r="I443" s="449"/>
      <c r="J443" s="49" t="s">
        <v>224</v>
      </c>
      <c r="K443" s="449" t="s">
        <v>2340</v>
      </c>
      <c r="L443" s="460">
        <v>44096.0</v>
      </c>
      <c r="M443" s="460">
        <v>44096.0</v>
      </c>
      <c r="N443" s="460">
        <v>44448.0</v>
      </c>
      <c r="O443" s="449" t="s">
        <v>2341</v>
      </c>
      <c r="P443" s="452">
        <v>0.015</v>
      </c>
      <c r="Q443" s="461" t="s">
        <v>7093</v>
      </c>
      <c r="R443" s="453"/>
      <c r="S443" s="449" t="str">
        <f t="shared" si="47"/>
        <v/>
      </c>
      <c r="T443" s="449" t="s">
        <v>194</v>
      </c>
      <c r="U443" s="449" t="s">
        <v>2401</v>
      </c>
      <c r="V443" s="449" t="s">
        <v>199</v>
      </c>
      <c r="W443" s="455" t="s">
        <v>2344</v>
      </c>
      <c r="X443" s="455" t="s">
        <v>2344</v>
      </c>
      <c r="Y443" s="455" t="s">
        <v>2344</v>
      </c>
      <c r="Z443" s="455" t="s">
        <v>2344</v>
      </c>
      <c r="AA443" s="455" t="s">
        <v>2344</v>
      </c>
      <c r="AB443" s="455" t="s">
        <v>2344</v>
      </c>
      <c r="AC443" s="455" t="s">
        <v>2344</v>
      </c>
      <c r="AD443" s="455" t="s">
        <v>2344</v>
      </c>
      <c r="AE443" s="455" t="s">
        <v>2344</v>
      </c>
      <c r="AF443" s="455" t="s">
        <v>2344</v>
      </c>
      <c r="AG443" s="455" t="s">
        <v>2344</v>
      </c>
      <c r="AH443" s="455" t="s">
        <v>7098</v>
      </c>
      <c r="AI443" s="455" t="s">
        <v>7099</v>
      </c>
      <c r="AJ443" s="455" t="s">
        <v>7100</v>
      </c>
      <c r="AK443" s="456">
        <v>116448.42</v>
      </c>
      <c r="AL443" s="456">
        <v>114005.63</v>
      </c>
      <c r="AM443" s="456">
        <v>110864.65</v>
      </c>
      <c r="AN443" s="456">
        <v>110873.34</v>
      </c>
      <c r="AO443" s="456">
        <v>113167.14</v>
      </c>
      <c r="AP443" s="456">
        <v>113921.69</v>
      </c>
      <c r="AQ443" s="456">
        <v>113422.14</v>
      </c>
      <c r="AR443" s="456">
        <v>116303.22</v>
      </c>
      <c r="AS443" s="456">
        <v>115312.93</v>
      </c>
      <c r="AT443" s="456">
        <v>112813.67</v>
      </c>
      <c r="AU443" s="456">
        <v>112027.0</v>
      </c>
      <c r="AV443" s="456"/>
      <c r="AW443" s="456"/>
      <c r="AX443" s="456"/>
      <c r="AY443" s="456"/>
      <c r="AZ443" s="456"/>
      <c r="BA443" s="456">
        <v>0.0</v>
      </c>
      <c r="BB443" s="456">
        <v>0.0</v>
      </c>
      <c r="BC443" s="456"/>
      <c r="BD443" s="456" t="s">
        <v>377</v>
      </c>
      <c r="BE443" s="456" t="s">
        <v>377</v>
      </c>
      <c r="BF443" s="456">
        <v>0.0</v>
      </c>
      <c r="BG443" s="456">
        <v>0.0</v>
      </c>
      <c r="BH443" s="456">
        <v>0.0</v>
      </c>
      <c r="BI443" s="456">
        <v>0.0</v>
      </c>
      <c r="BJ443" s="456">
        <v>0.0</v>
      </c>
      <c r="BK443" s="456">
        <v>0.0</v>
      </c>
      <c r="BL443" s="456">
        <v>0.0</v>
      </c>
      <c r="BM443" s="456">
        <v>0.0</v>
      </c>
      <c r="BN443" s="456">
        <v>0.0</v>
      </c>
      <c r="BO443" s="456">
        <v>0.0</v>
      </c>
      <c r="BP443" s="456">
        <v>0.0</v>
      </c>
      <c r="BQ443" s="456">
        <v>0.0</v>
      </c>
      <c r="BR443" s="456">
        <v>0.0</v>
      </c>
      <c r="BS443" s="90" t="s">
        <v>268</v>
      </c>
      <c r="BT443" s="90"/>
    </row>
    <row r="444" ht="15.75" customHeight="1">
      <c r="A444" s="444" t="s">
        <v>98</v>
      </c>
      <c r="B444" s="445" t="s">
        <v>7106</v>
      </c>
      <c r="C444" s="458" t="s">
        <v>5963</v>
      </c>
      <c r="D444" s="449">
        <v>4655754.0</v>
      </c>
      <c r="E444" s="447" t="s">
        <v>255</v>
      </c>
      <c r="F444" s="447" t="s">
        <v>199</v>
      </c>
      <c r="G444" s="447" t="s">
        <v>4761</v>
      </c>
      <c r="H444" s="447" t="str">
        <f>IFERROR(VLOOKUP(G444,'Cadastro de assessores'!A:B,2,FALSE),"Não Cadastrado")</f>
        <v>14244</v>
      </c>
      <c r="I444" s="447"/>
      <c r="J444" s="49" t="s">
        <v>2318</v>
      </c>
      <c r="K444" s="447" t="s">
        <v>183</v>
      </c>
      <c r="L444" s="451">
        <v>44173.0</v>
      </c>
      <c r="M444" s="451">
        <v>44180.0</v>
      </c>
      <c r="N444" s="449"/>
      <c r="O444" s="449" t="s">
        <v>2341</v>
      </c>
      <c r="P444" s="452">
        <v>0.015</v>
      </c>
      <c r="Q444" s="461"/>
      <c r="R444" s="453"/>
      <c r="S444" s="449" t="str">
        <f t="shared" si="47"/>
        <v/>
      </c>
      <c r="T444" s="449" t="s">
        <v>194</v>
      </c>
      <c r="U444" s="449" t="s">
        <v>3350</v>
      </c>
      <c r="V444" s="449" t="s">
        <v>199</v>
      </c>
      <c r="W444" s="455" t="s">
        <v>2344</v>
      </c>
      <c r="X444" s="455" t="s">
        <v>2344</v>
      </c>
      <c r="Y444" s="455" t="s">
        <v>2344</v>
      </c>
      <c r="Z444" s="455" t="s">
        <v>2344</v>
      </c>
      <c r="AA444" s="455" t="s">
        <v>2344</v>
      </c>
      <c r="AB444" s="455" t="s">
        <v>2344</v>
      </c>
      <c r="AC444" s="455" t="s">
        <v>2344</v>
      </c>
      <c r="AD444" s="455" t="s">
        <v>2344</v>
      </c>
      <c r="AE444" s="455" t="s">
        <v>2344</v>
      </c>
      <c r="AF444" s="455" t="s">
        <v>2344</v>
      </c>
      <c r="AG444" s="455" t="s">
        <v>2344</v>
      </c>
      <c r="AH444" s="455" t="s">
        <v>2344</v>
      </c>
      <c r="AI444" s="455" t="s">
        <v>2344</v>
      </c>
      <c r="AJ444" s="455" t="s">
        <v>2344</v>
      </c>
      <c r="AK444" s="456">
        <v>293621.33</v>
      </c>
      <c r="AL444" s="456">
        <v>289262.8</v>
      </c>
      <c r="AM444" s="456">
        <v>282238.95</v>
      </c>
      <c r="AN444" s="456">
        <v>282408.97</v>
      </c>
      <c r="AO444" s="456">
        <v>289242.76</v>
      </c>
      <c r="AP444" s="456">
        <v>285986.24</v>
      </c>
      <c r="AQ444" s="456">
        <v>273810.39</v>
      </c>
      <c r="AR444" s="456">
        <v>280671.12</v>
      </c>
      <c r="AS444" s="456">
        <v>261361.17</v>
      </c>
      <c r="AT444" s="456">
        <v>225654.66</v>
      </c>
      <c r="AU444" s="456">
        <v>195877.82</v>
      </c>
      <c r="AV444" s="456">
        <v>173675.51</v>
      </c>
      <c r="AW444" s="456">
        <v>154705.63</v>
      </c>
      <c r="AX444" s="456">
        <v>134581.1</v>
      </c>
      <c r="AY444" s="456">
        <v>129709.93</v>
      </c>
      <c r="AZ444" s="456">
        <v>119877.92</v>
      </c>
      <c r="BA444" s="456">
        <v>99631.17</v>
      </c>
      <c r="BB444" s="456">
        <v>103551.12</v>
      </c>
      <c r="BC444" s="456"/>
      <c r="BD444" s="456">
        <v>94181.04</v>
      </c>
      <c r="BE444" s="456">
        <v>93591.31</v>
      </c>
      <c r="BF444" s="456">
        <v>95292.79</v>
      </c>
      <c r="BG444" s="456">
        <v>95601.65308</v>
      </c>
      <c r="BH444" s="456">
        <v>95839.71</v>
      </c>
      <c r="BI444" s="456">
        <v>99380.01</v>
      </c>
      <c r="BJ444" s="456">
        <v>98805.98</v>
      </c>
      <c r="BK444" s="456">
        <v>99474.59</v>
      </c>
      <c r="BL444" s="456">
        <v>943.21</v>
      </c>
      <c r="BM444" s="456">
        <v>831.1</v>
      </c>
      <c r="BN444" s="456">
        <v>831.1</v>
      </c>
      <c r="BO444" s="456">
        <v>831.1</v>
      </c>
      <c r="BP444" s="456">
        <v>831.1</v>
      </c>
      <c r="BQ444" s="456">
        <v>831.1</v>
      </c>
      <c r="BR444" s="456">
        <v>0.0</v>
      </c>
      <c r="BS444" s="90">
        <v>0.0</v>
      </c>
      <c r="BT444" s="90"/>
    </row>
    <row r="445" ht="15.75" customHeight="1">
      <c r="A445" s="444" t="s">
        <v>98</v>
      </c>
      <c r="B445" s="445" t="s">
        <v>7120</v>
      </c>
      <c r="C445" s="458" t="s">
        <v>7121</v>
      </c>
      <c r="D445" s="449">
        <v>7782720.0</v>
      </c>
      <c r="E445" s="447" t="s">
        <v>255</v>
      </c>
      <c r="F445" s="447" t="s">
        <v>199</v>
      </c>
      <c r="G445" s="447" t="s">
        <v>4660</v>
      </c>
      <c r="H445" s="447">
        <f>IFERROR(VLOOKUP(G445,'Cadastro de assessores'!A:B,2,FALSE),"Não Cadastrado")</f>
        <v>12330</v>
      </c>
      <c r="I445" s="447"/>
      <c r="J445" s="49" t="s">
        <v>2318</v>
      </c>
      <c r="K445" s="447" t="s">
        <v>183</v>
      </c>
      <c r="L445" s="470">
        <v>44588.0</v>
      </c>
      <c r="M445" s="470">
        <v>44595.0</v>
      </c>
      <c r="N445" s="449"/>
      <c r="O445" s="449" t="s">
        <v>2356</v>
      </c>
      <c r="P445" s="452">
        <v>0.007</v>
      </c>
      <c r="Q445" s="461"/>
      <c r="R445" s="453"/>
      <c r="S445" s="449" t="str">
        <f t="shared" si="47"/>
        <v>Não Qualificado</v>
      </c>
      <c r="T445" s="449" t="s">
        <v>194</v>
      </c>
      <c r="U445" s="449" t="s">
        <v>3281</v>
      </c>
      <c r="V445" s="449" t="s">
        <v>199</v>
      </c>
      <c r="W445" s="455"/>
      <c r="X445" s="455"/>
      <c r="Y445" s="455"/>
      <c r="Z445" s="455"/>
      <c r="AA445" s="455"/>
      <c r="AB445" s="455"/>
      <c r="AC445" s="455"/>
      <c r="AD445" s="455"/>
      <c r="AE445" s="455"/>
      <c r="AF445" s="455"/>
      <c r="AG445" s="455"/>
      <c r="AH445" s="455"/>
      <c r="AI445" s="455"/>
      <c r="AJ445" s="455"/>
      <c r="AK445" s="456"/>
      <c r="AL445" s="456"/>
      <c r="AM445" s="456"/>
      <c r="AN445" s="456"/>
      <c r="AO445" s="456"/>
      <c r="AP445" s="456"/>
      <c r="AQ445" s="456"/>
      <c r="AR445" s="456"/>
      <c r="AS445" s="456"/>
      <c r="AT445" s="456"/>
      <c r="AU445" s="456"/>
      <c r="AV445" s="456"/>
      <c r="AW445" s="456"/>
      <c r="AX445" s="456"/>
      <c r="AY445" s="456"/>
      <c r="AZ445" s="456"/>
      <c r="BA445" s="456">
        <v>100697.8</v>
      </c>
      <c r="BB445" s="456">
        <v>101876.02</v>
      </c>
      <c r="BC445" s="456">
        <v>126550.51</v>
      </c>
      <c r="BD445" s="456">
        <v>104166.72</v>
      </c>
      <c r="BE445" s="456">
        <v>105095.06</v>
      </c>
      <c r="BF445" s="456">
        <v>105890.06</v>
      </c>
      <c r="BG445" s="456">
        <v>106312.713</v>
      </c>
      <c r="BH445" s="456">
        <v>106835.73</v>
      </c>
      <c r="BI445" s="456">
        <v>107515.93</v>
      </c>
      <c r="BJ445" s="456">
        <v>108440.44</v>
      </c>
      <c r="BK445" s="456">
        <v>109280.88</v>
      </c>
      <c r="BL445" s="456">
        <v>110426.5</v>
      </c>
      <c r="BM445" s="456">
        <v>0.0</v>
      </c>
      <c r="BN445" s="456">
        <v>-21.91</v>
      </c>
      <c r="BO445" s="456">
        <v>-21.91</v>
      </c>
      <c r="BP445" s="456">
        <v>-21.91</v>
      </c>
      <c r="BQ445" s="456">
        <v>-21.91</v>
      </c>
      <c r="BR445" s="456">
        <v>-21.91</v>
      </c>
      <c r="BS445" s="90">
        <v>-21.91</v>
      </c>
      <c r="BT445" s="90"/>
    </row>
    <row r="446" ht="15.75" customHeight="1">
      <c r="A446" s="444" t="s">
        <v>98</v>
      </c>
      <c r="B446" s="445" t="s">
        <v>7127</v>
      </c>
      <c r="C446" s="532" t="s">
        <v>7128</v>
      </c>
      <c r="D446" s="449">
        <v>475798.0</v>
      </c>
      <c r="E446" s="449" t="s">
        <v>120</v>
      </c>
      <c r="F446" s="449" t="s">
        <v>54</v>
      </c>
      <c r="G446" s="449" t="s">
        <v>348</v>
      </c>
      <c r="H446" s="446">
        <v>12331.0</v>
      </c>
      <c r="I446" s="446"/>
      <c r="J446" s="49" t="s">
        <v>2318</v>
      </c>
      <c r="K446" s="449" t="s">
        <v>183</v>
      </c>
      <c r="L446" s="470">
        <v>44715.0</v>
      </c>
      <c r="M446" s="470">
        <v>44715.0</v>
      </c>
      <c r="N446" s="460"/>
      <c r="O446" s="449" t="s">
        <v>2365</v>
      </c>
      <c r="P446" s="452">
        <v>0.012</v>
      </c>
      <c r="Q446" s="461" t="s">
        <v>3925</v>
      </c>
      <c r="R446" s="453"/>
      <c r="S446" s="449"/>
      <c r="T446" s="449" t="s">
        <v>194</v>
      </c>
      <c r="U446" s="449" t="s">
        <v>2438</v>
      </c>
      <c r="V446" s="449" t="s">
        <v>54</v>
      </c>
      <c r="W446" s="455"/>
      <c r="X446" s="455"/>
      <c r="Y446" s="455"/>
      <c r="Z446" s="455"/>
      <c r="AA446" s="455"/>
      <c r="AB446" s="455"/>
      <c r="AC446" s="455"/>
      <c r="AD446" s="455"/>
      <c r="AE446" s="455"/>
      <c r="AF446" s="455"/>
      <c r="AG446" s="455"/>
      <c r="AH446" s="455"/>
      <c r="AI446" s="455"/>
      <c r="AJ446" s="455"/>
      <c r="AK446" s="456"/>
      <c r="AL446" s="456"/>
      <c r="AM446" s="456"/>
      <c r="AN446" s="456"/>
      <c r="AO446" s="456"/>
      <c r="AP446" s="456"/>
      <c r="AQ446" s="456"/>
      <c r="AR446" s="456"/>
      <c r="AS446" s="456"/>
      <c r="AT446" s="456"/>
      <c r="AU446" s="456"/>
      <c r="AV446" s="456"/>
      <c r="AW446" s="456"/>
      <c r="AX446" s="456"/>
      <c r="AY446" s="456"/>
      <c r="AZ446" s="456"/>
      <c r="BA446" s="456"/>
      <c r="BB446" s="456"/>
      <c r="BC446" s="456"/>
      <c r="BD446" s="456" t="s">
        <v>377</v>
      </c>
      <c r="BE446" s="456">
        <v>789633.81</v>
      </c>
      <c r="BF446" s="456">
        <v>766890.05</v>
      </c>
      <c r="BG446" s="456">
        <v>779279.0573</v>
      </c>
      <c r="BH446" s="456">
        <v>779969.45</v>
      </c>
      <c r="BI446" s="456">
        <v>787891.46</v>
      </c>
      <c r="BJ446" s="456">
        <v>796251.98</v>
      </c>
      <c r="BK446" s="456">
        <v>851704.45</v>
      </c>
      <c r="BL446" s="456">
        <v>220013.09</v>
      </c>
      <c r="BM446" s="456">
        <v>26478.63</v>
      </c>
      <c r="BN446" s="456">
        <v>26818.01</v>
      </c>
      <c r="BO446" s="456">
        <v>27030.62</v>
      </c>
      <c r="BP446" s="456">
        <v>0.0</v>
      </c>
      <c r="BQ446" s="456">
        <v>0.0</v>
      </c>
      <c r="BR446" s="456">
        <v>0.0</v>
      </c>
      <c r="BS446" s="90" t="s">
        <v>268</v>
      </c>
      <c r="BT446" s="90"/>
    </row>
    <row r="447" ht="15.75" customHeight="1">
      <c r="A447" s="444" t="s">
        <v>98</v>
      </c>
      <c r="B447" s="445" t="s">
        <v>7142</v>
      </c>
      <c r="C447" s="458" t="s">
        <v>6735</v>
      </c>
      <c r="D447" s="449">
        <v>4493392.0</v>
      </c>
      <c r="E447" s="449" t="s">
        <v>120</v>
      </c>
      <c r="F447" s="449" t="s">
        <v>199</v>
      </c>
      <c r="G447" s="449" t="s">
        <v>2339</v>
      </c>
      <c r="H447" s="449" t="str">
        <f>IFERROR(VLOOKUP(G447,'Cadastro de assessores'!A:B,2,FALSE),"Não Cadastrado")</f>
        <v>17679</v>
      </c>
      <c r="I447" s="449"/>
      <c r="J447" s="49" t="s">
        <v>224</v>
      </c>
      <c r="K447" s="449" t="s">
        <v>2340</v>
      </c>
      <c r="L447" s="459">
        <v>44147.0</v>
      </c>
      <c r="M447" s="459">
        <v>44147.0</v>
      </c>
      <c r="N447" s="460">
        <v>44445.0</v>
      </c>
      <c r="O447" s="449" t="s">
        <v>2365</v>
      </c>
      <c r="P447" s="452">
        <v>0.012</v>
      </c>
      <c r="Q447" s="461" t="s">
        <v>7146</v>
      </c>
      <c r="R447" s="453"/>
      <c r="S447" s="449" t="str">
        <f t="shared" ref="S447:S454" si="48">IF(BC447&lt;=0,"",IF(BC447&lt;=1000000,"Não Qualificado",IF(AND(BC447&gt;1000000,BC447&lt;=10000000),"Qualificado","Profissional")))</f>
        <v>Não Qualificado</v>
      </c>
      <c r="T447" s="449" t="s">
        <v>194</v>
      </c>
      <c r="U447" s="449" t="s">
        <v>4515</v>
      </c>
      <c r="V447" s="449" t="s">
        <v>311</v>
      </c>
      <c r="W447" s="455" t="s">
        <v>2344</v>
      </c>
      <c r="X447" s="455" t="s">
        <v>2344</v>
      </c>
      <c r="Y447" s="455" t="s">
        <v>2344</v>
      </c>
      <c r="Z447" s="455" t="s">
        <v>2344</v>
      </c>
      <c r="AA447" s="455" t="s">
        <v>2344</v>
      </c>
      <c r="AB447" s="455" t="s">
        <v>2344</v>
      </c>
      <c r="AC447" s="455" t="s">
        <v>2344</v>
      </c>
      <c r="AD447" s="455" t="s">
        <v>2344</v>
      </c>
      <c r="AE447" s="455" t="s">
        <v>2344</v>
      </c>
      <c r="AF447" s="455" t="s">
        <v>2344</v>
      </c>
      <c r="AG447" s="455" t="s">
        <v>2344</v>
      </c>
      <c r="AH447" s="455" t="s">
        <v>2344</v>
      </c>
      <c r="AI447" s="455" t="s">
        <v>2344</v>
      </c>
      <c r="AJ447" s="455" t="s">
        <v>7152</v>
      </c>
      <c r="AK447" s="456">
        <v>199070.43</v>
      </c>
      <c r="AL447" s="456">
        <v>257304.22</v>
      </c>
      <c r="AM447" s="456">
        <v>314260.32</v>
      </c>
      <c r="AN447" s="456">
        <v>314578.5</v>
      </c>
      <c r="AO447" s="456">
        <v>318918.41</v>
      </c>
      <c r="AP447" s="456">
        <v>420295.45</v>
      </c>
      <c r="AQ447" s="456">
        <v>419261.52</v>
      </c>
      <c r="AR447" s="456">
        <v>465937.22</v>
      </c>
      <c r="AS447" s="456">
        <v>524682.3</v>
      </c>
      <c r="AT447" s="456">
        <v>539973.39</v>
      </c>
      <c r="AU447" s="456">
        <v>605680.83</v>
      </c>
      <c r="AV447" s="456"/>
      <c r="AW447" s="456"/>
      <c r="AX447" s="456"/>
      <c r="AY447" s="456"/>
      <c r="AZ447" s="456"/>
      <c r="BA447" s="456">
        <v>0.0</v>
      </c>
      <c r="BB447" s="456">
        <v>0.0</v>
      </c>
      <c r="BC447" s="456">
        <v>159.76</v>
      </c>
      <c r="BD447" s="456" t="s">
        <v>377</v>
      </c>
      <c r="BE447" s="456" t="s">
        <v>377</v>
      </c>
      <c r="BF447" s="456">
        <v>0.0</v>
      </c>
      <c r="BG447" s="456">
        <v>0.0</v>
      </c>
      <c r="BH447" s="456">
        <v>0.0</v>
      </c>
      <c r="BI447" s="456">
        <v>0.0</v>
      </c>
      <c r="BJ447" s="456">
        <v>0.0</v>
      </c>
      <c r="BK447" s="456">
        <v>0.0</v>
      </c>
      <c r="BL447" s="456">
        <v>0.0</v>
      </c>
      <c r="BM447" s="456">
        <v>0.0</v>
      </c>
      <c r="BN447" s="456">
        <v>0.0</v>
      </c>
      <c r="BO447" s="456">
        <v>0.0</v>
      </c>
      <c r="BP447" s="456">
        <v>0.0</v>
      </c>
      <c r="BQ447" s="456">
        <v>0.0</v>
      </c>
      <c r="BR447" s="456">
        <v>0.0</v>
      </c>
      <c r="BS447" s="90" t="s">
        <v>268</v>
      </c>
      <c r="BT447" s="90"/>
    </row>
    <row r="448" ht="15.75" customHeight="1">
      <c r="A448" s="444" t="s">
        <v>98</v>
      </c>
      <c r="B448" s="445" t="s">
        <v>7155</v>
      </c>
      <c r="C448" s="458" t="s">
        <v>7156</v>
      </c>
      <c r="D448" s="449">
        <v>4757223.0</v>
      </c>
      <c r="E448" s="447" t="s">
        <v>120</v>
      </c>
      <c r="F448" s="448" t="s">
        <v>54</v>
      </c>
      <c r="G448" s="447" t="s">
        <v>379</v>
      </c>
      <c r="H448" s="447" t="str">
        <f>IFERROR(VLOOKUP(G448,'Cadastro de assessores'!A:B,2,FALSE),"Não Cadastrado")</f>
        <v>18009</v>
      </c>
      <c r="I448" s="447"/>
      <c r="J448" s="49" t="s">
        <v>2318</v>
      </c>
      <c r="K448" s="447" t="s">
        <v>183</v>
      </c>
      <c r="L448" s="450">
        <v>44210.0</v>
      </c>
      <c r="M448" s="450">
        <v>44210.0</v>
      </c>
      <c r="N448" s="449"/>
      <c r="O448" s="449" t="s">
        <v>2341</v>
      </c>
      <c r="P448" s="452">
        <v>0.015</v>
      </c>
      <c r="Q448" s="461"/>
      <c r="R448" s="453"/>
      <c r="S448" s="449" t="str">
        <f t="shared" si="48"/>
        <v/>
      </c>
      <c r="T448" s="449" t="s">
        <v>194</v>
      </c>
      <c r="U448" s="449" t="s">
        <v>3820</v>
      </c>
      <c r="V448" s="449" t="s">
        <v>397</v>
      </c>
      <c r="W448" s="455"/>
      <c r="X448" s="455"/>
      <c r="Y448" s="455"/>
      <c r="Z448" s="455"/>
      <c r="AA448" s="455"/>
      <c r="AB448" s="455"/>
      <c r="AC448" s="455"/>
      <c r="AD448" s="455"/>
      <c r="AE448" s="455"/>
      <c r="AF448" s="455"/>
      <c r="AG448" s="455"/>
      <c r="AH448" s="455"/>
      <c r="AI448" s="455"/>
      <c r="AJ448" s="455"/>
      <c r="AK448" s="456"/>
      <c r="AL448" s="456">
        <v>48755.63</v>
      </c>
      <c r="AM448" s="456">
        <v>47323.65</v>
      </c>
      <c r="AN448" s="456">
        <v>47558.49</v>
      </c>
      <c r="AO448" s="456">
        <v>48849.44</v>
      </c>
      <c r="AP448" s="456">
        <v>49134.61</v>
      </c>
      <c r="AQ448" s="456">
        <v>48927.71</v>
      </c>
      <c r="AR448" s="456">
        <v>50071.6</v>
      </c>
      <c r="AS448" s="456">
        <v>49729.17</v>
      </c>
      <c r="AT448" s="456">
        <v>48769.14</v>
      </c>
      <c r="AU448" s="456">
        <v>48499.44</v>
      </c>
      <c r="AV448" s="456">
        <v>47658.1</v>
      </c>
      <c r="AW448" s="456">
        <v>46017.56</v>
      </c>
      <c r="AX448" s="456">
        <v>46010.28</v>
      </c>
      <c r="AY448" s="456">
        <v>46554.11</v>
      </c>
      <c r="AZ448" s="456">
        <v>47950.79</v>
      </c>
      <c r="BA448" s="456">
        <v>48340.53</v>
      </c>
      <c r="BB448" s="456">
        <v>50064.64</v>
      </c>
      <c r="BC448" s="456"/>
      <c r="BD448" s="456">
        <v>49618.98</v>
      </c>
      <c r="BE448" s="456">
        <v>49406.27</v>
      </c>
      <c r="BF448" s="456">
        <v>50551.6</v>
      </c>
      <c r="BG448" s="456">
        <v>51056.36321</v>
      </c>
      <c r="BH448" s="456">
        <v>51066.43</v>
      </c>
      <c r="BI448" s="456">
        <v>63152.38</v>
      </c>
      <c r="BJ448" s="456">
        <v>62985.31</v>
      </c>
      <c r="BK448" s="456">
        <v>63455.16</v>
      </c>
      <c r="BL448" s="456">
        <v>64092.78</v>
      </c>
      <c r="BM448" s="456">
        <v>40610.22</v>
      </c>
      <c r="BN448" s="456">
        <v>0.0</v>
      </c>
      <c r="BO448" s="456">
        <v>0.0</v>
      </c>
      <c r="BP448" s="456">
        <v>0.0</v>
      </c>
      <c r="BQ448" s="456">
        <v>0.0</v>
      </c>
      <c r="BR448" s="456">
        <v>0.0</v>
      </c>
      <c r="BS448" s="90" t="s">
        <v>268</v>
      </c>
      <c r="BT448" s="90"/>
    </row>
    <row r="449" ht="15.75" customHeight="1">
      <c r="A449" s="444" t="s">
        <v>98</v>
      </c>
      <c r="B449" s="445" t="s">
        <v>7164</v>
      </c>
      <c r="C449" s="458" t="s">
        <v>6804</v>
      </c>
      <c r="D449" s="449">
        <v>4491063.0</v>
      </c>
      <c r="E449" s="449" t="s">
        <v>120</v>
      </c>
      <c r="F449" s="449" t="s">
        <v>199</v>
      </c>
      <c r="G449" s="449" t="s">
        <v>2339</v>
      </c>
      <c r="H449" s="449" t="str">
        <f>IFERROR(VLOOKUP(G449,'Cadastro de assessores'!A:B,2,FALSE),"Não Cadastrado")</f>
        <v>17679</v>
      </c>
      <c r="I449" s="449"/>
      <c r="J449" s="49" t="s">
        <v>224</v>
      </c>
      <c r="K449" s="449" t="s">
        <v>2340</v>
      </c>
      <c r="L449" s="459">
        <v>44120.0</v>
      </c>
      <c r="M449" s="459">
        <v>44120.0</v>
      </c>
      <c r="N449" s="460">
        <v>44452.0</v>
      </c>
      <c r="O449" s="449" t="s">
        <v>2341</v>
      </c>
      <c r="P449" s="452">
        <v>0.015</v>
      </c>
      <c r="Q449" s="461" t="s">
        <v>7166</v>
      </c>
      <c r="R449" s="453"/>
      <c r="S449" s="449" t="str">
        <f t="shared" si="48"/>
        <v>Não Qualificado</v>
      </c>
      <c r="T449" s="449" t="s">
        <v>194</v>
      </c>
      <c r="U449" s="449" t="s">
        <v>3350</v>
      </c>
      <c r="V449" s="449" t="s">
        <v>199</v>
      </c>
      <c r="W449" s="455" t="s">
        <v>2344</v>
      </c>
      <c r="X449" s="455" t="s">
        <v>2344</v>
      </c>
      <c r="Y449" s="455" t="s">
        <v>2344</v>
      </c>
      <c r="Z449" s="455" t="s">
        <v>2344</v>
      </c>
      <c r="AA449" s="455" t="s">
        <v>2344</v>
      </c>
      <c r="AB449" s="455" t="s">
        <v>2344</v>
      </c>
      <c r="AC449" s="455" t="s">
        <v>2344</v>
      </c>
      <c r="AD449" s="455" t="s">
        <v>2344</v>
      </c>
      <c r="AE449" s="455" t="s">
        <v>2344</v>
      </c>
      <c r="AF449" s="455" t="s">
        <v>2344</v>
      </c>
      <c r="AG449" s="455" t="s">
        <v>2344</v>
      </c>
      <c r="AH449" s="455" t="s">
        <v>2344</v>
      </c>
      <c r="AI449" s="455" t="s">
        <v>7167</v>
      </c>
      <c r="AJ449" s="455" t="s">
        <v>7168</v>
      </c>
      <c r="AK449" s="456">
        <v>121972.54</v>
      </c>
      <c r="AL449" s="456">
        <v>119090.45</v>
      </c>
      <c r="AM449" s="456">
        <v>115342.26</v>
      </c>
      <c r="AN449" s="456">
        <v>115338.67</v>
      </c>
      <c r="AO449" s="456">
        <v>118445.78</v>
      </c>
      <c r="AP449" s="456">
        <v>119144.48</v>
      </c>
      <c r="AQ449" s="456">
        <v>118660.97</v>
      </c>
      <c r="AR449" s="456">
        <v>121488.08</v>
      </c>
      <c r="AS449" s="456">
        <v>120563.64</v>
      </c>
      <c r="AT449" s="456">
        <v>118396.34</v>
      </c>
      <c r="AU449" s="456">
        <v>117576.07</v>
      </c>
      <c r="AV449" s="456"/>
      <c r="AW449" s="456"/>
      <c r="AX449" s="456"/>
      <c r="AY449" s="456"/>
      <c r="AZ449" s="456"/>
      <c r="BA449" s="456">
        <v>0.0</v>
      </c>
      <c r="BB449" s="456">
        <v>0.0</v>
      </c>
      <c r="BC449" s="456">
        <v>26288.44</v>
      </c>
      <c r="BD449" s="456" t="s">
        <v>377</v>
      </c>
      <c r="BE449" s="456" t="s">
        <v>377</v>
      </c>
      <c r="BF449" s="456">
        <v>0.0</v>
      </c>
      <c r="BG449" s="456">
        <v>0.0</v>
      </c>
      <c r="BH449" s="456">
        <v>0.0</v>
      </c>
      <c r="BI449" s="456">
        <v>0.0</v>
      </c>
      <c r="BJ449" s="456">
        <v>0.0</v>
      </c>
      <c r="BK449" s="456">
        <v>0.0</v>
      </c>
      <c r="BL449" s="456">
        <v>0.0</v>
      </c>
      <c r="BM449" s="456">
        <v>0.0</v>
      </c>
      <c r="BN449" s="456">
        <v>0.0</v>
      </c>
      <c r="BO449" s="456">
        <v>0.0</v>
      </c>
      <c r="BP449" s="456">
        <v>0.0</v>
      </c>
      <c r="BQ449" s="456">
        <v>0.0</v>
      </c>
      <c r="BR449" s="456">
        <v>0.0</v>
      </c>
      <c r="BS449" s="90" t="s">
        <v>268</v>
      </c>
      <c r="BT449" s="90"/>
    </row>
    <row r="450" ht="15.75" customHeight="1">
      <c r="A450" s="444" t="s">
        <v>98</v>
      </c>
      <c r="B450" s="445" t="s">
        <v>7171</v>
      </c>
      <c r="C450" s="468" t="s">
        <v>7172</v>
      </c>
      <c r="D450" s="446">
        <v>4740849.0</v>
      </c>
      <c r="E450" s="449" t="s">
        <v>255</v>
      </c>
      <c r="F450" s="449" t="s">
        <v>199</v>
      </c>
      <c r="G450" s="449" t="s">
        <v>4044</v>
      </c>
      <c r="H450" s="449" t="str">
        <f>IFERROR(VLOOKUP(G450,'Cadastro de assessores'!A:B,2,FALSE),"Não Cadastrado")</f>
        <v>17489</v>
      </c>
      <c r="I450" s="449"/>
      <c r="J450" s="49" t="s">
        <v>224</v>
      </c>
      <c r="K450" s="449" t="s">
        <v>2340</v>
      </c>
      <c r="L450" s="460">
        <v>44320.0</v>
      </c>
      <c r="M450" s="460">
        <v>44320.0</v>
      </c>
      <c r="N450" s="460">
        <v>44684.0</v>
      </c>
      <c r="O450" s="449" t="s">
        <v>2319</v>
      </c>
      <c r="P450" s="452">
        <v>0.02</v>
      </c>
      <c r="Q450" s="330" t="s">
        <v>7174</v>
      </c>
      <c r="R450" s="453"/>
      <c r="S450" s="449" t="str">
        <f t="shared" si="48"/>
        <v/>
      </c>
      <c r="T450" s="449" t="s">
        <v>194</v>
      </c>
      <c r="U450" s="446" t="s">
        <v>2383</v>
      </c>
      <c r="V450" s="446" t="s">
        <v>199</v>
      </c>
      <c r="W450" s="454"/>
      <c r="X450" s="454"/>
      <c r="Y450" s="454"/>
      <c r="Z450" s="454"/>
      <c r="AA450" s="454"/>
      <c r="AB450" s="454"/>
      <c r="AC450" s="454"/>
      <c r="AD450" s="454"/>
      <c r="AE450" s="454"/>
      <c r="AF450" s="454"/>
      <c r="AG450" s="454"/>
      <c r="AH450" s="454"/>
      <c r="AI450" s="454"/>
      <c r="AJ450" s="454"/>
      <c r="AK450" s="454"/>
      <c r="AL450" s="456"/>
      <c r="AM450" s="456"/>
      <c r="AN450" s="456"/>
      <c r="AO450" s="456"/>
      <c r="AP450" s="456"/>
      <c r="AQ450" s="456"/>
      <c r="AR450" s="456">
        <v>212137.89</v>
      </c>
      <c r="AS450" s="456">
        <v>207292.2</v>
      </c>
      <c r="AT450" s="456">
        <v>196230.02</v>
      </c>
      <c r="AU450" s="456">
        <v>192094.3</v>
      </c>
      <c r="AV450" s="456">
        <v>181731.71</v>
      </c>
      <c r="AW450" s="456">
        <v>167371.93</v>
      </c>
      <c r="AX450" s="456">
        <v>165773.6</v>
      </c>
      <c r="AY450" s="456">
        <v>169095.2</v>
      </c>
      <c r="AZ450" s="456">
        <v>179967.17</v>
      </c>
      <c r="BA450" s="456">
        <v>181999.83</v>
      </c>
      <c r="BB450" s="456">
        <v>190657.24</v>
      </c>
      <c r="BC450" s="456"/>
      <c r="BD450" s="456" t="s">
        <v>377</v>
      </c>
      <c r="BE450" s="456" t="s">
        <v>377</v>
      </c>
      <c r="BF450" s="456">
        <v>0.0</v>
      </c>
      <c r="BG450" s="456">
        <v>0.0</v>
      </c>
      <c r="BH450" s="456">
        <v>0.0</v>
      </c>
      <c r="BI450" s="456">
        <v>0.0</v>
      </c>
      <c r="BJ450" s="456">
        <v>0.0</v>
      </c>
      <c r="BK450" s="456">
        <v>0.0</v>
      </c>
      <c r="BL450" s="456">
        <v>0.0</v>
      </c>
      <c r="BM450" s="456">
        <v>0.0</v>
      </c>
      <c r="BN450" s="456">
        <v>0.0</v>
      </c>
      <c r="BO450" s="456">
        <v>0.0</v>
      </c>
      <c r="BP450" s="456">
        <v>0.0</v>
      </c>
      <c r="BQ450" s="456">
        <v>0.0</v>
      </c>
      <c r="BR450" s="456">
        <v>0.0</v>
      </c>
      <c r="BS450" s="90" t="s">
        <v>268</v>
      </c>
      <c r="BT450" s="90"/>
    </row>
    <row r="451" ht="15.75" customHeight="1">
      <c r="A451" s="444" t="s">
        <v>98</v>
      </c>
      <c r="B451" s="445" t="s">
        <v>7179</v>
      </c>
      <c r="C451" s="458" t="s">
        <v>6621</v>
      </c>
      <c r="D451" s="449">
        <v>4441540.0</v>
      </c>
      <c r="E451" s="449" t="s">
        <v>120</v>
      </c>
      <c r="F451" s="449" t="s">
        <v>199</v>
      </c>
      <c r="G451" s="449" t="s">
        <v>2339</v>
      </c>
      <c r="H451" s="449" t="str">
        <f>IFERROR(VLOOKUP(G451,'Cadastro de assessores'!A:B,2,FALSE),"Não Cadastrado")</f>
        <v>17679</v>
      </c>
      <c r="I451" s="449"/>
      <c r="J451" s="49" t="s">
        <v>224</v>
      </c>
      <c r="K451" s="449" t="s">
        <v>2340</v>
      </c>
      <c r="L451" s="459">
        <v>44133.0</v>
      </c>
      <c r="M451" s="459">
        <v>44133.0</v>
      </c>
      <c r="N451" s="460">
        <v>44438.0</v>
      </c>
      <c r="O451" s="449" t="s">
        <v>2365</v>
      </c>
      <c r="P451" s="452">
        <v>0.012</v>
      </c>
      <c r="Q451" s="461" t="s">
        <v>7181</v>
      </c>
      <c r="R451" s="453"/>
      <c r="S451" s="449" t="str">
        <f t="shared" si="48"/>
        <v>Não Qualificado</v>
      </c>
      <c r="T451" s="449" t="s">
        <v>194</v>
      </c>
      <c r="U451" s="449" t="s">
        <v>2475</v>
      </c>
      <c r="V451" s="449" t="s">
        <v>618</v>
      </c>
      <c r="W451" s="455" t="s">
        <v>2344</v>
      </c>
      <c r="X451" s="455" t="s">
        <v>2344</v>
      </c>
      <c r="Y451" s="455" t="s">
        <v>2344</v>
      </c>
      <c r="Z451" s="455" t="s">
        <v>2344</v>
      </c>
      <c r="AA451" s="455" t="s">
        <v>2344</v>
      </c>
      <c r="AB451" s="455" t="s">
        <v>2344</v>
      </c>
      <c r="AC451" s="455" t="s">
        <v>2344</v>
      </c>
      <c r="AD451" s="455" t="s">
        <v>2344</v>
      </c>
      <c r="AE451" s="455" t="s">
        <v>2344</v>
      </c>
      <c r="AF451" s="455" t="s">
        <v>2344</v>
      </c>
      <c r="AG451" s="455" t="s">
        <v>2344</v>
      </c>
      <c r="AH451" s="455" t="s">
        <v>2344</v>
      </c>
      <c r="AI451" s="455" t="s">
        <v>7182</v>
      </c>
      <c r="AJ451" s="455" t="s">
        <v>7183</v>
      </c>
      <c r="AK451" s="456">
        <v>156342.29</v>
      </c>
      <c r="AL451" s="456">
        <v>154699.32</v>
      </c>
      <c r="AM451" s="456">
        <v>152719.33</v>
      </c>
      <c r="AN451" s="456">
        <v>152891.15</v>
      </c>
      <c r="AO451" s="456">
        <v>154355.21</v>
      </c>
      <c r="AP451" s="456">
        <v>154878.9</v>
      </c>
      <c r="AQ451" s="456">
        <v>154569.93</v>
      </c>
      <c r="AR451" s="456">
        <v>156423.12</v>
      </c>
      <c r="AS451" s="456">
        <v>156036.41</v>
      </c>
      <c r="AT451" s="456">
        <v>153642.09</v>
      </c>
      <c r="AU451" s="456">
        <v>116138.07</v>
      </c>
      <c r="AV451" s="456"/>
      <c r="AW451" s="456"/>
      <c r="AX451" s="456"/>
      <c r="AY451" s="456"/>
      <c r="AZ451" s="456"/>
      <c r="BA451" s="456">
        <v>0.0</v>
      </c>
      <c r="BB451" s="456">
        <v>0.0</v>
      </c>
      <c r="BC451" s="456">
        <v>99795.8</v>
      </c>
      <c r="BD451" s="456" t="s">
        <v>377</v>
      </c>
      <c r="BE451" s="456" t="s">
        <v>377</v>
      </c>
      <c r="BF451" s="456">
        <v>0.0</v>
      </c>
      <c r="BG451" s="456">
        <v>0.0</v>
      </c>
      <c r="BH451" s="456">
        <v>0.0</v>
      </c>
      <c r="BI451" s="456">
        <v>0.0</v>
      </c>
      <c r="BJ451" s="456">
        <v>0.0</v>
      </c>
      <c r="BK451" s="456">
        <v>0.0</v>
      </c>
      <c r="BL451" s="456">
        <v>0.0</v>
      </c>
      <c r="BM451" s="456">
        <v>0.0</v>
      </c>
      <c r="BN451" s="456">
        <v>0.0</v>
      </c>
      <c r="BO451" s="456">
        <v>0.0</v>
      </c>
      <c r="BP451" s="456">
        <v>0.0</v>
      </c>
      <c r="BQ451" s="456">
        <v>0.0</v>
      </c>
      <c r="BR451" s="456">
        <v>0.0</v>
      </c>
      <c r="BS451" s="90" t="s">
        <v>268</v>
      </c>
      <c r="BT451" s="90"/>
    </row>
    <row r="452" ht="15.75" customHeight="1">
      <c r="A452" s="444" t="s">
        <v>98</v>
      </c>
      <c r="B452" s="445" t="s">
        <v>7188</v>
      </c>
      <c r="C452" s="458" t="s">
        <v>5154</v>
      </c>
      <c r="D452" s="449">
        <v>3615656.0</v>
      </c>
      <c r="E452" s="449" t="s">
        <v>669</v>
      </c>
      <c r="F452" s="449" t="s">
        <v>199</v>
      </c>
      <c r="G452" s="449" t="s">
        <v>669</v>
      </c>
      <c r="H452" s="449" t="str">
        <f>IFERROR(VLOOKUP(G452,'Cadastro de assessores'!A:B,2,FALSE),"Não Cadastrado")</f>
        <v>18986</v>
      </c>
      <c r="I452" s="449"/>
      <c r="J452" s="49" t="s">
        <v>224</v>
      </c>
      <c r="K452" s="449" t="s">
        <v>2340</v>
      </c>
      <c r="L452" s="460">
        <v>43859.0</v>
      </c>
      <c r="M452" s="460">
        <v>43859.0</v>
      </c>
      <c r="N452" s="460">
        <v>44305.0</v>
      </c>
      <c r="O452" s="449" t="s">
        <v>2341</v>
      </c>
      <c r="P452" s="452">
        <v>0.015</v>
      </c>
      <c r="Q452" s="461" t="s">
        <v>6991</v>
      </c>
      <c r="R452" s="453"/>
      <c r="S452" s="449" t="str">
        <f t="shared" si="48"/>
        <v>Não Qualificado</v>
      </c>
      <c r="T452" s="449" t="s">
        <v>194</v>
      </c>
      <c r="U452" s="449" t="s">
        <v>7194</v>
      </c>
      <c r="V452" s="449" t="s">
        <v>199</v>
      </c>
      <c r="W452" s="455" t="s">
        <v>2344</v>
      </c>
      <c r="X452" s="455" t="s">
        <v>2344</v>
      </c>
      <c r="Y452" s="455" t="s">
        <v>2344</v>
      </c>
      <c r="Z452" s="455" t="s">
        <v>7195</v>
      </c>
      <c r="AA452" s="455" t="s">
        <v>7196</v>
      </c>
      <c r="AB452" s="455" t="s">
        <v>7197</v>
      </c>
      <c r="AC452" s="455" t="s">
        <v>7198</v>
      </c>
      <c r="AD452" s="455" t="s">
        <v>7199</v>
      </c>
      <c r="AE452" s="455" t="s">
        <v>7200</v>
      </c>
      <c r="AF452" s="455" t="s">
        <v>7201</v>
      </c>
      <c r="AG452" s="455" t="s">
        <v>7203</v>
      </c>
      <c r="AH452" s="455" t="s">
        <v>7204</v>
      </c>
      <c r="AI452" s="455" t="s">
        <v>7205</v>
      </c>
      <c r="AJ452" s="455" t="s">
        <v>7206</v>
      </c>
      <c r="AK452" s="456">
        <v>845622.72</v>
      </c>
      <c r="AL452" s="456">
        <v>823975.03</v>
      </c>
      <c r="AM452" s="456">
        <v>721960.02</v>
      </c>
      <c r="AN452" s="456">
        <v>723425.43</v>
      </c>
      <c r="AO452" s="456">
        <v>5328.73</v>
      </c>
      <c r="AP452" s="456"/>
      <c r="AQ452" s="456"/>
      <c r="AR452" s="456"/>
      <c r="AS452" s="456"/>
      <c r="AT452" s="456"/>
      <c r="AU452" s="456"/>
      <c r="AV452" s="456"/>
      <c r="AW452" s="456"/>
      <c r="AX452" s="456"/>
      <c r="AY452" s="456"/>
      <c r="AZ452" s="456"/>
      <c r="BA452" s="456">
        <v>0.0</v>
      </c>
      <c r="BB452" s="456">
        <v>0.0</v>
      </c>
      <c r="BC452" s="456">
        <v>453.21</v>
      </c>
      <c r="BD452" s="456" t="s">
        <v>377</v>
      </c>
      <c r="BE452" s="456" t="s">
        <v>377</v>
      </c>
      <c r="BF452" s="456">
        <v>0.0</v>
      </c>
      <c r="BG452" s="456">
        <v>0.0</v>
      </c>
      <c r="BH452" s="456">
        <v>0.0</v>
      </c>
      <c r="BI452" s="456">
        <v>0.0</v>
      </c>
      <c r="BJ452" s="456">
        <v>0.0</v>
      </c>
      <c r="BK452" s="456">
        <v>0.0</v>
      </c>
      <c r="BL452" s="456">
        <v>0.0</v>
      </c>
      <c r="BM452" s="456">
        <v>0.0</v>
      </c>
      <c r="BN452" s="456">
        <v>0.0</v>
      </c>
      <c r="BO452" s="456">
        <v>0.0</v>
      </c>
      <c r="BP452" s="456">
        <v>0.0</v>
      </c>
      <c r="BQ452" s="456">
        <v>0.0</v>
      </c>
      <c r="BR452" s="456">
        <v>0.0</v>
      </c>
      <c r="BS452" s="90" t="s">
        <v>268</v>
      </c>
      <c r="BT452" s="90"/>
    </row>
    <row r="453" ht="15.75" customHeight="1">
      <c r="A453" s="444" t="s">
        <v>98</v>
      </c>
      <c r="B453" s="445" t="s">
        <v>7209</v>
      </c>
      <c r="C453" s="468" t="s">
        <v>7210</v>
      </c>
      <c r="D453" s="507">
        <v>5892424.0</v>
      </c>
      <c r="E453" s="449" t="s">
        <v>120</v>
      </c>
      <c r="F453" s="507" t="s">
        <v>54</v>
      </c>
      <c r="G453" s="449" t="s">
        <v>4057</v>
      </c>
      <c r="H453" s="449" t="str">
        <f>IFERROR(VLOOKUP(G453,'Cadastro de assessores'!A:B,2,FALSE),"Não Cadastrado")</f>
        <v>14294</v>
      </c>
      <c r="I453" s="449" t="str">
        <f>IFERROR(VLOOKUP(H453,'Cadastro de assessores'!B:C,2,FALSE),"Não Cadastrado")</f>
        <v>Regular</v>
      </c>
      <c r="J453" s="49" t="s">
        <v>224</v>
      </c>
      <c r="K453" s="449" t="s">
        <v>2340</v>
      </c>
      <c r="L453" s="460">
        <v>44421.0</v>
      </c>
      <c r="M453" s="460">
        <v>44421.0</v>
      </c>
      <c r="N453" s="508">
        <v>44817.0</v>
      </c>
      <c r="O453" s="446" t="s">
        <v>2356</v>
      </c>
      <c r="P453" s="452">
        <v>0.007</v>
      </c>
      <c r="Q453" s="330" t="s">
        <v>7213</v>
      </c>
      <c r="R453" s="453"/>
      <c r="S453" s="449" t="str">
        <f t="shared" si="48"/>
        <v>Não Qualificado</v>
      </c>
      <c r="T453" s="449" t="s">
        <v>194</v>
      </c>
      <c r="U453" s="446" t="s">
        <v>7214</v>
      </c>
      <c r="V453" s="446" t="s">
        <v>475</v>
      </c>
      <c r="W453" s="454"/>
      <c r="X453" s="454"/>
      <c r="Y453" s="454"/>
      <c r="Z453" s="454"/>
      <c r="AA453" s="454"/>
      <c r="AB453" s="454"/>
      <c r="AC453" s="454"/>
      <c r="AD453" s="454"/>
      <c r="AE453" s="454"/>
      <c r="AF453" s="454"/>
      <c r="AG453" s="454"/>
      <c r="AH453" s="455"/>
      <c r="AI453" s="455"/>
      <c r="AJ453" s="456"/>
      <c r="AK453" s="456"/>
      <c r="AL453" s="456"/>
      <c r="AM453" s="456"/>
      <c r="AN453" s="456"/>
      <c r="AO453" s="456"/>
      <c r="AP453" s="456"/>
      <c r="AQ453" s="456"/>
      <c r="AR453" s="456"/>
      <c r="AS453" s="538"/>
      <c r="AT453" s="481"/>
      <c r="AU453" s="481">
        <v>417499.24</v>
      </c>
      <c r="AV453" s="456">
        <v>409645.54</v>
      </c>
      <c r="AW453" s="456">
        <v>404630.79</v>
      </c>
      <c r="AX453" s="456">
        <v>406481.35</v>
      </c>
      <c r="AY453" s="456">
        <v>411529.31</v>
      </c>
      <c r="AZ453" s="456">
        <v>416852.53</v>
      </c>
      <c r="BA453" s="456">
        <v>419705.44</v>
      </c>
      <c r="BB453" s="456">
        <v>424052.25</v>
      </c>
      <c r="BC453" s="456">
        <v>87676.78</v>
      </c>
      <c r="BD453" s="456">
        <v>433093.14</v>
      </c>
      <c r="BE453" s="456">
        <v>436919.72</v>
      </c>
      <c r="BF453" s="456">
        <v>440425.61</v>
      </c>
      <c r="BG453" s="456">
        <v>443087.9811</v>
      </c>
      <c r="BH453" s="456">
        <v>0.0</v>
      </c>
      <c r="BI453" s="456">
        <v>0.0</v>
      </c>
      <c r="BJ453" s="456">
        <v>0.0</v>
      </c>
      <c r="BK453" s="456">
        <v>0.0</v>
      </c>
      <c r="BL453" s="456">
        <v>0.0</v>
      </c>
      <c r="BM453" s="456">
        <v>0.0</v>
      </c>
      <c r="BN453" s="456">
        <v>0.0</v>
      </c>
      <c r="BO453" s="456">
        <v>0.0</v>
      </c>
      <c r="BP453" s="456">
        <v>0.0</v>
      </c>
      <c r="BQ453" s="456">
        <v>0.0</v>
      </c>
      <c r="BR453" s="456">
        <v>0.0</v>
      </c>
      <c r="BS453" s="90" t="s">
        <v>268</v>
      </c>
      <c r="BT453" s="90"/>
    </row>
    <row r="454" ht="15.75" customHeight="1">
      <c r="A454" s="444" t="s">
        <v>98</v>
      </c>
      <c r="B454" s="445" t="s">
        <v>7219</v>
      </c>
      <c r="C454" s="458" t="s">
        <v>6595</v>
      </c>
      <c r="D454" s="449">
        <v>4362832.0</v>
      </c>
      <c r="E454" s="449" t="s">
        <v>255</v>
      </c>
      <c r="F454" s="449" t="s">
        <v>199</v>
      </c>
      <c r="G454" s="449" t="s">
        <v>3606</v>
      </c>
      <c r="H454" s="449" t="str">
        <f>IFERROR(VLOOKUP(G454,'Cadastro de assessores'!A:B,2,FALSE),"Não Cadastrado")</f>
        <v>16459</v>
      </c>
      <c r="I454" s="449"/>
      <c r="J454" s="49" t="s">
        <v>224</v>
      </c>
      <c r="K454" s="449" t="s">
        <v>2340</v>
      </c>
      <c r="L454" s="460">
        <v>44078.0</v>
      </c>
      <c r="M454" s="460">
        <v>44078.0</v>
      </c>
      <c r="N454" s="508">
        <v>44424.0</v>
      </c>
      <c r="O454" s="446" t="s">
        <v>2319</v>
      </c>
      <c r="P454" s="452">
        <v>0.02</v>
      </c>
      <c r="Q454" s="461" t="s">
        <v>7222</v>
      </c>
      <c r="R454" s="453"/>
      <c r="S454" s="449" t="str">
        <f t="shared" si="48"/>
        <v>Não Qualificado</v>
      </c>
      <c r="T454" s="449" t="s">
        <v>194</v>
      </c>
      <c r="U454" s="449" t="s">
        <v>2374</v>
      </c>
      <c r="V454" s="449" t="s">
        <v>199</v>
      </c>
      <c r="W454" s="455" t="s">
        <v>2344</v>
      </c>
      <c r="X454" s="455" t="s">
        <v>2344</v>
      </c>
      <c r="Y454" s="455" t="s">
        <v>2344</v>
      </c>
      <c r="Z454" s="455" t="s">
        <v>2344</v>
      </c>
      <c r="AA454" s="455" t="s">
        <v>2344</v>
      </c>
      <c r="AB454" s="455" t="s">
        <v>2344</v>
      </c>
      <c r="AC454" s="455" t="s">
        <v>2344</v>
      </c>
      <c r="AD454" s="455" t="s">
        <v>2344</v>
      </c>
      <c r="AE454" s="455" t="s">
        <v>2344</v>
      </c>
      <c r="AF454" s="455" t="s">
        <v>2344</v>
      </c>
      <c r="AG454" s="455" t="s">
        <v>7223</v>
      </c>
      <c r="AH454" s="455" t="s">
        <v>7224</v>
      </c>
      <c r="AI454" s="455" t="s">
        <v>7225</v>
      </c>
      <c r="AJ454" s="455" t="s">
        <v>7226</v>
      </c>
      <c r="AK454" s="456">
        <v>1109306.8</v>
      </c>
      <c r="AL454" s="456">
        <v>1084143.76</v>
      </c>
      <c r="AM454" s="456">
        <v>1013252.43</v>
      </c>
      <c r="AN454" s="456">
        <v>1021421.54</v>
      </c>
      <c r="AO454" s="456">
        <v>1057583.06</v>
      </c>
      <c r="AP454" s="456">
        <v>1066222.67</v>
      </c>
      <c r="AQ454" s="456">
        <v>1057853.41</v>
      </c>
      <c r="AR454" s="456">
        <v>1095878.63</v>
      </c>
      <c r="AS454" s="456">
        <v>1069580.17</v>
      </c>
      <c r="AT454" s="456">
        <v>1047871.57</v>
      </c>
      <c r="AU454" s="456"/>
      <c r="AV454" s="456"/>
      <c r="AW454" s="456"/>
      <c r="AX454" s="456"/>
      <c r="AY454" s="456"/>
      <c r="AZ454" s="456"/>
      <c r="BA454" s="456">
        <v>0.0</v>
      </c>
      <c r="BB454" s="456">
        <v>0.0</v>
      </c>
      <c r="BC454" s="456">
        <v>170355.35</v>
      </c>
      <c r="BD454" s="456" t="s">
        <v>377</v>
      </c>
      <c r="BE454" s="456" t="s">
        <v>377</v>
      </c>
      <c r="BF454" s="456">
        <v>0.0</v>
      </c>
      <c r="BG454" s="456">
        <v>0.0</v>
      </c>
      <c r="BH454" s="456">
        <v>0.0</v>
      </c>
      <c r="BI454" s="456">
        <v>0.0</v>
      </c>
      <c r="BJ454" s="456">
        <v>0.0</v>
      </c>
      <c r="BK454" s="456">
        <v>0.0</v>
      </c>
      <c r="BL454" s="456">
        <v>0.0</v>
      </c>
      <c r="BM454" s="456">
        <v>0.0</v>
      </c>
      <c r="BN454" s="456">
        <v>0.0</v>
      </c>
      <c r="BO454" s="456">
        <v>0.0</v>
      </c>
      <c r="BP454" s="456">
        <v>0.0</v>
      </c>
      <c r="BQ454" s="456">
        <v>0.0</v>
      </c>
      <c r="BR454" s="456">
        <v>0.0</v>
      </c>
      <c r="BS454" s="90" t="s">
        <v>268</v>
      </c>
      <c r="BT454" s="90"/>
    </row>
    <row r="455" ht="15.75" customHeight="1">
      <c r="A455" s="444" t="s">
        <v>98</v>
      </c>
      <c r="B455" s="445" t="s">
        <v>7231</v>
      </c>
      <c r="C455" s="458" t="s">
        <v>7232</v>
      </c>
      <c r="D455" s="449">
        <v>2365107.0</v>
      </c>
      <c r="E455" s="449" t="s">
        <v>120</v>
      </c>
      <c r="F455" s="449" t="s">
        <v>54</v>
      </c>
      <c r="G455" s="449" t="s">
        <v>2393</v>
      </c>
      <c r="H455" s="449">
        <f>IFERROR(VLOOKUP(G455,'Cadastro de assessores'!A:B,2,FALSE),"Não Cadastrado")</f>
        <v>12350</v>
      </c>
      <c r="I455" s="449"/>
      <c r="J455" s="49" t="s">
        <v>224</v>
      </c>
      <c r="K455" s="449" t="s">
        <v>295</v>
      </c>
      <c r="L455" s="460">
        <v>44817.0</v>
      </c>
      <c r="M455" s="460">
        <v>44824.0</v>
      </c>
      <c r="N455" s="508"/>
      <c r="O455" s="446" t="s">
        <v>2341</v>
      </c>
      <c r="P455" s="452">
        <v>0.015</v>
      </c>
      <c r="Q455" s="461" t="s">
        <v>7236</v>
      </c>
      <c r="R455" s="453"/>
      <c r="S455" s="449"/>
      <c r="T455" s="449"/>
      <c r="U455" s="449"/>
      <c r="V455" s="449" t="s">
        <v>475</v>
      </c>
      <c r="W455" s="455"/>
      <c r="X455" s="455"/>
      <c r="Y455" s="455"/>
      <c r="Z455" s="455"/>
      <c r="AA455" s="455"/>
      <c r="AB455" s="455"/>
      <c r="AC455" s="455"/>
      <c r="AD455" s="455"/>
      <c r="AE455" s="455"/>
      <c r="AF455" s="455"/>
      <c r="AG455" s="455"/>
      <c r="AH455" s="455"/>
      <c r="AI455" s="455"/>
      <c r="AJ455" s="455"/>
      <c r="AK455" s="456"/>
      <c r="AL455" s="456"/>
      <c r="AM455" s="456"/>
      <c r="AN455" s="456"/>
      <c r="AO455" s="456"/>
      <c r="AP455" s="456"/>
      <c r="AQ455" s="456"/>
      <c r="AR455" s="456"/>
      <c r="AS455" s="456"/>
      <c r="AT455" s="456"/>
      <c r="AU455" s="456"/>
      <c r="AV455" s="456"/>
      <c r="AW455" s="456"/>
      <c r="AX455" s="456"/>
      <c r="AY455" s="456"/>
      <c r="AZ455" s="456"/>
      <c r="BA455" s="456"/>
      <c r="BB455" s="456"/>
      <c r="BC455" s="456"/>
      <c r="BD455" s="456"/>
      <c r="BE455" s="456"/>
      <c r="BF455" s="456"/>
      <c r="BG455" s="456"/>
      <c r="BH455" s="456">
        <v>532705.94</v>
      </c>
      <c r="BI455" s="456">
        <v>637077.6</v>
      </c>
      <c r="BJ455" s="456">
        <v>670875.03</v>
      </c>
      <c r="BK455" s="456">
        <v>675107.6</v>
      </c>
      <c r="BL455" s="456">
        <v>198604.53</v>
      </c>
      <c r="BM455" s="456">
        <v>159866.01</v>
      </c>
      <c r="BN455" s="456">
        <v>161204.47</v>
      </c>
      <c r="BO455" s="456">
        <v>154468.9</v>
      </c>
      <c r="BP455" s="456">
        <v>156870.97</v>
      </c>
      <c r="BQ455" s="456">
        <v>155582.99</v>
      </c>
      <c r="BR455" s="456">
        <v>155523.92</v>
      </c>
      <c r="BS455" s="90" t="s">
        <v>268</v>
      </c>
      <c r="BT455" s="90"/>
    </row>
    <row r="456" ht="15.75" customHeight="1">
      <c r="A456" s="444" t="s">
        <v>98</v>
      </c>
      <c r="B456" s="445" t="s">
        <v>7237</v>
      </c>
      <c r="C456" s="468" t="s">
        <v>7238</v>
      </c>
      <c r="D456" s="446">
        <v>2293219.0</v>
      </c>
      <c r="E456" s="447" t="s">
        <v>120</v>
      </c>
      <c r="F456" s="447" t="s">
        <v>199</v>
      </c>
      <c r="G456" s="447" t="s">
        <v>439</v>
      </c>
      <c r="H456" s="447" t="str">
        <f>IFERROR(VLOOKUP(G456,'Cadastro de assessores'!A:B,2,FALSE),"Não Cadastrado")</f>
        <v>18236</v>
      </c>
      <c r="I456" s="447"/>
      <c r="J456" s="49" t="s">
        <v>2318</v>
      </c>
      <c r="K456" s="447" t="s">
        <v>183</v>
      </c>
      <c r="L456" s="450">
        <v>44210.0</v>
      </c>
      <c r="M456" s="450">
        <v>44293.0</v>
      </c>
      <c r="N456" s="446"/>
      <c r="O456" s="446" t="s">
        <v>2319</v>
      </c>
      <c r="P456" s="452">
        <v>0.02</v>
      </c>
      <c r="Q456" s="330" t="s">
        <v>7242</v>
      </c>
      <c r="R456" s="453"/>
      <c r="S456" s="449" t="str">
        <f>IF(BC456&lt;=0,"",IF(BC456&lt;=1000000,"Não Qualificado",IF(AND(BC456&gt;1000000,BC456&lt;=10000000),"Qualificado","Profissional")))</f>
        <v/>
      </c>
      <c r="T456" s="449" t="s">
        <v>194</v>
      </c>
      <c r="U456" s="446" t="s">
        <v>7243</v>
      </c>
      <c r="V456" s="446" t="s">
        <v>199</v>
      </c>
      <c r="W456" s="454"/>
      <c r="X456" s="454"/>
      <c r="Y456" s="454"/>
      <c r="Z456" s="454"/>
      <c r="AA456" s="454"/>
      <c r="AB456" s="454"/>
      <c r="AC456" s="454"/>
      <c r="AD456" s="454"/>
      <c r="AE456" s="454"/>
      <c r="AF456" s="454"/>
      <c r="AG456" s="454"/>
      <c r="AH456" s="454"/>
      <c r="AI456" s="454"/>
      <c r="AJ456" s="454"/>
      <c r="AK456" s="454"/>
      <c r="AL456" s="456"/>
      <c r="AM456" s="456"/>
      <c r="AN456" s="456"/>
      <c r="AO456" s="456"/>
      <c r="AP456" s="456">
        <v>117034.46</v>
      </c>
      <c r="AQ456" s="456">
        <v>156292.5</v>
      </c>
      <c r="AR456" s="456">
        <v>160728.53</v>
      </c>
      <c r="AS456" s="456">
        <v>159023.66</v>
      </c>
      <c r="AT456" s="456">
        <v>154024.74</v>
      </c>
      <c r="AU456" s="456">
        <v>152300.03</v>
      </c>
      <c r="AV456" s="456">
        <v>148314.88</v>
      </c>
      <c r="AW456" s="456">
        <v>140718.88</v>
      </c>
      <c r="AX456" s="456">
        <v>139883.93</v>
      </c>
      <c r="AY456" s="456">
        <v>124978.4</v>
      </c>
      <c r="AZ456" s="456">
        <v>129978.11</v>
      </c>
      <c r="BA456" s="456">
        <v>131538.56</v>
      </c>
      <c r="BB456" s="456">
        <v>137791.51</v>
      </c>
      <c r="BC456" s="456"/>
      <c r="BD456" s="456">
        <v>133877.91</v>
      </c>
      <c r="BE456" s="456">
        <v>130854.98</v>
      </c>
      <c r="BF456" s="456">
        <v>134265.69</v>
      </c>
      <c r="BG456" s="456">
        <v>130306.6847</v>
      </c>
      <c r="BH456" s="456">
        <v>129972.76</v>
      </c>
      <c r="BI456" s="456">
        <v>137582.01</v>
      </c>
      <c r="BJ456" s="456">
        <v>137251.25</v>
      </c>
      <c r="BK456" s="456">
        <v>137641.57</v>
      </c>
      <c r="BL456" s="456">
        <v>137845.47</v>
      </c>
      <c r="BM456" s="456">
        <v>137241.22</v>
      </c>
      <c r="BN456" s="456">
        <v>137905.63</v>
      </c>
      <c r="BO456" s="456">
        <v>0.0</v>
      </c>
      <c r="BP456" s="456">
        <v>0.0</v>
      </c>
      <c r="BQ456" s="456">
        <v>0.0</v>
      </c>
      <c r="BR456" s="456">
        <v>0.0</v>
      </c>
      <c r="BS456" s="90" t="s">
        <v>268</v>
      </c>
      <c r="BT456" s="90"/>
    </row>
    <row r="457" ht="15.75" customHeight="1">
      <c r="A457" s="444" t="s">
        <v>98</v>
      </c>
      <c r="B457" s="445" t="s">
        <v>1627</v>
      </c>
      <c r="C457" s="458" t="s">
        <v>1625</v>
      </c>
      <c r="D457" s="449">
        <v>2523005.0</v>
      </c>
      <c r="E457" s="447" t="s">
        <v>120</v>
      </c>
      <c r="F457" s="507" t="s">
        <v>54</v>
      </c>
      <c r="G457" s="507" t="s">
        <v>2393</v>
      </c>
      <c r="H457" s="447">
        <f>IFERROR(VLOOKUP(G457,'Cadastro de assessores'!A:B,2,FALSE),"Não Cadastrado")</f>
        <v>12350</v>
      </c>
      <c r="I457" s="449"/>
      <c r="J457" s="49" t="s">
        <v>2318</v>
      </c>
      <c r="K457" s="449"/>
      <c r="L457" s="460"/>
      <c r="M457" s="460">
        <v>44834.0</v>
      </c>
      <c r="N457" s="459"/>
      <c r="O457" s="449" t="s">
        <v>2356</v>
      </c>
      <c r="P457" s="452">
        <v>0.01</v>
      </c>
      <c r="Q457" s="461" t="s">
        <v>7253</v>
      </c>
      <c r="R457" s="453"/>
      <c r="S457" s="449"/>
      <c r="T457" s="449"/>
      <c r="U457" s="449"/>
      <c r="V457" s="449" t="s">
        <v>475</v>
      </c>
      <c r="W457" s="455"/>
      <c r="X457" s="455"/>
      <c r="Y457" s="455"/>
      <c r="Z457" s="455"/>
      <c r="AA457" s="455"/>
      <c r="AB457" s="455"/>
      <c r="AC457" s="455"/>
      <c r="AD457" s="455"/>
      <c r="AE457" s="455"/>
      <c r="AF457" s="455"/>
      <c r="AG457" s="455"/>
      <c r="AH457" s="455"/>
      <c r="AI457" s="455"/>
      <c r="AJ457" s="455"/>
      <c r="AK457" s="456"/>
      <c r="AL457" s="456"/>
      <c r="AM457" s="456"/>
      <c r="AN457" s="456"/>
      <c r="AO457" s="456"/>
      <c r="AP457" s="456"/>
      <c r="AQ457" s="456"/>
      <c r="AR457" s="456"/>
      <c r="AS457" s="456"/>
      <c r="AT457" s="456"/>
      <c r="AU457" s="456"/>
      <c r="AV457" s="456"/>
      <c r="AW457" s="456"/>
      <c r="AX457" s="456"/>
      <c r="AY457" s="456"/>
      <c r="AZ457" s="456"/>
      <c r="BA457" s="456"/>
      <c r="BB457" s="456"/>
      <c r="BC457" s="456"/>
      <c r="BD457" s="456"/>
      <c r="BE457" s="456"/>
      <c r="BF457" s="456"/>
      <c r="BG457" s="456"/>
      <c r="BH457" s="456"/>
      <c r="BI457" s="456">
        <v>205825.47</v>
      </c>
      <c r="BJ457" s="456">
        <v>207607.53</v>
      </c>
      <c r="BK457" s="456">
        <v>209057.65</v>
      </c>
      <c r="BL457" s="456">
        <v>211061.45</v>
      </c>
      <c r="BM457" s="456">
        <v>212475.84</v>
      </c>
      <c r="BN457" s="456">
        <v>214735.54</v>
      </c>
      <c r="BO457" s="456">
        <v>0.0</v>
      </c>
      <c r="BP457" s="456">
        <v>0.0</v>
      </c>
      <c r="BQ457" s="456">
        <v>0.0</v>
      </c>
      <c r="BR457" s="456">
        <v>0.0</v>
      </c>
      <c r="BS457" s="90">
        <v>0.0</v>
      </c>
      <c r="BT457" s="90"/>
    </row>
    <row r="458" ht="15.75" customHeight="1">
      <c r="A458" s="444" t="s">
        <v>98</v>
      </c>
      <c r="B458" s="445" t="s">
        <v>7258</v>
      </c>
      <c r="C458" s="458" t="s">
        <v>7259</v>
      </c>
      <c r="D458" s="449">
        <v>4860067.0</v>
      </c>
      <c r="E458" s="449" t="s">
        <v>120</v>
      </c>
      <c r="F458" s="507" t="s">
        <v>54</v>
      </c>
      <c r="G458" s="507" t="s">
        <v>379</v>
      </c>
      <c r="H458" s="449" t="str">
        <f>IFERROR(VLOOKUP(G458,'Cadastro de assessores'!A:B,2,FALSE),"Não Cadastrado")</f>
        <v>18009</v>
      </c>
      <c r="I458" s="449"/>
      <c r="J458" s="49" t="s">
        <v>224</v>
      </c>
      <c r="K458" s="449" t="s">
        <v>2340</v>
      </c>
      <c r="L458" s="460">
        <v>44259.0</v>
      </c>
      <c r="M458" s="460">
        <v>44259.0</v>
      </c>
      <c r="N458" s="459">
        <v>44516.0</v>
      </c>
      <c r="O458" s="449" t="s">
        <v>2372</v>
      </c>
      <c r="P458" s="452">
        <v>0.025</v>
      </c>
      <c r="Q458" s="461" t="s">
        <v>7261</v>
      </c>
      <c r="R458" s="453"/>
      <c r="S458" s="449" t="str">
        <f t="shared" ref="S458:S462" si="49">IF(BC458&lt;=0,"",IF(BC458&lt;=1000000,"Não Qualificado",IF(AND(BC458&gt;1000000,BC458&lt;=10000000),"Qualificado","Profissional")))</f>
        <v>Não Qualificado</v>
      </c>
      <c r="T458" s="449" t="s">
        <v>194</v>
      </c>
      <c r="U458" s="449" t="s">
        <v>2475</v>
      </c>
      <c r="V458" s="449" t="s">
        <v>618</v>
      </c>
      <c r="W458" s="455"/>
      <c r="X458" s="455"/>
      <c r="Y458" s="455"/>
      <c r="Z458" s="455"/>
      <c r="AA458" s="455"/>
      <c r="AB458" s="455"/>
      <c r="AC458" s="455"/>
      <c r="AD458" s="455"/>
      <c r="AE458" s="455"/>
      <c r="AF458" s="455"/>
      <c r="AG458" s="455"/>
      <c r="AH458" s="455"/>
      <c r="AI458" s="455"/>
      <c r="AJ458" s="455"/>
      <c r="AK458" s="456"/>
      <c r="AL458" s="456"/>
      <c r="AM458" s="456" t="s">
        <v>3320</v>
      </c>
      <c r="AN458" s="456">
        <v>94169.58</v>
      </c>
      <c r="AO458" s="456">
        <v>100462.15</v>
      </c>
      <c r="AP458" s="456">
        <v>102188.63</v>
      </c>
      <c r="AQ458" s="456">
        <v>101048.95</v>
      </c>
      <c r="AR458" s="456">
        <v>128925.59</v>
      </c>
      <c r="AS458" s="456">
        <v>182841.86</v>
      </c>
      <c r="AT458" s="456">
        <v>173002.98</v>
      </c>
      <c r="AU458" s="456">
        <v>231526.41</v>
      </c>
      <c r="AV458" s="456">
        <v>217924.4</v>
      </c>
      <c r="AW458" s="456">
        <v>282221.41</v>
      </c>
      <c r="AX458" s="456"/>
      <c r="AY458" s="456"/>
      <c r="AZ458" s="456"/>
      <c r="BA458" s="456">
        <v>0.0</v>
      </c>
      <c r="BB458" s="456">
        <v>0.0</v>
      </c>
      <c r="BC458" s="456">
        <v>276933.47</v>
      </c>
      <c r="BD458" s="456" t="s">
        <v>377</v>
      </c>
      <c r="BE458" s="456" t="s">
        <v>377</v>
      </c>
      <c r="BF458" s="456">
        <v>0.0</v>
      </c>
      <c r="BG458" s="456">
        <v>0.0</v>
      </c>
      <c r="BH458" s="456">
        <v>0.0</v>
      </c>
      <c r="BI458" s="456">
        <v>0.0</v>
      </c>
      <c r="BJ458" s="456">
        <v>0.0</v>
      </c>
      <c r="BK458" s="456">
        <v>0.0</v>
      </c>
      <c r="BL458" s="456">
        <v>0.0</v>
      </c>
      <c r="BM458" s="456">
        <v>0.0</v>
      </c>
      <c r="BN458" s="456">
        <v>0.0</v>
      </c>
      <c r="BO458" s="456">
        <v>0.0</v>
      </c>
      <c r="BP458" s="456">
        <v>0.0</v>
      </c>
      <c r="BQ458" s="456">
        <v>0.0</v>
      </c>
      <c r="BR458" s="456">
        <v>0.0</v>
      </c>
      <c r="BS458" s="90" t="s">
        <v>268</v>
      </c>
      <c r="BT458" s="90"/>
    </row>
    <row r="459" ht="15.75" customHeight="1">
      <c r="A459" s="444" t="s">
        <v>98</v>
      </c>
      <c r="B459" s="445" t="s">
        <v>7272</v>
      </c>
      <c r="C459" s="458" t="s">
        <v>7273</v>
      </c>
      <c r="D459" s="449">
        <v>4582050.0</v>
      </c>
      <c r="E459" s="447" t="s">
        <v>120</v>
      </c>
      <c r="F459" s="447" t="s">
        <v>199</v>
      </c>
      <c r="G459" s="447" t="s">
        <v>2339</v>
      </c>
      <c r="H459" s="447" t="str">
        <f>IFERROR(VLOOKUP(G459,'Cadastro de assessores'!A:B,2,FALSE),"Não Cadastrado")</f>
        <v>17679</v>
      </c>
      <c r="I459" s="447"/>
      <c r="J459" s="49" t="s">
        <v>2318</v>
      </c>
      <c r="K459" s="552" t="s">
        <v>295</v>
      </c>
      <c r="L459" s="449" t="s">
        <v>3320</v>
      </c>
      <c r="M459" s="548" t="s">
        <v>4295</v>
      </c>
      <c r="N459" s="449"/>
      <c r="O459" s="449" t="s">
        <v>2341</v>
      </c>
      <c r="P459" s="452">
        <v>0.015</v>
      </c>
      <c r="Q459" s="461"/>
      <c r="R459" s="453"/>
      <c r="S459" s="449" t="str">
        <f t="shared" si="49"/>
        <v/>
      </c>
      <c r="T459" s="449" t="s">
        <v>194</v>
      </c>
      <c r="U459" s="449" t="s">
        <v>4515</v>
      </c>
      <c r="V459" s="449" t="s">
        <v>311</v>
      </c>
      <c r="W459" s="455"/>
      <c r="X459" s="455"/>
      <c r="Y459" s="455"/>
      <c r="Z459" s="455"/>
      <c r="AA459" s="455"/>
      <c r="AB459" s="455"/>
      <c r="AC459" s="455"/>
      <c r="AD459" s="455"/>
      <c r="AE459" s="455"/>
      <c r="AF459" s="455"/>
      <c r="AG459" s="455"/>
      <c r="AH459" s="455"/>
      <c r="AI459" s="455"/>
      <c r="AJ459" s="455"/>
      <c r="AK459" s="456"/>
      <c r="AL459" s="456"/>
      <c r="AM459" s="456" t="s">
        <v>3320</v>
      </c>
      <c r="AN459" s="456" t="s">
        <v>3320</v>
      </c>
      <c r="AO459" s="456"/>
      <c r="AP459" s="456"/>
      <c r="AQ459" s="456"/>
      <c r="AR459" s="456"/>
      <c r="AS459" s="456"/>
      <c r="AT459" s="456"/>
      <c r="AU459" s="456"/>
      <c r="AV459" s="456"/>
      <c r="AW459" s="456"/>
      <c r="AX459" s="456"/>
      <c r="AY459" s="456"/>
      <c r="AZ459" s="456">
        <v>0.0</v>
      </c>
      <c r="BA459" s="456">
        <v>0.0</v>
      </c>
      <c r="BB459" s="456">
        <v>0.0</v>
      </c>
      <c r="BC459" s="456"/>
      <c r="BD459" s="456" t="s">
        <v>377</v>
      </c>
      <c r="BE459" s="456" t="s">
        <v>377</v>
      </c>
      <c r="BF459" s="456">
        <v>0.0</v>
      </c>
      <c r="BG459" s="456">
        <v>0.0</v>
      </c>
      <c r="BH459" s="456">
        <v>0.0</v>
      </c>
      <c r="BI459" s="456">
        <v>0.0</v>
      </c>
      <c r="BJ459" s="456">
        <v>0.0</v>
      </c>
      <c r="BK459" s="456">
        <v>0.0</v>
      </c>
      <c r="BL459" s="456">
        <v>0.0</v>
      </c>
      <c r="BM459" s="456">
        <v>0.0</v>
      </c>
      <c r="BN459" s="456">
        <v>0.0</v>
      </c>
      <c r="BO459" s="456">
        <v>0.0</v>
      </c>
      <c r="BP459" s="456">
        <v>0.0</v>
      </c>
      <c r="BQ459" s="456">
        <v>0.0</v>
      </c>
      <c r="BR459" s="456">
        <v>0.0</v>
      </c>
      <c r="BS459" s="90">
        <v>0.0</v>
      </c>
      <c r="BT459" s="90"/>
    </row>
    <row r="460" ht="15.75" customHeight="1">
      <c r="A460" s="444" t="s">
        <v>98</v>
      </c>
      <c r="B460" s="445" t="s">
        <v>7285</v>
      </c>
      <c r="C460" s="468" t="s">
        <v>7286</v>
      </c>
      <c r="D460" s="446">
        <v>5080319.0</v>
      </c>
      <c r="E460" s="447" t="s">
        <v>120</v>
      </c>
      <c r="F460" s="448" t="s">
        <v>54</v>
      </c>
      <c r="G460" s="447" t="s">
        <v>379</v>
      </c>
      <c r="H460" s="448" t="str">
        <f>IFERROR(VLOOKUP(G460,'Cadastro de assessores'!A:B,2,FALSE),"Não Cadastrado")</f>
        <v>18009</v>
      </c>
      <c r="I460" s="448"/>
      <c r="J460" s="49" t="s">
        <v>2318</v>
      </c>
      <c r="K460" s="552" t="s">
        <v>183</v>
      </c>
      <c r="L460" s="450">
        <v>44298.0</v>
      </c>
      <c r="M460" s="450">
        <v>44298.0</v>
      </c>
      <c r="N460" s="449"/>
      <c r="O460" s="449" t="s">
        <v>2341</v>
      </c>
      <c r="P460" s="452">
        <v>0.015</v>
      </c>
      <c r="Q460" s="330" t="s">
        <v>5367</v>
      </c>
      <c r="R460" s="453"/>
      <c r="S460" s="449" t="str">
        <f t="shared" si="49"/>
        <v/>
      </c>
      <c r="T460" s="449" t="s">
        <v>194</v>
      </c>
      <c r="U460" s="449" t="s">
        <v>2475</v>
      </c>
      <c r="V460" s="449" t="s">
        <v>618</v>
      </c>
      <c r="W460" s="454"/>
      <c r="X460" s="454"/>
      <c r="Y460" s="454"/>
      <c r="Z460" s="454"/>
      <c r="AA460" s="454"/>
      <c r="AB460" s="454"/>
      <c r="AC460" s="454"/>
      <c r="AD460" s="454"/>
      <c r="AE460" s="454"/>
      <c r="AF460" s="454"/>
      <c r="AG460" s="454"/>
      <c r="AH460" s="454"/>
      <c r="AI460" s="454"/>
      <c r="AJ460" s="454"/>
      <c r="AK460" s="456"/>
      <c r="AL460" s="456"/>
      <c r="AM460" s="456"/>
      <c r="AN460" s="456"/>
      <c r="AO460" s="456"/>
      <c r="AP460" s="456">
        <v>116320.08</v>
      </c>
      <c r="AQ460" s="456">
        <v>115841.99</v>
      </c>
      <c r="AR460" s="456">
        <v>142810.19</v>
      </c>
      <c r="AS460" s="456">
        <v>141814.68</v>
      </c>
      <c r="AT460" s="456">
        <v>168622.28</v>
      </c>
      <c r="AU460" s="456">
        <v>183780.04</v>
      </c>
      <c r="AV460" s="456">
        <v>180384.76</v>
      </c>
      <c r="AW460" s="456">
        <v>175109.85</v>
      </c>
      <c r="AX460" s="456">
        <v>175115.37</v>
      </c>
      <c r="AY460" s="456">
        <v>177169.6</v>
      </c>
      <c r="AZ460" s="456">
        <v>181986.89</v>
      </c>
      <c r="BA460" s="456">
        <v>170472.01</v>
      </c>
      <c r="BB460" s="456">
        <v>68.07</v>
      </c>
      <c r="BC460" s="456"/>
      <c r="BD460" s="456">
        <v>162.51</v>
      </c>
      <c r="BE460" s="456">
        <v>162.51</v>
      </c>
      <c r="BF460" s="456">
        <v>162.51</v>
      </c>
      <c r="BG460" s="456">
        <v>162.51</v>
      </c>
      <c r="BH460" s="456">
        <v>162.51</v>
      </c>
      <c r="BI460" s="456">
        <v>162.51</v>
      </c>
      <c r="BJ460" s="456">
        <v>162.51</v>
      </c>
      <c r="BK460" s="456">
        <v>162.51</v>
      </c>
      <c r="BL460" s="456">
        <v>162.51</v>
      </c>
      <c r="BM460" s="456">
        <v>162.51</v>
      </c>
      <c r="BN460" s="456">
        <v>162.51</v>
      </c>
      <c r="BO460" s="456">
        <v>162.51</v>
      </c>
      <c r="BP460" s="456">
        <v>162.51</v>
      </c>
      <c r="BQ460" s="456">
        <v>162.51</v>
      </c>
      <c r="BR460" s="456">
        <v>162.51</v>
      </c>
      <c r="BS460" s="90">
        <v>0.0</v>
      </c>
      <c r="BT460" s="90"/>
    </row>
    <row r="461" ht="15.75" customHeight="1">
      <c r="A461" s="444" t="s">
        <v>98</v>
      </c>
      <c r="B461" s="445" t="s">
        <v>7295</v>
      </c>
      <c r="C461" s="559" t="s">
        <v>7297</v>
      </c>
      <c r="D461" s="490">
        <v>7336791.0</v>
      </c>
      <c r="E461" s="447" t="s">
        <v>120</v>
      </c>
      <c r="F461" s="448" t="s">
        <v>54</v>
      </c>
      <c r="G461" s="490" t="s">
        <v>1393</v>
      </c>
      <c r="H461" s="448" t="str">
        <f>IFERROR(VLOOKUP(G461,'Cadastro de assessores'!A:B,2,FALSE),"Não Cadastrado")</f>
        <v>17831</v>
      </c>
      <c r="I461" s="448"/>
      <c r="J461" s="49" t="s">
        <v>2318</v>
      </c>
      <c r="K461" s="449" t="s">
        <v>183</v>
      </c>
      <c r="L461" s="451">
        <v>44543.0</v>
      </c>
      <c r="M461" s="451">
        <v>44544.0</v>
      </c>
      <c r="N461" s="490"/>
      <c r="O461" s="490" t="s">
        <v>2365</v>
      </c>
      <c r="P461" s="452">
        <v>0.012</v>
      </c>
      <c r="Q461" s="207"/>
      <c r="R461" s="453"/>
      <c r="S461" s="449" t="str">
        <f t="shared" si="49"/>
        <v>Não Qualificado</v>
      </c>
      <c r="T461" s="449" t="s">
        <v>194</v>
      </c>
      <c r="U461" s="446" t="s">
        <v>3587</v>
      </c>
      <c r="V461" s="446" t="s">
        <v>54</v>
      </c>
      <c r="W461" s="454"/>
      <c r="X461" s="454"/>
      <c r="Y461" s="454"/>
      <c r="Z461" s="454"/>
      <c r="AA461" s="454"/>
      <c r="AB461" s="454"/>
      <c r="AC461" s="454"/>
      <c r="AD461" s="454"/>
      <c r="AE461" s="454"/>
      <c r="AF461" s="454"/>
      <c r="AG461" s="455"/>
      <c r="AH461" s="455"/>
      <c r="AI461" s="455"/>
      <c r="AJ461" s="456"/>
      <c r="AK461" s="456"/>
      <c r="AL461" s="456"/>
      <c r="AM461" s="456"/>
      <c r="AN461" s="456"/>
      <c r="AO461" s="456"/>
      <c r="AP461" s="456"/>
      <c r="AQ461" s="456"/>
      <c r="AR461" s="456"/>
      <c r="AS461" s="456"/>
      <c r="AT461" s="456"/>
      <c r="AU461" s="456"/>
      <c r="AV461" s="456"/>
      <c r="AW461" s="456"/>
      <c r="AX461" s="454"/>
      <c r="AY461" s="454"/>
      <c r="AZ461" s="455"/>
      <c r="BA461" s="455">
        <v>0.0</v>
      </c>
      <c r="BB461" s="455">
        <v>207976.77</v>
      </c>
      <c r="BC461" s="455">
        <v>148889.03</v>
      </c>
      <c r="BD461" s="456">
        <v>511973.53</v>
      </c>
      <c r="BE461" s="456">
        <v>513577.05</v>
      </c>
      <c r="BF461" s="456">
        <v>519395.65</v>
      </c>
      <c r="BG461" s="456">
        <v>400452.4061</v>
      </c>
      <c r="BH461" s="456">
        <v>402834.97</v>
      </c>
      <c r="BI461" s="456">
        <v>411301.13</v>
      </c>
      <c r="BJ461" s="456">
        <v>412242.09</v>
      </c>
      <c r="BK461" s="456">
        <v>415060.34</v>
      </c>
      <c r="BL461" s="456">
        <v>44389.6</v>
      </c>
      <c r="BM461" s="456">
        <v>44296.47</v>
      </c>
      <c r="BN461" s="456">
        <v>44883.52</v>
      </c>
      <c r="BO461" s="456">
        <v>56.6</v>
      </c>
      <c r="BP461" s="456">
        <v>56.6</v>
      </c>
      <c r="BQ461" s="456">
        <v>113.19</v>
      </c>
      <c r="BR461" s="456">
        <v>113.74</v>
      </c>
      <c r="BS461" s="90">
        <v>0.0</v>
      </c>
      <c r="BT461" s="90"/>
    </row>
    <row r="462" ht="15.75" customHeight="1">
      <c r="A462" s="444" t="s">
        <v>98</v>
      </c>
      <c r="B462" s="445" t="s">
        <v>7307</v>
      </c>
      <c r="C462" s="458" t="s">
        <v>6614</v>
      </c>
      <c r="D462" s="449">
        <v>4486837.0</v>
      </c>
      <c r="E462" s="449" t="s">
        <v>120</v>
      </c>
      <c r="F462" s="449" t="s">
        <v>199</v>
      </c>
      <c r="G462" s="449" t="s">
        <v>2339</v>
      </c>
      <c r="H462" s="449" t="str">
        <f>IFERROR(VLOOKUP(G462,'Cadastro de assessores'!A:B,2,FALSE),"Não Cadastrado")</f>
        <v>17679</v>
      </c>
      <c r="I462" s="449"/>
      <c r="J462" s="49" t="s">
        <v>224</v>
      </c>
      <c r="K462" s="449" t="s">
        <v>2340</v>
      </c>
      <c r="L462" s="459">
        <v>44148.0</v>
      </c>
      <c r="M462" s="459">
        <v>44148.0</v>
      </c>
      <c r="N462" s="460">
        <v>44425.0</v>
      </c>
      <c r="O462" s="449" t="s">
        <v>2341</v>
      </c>
      <c r="P462" s="452">
        <v>0.015</v>
      </c>
      <c r="Q462" s="461" t="s">
        <v>7308</v>
      </c>
      <c r="R462" s="453"/>
      <c r="S462" s="449" t="str">
        <f t="shared" si="49"/>
        <v>Não Qualificado</v>
      </c>
      <c r="T462" s="449" t="s">
        <v>194</v>
      </c>
      <c r="U462" s="449" t="s">
        <v>3383</v>
      </c>
      <c r="V462" s="449" t="s">
        <v>199</v>
      </c>
      <c r="W462" s="455" t="s">
        <v>2344</v>
      </c>
      <c r="X462" s="455" t="s">
        <v>2344</v>
      </c>
      <c r="Y462" s="455" t="s">
        <v>2344</v>
      </c>
      <c r="Z462" s="455" t="s">
        <v>2344</v>
      </c>
      <c r="AA462" s="455" t="s">
        <v>2344</v>
      </c>
      <c r="AB462" s="455" t="s">
        <v>2344</v>
      </c>
      <c r="AC462" s="455" t="s">
        <v>2344</v>
      </c>
      <c r="AD462" s="455" t="s">
        <v>2344</v>
      </c>
      <c r="AE462" s="455" t="s">
        <v>2344</v>
      </c>
      <c r="AF462" s="455" t="s">
        <v>2344</v>
      </c>
      <c r="AG462" s="455" t="s">
        <v>2344</v>
      </c>
      <c r="AH462" s="455" t="s">
        <v>2344</v>
      </c>
      <c r="AI462" s="455" t="s">
        <v>2344</v>
      </c>
      <c r="AJ462" s="455" t="s">
        <v>7313</v>
      </c>
      <c r="AK462" s="456">
        <v>134533.45</v>
      </c>
      <c r="AL462" s="456">
        <v>158211.29</v>
      </c>
      <c r="AM462" s="456">
        <v>156481.22</v>
      </c>
      <c r="AN462" s="456">
        <v>156663.68</v>
      </c>
      <c r="AO462" s="456">
        <v>161333.4</v>
      </c>
      <c r="AP462" s="456">
        <v>161797.76</v>
      </c>
      <c r="AQ462" s="456">
        <v>161072.83</v>
      </c>
      <c r="AR462" s="456">
        <v>175863.49</v>
      </c>
      <c r="AS462" s="456">
        <v>174477.56</v>
      </c>
      <c r="AT462" s="456">
        <v>180016.21</v>
      </c>
      <c r="AU462" s="456"/>
      <c r="AV462" s="456"/>
      <c r="AW462" s="456"/>
      <c r="AX462" s="456"/>
      <c r="AY462" s="456"/>
      <c r="AZ462" s="456"/>
      <c r="BA462" s="456">
        <v>0.0</v>
      </c>
      <c r="BB462" s="456">
        <v>0.0</v>
      </c>
      <c r="BC462" s="456">
        <v>250151.86</v>
      </c>
      <c r="BD462" s="456" t="s">
        <v>377</v>
      </c>
      <c r="BE462" s="456" t="s">
        <v>377</v>
      </c>
      <c r="BF462" s="456">
        <v>0.0</v>
      </c>
      <c r="BG462" s="456">
        <v>0.0</v>
      </c>
      <c r="BH462" s="456">
        <v>0.0</v>
      </c>
      <c r="BI462" s="456">
        <v>0.0</v>
      </c>
      <c r="BJ462" s="456">
        <v>0.0</v>
      </c>
      <c r="BK462" s="456">
        <v>0.0</v>
      </c>
      <c r="BL462" s="456">
        <v>0.0</v>
      </c>
      <c r="BM462" s="456">
        <v>0.0</v>
      </c>
      <c r="BN462" s="456">
        <v>0.0</v>
      </c>
      <c r="BO462" s="456">
        <v>0.0</v>
      </c>
      <c r="BP462" s="456">
        <v>0.0</v>
      </c>
      <c r="BQ462" s="456">
        <v>0.0</v>
      </c>
      <c r="BR462" s="456">
        <v>0.0</v>
      </c>
      <c r="BS462" s="90" t="s">
        <v>268</v>
      </c>
      <c r="BT462" s="90"/>
    </row>
    <row r="463" ht="15.75" customHeight="1">
      <c r="A463" s="444" t="s">
        <v>98</v>
      </c>
      <c r="B463" s="445" t="s">
        <v>1259</v>
      </c>
      <c r="C463" s="468" t="s">
        <v>7319</v>
      </c>
      <c r="D463" s="446">
        <v>7518857.0</v>
      </c>
      <c r="E463" s="447" t="s">
        <v>120</v>
      </c>
      <c r="F463" s="448" t="s">
        <v>199</v>
      </c>
      <c r="G463" s="448" t="s">
        <v>1914</v>
      </c>
      <c r="H463" s="449">
        <f>IFERROR(VLOOKUP(G463,'Cadastro de assessores'!A:B,2,FALSE),"Não Cadastrado")</f>
        <v>12359</v>
      </c>
      <c r="I463" s="449"/>
      <c r="J463" s="49" t="s">
        <v>2318</v>
      </c>
      <c r="K463" s="449" t="s">
        <v>183</v>
      </c>
      <c r="L463" s="450">
        <v>44791.0</v>
      </c>
      <c r="M463" s="450">
        <v>44792.0</v>
      </c>
      <c r="N463" s="446"/>
      <c r="O463" s="446" t="s">
        <v>2365</v>
      </c>
      <c r="P463" s="452">
        <v>0.012</v>
      </c>
      <c r="Q463" s="611" t="s">
        <v>5124</v>
      </c>
      <c r="R463" s="453"/>
      <c r="S463" s="449"/>
      <c r="T463" s="449"/>
      <c r="U463" s="446"/>
      <c r="V463" s="449" t="s">
        <v>199</v>
      </c>
      <c r="W463" s="454"/>
      <c r="X463" s="454"/>
      <c r="Y463" s="454"/>
      <c r="Z463" s="454"/>
      <c r="AA463" s="454"/>
      <c r="AB463" s="454"/>
      <c r="AC463" s="454"/>
      <c r="AD463" s="454"/>
      <c r="AE463" s="454"/>
      <c r="AF463" s="454"/>
      <c r="AG463" s="454"/>
      <c r="AH463" s="454"/>
      <c r="AI463" s="454"/>
      <c r="AJ463" s="456"/>
      <c r="AK463" s="456"/>
      <c r="AL463" s="456"/>
      <c r="AM463" s="456"/>
      <c r="AN463" s="456"/>
      <c r="AO463" s="456"/>
      <c r="AP463" s="456"/>
      <c r="AQ463" s="456"/>
      <c r="AR463" s="454"/>
      <c r="AS463" s="456"/>
      <c r="AT463" s="456"/>
      <c r="AU463" s="456"/>
      <c r="AV463" s="456"/>
      <c r="AW463" s="456"/>
      <c r="AX463" s="456"/>
      <c r="AY463" s="456"/>
      <c r="AZ463" s="456"/>
      <c r="BA463" s="456"/>
      <c r="BB463" s="456"/>
      <c r="BC463" s="456"/>
      <c r="BD463" s="456"/>
      <c r="BE463" s="456"/>
      <c r="BF463" s="456"/>
      <c r="BG463" s="456">
        <v>29986.95906</v>
      </c>
      <c r="BH463" s="456">
        <v>30232.23</v>
      </c>
      <c r="BI463" s="456">
        <v>31041.43</v>
      </c>
      <c r="BJ463" s="456">
        <v>31028.22</v>
      </c>
      <c r="BK463" s="456">
        <v>31280.26</v>
      </c>
      <c r="BL463" s="456">
        <v>31644.92</v>
      </c>
      <c r="BM463" s="456">
        <v>2694.35</v>
      </c>
      <c r="BN463" s="456">
        <v>521.13</v>
      </c>
      <c r="BO463" s="456">
        <v>526.04</v>
      </c>
      <c r="BP463" s="456">
        <v>531.76</v>
      </c>
      <c r="BQ463" s="456">
        <v>536.19</v>
      </c>
      <c r="BR463" s="456">
        <v>542.48</v>
      </c>
      <c r="BS463" s="90">
        <v>0.0</v>
      </c>
      <c r="BT463" s="90"/>
    </row>
    <row r="464" ht="15.75" customHeight="1">
      <c r="A464" s="444" t="s">
        <v>98</v>
      </c>
      <c r="B464" s="445" t="s">
        <v>7324</v>
      </c>
      <c r="C464" s="468" t="s">
        <v>7326</v>
      </c>
      <c r="D464" s="446">
        <v>5648950.0</v>
      </c>
      <c r="E464" s="447" t="s">
        <v>120</v>
      </c>
      <c r="F464" s="448" t="s">
        <v>199</v>
      </c>
      <c r="G464" s="448" t="s">
        <v>841</v>
      </c>
      <c r="H464" s="448" t="str">
        <f>IFERROR(VLOOKUP(G464,'Cadastro de assessores'!A:B,2,FALSE),"Não Cadastrado")</f>
        <v>18256</v>
      </c>
      <c r="I464" s="448"/>
      <c r="J464" s="49" t="s">
        <v>2318</v>
      </c>
      <c r="K464" s="449" t="s">
        <v>183</v>
      </c>
      <c r="L464" s="450">
        <v>44365.0</v>
      </c>
      <c r="M464" s="450">
        <v>44365.0</v>
      </c>
      <c r="N464" s="446"/>
      <c r="O464" s="446" t="s">
        <v>2319</v>
      </c>
      <c r="P464" s="452">
        <v>0.019</v>
      </c>
      <c r="Q464" s="330" t="s">
        <v>2744</v>
      </c>
      <c r="R464" s="453"/>
      <c r="S464" s="449" t="str">
        <f t="shared" ref="S464:S469" si="50">IF(BC464&lt;=0,"",IF(BC464&lt;=1000000,"Não Qualificado",IF(AND(BC464&gt;1000000,BC464&lt;=10000000),"Qualificado","Profissional")))</f>
        <v>Não Qualificado</v>
      </c>
      <c r="T464" s="449" t="s">
        <v>194</v>
      </c>
      <c r="U464" s="446" t="s">
        <v>2383</v>
      </c>
      <c r="V464" s="449" t="s">
        <v>199</v>
      </c>
      <c r="W464" s="454"/>
      <c r="X464" s="454"/>
      <c r="Y464" s="454"/>
      <c r="Z464" s="454"/>
      <c r="AA464" s="454"/>
      <c r="AB464" s="454"/>
      <c r="AC464" s="454"/>
      <c r="AD464" s="454"/>
      <c r="AE464" s="454"/>
      <c r="AF464" s="454"/>
      <c r="AG464" s="454"/>
      <c r="AH464" s="454"/>
      <c r="AI464" s="454"/>
      <c r="AJ464" s="456"/>
      <c r="AK464" s="456"/>
      <c r="AL464" s="456"/>
      <c r="AM464" s="456"/>
      <c r="AN464" s="456"/>
      <c r="AO464" s="456"/>
      <c r="AP464" s="456"/>
      <c r="AQ464" s="456"/>
      <c r="AR464" s="454"/>
      <c r="AS464" s="456">
        <v>49266.38</v>
      </c>
      <c r="AT464" s="456">
        <v>47768.34</v>
      </c>
      <c r="AU464" s="456">
        <v>47203.14</v>
      </c>
      <c r="AV464" s="456">
        <v>45635.13</v>
      </c>
      <c r="AW464" s="456">
        <v>43448.9</v>
      </c>
      <c r="AX464" s="456">
        <v>43248.61</v>
      </c>
      <c r="AY464" s="456">
        <v>43757.29</v>
      </c>
      <c r="AZ464" s="456">
        <v>45254.21</v>
      </c>
      <c r="BA464" s="456">
        <v>45731.91</v>
      </c>
      <c r="BB464" s="456">
        <v>47654.02</v>
      </c>
      <c r="BC464" s="456">
        <v>233911.75</v>
      </c>
      <c r="BD464" s="456">
        <v>46471.03</v>
      </c>
      <c r="BE464" s="456">
        <v>45570.47</v>
      </c>
      <c r="BF464" s="456">
        <v>46604.01</v>
      </c>
      <c r="BG464" s="456">
        <v>47247.66231</v>
      </c>
      <c r="BH464" s="456">
        <v>47462.24</v>
      </c>
      <c r="BI464" s="456">
        <v>49654.7</v>
      </c>
      <c r="BJ464" s="456">
        <v>49431.21</v>
      </c>
      <c r="BK464" s="456">
        <v>49693.01</v>
      </c>
      <c r="BL464" s="456">
        <v>50315.95</v>
      </c>
      <c r="BM464" s="456">
        <v>50436.7</v>
      </c>
      <c r="BN464" s="456">
        <v>918.19</v>
      </c>
      <c r="BO464" s="456">
        <v>864.4</v>
      </c>
      <c r="BP464" s="456">
        <v>811.58</v>
      </c>
      <c r="BQ464" s="456">
        <v>904.86</v>
      </c>
      <c r="BR464" s="456">
        <v>1030.92</v>
      </c>
      <c r="BS464" s="90">
        <v>0.0</v>
      </c>
      <c r="BT464" s="90"/>
    </row>
    <row r="465" ht="15.75" customHeight="1">
      <c r="A465" s="444" t="s">
        <v>98</v>
      </c>
      <c r="B465" s="445" t="s">
        <v>7336</v>
      </c>
      <c r="C465" s="468" t="s">
        <v>7337</v>
      </c>
      <c r="D465" s="446">
        <v>6320705.0</v>
      </c>
      <c r="E465" s="447" t="s">
        <v>255</v>
      </c>
      <c r="F465" s="448" t="s">
        <v>199</v>
      </c>
      <c r="G465" s="448" t="s">
        <v>2489</v>
      </c>
      <c r="H465" s="448" t="str">
        <f>IFERROR(VLOOKUP(G465,'Cadastro de assessores'!A:B,2,FALSE),"Não Cadastrado")</f>
        <v>12624</v>
      </c>
      <c r="I465" s="448"/>
      <c r="J465" s="49" t="s">
        <v>2318</v>
      </c>
      <c r="K465" s="449" t="s">
        <v>183</v>
      </c>
      <c r="L465" s="450">
        <v>44421.0</v>
      </c>
      <c r="M465" s="450">
        <v>44421.0</v>
      </c>
      <c r="N465" s="446"/>
      <c r="O465" s="446" t="s">
        <v>2372</v>
      </c>
      <c r="P465" s="452">
        <v>0.025</v>
      </c>
      <c r="Q465" s="330"/>
      <c r="R465" s="453"/>
      <c r="S465" s="449" t="str">
        <f t="shared" si="50"/>
        <v/>
      </c>
      <c r="T465" s="449" t="s">
        <v>194</v>
      </c>
      <c r="U465" s="449" t="s">
        <v>3350</v>
      </c>
      <c r="V465" s="449" t="s">
        <v>199</v>
      </c>
      <c r="W465" s="454"/>
      <c r="X465" s="454"/>
      <c r="Y465" s="454"/>
      <c r="Z465" s="454"/>
      <c r="AA465" s="454"/>
      <c r="AB465" s="454"/>
      <c r="AC465" s="454"/>
      <c r="AD465" s="454"/>
      <c r="AE465" s="454"/>
      <c r="AF465" s="454"/>
      <c r="AG465" s="454"/>
      <c r="AH465" s="455"/>
      <c r="AI465" s="456"/>
      <c r="AJ465" s="456"/>
      <c r="AK465" s="456"/>
      <c r="AL465" s="456"/>
      <c r="AM465" s="456"/>
      <c r="AN465" s="456"/>
      <c r="AO465" s="456"/>
      <c r="AP465" s="456"/>
      <c r="AQ465" s="454"/>
      <c r="AR465" s="456"/>
      <c r="AS465" s="538"/>
      <c r="AT465" s="481"/>
      <c r="AU465" s="481">
        <v>104884.5</v>
      </c>
      <c r="AV465" s="456">
        <v>98891.08</v>
      </c>
      <c r="AW465" s="456">
        <v>90858.68</v>
      </c>
      <c r="AX465" s="456">
        <v>89741.48</v>
      </c>
      <c r="AY465" s="456">
        <v>91510.2</v>
      </c>
      <c r="AZ465" s="456">
        <v>97033.55</v>
      </c>
      <c r="BA465" s="456">
        <v>98245.19</v>
      </c>
      <c r="BB465" s="456">
        <v>104704.92</v>
      </c>
      <c r="BC465" s="456"/>
      <c r="BD465" s="456">
        <v>97942.6</v>
      </c>
      <c r="BE465" s="456">
        <v>93962.15</v>
      </c>
      <c r="BF465" s="456">
        <v>8850.88</v>
      </c>
      <c r="BG465" s="456">
        <v>5433.96</v>
      </c>
      <c r="BH465" s="456">
        <v>5456.64</v>
      </c>
      <c r="BI465" s="456">
        <v>5508.45</v>
      </c>
      <c r="BJ465" s="456">
        <v>5524.52</v>
      </c>
      <c r="BK465" s="456">
        <v>527.76</v>
      </c>
      <c r="BL465" s="456">
        <v>924.19</v>
      </c>
      <c r="BM465" s="456">
        <v>933.75</v>
      </c>
      <c r="BN465" s="456">
        <v>923.76</v>
      </c>
      <c r="BO465" s="456">
        <v>924.67</v>
      </c>
      <c r="BP465" s="456">
        <v>925.62</v>
      </c>
      <c r="BQ465" s="456">
        <v>929.54</v>
      </c>
      <c r="BR465" s="456">
        <v>927.86</v>
      </c>
      <c r="BS465" s="90">
        <v>0.15</v>
      </c>
      <c r="BT465" s="90"/>
    </row>
    <row r="466" ht="15.75" customHeight="1">
      <c r="A466" s="444" t="s">
        <v>98</v>
      </c>
      <c r="B466" s="445" t="s">
        <v>7345</v>
      </c>
      <c r="C466" s="468" t="s">
        <v>7346</v>
      </c>
      <c r="D466" s="364">
        <v>7263623.0</v>
      </c>
      <c r="E466" s="447" t="s">
        <v>120</v>
      </c>
      <c r="F466" s="448" t="s">
        <v>199</v>
      </c>
      <c r="G466" s="490" t="s">
        <v>212</v>
      </c>
      <c r="H466" s="448">
        <f>IFERROR(VLOOKUP(G466,'Cadastro de assessores'!A:B,2,FALSE),"Não Cadastrado")</f>
        <v>12344</v>
      </c>
      <c r="I466" s="448"/>
      <c r="J466" s="49" t="s">
        <v>2318</v>
      </c>
      <c r="K466" s="552" t="s">
        <v>295</v>
      </c>
      <c r="L466" s="449" t="s">
        <v>3320</v>
      </c>
      <c r="M466" s="548" t="s">
        <v>4295</v>
      </c>
      <c r="N466" s="490"/>
      <c r="O466" s="490" t="s">
        <v>2372</v>
      </c>
      <c r="P466" s="452">
        <v>0.025</v>
      </c>
      <c r="Q466" s="819" t="s">
        <v>7350</v>
      </c>
      <c r="R466" s="453"/>
      <c r="S466" s="449" t="str">
        <f t="shared" si="50"/>
        <v>Não Qualificado</v>
      </c>
      <c r="T466" s="449" t="s">
        <v>194</v>
      </c>
      <c r="U466" s="449" t="s">
        <v>3350</v>
      </c>
      <c r="V466" s="449" t="s">
        <v>199</v>
      </c>
      <c r="W466" s="454"/>
      <c r="X466" s="454"/>
      <c r="Y466" s="454"/>
      <c r="Z466" s="454"/>
      <c r="AA466" s="454"/>
      <c r="AB466" s="454"/>
      <c r="AC466" s="454"/>
      <c r="AD466" s="454"/>
      <c r="AE466" s="454"/>
      <c r="AF466" s="454"/>
      <c r="AG466" s="454"/>
      <c r="AH466" s="455"/>
      <c r="AI466" s="456"/>
      <c r="AJ466" s="456"/>
      <c r="AK466" s="456"/>
      <c r="AL466" s="456"/>
      <c r="AM466" s="456"/>
      <c r="AN466" s="456"/>
      <c r="AO466" s="456"/>
      <c r="AP466" s="456"/>
      <c r="AQ466" s="454"/>
      <c r="AR466" s="456"/>
      <c r="AS466" s="456"/>
      <c r="AT466" s="456"/>
      <c r="AU466" s="456"/>
      <c r="AV466" s="456"/>
      <c r="AW466" s="456"/>
      <c r="AX466" s="454"/>
      <c r="AY466" s="454"/>
      <c r="AZ466" s="455"/>
      <c r="BA466" s="455">
        <v>0.0</v>
      </c>
      <c r="BB466" s="455">
        <v>0.0</v>
      </c>
      <c r="BC466" s="455">
        <v>113671.65</v>
      </c>
      <c r="BD466" s="456" t="s">
        <v>377</v>
      </c>
      <c r="BE466" s="456" t="s">
        <v>377</v>
      </c>
      <c r="BF466" s="456">
        <v>0.0</v>
      </c>
      <c r="BG466" s="456">
        <v>0.0</v>
      </c>
      <c r="BH466" s="456">
        <v>0.0</v>
      </c>
      <c r="BI466" s="456">
        <v>0.0</v>
      </c>
      <c r="BJ466" s="456">
        <v>0.0</v>
      </c>
      <c r="BK466" s="456">
        <v>0.0</v>
      </c>
      <c r="BL466" s="456">
        <v>0.0</v>
      </c>
      <c r="BM466" s="456">
        <v>0.0</v>
      </c>
      <c r="BN466" s="456">
        <v>0.0</v>
      </c>
      <c r="BO466" s="456">
        <v>0.0</v>
      </c>
      <c r="BP466" s="456">
        <v>0.0</v>
      </c>
      <c r="BQ466" s="456">
        <v>0.0</v>
      </c>
      <c r="BR466" s="456">
        <v>0.0</v>
      </c>
      <c r="BS466" s="90">
        <v>0.0</v>
      </c>
      <c r="BT466" s="90"/>
    </row>
    <row r="467" ht="15.75" customHeight="1">
      <c r="A467" s="444" t="s">
        <v>98</v>
      </c>
      <c r="B467" s="445" t="s">
        <v>7345</v>
      </c>
      <c r="C467" s="468" t="s">
        <v>7346</v>
      </c>
      <c r="D467" s="446">
        <v>2004579.0</v>
      </c>
      <c r="E467" s="447" t="s">
        <v>120</v>
      </c>
      <c r="F467" s="448" t="s">
        <v>199</v>
      </c>
      <c r="G467" s="490" t="s">
        <v>212</v>
      </c>
      <c r="H467" s="448">
        <f>IFERROR(VLOOKUP(G467,'Cadastro de assessores'!A:B,2,FALSE),"Não Cadastrado")</f>
        <v>12344</v>
      </c>
      <c r="I467" s="448"/>
      <c r="J467" s="74" t="s">
        <v>183</v>
      </c>
      <c r="K467" s="449" t="s">
        <v>183</v>
      </c>
      <c r="L467" s="450">
        <v>44557.0</v>
      </c>
      <c r="M467" s="450">
        <v>44557.0</v>
      </c>
      <c r="N467" s="490"/>
      <c r="O467" s="490" t="s">
        <v>2356</v>
      </c>
      <c r="P467" s="452">
        <v>0.007</v>
      </c>
      <c r="Q467" s="819" t="s">
        <v>7350</v>
      </c>
      <c r="R467" s="453"/>
      <c r="S467" s="449" t="str">
        <f t="shared" si="50"/>
        <v>Não Qualificado</v>
      </c>
      <c r="T467" s="449" t="s">
        <v>194</v>
      </c>
      <c r="U467" s="449" t="s">
        <v>3350</v>
      </c>
      <c r="V467" s="449" t="s">
        <v>199</v>
      </c>
      <c r="W467" s="454"/>
      <c r="X467" s="454"/>
      <c r="Y467" s="454"/>
      <c r="Z467" s="454"/>
      <c r="AA467" s="454"/>
      <c r="AB467" s="454"/>
      <c r="AC467" s="454"/>
      <c r="AD467" s="454"/>
      <c r="AE467" s="454"/>
      <c r="AF467" s="454"/>
      <c r="AG467" s="454"/>
      <c r="AH467" s="455"/>
      <c r="AI467" s="456"/>
      <c r="AJ467" s="456"/>
      <c r="AK467" s="456"/>
      <c r="AL467" s="456"/>
      <c r="AM467" s="456"/>
      <c r="AN467" s="456"/>
      <c r="AO467" s="456"/>
      <c r="AP467" s="456"/>
      <c r="AQ467" s="454"/>
      <c r="AR467" s="456"/>
      <c r="AS467" s="456"/>
      <c r="AT467" s="456"/>
      <c r="AU467" s="456"/>
      <c r="AV467" s="456"/>
      <c r="AW467" s="456"/>
      <c r="AX467" s="454"/>
      <c r="AY467" s="481">
        <v>490247.55</v>
      </c>
      <c r="AZ467" s="456">
        <v>594296.93</v>
      </c>
      <c r="BA467" s="456">
        <v>599010.14</v>
      </c>
      <c r="BB467" s="456">
        <v>607476.02</v>
      </c>
      <c r="BC467" s="456">
        <v>135391.14</v>
      </c>
      <c r="BD467" s="456">
        <v>619618.25</v>
      </c>
      <c r="BE467" s="456">
        <v>624555.53</v>
      </c>
      <c r="BF467" s="456">
        <v>627595.1</v>
      </c>
      <c r="BG467" s="456">
        <v>633119.5487</v>
      </c>
      <c r="BH467" s="456">
        <v>637310.28</v>
      </c>
      <c r="BI467" s="456">
        <v>640648.99</v>
      </c>
      <c r="BJ467" s="456">
        <v>644505.17</v>
      </c>
      <c r="BK467" s="456">
        <v>753247.3</v>
      </c>
      <c r="BL467" s="456">
        <v>759796.97</v>
      </c>
      <c r="BM467" s="456">
        <v>765540.86</v>
      </c>
      <c r="BN467" s="456">
        <v>774715.7</v>
      </c>
      <c r="BO467" s="456">
        <v>121.86</v>
      </c>
      <c r="BP467" s="456">
        <v>121.86</v>
      </c>
      <c r="BQ467" s="456">
        <v>8121.86</v>
      </c>
      <c r="BR467" s="456">
        <v>44601.21</v>
      </c>
      <c r="BS467" s="90">
        <v>21729.06</v>
      </c>
      <c r="BT467" s="90"/>
    </row>
    <row r="468" ht="15.75" customHeight="1">
      <c r="A468" s="444" t="s">
        <v>98</v>
      </c>
      <c r="B468" s="445" t="s">
        <v>7366</v>
      </c>
      <c r="C468" s="468" t="s">
        <v>7367</v>
      </c>
      <c r="D468" s="446">
        <v>4841428.0</v>
      </c>
      <c r="E468" s="447" t="s">
        <v>120</v>
      </c>
      <c r="F468" s="448" t="s">
        <v>199</v>
      </c>
      <c r="G468" s="448" t="s">
        <v>1340</v>
      </c>
      <c r="H468" s="448" t="str">
        <f>IFERROR(VLOOKUP(G468,'Cadastro de assessores'!A:B,2,FALSE),"Não Cadastrado")</f>
        <v>13444</v>
      </c>
      <c r="I468" s="448"/>
      <c r="J468" s="49" t="s">
        <v>2318</v>
      </c>
      <c r="K468" s="449" t="s">
        <v>183</v>
      </c>
      <c r="L468" s="450">
        <v>44370.0</v>
      </c>
      <c r="M468" s="450">
        <v>44372.0</v>
      </c>
      <c r="N468" s="446"/>
      <c r="O468" s="446" t="s">
        <v>3721</v>
      </c>
      <c r="P468" s="452">
        <v>0.02</v>
      </c>
      <c r="Q468" s="330"/>
      <c r="R468" s="453"/>
      <c r="S468" s="449" t="str">
        <f t="shared" si="50"/>
        <v/>
      </c>
      <c r="T468" s="449" t="s">
        <v>194</v>
      </c>
      <c r="U468" s="446" t="s">
        <v>3722</v>
      </c>
      <c r="V468" s="446" t="s">
        <v>475</v>
      </c>
      <c r="W468" s="454"/>
      <c r="X468" s="454"/>
      <c r="Y468" s="454"/>
      <c r="Z468" s="454"/>
      <c r="AA468" s="454"/>
      <c r="AB468" s="454"/>
      <c r="AC468" s="454"/>
      <c r="AD468" s="454"/>
      <c r="AE468" s="454"/>
      <c r="AF468" s="454"/>
      <c r="AG468" s="454"/>
      <c r="AH468" s="454"/>
      <c r="AI468" s="455"/>
      <c r="AJ468" s="456"/>
      <c r="AK468" s="456"/>
      <c r="AL468" s="456"/>
      <c r="AM468" s="456"/>
      <c r="AN468" s="456"/>
      <c r="AO468" s="456"/>
      <c r="AP468" s="456"/>
      <c r="AQ468" s="456"/>
      <c r="AR468" s="454"/>
      <c r="AS468" s="456">
        <v>98280.75</v>
      </c>
      <c r="AT468" s="456">
        <v>92132.74</v>
      </c>
      <c r="AU468" s="456">
        <v>90335.7</v>
      </c>
      <c r="AV468" s="456">
        <v>84565.32</v>
      </c>
      <c r="AW468" s="456">
        <v>75442.76</v>
      </c>
      <c r="AX468" s="456">
        <v>68610.56</v>
      </c>
      <c r="AY468" s="456">
        <v>71332.11</v>
      </c>
      <c r="AZ468" s="456">
        <v>73982.73</v>
      </c>
      <c r="BA468" s="456">
        <v>76268.76</v>
      </c>
      <c r="BB468" s="456">
        <v>79776.3</v>
      </c>
      <c r="BC468" s="456"/>
      <c r="BD468" s="456">
        <v>76306.33</v>
      </c>
      <c r="BE468" s="456">
        <v>63907.91</v>
      </c>
      <c r="BF468" s="456">
        <v>68319.18</v>
      </c>
      <c r="BG468" s="456">
        <v>72571.56</v>
      </c>
      <c r="BH468" s="456">
        <v>69744.21</v>
      </c>
      <c r="BI468" s="456">
        <v>77493.17</v>
      </c>
      <c r="BJ468" s="456">
        <v>73364.9</v>
      </c>
      <c r="BK468" s="456">
        <v>71092.61</v>
      </c>
      <c r="BL468" s="456">
        <v>73086.78</v>
      </c>
      <c r="BM468" s="456">
        <v>67303.72</v>
      </c>
      <c r="BN468" s="456">
        <v>63602.08</v>
      </c>
      <c r="BO468" s="456">
        <v>63025.42</v>
      </c>
      <c r="BP468" s="456">
        <v>70336.45</v>
      </c>
      <c r="BQ468" s="456">
        <v>74873.84</v>
      </c>
      <c r="BR468" s="456">
        <v>77835.21</v>
      </c>
      <c r="BS468" s="90">
        <v>0.0</v>
      </c>
      <c r="BT468" s="90"/>
    </row>
    <row r="469" ht="15.75" customHeight="1">
      <c r="A469" s="444" t="s">
        <v>98</v>
      </c>
      <c r="B469" s="445" t="s">
        <v>7374</v>
      </c>
      <c r="C469" s="458" t="s">
        <v>7375</v>
      </c>
      <c r="D469" s="449">
        <v>4681272.0</v>
      </c>
      <c r="E469" s="447" t="s">
        <v>255</v>
      </c>
      <c r="F469" s="447" t="s">
        <v>199</v>
      </c>
      <c r="G469" s="447" t="s">
        <v>548</v>
      </c>
      <c r="H469" s="447" t="str">
        <f>IFERROR(VLOOKUP(G469,'Cadastro de assessores'!A:B,2,FALSE),"Não Cadastrado")</f>
        <v>14574</v>
      </c>
      <c r="I469" s="447"/>
      <c r="J469" s="49" t="s">
        <v>224</v>
      </c>
      <c r="K469" s="449" t="s">
        <v>183</v>
      </c>
      <c r="L469" s="451">
        <v>44186.0</v>
      </c>
      <c r="M469" s="451">
        <v>44186.0</v>
      </c>
      <c r="N469" s="508">
        <v>44901.0</v>
      </c>
      <c r="O469" s="446" t="s">
        <v>2319</v>
      </c>
      <c r="P469" s="452">
        <v>0.02</v>
      </c>
      <c r="Q469" s="461" t="s">
        <v>7378</v>
      </c>
      <c r="R469" s="453"/>
      <c r="S469" s="449" t="str">
        <f t="shared" si="50"/>
        <v>Não Qualificado</v>
      </c>
      <c r="T469" s="449" t="s">
        <v>194</v>
      </c>
      <c r="U469" s="449" t="s">
        <v>7379</v>
      </c>
      <c r="V469" s="449" t="s">
        <v>1172</v>
      </c>
      <c r="W469" s="455" t="s">
        <v>2344</v>
      </c>
      <c r="X469" s="455" t="s">
        <v>2344</v>
      </c>
      <c r="Y469" s="455" t="s">
        <v>2344</v>
      </c>
      <c r="Z469" s="455" t="s">
        <v>2344</v>
      </c>
      <c r="AA469" s="455" t="s">
        <v>2344</v>
      </c>
      <c r="AB469" s="455" t="s">
        <v>2344</v>
      </c>
      <c r="AC469" s="455" t="s">
        <v>2344</v>
      </c>
      <c r="AD469" s="455" t="s">
        <v>2344</v>
      </c>
      <c r="AE469" s="455" t="s">
        <v>2344</v>
      </c>
      <c r="AF469" s="455" t="s">
        <v>2344</v>
      </c>
      <c r="AG469" s="455" t="s">
        <v>2344</v>
      </c>
      <c r="AH469" s="455" t="s">
        <v>2344</v>
      </c>
      <c r="AI469" s="455" t="s">
        <v>2344</v>
      </c>
      <c r="AJ469" s="455" t="s">
        <v>2344</v>
      </c>
      <c r="AK469" s="456">
        <v>130511.09</v>
      </c>
      <c r="AL469" s="456">
        <v>156847.69</v>
      </c>
      <c r="AM469" s="456">
        <v>150562.91</v>
      </c>
      <c r="AN469" s="456">
        <v>150826.78</v>
      </c>
      <c r="AO469" s="456">
        <v>157052.35</v>
      </c>
      <c r="AP469" s="456">
        <v>161358.06</v>
      </c>
      <c r="AQ469" s="456">
        <v>160372.38</v>
      </c>
      <c r="AR469" s="456">
        <v>186413.42</v>
      </c>
      <c r="AS469" s="456">
        <v>183874.49</v>
      </c>
      <c r="AT469" s="456">
        <v>177182.7</v>
      </c>
      <c r="AU469" s="456">
        <v>174801.54</v>
      </c>
      <c r="AV469" s="456">
        <v>168789.51</v>
      </c>
      <c r="AW469" s="456">
        <v>159178.03</v>
      </c>
      <c r="AX469" s="456">
        <v>158989.46</v>
      </c>
      <c r="AY469" s="456">
        <v>161171.69</v>
      </c>
      <c r="AZ469" s="456">
        <v>168193.24</v>
      </c>
      <c r="BA469" s="456">
        <v>169606.9</v>
      </c>
      <c r="BB469" s="456">
        <v>177746.34</v>
      </c>
      <c r="BC469" s="456">
        <v>0.81</v>
      </c>
      <c r="BD469" s="456">
        <v>173740.92</v>
      </c>
      <c r="BE469" s="456">
        <v>169531.31</v>
      </c>
      <c r="BF469" s="456">
        <v>175983.34</v>
      </c>
      <c r="BG469" s="456">
        <v>180237.7685</v>
      </c>
      <c r="BH469" s="456">
        <v>179635.48</v>
      </c>
      <c r="BI469" s="456">
        <v>190126.85</v>
      </c>
      <c r="BJ469" s="456">
        <v>159052.1</v>
      </c>
      <c r="BK469" s="456">
        <v>0.0</v>
      </c>
      <c r="BL469" s="456">
        <v>0.0</v>
      </c>
      <c r="BM469" s="456">
        <v>0.0</v>
      </c>
      <c r="BN469" s="456">
        <v>0.0</v>
      </c>
      <c r="BO469" s="456">
        <v>0.0</v>
      </c>
      <c r="BP469" s="456">
        <v>0.0</v>
      </c>
      <c r="BQ469" s="456">
        <v>0.0</v>
      </c>
      <c r="BR469" s="456">
        <v>0.0</v>
      </c>
      <c r="BS469" s="90" t="s">
        <v>268</v>
      </c>
      <c r="BT469" s="90"/>
    </row>
    <row r="470" ht="15.75" customHeight="1">
      <c r="A470" s="444" t="s">
        <v>98</v>
      </c>
      <c r="B470" s="445" t="s">
        <v>7387</v>
      </c>
      <c r="C470" s="468" t="s">
        <v>7388</v>
      </c>
      <c r="D470" s="446">
        <v>3658320.0</v>
      </c>
      <c r="E470" s="447" t="s">
        <v>120</v>
      </c>
      <c r="F470" s="447" t="s">
        <v>199</v>
      </c>
      <c r="G470" s="446" t="s">
        <v>1914</v>
      </c>
      <c r="H470" s="446">
        <f>IFERROR(VLOOKUP(G470,'Cadastro de assessores'!A:B,2,FALSE),"Não Cadastrado")</f>
        <v>12359</v>
      </c>
      <c r="I470" s="446"/>
      <c r="J470" s="49" t="s">
        <v>2318</v>
      </c>
      <c r="K470" s="449" t="s">
        <v>183</v>
      </c>
      <c r="L470" s="451">
        <v>44704.0</v>
      </c>
      <c r="M470" s="451">
        <v>44704.0</v>
      </c>
      <c r="N470" s="449"/>
      <c r="O470" s="449" t="s">
        <v>2365</v>
      </c>
      <c r="P470" s="452">
        <v>0.012</v>
      </c>
      <c r="Q470" s="611" t="s">
        <v>5124</v>
      </c>
      <c r="R470" s="453"/>
      <c r="S470" s="449"/>
      <c r="T470" s="449" t="s">
        <v>194</v>
      </c>
      <c r="U470" s="449" t="s">
        <v>2383</v>
      </c>
      <c r="V470" s="449" t="s">
        <v>199</v>
      </c>
      <c r="W470" s="455"/>
      <c r="X470" s="455"/>
      <c r="Y470" s="455"/>
      <c r="Z470" s="455"/>
      <c r="AA470" s="455"/>
      <c r="AB470" s="455"/>
      <c r="AC470" s="455"/>
      <c r="AD470" s="455"/>
      <c r="AE470" s="455"/>
      <c r="AF470" s="455"/>
      <c r="AG470" s="455"/>
      <c r="AH470" s="455"/>
      <c r="AI470" s="455"/>
      <c r="AJ470" s="455"/>
      <c r="AK470" s="456"/>
      <c r="AL470" s="456"/>
      <c r="AM470" s="456"/>
      <c r="AN470" s="456"/>
      <c r="AO470" s="456"/>
      <c r="AP470" s="456"/>
      <c r="AQ470" s="456"/>
      <c r="AR470" s="456"/>
      <c r="AS470" s="456"/>
      <c r="AT470" s="456"/>
      <c r="AU470" s="456"/>
      <c r="AV470" s="456"/>
      <c r="AW470" s="456"/>
      <c r="AX470" s="456"/>
      <c r="AY470" s="456"/>
      <c r="AZ470" s="456"/>
      <c r="BA470" s="456"/>
      <c r="BB470" s="456"/>
      <c r="BC470" s="456"/>
      <c r="BD470" s="456">
        <v>57246.89</v>
      </c>
      <c r="BE470" s="456">
        <v>57118.23</v>
      </c>
      <c r="BF470" s="456">
        <v>57774.79</v>
      </c>
      <c r="BG470" s="456">
        <v>58928.37616</v>
      </c>
      <c r="BH470" s="456">
        <v>59060.06</v>
      </c>
      <c r="BI470" s="456">
        <v>59493.31</v>
      </c>
      <c r="BJ470" s="456">
        <v>60189.18</v>
      </c>
      <c r="BK470" s="456">
        <v>60922.8</v>
      </c>
      <c r="BL470" s="456">
        <v>61754.98</v>
      </c>
      <c r="BM470" s="456">
        <v>49787.62</v>
      </c>
      <c r="BN470" s="456">
        <v>1.17</v>
      </c>
      <c r="BO470" s="456">
        <v>1.17</v>
      </c>
      <c r="BP470" s="456">
        <v>1.17</v>
      </c>
      <c r="BQ470" s="456">
        <v>1.17</v>
      </c>
      <c r="BR470" s="456">
        <v>1.17</v>
      </c>
      <c r="BS470" s="90">
        <v>0.0</v>
      </c>
      <c r="BT470" s="90"/>
    </row>
    <row r="471" ht="15.75" customHeight="1">
      <c r="A471" s="444" t="s">
        <v>98</v>
      </c>
      <c r="B471" s="445" t="s">
        <v>7393</v>
      </c>
      <c r="C471" s="458" t="s">
        <v>7394</v>
      </c>
      <c r="D471" s="449">
        <v>4559307.0</v>
      </c>
      <c r="E471" s="447" t="s">
        <v>255</v>
      </c>
      <c r="F471" s="447" t="s">
        <v>199</v>
      </c>
      <c r="G471" s="447" t="s">
        <v>2587</v>
      </c>
      <c r="H471" s="447" t="str">
        <f>IFERROR(VLOOKUP(G471,'Cadastro de assessores'!A:B,2,FALSE),"Não Cadastrado")</f>
        <v>1298</v>
      </c>
      <c r="I471" s="447"/>
      <c r="J471" s="49" t="s">
        <v>2318</v>
      </c>
      <c r="K471" s="449" t="s">
        <v>183</v>
      </c>
      <c r="L471" s="451">
        <v>44151.0</v>
      </c>
      <c r="M471" s="451">
        <v>44151.0</v>
      </c>
      <c r="N471" s="449"/>
      <c r="O471" s="449" t="s">
        <v>2341</v>
      </c>
      <c r="P471" s="452">
        <v>0.015</v>
      </c>
      <c r="Q471" s="461"/>
      <c r="R471" s="453"/>
      <c r="S471" s="449" t="str">
        <f>IF(BC471&lt;=0,"",IF(BC471&lt;=1000000,"Não Qualificado",IF(AND(BC471&gt;1000000,BC471&lt;=10000000),"Qualificado","Profissional")))</f>
        <v>Não Qualificado</v>
      </c>
      <c r="T471" s="449" t="s">
        <v>194</v>
      </c>
      <c r="U471" s="449" t="s">
        <v>2343</v>
      </c>
      <c r="V471" s="449" t="s">
        <v>199</v>
      </c>
      <c r="W471" s="455" t="s">
        <v>2344</v>
      </c>
      <c r="X471" s="455" t="s">
        <v>2344</v>
      </c>
      <c r="Y471" s="455" t="s">
        <v>2344</v>
      </c>
      <c r="Z471" s="455" t="s">
        <v>2344</v>
      </c>
      <c r="AA471" s="455" t="s">
        <v>2344</v>
      </c>
      <c r="AB471" s="455" t="s">
        <v>2344</v>
      </c>
      <c r="AC471" s="455" t="s">
        <v>2344</v>
      </c>
      <c r="AD471" s="455" t="s">
        <v>2344</v>
      </c>
      <c r="AE471" s="455" t="s">
        <v>2344</v>
      </c>
      <c r="AF471" s="455" t="s">
        <v>2344</v>
      </c>
      <c r="AG471" s="455" t="s">
        <v>2344</v>
      </c>
      <c r="AH471" s="455" t="s">
        <v>2344</v>
      </c>
      <c r="AI471" s="455" t="s">
        <v>2344</v>
      </c>
      <c r="AJ471" s="455" t="s">
        <v>7397</v>
      </c>
      <c r="AK471" s="456">
        <v>223748.52</v>
      </c>
      <c r="AL471" s="456">
        <v>219235.47</v>
      </c>
      <c r="AM471" s="456">
        <v>214079.07</v>
      </c>
      <c r="AN471" s="456">
        <v>213908.24</v>
      </c>
      <c r="AO471" s="456">
        <v>219657.25</v>
      </c>
      <c r="AP471" s="456">
        <v>220932.72</v>
      </c>
      <c r="AQ471" s="456">
        <v>220118.75</v>
      </c>
      <c r="AR471" s="456">
        <v>224934.37</v>
      </c>
      <c r="AS471" s="456">
        <v>223127.56</v>
      </c>
      <c r="AT471" s="456">
        <v>218695.75</v>
      </c>
      <c r="AU471" s="456">
        <v>217247.23</v>
      </c>
      <c r="AV471" s="456">
        <v>212859.01</v>
      </c>
      <c r="AW471" s="456">
        <v>205567.66</v>
      </c>
      <c r="AX471" s="456">
        <v>205831.34</v>
      </c>
      <c r="AY471" s="456">
        <v>208800.92</v>
      </c>
      <c r="AZ471" s="456">
        <v>213909.64</v>
      </c>
      <c r="BA471" s="456">
        <v>215464.88</v>
      </c>
      <c r="BB471" s="456">
        <v>223008.41</v>
      </c>
      <c r="BC471" s="456">
        <v>3950.19</v>
      </c>
      <c r="BD471" s="456">
        <v>222385.89</v>
      </c>
      <c r="BE471" s="456">
        <v>221445.0</v>
      </c>
      <c r="BF471" s="456">
        <v>224944.06</v>
      </c>
      <c r="BG471" s="456">
        <v>226087.5542</v>
      </c>
      <c r="BH471" s="456">
        <v>226842.58</v>
      </c>
      <c r="BI471" s="456">
        <v>234094.25</v>
      </c>
      <c r="BJ471" s="456">
        <v>233445.18</v>
      </c>
      <c r="BK471" s="456">
        <v>234987.56</v>
      </c>
      <c r="BL471" s="456">
        <v>237773.64</v>
      </c>
      <c r="BM471" s="456">
        <v>239314.08</v>
      </c>
      <c r="BN471" s="456">
        <v>0.49</v>
      </c>
      <c r="BO471" s="456">
        <v>0.0</v>
      </c>
      <c r="BP471" s="456">
        <v>0.0</v>
      </c>
      <c r="BQ471" s="456">
        <v>0.0</v>
      </c>
      <c r="BR471" s="456">
        <v>0.0</v>
      </c>
      <c r="BS471" s="90">
        <v>0.0</v>
      </c>
      <c r="BT471" s="90"/>
    </row>
    <row r="472" ht="15.75" customHeight="1">
      <c r="A472" s="444" t="s">
        <v>98</v>
      </c>
      <c r="B472" s="445" t="s">
        <v>7400</v>
      </c>
      <c r="C472" s="468" t="s">
        <v>7401</v>
      </c>
      <c r="D472" s="446">
        <v>3677198.0</v>
      </c>
      <c r="E472" s="447" t="s">
        <v>120</v>
      </c>
      <c r="F472" s="447" t="s">
        <v>54</v>
      </c>
      <c r="G472" s="447" t="s">
        <v>348</v>
      </c>
      <c r="H472" s="447">
        <f>IFERROR(VLOOKUP(G472,'Cadastro de assessores'!A:B,2,FALSE),"Não Cadastrado")</f>
        <v>12331</v>
      </c>
      <c r="I472" s="447"/>
      <c r="J472" s="49" t="s">
        <v>2318</v>
      </c>
      <c r="K472" s="449" t="s">
        <v>183</v>
      </c>
      <c r="L472" s="451">
        <v>44784.0</v>
      </c>
      <c r="M472" s="451">
        <v>44784.0</v>
      </c>
      <c r="N472" s="449"/>
      <c r="O472" s="449" t="s">
        <v>2365</v>
      </c>
      <c r="P472" s="452">
        <v>0.012</v>
      </c>
      <c r="Q472" s="461" t="s">
        <v>7403</v>
      </c>
      <c r="R472" s="453"/>
      <c r="S472" s="449"/>
      <c r="T472" s="449"/>
      <c r="U472" s="449"/>
      <c r="V472" s="449" t="s">
        <v>475</v>
      </c>
      <c r="W472" s="455"/>
      <c r="X472" s="455"/>
      <c r="Y472" s="455"/>
      <c r="Z472" s="455"/>
      <c r="AA472" s="455"/>
      <c r="AB472" s="455"/>
      <c r="AC472" s="455"/>
      <c r="AD472" s="455"/>
      <c r="AE472" s="455"/>
      <c r="AF472" s="455"/>
      <c r="AG472" s="455"/>
      <c r="AH472" s="455"/>
      <c r="AI472" s="455"/>
      <c r="AJ472" s="455"/>
      <c r="AK472" s="456"/>
      <c r="AL472" s="456"/>
      <c r="AM472" s="456"/>
      <c r="AN472" s="456"/>
      <c r="AO472" s="456"/>
      <c r="AP472" s="456"/>
      <c r="AQ472" s="456"/>
      <c r="AR472" s="456"/>
      <c r="AS472" s="456"/>
      <c r="AT472" s="456"/>
      <c r="AU472" s="456"/>
      <c r="AV472" s="456"/>
      <c r="AW472" s="456"/>
      <c r="AX472" s="456"/>
      <c r="AY472" s="456"/>
      <c r="AZ472" s="456"/>
      <c r="BA472" s="456"/>
      <c r="BB472" s="456"/>
      <c r="BC472" s="456"/>
      <c r="BD472" s="456"/>
      <c r="BE472" s="456"/>
      <c r="BF472" s="456"/>
      <c r="BG472" s="456">
        <v>553622.9585</v>
      </c>
      <c r="BH472" s="456">
        <v>556438.84</v>
      </c>
      <c r="BI472" s="456">
        <v>610019.69</v>
      </c>
      <c r="BJ472" s="456">
        <v>613027.59</v>
      </c>
      <c r="BK472" s="456">
        <v>617093.05</v>
      </c>
      <c r="BL472" s="456">
        <v>622124.51</v>
      </c>
      <c r="BM472" s="456">
        <v>674489.12</v>
      </c>
      <c r="BN472" s="456">
        <v>678119.8</v>
      </c>
      <c r="BO472" s="456">
        <v>685546.58</v>
      </c>
      <c r="BP472" s="456">
        <v>0.0</v>
      </c>
      <c r="BQ472" s="456">
        <v>0.0</v>
      </c>
      <c r="BR472" s="456">
        <v>0.0</v>
      </c>
      <c r="BS472" s="90" t="s">
        <v>268</v>
      </c>
      <c r="BT472" s="90"/>
    </row>
    <row r="473" ht="15.75" customHeight="1">
      <c r="A473" s="444" t="s">
        <v>98</v>
      </c>
      <c r="B473" s="445" t="s">
        <v>7407</v>
      </c>
      <c r="C473" s="458" t="s">
        <v>4447</v>
      </c>
      <c r="D473" s="449">
        <v>2645505.0</v>
      </c>
      <c r="E473" s="449" t="s">
        <v>669</v>
      </c>
      <c r="F473" s="449" t="s">
        <v>199</v>
      </c>
      <c r="G473" s="449" t="s">
        <v>669</v>
      </c>
      <c r="H473" s="449" t="str">
        <f>IFERROR(VLOOKUP(G473,'Cadastro de assessores'!A:B,2,FALSE),"Não Cadastrado")</f>
        <v>18986</v>
      </c>
      <c r="I473" s="449"/>
      <c r="J473" s="49" t="s">
        <v>224</v>
      </c>
      <c r="K473" s="449" t="s">
        <v>2340</v>
      </c>
      <c r="L473" s="460">
        <v>43684.0</v>
      </c>
      <c r="M473" s="460">
        <v>43684.0</v>
      </c>
      <c r="N473" s="460">
        <v>43924.0</v>
      </c>
      <c r="O473" s="449" t="s">
        <v>2341</v>
      </c>
      <c r="P473" s="452">
        <v>0.01</v>
      </c>
      <c r="Q473" s="461" t="s">
        <v>7411</v>
      </c>
      <c r="R473" s="453"/>
      <c r="S473" s="449" t="str">
        <f>IF(BC473&lt;=0,"",IF(BC473&lt;=1000000,"Não Qualificado",IF(AND(BC473&gt;1000000,BC473&lt;=10000000),"Qualificado","Profissional")))</f>
        <v>Não Qualificado</v>
      </c>
      <c r="T473" s="449" t="s">
        <v>194</v>
      </c>
      <c r="U473" s="449" t="s">
        <v>2374</v>
      </c>
      <c r="V473" s="449" t="s">
        <v>199</v>
      </c>
      <c r="W473" s="455" t="s">
        <v>7414</v>
      </c>
      <c r="X473" s="455"/>
      <c r="Y473" s="455" t="s">
        <v>7415</v>
      </c>
      <c r="Z473" s="455" t="s">
        <v>7416</v>
      </c>
      <c r="AA473" s="455" t="s">
        <v>7417</v>
      </c>
      <c r="AB473" s="455" t="s">
        <v>7418</v>
      </c>
      <c r="AC473" s="455" t="s">
        <v>2344</v>
      </c>
      <c r="AD473" s="455" t="s">
        <v>2344</v>
      </c>
      <c r="AE473" s="455" t="s">
        <v>2344</v>
      </c>
      <c r="AF473" s="455" t="s">
        <v>2344</v>
      </c>
      <c r="AG473" s="455" t="s">
        <v>2344</v>
      </c>
      <c r="AH473" s="455"/>
      <c r="AI473" s="455" t="s">
        <v>2344</v>
      </c>
      <c r="AJ473" s="455"/>
      <c r="AK473" s="456"/>
      <c r="AL473" s="456"/>
      <c r="AM473" s="456" t="s">
        <v>3320</v>
      </c>
      <c r="AN473" s="456"/>
      <c r="AO473" s="456"/>
      <c r="AP473" s="456"/>
      <c r="AQ473" s="456"/>
      <c r="AR473" s="456"/>
      <c r="AS473" s="456"/>
      <c r="AT473" s="456"/>
      <c r="AU473" s="456"/>
      <c r="AV473" s="456"/>
      <c r="AW473" s="456"/>
      <c r="AX473" s="456"/>
      <c r="AY473" s="456"/>
      <c r="AZ473" s="456"/>
      <c r="BA473" s="456">
        <v>0.0</v>
      </c>
      <c r="BB473" s="456">
        <v>0.0</v>
      </c>
      <c r="BC473" s="456">
        <v>992871.73</v>
      </c>
      <c r="BD473" s="456" t="s">
        <v>377</v>
      </c>
      <c r="BE473" s="456" t="s">
        <v>377</v>
      </c>
      <c r="BF473" s="456">
        <v>0.0</v>
      </c>
      <c r="BG473" s="456">
        <v>0.0</v>
      </c>
      <c r="BH473" s="456">
        <v>0.0</v>
      </c>
      <c r="BI473" s="456">
        <v>0.0</v>
      </c>
      <c r="BJ473" s="456">
        <v>0.0</v>
      </c>
      <c r="BK473" s="456">
        <v>0.0</v>
      </c>
      <c r="BL473" s="456">
        <v>0.0</v>
      </c>
      <c r="BM473" s="456">
        <v>0.0</v>
      </c>
      <c r="BN473" s="456">
        <v>0.0</v>
      </c>
      <c r="BO473" s="456">
        <v>0.0</v>
      </c>
      <c r="BP473" s="456">
        <v>0.0</v>
      </c>
      <c r="BQ473" s="456">
        <v>0.0</v>
      </c>
      <c r="BR473" s="456">
        <v>0.0</v>
      </c>
      <c r="BS473" s="90" t="s">
        <v>268</v>
      </c>
      <c r="BT473" s="90"/>
    </row>
    <row r="474" ht="15.75" customHeight="1">
      <c r="A474" s="444" t="s">
        <v>98</v>
      </c>
      <c r="B474" s="445" t="s">
        <v>7421</v>
      </c>
      <c r="C474" s="458" t="s">
        <v>7422</v>
      </c>
      <c r="D474" s="449">
        <v>2289902.0</v>
      </c>
      <c r="E474" s="449" t="s">
        <v>120</v>
      </c>
      <c r="F474" s="449" t="s">
        <v>54</v>
      </c>
      <c r="G474" s="449" t="s">
        <v>125</v>
      </c>
      <c r="H474" s="449">
        <v>18890.0</v>
      </c>
      <c r="I474" s="449"/>
      <c r="J474" s="49" t="s">
        <v>2318</v>
      </c>
      <c r="K474" s="449" t="s">
        <v>295</v>
      </c>
      <c r="L474" s="449" t="s">
        <v>3320</v>
      </c>
      <c r="M474" s="460"/>
      <c r="N474" s="460"/>
      <c r="O474" s="449" t="s">
        <v>2365</v>
      </c>
      <c r="P474" s="452">
        <v>0.012</v>
      </c>
      <c r="Q474" s="461" t="s">
        <v>7423</v>
      </c>
      <c r="R474" s="453"/>
      <c r="S474" s="449"/>
      <c r="T474" s="449" t="s">
        <v>194</v>
      </c>
      <c r="U474" s="449" t="s">
        <v>7424</v>
      </c>
      <c r="V474" s="449" t="s">
        <v>7425</v>
      </c>
      <c r="W474" s="455"/>
      <c r="X474" s="455"/>
      <c r="Y474" s="455"/>
      <c r="Z474" s="455"/>
      <c r="AA474" s="455"/>
      <c r="AB474" s="455"/>
      <c r="AC474" s="455"/>
      <c r="AD474" s="455"/>
      <c r="AE474" s="455"/>
      <c r="AF474" s="455"/>
      <c r="AG474" s="455"/>
      <c r="AH474" s="455"/>
      <c r="AI474" s="455"/>
      <c r="AJ474" s="455"/>
      <c r="AK474" s="456"/>
      <c r="AL474" s="456"/>
      <c r="AM474" s="456"/>
      <c r="AN474" s="456"/>
      <c r="AO474" s="456"/>
      <c r="AP474" s="456"/>
      <c r="AQ474" s="456"/>
      <c r="AR474" s="456"/>
      <c r="AS474" s="456"/>
      <c r="AT474" s="456"/>
      <c r="AU474" s="456"/>
      <c r="AV474" s="456"/>
      <c r="AW474" s="456"/>
      <c r="AX474" s="456"/>
      <c r="AY474" s="456"/>
      <c r="AZ474" s="456"/>
      <c r="BA474" s="456"/>
      <c r="BB474" s="456"/>
      <c r="BC474" s="456"/>
      <c r="BD474" s="456" t="s">
        <v>377</v>
      </c>
      <c r="BE474" s="456" t="s">
        <v>377</v>
      </c>
      <c r="BF474" s="456">
        <v>0.0</v>
      </c>
      <c r="BG474" s="456">
        <v>0.0</v>
      </c>
      <c r="BH474" s="456">
        <v>0.0</v>
      </c>
      <c r="BI474" s="456">
        <v>0.0</v>
      </c>
      <c r="BJ474" s="456">
        <v>0.0</v>
      </c>
      <c r="BK474" s="456">
        <v>0.0</v>
      </c>
      <c r="BL474" s="456">
        <v>0.0</v>
      </c>
      <c r="BM474" s="456">
        <v>0.0</v>
      </c>
      <c r="BN474" s="456">
        <v>0.0</v>
      </c>
      <c r="BO474" s="456">
        <v>0.0</v>
      </c>
      <c r="BP474" s="456">
        <v>0.0</v>
      </c>
      <c r="BQ474" s="456">
        <v>0.0</v>
      </c>
      <c r="BR474" s="456">
        <v>0.0</v>
      </c>
      <c r="BS474" s="90">
        <v>0.0</v>
      </c>
      <c r="BT474" s="90"/>
    </row>
    <row r="475" ht="15.75" customHeight="1">
      <c r="A475" s="444" t="s">
        <v>98</v>
      </c>
      <c r="B475" s="445" t="s">
        <v>7429</v>
      </c>
      <c r="C475" s="458" t="s">
        <v>6796</v>
      </c>
      <c r="D475" s="449">
        <v>4837403.0</v>
      </c>
      <c r="E475" s="449" t="s">
        <v>255</v>
      </c>
      <c r="F475" s="449" t="s">
        <v>199</v>
      </c>
      <c r="G475" s="449" t="s">
        <v>3855</v>
      </c>
      <c r="H475" s="449" t="str">
        <f>IFERROR(VLOOKUP(G475,'Cadastro de assessores'!A:B,2,FALSE),"Não Cadastrado")</f>
        <v>19634</v>
      </c>
      <c r="I475" s="449"/>
      <c r="J475" s="49" t="s">
        <v>224</v>
      </c>
      <c r="K475" s="449" t="s">
        <v>2340</v>
      </c>
      <c r="L475" s="460">
        <v>44250.0</v>
      </c>
      <c r="M475" s="460">
        <v>44250.0</v>
      </c>
      <c r="N475" s="508">
        <v>44452.0</v>
      </c>
      <c r="O475" s="446" t="s">
        <v>2452</v>
      </c>
      <c r="P475" s="452">
        <v>0.008</v>
      </c>
      <c r="Q475" s="461" t="s">
        <v>7166</v>
      </c>
      <c r="R475" s="453"/>
      <c r="S475" s="449" t="str">
        <f t="shared" ref="S475:S478" si="51">IF(BC475&lt;=0,"",IF(BC475&lt;=1000000,"Não Qualificado",IF(AND(BC475&gt;1000000,BC475&lt;=10000000),"Qualificado","Profissional")))</f>
        <v>Não Qualificado</v>
      </c>
      <c r="T475" s="449" t="s">
        <v>194</v>
      </c>
      <c r="U475" s="449" t="s">
        <v>2374</v>
      </c>
      <c r="V475" s="449" t="s">
        <v>199</v>
      </c>
      <c r="W475" s="455"/>
      <c r="X475" s="455"/>
      <c r="Y475" s="455"/>
      <c r="Z475" s="455"/>
      <c r="AA475" s="455"/>
      <c r="AB475" s="455"/>
      <c r="AC475" s="455"/>
      <c r="AD475" s="455"/>
      <c r="AE475" s="455"/>
      <c r="AF475" s="455"/>
      <c r="AG475" s="455"/>
      <c r="AH475" s="455"/>
      <c r="AI475" s="455"/>
      <c r="AJ475" s="455"/>
      <c r="AK475" s="456"/>
      <c r="AL475" s="456"/>
      <c r="AM475" s="456">
        <v>299375.63</v>
      </c>
      <c r="AN475" s="456">
        <v>288384.21</v>
      </c>
      <c r="AO475" s="456">
        <v>285839.12</v>
      </c>
      <c r="AP475" s="456">
        <v>283810.78</v>
      </c>
      <c r="AQ475" s="456">
        <v>285038.08</v>
      </c>
      <c r="AR475" s="456">
        <v>280239.09</v>
      </c>
      <c r="AS475" s="456">
        <v>276722.03</v>
      </c>
      <c r="AT475" s="456">
        <v>282533.32</v>
      </c>
      <c r="AU475" s="456">
        <v>273945.45</v>
      </c>
      <c r="AV475" s="456"/>
      <c r="AW475" s="456"/>
      <c r="AX475" s="456"/>
      <c r="AY475" s="456"/>
      <c r="AZ475" s="456"/>
      <c r="BA475" s="456">
        <v>0.0</v>
      </c>
      <c r="BB475" s="456">
        <v>0.0</v>
      </c>
      <c r="BC475" s="456">
        <v>78222.37</v>
      </c>
      <c r="BD475" s="456" t="s">
        <v>377</v>
      </c>
      <c r="BE475" s="456" t="s">
        <v>377</v>
      </c>
      <c r="BF475" s="456">
        <v>0.0</v>
      </c>
      <c r="BG475" s="456">
        <v>0.0</v>
      </c>
      <c r="BH475" s="456">
        <v>0.0</v>
      </c>
      <c r="BI475" s="456">
        <v>0.0</v>
      </c>
      <c r="BJ475" s="456">
        <v>0.0</v>
      </c>
      <c r="BK475" s="456">
        <v>0.0</v>
      </c>
      <c r="BL475" s="456">
        <v>0.0</v>
      </c>
      <c r="BM475" s="456">
        <v>0.0</v>
      </c>
      <c r="BN475" s="456">
        <v>0.0</v>
      </c>
      <c r="BO475" s="456">
        <v>0.0</v>
      </c>
      <c r="BP475" s="456">
        <v>0.0</v>
      </c>
      <c r="BQ475" s="456">
        <v>0.0</v>
      </c>
      <c r="BR475" s="456">
        <v>0.0</v>
      </c>
      <c r="BS475" s="90" t="s">
        <v>268</v>
      </c>
      <c r="BT475" s="90"/>
    </row>
    <row r="476" ht="15.75" customHeight="1">
      <c r="A476" s="444" t="s">
        <v>98</v>
      </c>
      <c r="B476" s="445" t="s">
        <v>7433</v>
      </c>
      <c r="C476" s="458" t="s">
        <v>7434</v>
      </c>
      <c r="D476" s="449">
        <v>4903270.0</v>
      </c>
      <c r="E476" s="447" t="s">
        <v>255</v>
      </c>
      <c r="F476" s="447" t="s">
        <v>199</v>
      </c>
      <c r="G476" s="447" t="s">
        <v>212</v>
      </c>
      <c r="H476" s="447">
        <f>IFERROR(VLOOKUP(G476,'Cadastro de assessores'!A:B,2,FALSE),"Não Cadastrado")</f>
        <v>12344</v>
      </c>
      <c r="I476" s="447"/>
      <c r="J476" s="49" t="s">
        <v>2318</v>
      </c>
      <c r="K476" s="447" t="s">
        <v>183</v>
      </c>
      <c r="L476" s="450">
        <v>44257.0</v>
      </c>
      <c r="M476" s="450">
        <v>44257.0</v>
      </c>
      <c r="N476" s="446"/>
      <c r="O476" s="446" t="s">
        <v>2319</v>
      </c>
      <c r="P476" s="452">
        <v>0.02</v>
      </c>
      <c r="Q476" s="461" t="s">
        <v>7436</v>
      </c>
      <c r="R476" s="453"/>
      <c r="S476" s="449" t="str">
        <f t="shared" si="51"/>
        <v>Não Qualificado</v>
      </c>
      <c r="T476" s="449" t="s">
        <v>194</v>
      </c>
      <c r="U476" s="449" t="s">
        <v>4296</v>
      </c>
      <c r="V476" s="449" t="s">
        <v>199</v>
      </c>
      <c r="W476" s="455"/>
      <c r="X476" s="455"/>
      <c r="Y476" s="455"/>
      <c r="Z476" s="455"/>
      <c r="AA476" s="455"/>
      <c r="AB476" s="455"/>
      <c r="AC476" s="455"/>
      <c r="AD476" s="455"/>
      <c r="AE476" s="455"/>
      <c r="AF476" s="455"/>
      <c r="AG476" s="455"/>
      <c r="AH476" s="455"/>
      <c r="AI476" s="455"/>
      <c r="AJ476" s="455"/>
      <c r="AK476" s="456"/>
      <c r="AL476" s="456"/>
      <c r="AM476" s="456">
        <v>121026.33</v>
      </c>
      <c r="AN476" s="456">
        <v>141838.74</v>
      </c>
      <c r="AO476" s="456">
        <v>157917.37</v>
      </c>
      <c r="AP476" s="456">
        <v>159063.29</v>
      </c>
      <c r="AQ476" s="456">
        <v>158280.05</v>
      </c>
      <c r="AR476" s="456">
        <v>162816.18</v>
      </c>
      <c r="AS476" s="456">
        <v>160971.72</v>
      </c>
      <c r="AT476" s="456">
        <v>155739.38</v>
      </c>
      <c r="AU476" s="456">
        <v>153845.85</v>
      </c>
      <c r="AV476" s="456">
        <v>150549.3</v>
      </c>
      <c r="AW476" s="456">
        <v>142155.43</v>
      </c>
      <c r="AX476" s="456">
        <v>141656.72</v>
      </c>
      <c r="AY476" s="456">
        <v>143518.34</v>
      </c>
      <c r="AZ476" s="456">
        <v>148606.1</v>
      </c>
      <c r="BA476" s="456">
        <v>150292.78</v>
      </c>
      <c r="BB476" s="456">
        <v>156423.74</v>
      </c>
      <c r="BC476" s="456">
        <v>0.06</v>
      </c>
      <c r="BD476" s="456">
        <v>154525.25</v>
      </c>
      <c r="BE476" s="456">
        <v>151719.42</v>
      </c>
      <c r="BF476" s="456">
        <v>155704.36</v>
      </c>
      <c r="BG476" s="456">
        <v>226222.1025</v>
      </c>
      <c r="BH476" s="456">
        <v>225638.9</v>
      </c>
      <c r="BI476" s="456">
        <v>236144.44</v>
      </c>
      <c r="BJ476" s="456">
        <v>236906.99</v>
      </c>
      <c r="BK476" s="456">
        <v>243470.39</v>
      </c>
      <c r="BL476" s="456">
        <v>242277.13</v>
      </c>
      <c r="BM476" s="456">
        <v>240398.38</v>
      </c>
      <c r="BN476" s="456">
        <v>240233.6</v>
      </c>
      <c r="BO476" s="456">
        <v>0.0</v>
      </c>
      <c r="BP476" s="456">
        <v>0.0</v>
      </c>
      <c r="BQ476" s="456">
        <v>0.0</v>
      </c>
      <c r="BR476" s="456">
        <v>0.0</v>
      </c>
      <c r="BS476" s="90">
        <v>0.0</v>
      </c>
      <c r="BT476" s="90"/>
    </row>
    <row r="477" ht="15.75" customHeight="1">
      <c r="A477" s="444" t="s">
        <v>98</v>
      </c>
      <c r="B477" s="445" t="s">
        <v>7441</v>
      </c>
      <c r="C477" s="458" t="s">
        <v>4454</v>
      </c>
      <c r="D477" s="449">
        <v>2405046.0</v>
      </c>
      <c r="E477" s="449" t="s">
        <v>120</v>
      </c>
      <c r="F477" s="449" t="s">
        <v>199</v>
      </c>
      <c r="G477" s="449" t="s">
        <v>4689</v>
      </c>
      <c r="H477" s="449" t="str">
        <f>IFERROR(VLOOKUP(G477,'Cadastro de assessores'!A:B,2,FALSE),"Não Cadastrado")</f>
        <v>14320</v>
      </c>
      <c r="I477" s="449"/>
      <c r="J477" s="49" t="s">
        <v>224</v>
      </c>
      <c r="K477" s="449" t="s">
        <v>2340</v>
      </c>
      <c r="L477" s="460">
        <v>43777.0</v>
      </c>
      <c r="M477" s="460">
        <v>43777.0</v>
      </c>
      <c r="N477" s="722">
        <v>44105.0</v>
      </c>
      <c r="O477" s="449" t="s">
        <v>5539</v>
      </c>
      <c r="P477" s="452">
        <v>0.02</v>
      </c>
      <c r="Q477" s="461" t="s">
        <v>7444</v>
      </c>
      <c r="R477" s="453"/>
      <c r="S477" s="449" t="str">
        <f t="shared" si="51"/>
        <v/>
      </c>
      <c r="T477" s="449" t="s">
        <v>194</v>
      </c>
      <c r="U477" s="449" t="s">
        <v>3672</v>
      </c>
      <c r="V477" s="449" t="s">
        <v>199</v>
      </c>
      <c r="W477" s="455" t="s">
        <v>7445</v>
      </c>
      <c r="X477" s="455"/>
      <c r="Y477" s="455" t="s">
        <v>7446</v>
      </c>
      <c r="Z477" s="455" t="s">
        <v>7447</v>
      </c>
      <c r="AA477" s="455" t="s">
        <v>7448</v>
      </c>
      <c r="AB477" s="455" t="s">
        <v>7449</v>
      </c>
      <c r="AC477" s="455" t="s">
        <v>7450</v>
      </c>
      <c r="AD477" s="455" t="s">
        <v>7451</v>
      </c>
      <c r="AE477" s="455" t="s">
        <v>7452</v>
      </c>
      <c r="AF477" s="455" t="s">
        <v>7453</v>
      </c>
      <c r="AG477" s="455" t="s">
        <v>7454</v>
      </c>
      <c r="AH477" s="455" t="s">
        <v>7456</v>
      </c>
      <c r="AI477" s="455" t="s">
        <v>7457</v>
      </c>
      <c r="AJ477" s="455"/>
      <c r="AK477" s="456"/>
      <c r="AL477" s="456"/>
      <c r="AM477" s="456" t="s">
        <v>3320</v>
      </c>
      <c r="AN477" s="456"/>
      <c r="AO477" s="456"/>
      <c r="AP477" s="456"/>
      <c r="AQ477" s="456"/>
      <c r="AR477" s="456"/>
      <c r="AS477" s="456"/>
      <c r="AT477" s="456"/>
      <c r="AU477" s="456"/>
      <c r="AV477" s="456"/>
      <c r="AW477" s="456"/>
      <c r="AX477" s="456"/>
      <c r="AY477" s="456"/>
      <c r="AZ477" s="456"/>
      <c r="BA477" s="456">
        <v>0.0</v>
      </c>
      <c r="BB477" s="456">
        <v>0.0</v>
      </c>
      <c r="BC477" s="456">
        <v>0.0</v>
      </c>
      <c r="BD477" s="456" t="s">
        <v>377</v>
      </c>
      <c r="BE477" s="456" t="s">
        <v>377</v>
      </c>
      <c r="BF477" s="456">
        <v>0.0</v>
      </c>
      <c r="BG477" s="456">
        <v>0.0</v>
      </c>
      <c r="BH477" s="456">
        <v>0.0</v>
      </c>
      <c r="BI477" s="456">
        <v>0.0</v>
      </c>
      <c r="BJ477" s="456">
        <v>0.0</v>
      </c>
      <c r="BK477" s="456">
        <v>0.0</v>
      </c>
      <c r="BL477" s="456">
        <v>0.0</v>
      </c>
      <c r="BM477" s="456">
        <v>0.0</v>
      </c>
      <c r="BN477" s="456">
        <v>0.0</v>
      </c>
      <c r="BO477" s="456">
        <v>0.0</v>
      </c>
      <c r="BP477" s="456">
        <v>0.0</v>
      </c>
      <c r="BQ477" s="456">
        <v>0.0</v>
      </c>
      <c r="BR477" s="456">
        <v>0.0</v>
      </c>
      <c r="BS477" s="90" t="s">
        <v>268</v>
      </c>
      <c r="BT477" s="90"/>
    </row>
    <row r="478" ht="15.75" customHeight="1">
      <c r="A478" s="444" t="s">
        <v>98</v>
      </c>
      <c r="B478" s="445" t="s">
        <v>7463</v>
      </c>
      <c r="C478" s="468" t="s">
        <v>7464</v>
      </c>
      <c r="D478" s="446">
        <v>4460007.0</v>
      </c>
      <c r="E478" s="447" t="s">
        <v>120</v>
      </c>
      <c r="F478" s="448" t="s">
        <v>199</v>
      </c>
      <c r="G478" s="448" t="s">
        <v>1340</v>
      </c>
      <c r="H478" s="448" t="str">
        <f>IFERROR(VLOOKUP(G478,'Cadastro de assessores'!A:B,2,FALSE),"Não Cadastrado")</f>
        <v>13444</v>
      </c>
      <c r="I478" s="448"/>
      <c r="J478" s="49" t="s">
        <v>2318</v>
      </c>
      <c r="K478" s="447" t="s">
        <v>183</v>
      </c>
      <c r="L478" s="450">
        <v>44372.0</v>
      </c>
      <c r="M478" s="450">
        <v>44372.0</v>
      </c>
      <c r="N478" s="446"/>
      <c r="O478" s="446" t="s">
        <v>3721</v>
      </c>
      <c r="P478" s="452">
        <v>0.02</v>
      </c>
      <c r="Q478" s="330"/>
      <c r="R478" s="453"/>
      <c r="S478" s="449" t="str">
        <f t="shared" si="51"/>
        <v>Não Qualificado</v>
      </c>
      <c r="T478" s="446" t="s">
        <v>234</v>
      </c>
      <c r="U478" s="446" t="s">
        <v>3722</v>
      </c>
      <c r="V478" s="446" t="s">
        <v>475</v>
      </c>
      <c r="W478" s="454"/>
      <c r="X478" s="454"/>
      <c r="Y478" s="454"/>
      <c r="Z478" s="454"/>
      <c r="AA478" s="454"/>
      <c r="AB478" s="454"/>
      <c r="AC478" s="454"/>
      <c r="AD478" s="454"/>
      <c r="AE478" s="454"/>
      <c r="AF478" s="454"/>
      <c r="AG478" s="454"/>
      <c r="AH478" s="454"/>
      <c r="AI478" s="455"/>
      <c r="AJ478" s="456"/>
      <c r="AK478" s="456"/>
      <c r="AL478" s="456"/>
      <c r="AM478" s="456"/>
      <c r="AN478" s="456"/>
      <c r="AO478" s="456"/>
      <c r="AP478" s="456"/>
      <c r="AQ478" s="456"/>
      <c r="AR478" s="454"/>
      <c r="AS478" s="456">
        <v>143146.69</v>
      </c>
      <c r="AT478" s="456">
        <v>133162.66</v>
      </c>
      <c r="AU478" s="456">
        <v>130657.49</v>
      </c>
      <c r="AV478" s="456">
        <v>121445.81</v>
      </c>
      <c r="AW478" s="456">
        <v>108479.09</v>
      </c>
      <c r="AX478" s="456">
        <v>98580.21</v>
      </c>
      <c r="AY478" s="456">
        <v>102516.1</v>
      </c>
      <c r="AZ478" s="456">
        <v>106373.56</v>
      </c>
      <c r="BA478" s="456">
        <v>109352.98</v>
      </c>
      <c r="BB478" s="456">
        <v>114202.4</v>
      </c>
      <c r="BC478" s="456">
        <v>149117.07</v>
      </c>
      <c r="BD478" s="456">
        <v>108804.74</v>
      </c>
      <c r="BE478" s="456">
        <v>92165.18</v>
      </c>
      <c r="BF478" s="456">
        <v>77295.21</v>
      </c>
      <c r="BG478" s="456">
        <v>82140.04</v>
      </c>
      <c r="BH478" s="456">
        <v>396.17</v>
      </c>
      <c r="BI478" s="456">
        <v>1027.92</v>
      </c>
      <c r="BJ478" s="456">
        <v>1112.42</v>
      </c>
      <c r="BK478" s="456">
        <v>1184.13</v>
      </c>
      <c r="BL478" s="456">
        <v>1108.93</v>
      </c>
      <c r="BM478" s="456">
        <v>1110.78</v>
      </c>
      <c r="BN478" s="456">
        <v>1111.55</v>
      </c>
      <c r="BO478" s="456">
        <v>0.0</v>
      </c>
      <c r="BP478" s="456">
        <v>3.54</v>
      </c>
      <c r="BQ478" s="456">
        <v>3.54</v>
      </c>
      <c r="BR478" s="456">
        <v>3.54</v>
      </c>
      <c r="BS478" s="90">
        <v>0.0</v>
      </c>
      <c r="BT478" s="90"/>
    </row>
    <row r="479" ht="15.75" customHeight="1">
      <c r="A479" s="444" t="s">
        <v>98</v>
      </c>
      <c r="B479" s="445" t="s">
        <v>7470</v>
      </c>
      <c r="C479" s="468" t="s">
        <v>7471</v>
      </c>
      <c r="D479" s="446">
        <v>8419053.0</v>
      </c>
      <c r="E479" s="447" t="s">
        <v>120</v>
      </c>
      <c r="F479" s="447" t="s">
        <v>54</v>
      </c>
      <c r="G479" s="446" t="s">
        <v>1393</v>
      </c>
      <c r="H479" s="446" t="str">
        <f>IFERROR(VLOOKUP(G479,'Cadastro de assessores'!A:B,2,FALSE),"Não Cadastrado")</f>
        <v>17831</v>
      </c>
      <c r="I479" s="446"/>
      <c r="J479" s="49" t="s">
        <v>2318</v>
      </c>
      <c r="K479" s="552" t="s">
        <v>295</v>
      </c>
      <c r="L479" s="449" t="s">
        <v>3320</v>
      </c>
      <c r="M479" s="548" t="s">
        <v>4295</v>
      </c>
      <c r="N479" s="446"/>
      <c r="O479" s="446" t="s">
        <v>2365</v>
      </c>
      <c r="P479" s="452">
        <v>0.012</v>
      </c>
      <c r="Q479" s="461"/>
      <c r="R479" s="453"/>
      <c r="S479" s="449"/>
      <c r="T479" s="449" t="s">
        <v>194</v>
      </c>
      <c r="U479" s="449" t="s">
        <v>2438</v>
      </c>
      <c r="V479" s="449" t="s">
        <v>54</v>
      </c>
      <c r="W479" s="455"/>
      <c r="X479" s="455"/>
      <c r="Y479" s="455"/>
      <c r="Z479" s="455"/>
      <c r="AA479" s="455"/>
      <c r="AB479" s="455"/>
      <c r="AC479" s="455"/>
      <c r="AD479" s="455"/>
      <c r="AE479" s="455"/>
      <c r="AF479" s="455"/>
      <c r="AG479" s="455"/>
      <c r="AH479" s="455"/>
      <c r="AI479" s="455"/>
      <c r="AJ479" s="455"/>
      <c r="AK479" s="456"/>
      <c r="AL479" s="456"/>
      <c r="AM479" s="456"/>
      <c r="AN479" s="456"/>
      <c r="AO479" s="456"/>
      <c r="AP479" s="456"/>
      <c r="AQ479" s="456"/>
      <c r="AR479" s="456"/>
      <c r="AS479" s="456"/>
      <c r="AT479" s="456"/>
      <c r="AU479" s="456"/>
      <c r="AV479" s="456"/>
      <c r="AW479" s="456"/>
      <c r="AX479" s="456"/>
      <c r="AY479" s="456"/>
      <c r="AZ479" s="456"/>
      <c r="BA479" s="456"/>
      <c r="BB479" s="456"/>
      <c r="BC479" s="456"/>
      <c r="BD479" s="456" t="s">
        <v>377</v>
      </c>
      <c r="BE479" s="456" t="s">
        <v>377</v>
      </c>
      <c r="BF479" s="456">
        <v>0.0</v>
      </c>
      <c r="BG479" s="456">
        <v>0.0</v>
      </c>
      <c r="BH479" s="456">
        <v>0.0</v>
      </c>
      <c r="BI479" s="456">
        <v>0.0</v>
      </c>
      <c r="BJ479" s="456">
        <v>0.0</v>
      </c>
      <c r="BK479" s="456">
        <v>0.0</v>
      </c>
      <c r="BL479" s="456">
        <v>0.0</v>
      </c>
      <c r="BM479" s="456">
        <v>0.0</v>
      </c>
      <c r="BN479" s="456">
        <v>0.0</v>
      </c>
      <c r="BO479" s="456">
        <v>0.0</v>
      </c>
      <c r="BP479" s="456">
        <v>0.0</v>
      </c>
      <c r="BQ479" s="456">
        <v>0.0</v>
      </c>
      <c r="BR479" s="456">
        <v>0.0</v>
      </c>
      <c r="BS479" s="90" t="s">
        <v>268</v>
      </c>
      <c r="BT479" s="90"/>
    </row>
    <row r="480" ht="15.75" customHeight="1">
      <c r="A480" s="444" t="s">
        <v>98</v>
      </c>
      <c r="B480" s="445" t="s">
        <v>7476</v>
      </c>
      <c r="C480" s="458" t="s">
        <v>7158</v>
      </c>
      <c r="D480" s="446">
        <v>8419053.0</v>
      </c>
      <c r="E480" s="449" t="s">
        <v>120</v>
      </c>
      <c r="F480" s="449" t="s">
        <v>199</v>
      </c>
      <c r="G480" s="449" t="s">
        <v>2339</v>
      </c>
      <c r="H480" s="449" t="str">
        <f>IFERROR(VLOOKUP(G480,'Cadastro de assessores'!A:B,2,FALSE),"Não Cadastrado")</f>
        <v>17679</v>
      </c>
      <c r="I480" s="449"/>
      <c r="J480" s="49" t="s">
        <v>224</v>
      </c>
      <c r="K480" s="449" t="s">
        <v>2340</v>
      </c>
      <c r="L480" s="460">
        <v>44272.0</v>
      </c>
      <c r="M480" s="460">
        <v>44272.0</v>
      </c>
      <c r="N480" s="459">
        <v>44498.0</v>
      </c>
      <c r="O480" s="449" t="s">
        <v>2365</v>
      </c>
      <c r="P480" s="452">
        <v>0.012</v>
      </c>
      <c r="Q480" s="461" t="s">
        <v>7478</v>
      </c>
      <c r="R480" s="453"/>
      <c r="S480" s="449" t="str">
        <f t="shared" ref="S480:S483" si="52">IF(BC480&lt;=0,"",IF(BC480&lt;=1000000,"Não Qualificado",IF(AND(BC480&gt;1000000,BC480&lt;=10000000),"Qualificado","Profissional")))</f>
        <v/>
      </c>
      <c r="T480" s="449" t="s">
        <v>194</v>
      </c>
      <c r="U480" s="449" t="s">
        <v>2401</v>
      </c>
      <c r="V480" s="449" t="s">
        <v>199</v>
      </c>
      <c r="W480" s="455"/>
      <c r="X480" s="455"/>
      <c r="Y480" s="455"/>
      <c r="Z480" s="455"/>
      <c r="AA480" s="455"/>
      <c r="AB480" s="455"/>
      <c r="AC480" s="455"/>
      <c r="AD480" s="455"/>
      <c r="AE480" s="455"/>
      <c r="AF480" s="455"/>
      <c r="AG480" s="455"/>
      <c r="AH480" s="455"/>
      <c r="AI480" s="455"/>
      <c r="AJ480" s="455"/>
      <c r="AK480" s="456"/>
      <c r="AL480" s="456"/>
      <c r="AM480" s="456"/>
      <c r="AN480" s="456"/>
      <c r="AO480" s="456">
        <v>101186.7</v>
      </c>
      <c r="AP480" s="456">
        <v>101656.54</v>
      </c>
      <c r="AQ480" s="456">
        <v>101439.01</v>
      </c>
      <c r="AR480" s="456">
        <v>152776.16</v>
      </c>
      <c r="AS480" s="456">
        <v>152374.35</v>
      </c>
      <c r="AT480" s="456">
        <v>151104.26</v>
      </c>
      <c r="AU480" s="456">
        <v>150868.78</v>
      </c>
      <c r="AV480" s="456">
        <v>150165.8</v>
      </c>
      <c r="AW480" s="456">
        <v>148083.46</v>
      </c>
      <c r="AX480" s="456"/>
      <c r="AY480" s="456"/>
      <c r="AZ480" s="456"/>
      <c r="BA480" s="456">
        <v>0.0</v>
      </c>
      <c r="BB480" s="456">
        <v>0.0</v>
      </c>
      <c r="BC480" s="456">
        <v>0.0</v>
      </c>
      <c r="BD480" s="456" t="s">
        <v>377</v>
      </c>
      <c r="BE480" s="456" t="s">
        <v>377</v>
      </c>
      <c r="BF480" s="456">
        <v>0.0</v>
      </c>
      <c r="BG480" s="456">
        <v>0.0</v>
      </c>
      <c r="BH480" s="456">
        <v>0.0</v>
      </c>
      <c r="BI480" s="456">
        <v>0.0</v>
      </c>
      <c r="BJ480" s="456">
        <v>0.0</v>
      </c>
      <c r="BK480" s="456">
        <v>0.0</v>
      </c>
      <c r="BL480" s="456">
        <v>0.0</v>
      </c>
      <c r="BM480" s="456">
        <v>0.0</v>
      </c>
      <c r="BN480" s="456">
        <v>0.0</v>
      </c>
      <c r="BO480" s="456">
        <v>0.0</v>
      </c>
      <c r="BP480" s="456">
        <v>0.0</v>
      </c>
      <c r="BQ480" s="456">
        <v>0.0</v>
      </c>
      <c r="BR480" s="456">
        <v>0.0</v>
      </c>
      <c r="BS480" s="90" t="s">
        <v>268</v>
      </c>
      <c r="BT480" s="90"/>
    </row>
    <row r="481" ht="15.75" customHeight="1">
      <c r="A481" s="444" t="s">
        <v>98</v>
      </c>
      <c r="B481" s="445" t="s">
        <v>7476</v>
      </c>
      <c r="C481" s="458" t="s">
        <v>7158</v>
      </c>
      <c r="D481" s="449">
        <v>4951699.0</v>
      </c>
      <c r="E481" s="449" t="s">
        <v>120</v>
      </c>
      <c r="F481" s="449" t="s">
        <v>199</v>
      </c>
      <c r="G481" s="449" t="s">
        <v>4654</v>
      </c>
      <c r="H481" s="449" t="str">
        <f>IFERROR(VLOOKUP(G481,'Cadastro de assessores'!A:B,2,FALSE),"Não Cadastrado")</f>
        <v>12305</v>
      </c>
      <c r="I481" s="449"/>
      <c r="J481" s="49" t="s">
        <v>224</v>
      </c>
      <c r="K481" s="449" t="s">
        <v>2340</v>
      </c>
      <c r="L481" s="460">
        <v>44271.0</v>
      </c>
      <c r="M481" s="460">
        <v>44271.0</v>
      </c>
      <c r="N481" s="459">
        <v>44498.0</v>
      </c>
      <c r="O481" s="446" t="s">
        <v>2452</v>
      </c>
      <c r="P481" s="452">
        <v>0.008</v>
      </c>
      <c r="Q481" s="461" t="s">
        <v>7478</v>
      </c>
      <c r="R481" s="453"/>
      <c r="S481" s="449" t="str">
        <f t="shared" si="52"/>
        <v>Qualificado</v>
      </c>
      <c r="T481" s="449" t="s">
        <v>194</v>
      </c>
      <c r="U481" s="449" t="s">
        <v>2401</v>
      </c>
      <c r="V481" s="449" t="s">
        <v>199</v>
      </c>
      <c r="W481" s="455"/>
      <c r="X481" s="455"/>
      <c r="Y481" s="455"/>
      <c r="Z481" s="455"/>
      <c r="AA481" s="455"/>
      <c r="AB481" s="455"/>
      <c r="AC481" s="455"/>
      <c r="AD481" s="455"/>
      <c r="AE481" s="455"/>
      <c r="AF481" s="455"/>
      <c r="AG481" s="455"/>
      <c r="AH481" s="455"/>
      <c r="AI481" s="455"/>
      <c r="AJ481" s="455"/>
      <c r="AK481" s="456"/>
      <c r="AL481" s="456"/>
      <c r="AM481" s="456"/>
      <c r="AN481" s="456"/>
      <c r="AO481" s="456">
        <v>99945.93</v>
      </c>
      <c r="AP481" s="456">
        <v>100041.61</v>
      </c>
      <c r="AQ481" s="456">
        <v>100524.52</v>
      </c>
      <c r="AR481" s="456"/>
      <c r="AS481" s="456">
        <v>146549.27</v>
      </c>
      <c r="AT481" s="456">
        <v>149754.46</v>
      </c>
      <c r="AU481" s="456">
        <v>145202.0</v>
      </c>
      <c r="AV481" s="456">
        <v>143805.9</v>
      </c>
      <c r="AW481" s="456">
        <v>142207.21</v>
      </c>
      <c r="AX481" s="456"/>
      <c r="AY481" s="456"/>
      <c r="AZ481" s="456"/>
      <c r="BA481" s="456">
        <v>0.0</v>
      </c>
      <c r="BB481" s="456">
        <v>0.0</v>
      </c>
      <c r="BC481" s="456">
        <v>1216531.43</v>
      </c>
      <c r="BD481" s="456" t="s">
        <v>377</v>
      </c>
      <c r="BE481" s="456" t="s">
        <v>377</v>
      </c>
      <c r="BF481" s="456">
        <v>0.0</v>
      </c>
      <c r="BG481" s="456">
        <v>0.0</v>
      </c>
      <c r="BH481" s="456">
        <v>0.0</v>
      </c>
      <c r="BI481" s="456">
        <v>0.0</v>
      </c>
      <c r="BJ481" s="456">
        <v>0.0</v>
      </c>
      <c r="BK481" s="456">
        <v>0.0</v>
      </c>
      <c r="BL481" s="456">
        <v>0.0</v>
      </c>
      <c r="BM481" s="456">
        <v>0.0</v>
      </c>
      <c r="BN481" s="456">
        <v>0.0</v>
      </c>
      <c r="BO481" s="456">
        <v>0.0</v>
      </c>
      <c r="BP481" s="456">
        <v>0.0</v>
      </c>
      <c r="BQ481" s="456">
        <v>0.0</v>
      </c>
      <c r="BR481" s="456">
        <v>0.0</v>
      </c>
      <c r="BS481" s="90" t="s">
        <v>268</v>
      </c>
      <c r="BT481" s="90"/>
    </row>
    <row r="482" ht="15.75" customHeight="1">
      <c r="A482" s="444" t="s">
        <v>98</v>
      </c>
      <c r="B482" s="445" t="s">
        <v>7486</v>
      </c>
      <c r="C482" s="468" t="s">
        <v>7487</v>
      </c>
      <c r="D482" s="446">
        <v>5900712.0</v>
      </c>
      <c r="E482" s="447" t="s">
        <v>120</v>
      </c>
      <c r="F482" s="448" t="s">
        <v>54</v>
      </c>
      <c r="G482" s="447" t="s">
        <v>379</v>
      </c>
      <c r="H482" s="446" t="str">
        <f>IFERROR(VLOOKUP(G482,'Cadastro de assessores'!A:B,2,FALSE),"Não Cadastrado")</f>
        <v>18009</v>
      </c>
      <c r="I482" s="446"/>
      <c r="J482" s="49" t="s">
        <v>224</v>
      </c>
      <c r="K482" s="447" t="s">
        <v>183</v>
      </c>
      <c r="L482" s="450">
        <v>44386.0</v>
      </c>
      <c r="M482" s="450">
        <v>44390.0</v>
      </c>
      <c r="N482" s="616">
        <v>44895.0</v>
      </c>
      <c r="O482" s="446" t="s">
        <v>2372</v>
      </c>
      <c r="P482" s="452">
        <v>0.025</v>
      </c>
      <c r="Q482" s="330" t="s">
        <v>7489</v>
      </c>
      <c r="R482" s="453"/>
      <c r="S482" s="449" t="str">
        <f t="shared" si="52"/>
        <v>Não Qualificado</v>
      </c>
      <c r="T482" s="449" t="s">
        <v>194</v>
      </c>
      <c r="U482" s="446" t="s">
        <v>2383</v>
      </c>
      <c r="V482" s="446" t="s">
        <v>199</v>
      </c>
      <c r="W482" s="454"/>
      <c r="X482" s="454"/>
      <c r="Y482" s="454"/>
      <c r="Z482" s="454"/>
      <c r="AA482" s="454"/>
      <c r="AB482" s="454"/>
      <c r="AC482" s="454"/>
      <c r="AD482" s="454"/>
      <c r="AE482" s="454"/>
      <c r="AF482" s="454"/>
      <c r="AG482" s="454"/>
      <c r="AH482" s="454"/>
      <c r="AI482" s="455"/>
      <c r="AJ482" s="456"/>
      <c r="AK482" s="456"/>
      <c r="AL482" s="456"/>
      <c r="AM482" s="456"/>
      <c r="AN482" s="456"/>
      <c r="AO482" s="456"/>
      <c r="AP482" s="456"/>
      <c r="AQ482" s="456"/>
      <c r="AR482" s="456"/>
      <c r="AS482" s="454"/>
      <c r="AT482" s="481">
        <v>60776.48</v>
      </c>
      <c r="AU482" s="481">
        <v>59410.69</v>
      </c>
      <c r="AV482" s="456">
        <v>56098.71</v>
      </c>
      <c r="AW482" s="456">
        <v>51659.15</v>
      </c>
      <c r="AX482" s="456">
        <v>51157.63</v>
      </c>
      <c r="AY482" s="456">
        <v>52092.37</v>
      </c>
      <c r="AZ482" s="456">
        <v>55233.77</v>
      </c>
      <c r="BA482" s="456">
        <v>56049.04</v>
      </c>
      <c r="BB482" s="456">
        <v>59421.78</v>
      </c>
      <c r="BC482" s="456">
        <v>490574.56</v>
      </c>
      <c r="BD482" s="456">
        <v>56054.47</v>
      </c>
      <c r="BE482" s="456">
        <v>53853.75</v>
      </c>
      <c r="BF482" s="456">
        <v>56633.55</v>
      </c>
      <c r="BG482" s="456">
        <v>57345.26</v>
      </c>
      <c r="BH482" s="456">
        <v>57167.77</v>
      </c>
      <c r="BI482" s="456">
        <v>60810.37</v>
      </c>
      <c r="BJ482" s="456">
        <v>59841.4</v>
      </c>
      <c r="BK482" s="456">
        <v>0.0</v>
      </c>
      <c r="BL482" s="456">
        <v>0.0</v>
      </c>
      <c r="BM482" s="456">
        <v>0.0</v>
      </c>
      <c r="BN482" s="456">
        <v>0.0</v>
      </c>
      <c r="BO482" s="456">
        <v>0.0</v>
      </c>
      <c r="BP482" s="456">
        <v>0.0</v>
      </c>
      <c r="BQ482" s="456">
        <v>0.0</v>
      </c>
      <c r="BR482" s="456">
        <v>0.0</v>
      </c>
      <c r="BS482" s="90" t="s">
        <v>268</v>
      </c>
      <c r="BT482" s="90"/>
    </row>
    <row r="483" ht="16.5" customHeight="1">
      <c r="A483" s="444" t="s">
        <v>98</v>
      </c>
      <c r="B483" s="445" t="s">
        <v>7495</v>
      </c>
      <c r="C483" s="458" t="s">
        <v>7496</v>
      </c>
      <c r="D483" s="449">
        <v>3369465.0</v>
      </c>
      <c r="E483" s="447" t="s">
        <v>120</v>
      </c>
      <c r="F483" s="447" t="s">
        <v>199</v>
      </c>
      <c r="G483" s="447" t="s">
        <v>1914</v>
      </c>
      <c r="H483" s="446">
        <f>IFERROR(VLOOKUP(G483,'Cadastro de assessores'!A:B,2,FALSE),"Não Cadastrado")</f>
        <v>12359</v>
      </c>
      <c r="I483" s="446"/>
      <c r="J483" s="74" t="s">
        <v>183</v>
      </c>
      <c r="K483" s="447" t="s">
        <v>183</v>
      </c>
      <c r="L483" s="470">
        <v>44618.0</v>
      </c>
      <c r="M483" s="470">
        <v>44618.0</v>
      </c>
      <c r="N483" s="446"/>
      <c r="O483" s="446" t="s">
        <v>2356</v>
      </c>
      <c r="P483" s="452">
        <v>0.007</v>
      </c>
      <c r="Q483" s="611" t="s">
        <v>5124</v>
      </c>
      <c r="R483" s="453"/>
      <c r="S483" s="449" t="str">
        <f t="shared" si="52"/>
        <v>Não Qualificado</v>
      </c>
      <c r="T483" s="449" t="s">
        <v>194</v>
      </c>
      <c r="U483" s="449" t="s">
        <v>2374</v>
      </c>
      <c r="V483" s="449" t="s">
        <v>199</v>
      </c>
      <c r="W483" s="455"/>
      <c r="X483" s="455"/>
      <c r="Y483" s="455"/>
      <c r="Z483" s="455"/>
      <c r="AA483" s="455"/>
      <c r="AB483" s="455"/>
      <c r="AC483" s="455"/>
      <c r="AD483" s="455"/>
      <c r="AE483" s="455"/>
      <c r="AF483" s="455"/>
      <c r="AG483" s="455"/>
      <c r="AH483" s="455"/>
      <c r="AI483" s="455"/>
      <c r="AJ483" s="455"/>
      <c r="AK483" s="456"/>
      <c r="AL483" s="456"/>
      <c r="AM483" s="456"/>
      <c r="AN483" s="456"/>
      <c r="AO483" s="456"/>
      <c r="AP483" s="456"/>
      <c r="AQ483" s="456"/>
      <c r="AR483" s="456"/>
      <c r="AS483" s="456"/>
      <c r="AT483" s="456"/>
      <c r="AU483" s="456"/>
      <c r="AV483" s="456"/>
      <c r="AW483" s="456"/>
      <c r="AX483" s="456"/>
      <c r="AY483" s="456"/>
      <c r="AZ483" s="456"/>
      <c r="BA483" s="456">
        <v>12064.41</v>
      </c>
      <c r="BB483" s="456">
        <v>12194.69</v>
      </c>
      <c r="BC483" s="456">
        <v>194034.53</v>
      </c>
      <c r="BD483" s="823">
        <v>62504.55</v>
      </c>
      <c r="BE483" s="456">
        <v>63151.38</v>
      </c>
      <c r="BF483" s="456">
        <v>63673.9</v>
      </c>
      <c r="BG483" s="456">
        <v>64059.32181</v>
      </c>
      <c r="BH483" s="456">
        <v>64436.12</v>
      </c>
      <c r="BI483" s="456">
        <v>64934.91</v>
      </c>
      <c r="BJ483" s="456">
        <v>65574.49</v>
      </c>
      <c r="BK483" s="456">
        <v>66147.06</v>
      </c>
      <c r="BL483" s="456">
        <v>66925.39</v>
      </c>
      <c r="BM483" s="456">
        <v>67459.37</v>
      </c>
      <c r="BN483" s="456">
        <v>10234.02</v>
      </c>
      <c r="BO483" s="456">
        <v>10327.25</v>
      </c>
      <c r="BP483" s="456">
        <v>10437.7</v>
      </c>
      <c r="BQ483" s="456">
        <v>10523.19</v>
      </c>
      <c r="BR483" s="456">
        <v>10644.85</v>
      </c>
      <c r="BS483" s="90">
        <v>12072.43</v>
      </c>
      <c r="BT483" s="90"/>
    </row>
    <row r="484" ht="15.75" customHeight="1">
      <c r="A484" s="444" t="s">
        <v>98</v>
      </c>
      <c r="B484" s="445" t="s">
        <v>7501</v>
      </c>
      <c r="C484" s="458" t="s">
        <v>7502</v>
      </c>
      <c r="D484" s="449">
        <v>3730315.0</v>
      </c>
      <c r="E484" s="447" t="s">
        <v>255</v>
      </c>
      <c r="F484" s="447" t="s">
        <v>199</v>
      </c>
      <c r="G484" s="447" t="s">
        <v>3855</v>
      </c>
      <c r="H484" s="446" t="str">
        <f>IFERROR(VLOOKUP(G484,'Cadastro de assessores'!A:B,2,FALSE),"Não Cadastrado")</f>
        <v>19634</v>
      </c>
      <c r="I484" s="446"/>
      <c r="J484" s="49" t="s">
        <v>2318</v>
      </c>
      <c r="K484" s="447" t="s">
        <v>183</v>
      </c>
      <c r="L484" s="450">
        <v>44714.0</v>
      </c>
      <c r="M484" s="450">
        <v>44714.0</v>
      </c>
      <c r="N484" s="446"/>
      <c r="O484" s="446" t="s">
        <v>2365</v>
      </c>
      <c r="P484" s="452">
        <v>0.012</v>
      </c>
      <c r="Q484" s="461" t="s">
        <v>7506</v>
      </c>
      <c r="R484" s="453"/>
      <c r="S484" s="449"/>
      <c r="T484" s="449" t="s">
        <v>234</v>
      </c>
      <c r="U484" s="449" t="s">
        <v>2401</v>
      </c>
      <c r="V484" s="449" t="s">
        <v>199</v>
      </c>
      <c r="W484" s="455"/>
      <c r="X484" s="455"/>
      <c r="Y484" s="455"/>
      <c r="Z484" s="455"/>
      <c r="AA484" s="455"/>
      <c r="AB484" s="455"/>
      <c r="AC484" s="455"/>
      <c r="AD484" s="455"/>
      <c r="AE484" s="455"/>
      <c r="AF484" s="455"/>
      <c r="AG484" s="455"/>
      <c r="AH484" s="455"/>
      <c r="AI484" s="455"/>
      <c r="AJ484" s="455"/>
      <c r="AK484" s="456"/>
      <c r="AL484" s="456"/>
      <c r="AM484" s="456"/>
      <c r="AN484" s="456"/>
      <c r="AO484" s="456"/>
      <c r="AP484" s="456"/>
      <c r="AQ484" s="456"/>
      <c r="AR484" s="456"/>
      <c r="AS484" s="456"/>
      <c r="AT484" s="456"/>
      <c r="AU484" s="456"/>
      <c r="AV484" s="456"/>
      <c r="AW484" s="456"/>
      <c r="AX484" s="456"/>
      <c r="AY484" s="456"/>
      <c r="AZ484" s="456"/>
      <c r="BA484" s="456"/>
      <c r="BB484" s="456"/>
      <c r="BC484" s="456"/>
      <c r="BD484" s="456" t="s">
        <v>377</v>
      </c>
      <c r="BE484" s="456">
        <v>427444.19</v>
      </c>
      <c r="BF484" s="456">
        <v>534239.82</v>
      </c>
      <c r="BG484" s="456">
        <v>539877.4275</v>
      </c>
      <c r="BH484" s="456">
        <v>543162.29</v>
      </c>
      <c r="BI484" s="456">
        <v>552516.56</v>
      </c>
      <c r="BJ484" s="456">
        <v>554993.62</v>
      </c>
      <c r="BK484" s="456">
        <v>409182.33</v>
      </c>
      <c r="BL484" s="456">
        <v>413892.98</v>
      </c>
      <c r="BM484" s="456">
        <v>417408.88</v>
      </c>
      <c r="BN484" s="456">
        <v>0.0</v>
      </c>
      <c r="BO484" s="456">
        <v>0.0</v>
      </c>
      <c r="BP484" s="456">
        <v>0.0</v>
      </c>
      <c r="BQ484" s="456">
        <v>0.0</v>
      </c>
      <c r="BR484" s="456">
        <v>0.0</v>
      </c>
      <c r="BS484" s="90" t="s">
        <v>268</v>
      </c>
      <c r="BT484" s="90"/>
    </row>
    <row r="485" ht="15.75" customHeight="1">
      <c r="A485" s="444" t="s">
        <v>98</v>
      </c>
      <c r="B485" s="445" t="s">
        <v>7509</v>
      </c>
      <c r="C485" s="458" t="s">
        <v>7510</v>
      </c>
      <c r="D485" s="449">
        <v>5371919.0</v>
      </c>
      <c r="E485" s="447" t="s">
        <v>255</v>
      </c>
      <c r="F485" s="447" t="s">
        <v>199</v>
      </c>
      <c r="G485" s="447" t="s">
        <v>3855</v>
      </c>
      <c r="H485" s="446" t="str">
        <f>IFERROR(VLOOKUP(G485,'Cadastro de assessores'!A:B,2,FALSE),"Não Cadastrado")</f>
        <v>19634</v>
      </c>
      <c r="I485" s="446"/>
      <c r="J485" s="49" t="s">
        <v>2318</v>
      </c>
      <c r="K485" s="447" t="s">
        <v>183</v>
      </c>
      <c r="L485" s="450">
        <v>44711.0</v>
      </c>
      <c r="M485" s="450">
        <v>44714.0</v>
      </c>
      <c r="N485" s="446"/>
      <c r="O485" s="446" t="s">
        <v>2365</v>
      </c>
      <c r="P485" s="452">
        <v>0.012</v>
      </c>
      <c r="Q485" s="461" t="s">
        <v>7513</v>
      </c>
      <c r="R485" s="453"/>
      <c r="S485" s="449"/>
      <c r="T485" s="449" t="s">
        <v>234</v>
      </c>
      <c r="U485" s="449" t="s">
        <v>2401</v>
      </c>
      <c r="V485" s="449" t="s">
        <v>199</v>
      </c>
      <c r="W485" s="455"/>
      <c r="X485" s="455"/>
      <c r="Y485" s="455"/>
      <c r="Z485" s="455"/>
      <c r="AA485" s="455"/>
      <c r="AB485" s="455"/>
      <c r="AC485" s="455"/>
      <c r="AD485" s="455"/>
      <c r="AE485" s="455"/>
      <c r="AF485" s="455"/>
      <c r="AG485" s="455"/>
      <c r="AH485" s="455"/>
      <c r="AI485" s="455"/>
      <c r="AJ485" s="455"/>
      <c r="AK485" s="456"/>
      <c r="AL485" s="456"/>
      <c r="AM485" s="456"/>
      <c r="AN485" s="456"/>
      <c r="AO485" s="456"/>
      <c r="AP485" s="456"/>
      <c r="AQ485" s="456"/>
      <c r="AR485" s="456"/>
      <c r="AS485" s="456"/>
      <c r="AT485" s="456"/>
      <c r="AU485" s="456"/>
      <c r="AV485" s="456"/>
      <c r="AW485" s="456"/>
      <c r="AX485" s="456"/>
      <c r="AY485" s="456"/>
      <c r="AZ485" s="456"/>
      <c r="BA485" s="456"/>
      <c r="BB485" s="456"/>
      <c r="BC485" s="456"/>
      <c r="BD485" s="456" t="s">
        <v>377</v>
      </c>
      <c r="BE485" s="456">
        <v>711676.98</v>
      </c>
      <c r="BF485" s="456">
        <v>824146.58</v>
      </c>
      <c r="BG485" s="456">
        <v>833229.7957</v>
      </c>
      <c r="BH485" s="456">
        <v>832605.92</v>
      </c>
      <c r="BI485" s="456">
        <v>841822.13</v>
      </c>
      <c r="BJ485" s="456">
        <v>849839.78</v>
      </c>
      <c r="BK485" s="456">
        <v>602310.8</v>
      </c>
      <c r="BL485" s="456">
        <v>612804.18</v>
      </c>
      <c r="BM485" s="456">
        <v>617455.4</v>
      </c>
      <c r="BN485" s="456">
        <v>0.0</v>
      </c>
      <c r="BO485" s="456">
        <v>0.0</v>
      </c>
      <c r="BP485" s="456">
        <v>0.0</v>
      </c>
      <c r="BQ485" s="456">
        <v>0.0</v>
      </c>
      <c r="BR485" s="456">
        <v>0.0</v>
      </c>
      <c r="BS485" s="90" t="s">
        <v>268</v>
      </c>
      <c r="BT485" s="90"/>
    </row>
    <row r="486" ht="15.75" customHeight="1">
      <c r="A486" s="444" t="s">
        <v>98</v>
      </c>
      <c r="B486" s="445" t="s">
        <v>7521</v>
      </c>
      <c r="C486" s="458" t="s">
        <v>7522</v>
      </c>
      <c r="D486" s="449">
        <v>3102597.0</v>
      </c>
      <c r="E486" s="447" t="s">
        <v>120</v>
      </c>
      <c r="F486" s="447" t="s">
        <v>199</v>
      </c>
      <c r="G486" s="447" t="s">
        <v>1914</v>
      </c>
      <c r="H486" s="447">
        <f>IFERROR(VLOOKUP(G486,'Cadastro de assessores'!A:B,2,FALSE),"Não Cadastrado")</f>
        <v>12359</v>
      </c>
      <c r="I486" s="447"/>
      <c r="J486" s="49" t="s">
        <v>2318</v>
      </c>
      <c r="K486" s="447" t="s">
        <v>183</v>
      </c>
      <c r="L486" s="450">
        <v>44249.0</v>
      </c>
      <c r="M486" s="450">
        <v>44249.0</v>
      </c>
      <c r="N486" s="446"/>
      <c r="O486" s="446" t="s">
        <v>2319</v>
      </c>
      <c r="P486" s="452">
        <v>0.02</v>
      </c>
      <c r="Q486" s="461" t="s">
        <v>3049</v>
      </c>
      <c r="R486" s="453"/>
      <c r="S486" s="449" t="str">
        <f t="shared" ref="S486:S502" si="53">IF(BC486&lt;=0,"",IF(BC486&lt;=1000000,"Não Qualificado",IF(AND(BC486&gt;1000000,BC486&lt;=10000000),"Qualificado","Profissional")))</f>
        <v/>
      </c>
      <c r="T486" s="449" t="s">
        <v>194</v>
      </c>
      <c r="U486" s="449" t="s">
        <v>2343</v>
      </c>
      <c r="V486" s="449" t="s">
        <v>199</v>
      </c>
      <c r="W486" s="455"/>
      <c r="X486" s="455"/>
      <c r="Y486" s="455"/>
      <c r="Z486" s="455"/>
      <c r="AA486" s="455"/>
      <c r="AB486" s="455"/>
      <c r="AC486" s="455"/>
      <c r="AD486" s="455"/>
      <c r="AE486" s="455"/>
      <c r="AF486" s="455"/>
      <c r="AG486" s="455"/>
      <c r="AH486" s="455"/>
      <c r="AI486" s="455"/>
      <c r="AJ486" s="455"/>
      <c r="AK486" s="456"/>
      <c r="AL486" s="456"/>
      <c r="AM486" s="456">
        <v>173944.82</v>
      </c>
      <c r="AN486" s="456">
        <v>173985.29</v>
      </c>
      <c r="AO486" s="456">
        <v>182118.79</v>
      </c>
      <c r="AP486" s="456">
        <v>183460.03</v>
      </c>
      <c r="AQ486" s="456">
        <v>182549.77</v>
      </c>
      <c r="AR486" s="456">
        <v>187859.65</v>
      </c>
      <c r="AS486" s="456">
        <v>185937.93</v>
      </c>
      <c r="AT486" s="456">
        <v>180016.92</v>
      </c>
      <c r="AU486" s="456">
        <v>177951.42</v>
      </c>
      <c r="AV486" s="456">
        <v>172896.95</v>
      </c>
      <c r="AW486" s="456">
        <v>164005.21</v>
      </c>
      <c r="AX486" s="456">
        <v>163353.24</v>
      </c>
      <c r="AY486" s="456">
        <v>165728.45</v>
      </c>
      <c r="AZ486" s="456">
        <v>172080.49</v>
      </c>
      <c r="BA486" s="456">
        <v>0.0</v>
      </c>
      <c r="BB486" s="456">
        <v>-254.74</v>
      </c>
      <c r="BC486" s="456">
        <v>0.0</v>
      </c>
      <c r="BD486" s="456">
        <v>511.53</v>
      </c>
      <c r="BE486" s="456">
        <v>511.53</v>
      </c>
      <c r="BF486" s="456">
        <v>511.54</v>
      </c>
      <c r="BG486" s="456">
        <v>511.54</v>
      </c>
      <c r="BH486" s="456">
        <v>511.54</v>
      </c>
      <c r="BI486" s="456">
        <v>511.54</v>
      </c>
      <c r="BJ486" s="456">
        <v>511.54</v>
      </c>
      <c r="BK486" s="456">
        <v>511.54</v>
      </c>
      <c r="BL486" s="456">
        <v>511.54</v>
      </c>
      <c r="BM486" s="456">
        <v>511.54</v>
      </c>
      <c r="BN486" s="456">
        <v>511.54</v>
      </c>
      <c r="BO486" s="456">
        <v>511.54</v>
      </c>
      <c r="BP486" s="456">
        <v>511.54</v>
      </c>
      <c r="BQ486" s="456">
        <v>511.54</v>
      </c>
      <c r="BR486" s="456">
        <v>511.54</v>
      </c>
      <c r="BS486" s="90">
        <v>0.0</v>
      </c>
      <c r="BT486" s="90"/>
    </row>
    <row r="487" ht="15.75" customHeight="1">
      <c r="A487" s="444" t="s">
        <v>98</v>
      </c>
      <c r="B487" s="445" t="s">
        <v>1748</v>
      </c>
      <c r="C487" s="458" t="s">
        <v>4459</v>
      </c>
      <c r="D487" s="449">
        <v>3457906.0</v>
      </c>
      <c r="E487" s="447" t="s">
        <v>120</v>
      </c>
      <c r="F487" s="447" t="s">
        <v>199</v>
      </c>
      <c r="G487" s="447" t="s">
        <v>388</v>
      </c>
      <c r="H487" s="447" t="str">
        <f>IFERROR(VLOOKUP(G487,'Cadastro de assessores'!A:B,2,FALSE),"Não Cadastrado")</f>
        <v>18993</v>
      </c>
      <c r="I487" s="447"/>
      <c r="J487" s="49" t="s">
        <v>2318</v>
      </c>
      <c r="K487" s="447" t="s">
        <v>183</v>
      </c>
      <c r="L487" s="450">
        <v>43693.0</v>
      </c>
      <c r="M487" s="450">
        <v>43693.0</v>
      </c>
      <c r="N487" s="449"/>
      <c r="O487" s="449" t="s">
        <v>5807</v>
      </c>
      <c r="P487" s="452">
        <v>0.02</v>
      </c>
      <c r="Q487" s="610"/>
      <c r="R487" s="453"/>
      <c r="S487" s="449" t="str">
        <f t="shared" si="53"/>
        <v>Não Qualificado</v>
      </c>
      <c r="T487" s="449" t="s">
        <v>194</v>
      </c>
      <c r="U487" s="449" t="s">
        <v>2383</v>
      </c>
      <c r="V487" s="449" t="s">
        <v>199</v>
      </c>
      <c r="W487" s="455" t="s">
        <v>7530</v>
      </c>
      <c r="X487" s="455"/>
      <c r="Y487" s="455" t="s">
        <v>7531</v>
      </c>
      <c r="Z487" s="455" t="s">
        <v>7532</v>
      </c>
      <c r="AA487" s="455" t="s">
        <v>7533</v>
      </c>
      <c r="AB487" s="455" t="s">
        <v>7534</v>
      </c>
      <c r="AC487" s="455" t="s">
        <v>7535</v>
      </c>
      <c r="AD487" s="455" t="s">
        <v>7536</v>
      </c>
      <c r="AE487" s="455" t="s">
        <v>7537</v>
      </c>
      <c r="AF487" s="455" t="s">
        <v>7538</v>
      </c>
      <c r="AG487" s="455" t="s">
        <v>7539</v>
      </c>
      <c r="AH487" s="455" t="s">
        <v>7542</v>
      </c>
      <c r="AI487" s="455" t="s">
        <v>7544</v>
      </c>
      <c r="AJ487" s="455" t="s">
        <v>7545</v>
      </c>
      <c r="AK487" s="456">
        <v>729499.76</v>
      </c>
      <c r="AL487" s="456">
        <v>710905.59</v>
      </c>
      <c r="AM487" s="456">
        <v>684506.1</v>
      </c>
      <c r="AN487" s="456">
        <v>688945.11</v>
      </c>
      <c r="AO487" s="456">
        <v>705344.9</v>
      </c>
      <c r="AP487" s="456">
        <v>709627.07</v>
      </c>
      <c r="AQ487" s="456">
        <v>707645.94</v>
      </c>
      <c r="AR487" s="456">
        <v>722906.01</v>
      </c>
      <c r="AS487" s="456">
        <v>717414.45</v>
      </c>
      <c r="AT487" s="456">
        <v>702322.79</v>
      </c>
      <c r="AU487" s="456">
        <v>694030.99</v>
      </c>
      <c r="AV487" s="456">
        <v>680876.55</v>
      </c>
      <c r="AW487" s="456">
        <v>655882.41</v>
      </c>
      <c r="AX487" s="456">
        <v>662198.46</v>
      </c>
      <c r="AY487" s="456">
        <v>669704.88</v>
      </c>
      <c r="AZ487" s="456">
        <v>677164.89</v>
      </c>
      <c r="BA487" s="456">
        <v>667639.06</v>
      </c>
      <c r="BB487" s="456">
        <v>668964.44</v>
      </c>
      <c r="BC487" s="456">
        <v>53390.2</v>
      </c>
      <c r="BD487" s="456">
        <v>702472.68</v>
      </c>
      <c r="BE487" s="456">
        <v>694916.02</v>
      </c>
      <c r="BF487" s="456">
        <v>710032.54</v>
      </c>
      <c r="BG487" s="456">
        <v>721159.0538</v>
      </c>
      <c r="BH487" s="456">
        <v>719997.38</v>
      </c>
      <c r="BI487" s="456">
        <v>749867.19</v>
      </c>
      <c r="BJ487" s="456">
        <v>749334.26</v>
      </c>
      <c r="BK487" s="456">
        <v>751038.04</v>
      </c>
      <c r="BL487" s="456">
        <v>754859.8</v>
      </c>
      <c r="BM487" s="456">
        <v>750597.94</v>
      </c>
      <c r="BN487" s="456">
        <v>756539.58</v>
      </c>
      <c r="BO487" s="456">
        <v>662420.91</v>
      </c>
      <c r="BP487" s="456">
        <v>669171.77</v>
      </c>
      <c r="BQ487" s="456">
        <v>681518.91</v>
      </c>
      <c r="BR487" s="456">
        <v>693800.2</v>
      </c>
      <c r="BS487" s="90">
        <v>0.0</v>
      </c>
      <c r="BT487" s="90"/>
    </row>
    <row r="488" ht="15.75" customHeight="1">
      <c r="A488" s="444" t="s">
        <v>98</v>
      </c>
      <c r="B488" s="445" t="s">
        <v>7547</v>
      </c>
      <c r="C488" s="559" t="s">
        <v>7280</v>
      </c>
      <c r="D488" s="446">
        <v>5582661.0</v>
      </c>
      <c r="E488" s="447" t="s">
        <v>120</v>
      </c>
      <c r="F488" s="448" t="s">
        <v>54</v>
      </c>
      <c r="G488" s="447" t="s">
        <v>379</v>
      </c>
      <c r="H488" s="447" t="str">
        <f>IFERROR(VLOOKUP(G488,'Cadastro de assessores'!A:B,2,FALSE),"Não Cadastrado")</f>
        <v>18009</v>
      </c>
      <c r="I488" s="447"/>
      <c r="J488" s="49" t="s">
        <v>224</v>
      </c>
      <c r="K488" s="447" t="s">
        <v>183</v>
      </c>
      <c r="L488" s="450">
        <v>44340.0</v>
      </c>
      <c r="M488" s="450">
        <v>44340.0</v>
      </c>
      <c r="N488" s="460">
        <v>44896.0</v>
      </c>
      <c r="O488" s="449" t="s">
        <v>2372</v>
      </c>
      <c r="P488" s="452">
        <v>0.025</v>
      </c>
      <c r="Q488" s="330" t="s">
        <v>7548</v>
      </c>
      <c r="R488" s="453"/>
      <c r="S488" s="449" t="str">
        <f t="shared" si="53"/>
        <v/>
      </c>
      <c r="T488" s="449" t="s">
        <v>194</v>
      </c>
      <c r="U488" s="449" t="s">
        <v>2374</v>
      </c>
      <c r="V488" s="449" t="s">
        <v>199</v>
      </c>
      <c r="W488" s="454"/>
      <c r="X488" s="454"/>
      <c r="Y488" s="454"/>
      <c r="Z488" s="454"/>
      <c r="AA488" s="454"/>
      <c r="AB488" s="454"/>
      <c r="AC488" s="454"/>
      <c r="AD488" s="454"/>
      <c r="AE488" s="454"/>
      <c r="AF488" s="454"/>
      <c r="AG488" s="454"/>
      <c r="AH488" s="454"/>
      <c r="AI488" s="454"/>
      <c r="AJ488" s="454"/>
      <c r="AK488" s="456"/>
      <c r="AL488" s="456"/>
      <c r="AM488" s="456"/>
      <c r="AN488" s="456"/>
      <c r="AO488" s="456"/>
      <c r="AP488" s="456"/>
      <c r="AQ488" s="454"/>
      <c r="AR488" s="481">
        <v>416760.09</v>
      </c>
      <c r="AS488" s="456">
        <v>406757.62</v>
      </c>
      <c r="AT488" s="456">
        <v>384647.2</v>
      </c>
      <c r="AU488" s="456">
        <v>375826.48</v>
      </c>
      <c r="AV488" s="456">
        <v>354591.27</v>
      </c>
      <c r="AW488" s="456">
        <v>326538.27</v>
      </c>
      <c r="AX488" s="456">
        <v>273036.17</v>
      </c>
      <c r="AY488" s="456">
        <v>278246.88</v>
      </c>
      <c r="AZ488" s="456">
        <v>295864.08</v>
      </c>
      <c r="BA488" s="456">
        <v>300110.04</v>
      </c>
      <c r="BB488" s="456">
        <v>322457.75</v>
      </c>
      <c r="BC488" s="456">
        <v>0.0</v>
      </c>
      <c r="BD488" s="456">
        <v>300235.32</v>
      </c>
      <c r="BE488" s="456">
        <v>287096.14</v>
      </c>
      <c r="BF488" s="456">
        <v>300591.27</v>
      </c>
      <c r="BG488" s="456">
        <v>302109.4358</v>
      </c>
      <c r="BH488" s="456">
        <v>301645.05</v>
      </c>
      <c r="BI488" s="456">
        <v>258273.42</v>
      </c>
      <c r="BJ488" s="456">
        <v>253397.23</v>
      </c>
      <c r="BK488" s="456">
        <v>0.0</v>
      </c>
      <c r="BL488" s="456">
        <v>0.0</v>
      </c>
      <c r="BM488" s="456">
        <v>0.0</v>
      </c>
      <c r="BN488" s="456">
        <v>0.0</v>
      </c>
      <c r="BO488" s="456">
        <v>0.0</v>
      </c>
      <c r="BP488" s="456">
        <v>0.0</v>
      </c>
      <c r="BQ488" s="456">
        <v>0.0</v>
      </c>
      <c r="BR488" s="456">
        <v>0.0</v>
      </c>
      <c r="BS488" s="90" t="s">
        <v>268</v>
      </c>
      <c r="BT488" s="90"/>
    </row>
    <row r="489" ht="15.75" customHeight="1">
      <c r="A489" s="444" t="s">
        <v>98</v>
      </c>
      <c r="B489" s="445" t="s">
        <v>7553</v>
      </c>
      <c r="C489" s="458" t="s">
        <v>5924</v>
      </c>
      <c r="D489" s="449">
        <v>4484307.0</v>
      </c>
      <c r="E489" s="449" t="s">
        <v>255</v>
      </c>
      <c r="F489" s="449" t="s">
        <v>199</v>
      </c>
      <c r="G489" s="449" t="s">
        <v>4802</v>
      </c>
      <c r="H489" s="449" t="str">
        <f>IFERROR(VLOOKUP(G489,'Cadastro de assessores'!A:B,2,FALSE),"Não Cadastrado")</f>
        <v>18061</v>
      </c>
      <c r="I489" s="449"/>
      <c r="J489" s="49" t="s">
        <v>224</v>
      </c>
      <c r="K489" s="449" t="s">
        <v>2340</v>
      </c>
      <c r="L489" s="460">
        <v>44105.0</v>
      </c>
      <c r="M489" s="460">
        <v>44105.0</v>
      </c>
      <c r="N489" s="459">
        <v>44482.0</v>
      </c>
      <c r="O489" s="449" t="s">
        <v>2372</v>
      </c>
      <c r="P489" s="452">
        <v>0.025</v>
      </c>
      <c r="Q489" s="461" t="s">
        <v>7558</v>
      </c>
      <c r="R489" s="453"/>
      <c r="S489" s="449" t="str">
        <f t="shared" si="53"/>
        <v>Não Qualificado</v>
      </c>
      <c r="T489" s="449" t="s">
        <v>194</v>
      </c>
      <c r="U489" s="449" t="s">
        <v>7559</v>
      </c>
      <c r="V489" s="449" t="s">
        <v>54</v>
      </c>
      <c r="W489" s="455" t="s">
        <v>2344</v>
      </c>
      <c r="X489" s="455" t="s">
        <v>2344</v>
      </c>
      <c r="Y489" s="455" t="s">
        <v>2344</v>
      </c>
      <c r="Z489" s="455" t="s">
        <v>2344</v>
      </c>
      <c r="AA489" s="455" t="s">
        <v>2344</v>
      </c>
      <c r="AB489" s="455" t="s">
        <v>2344</v>
      </c>
      <c r="AC489" s="455" t="s">
        <v>2344</v>
      </c>
      <c r="AD489" s="455" t="s">
        <v>2344</v>
      </c>
      <c r="AE489" s="455" t="s">
        <v>2344</v>
      </c>
      <c r="AF489" s="455" t="s">
        <v>2344</v>
      </c>
      <c r="AG489" s="455" t="s">
        <v>2344</v>
      </c>
      <c r="AH489" s="455" t="s">
        <v>2344</v>
      </c>
      <c r="AI489" s="455" t="s">
        <v>7560</v>
      </c>
      <c r="AJ489" s="455" t="s">
        <v>7561</v>
      </c>
      <c r="AK489" s="456">
        <v>135611.64</v>
      </c>
      <c r="AL489" s="456">
        <v>128615.77</v>
      </c>
      <c r="AM489" s="456">
        <v>119074.12</v>
      </c>
      <c r="AN489" s="456">
        <v>119259.0</v>
      </c>
      <c r="AO489" s="456">
        <v>112978.13</v>
      </c>
      <c r="AP489" s="456">
        <v>114082.27</v>
      </c>
      <c r="AQ489" s="456">
        <v>112790.36</v>
      </c>
      <c r="AR489" s="456">
        <v>119231.66</v>
      </c>
      <c r="AS489" s="456">
        <v>116471.35</v>
      </c>
      <c r="AT489" s="456">
        <v>124566.1</v>
      </c>
      <c r="AU489" s="456">
        <v>121666.79</v>
      </c>
      <c r="AV489" s="456">
        <v>94818.28</v>
      </c>
      <c r="AW489" s="456"/>
      <c r="AX489" s="456"/>
      <c r="AY489" s="456"/>
      <c r="AZ489" s="456"/>
      <c r="BA489" s="456">
        <v>0.0</v>
      </c>
      <c r="BB489" s="456">
        <v>0.0</v>
      </c>
      <c r="BC489" s="456">
        <v>106529.03</v>
      </c>
      <c r="BD489" s="456" t="s">
        <v>377</v>
      </c>
      <c r="BE489" s="456" t="s">
        <v>377</v>
      </c>
      <c r="BF489" s="456">
        <v>0.0</v>
      </c>
      <c r="BG489" s="456">
        <v>0.0</v>
      </c>
      <c r="BH489" s="456">
        <v>0.0</v>
      </c>
      <c r="BI489" s="456">
        <v>0.0</v>
      </c>
      <c r="BJ489" s="456">
        <v>0.0</v>
      </c>
      <c r="BK489" s="456">
        <v>0.0</v>
      </c>
      <c r="BL489" s="456">
        <v>0.0</v>
      </c>
      <c r="BM489" s="456">
        <v>0.0</v>
      </c>
      <c r="BN489" s="456">
        <v>0.0</v>
      </c>
      <c r="BO489" s="456">
        <v>0.0</v>
      </c>
      <c r="BP489" s="456">
        <v>0.0</v>
      </c>
      <c r="BQ489" s="456">
        <v>0.0</v>
      </c>
      <c r="BR489" s="456">
        <v>0.0</v>
      </c>
      <c r="BS489" s="90" t="s">
        <v>268</v>
      </c>
      <c r="BT489" s="90"/>
    </row>
    <row r="490" ht="15.75" customHeight="1">
      <c r="A490" s="444" t="s">
        <v>98</v>
      </c>
      <c r="B490" s="445" t="s">
        <v>1761</v>
      </c>
      <c r="C490" s="458" t="s">
        <v>7566</v>
      </c>
      <c r="D490" s="449">
        <v>4598320.0</v>
      </c>
      <c r="E490" s="447" t="s">
        <v>120</v>
      </c>
      <c r="F490" s="447" t="s">
        <v>199</v>
      </c>
      <c r="G490" s="447" t="s">
        <v>388</v>
      </c>
      <c r="H490" s="447" t="str">
        <f>IFERROR(VLOOKUP(G490,'Cadastro de assessores'!A:B,2,FALSE),"Não Cadastrado")</f>
        <v>18993</v>
      </c>
      <c r="I490" s="447"/>
      <c r="J490" s="49" t="s">
        <v>2318</v>
      </c>
      <c r="K490" s="447" t="s">
        <v>183</v>
      </c>
      <c r="L490" s="451">
        <v>44148.0</v>
      </c>
      <c r="M490" s="451">
        <v>44148.0</v>
      </c>
      <c r="N490" s="449"/>
      <c r="O490" s="449" t="s">
        <v>2372</v>
      </c>
      <c r="P490" s="452">
        <v>0.025</v>
      </c>
      <c r="Q490" s="461"/>
      <c r="R490" s="453"/>
      <c r="S490" s="449" t="str">
        <f t="shared" si="53"/>
        <v>Não Qualificado</v>
      </c>
      <c r="T490" s="449" t="s">
        <v>194</v>
      </c>
      <c r="U490" s="449" t="s">
        <v>3820</v>
      </c>
      <c r="V490" s="449" t="s">
        <v>397</v>
      </c>
      <c r="W490" s="455" t="s">
        <v>2344</v>
      </c>
      <c r="X490" s="455" t="s">
        <v>2344</v>
      </c>
      <c r="Y490" s="455" t="s">
        <v>2344</v>
      </c>
      <c r="Z490" s="455" t="s">
        <v>2344</v>
      </c>
      <c r="AA490" s="455" t="s">
        <v>2344</v>
      </c>
      <c r="AB490" s="455" t="s">
        <v>2344</v>
      </c>
      <c r="AC490" s="455" t="s">
        <v>2344</v>
      </c>
      <c r="AD490" s="455" t="s">
        <v>2344</v>
      </c>
      <c r="AE490" s="455" t="s">
        <v>2344</v>
      </c>
      <c r="AF490" s="455" t="s">
        <v>2344</v>
      </c>
      <c r="AG490" s="455" t="s">
        <v>2344</v>
      </c>
      <c r="AH490" s="455" t="s">
        <v>2344</v>
      </c>
      <c r="AI490" s="455" t="s">
        <v>2344</v>
      </c>
      <c r="AJ490" s="455" t="s">
        <v>7568</v>
      </c>
      <c r="AK490" s="456">
        <v>158925.18</v>
      </c>
      <c r="AL490" s="456">
        <v>150451.62</v>
      </c>
      <c r="AM490" s="456">
        <v>141384.11</v>
      </c>
      <c r="AN490" s="456">
        <v>141866.38</v>
      </c>
      <c r="AO490" s="456">
        <v>149925.93</v>
      </c>
      <c r="AP490" s="456">
        <v>151766.16</v>
      </c>
      <c r="AQ490" s="456">
        <v>150179.67</v>
      </c>
      <c r="AR490" s="456">
        <v>158565.7</v>
      </c>
      <c r="AS490" s="456">
        <v>154956.33</v>
      </c>
      <c r="AT490" s="456">
        <v>146878.71</v>
      </c>
      <c r="AU490" s="456">
        <v>143834.46</v>
      </c>
      <c r="AV490" s="456">
        <v>135366.36</v>
      </c>
      <c r="AW490" s="456">
        <v>125645.36</v>
      </c>
      <c r="AX490" s="456">
        <v>124413.12</v>
      </c>
      <c r="AY490" s="456">
        <v>126690.76</v>
      </c>
      <c r="AZ490" s="456">
        <v>134758.57</v>
      </c>
      <c r="BA490" s="456">
        <v>136165.38</v>
      </c>
      <c r="BB490" s="456">
        <v>145750.03</v>
      </c>
      <c r="BC490" s="456">
        <v>503823.84</v>
      </c>
      <c r="BD490" s="456">
        <v>136352.04</v>
      </c>
      <c r="BE490" s="456">
        <v>130307.85</v>
      </c>
      <c r="BF490" s="456">
        <v>136847.85</v>
      </c>
      <c r="BG490" s="456">
        <v>138374.37</v>
      </c>
      <c r="BH490" s="456">
        <v>136274.35</v>
      </c>
      <c r="BI490" s="456">
        <v>148991.91</v>
      </c>
      <c r="BJ490" s="456">
        <v>145017.42</v>
      </c>
      <c r="BK490" s="456">
        <v>144322.37</v>
      </c>
      <c r="BL490" s="456">
        <v>147490.79</v>
      </c>
      <c r="BM490" s="456">
        <v>141118.15</v>
      </c>
      <c r="BN490" s="456">
        <v>139544.71</v>
      </c>
      <c r="BO490" s="456">
        <v>38733.03</v>
      </c>
      <c r="BP490" s="456">
        <v>0.0</v>
      </c>
      <c r="BQ490" s="456">
        <v>0.0</v>
      </c>
      <c r="BR490" s="456">
        <v>0.0</v>
      </c>
      <c r="BS490" s="90">
        <v>0.0</v>
      </c>
      <c r="BT490" s="90"/>
    </row>
    <row r="491" ht="15.75" customHeight="1">
      <c r="A491" s="444" t="s">
        <v>98</v>
      </c>
      <c r="B491" s="445" t="s">
        <v>7572</v>
      </c>
      <c r="C491" s="458" t="s">
        <v>5901</v>
      </c>
      <c r="D491" s="449">
        <v>3412436.0</v>
      </c>
      <c r="E491" s="447" t="s">
        <v>669</v>
      </c>
      <c r="F491" s="447" t="s">
        <v>199</v>
      </c>
      <c r="G491" s="447" t="s">
        <v>669</v>
      </c>
      <c r="H491" s="447" t="str">
        <f>IFERROR(VLOOKUP(G491,'Cadastro de assessores'!A:B,2,FALSE),"Não Cadastrado")</f>
        <v>18986</v>
      </c>
      <c r="I491" s="447"/>
      <c r="J491" s="49" t="s">
        <v>2318</v>
      </c>
      <c r="K491" s="552" t="s">
        <v>295</v>
      </c>
      <c r="L491" s="450">
        <v>44067.0</v>
      </c>
      <c r="M491" s="450">
        <v>44075.0</v>
      </c>
      <c r="N491" s="449"/>
      <c r="O491" s="449" t="s">
        <v>2341</v>
      </c>
      <c r="P491" s="452">
        <v>0.015</v>
      </c>
      <c r="Q491" s="461"/>
      <c r="R491" s="453"/>
      <c r="S491" s="449" t="str">
        <f t="shared" si="53"/>
        <v/>
      </c>
      <c r="T491" s="449" t="s">
        <v>194</v>
      </c>
      <c r="U491" s="449" t="s">
        <v>3350</v>
      </c>
      <c r="V491" s="449" t="s">
        <v>199</v>
      </c>
      <c r="W491" s="455" t="s">
        <v>2344</v>
      </c>
      <c r="X491" s="455" t="s">
        <v>2344</v>
      </c>
      <c r="Y491" s="455" t="s">
        <v>2344</v>
      </c>
      <c r="Z491" s="455" t="s">
        <v>2344</v>
      </c>
      <c r="AA491" s="455" t="s">
        <v>2344</v>
      </c>
      <c r="AB491" s="455" t="s">
        <v>2344</v>
      </c>
      <c r="AC491" s="455" t="s">
        <v>2344</v>
      </c>
      <c r="AD491" s="455" t="s">
        <v>2344</v>
      </c>
      <c r="AE491" s="455" t="s">
        <v>2344</v>
      </c>
      <c r="AF491" s="455" t="s">
        <v>2344</v>
      </c>
      <c r="AG491" s="455" t="s">
        <v>7573</v>
      </c>
      <c r="AH491" s="455" t="s">
        <v>7574</v>
      </c>
      <c r="AI491" s="455" t="s">
        <v>7575</v>
      </c>
      <c r="AJ491" s="455" t="s">
        <v>7576</v>
      </c>
      <c r="AK491" s="456">
        <v>54318.27</v>
      </c>
      <c r="AL491" s="456">
        <v>52758.77</v>
      </c>
      <c r="AM491" s="456">
        <v>50844.88</v>
      </c>
      <c r="AN491" s="456">
        <v>51089.25</v>
      </c>
      <c r="AO491" s="456">
        <v>172.29</v>
      </c>
      <c r="AP491" s="456">
        <v>172.01</v>
      </c>
      <c r="AQ491" s="456">
        <v>171.97</v>
      </c>
      <c r="AR491" s="456">
        <v>171.76</v>
      </c>
      <c r="AS491" s="456">
        <v>166.59</v>
      </c>
      <c r="AT491" s="456">
        <v>166.37</v>
      </c>
      <c r="AU491" s="456">
        <v>166.15</v>
      </c>
      <c r="AV491" s="456">
        <v>138.79</v>
      </c>
      <c r="AW491" s="456">
        <v>165.74</v>
      </c>
      <c r="AX491" s="456">
        <v>165.54</v>
      </c>
      <c r="AY491" s="456"/>
      <c r="AZ491" s="456"/>
      <c r="BA491" s="456">
        <v>0.0</v>
      </c>
      <c r="BB491" s="456">
        <v>0.0</v>
      </c>
      <c r="BC491" s="456">
        <v>0.0</v>
      </c>
      <c r="BD491" s="456">
        <v>3.02</v>
      </c>
      <c r="BE491" s="456">
        <v>3.02</v>
      </c>
      <c r="BF491" s="456">
        <v>3.02</v>
      </c>
      <c r="BG491" s="456">
        <v>3.02</v>
      </c>
      <c r="BH491" s="456">
        <v>3.02</v>
      </c>
      <c r="BI491" s="456">
        <v>3.02</v>
      </c>
      <c r="BJ491" s="456">
        <v>3.02</v>
      </c>
      <c r="BK491" s="456">
        <v>3.02</v>
      </c>
      <c r="BL491" s="456">
        <v>3.02</v>
      </c>
      <c r="BM491" s="456">
        <v>3.02</v>
      </c>
      <c r="BN491" s="456">
        <v>3.02</v>
      </c>
      <c r="BO491" s="456">
        <v>3.02</v>
      </c>
      <c r="BP491" s="456">
        <v>3.02</v>
      </c>
      <c r="BQ491" s="456">
        <v>3.02</v>
      </c>
      <c r="BR491" s="456">
        <v>3.02</v>
      </c>
      <c r="BS491" s="90">
        <v>0.0</v>
      </c>
      <c r="BT491" s="90"/>
    </row>
    <row r="492" ht="15.75" customHeight="1">
      <c r="A492" s="444" t="s">
        <v>98</v>
      </c>
      <c r="B492" s="445" t="s">
        <v>7580</v>
      </c>
      <c r="C492" s="559" t="s">
        <v>7581</v>
      </c>
      <c r="D492" s="446">
        <v>5681841.0</v>
      </c>
      <c r="E492" s="447" t="s">
        <v>120</v>
      </c>
      <c r="F492" s="448" t="s">
        <v>54</v>
      </c>
      <c r="G492" s="447" t="s">
        <v>125</v>
      </c>
      <c r="H492" s="448" t="str">
        <f>IFERROR(VLOOKUP(G492,'Cadastro de assessores'!A:B,2,FALSE),"Não Cadastrado")</f>
        <v>18890</v>
      </c>
      <c r="I492" s="448"/>
      <c r="J492" s="49" t="s">
        <v>2318</v>
      </c>
      <c r="K492" s="447" t="s">
        <v>183</v>
      </c>
      <c r="L492" s="450">
        <v>44469.0</v>
      </c>
      <c r="M492" s="450">
        <v>44469.0</v>
      </c>
      <c r="N492" s="449"/>
      <c r="O492" s="449" t="s">
        <v>2365</v>
      </c>
      <c r="P492" s="452">
        <v>0.012</v>
      </c>
      <c r="Q492" s="330" t="s">
        <v>3145</v>
      </c>
      <c r="R492" s="453"/>
      <c r="S492" s="449" t="str">
        <f t="shared" si="53"/>
        <v>Não Qualificado</v>
      </c>
      <c r="T492" s="449" t="s">
        <v>194</v>
      </c>
      <c r="U492" s="446" t="s">
        <v>3587</v>
      </c>
      <c r="V492" s="446" t="s">
        <v>54</v>
      </c>
      <c r="W492" s="454"/>
      <c r="X492" s="454"/>
      <c r="Y492" s="454"/>
      <c r="Z492" s="454"/>
      <c r="AA492" s="454"/>
      <c r="AB492" s="454"/>
      <c r="AC492" s="454"/>
      <c r="AD492" s="454"/>
      <c r="AE492" s="454"/>
      <c r="AF492" s="454"/>
      <c r="AG492" s="454"/>
      <c r="AH492" s="454"/>
      <c r="AI492" s="454"/>
      <c r="AJ492" s="456"/>
      <c r="AK492" s="456"/>
      <c r="AL492" s="456"/>
      <c r="AM492" s="456"/>
      <c r="AN492" s="456"/>
      <c r="AO492" s="456"/>
      <c r="AP492" s="454"/>
      <c r="AQ492" s="481"/>
      <c r="AR492" s="454"/>
      <c r="AS492" s="456"/>
      <c r="AT492" s="456"/>
      <c r="AU492" s="456"/>
      <c r="AV492" s="456">
        <v>200288.86</v>
      </c>
      <c r="AW492" s="456">
        <v>296872.36</v>
      </c>
      <c r="AX492" s="456">
        <v>298213.11</v>
      </c>
      <c r="AY492" s="456">
        <v>301145.54</v>
      </c>
      <c r="AZ492" s="456">
        <v>306121.35</v>
      </c>
      <c r="BA492" s="456">
        <v>308647.51</v>
      </c>
      <c r="BB492" s="456">
        <v>315264.2</v>
      </c>
      <c r="BC492" s="456">
        <v>32385.24</v>
      </c>
      <c r="BD492" s="456">
        <v>266238.41</v>
      </c>
      <c r="BE492" s="456">
        <v>266365.2</v>
      </c>
      <c r="BF492" s="456">
        <v>419720.11</v>
      </c>
      <c r="BG492" s="456">
        <v>422348.3553</v>
      </c>
      <c r="BH492" s="456">
        <v>424891.44</v>
      </c>
      <c r="BI492" s="456">
        <v>380731.19</v>
      </c>
      <c r="BJ492" s="456">
        <v>281442.85</v>
      </c>
      <c r="BK492" s="456">
        <v>248308.32</v>
      </c>
      <c r="BL492" s="456">
        <v>133938.05</v>
      </c>
      <c r="BM492" s="456">
        <v>8006.89</v>
      </c>
      <c r="BN492" s="456">
        <v>5.7</v>
      </c>
      <c r="BO492" s="456">
        <v>5.7</v>
      </c>
      <c r="BP492" s="456">
        <v>5.7</v>
      </c>
      <c r="BQ492" s="456">
        <v>5.7</v>
      </c>
      <c r="BR492" s="456">
        <v>5.7</v>
      </c>
      <c r="BS492" s="90">
        <v>0.0</v>
      </c>
      <c r="BT492" s="90"/>
    </row>
    <row r="493" ht="15.75" customHeight="1">
      <c r="A493" s="444" t="s">
        <v>98</v>
      </c>
      <c r="B493" s="445" t="s">
        <v>7588</v>
      </c>
      <c r="C493" s="468" t="s">
        <v>6726</v>
      </c>
      <c r="D493" s="507">
        <v>5146477.0</v>
      </c>
      <c r="E493" s="449" t="s">
        <v>669</v>
      </c>
      <c r="F493" s="449" t="s">
        <v>199</v>
      </c>
      <c r="G493" s="449" t="s">
        <v>669</v>
      </c>
      <c r="H493" s="449" t="str">
        <f>IFERROR(VLOOKUP(G493,'Cadastro de assessores'!A:B,2,FALSE),"Não Cadastrado")</f>
        <v>18986</v>
      </c>
      <c r="I493" s="449"/>
      <c r="J493" s="49" t="s">
        <v>224</v>
      </c>
      <c r="K493" s="449" t="s">
        <v>2340</v>
      </c>
      <c r="L493" s="460">
        <v>44355.0</v>
      </c>
      <c r="M493" s="460">
        <v>44355.0</v>
      </c>
      <c r="N493" s="460">
        <v>44776.0</v>
      </c>
      <c r="O493" s="449" t="s">
        <v>2365</v>
      </c>
      <c r="P493" s="452">
        <v>0.012</v>
      </c>
      <c r="Q493" s="330" t="s">
        <v>7590</v>
      </c>
      <c r="R493" s="453"/>
      <c r="S493" s="449" t="str">
        <f t="shared" si="53"/>
        <v/>
      </c>
      <c r="T493" s="449" t="s">
        <v>194</v>
      </c>
      <c r="U493" s="446" t="s">
        <v>7591</v>
      </c>
      <c r="V493" s="446" t="s">
        <v>618</v>
      </c>
      <c r="W493" s="454"/>
      <c r="X493" s="454"/>
      <c r="Y493" s="454"/>
      <c r="Z493" s="454"/>
      <c r="AA493" s="454"/>
      <c r="AB493" s="454"/>
      <c r="AC493" s="454"/>
      <c r="AD493" s="454"/>
      <c r="AE493" s="454"/>
      <c r="AF493" s="454"/>
      <c r="AG493" s="454"/>
      <c r="AH493" s="454"/>
      <c r="AI493" s="454"/>
      <c r="AJ493" s="454"/>
      <c r="AK493" s="456"/>
      <c r="AL493" s="456"/>
      <c r="AM493" s="456"/>
      <c r="AN493" s="456"/>
      <c r="AO493" s="456"/>
      <c r="AP493" s="456"/>
      <c r="AQ493" s="454"/>
      <c r="AR493" s="481"/>
      <c r="AS493" s="456">
        <v>109428.08</v>
      </c>
      <c r="AT493" s="456">
        <v>108750.41</v>
      </c>
      <c r="AU493" s="456">
        <v>108656.85</v>
      </c>
      <c r="AV493" s="456">
        <v>71682.32</v>
      </c>
      <c r="AW493" s="456">
        <v>70498.31</v>
      </c>
      <c r="AX493" s="456">
        <v>74390.31</v>
      </c>
      <c r="AY493" s="456">
        <v>75034.44</v>
      </c>
      <c r="AZ493" s="456">
        <v>76353.01</v>
      </c>
      <c r="BA493" s="456">
        <v>77022.72</v>
      </c>
      <c r="BB493" s="456">
        <v>78726.23</v>
      </c>
      <c r="BC493" s="456">
        <v>0.0</v>
      </c>
      <c r="BD493" s="456">
        <v>104540.39</v>
      </c>
      <c r="BE493" s="456">
        <v>125020.57</v>
      </c>
      <c r="BF493" s="456">
        <v>92785.44</v>
      </c>
      <c r="BG493" s="456">
        <v>80755.0267</v>
      </c>
      <c r="BH493" s="456">
        <v>19821.16</v>
      </c>
      <c r="BI493" s="456">
        <v>21230.97</v>
      </c>
      <c r="BJ493" s="456">
        <v>20769.33</v>
      </c>
      <c r="BK493" s="456">
        <v>20958.23</v>
      </c>
      <c r="BL493" s="456">
        <v>21265.64</v>
      </c>
      <c r="BM493" s="456">
        <v>21451.03</v>
      </c>
      <c r="BN493" s="456">
        <v>21694.63</v>
      </c>
      <c r="BO493" s="456">
        <v>21906.47</v>
      </c>
      <c r="BP493" s="456">
        <v>22007.46</v>
      </c>
      <c r="BQ493" s="456">
        <v>22178.43</v>
      </c>
      <c r="BR493" s="456">
        <v>22434.35</v>
      </c>
      <c r="BS493" s="90">
        <v>23752.55</v>
      </c>
      <c r="BT493" s="90"/>
    </row>
    <row r="494" ht="15.75" customHeight="1">
      <c r="A494" s="444" t="s">
        <v>98</v>
      </c>
      <c r="B494" s="445" t="s">
        <v>7593</v>
      </c>
      <c r="C494" s="559" t="s">
        <v>7010</v>
      </c>
      <c r="D494" s="446">
        <v>5620188.0</v>
      </c>
      <c r="E494" s="447" t="s">
        <v>120</v>
      </c>
      <c r="F494" s="448" t="s">
        <v>54</v>
      </c>
      <c r="G494" s="446" t="s">
        <v>4617</v>
      </c>
      <c r="H494" s="446" t="str">
        <f>IFERROR(VLOOKUP(G494,'Cadastro de assessores'!A:B,2,FALSE),"Não Cadastrado")</f>
        <v>18530</v>
      </c>
      <c r="I494" s="446"/>
      <c r="J494" s="49" t="s">
        <v>2318</v>
      </c>
      <c r="K494" s="552" t="s">
        <v>295</v>
      </c>
      <c r="L494" s="450">
        <v>44355.0</v>
      </c>
      <c r="M494" s="450">
        <v>44356.0</v>
      </c>
      <c r="N494" s="449"/>
      <c r="O494" s="449" t="s">
        <v>2372</v>
      </c>
      <c r="P494" s="452">
        <v>0.025</v>
      </c>
      <c r="Q494" s="330"/>
      <c r="R494" s="453"/>
      <c r="S494" s="449" t="str">
        <f t="shared" si="53"/>
        <v/>
      </c>
      <c r="T494" s="449" t="s">
        <v>194</v>
      </c>
      <c r="U494" s="449" t="s">
        <v>2374</v>
      </c>
      <c r="V494" s="449" t="s">
        <v>199</v>
      </c>
      <c r="W494" s="454"/>
      <c r="X494" s="454"/>
      <c r="Y494" s="454"/>
      <c r="Z494" s="454"/>
      <c r="AA494" s="454"/>
      <c r="AB494" s="454"/>
      <c r="AC494" s="454"/>
      <c r="AD494" s="454"/>
      <c r="AE494" s="454"/>
      <c r="AF494" s="454"/>
      <c r="AG494" s="454"/>
      <c r="AH494" s="454"/>
      <c r="AI494" s="454"/>
      <c r="AJ494" s="454"/>
      <c r="AK494" s="456"/>
      <c r="AL494" s="456"/>
      <c r="AM494" s="456"/>
      <c r="AN494" s="456"/>
      <c r="AO494" s="456"/>
      <c r="AP494" s="456"/>
      <c r="AQ494" s="456"/>
      <c r="AR494" s="454"/>
      <c r="AS494" s="456">
        <v>320935.59</v>
      </c>
      <c r="AT494" s="456">
        <v>303669.71</v>
      </c>
      <c r="AU494" s="456">
        <v>295583.99</v>
      </c>
      <c r="AV494" s="456">
        <v>278316.08</v>
      </c>
      <c r="AW494" s="456">
        <v>133.12</v>
      </c>
      <c r="AX494" s="456">
        <v>132.92</v>
      </c>
      <c r="AY494" s="456">
        <v>132.69</v>
      </c>
      <c r="AZ494" s="456">
        <v>132.48</v>
      </c>
      <c r="BA494" s="456">
        <v>132.29</v>
      </c>
      <c r="BB494" s="456">
        <v>132.07</v>
      </c>
      <c r="BC494" s="456">
        <v>0.0</v>
      </c>
      <c r="BD494" s="456">
        <v>406.21</v>
      </c>
      <c r="BE494" s="456">
        <v>406.21</v>
      </c>
      <c r="BF494" s="456">
        <v>406.21</v>
      </c>
      <c r="BG494" s="456">
        <v>406.21</v>
      </c>
      <c r="BH494" s="456">
        <v>406.21</v>
      </c>
      <c r="BI494" s="456">
        <v>406.21</v>
      </c>
      <c r="BJ494" s="456">
        <v>406.21</v>
      </c>
      <c r="BK494" s="456">
        <v>406.21</v>
      </c>
      <c r="BL494" s="456">
        <v>406.21</v>
      </c>
      <c r="BM494" s="456">
        <v>406.21</v>
      </c>
      <c r="BN494" s="456">
        <v>406.21</v>
      </c>
      <c r="BO494" s="456">
        <v>406.21</v>
      </c>
      <c r="BP494" s="456">
        <v>406.21</v>
      </c>
      <c r="BQ494" s="456">
        <v>406.21</v>
      </c>
      <c r="BR494" s="456">
        <v>406.21</v>
      </c>
      <c r="BS494" s="90">
        <v>0.0</v>
      </c>
      <c r="BT494" s="90"/>
    </row>
    <row r="495" ht="15.75" customHeight="1">
      <c r="A495" s="444" t="s">
        <v>98</v>
      </c>
      <c r="B495" s="445" t="s">
        <v>7597</v>
      </c>
      <c r="C495" s="458" t="s">
        <v>7598</v>
      </c>
      <c r="D495" s="828">
        <v>7738705.0</v>
      </c>
      <c r="E495" s="447" t="s">
        <v>120</v>
      </c>
      <c r="F495" s="448" t="s">
        <v>54</v>
      </c>
      <c r="G495" s="447" t="s">
        <v>1393</v>
      </c>
      <c r="H495" s="446" t="str">
        <f>IFERROR(VLOOKUP(G495,'Cadastro de assessores'!A:B,2,FALSE),"Não Cadastrado")</f>
        <v>17831</v>
      </c>
      <c r="I495" s="446"/>
      <c r="J495" s="49" t="s">
        <v>2318</v>
      </c>
      <c r="K495" s="447" t="s">
        <v>183</v>
      </c>
      <c r="L495" s="450">
        <v>44585.0</v>
      </c>
      <c r="M495" s="450">
        <v>44589.0</v>
      </c>
      <c r="N495" s="449"/>
      <c r="O495" s="449" t="s">
        <v>2356</v>
      </c>
      <c r="P495" s="452">
        <v>0.007</v>
      </c>
      <c r="Q495" s="461"/>
      <c r="R495" s="453"/>
      <c r="S495" s="449" t="str">
        <f t="shared" si="53"/>
        <v>Não Qualificado</v>
      </c>
      <c r="T495" s="449" t="s">
        <v>194</v>
      </c>
      <c r="U495" s="449" t="s">
        <v>2438</v>
      </c>
      <c r="V495" s="449" t="s">
        <v>54</v>
      </c>
      <c r="W495" s="455"/>
      <c r="X495" s="455"/>
      <c r="Y495" s="455"/>
      <c r="Z495" s="455"/>
      <c r="AA495" s="455"/>
      <c r="AB495" s="455"/>
      <c r="AC495" s="455"/>
      <c r="AD495" s="455"/>
      <c r="AE495" s="455"/>
      <c r="AF495" s="455"/>
      <c r="AG495" s="455"/>
      <c r="AH495" s="455"/>
      <c r="AI495" s="455"/>
      <c r="AJ495" s="455"/>
      <c r="AK495" s="456"/>
      <c r="AL495" s="456"/>
      <c r="AM495" s="456"/>
      <c r="AN495" s="456"/>
      <c r="AO495" s="456"/>
      <c r="AP495" s="456"/>
      <c r="AQ495" s="456"/>
      <c r="AR495" s="456"/>
      <c r="AS495" s="456"/>
      <c r="AT495" s="456"/>
      <c r="AU495" s="456"/>
      <c r="AV495" s="456"/>
      <c r="AW495" s="456"/>
      <c r="AX495" s="456"/>
      <c r="AY495" s="456"/>
      <c r="AZ495" s="456"/>
      <c r="BA495" s="456"/>
      <c r="BB495" s="456"/>
      <c r="BC495" s="456">
        <v>92965.24</v>
      </c>
      <c r="BD495" s="456">
        <v>545169.46</v>
      </c>
      <c r="BE495" s="456">
        <v>549869.79</v>
      </c>
      <c r="BF495" s="456">
        <v>551256.58</v>
      </c>
      <c r="BG495" s="456">
        <v>556899.1048</v>
      </c>
      <c r="BH495" s="456">
        <v>560246.84</v>
      </c>
      <c r="BI495" s="456">
        <v>564587.98</v>
      </c>
      <c r="BJ495" s="456">
        <v>565785.89</v>
      </c>
      <c r="BK495" s="456">
        <v>571306.01</v>
      </c>
      <c r="BL495" s="456">
        <v>730716.62</v>
      </c>
      <c r="BM495" s="456">
        <v>585409.24</v>
      </c>
      <c r="BN495" s="456">
        <v>515386.43</v>
      </c>
      <c r="BO495" s="456">
        <v>42.9</v>
      </c>
      <c r="BP495" s="456">
        <v>43.43</v>
      </c>
      <c r="BQ495" s="456">
        <v>43.7</v>
      </c>
      <c r="BR495" s="456">
        <v>44.26</v>
      </c>
      <c r="BS495" s="90">
        <v>0.0</v>
      </c>
      <c r="BT495" s="90"/>
    </row>
    <row r="496" ht="15.75" customHeight="1">
      <c r="A496" s="444" t="s">
        <v>98</v>
      </c>
      <c r="B496" s="445" t="s">
        <v>7605</v>
      </c>
      <c r="C496" s="458" t="s">
        <v>7606</v>
      </c>
      <c r="D496" s="449">
        <v>4634231.0</v>
      </c>
      <c r="E496" s="447" t="s">
        <v>255</v>
      </c>
      <c r="F496" s="447" t="s">
        <v>199</v>
      </c>
      <c r="G496" s="447" t="s">
        <v>2489</v>
      </c>
      <c r="H496" s="447" t="str">
        <f>IFERROR(VLOOKUP(G496,'Cadastro de assessores'!A:B,2,FALSE),"Não Cadastrado")</f>
        <v>12624</v>
      </c>
      <c r="I496" s="447"/>
      <c r="J496" s="49" t="s">
        <v>2318</v>
      </c>
      <c r="K496" s="447" t="s">
        <v>183</v>
      </c>
      <c r="L496" s="450">
        <v>44166.0</v>
      </c>
      <c r="M496" s="450">
        <v>44173.0</v>
      </c>
      <c r="N496" s="449"/>
      <c r="O496" s="449" t="s">
        <v>2356</v>
      </c>
      <c r="P496" s="452">
        <v>0.007</v>
      </c>
      <c r="Q496" s="830" t="s">
        <v>7608</v>
      </c>
      <c r="R496" s="453"/>
      <c r="S496" s="449" t="str">
        <f t="shared" si="53"/>
        <v>Não Qualificado</v>
      </c>
      <c r="T496" s="449" t="s">
        <v>194</v>
      </c>
      <c r="U496" s="449" t="s">
        <v>2374</v>
      </c>
      <c r="V496" s="449" t="s">
        <v>199</v>
      </c>
      <c r="W496" s="455" t="s">
        <v>2344</v>
      </c>
      <c r="X496" s="455" t="s">
        <v>2344</v>
      </c>
      <c r="Y496" s="455" t="s">
        <v>2344</v>
      </c>
      <c r="Z496" s="455" t="s">
        <v>2344</v>
      </c>
      <c r="AA496" s="455" t="s">
        <v>2344</v>
      </c>
      <c r="AB496" s="455" t="s">
        <v>2344</v>
      </c>
      <c r="AC496" s="455" t="s">
        <v>2344</v>
      </c>
      <c r="AD496" s="455" t="s">
        <v>2344</v>
      </c>
      <c r="AE496" s="455" t="s">
        <v>2344</v>
      </c>
      <c r="AF496" s="455" t="s">
        <v>2344</v>
      </c>
      <c r="AG496" s="455" t="s">
        <v>2344</v>
      </c>
      <c r="AH496" s="455" t="s">
        <v>2344</v>
      </c>
      <c r="AI496" s="455" t="s">
        <v>2344</v>
      </c>
      <c r="AJ496" s="455" t="s">
        <v>2344</v>
      </c>
      <c r="AK496" s="456">
        <v>374479.58</v>
      </c>
      <c r="AL496" s="456">
        <v>368492.93</v>
      </c>
      <c r="AM496" s="456">
        <v>357126.43</v>
      </c>
      <c r="AN496" s="456">
        <v>356792.57</v>
      </c>
      <c r="AO496" s="456">
        <v>367286.21</v>
      </c>
      <c r="AP496" s="456">
        <v>368973.82</v>
      </c>
      <c r="AQ496" s="456">
        <v>367283.66</v>
      </c>
      <c r="AR496" s="456">
        <v>404527.96</v>
      </c>
      <c r="AS496" s="456">
        <v>426152.36</v>
      </c>
      <c r="AT496" s="456">
        <v>436834.57</v>
      </c>
      <c r="AU496" s="456">
        <v>434307.12</v>
      </c>
      <c r="AV496" s="456">
        <v>425660.38</v>
      </c>
      <c r="AW496" s="456">
        <v>410732.68</v>
      </c>
      <c r="AX496" s="456">
        <v>411211.15</v>
      </c>
      <c r="AY496" s="456">
        <v>417430.97</v>
      </c>
      <c r="AZ496" s="456">
        <v>424720.76</v>
      </c>
      <c r="BA496" s="456">
        <v>429437.82</v>
      </c>
      <c r="BB496" s="456">
        <v>440640.17</v>
      </c>
      <c r="BC496" s="456">
        <v>49352.11</v>
      </c>
      <c r="BD496" s="456">
        <v>442424.47</v>
      </c>
      <c r="BE496" s="456">
        <v>443481.14</v>
      </c>
      <c r="BF496" s="456">
        <v>446934.42</v>
      </c>
      <c r="BG496" s="456">
        <v>449042.483</v>
      </c>
      <c r="BH496" s="456">
        <v>451286.37</v>
      </c>
      <c r="BI496" s="456">
        <v>454381.38</v>
      </c>
      <c r="BJ496" s="456">
        <v>507340.35</v>
      </c>
      <c r="BK496" s="456">
        <v>551419.18</v>
      </c>
      <c r="BL496" s="456">
        <v>834.49</v>
      </c>
      <c r="BM496" s="456">
        <v>381.59</v>
      </c>
      <c r="BN496" s="456">
        <v>0.0</v>
      </c>
      <c r="BO496" s="456">
        <v>0.0</v>
      </c>
      <c r="BP496" s="456">
        <v>0.0</v>
      </c>
      <c r="BQ496" s="456">
        <v>0.0</v>
      </c>
      <c r="BR496" s="456">
        <v>0.0</v>
      </c>
      <c r="BS496" s="90" t="s">
        <v>268</v>
      </c>
      <c r="BT496" s="90"/>
    </row>
    <row r="497" ht="15.75" customHeight="1">
      <c r="A497" s="444" t="s">
        <v>98</v>
      </c>
      <c r="B497" s="445" t="s">
        <v>7611</v>
      </c>
      <c r="C497" s="468" t="s">
        <v>6187</v>
      </c>
      <c r="D497" s="446">
        <v>4304013.0</v>
      </c>
      <c r="E497" s="447" t="s">
        <v>120</v>
      </c>
      <c r="F497" s="448" t="s">
        <v>54</v>
      </c>
      <c r="G497" s="447" t="s">
        <v>379</v>
      </c>
      <c r="H497" s="448" t="str">
        <f>IFERROR(VLOOKUP(G497,'Cadastro de assessores'!A:B,2,FALSE),"Não Cadastrado")</f>
        <v>18009</v>
      </c>
      <c r="I497" s="448"/>
      <c r="J497" s="49" t="s">
        <v>2318</v>
      </c>
      <c r="K497" s="552" t="s">
        <v>183</v>
      </c>
      <c r="L497" s="450">
        <v>44292.0</v>
      </c>
      <c r="M497" s="450">
        <v>44291.0</v>
      </c>
      <c r="N497" s="449"/>
      <c r="O497" s="449" t="s">
        <v>2372</v>
      </c>
      <c r="P497" s="452">
        <v>0.025</v>
      </c>
      <c r="Q497" s="330"/>
      <c r="R497" s="453"/>
      <c r="S497" s="449" t="str">
        <f t="shared" si="53"/>
        <v/>
      </c>
      <c r="T497" s="449" t="s">
        <v>194</v>
      </c>
      <c r="U497" s="446" t="s">
        <v>2852</v>
      </c>
      <c r="V497" s="449" t="s">
        <v>2854</v>
      </c>
      <c r="W497" s="454"/>
      <c r="X497" s="454"/>
      <c r="Y497" s="454"/>
      <c r="Z497" s="454"/>
      <c r="AA497" s="454"/>
      <c r="AB497" s="454"/>
      <c r="AC497" s="454"/>
      <c r="AD497" s="454"/>
      <c r="AE497" s="454"/>
      <c r="AF497" s="454"/>
      <c r="AG497" s="454"/>
      <c r="AH497" s="454"/>
      <c r="AI497" s="454"/>
      <c r="AJ497" s="454"/>
      <c r="AK497" s="456"/>
      <c r="AL497" s="456"/>
      <c r="AM497" s="456"/>
      <c r="AN497" s="456"/>
      <c r="AO497" s="456"/>
      <c r="AP497" s="456">
        <v>281544.63</v>
      </c>
      <c r="AQ497" s="456">
        <v>278530.58</v>
      </c>
      <c r="AR497" s="456">
        <v>90303.36</v>
      </c>
      <c r="AS497" s="456">
        <v>88247.12</v>
      </c>
      <c r="AT497" s="456">
        <v>83704.06</v>
      </c>
      <c r="AU497" s="456">
        <v>4867.33</v>
      </c>
      <c r="AV497" s="456">
        <v>3746.51</v>
      </c>
      <c r="AW497" s="456">
        <v>4875.27</v>
      </c>
      <c r="AX497" s="456">
        <v>4870.91</v>
      </c>
      <c r="AY497" s="456">
        <v>3800.12</v>
      </c>
      <c r="AZ497" s="456">
        <v>3792.14</v>
      </c>
      <c r="BA497" s="456">
        <v>3784.92</v>
      </c>
      <c r="BB497" s="456">
        <v>3801.52</v>
      </c>
      <c r="BC497" s="456">
        <v>0.0</v>
      </c>
      <c r="BD497" s="456">
        <v>3902.52</v>
      </c>
      <c r="BE497" s="456">
        <v>3941.98</v>
      </c>
      <c r="BF497" s="456">
        <v>3981.97</v>
      </c>
      <c r="BG497" s="456">
        <v>4027.82</v>
      </c>
      <c r="BH497" s="456">
        <v>4066.2</v>
      </c>
      <c r="BI497" s="456">
        <v>4122.55</v>
      </c>
      <c r="BJ497" s="456">
        <v>4146.4</v>
      </c>
      <c r="BK497" s="456">
        <v>4181.83</v>
      </c>
      <c r="BL497" s="456">
        <v>4242.79</v>
      </c>
      <c r="BM497" s="456">
        <v>4288.23</v>
      </c>
      <c r="BN497" s="456">
        <v>4331.31</v>
      </c>
      <c r="BO497" s="456">
        <v>4372.48</v>
      </c>
      <c r="BP497" s="456">
        <v>4420.75</v>
      </c>
      <c r="BQ497" s="456">
        <v>4470.85</v>
      </c>
      <c r="BR497" s="456">
        <v>4513.11</v>
      </c>
      <c r="BS497" s="90">
        <v>5099.78</v>
      </c>
      <c r="BT497" s="90"/>
    </row>
    <row r="498" ht="15.75" customHeight="1">
      <c r="A498" s="444" t="s">
        <v>98</v>
      </c>
      <c r="B498" s="445" t="s">
        <v>7618</v>
      </c>
      <c r="C498" s="458" t="s">
        <v>7619</v>
      </c>
      <c r="D498" s="449">
        <v>4695301.0</v>
      </c>
      <c r="E498" s="447" t="s">
        <v>255</v>
      </c>
      <c r="F498" s="447" t="s">
        <v>199</v>
      </c>
      <c r="G498" s="447" t="s">
        <v>3855</v>
      </c>
      <c r="H498" s="447" t="str">
        <f>IFERROR(VLOOKUP(G498,'Cadastro de assessores'!A:B,2,FALSE),"Não Cadastrado")</f>
        <v>19634</v>
      </c>
      <c r="I498" s="447"/>
      <c r="J498" s="49" t="s">
        <v>2318</v>
      </c>
      <c r="K498" s="447" t="s">
        <v>183</v>
      </c>
      <c r="L498" s="450">
        <v>44217.0</v>
      </c>
      <c r="M498" s="450">
        <v>44218.0</v>
      </c>
      <c r="N498" s="449"/>
      <c r="O498" s="449" t="s">
        <v>2319</v>
      </c>
      <c r="P498" s="452">
        <v>0.02</v>
      </c>
      <c r="Q498" s="461"/>
      <c r="R498" s="453"/>
      <c r="S498" s="449" t="str">
        <f t="shared" si="53"/>
        <v/>
      </c>
      <c r="T498" s="449" t="s">
        <v>194</v>
      </c>
      <c r="U498" s="449" t="s">
        <v>5808</v>
      </c>
      <c r="V498" s="449" t="s">
        <v>199</v>
      </c>
      <c r="W498" s="455"/>
      <c r="X498" s="455"/>
      <c r="Y498" s="455"/>
      <c r="Z498" s="455"/>
      <c r="AA498" s="455"/>
      <c r="AB498" s="455"/>
      <c r="AC498" s="455"/>
      <c r="AD498" s="455"/>
      <c r="AE498" s="455"/>
      <c r="AF498" s="455"/>
      <c r="AG498" s="455"/>
      <c r="AH498" s="455"/>
      <c r="AI498" s="455"/>
      <c r="AJ498" s="455"/>
      <c r="AK498" s="456" t="s">
        <v>3320</v>
      </c>
      <c r="AL498" s="456">
        <v>259477.81</v>
      </c>
      <c r="AM498" s="456">
        <v>249284.55</v>
      </c>
      <c r="AN498" s="456">
        <v>249872.18</v>
      </c>
      <c r="AO498" s="456">
        <v>258124.39</v>
      </c>
      <c r="AP498" s="456">
        <v>262130.43</v>
      </c>
      <c r="AQ498" s="456">
        <v>260667.34</v>
      </c>
      <c r="AR498" s="456">
        <v>268374.09</v>
      </c>
      <c r="AS498" s="456">
        <v>265606.07</v>
      </c>
      <c r="AT498" s="456">
        <v>257212.44</v>
      </c>
      <c r="AU498" s="456">
        <v>254376.8</v>
      </c>
      <c r="AV498" s="456">
        <v>246902.58</v>
      </c>
      <c r="AW498" s="456">
        <v>232996.56</v>
      </c>
      <c r="AX498" s="456">
        <v>232289.61</v>
      </c>
      <c r="AY498" s="456">
        <v>235908.56</v>
      </c>
      <c r="AZ498" s="456">
        <v>244649.72</v>
      </c>
      <c r="BA498" s="456">
        <v>246781.72</v>
      </c>
      <c r="BB498" s="456">
        <v>772216.52</v>
      </c>
      <c r="BC498" s="456">
        <v>0.0</v>
      </c>
      <c r="BD498" s="456">
        <v>814490.07</v>
      </c>
      <c r="BE498" s="456">
        <v>811879.15</v>
      </c>
      <c r="BF498" s="456">
        <v>825868.48</v>
      </c>
      <c r="BG498" s="456">
        <v>833808.7859</v>
      </c>
      <c r="BH498" s="456">
        <v>831782.15</v>
      </c>
      <c r="BI498" s="456">
        <v>860119.86</v>
      </c>
      <c r="BJ498" s="456">
        <v>863574.82</v>
      </c>
      <c r="BK498" s="456">
        <v>866608.17</v>
      </c>
      <c r="BL498" s="456">
        <v>310966.91</v>
      </c>
      <c r="BM498" s="456">
        <v>8.65</v>
      </c>
      <c r="BN498" s="456">
        <v>8.66</v>
      </c>
      <c r="BO498" s="456">
        <v>8.66</v>
      </c>
      <c r="BP498" s="456">
        <v>8.66</v>
      </c>
      <c r="BQ498" s="456">
        <v>8.66</v>
      </c>
      <c r="BR498" s="456">
        <v>8.66</v>
      </c>
      <c r="BS498" s="90">
        <v>0.0</v>
      </c>
      <c r="BT498" s="90"/>
    </row>
    <row r="499" ht="15.75" customHeight="1">
      <c r="A499" s="444" t="s">
        <v>98</v>
      </c>
      <c r="B499" s="445" t="s">
        <v>7623</v>
      </c>
      <c r="C499" s="458" t="s">
        <v>7624</v>
      </c>
      <c r="D499" s="449">
        <v>4537910.0</v>
      </c>
      <c r="E499" s="447" t="s">
        <v>255</v>
      </c>
      <c r="F499" s="447" t="s">
        <v>199</v>
      </c>
      <c r="G499" s="447" t="s">
        <v>3885</v>
      </c>
      <c r="H499" s="447" t="str">
        <f>IFERROR(VLOOKUP(G499,'Cadastro de assessores'!A:B,2,FALSE),"Não Cadastrado")</f>
        <v>17243</v>
      </c>
      <c r="I499" s="447"/>
      <c r="J499" s="49" t="s">
        <v>2318</v>
      </c>
      <c r="K499" s="552" t="s">
        <v>295</v>
      </c>
      <c r="L499" s="449" t="s">
        <v>3320</v>
      </c>
      <c r="M499" s="548" t="s">
        <v>4295</v>
      </c>
      <c r="N499" s="449"/>
      <c r="O499" s="449" t="s">
        <v>2341</v>
      </c>
      <c r="P499" s="452">
        <v>0.015</v>
      </c>
      <c r="Q499" s="461"/>
      <c r="R499" s="453"/>
      <c r="S499" s="449" t="str">
        <f t="shared" si="53"/>
        <v/>
      </c>
      <c r="T499" s="449" t="s">
        <v>234</v>
      </c>
      <c r="U499" s="449" t="s">
        <v>3889</v>
      </c>
      <c r="V499" s="449" t="s">
        <v>199</v>
      </c>
      <c r="W499" s="455" t="s">
        <v>2344</v>
      </c>
      <c r="X499" s="455" t="s">
        <v>2344</v>
      </c>
      <c r="Y499" s="455" t="s">
        <v>2344</v>
      </c>
      <c r="Z499" s="455" t="s">
        <v>2344</v>
      </c>
      <c r="AA499" s="455" t="s">
        <v>2344</v>
      </c>
      <c r="AB499" s="455" t="s">
        <v>2344</v>
      </c>
      <c r="AC499" s="455" t="s">
        <v>2344</v>
      </c>
      <c r="AD499" s="455" t="s">
        <v>2344</v>
      </c>
      <c r="AE499" s="455" t="s">
        <v>2344</v>
      </c>
      <c r="AF499" s="455" t="s">
        <v>2344</v>
      </c>
      <c r="AG499" s="455" t="s">
        <v>2344</v>
      </c>
      <c r="AH499" s="455" t="s">
        <v>2344</v>
      </c>
      <c r="AI499" s="455" t="s">
        <v>2344</v>
      </c>
      <c r="AJ499" s="455" t="s">
        <v>2344</v>
      </c>
      <c r="AK499" s="456" t="s">
        <v>3320</v>
      </c>
      <c r="AL499" s="456"/>
      <c r="AM499" s="456" t="s">
        <v>3320</v>
      </c>
      <c r="AN499" s="456"/>
      <c r="AO499" s="456"/>
      <c r="AP499" s="456"/>
      <c r="AQ499" s="456"/>
      <c r="AR499" s="456"/>
      <c r="AS499" s="456"/>
      <c r="AT499" s="456"/>
      <c r="AU499" s="456"/>
      <c r="AV499" s="456"/>
      <c r="AW499" s="456"/>
      <c r="AX499" s="456"/>
      <c r="AY499" s="456"/>
      <c r="AZ499" s="456"/>
      <c r="BA499" s="456">
        <v>0.0</v>
      </c>
      <c r="BB499" s="456">
        <v>0.0</v>
      </c>
      <c r="BC499" s="456">
        <v>0.0</v>
      </c>
      <c r="BD499" s="456" t="s">
        <v>377</v>
      </c>
      <c r="BE499" s="456" t="s">
        <v>377</v>
      </c>
      <c r="BF499" s="456">
        <v>0.0</v>
      </c>
      <c r="BG499" s="456">
        <v>0.0</v>
      </c>
      <c r="BH499" s="456">
        <v>0.0</v>
      </c>
      <c r="BI499" s="456">
        <v>0.0</v>
      </c>
      <c r="BJ499" s="456">
        <v>0.0</v>
      </c>
      <c r="BK499" s="456">
        <v>0.0</v>
      </c>
      <c r="BL499" s="456">
        <v>0.0</v>
      </c>
      <c r="BM499" s="456">
        <v>0.0</v>
      </c>
      <c r="BN499" s="456">
        <v>0.0</v>
      </c>
      <c r="BO499" s="456">
        <v>0.0</v>
      </c>
      <c r="BP499" s="456">
        <v>0.0</v>
      </c>
      <c r="BQ499" s="456">
        <v>0.0</v>
      </c>
      <c r="BR499" s="456">
        <v>0.0</v>
      </c>
      <c r="BS499" s="90">
        <v>0.0</v>
      </c>
      <c r="BT499" s="90"/>
    </row>
    <row r="500" ht="15.75" customHeight="1">
      <c r="A500" s="444" t="s">
        <v>98</v>
      </c>
      <c r="B500" s="445" t="s">
        <v>7632</v>
      </c>
      <c r="C500" s="506" t="s">
        <v>7633</v>
      </c>
      <c r="D500" s="446">
        <v>7012555.0</v>
      </c>
      <c r="E500" s="447" t="s">
        <v>120</v>
      </c>
      <c r="F500" s="448" t="s">
        <v>199</v>
      </c>
      <c r="G500" s="490" t="s">
        <v>4715</v>
      </c>
      <c r="H500" s="447">
        <f>IFERROR(VLOOKUP(G500,'Cadastro de assessores'!A:B,2,FALSE),"Não Cadastrado")</f>
        <v>12342</v>
      </c>
      <c r="I500" s="447"/>
      <c r="J500" s="49" t="s">
        <v>2318</v>
      </c>
      <c r="K500" s="447" t="s">
        <v>183</v>
      </c>
      <c r="L500" s="451">
        <v>44553.0</v>
      </c>
      <c r="M500" s="451">
        <v>44558.0</v>
      </c>
      <c r="N500" s="490"/>
      <c r="O500" s="490" t="s">
        <v>2356</v>
      </c>
      <c r="P500" s="452">
        <v>0.007</v>
      </c>
      <c r="Q500" s="207"/>
      <c r="R500" s="453"/>
      <c r="S500" s="449" t="str">
        <f t="shared" si="53"/>
        <v>Não Qualificado</v>
      </c>
      <c r="T500" s="449" t="s">
        <v>194</v>
      </c>
      <c r="U500" s="203" t="s">
        <v>3281</v>
      </c>
      <c r="V500" s="203" t="s">
        <v>199</v>
      </c>
      <c r="W500" s="454"/>
      <c r="X500" s="454"/>
      <c r="Y500" s="454"/>
      <c r="Z500" s="454"/>
      <c r="AA500" s="454"/>
      <c r="AB500" s="454"/>
      <c r="AC500" s="454"/>
      <c r="AD500" s="454"/>
      <c r="AE500" s="454"/>
      <c r="AF500" s="454"/>
      <c r="AG500" s="455"/>
      <c r="AH500" s="455"/>
      <c r="AI500" s="455"/>
      <c r="AJ500" s="456"/>
      <c r="AK500" s="456"/>
      <c r="AL500" s="456"/>
      <c r="AM500" s="456"/>
      <c r="AN500" s="456"/>
      <c r="AO500" s="456"/>
      <c r="AP500" s="456"/>
      <c r="AQ500" s="456"/>
      <c r="AR500" s="456"/>
      <c r="AS500" s="456"/>
      <c r="AT500" s="456"/>
      <c r="AU500" s="456"/>
      <c r="AV500" s="456"/>
      <c r="AW500" s="456"/>
      <c r="AX500" s="454"/>
      <c r="AY500" s="454"/>
      <c r="AZ500" s="455"/>
      <c r="BA500" s="455">
        <v>0.0</v>
      </c>
      <c r="BB500" s="455">
        <v>97971.76</v>
      </c>
      <c r="BC500" s="455">
        <v>68.07</v>
      </c>
      <c r="BD500" s="456">
        <v>125783.16</v>
      </c>
      <c r="BE500" s="456">
        <v>126984.4</v>
      </c>
      <c r="BF500" s="456">
        <v>128005.57</v>
      </c>
      <c r="BG500" s="456">
        <v>128602.329</v>
      </c>
      <c r="BH500" s="456">
        <v>129351.89</v>
      </c>
      <c r="BI500" s="456">
        <v>130329.42</v>
      </c>
      <c r="BJ500" s="456">
        <v>131582.92</v>
      </c>
      <c r="BK500" s="456">
        <v>132269.07</v>
      </c>
      <c r="BL500" s="456">
        <v>128675.04</v>
      </c>
      <c r="BM500" s="456">
        <v>129539.33</v>
      </c>
      <c r="BN500" s="456">
        <v>130208.28</v>
      </c>
      <c r="BO500" s="456">
        <v>130664.63</v>
      </c>
      <c r="BP500" s="456">
        <v>132069.02</v>
      </c>
      <c r="BQ500" s="456">
        <v>132553.15</v>
      </c>
      <c r="BR500" s="456">
        <v>133064.13</v>
      </c>
      <c r="BS500" s="90">
        <v>0.0</v>
      </c>
      <c r="BT500" s="90"/>
    </row>
    <row r="501" ht="15.75" customHeight="1">
      <c r="A501" s="444" t="s">
        <v>98</v>
      </c>
      <c r="B501" s="445" t="s">
        <v>7360</v>
      </c>
      <c r="C501" s="458" t="s">
        <v>7356</v>
      </c>
      <c r="D501" s="449">
        <v>4848036.0</v>
      </c>
      <c r="E501" s="447" t="s">
        <v>669</v>
      </c>
      <c r="F501" s="447" t="s">
        <v>199</v>
      </c>
      <c r="G501" s="447" t="s">
        <v>669</v>
      </c>
      <c r="H501" s="447" t="str">
        <f>IFERROR(VLOOKUP(G501,'Cadastro de assessores'!A:B,2,FALSE),"Não Cadastrado")</f>
        <v>18986</v>
      </c>
      <c r="I501" s="447"/>
      <c r="J501" s="49" t="s">
        <v>2318</v>
      </c>
      <c r="K501" s="447" t="s">
        <v>183</v>
      </c>
      <c r="L501" s="450">
        <v>44249.0</v>
      </c>
      <c r="M501" s="450">
        <v>44249.0</v>
      </c>
      <c r="N501" s="449"/>
      <c r="O501" s="449" t="s">
        <v>2365</v>
      </c>
      <c r="P501" s="452">
        <v>0.012</v>
      </c>
      <c r="Q501" s="461"/>
      <c r="R501" s="453"/>
      <c r="S501" s="449" t="str">
        <f t="shared" si="53"/>
        <v/>
      </c>
      <c r="T501" s="449" t="s">
        <v>194</v>
      </c>
      <c r="U501" s="449" t="s">
        <v>2417</v>
      </c>
      <c r="V501" s="449" t="s">
        <v>199</v>
      </c>
      <c r="W501" s="455"/>
      <c r="X501" s="455"/>
      <c r="Y501" s="455"/>
      <c r="Z501" s="455"/>
      <c r="AA501" s="455"/>
      <c r="AB501" s="455"/>
      <c r="AC501" s="455"/>
      <c r="AD501" s="455"/>
      <c r="AE501" s="455"/>
      <c r="AF501" s="455"/>
      <c r="AG501" s="455"/>
      <c r="AH501" s="455"/>
      <c r="AI501" s="455"/>
      <c r="AJ501" s="455"/>
      <c r="AK501" s="456"/>
      <c r="AL501" s="456"/>
      <c r="AM501" s="456">
        <v>35259.38</v>
      </c>
      <c r="AN501" s="456">
        <v>88676.66</v>
      </c>
      <c r="AO501" s="456">
        <v>118743.57</v>
      </c>
      <c r="AP501" s="456">
        <v>119179.66</v>
      </c>
      <c r="AQ501" s="456">
        <v>118615.99</v>
      </c>
      <c r="AR501" s="456">
        <v>160788.02</v>
      </c>
      <c r="AS501" s="456">
        <v>160329.46</v>
      </c>
      <c r="AT501" s="456">
        <v>158823.85</v>
      </c>
      <c r="AU501" s="456">
        <v>158533.19</v>
      </c>
      <c r="AV501" s="456">
        <v>197973.84</v>
      </c>
      <c r="AW501" s="456">
        <v>195536.85</v>
      </c>
      <c r="AX501" s="456">
        <v>196086.38</v>
      </c>
      <c r="AY501" s="456">
        <v>197943.96</v>
      </c>
      <c r="AZ501" s="456">
        <v>201178.19</v>
      </c>
      <c r="BA501" s="456">
        <v>202539.54</v>
      </c>
      <c r="BB501" s="456">
        <v>207342.43</v>
      </c>
      <c r="BC501" s="456">
        <v>0.0</v>
      </c>
      <c r="BD501" s="456">
        <v>207959.66</v>
      </c>
      <c r="BE501" s="456">
        <v>208421.94</v>
      </c>
      <c r="BF501" s="456">
        <v>211238.82</v>
      </c>
      <c r="BG501" s="456">
        <v>212716.2274</v>
      </c>
      <c r="BH501" s="456">
        <v>213723.96</v>
      </c>
      <c r="BI501" s="456">
        <v>217377.67</v>
      </c>
      <c r="BJ501" s="456">
        <v>217417.18</v>
      </c>
      <c r="BK501" s="456">
        <v>219083.35</v>
      </c>
      <c r="BL501" s="456">
        <v>221500.73</v>
      </c>
      <c r="BM501" s="456">
        <v>222695.35</v>
      </c>
      <c r="BN501" s="456">
        <v>225191.45</v>
      </c>
      <c r="BO501" s="456">
        <v>0.0</v>
      </c>
      <c r="BP501" s="456">
        <v>0.0</v>
      </c>
      <c r="BQ501" s="456">
        <v>0.0</v>
      </c>
      <c r="BR501" s="456">
        <v>0.0</v>
      </c>
      <c r="BS501" s="90">
        <v>0.0</v>
      </c>
      <c r="BT501" s="90"/>
    </row>
    <row r="502" ht="15.75" customHeight="1">
      <c r="A502" s="444" t="s">
        <v>98</v>
      </c>
      <c r="B502" s="445" t="s">
        <v>7644</v>
      </c>
      <c r="C502" s="468" t="s">
        <v>7645</v>
      </c>
      <c r="D502" s="540">
        <v>7975278.0</v>
      </c>
      <c r="E502" s="507" t="s">
        <v>120</v>
      </c>
      <c r="F502" s="507" t="s">
        <v>199</v>
      </c>
      <c r="G502" s="449" t="s">
        <v>4786</v>
      </c>
      <c r="H502" s="507" t="str">
        <f>IFERROR(VLOOKUP(G502,'Cadastro de assessores'!A:B,2,FALSE),"Não Cadastrado")</f>
        <v>16130</v>
      </c>
      <c r="I502" s="507"/>
      <c r="J502" s="49" t="s">
        <v>224</v>
      </c>
      <c r="K502" s="449" t="s">
        <v>2340</v>
      </c>
      <c r="L502" s="460">
        <v>44623.0</v>
      </c>
      <c r="M502" s="460">
        <v>44623.0</v>
      </c>
      <c r="N502" s="460">
        <v>44774.0</v>
      </c>
      <c r="O502" s="449" t="s">
        <v>2356</v>
      </c>
      <c r="P502" s="452">
        <v>0.007</v>
      </c>
      <c r="Q502" s="330" t="s">
        <v>7649</v>
      </c>
      <c r="R502" s="453"/>
      <c r="S502" s="449" t="str">
        <f t="shared" si="53"/>
        <v>Não Qualificado</v>
      </c>
      <c r="T502" s="449" t="s">
        <v>194</v>
      </c>
      <c r="U502" s="446" t="s">
        <v>2417</v>
      </c>
      <c r="V502" s="446" t="s">
        <v>199</v>
      </c>
      <c r="W502" s="454"/>
      <c r="X502" s="454"/>
      <c r="Y502" s="454"/>
      <c r="Z502" s="454"/>
      <c r="AA502" s="454"/>
      <c r="AB502" s="454"/>
      <c r="AC502" s="454"/>
      <c r="AD502" s="454"/>
      <c r="AE502" s="454"/>
      <c r="AF502" s="454"/>
      <c r="AG502" s="454"/>
      <c r="AH502" s="455"/>
      <c r="AI502" s="455"/>
      <c r="AJ502" s="456"/>
      <c r="AK502" s="456"/>
      <c r="AL502" s="456"/>
      <c r="AM502" s="456"/>
      <c r="AN502" s="456"/>
      <c r="AO502" s="456"/>
      <c r="AP502" s="456"/>
      <c r="AQ502" s="456"/>
      <c r="AR502" s="456"/>
      <c r="AS502" s="456"/>
      <c r="AT502" s="481"/>
      <c r="AU502" s="481"/>
      <c r="AV502" s="456"/>
      <c r="AW502" s="456"/>
      <c r="AX502" s="456"/>
      <c r="AY502" s="456"/>
      <c r="AZ502" s="456"/>
      <c r="BA502" s="456"/>
      <c r="BB502" s="456">
        <v>56715.62</v>
      </c>
      <c r="BC502" s="456">
        <v>219997.52</v>
      </c>
      <c r="BD502" s="456">
        <v>118550.25</v>
      </c>
      <c r="BE502" s="456">
        <v>119575.47</v>
      </c>
      <c r="BF502" s="456">
        <v>120368.45</v>
      </c>
      <c r="BG502" s="456">
        <v>0.0</v>
      </c>
      <c r="BH502" s="456">
        <v>0.0</v>
      </c>
      <c r="BI502" s="456">
        <v>0.0</v>
      </c>
      <c r="BJ502" s="456">
        <v>0.0</v>
      </c>
      <c r="BK502" s="456">
        <v>0.0</v>
      </c>
      <c r="BL502" s="456">
        <v>0.0</v>
      </c>
      <c r="BM502" s="456">
        <v>0.0</v>
      </c>
      <c r="BN502" s="456">
        <v>0.0</v>
      </c>
      <c r="BO502" s="456">
        <v>0.0</v>
      </c>
      <c r="BP502" s="456">
        <v>0.0</v>
      </c>
      <c r="BQ502" s="456">
        <v>0.0</v>
      </c>
      <c r="BR502" s="456">
        <v>0.0</v>
      </c>
      <c r="BS502" s="90" t="s">
        <v>268</v>
      </c>
      <c r="BT502" s="90"/>
    </row>
    <row r="503" ht="15.75" customHeight="1">
      <c r="A503" s="444" t="s">
        <v>98</v>
      </c>
      <c r="B503" s="445" t="s">
        <v>7656</v>
      </c>
      <c r="C503" s="543" t="s">
        <v>7657</v>
      </c>
      <c r="D503" s="544">
        <v>3924234.0</v>
      </c>
      <c r="E503" s="447" t="s">
        <v>120</v>
      </c>
      <c r="F503" s="447" t="s">
        <v>199</v>
      </c>
      <c r="G503" s="447" t="s">
        <v>290</v>
      </c>
      <c r="H503" s="447"/>
      <c r="I503" s="447"/>
      <c r="J503" s="49" t="s">
        <v>2318</v>
      </c>
      <c r="K503" s="447"/>
      <c r="L503" s="450"/>
      <c r="M503" s="450">
        <v>44918.0</v>
      </c>
      <c r="N503" s="449"/>
      <c r="O503" s="449" t="s">
        <v>2365</v>
      </c>
      <c r="P503" s="452">
        <v>0.008</v>
      </c>
      <c r="Q503" s="790" t="s">
        <v>7658</v>
      </c>
      <c r="R503" s="453"/>
      <c r="S503" s="449"/>
      <c r="T503" s="449"/>
      <c r="U503" s="449"/>
      <c r="V503" s="449" t="s">
        <v>54</v>
      </c>
      <c r="W503" s="455"/>
      <c r="X503" s="455"/>
      <c r="Y503" s="455"/>
      <c r="Z503" s="455"/>
      <c r="AA503" s="455"/>
      <c r="AB503" s="455"/>
      <c r="AC503" s="455"/>
      <c r="AD503" s="455"/>
      <c r="AE503" s="455"/>
      <c r="AF503" s="455"/>
      <c r="AG503" s="455"/>
      <c r="AH503" s="455"/>
      <c r="AI503" s="455"/>
      <c r="AJ503" s="455"/>
      <c r="AK503" s="456"/>
      <c r="AL503" s="456"/>
      <c r="AM503" s="456"/>
      <c r="AN503" s="456"/>
      <c r="AO503" s="456"/>
      <c r="AP503" s="456"/>
      <c r="AQ503" s="456"/>
      <c r="AR503" s="456"/>
      <c r="AS503" s="456"/>
      <c r="AT503" s="456"/>
      <c r="AU503" s="456"/>
      <c r="AV503" s="456"/>
      <c r="AW503" s="456"/>
      <c r="AX503" s="456"/>
      <c r="AY503" s="456"/>
      <c r="AZ503" s="456"/>
      <c r="BA503" s="456"/>
      <c r="BB503" s="456"/>
      <c r="BC503" s="456"/>
      <c r="BD503" s="456"/>
      <c r="BE503" s="456"/>
      <c r="BF503" s="456"/>
      <c r="BG503" s="456"/>
      <c r="BH503" s="456"/>
      <c r="BI503" s="456"/>
      <c r="BJ503" s="456">
        <v>0.0</v>
      </c>
      <c r="BK503" s="456">
        <v>1211794.31</v>
      </c>
      <c r="BL503" s="456">
        <v>1232482.01</v>
      </c>
      <c r="BM503" s="456">
        <v>1324247.73</v>
      </c>
      <c r="BN503" s="456">
        <v>130985.82</v>
      </c>
      <c r="BO503" s="456">
        <v>0.0</v>
      </c>
      <c r="BP503" s="456">
        <v>0.0</v>
      </c>
      <c r="BQ503" s="456">
        <v>0.0</v>
      </c>
      <c r="BR503" s="456">
        <v>0.0</v>
      </c>
      <c r="BS503" s="90">
        <v>0.0</v>
      </c>
      <c r="BT503" s="90"/>
    </row>
    <row r="504" ht="15.75" customHeight="1">
      <c r="A504" s="444" t="s">
        <v>98</v>
      </c>
      <c r="B504" s="445" t="s">
        <v>7661</v>
      </c>
      <c r="C504" s="458" t="s">
        <v>7662</v>
      </c>
      <c r="D504" s="449">
        <v>4431395.0</v>
      </c>
      <c r="E504" s="447" t="s">
        <v>120</v>
      </c>
      <c r="F504" s="447" t="s">
        <v>199</v>
      </c>
      <c r="G504" s="447" t="s">
        <v>212</v>
      </c>
      <c r="H504" s="447">
        <f>IFERROR(VLOOKUP(G504,'Cadastro de assessores'!A:B,2,FALSE),"Não Cadastrado")</f>
        <v>12344</v>
      </c>
      <c r="I504" s="447"/>
      <c r="J504" s="49" t="s">
        <v>224</v>
      </c>
      <c r="K504" s="447" t="s">
        <v>183</v>
      </c>
      <c r="L504" s="450">
        <v>44076.0</v>
      </c>
      <c r="M504" s="450">
        <v>44076.0</v>
      </c>
      <c r="N504" s="460">
        <v>44930.0</v>
      </c>
      <c r="O504" s="449" t="s">
        <v>2365</v>
      </c>
      <c r="P504" s="452">
        <v>0.012</v>
      </c>
      <c r="Q504" s="461" t="s">
        <v>7436</v>
      </c>
      <c r="R504" s="453"/>
      <c r="S504" s="449" t="str">
        <f t="shared" ref="S504:S505" si="54">IF(BC504&lt;=0,"",IF(BC504&lt;=1000000,"Não Qualificado",IF(AND(BC504&gt;1000000,BC504&lt;=10000000),"Qualificado","Profissional")))</f>
        <v/>
      </c>
      <c r="T504" s="449" t="s">
        <v>194</v>
      </c>
      <c r="U504" s="449" t="s">
        <v>3350</v>
      </c>
      <c r="V504" s="449" t="s">
        <v>199</v>
      </c>
      <c r="W504" s="455" t="s">
        <v>2344</v>
      </c>
      <c r="X504" s="455" t="s">
        <v>2344</v>
      </c>
      <c r="Y504" s="455" t="s">
        <v>2344</v>
      </c>
      <c r="Z504" s="455" t="s">
        <v>2344</v>
      </c>
      <c r="AA504" s="455" t="s">
        <v>2344</v>
      </c>
      <c r="AB504" s="455" t="s">
        <v>2344</v>
      </c>
      <c r="AC504" s="455" t="s">
        <v>2344</v>
      </c>
      <c r="AD504" s="455" t="s">
        <v>2344</v>
      </c>
      <c r="AE504" s="455" t="s">
        <v>2344</v>
      </c>
      <c r="AF504" s="455" t="s">
        <v>2344</v>
      </c>
      <c r="AG504" s="455" t="s">
        <v>2344</v>
      </c>
      <c r="AH504" s="455" t="s">
        <v>7666</v>
      </c>
      <c r="AI504" s="455" t="s">
        <v>7667</v>
      </c>
      <c r="AJ504" s="455" t="s">
        <v>7668</v>
      </c>
      <c r="AK504" s="456">
        <v>254891.09</v>
      </c>
      <c r="AL504" s="456">
        <v>252447.04</v>
      </c>
      <c r="AM504" s="456">
        <v>248774.28</v>
      </c>
      <c r="AN504" s="456">
        <v>248903.87</v>
      </c>
      <c r="AO504" s="456">
        <v>251098.21</v>
      </c>
      <c r="AP504" s="456">
        <v>251755.04</v>
      </c>
      <c r="AQ504" s="456">
        <v>251238.53</v>
      </c>
      <c r="AR504" s="456">
        <v>254734.63</v>
      </c>
      <c r="AS504" s="456">
        <v>254144.57</v>
      </c>
      <c r="AT504" s="456">
        <v>252208.93</v>
      </c>
      <c r="AU504" s="456">
        <v>251983.21</v>
      </c>
      <c r="AV504" s="456">
        <v>249840.75</v>
      </c>
      <c r="AW504" s="456">
        <v>244615.83</v>
      </c>
      <c r="AX504" s="456">
        <v>246874.9</v>
      </c>
      <c r="AY504" s="456">
        <v>249828.63</v>
      </c>
      <c r="AZ504" s="456">
        <v>233114.61</v>
      </c>
      <c r="BA504" s="456">
        <v>234582.07</v>
      </c>
      <c r="BB504" s="456">
        <v>240766.21</v>
      </c>
      <c r="BC504" s="456">
        <v>0.0</v>
      </c>
      <c r="BD504" s="456">
        <v>243385.41</v>
      </c>
      <c r="BE504" s="456">
        <v>243486.84</v>
      </c>
      <c r="BF504" s="456">
        <v>246955.05</v>
      </c>
      <c r="BG504" s="456">
        <v>248476.2153</v>
      </c>
      <c r="BH504" s="456">
        <v>249384.22</v>
      </c>
      <c r="BI504" s="456">
        <v>253894.2</v>
      </c>
      <c r="BJ504" s="456">
        <v>254415.69</v>
      </c>
      <c r="BK504" s="456">
        <v>296552.93</v>
      </c>
      <c r="BL504" s="456">
        <v>0.0</v>
      </c>
      <c r="BM504" s="456">
        <v>0.0</v>
      </c>
      <c r="BN504" s="456">
        <v>0.0</v>
      </c>
      <c r="BO504" s="456">
        <v>0.0</v>
      </c>
      <c r="BP504" s="456">
        <v>0.0</v>
      </c>
      <c r="BQ504" s="456">
        <v>0.0</v>
      </c>
      <c r="BR504" s="456">
        <v>0.0</v>
      </c>
      <c r="BS504" s="90" t="s">
        <v>268</v>
      </c>
      <c r="BT504" s="90"/>
    </row>
    <row r="505" ht="15.75" customHeight="1">
      <c r="A505" s="444" t="s">
        <v>98</v>
      </c>
      <c r="B505" s="445" t="s">
        <v>7669</v>
      </c>
      <c r="C505" s="468" t="s">
        <v>7671</v>
      </c>
      <c r="D505" s="446">
        <v>5577058.0</v>
      </c>
      <c r="E505" s="449" t="s">
        <v>120</v>
      </c>
      <c r="F505" s="507" t="s">
        <v>54</v>
      </c>
      <c r="G505" s="449" t="s">
        <v>379</v>
      </c>
      <c r="H505" s="507" t="str">
        <f>IFERROR(VLOOKUP(G505,'Cadastro de assessores'!A:B,2,FALSE),"Não Cadastrado")</f>
        <v>18009</v>
      </c>
      <c r="I505" s="507"/>
      <c r="J505" s="49" t="s">
        <v>224</v>
      </c>
      <c r="K505" s="449" t="s">
        <v>2340</v>
      </c>
      <c r="L505" s="460">
        <v>44355.0</v>
      </c>
      <c r="M505" s="460">
        <v>44355.0</v>
      </c>
      <c r="N505" s="460">
        <v>44683.0</v>
      </c>
      <c r="O505" s="449" t="s">
        <v>2356</v>
      </c>
      <c r="P505" s="452">
        <v>0.007</v>
      </c>
      <c r="Q505" s="330" t="s">
        <v>7672</v>
      </c>
      <c r="R505" s="453"/>
      <c r="S505" s="449" t="str">
        <f t="shared" si="54"/>
        <v/>
      </c>
      <c r="T505" s="449" t="s">
        <v>194</v>
      </c>
      <c r="U505" s="446" t="s">
        <v>2475</v>
      </c>
      <c r="V505" s="446" t="s">
        <v>618</v>
      </c>
      <c r="W505" s="454"/>
      <c r="X505" s="454"/>
      <c r="Y505" s="454"/>
      <c r="Z505" s="454"/>
      <c r="AA505" s="454"/>
      <c r="AB505" s="454"/>
      <c r="AC505" s="454"/>
      <c r="AD505" s="454"/>
      <c r="AE505" s="454"/>
      <c r="AF505" s="454"/>
      <c r="AG505" s="454"/>
      <c r="AH505" s="454"/>
      <c r="AI505" s="454"/>
      <c r="AJ505" s="454"/>
      <c r="AK505" s="456"/>
      <c r="AL505" s="456"/>
      <c r="AM505" s="456"/>
      <c r="AN505" s="456"/>
      <c r="AO505" s="456"/>
      <c r="AP505" s="456"/>
      <c r="AQ505" s="454"/>
      <c r="AR505" s="481"/>
      <c r="AS505" s="456">
        <v>158753.22</v>
      </c>
      <c r="AT505" s="456">
        <v>157697.27</v>
      </c>
      <c r="AU505" s="456">
        <v>157535.73</v>
      </c>
      <c r="AV505" s="456">
        <v>156713.77</v>
      </c>
      <c r="AW505" s="456">
        <v>121192.17</v>
      </c>
      <c r="AX505" s="456">
        <v>121485.79</v>
      </c>
      <c r="AY505" s="456">
        <v>122567.78</v>
      </c>
      <c r="AZ505" s="456">
        <v>124795.34</v>
      </c>
      <c r="BA505" s="456">
        <v>125828.55</v>
      </c>
      <c r="BB505" s="456">
        <v>127223.35</v>
      </c>
      <c r="BC505" s="456">
        <v>0.0</v>
      </c>
      <c r="BD505" s="456" t="s">
        <v>377</v>
      </c>
      <c r="BE505" s="456" t="s">
        <v>377</v>
      </c>
      <c r="BF505" s="456">
        <v>0.0</v>
      </c>
      <c r="BG505" s="456">
        <v>0.0</v>
      </c>
      <c r="BH505" s="456">
        <v>0.0</v>
      </c>
      <c r="BI505" s="456">
        <v>0.0</v>
      </c>
      <c r="BJ505" s="456">
        <v>0.0</v>
      </c>
      <c r="BK505" s="456">
        <v>0.0</v>
      </c>
      <c r="BL505" s="456">
        <v>0.0</v>
      </c>
      <c r="BM505" s="456">
        <v>0.0</v>
      </c>
      <c r="BN505" s="456">
        <v>0.0</v>
      </c>
      <c r="BO505" s="456">
        <v>0.0</v>
      </c>
      <c r="BP505" s="456">
        <v>0.0</v>
      </c>
      <c r="BQ505" s="456">
        <v>0.0</v>
      </c>
      <c r="BR505" s="456">
        <v>0.0</v>
      </c>
      <c r="BS505" s="90" t="s">
        <v>268</v>
      </c>
      <c r="BT505" s="90"/>
    </row>
    <row r="506" ht="15.75" customHeight="1">
      <c r="A506" s="444" t="s">
        <v>98</v>
      </c>
      <c r="B506" s="445" t="s">
        <v>2381</v>
      </c>
      <c r="C506" s="559" t="s">
        <v>2378</v>
      </c>
      <c r="D506" s="446">
        <v>9145079.0</v>
      </c>
      <c r="E506" s="447" t="s">
        <v>120</v>
      </c>
      <c r="F506" s="448" t="s">
        <v>199</v>
      </c>
      <c r="G506" s="447" t="s">
        <v>212</v>
      </c>
      <c r="H506" s="507">
        <f>IFERROR(VLOOKUP(G506,'Cadastro de assessores'!A:B,2,FALSE),"Não Cadastrado")</f>
        <v>12344</v>
      </c>
      <c r="I506" s="507"/>
      <c r="J506" s="74" t="s">
        <v>183</v>
      </c>
      <c r="K506" s="447" t="s">
        <v>183</v>
      </c>
      <c r="L506" s="450">
        <v>44802.0</v>
      </c>
      <c r="M506" s="450">
        <v>44802.0</v>
      </c>
      <c r="N506" s="449"/>
      <c r="O506" s="449" t="s">
        <v>2356</v>
      </c>
      <c r="P506" s="452">
        <v>0.007</v>
      </c>
      <c r="Q506" s="330"/>
      <c r="R506" s="453"/>
      <c r="S506" s="449"/>
      <c r="T506" s="449"/>
      <c r="U506" s="446"/>
      <c r="V506" s="446" t="s">
        <v>54</v>
      </c>
      <c r="W506" s="454"/>
      <c r="X506" s="454"/>
      <c r="Y506" s="454"/>
      <c r="Z506" s="454"/>
      <c r="AA506" s="454"/>
      <c r="AB506" s="454"/>
      <c r="AC506" s="454"/>
      <c r="AD506" s="454"/>
      <c r="AE506" s="454"/>
      <c r="AF506" s="454"/>
      <c r="AG506" s="454"/>
      <c r="AH506" s="455"/>
      <c r="AI506" s="455"/>
      <c r="AJ506" s="456"/>
      <c r="AK506" s="456"/>
      <c r="AL506" s="456"/>
      <c r="AM506" s="456"/>
      <c r="AN506" s="456"/>
      <c r="AO506" s="456"/>
      <c r="AP506" s="456"/>
      <c r="AQ506" s="456"/>
      <c r="AR506" s="456"/>
      <c r="AS506" s="456"/>
      <c r="AT506" s="481"/>
      <c r="AU506" s="481"/>
      <c r="AV506" s="456"/>
      <c r="AW506" s="456"/>
      <c r="AX506" s="456"/>
      <c r="AY506" s="456"/>
      <c r="AZ506" s="456"/>
      <c r="BA506" s="456"/>
      <c r="BB506" s="456"/>
      <c r="BC506" s="456"/>
      <c r="BD506" s="456"/>
      <c r="BE506" s="456"/>
      <c r="BF506" s="456"/>
      <c r="BG506" s="456">
        <v>499781.75</v>
      </c>
      <c r="BH506" s="456">
        <v>806245.86</v>
      </c>
      <c r="BI506" s="456">
        <v>815019.66</v>
      </c>
      <c r="BJ506" s="456">
        <v>409674.23</v>
      </c>
      <c r="BK506" s="456">
        <v>331960.89</v>
      </c>
      <c r="BL506" s="456">
        <v>294934.84</v>
      </c>
      <c r="BM506" s="456">
        <v>2651.74</v>
      </c>
      <c r="BN506" s="456">
        <v>2612.11</v>
      </c>
      <c r="BO506" s="456">
        <v>2632.41</v>
      </c>
      <c r="BP506" s="456">
        <v>2631.65</v>
      </c>
      <c r="BQ506" s="456">
        <v>2645.16</v>
      </c>
      <c r="BR506" s="456">
        <v>2669.29</v>
      </c>
      <c r="BS506" s="90">
        <v>2715.53</v>
      </c>
      <c r="BT506" s="90"/>
    </row>
    <row r="507" ht="15.75" customHeight="1">
      <c r="A507" s="444" t="s">
        <v>98</v>
      </c>
      <c r="B507" s="445" t="s">
        <v>7679</v>
      </c>
      <c r="C507" s="468" t="s">
        <v>7680</v>
      </c>
      <c r="D507" s="446">
        <v>6065361.0</v>
      </c>
      <c r="E507" s="449" t="s">
        <v>120</v>
      </c>
      <c r="F507" s="507" t="s">
        <v>54</v>
      </c>
      <c r="G507" s="449" t="s">
        <v>4057</v>
      </c>
      <c r="H507" s="449" t="str">
        <f>IFERROR(VLOOKUP(G507,'Cadastro de assessores'!A:B,2,FALSE),"Não Cadastrado")</f>
        <v>14294</v>
      </c>
      <c r="I507" s="449"/>
      <c r="J507" s="49" t="s">
        <v>224</v>
      </c>
      <c r="K507" s="449" t="s">
        <v>2340</v>
      </c>
      <c r="L507" s="460">
        <v>44414.0</v>
      </c>
      <c r="M507" s="460">
        <v>44414.0</v>
      </c>
      <c r="N507" s="460">
        <v>44818.0</v>
      </c>
      <c r="O507" s="449" t="s">
        <v>2365</v>
      </c>
      <c r="P507" s="452">
        <v>0.012</v>
      </c>
      <c r="Q507" s="330" t="s">
        <v>7682</v>
      </c>
      <c r="R507" s="453"/>
      <c r="S507" s="449" t="str">
        <f t="shared" ref="S507:S514" si="55">IF(BC507&lt;=0,"",IF(BC507&lt;=1000000,"Não Qualificado",IF(AND(BC507&gt;1000000,BC507&lt;=10000000),"Qualificado","Profissional")))</f>
        <v/>
      </c>
      <c r="T507" s="449" t="s">
        <v>194</v>
      </c>
      <c r="U507" s="446" t="s">
        <v>5368</v>
      </c>
      <c r="V507" s="446" t="s">
        <v>475</v>
      </c>
      <c r="W507" s="454"/>
      <c r="X507" s="454"/>
      <c r="Y507" s="454"/>
      <c r="Z507" s="454"/>
      <c r="AA507" s="454"/>
      <c r="AB507" s="454"/>
      <c r="AC507" s="454"/>
      <c r="AD507" s="454"/>
      <c r="AE507" s="454"/>
      <c r="AF507" s="454"/>
      <c r="AG507" s="454"/>
      <c r="AH507" s="455"/>
      <c r="AI507" s="455"/>
      <c r="AJ507" s="456"/>
      <c r="AK507" s="456"/>
      <c r="AL507" s="456"/>
      <c r="AM507" s="456"/>
      <c r="AN507" s="456"/>
      <c r="AO507" s="456"/>
      <c r="AP507" s="456"/>
      <c r="AQ507" s="456"/>
      <c r="AR507" s="456"/>
      <c r="AS507" s="456"/>
      <c r="AT507" s="481"/>
      <c r="AU507" s="481">
        <v>375017.47</v>
      </c>
      <c r="AV507" s="456">
        <v>363420.34</v>
      </c>
      <c r="AW507" s="456">
        <v>346450.61</v>
      </c>
      <c r="AX507" s="456">
        <v>344599.12</v>
      </c>
      <c r="AY507" s="456">
        <v>355174.49</v>
      </c>
      <c r="AZ507" s="456">
        <v>361957.55</v>
      </c>
      <c r="BA507" s="456">
        <v>365015.41</v>
      </c>
      <c r="BB507" s="456">
        <v>373610.75</v>
      </c>
      <c r="BC507" s="456">
        <v>0.0</v>
      </c>
      <c r="BD507" s="456">
        <v>376054.38</v>
      </c>
      <c r="BE507" s="456">
        <v>376744.29</v>
      </c>
      <c r="BF507" s="456">
        <v>381309.36</v>
      </c>
      <c r="BG507" s="456">
        <v>382932.9156</v>
      </c>
      <c r="BH507" s="456">
        <v>384206.35</v>
      </c>
      <c r="BI507" s="456">
        <v>0.0</v>
      </c>
      <c r="BJ507" s="456">
        <v>0.0</v>
      </c>
      <c r="BK507" s="456">
        <v>0.0</v>
      </c>
      <c r="BL507" s="456">
        <v>0.0</v>
      </c>
      <c r="BM507" s="456">
        <v>0.0</v>
      </c>
      <c r="BN507" s="456">
        <v>0.0</v>
      </c>
      <c r="BO507" s="456">
        <v>0.0</v>
      </c>
      <c r="BP507" s="456">
        <v>0.0</v>
      </c>
      <c r="BQ507" s="456">
        <v>0.0</v>
      </c>
      <c r="BR507" s="456">
        <v>0.0</v>
      </c>
      <c r="BS507" s="90" t="s">
        <v>268</v>
      </c>
      <c r="BT507" s="90"/>
    </row>
    <row r="508" ht="15.75" customHeight="1">
      <c r="A508" s="444" t="s">
        <v>98</v>
      </c>
      <c r="B508" s="445" t="s">
        <v>7686</v>
      </c>
      <c r="C508" s="458" t="s">
        <v>7687</v>
      </c>
      <c r="D508" s="449">
        <v>4459682.0</v>
      </c>
      <c r="E508" s="447" t="s">
        <v>255</v>
      </c>
      <c r="F508" s="447" t="s">
        <v>199</v>
      </c>
      <c r="G508" s="447" t="s">
        <v>290</v>
      </c>
      <c r="H508" s="447">
        <f>IFERROR(VLOOKUP(G508,'Cadastro de assessores'!A:B,2,FALSE),"Não Cadastrado")</f>
        <v>12332</v>
      </c>
      <c r="I508" s="447"/>
      <c r="J508" s="74" t="s">
        <v>183</v>
      </c>
      <c r="K508" s="447" t="s">
        <v>183</v>
      </c>
      <c r="L508" s="450">
        <v>44090.0</v>
      </c>
      <c r="M508" s="450">
        <v>44105.0</v>
      </c>
      <c r="N508" s="449"/>
      <c r="O508" s="449" t="s">
        <v>2341</v>
      </c>
      <c r="P508" s="452">
        <v>0.015</v>
      </c>
      <c r="Q508" s="836" t="s">
        <v>7689</v>
      </c>
      <c r="R508" s="453"/>
      <c r="S508" s="449" t="str">
        <f t="shared" si="55"/>
        <v/>
      </c>
      <c r="T508" s="449" t="s">
        <v>194</v>
      </c>
      <c r="U508" s="449" t="s">
        <v>2343</v>
      </c>
      <c r="V508" s="449" t="s">
        <v>199</v>
      </c>
      <c r="W508" s="455" t="s">
        <v>2344</v>
      </c>
      <c r="X508" s="455" t="s">
        <v>2344</v>
      </c>
      <c r="Y508" s="455" t="s">
        <v>2344</v>
      </c>
      <c r="Z508" s="455" t="s">
        <v>2344</v>
      </c>
      <c r="AA508" s="455" t="s">
        <v>2344</v>
      </c>
      <c r="AB508" s="455" t="s">
        <v>2344</v>
      </c>
      <c r="AC508" s="455" t="s">
        <v>2344</v>
      </c>
      <c r="AD508" s="455" t="s">
        <v>2344</v>
      </c>
      <c r="AE508" s="455" t="s">
        <v>2344</v>
      </c>
      <c r="AF508" s="455" t="s">
        <v>2344</v>
      </c>
      <c r="AG508" s="455" t="s">
        <v>2344</v>
      </c>
      <c r="AH508" s="455" t="s">
        <v>2344</v>
      </c>
      <c r="AI508" s="455" t="s">
        <v>7690</v>
      </c>
      <c r="AJ508" s="455" t="s">
        <v>7691</v>
      </c>
      <c r="AK508" s="456">
        <v>241753.3</v>
      </c>
      <c r="AL508" s="456">
        <v>227647.14</v>
      </c>
      <c r="AM508" s="456">
        <v>202240.69</v>
      </c>
      <c r="AN508" s="456">
        <v>201786.11</v>
      </c>
      <c r="AO508" s="456">
        <v>210580.23</v>
      </c>
      <c r="AP508" s="456">
        <v>212376.37</v>
      </c>
      <c r="AQ508" s="456">
        <v>211078.01</v>
      </c>
      <c r="AR508" s="456">
        <v>218486.98</v>
      </c>
      <c r="AS508" s="456">
        <v>213186.86</v>
      </c>
      <c r="AT508" s="456">
        <v>206540.03</v>
      </c>
      <c r="AU508" s="456">
        <v>206671.86</v>
      </c>
      <c r="AV508" s="456">
        <v>201021.6</v>
      </c>
      <c r="AW508" s="456">
        <v>188499.11</v>
      </c>
      <c r="AX508" s="456">
        <v>187945.62</v>
      </c>
      <c r="AY508" s="456">
        <v>185683.1</v>
      </c>
      <c r="AZ508" s="456">
        <v>188346.13</v>
      </c>
      <c r="BA508" s="456">
        <v>188459.28</v>
      </c>
      <c r="BB508" s="456">
        <v>194037.39</v>
      </c>
      <c r="BC508" s="456">
        <v>0.0</v>
      </c>
      <c r="BD508" s="456">
        <v>194866.19</v>
      </c>
      <c r="BE508" s="456">
        <v>194187.75</v>
      </c>
      <c r="BF508" s="456">
        <v>200999.13</v>
      </c>
      <c r="BG508" s="456">
        <v>202981.4865</v>
      </c>
      <c r="BH508" s="456">
        <v>201349.44</v>
      </c>
      <c r="BI508" s="456">
        <v>211031.35</v>
      </c>
      <c r="BJ508" s="456">
        <v>211182.72</v>
      </c>
      <c r="BK508" s="456">
        <v>212309.28</v>
      </c>
      <c r="BL508" s="456">
        <v>201560.76</v>
      </c>
      <c r="BM508" s="456">
        <v>39164.24</v>
      </c>
      <c r="BN508" s="456">
        <v>32150.55</v>
      </c>
      <c r="BO508" s="456">
        <v>31932.87</v>
      </c>
      <c r="BP508" s="456">
        <v>24933.0</v>
      </c>
      <c r="BQ508" s="456">
        <v>22056.75</v>
      </c>
      <c r="BR508" s="456">
        <v>9659.51</v>
      </c>
      <c r="BS508" s="90">
        <v>239.42</v>
      </c>
      <c r="BT508" s="90"/>
    </row>
    <row r="509" ht="15.75" customHeight="1">
      <c r="A509" s="444" t="s">
        <v>98</v>
      </c>
      <c r="B509" s="445" t="s">
        <v>7700</v>
      </c>
      <c r="C509" s="458" t="s">
        <v>7701</v>
      </c>
      <c r="D509" s="449">
        <v>2331277.0</v>
      </c>
      <c r="E509" s="447" t="s">
        <v>120</v>
      </c>
      <c r="F509" s="447" t="s">
        <v>199</v>
      </c>
      <c r="G509" s="447" t="s">
        <v>439</v>
      </c>
      <c r="H509" s="447" t="str">
        <f>IFERROR(VLOOKUP(G509,'Cadastro de assessores'!A:B,2,FALSE),"Não Cadastrado")</f>
        <v>18236</v>
      </c>
      <c r="I509" s="447"/>
      <c r="J509" s="49" t="s">
        <v>2318</v>
      </c>
      <c r="K509" s="447" t="s">
        <v>183</v>
      </c>
      <c r="L509" s="450">
        <v>44279.0</v>
      </c>
      <c r="M509" s="450">
        <v>44279.0</v>
      </c>
      <c r="N509" s="449"/>
      <c r="O509" s="449" t="s">
        <v>2372</v>
      </c>
      <c r="P509" s="452">
        <v>0.025</v>
      </c>
      <c r="Q509" s="461"/>
      <c r="R509" s="453"/>
      <c r="S509" s="449" t="str">
        <f t="shared" si="55"/>
        <v>Não Qualificado</v>
      </c>
      <c r="T509" s="449" t="s">
        <v>194</v>
      </c>
      <c r="U509" s="449" t="s">
        <v>7243</v>
      </c>
      <c r="V509" s="449" t="s">
        <v>199</v>
      </c>
      <c r="W509" s="455"/>
      <c r="X509" s="455"/>
      <c r="Y509" s="455"/>
      <c r="Z509" s="455"/>
      <c r="AA509" s="455"/>
      <c r="AB509" s="455"/>
      <c r="AC509" s="455"/>
      <c r="AD509" s="455"/>
      <c r="AE509" s="455"/>
      <c r="AF509" s="455"/>
      <c r="AG509" s="455"/>
      <c r="AH509" s="455"/>
      <c r="AI509" s="455"/>
      <c r="AJ509" s="455"/>
      <c r="AK509" s="456"/>
      <c r="AL509" s="456"/>
      <c r="AM509" s="456"/>
      <c r="AN509" s="456"/>
      <c r="AO509" s="456">
        <v>6941.27</v>
      </c>
      <c r="AP509" s="456">
        <v>7027.51</v>
      </c>
      <c r="AQ509" s="456">
        <v>6953.22</v>
      </c>
      <c r="AR509" s="456">
        <v>7267.88</v>
      </c>
      <c r="AS509" s="456">
        <v>7089.06</v>
      </c>
      <c r="AT509" s="456">
        <v>6711.83</v>
      </c>
      <c r="AU509" s="456">
        <v>6535.86</v>
      </c>
      <c r="AV509" s="456">
        <v>6135.71</v>
      </c>
      <c r="AW509" s="456">
        <v>5663.66</v>
      </c>
      <c r="AX509" s="456">
        <v>5569.25</v>
      </c>
      <c r="AY509" s="456">
        <v>5641.16</v>
      </c>
      <c r="AZ509" s="456">
        <v>5964.62</v>
      </c>
      <c r="BA509" s="456">
        <v>6084.29</v>
      </c>
      <c r="BB509" s="456">
        <v>6447.68</v>
      </c>
      <c r="BC509" s="456">
        <v>207.74</v>
      </c>
      <c r="BD509" s="456">
        <v>6077.57</v>
      </c>
      <c r="BE509" s="456">
        <v>5907.46</v>
      </c>
      <c r="BF509" s="456">
        <v>6196.09</v>
      </c>
      <c r="BG509" s="456">
        <v>6202.57</v>
      </c>
      <c r="BH509" s="456">
        <v>6178.98</v>
      </c>
      <c r="BI509" s="456">
        <v>6602.03</v>
      </c>
      <c r="BJ509" s="456">
        <v>6379.48</v>
      </c>
      <c r="BK509" s="456">
        <v>6362.38</v>
      </c>
      <c r="BL509" s="456">
        <v>6469.86</v>
      </c>
      <c r="BM509" s="456">
        <v>6319.6</v>
      </c>
      <c r="BN509" s="456">
        <v>6318.03</v>
      </c>
      <c r="BO509" s="456">
        <v>6336.13</v>
      </c>
      <c r="BP509" s="456">
        <v>10.15</v>
      </c>
      <c r="BQ509" s="456">
        <v>0.63</v>
      </c>
      <c r="BR509" s="456">
        <v>0.0</v>
      </c>
      <c r="BS509" s="90" t="s">
        <v>268</v>
      </c>
      <c r="BT509" s="90"/>
    </row>
    <row r="510" ht="15.75" customHeight="1">
      <c r="A510" s="444" t="s">
        <v>98</v>
      </c>
      <c r="B510" s="445" t="s">
        <v>7705</v>
      </c>
      <c r="C510" s="468" t="s">
        <v>7706</v>
      </c>
      <c r="D510" s="507">
        <v>3600186.0</v>
      </c>
      <c r="E510" s="449" t="s">
        <v>120</v>
      </c>
      <c r="F510" s="507" t="s">
        <v>54</v>
      </c>
      <c r="G510" s="449" t="s">
        <v>4057</v>
      </c>
      <c r="H510" s="449" t="str">
        <f>IFERROR(VLOOKUP(G510,'Cadastro de assessores'!A:B,2,FALSE),"Não Cadastrado")</f>
        <v>14294</v>
      </c>
      <c r="I510" s="449"/>
      <c r="J510" s="49" t="s">
        <v>224</v>
      </c>
      <c r="K510" s="449" t="s">
        <v>2340</v>
      </c>
      <c r="L510" s="460">
        <v>44454.0</v>
      </c>
      <c r="M510" s="460">
        <v>44454.0</v>
      </c>
      <c r="N510" s="508">
        <v>44684.0</v>
      </c>
      <c r="O510" s="446" t="s">
        <v>2356</v>
      </c>
      <c r="P510" s="452">
        <v>0.007</v>
      </c>
      <c r="Q510" s="330" t="s">
        <v>7708</v>
      </c>
      <c r="R510" s="453"/>
      <c r="S510" s="449" t="str">
        <f t="shared" si="55"/>
        <v>Não Qualificado</v>
      </c>
      <c r="T510" s="449" t="s">
        <v>194</v>
      </c>
      <c r="U510" s="446" t="s">
        <v>7709</v>
      </c>
      <c r="V510" s="446" t="s">
        <v>475</v>
      </c>
      <c r="W510" s="454"/>
      <c r="X510" s="454"/>
      <c r="Y510" s="454"/>
      <c r="Z510" s="454"/>
      <c r="AA510" s="454"/>
      <c r="AB510" s="454"/>
      <c r="AC510" s="454"/>
      <c r="AD510" s="454"/>
      <c r="AE510" s="454"/>
      <c r="AF510" s="454"/>
      <c r="AG510" s="454"/>
      <c r="AH510" s="454"/>
      <c r="AI510" s="455"/>
      <c r="AJ510" s="456"/>
      <c r="AK510" s="456"/>
      <c r="AL510" s="456"/>
      <c r="AM510" s="456"/>
      <c r="AN510" s="456"/>
      <c r="AO510" s="456"/>
      <c r="AP510" s="456"/>
      <c r="AQ510" s="456"/>
      <c r="AR510" s="456"/>
      <c r="AS510" s="456"/>
      <c r="AT510" s="456"/>
      <c r="AU510" s="454"/>
      <c r="AV510" s="456"/>
      <c r="AW510" s="456">
        <v>1051969.17</v>
      </c>
      <c r="AX510" s="456">
        <v>1054204.18</v>
      </c>
      <c r="AY510" s="456">
        <v>1064200.6</v>
      </c>
      <c r="AZ510" s="456">
        <v>1081227.78</v>
      </c>
      <c r="BA510" s="456">
        <v>1090122.59</v>
      </c>
      <c r="BB510" s="456">
        <v>1111161.11</v>
      </c>
      <c r="BC510" s="456">
        <v>157031.17</v>
      </c>
      <c r="BD510" s="456" t="s">
        <v>377</v>
      </c>
      <c r="BE510" s="456" t="s">
        <v>377</v>
      </c>
      <c r="BF510" s="456">
        <v>0.0</v>
      </c>
      <c r="BG510" s="456">
        <v>0.0</v>
      </c>
      <c r="BH510" s="456">
        <v>0.0</v>
      </c>
      <c r="BI510" s="456">
        <v>0.0</v>
      </c>
      <c r="BJ510" s="456">
        <v>0.0</v>
      </c>
      <c r="BK510" s="456">
        <v>0.0</v>
      </c>
      <c r="BL510" s="456">
        <v>0.0</v>
      </c>
      <c r="BM510" s="456">
        <v>0.0</v>
      </c>
      <c r="BN510" s="456">
        <v>0.0</v>
      </c>
      <c r="BO510" s="456">
        <v>0.0</v>
      </c>
      <c r="BP510" s="456">
        <v>0.0</v>
      </c>
      <c r="BQ510" s="456">
        <v>0.0</v>
      </c>
      <c r="BR510" s="456">
        <v>0.0</v>
      </c>
      <c r="BS510" s="90" t="s">
        <v>268</v>
      </c>
      <c r="BT510" s="90"/>
    </row>
    <row r="511" ht="15.75" customHeight="1">
      <c r="A511" s="444" t="s">
        <v>98</v>
      </c>
      <c r="B511" s="445" t="s">
        <v>7711</v>
      </c>
      <c r="C511" s="458" t="s">
        <v>7712</v>
      </c>
      <c r="D511" s="449">
        <v>8521711.0</v>
      </c>
      <c r="E511" s="447" t="s">
        <v>120</v>
      </c>
      <c r="F511" s="447" t="s">
        <v>199</v>
      </c>
      <c r="G511" s="447" t="s">
        <v>212</v>
      </c>
      <c r="H511" s="447">
        <f>IFERROR(VLOOKUP(G511,'Cadastro de assessores'!A:B,2,FALSE),"Não Cadastrado")</f>
        <v>12344</v>
      </c>
      <c r="I511" s="447"/>
      <c r="J511" s="49" t="s">
        <v>2318</v>
      </c>
      <c r="K511" s="447" t="s">
        <v>183</v>
      </c>
      <c r="L511" s="470">
        <v>44715.0</v>
      </c>
      <c r="M511" s="470">
        <v>44718.0</v>
      </c>
      <c r="N511" s="449"/>
      <c r="O511" s="449" t="s">
        <v>2356</v>
      </c>
      <c r="P511" s="452">
        <v>0.007</v>
      </c>
      <c r="Q511" s="461"/>
      <c r="R511" s="453"/>
      <c r="S511" s="449" t="str">
        <f t="shared" si="55"/>
        <v>Qualificado</v>
      </c>
      <c r="T511" s="449" t="s">
        <v>194</v>
      </c>
      <c r="U511" s="449" t="s">
        <v>2438</v>
      </c>
      <c r="V511" s="449" t="s">
        <v>54</v>
      </c>
      <c r="W511" s="455"/>
      <c r="X511" s="455"/>
      <c r="Y511" s="455"/>
      <c r="Z511" s="455"/>
      <c r="AA511" s="455"/>
      <c r="AB511" s="455"/>
      <c r="AC511" s="455"/>
      <c r="AD511" s="455"/>
      <c r="AE511" s="455"/>
      <c r="AF511" s="455"/>
      <c r="AG511" s="455"/>
      <c r="AH511" s="455"/>
      <c r="AI511" s="455"/>
      <c r="AJ511" s="455"/>
      <c r="AK511" s="456"/>
      <c r="AL511" s="456"/>
      <c r="AM511" s="456"/>
      <c r="AN511" s="456"/>
      <c r="AO511" s="456"/>
      <c r="AP511" s="456"/>
      <c r="AQ511" s="456"/>
      <c r="AR511" s="456"/>
      <c r="AS511" s="456"/>
      <c r="AT511" s="456"/>
      <c r="AU511" s="456"/>
      <c r="AV511" s="456"/>
      <c r="AW511" s="456"/>
      <c r="AX511" s="456"/>
      <c r="AY511" s="456"/>
      <c r="AZ511" s="456"/>
      <c r="BA511" s="456"/>
      <c r="BB511" s="456"/>
      <c r="BC511" s="456">
        <v>4058103.77</v>
      </c>
      <c r="BD511" s="456" t="s">
        <v>377</v>
      </c>
      <c r="BE511" s="456">
        <v>20191.39</v>
      </c>
      <c r="BF511" s="456">
        <v>118539.68</v>
      </c>
      <c r="BG511" s="456">
        <v>120010.0304</v>
      </c>
      <c r="BH511" s="456">
        <v>129364.66</v>
      </c>
      <c r="BI511" s="456">
        <v>133204.64</v>
      </c>
      <c r="BJ511" s="456">
        <v>138142.2</v>
      </c>
      <c r="BK511" s="456">
        <v>146581.68</v>
      </c>
      <c r="BL511" s="456">
        <v>146819.07</v>
      </c>
      <c r="BM511" s="456">
        <v>147159.39</v>
      </c>
      <c r="BN511" s="456">
        <v>6871.68</v>
      </c>
      <c r="BO511" s="456">
        <v>0.0</v>
      </c>
      <c r="BP511" s="456">
        <v>0.0</v>
      </c>
      <c r="BQ511" s="456">
        <v>0.0</v>
      </c>
      <c r="BR511" s="456">
        <v>0.0</v>
      </c>
      <c r="BS511" s="90">
        <v>0.0</v>
      </c>
      <c r="BT511" s="90"/>
    </row>
    <row r="512" ht="15.75" customHeight="1">
      <c r="A512" s="444" t="s">
        <v>98</v>
      </c>
      <c r="B512" s="445" t="s">
        <v>7720</v>
      </c>
      <c r="C512" s="458" t="s">
        <v>7721</v>
      </c>
      <c r="D512" s="449">
        <v>4437315.0</v>
      </c>
      <c r="E512" s="447" t="s">
        <v>255</v>
      </c>
      <c r="F512" s="447" t="s">
        <v>199</v>
      </c>
      <c r="G512" s="447" t="s">
        <v>2531</v>
      </c>
      <c r="H512" s="447" t="str">
        <f>IFERROR(VLOOKUP(G512,'Cadastro de assessores'!A:B,2,FALSE),"Não Cadastrado")</f>
        <v>1441</v>
      </c>
      <c r="I512" s="447"/>
      <c r="J512" s="49" t="s">
        <v>2318</v>
      </c>
      <c r="K512" s="447" t="s">
        <v>183</v>
      </c>
      <c r="L512" s="450">
        <v>44082.0</v>
      </c>
      <c r="M512" s="450">
        <v>44082.0</v>
      </c>
      <c r="N512" s="449"/>
      <c r="O512" s="449" t="s">
        <v>2319</v>
      </c>
      <c r="P512" s="452">
        <v>0.02</v>
      </c>
      <c r="Q512" s="461" t="s">
        <v>7723</v>
      </c>
      <c r="R512" s="453"/>
      <c r="S512" s="449" t="str">
        <f t="shared" si="55"/>
        <v/>
      </c>
      <c r="T512" s="449" t="s">
        <v>194</v>
      </c>
      <c r="U512" s="449" t="s">
        <v>2374</v>
      </c>
      <c r="V512" s="449" t="s">
        <v>199</v>
      </c>
      <c r="W512" s="455" t="s">
        <v>2344</v>
      </c>
      <c r="X512" s="455" t="s">
        <v>2344</v>
      </c>
      <c r="Y512" s="455" t="s">
        <v>2344</v>
      </c>
      <c r="Z512" s="455" t="s">
        <v>2344</v>
      </c>
      <c r="AA512" s="455" t="s">
        <v>2344</v>
      </c>
      <c r="AB512" s="455" t="s">
        <v>2344</v>
      </c>
      <c r="AC512" s="455" t="s">
        <v>2344</v>
      </c>
      <c r="AD512" s="455" t="s">
        <v>2344</v>
      </c>
      <c r="AE512" s="455" t="s">
        <v>2344</v>
      </c>
      <c r="AF512" s="455" t="s">
        <v>2344</v>
      </c>
      <c r="AG512" s="455" t="s">
        <v>2344</v>
      </c>
      <c r="AH512" s="455" t="s">
        <v>7724</v>
      </c>
      <c r="AI512" s="455" t="s">
        <v>7725</v>
      </c>
      <c r="AJ512" s="455" t="s">
        <v>7726</v>
      </c>
      <c r="AK512" s="456">
        <v>657257.82</v>
      </c>
      <c r="AL512" s="456">
        <v>632565.21</v>
      </c>
      <c r="AM512" s="456">
        <v>594937.73</v>
      </c>
      <c r="AN512" s="456">
        <v>598701.11</v>
      </c>
      <c r="AO512" s="456">
        <v>619386.11</v>
      </c>
      <c r="AP512" s="456">
        <v>623972.97</v>
      </c>
      <c r="AQ512" s="456">
        <v>620639.6</v>
      </c>
      <c r="AR512" s="456">
        <v>637110.27</v>
      </c>
      <c r="AS512" s="456">
        <v>630484.63</v>
      </c>
      <c r="AT512" s="456">
        <v>610265.25</v>
      </c>
      <c r="AU512" s="456">
        <v>600817.15</v>
      </c>
      <c r="AV512" s="456">
        <v>590502.78</v>
      </c>
      <c r="AW512" s="456">
        <v>550992.67</v>
      </c>
      <c r="AX512" s="456">
        <v>548845.87</v>
      </c>
      <c r="AY512" s="456">
        <v>553071.6</v>
      </c>
      <c r="AZ512" s="456">
        <v>574805.24</v>
      </c>
      <c r="BA512" s="456">
        <v>555439.39</v>
      </c>
      <c r="BB512" s="456">
        <v>581362.97</v>
      </c>
      <c r="BC512" s="456">
        <v>0.0</v>
      </c>
      <c r="BD512" s="456">
        <v>572573.07</v>
      </c>
      <c r="BE512" s="456">
        <v>558618.55</v>
      </c>
      <c r="BF512" s="456">
        <v>577536.22</v>
      </c>
      <c r="BG512" s="456">
        <v>588305.1171</v>
      </c>
      <c r="BH512" s="456">
        <v>584039.64</v>
      </c>
      <c r="BI512" s="456">
        <v>618215.58</v>
      </c>
      <c r="BJ512" s="456">
        <v>612819.23</v>
      </c>
      <c r="BK512" s="456">
        <v>615044.11</v>
      </c>
      <c r="BL512" s="456">
        <v>616549.0</v>
      </c>
      <c r="BM512" s="456">
        <v>122722.11</v>
      </c>
      <c r="BN512" s="456">
        <v>144.38</v>
      </c>
      <c r="BO512" s="456">
        <v>144.38</v>
      </c>
      <c r="BP512" s="456">
        <v>144.38</v>
      </c>
      <c r="BQ512" s="456">
        <v>144.38</v>
      </c>
      <c r="BR512" s="456">
        <v>144.38</v>
      </c>
      <c r="BS512" s="90">
        <v>0.0</v>
      </c>
      <c r="BT512" s="90"/>
    </row>
    <row r="513" ht="15.75" customHeight="1">
      <c r="A513" s="444" t="s">
        <v>98</v>
      </c>
      <c r="B513" s="445" t="s">
        <v>7730</v>
      </c>
      <c r="C513" s="468" t="s">
        <v>7731</v>
      </c>
      <c r="D513" s="446">
        <v>5917601.0</v>
      </c>
      <c r="E513" s="449" t="s">
        <v>120</v>
      </c>
      <c r="F513" s="507" t="s">
        <v>199</v>
      </c>
      <c r="G513" s="507" t="s">
        <v>1174</v>
      </c>
      <c r="H513" s="507" t="str">
        <f>IFERROR(VLOOKUP(G513,'Cadastro de assessores'!A:B,2,FALSE),"Não Cadastrado")</f>
        <v>18266</v>
      </c>
      <c r="I513" s="507"/>
      <c r="J513" s="49" t="s">
        <v>224</v>
      </c>
      <c r="K513" s="449" t="s">
        <v>2340</v>
      </c>
      <c r="L513" s="460">
        <v>44397.0</v>
      </c>
      <c r="M513" s="460">
        <v>44397.0</v>
      </c>
      <c r="N513" s="508">
        <v>44622.0</v>
      </c>
      <c r="O513" s="446" t="s">
        <v>2372</v>
      </c>
      <c r="P513" s="452">
        <v>0.025</v>
      </c>
      <c r="Q513" s="330" t="s">
        <v>7732</v>
      </c>
      <c r="R513" s="453"/>
      <c r="S513" s="449" t="str">
        <f t="shared" si="55"/>
        <v>Não Qualificado</v>
      </c>
      <c r="T513" s="449" t="s">
        <v>194</v>
      </c>
      <c r="U513" s="449" t="s">
        <v>2343</v>
      </c>
      <c r="V513" s="449" t="s">
        <v>199</v>
      </c>
      <c r="W513" s="454"/>
      <c r="X513" s="454"/>
      <c r="Y513" s="454"/>
      <c r="Z513" s="454"/>
      <c r="AA513" s="454"/>
      <c r="AB513" s="454"/>
      <c r="AC513" s="454"/>
      <c r="AD513" s="454"/>
      <c r="AE513" s="454"/>
      <c r="AF513" s="454"/>
      <c r="AG513" s="454"/>
      <c r="AH513" s="455"/>
      <c r="AI513" s="455"/>
      <c r="AJ513" s="456"/>
      <c r="AK513" s="456"/>
      <c r="AL513" s="456"/>
      <c r="AM513" s="456"/>
      <c r="AN513" s="456"/>
      <c r="AO513" s="456"/>
      <c r="AP513" s="456"/>
      <c r="AQ513" s="456"/>
      <c r="AR513" s="456"/>
      <c r="AS513" s="454"/>
      <c r="AT513" s="481">
        <v>96476.73</v>
      </c>
      <c r="AU513" s="481">
        <v>94262.73</v>
      </c>
      <c r="AV513" s="456">
        <v>89008.83</v>
      </c>
      <c r="AW513" s="456">
        <v>81910.05</v>
      </c>
      <c r="AX513" s="456">
        <v>81057.42</v>
      </c>
      <c r="AY513" s="456">
        <v>82574.41</v>
      </c>
      <c r="AZ513" s="456">
        <v>87558.47</v>
      </c>
      <c r="BA513" s="456">
        <v>88881.68</v>
      </c>
      <c r="BB513" s="456">
        <v>0.0</v>
      </c>
      <c r="BC513" s="456">
        <v>106906.51</v>
      </c>
      <c r="BD513" s="456" t="s">
        <v>377</v>
      </c>
      <c r="BE513" s="456" t="s">
        <v>377</v>
      </c>
      <c r="BF513" s="456">
        <v>0.0</v>
      </c>
      <c r="BG513" s="456">
        <v>0.0</v>
      </c>
      <c r="BH513" s="456">
        <v>0.0</v>
      </c>
      <c r="BI513" s="456">
        <v>0.0</v>
      </c>
      <c r="BJ513" s="456">
        <v>0.0</v>
      </c>
      <c r="BK513" s="456">
        <v>0.0</v>
      </c>
      <c r="BL513" s="456">
        <v>0.0</v>
      </c>
      <c r="BM513" s="456">
        <v>0.0</v>
      </c>
      <c r="BN513" s="456">
        <v>0.0</v>
      </c>
      <c r="BO513" s="456">
        <v>0.0</v>
      </c>
      <c r="BP513" s="456">
        <v>0.0</v>
      </c>
      <c r="BQ513" s="456">
        <v>0.0</v>
      </c>
      <c r="BR513" s="456">
        <v>0.0</v>
      </c>
      <c r="BS513" s="90" t="s">
        <v>268</v>
      </c>
      <c r="BT513" s="90"/>
    </row>
    <row r="514" ht="15.75" customHeight="1">
      <c r="A514" s="444" t="s">
        <v>98</v>
      </c>
      <c r="B514" s="445" t="s">
        <v>7738</v>
      </c>
      <c r="C514" s="458" t="s">
        <v>7739</v>
      </c>
      <c r="D514" s="449">
        <v>4367434.0</v>
      </c>
      <c r="E514" s="447" t="s">
        <v>255</v>
      </c>
      <c r="F514" s="447" t="s">
        <v>199</v>
      </c>
      <c r="G514" s="447" t="s">
        <v>3885</v>
      </c>
      <c r="H514" s="447" t="str">
        <f>IFERROR(VLOOKUP(G514,'Cadastro de assessores'!A:B,2,FALSE),"Não Cadastrado")</f>
        <v>17243</v>
      </c>
      <c r="I514" s="447"/>
      <c r="J514" s="49" t="s">
        <v>2318</v>
      </c>
      <c r="K514" s="447" t="s">
        <v>183</v>
      </c>
      <c r="L514" s="451">
        <v>44147.0</v>
      </c>
      <c r="M514" s="451">
        <v>44147.0</v>
      </c>
      <c r="N514" s="449"/>
      <c r="O514" s="449" t="s">
        <v>2372</v>
      </c>
      <c r="P514" s="452">
        <v>0.025</v>
      </c>
      <c r="Q514" s="461" t="s">
        <v>7741</v>
      </c>
      <c r="R514" s="453"/>
      <c r="S514" s="449" t="str">
        <f t="shared" si="55"/>
        <v>Não Qualificado</v>
      </c>
      <c r="T514" s="449" t="s">
        <v>194</v>
      </c>
      <c r="U514" s="449" t="s">
        <v>2374</v>
      </c>
      <c r="V514" s="449" t="s">
        <v>199</v>
      </c>
      <c r="W514" s="455" t="s">
        <v>2344</v>
      </c>
      <c r="X514" s="455" t="s">
        <v>2344</v>
      </c>
      <c r="Y514" s="455" t="s">
        <v>2344</v>
      </c>
      <c r="Z514" s="455" t="s">
        <v>2344</v>
      </c>
      <c r="AA514" s="455" t="s">
        <v>2344</v>
      </c>
      <c r="AB514" s="455" t="s">
        <v>2344</v>
      </c>
      <c r="AC514" s="455" t="s">
        <v>2344</v>
      </c>
      <c r="AD514" s="455" t="s">
        <v>2344</v>
      </c>
      <c r="AE514" s="455" t="s">
        <v>2344</v>
      </c>
      <c r="AF514" s="455" t="s">
        <v>2344</v>
      </c>
      <c r="AG514" s="455" t="s">
        <v>2344</v>
      </c>
      <c r="AH514" s="455" t="s">
        <v>2344</v>
      </c>
      <c r="AI514" s="455" t="s">
        <v>2344</v>
      </c>
      <c r="AJ514" s="455" t="s">
        <v>7743</v>
      </c>
      <c r="AK514" s="456">
        <v>738550.54</v>
      </c>
      <c r="AL514" s="456">
        <v>727862.32</v>
      </c>
      <c r="AM514" s="456">
        <v>667132.25</v>
      </c>
      <c r="AN514" s="456">
        <v>674370.64</v>
      </c>
      <c r="AO514" s="456">
        <v>722776.02</v>
      </c>
      <c r="AP514" s="456">
        <v>732622.0</v>
      </c>
      <c r="AQ514" s="456">
        <v>725186.69</v>
      </c>
      <c r="AR514" s="456">
        <v>766121.4</v>
      </c>
      <c r="AS514" s="456">
        <v>601369.97</v>
      </c>
      <c r="AT514" s="456">
        <v>568501.29</v>
      </c>
      <c r="AU514" s="456">
        <v>555519.34</v>
      </c>
      <c r="AV514" s="456">
        <v>857404.87</v>
      </c>
      <c r="AW514" s="456">
        <v>785114.48</v>
      </c>
      <c r="AX514" s="456">
        <v>775267.08</v>
      </c>
      <c r="AY514" s="456">
        <v>792264.33</v>
      </c>
      <c r="AZ514" s="456">
        <v>849226.65</v>
      </c>
      <c r="BA514" s="456">
        <v>858109.48</v>
      </c>
      <c r="BB514" s="456">
        <v>919304.93</v>
      </c>
      <c r="BC514" s="456">
        <v>74883.5</v>
      </c>
      <c r="BD514" s="456">
        <v>605301.66</v>
      </c>
      <c r="BE514" s="456">
        <v>618663.17</v>
      </c>
      <c r="BF514" s="456">
        <v>583958.74</v>
      </c>
      <c r="BG514" s="456">
        <v>523462.14</v>
      </c>
      <c r="BH514" s="456">
        <v>488864.6</v>
      </c>
      <c r="BI514" s="456">
        <v>266497.83</v>
      </c>
      <c r="BJ514" s="456">
        <v>260755.66</v>
      </c>
      <c r="BK514" s="456">
        <v>259824.74</v>
      </c>
      <c r="BL514" s="456">
        <v>264138.86</v>
      </c>
      <c r="BM514" s="456">
        <v>252724.83</v>
      </c>
      <c r="BN514" s="456">
        <v>5561.18</v>
      </c>
      <c r="BO514" s="456">
        <v>5637.62</v>
      </c>
      <c r="BP514" s="456">
        <v>55.37</v>
      </c>
      <c r="BQ514" s="456">
        <v>55.77</v>
      </c>
      <c r="BR514" s="456">
        <v>56.3</v>
      </c>
      <c r="BS514" s="90">
        <v>0.0</v>
      </c>
      <c r="BT514" s="90"/>
    </row>
    <row r="515" ht="15.75" customHeight="1">
      <c r="A515" s="444" t="s">
        <v>98</v>
      </c>
      <c r="B515" s="445" t="s">
        <v>7749</v>
      </c>
      <c r="C515" s="458" t="s">
        <v>7750</v>
      </c>
      <c r="D515" s="449">
        <v>6163576.0</v>
      </c>
      <c r="E515" s="447" t="s">
        <v>120</v>
      </c>
      <c r="F515" s="447" t="s">
        <v>54</v>
      </c>
      <c r="G515" s="447" t="s">
        <v>125</v>
      </c>
      <c r="H515" s="447" t="str">
        <f>IFERROR(VLOOKUP(G515,'Cadastro de assessores'!A:B,2,FALSE),"Não Cadastrado")</f>
        <v>18890</v>
      </c>
      <c r="I515" s="447"/>
      <c r="J515" s="49" t="s">
        <v>2318</v>
      </c>
      <c r="K515" s="447"/>
      <c r="L515" s="450"/>
      <c r="M515" s="450">
        <v>44847.0</v>
      </c>
      <c r="N515" s="449"/>
      <c r="O515" s="449" t="s">
        <v>2356</v>
      </c>
      <c r="P515" s="452">
        <v>0.01</v>
      </c>
      <c r="Q515" s="461" t="s">
        <v>7752</v>
      </c>
      <c r="R515" s="453"/>
      <c r="S515" s="449"/>
      <c r="T515" s="449"/>
      <c r="U515" s="449"/>
      <c r="V515" s="449" t="s">
        <v>618</v>
      </c>
      <c r="W515" s="455"/>
      <c r="X515" s="455"/>
      <c r="Y515" s="455"/>
      <c r="Z515" s="455"/>
      <c r="AA515" s="455"/>
      <c r="AB515" s="455"/>
      <c r="AC515" s="455"/>
      <c r="AD515" s="455"/>
      <c r="AE515" s="455"/>
      <c r="AF515" s="455"/>
      <c r="AG515" s="455"/>
      <c r="AH515" s="455"/>
      <c r="AI515" s="455"/>
      <c r="AJ515" s="455"/>
      <c r="AK515" s="456"/>
      <c r="AL515" s="456"/>
      <c r="AM515" s="456"/>
      <c r="AN515" s="456"/>
      <c r="AO515" s="456"/>
      <c r="AP515" s="456"/>
      <c r="AQ515" s="456"/>
      <c r="AR515" s="456"/>
      <c r="AS515" s="456"/>
      <c r="AT515" s="456"/>
      <c r="AU515" s="456"/>
      <c r="AV515" s="456"/>
      <c r="AW515" s="456"/>
      <c r="AX515" s="456"/>
      <c r="AY515" s="456"/>
      <c r="AZ515" s="456"/>
      <c r="BA515" s="456"/>
      <c r="BB515" s="456"/>
      <c r="BC515" s="456"/>
      <c r="BD515" s="456"/>
      <c r="BE515" s="456"/>
      <c r="BF515" s="456"/>
      <c r="BG515" s="456"/>
      <c r="BH515" s="456"/>
      <c r="BI515" s="456">
        <v>69376.87</v>
      </c>
      <c r="BJ515" s="456">
        <v>79083.41</v>
      </c>
      <c r="BK515" s="456">
        <v>88942.48</v>
      </c>
      <c r="BL515" s="456">
        <v>81839.09</v>
      </c>
      <c r="BM515" s="456">
        <v>82561.69</v>
      </c>
      <c r="BN515" s="456">
        <v>422.5</v>
      </c>
      <c r="BO515" s="456">
        <v>201.53</v>
      </c>
      <c r="BP515" s="456">
        <v>73.85</v>
      </c>
      <c r="BQ515" s="456">
        <v>0.09</v>
      </c>
      <c r="BR515" s="456">
        <v>0.09</v>
      </c>
      <c r="BS515" s="90" t="s">
        <v>268</v>
      </c>
      <c r="BT515" s="90"/>
    </row>
    <row r="516" ht="15.75" customHeight="1">
      <c r="A516" s="444" t="s">
        <v>98</v>
      </c>
      <c r="B516" s="445" t="s">
        <v>7757</v>
      </c>
      <c r="C516" s="458" t="s">
        <v>7758</v>
      </c>
      <c r="D516" s="449">
        <v>4418396.0</v>
      </c>
      <c r="E516" s="447" t="s">
        <v>255</v>
      </c>
      <c r="F516" s="447" t="s">
        <v>199</v>
      </c>
      <c r="G516" s="447" t="s">
        <v>4641</v>
      </c>
      <c r="H516" s="447" t="str">
        <f>IFERROR(VLOOKUP(G516,'Cadastro de assessores'!A:B,2,FALSE),"Não Cadastrado")</f>
        <v>16072</v>
      </c>
      <c r="I516" s="447"/>
      <c r="J516" s="49" t="s">
        <v>2318</v>
      </c>
      <c r="K516" s="447" t="s">
        <v>183</v>
      </c>
      <c r="L516" s="450">
        <v>44075.0</v>
      </c>
      <c r="M516" s="450">
        <v>44082.0</v>
      </c>
      <c r="N516" s="449"/>
      <c r="O516" s="449" t="s">
        <v>2319</v>
      </c>
      <c r="P516" s="452">
        <v>0.02</v>
      </c>
      <c r="Q516" s="461"/>
      <c r="R516" s="453"/>
      <c r="S516" s="449" t="str">
        <f t="shared" ref="S516:S533" si="56">IF(BC516&lt;=0,"",IF(BC516&lt;=1000000,"Não Qualificado",IF(AND(BC516&gt;1000000,BC516&lt;=10000000),"Qualificado","Profissional")))</f>
        <v>Não Qualificado</v>
      </c>
      <c r="T516" s="449" t="s">
        <v>194</v>
      </c>
      <c r="U516" s="449" t="s">
        <v>2343</v>
      </c>
      <c r="V516" s="449" t="s">
        <v>199</v>
      </c>
      <c r="W516" s="455" t="s">
        <v>2344</v>
      </c>
      <c r="X516" s="455" t="s">
        <v>2344</v>
      </c>
      <c r="Y516" s="455" t="s">
        <v>2344</v>
      </c>
      <c r="Z516" s="455" t="s">
        <v>2344</v>
      </c>
      <c r="AA516" s="455" t="s">
        <v>2344</v>
      </c>
      <c r="AB516" s="455" t="s">
        <v>2344</v>
      </c>
      <c r="AC516" s="455" t="s">
        <v>2344</v>
      </c>
      <c r="AD516" s="455" t="s">
        <v>2344</v>
      </c>
      <c r="AE516" s="455" t="s">
        <v>2344</v>
      </c>
      <c r="AF516" s="455" t="s">
        <v>2344</v>
      </c>
      <c r="AG516" s="455" t="s">
        <v>2344</v>
      </c>
      <c r="AH516" s="455" t="s">
        <v>7762</v>
      </c>
      <c r="AI516" s="455" t="s">
        <v>7763</v>
      </c>
      <c r="AJ516" s="455" t="s">
        <v>7764</v>
      </c>
      <c r="AK516" s="456">
        <v>315704.55</v>
      </c>
      <c r="AL516" s="456">
        <v>306755.9</v>
      </c>
      <c r="AM516" s="456">
        <v>292002.43</v>
      </c>
      <c r="AN516" s="456">
        <v>291494.69</v>
      </c>
      <c r="AO516" s="456">
        <v>303055.38</v>
      </c>
      <c r="AP516" s="456">
        <v>181882.68</v>
      </c>
      <c r="AQ516" s="456">
        <v>180621.13</v>
      </c>
      <c r="AR516" s="456">
        <v>2046.59</v>
      </c>
      <c r="AS516" s="456">
        <v>2057.22</v>
      </c>
      <c r="AT516" s="456">
        <v>2053.7</v>
      </c>
      <c r="AU516" s="456">
        <v>2057.7</v>
      </c>
      <c r="AV516" s="456">
        <v>345.53</v>
      </c>
      <c r="AW516" s="456">
        <v>544.87</v>
      </c>
      <c r="AX516" s="456">
        <v>544.07</v>
      </c>
      <c r="AY516" s="456">
        <v>500.92</v>
      </c>
      <c r="AZ516" s="456">
        <v>173.8</v>
      </c>
      <c r="BA516" s="456">
        <v>173.61</v>
      </c>
      <c r="BB516" s="456">
        <v>99.37</v>
      </c>
      <c r="BC516" s="456">
        <v>124.19</v>
      </c>
      <c r="BD516" s="456">
        <v>104.69</v>
      </c>
      <c r="BE516" s="456">
        <v>104.69</v>
      </c>
      <c r="BF516" s="456">
        <v>104.7</v>
      </c>
      <c r="BG516" s="456">
        <v>0.0</v>
      </c>
      <c r="BH516" s="456">
        <v>0.0</v>
      </c>
      <c r="BI516" s="456">
        <v>0.0</v>
      </c>
      <c r="BJ516" s="456">
        <v>0.0</v>
      </c>
      <c r="BK516" s="456">
        <v>0.0</v>
      </c>
      <c r="BL516" s="456">
        <v>0.0</v>
      </c>
      <c r="BM516" s="456">
        <v>0.0</v>
      </c>
      <c r="BN516" s="456">
        <v>0.0</v>
      </c>
      <c r="BO516" s="456">
        <v>0.0</v>
      </c>
      <c r="BP516" s="456">
        <v>0.0</v>
      </c>
      <c r="BQ516" s="456">
        <v>0.0</v>
      </c>
      <c r="BR516" s="456">
        <v>0.0</v>
      </c>
      <c r="BS516" s="90">
        <v>0.0</v>
      </c>
      <c r="BT516" s="90"/>
    </row>
    <row r="517" ht="15.75" customHeight="1">
      <c r="A517" s="444" t="s">
        <v>98</v>
      </c>
      <c r="B517" s="445" t="s">
        <v>7767</v>
      </c>
      <c r="C517" s="458" t="s">
        <v>5285</v>
      </c>
      <c r="D517" s="449">
        <v>2847489.0</v>
      </c>
      <c r="E517" s="449" t="s">
        <v>669</v>
      </c>
      <c r="F517" s="449" t="s">
        <v>199</v>
      </c>
      <c r="G517" s="449" t="s">
        <v>669</v>
      </c>
      <c r="H517" s="449" t="str">
        <f>IFERROR(VLOOKUP(G517,'Cadastro de assessores'!A:B,2,FALSE),"Não Cadastrado")</f>
        <v>18986</v>
      </c>
      <c r="I517" s="449"/>
      <c r="J517" s="49" t="s">
        <v>224</v>
      </c>
      <c r="K517" s="449" t="s">
        <v>2340</v>
      </c>
      <c r="L517" s="460">
        <v>43850.0</v>
      </c>
      <c r="M517" s="460">
        <v>43850.0</v>
      </c>
      <c r="N517" s="460">
        <v>44011.0</v>
      </c>
      <c r="O517" s="449" t="s">
        <v>2341</v>
      </c>
      <c r="P517" s="452">
        <v>0.015</v>
      </c>
      <c r="Q517" s="461" t="s">
        <v>7768</v>
      </c>
      <c r="R517" s="453"/>
      <c r="S517" s="449" t="str">
        <f t="shared" si="56"/>
        <v/>
      </c>
      <c r="T517" s="449" t="s">
        <v>194</v>
      </c>
      <c r="U517" s="449" t="s">
        <v>3672</v>
      </c>
      <c r="V517" s="449" t="s">
        <v>199</v>
      </c>
      <c r="W517" s="455" t="s">
        <v>2344</v>
      </c>
      <c r="X517" s="455" t="s">
        <v>2344</v>
      </c>
      <c r="Y517" s="455" t="s">
        <v>2344</v>
      </c>
      <c r="Z517" s="455" t="s">
        <v>7771</v>
      </c>
      <c r="AA517" s="455" t="s">
        <v>7772</v>
      </c>
      <c r="AB517" s="455" t="s">
        <v>7774</v>
      </c>
      <c r="AC517" s="455" t="s">
        <v>7775</v>
      </c>
      <c r="AD517" s="455" t="s">
        <v>7776</v>
      </c>
      <c r="AE517" s="455" t="s">
        <v>2344</v>
      </c>
      <c r="AF517" s="455" t="s">
        <v>2344</v>
      </c>
      <c r="AG517" s="455" t="s">
        <v>2344</v>
      </c>
      <c r="AH517" s="455"/>
      <c r="AI517" s="455" t="s">
        <v>2344</v>
      </c>
      <c r="AJ517" s="455"/>
      <c r="AK517" s="456"/>
      <c r="AL517" s="456"/>
      <c r="AM517" s="456" t="s">
        <v>3320</v>
      </c>
      <c r="AN517" s="456"/>
      <c r="AO517" s="456"/>
      <c r="AP517" s="456"/>
      <c r="AQ517" s="456"/>
      <c r="AR517" s="456"/>
      <c r="AS517" s="456"/>
      <c r="AT517" s="456"/>
      <c r="AU517" s="456"/>
      <c r="AV517" s="456"/>
      <c r="AW517" s="456"/>
      <c r="AX517" s="456"/>
      <c r="AY517" s="456"/>
      <c r="AZ517" s="456"/>
      <c r="BA517" s="456">
        <v>0.0</v>
      </c>
      <c r="BB517" s="456">
        <v>0.0</v>
      </c>
      <c r="BC517" s="456">
        <v>0.0</v>
      </c>
      <c r="BD517" s="456" t="s">
        <v>377</v>
      </c>
      <c r="BE517" s="456" t="s">
        <v>377</v>
      </c>
      <c r="BF517" s="456">
        <v>0.0</v>
      </c>
      <c r="BG517" s="456">
        <v>0.0</v>
      </c>
      <c r="BH517" s="456">
        <v>0.0</v>
      </c>
      <c r="BI517" s="456">
        <v>0.0</v>
      </c>
      <c r="BJ517" s="456">
        <v>0.0</v>
      </c>
      <c r="BK517" s="456">
        <v>0.0</v>
      </c>
      <c r="BL517" s="456">
        <v>0.0</v>
      </c>
      <c r="BM517" s="456">
        <v>0.0</v>
      </c>
      <c r="BN517" s="456">
        <v>0.0</v>
      </c>
      <c r="BO517" s="456">
        <v>0.0</v>
      </c>
      <c r="BP517" s="456">
        <v>0.0</v>
      </c>
      <c r="BQ517" s="456">
        <v>0.0</v>
      </c>
      <c r="BR517" s="456">
        <v>0.0</v>
      </c>
      <c r="BS517" s="90" t="s">
        <v>268</v>
      </c>
      <c r="BT517" s="90"/>
    </row>
    <row r="518" ht="15.75" customHeight="1">
      <c r="A518" s="444" t="s">
        <v>98</v>
      </c>
      <c r="B518" s="445" t="s">
        <v>7782</v>
      </c>
      <c r="C518" s="458" t="s">
        <v>7783</v>
      </c>
      <c r="D518" s="449">
        <v>4879786.0</v>
      </c>
      <c r="E518" s="447" t="s">
        <v>255</v>
      </c>
      <c r="F518" s="447" t="s">
        <v>199</v>
      </c>
      <c r="G518" s="447" t="s">
        <v>3877</v>
      </c>
      <c r="H518" s="447" t="str">
        <f>IFERROR(VLOOKUP(G518,'Cadastro de assessores'!A:B,2,FALSE),"Não Cadastrado")</f>
        <v>15049</v>
      </c>
      <c r="I518" s="447"/>
      <c r="J518" s="49" t="s">
        <v>2318</v>
      </c>
      <c r="K518" s="447" t="s">
        <v>183</v>
      </c>
      <c r="L518" s="450">
        <v>44251.0</v>
      </c>
      <c r="M518" s="450">
        <v>44251.0</v>
      </c>
      <c r="N518" s="446"/>
      <c r="O518" s="446" t="s">
        <v>2452</v>
      </c>
      <c r="P518" s="452">
        <v>0.008</v>
      </c>
      <c r="Q518" s="461"/>
      <c r="R518" s="453"/>
      <c r="S518" s="449" t="str">
        <f t="shared" si="56"/>
        <v>Não Qualificado</v>
      </c>
      <c r="T518" s="449" t="s">
        <v>194</v>
      </c>
      <c r="U518" s="449" t="s">
        <v>2374</v>
      </c>
      <c r="V518" s="449" t="s">
        <v>199</v>
      </c>
      <c r="W518" s="455"/>
      <c r="X518" s="455"/>
      <c r="Y518" s="455"/>
      <c r="Z518" s="455"/>
      <c r="AA518" s="455"/>
      <c r="AB518" s="455"/>
      <c r="AC518" s="455"/>
      <c r="AD518" s="455"/>
      <c r="AE518" s="455"/>
      <c r="AF518" s="455"/>
      <c r="AG518" s="455"/>
      <c r="AH518" s="455"/>
      <c r="AI518" s="455"/>
      <c r="AJ518" s="455"/>
      <c r="AK518" s="456"/>
      <c r="AL518" s="456"/>
      <c r="AM518" s="456">
        <v>94623.52</v>
      </c>
      <c r="AN518" s="456">
        <v>116687.27</v>
      </c>
      <c r="AO518" s="456">
        <v>133167.05</v>
      </c>
      <c r="AP518" s="456">
        <v>154673.42</v>
      </c>
      <c r="AQ518" s="456">
        <v>155491.1</v>
      </c>
      <c r="AR518" s="456">
        <v>173225.72</v>
      </c>
      <c r="AS518" s="456">
        <v>171164.19</v>
      </c>
      <c r="AT518" s="456">
        <v>180995.81</v>
      </c>
      <c r="AU518" s="456">
        <v>175719.55</v>
      </c>
      <c r="AV518" s="456">
        <v>174503.62</v>
      </c>
      <c r="AW518" s="456">
        <v>191835.75</v>
      </c>
      <c r="AX518" s="456">
        <v>185005.34</v>
      </c>
      <c r="AY518" s="456">
        <v>201078.61</v>
      </c>
      <c r="AZ518" s="456">
        <v>206768.66</v>
      </c>
      <c r="BA518" s="456">
        <v>207387.42</v>
      </c>
      <c r="BB518" s="456">
        <v>213305.06</v>
      </c>
      <c r="BC518" s="456">
        <v>111427.63</v>
      </c>
      <c r="BD518" s="456">
        <v>226045.99</v>
      </c>
      <c r="BE518" s="456">
        <v>235638.66</v>
      </c>
      <c r="BF518" s="456">
        <v>240928.9</v>
      </c>
      <c r="BG518" s="456">
        <v>269167.61</v>
      </c>
      <c r="BH518" s="456">
        <v>273795.03</v>
      </c>
      <c r="BI518" s="456">
        <v>276573.92</v>
      </c>
      <c r="BJ518" s="456">
        <v>278732.21</v>
      </c>
      <c r="BK518" s="456">
        <v>277930.93</v>
      </c>
      <c r="BL518" s="456">
        <v>15789.86</v>
      </c>
      <c r="BM518" s="456">
        <v>120.67</v>
      </c>
      <c r="BN518" s="456">
        <v>0.0</v>
      </c>
      <c r="BO518" s="456">
        <v>0.0</v>
      </c>
      <c r="BP518" s="456">
        <v>0.0</v>
      </c>
      <c r="BQ518" s="456">
        <v>0.0</v>
      </c>
      <c r="BR518" s="456">
        <v>0.0</v>
      </c>
      <c r="BS518" s="90">
        <v>0.0</v>
      </c>
      <c r="BT518" s="90"/>
    </row>
    <row r="519" ht="15.75" customHeight="1">
      <c r="A519" s="444" t="s">
        <v>98</v>
      </c>
      <c r="B519" s="445" t="s">
        <v>7785</v>
      </c>
      <c r="C519" s="468" t="s">
        <v>7786</v>
      </c>
      <c r="D519" s="469">
        <v>2536076.0</v>
      </c>
      <c r="E519" s="447" t="s">
        <v>120</v>
      </c>
      <c r="F519" s="447" t="s">
        <v>54</v>
      </c>
      <c r="G519" s="447" t="s">
        <v>348</v>
      </c>
      <c r="H519" s="447">
        <f>IFERROR(VLOOKUP(G519,'Cadastro de assessores'!A:B,2,FALSE),"Não Cadastrado")</f>
        <v>12331</v>
      </c>
      <c r="I519" s="447"/>
      <c r="J519" s="49" t="s">
        <v>2318</v>
      </c>
      <c r="K519" s="447" t="s">
        <v>183</v>
      </c>
      <c r="L519" s="470">
        <v>44665.0</v>
      </c>
      <c r="M519" s="470">
        <v>44665.0</v>
      </c>
      <c r="N519" s="446"/>
      <c r="O519" s="446" t="s">
        <v>2365</v>
      </c>
      <c r="P519" s="452">
        <v>0.012</v>
      </c>
      <c r="Q519" s="461" t="s">
        <v>7788</v>
      </c>
      <c r="R519" s="453"/>
      <c r="S519" s="449" t="str">
        <f t="shared" si="56"/>
        <v/>
      </c>
      <c r="T519" s="449" t="s">
        <v>194</v>
      </c>
      <c r="U519" s="449" t="s">
        <v>2438</v>
      </c>
      <c r="V519" s="449" t="s">
        <v>54</v>
      </c>
      <c r="W519" s="455"/>
      <c r="X519" s="455"/>
      <c r="Y519" s="455"/>
      <c r="Z519" s="455"/>
      <c r="AA519" s="455"/>
      <c r="AB519" s="455"/>
      <c r="AC519" s="455"/>
      <c r="AD519" s="455"/>
      <c r="AE519" s="455"/>
      <c r="AF519" s="455"/>
      <c r="AG519" s="455"/>
      <c r="AH519" s="455"/>
      <c r="AI519" s="455"/>
      <c r="AJ519" s="455"/>
      <c r="AK519" s="456"/>
      <c r="AL519" s="456"/>
      <c r="AM519" s="456"/>
      <c r="AN519" s="456"/>
      <c r="AO519" s="456"/>
      <c r="AP519" s="456"/>
      <c r="AQ519" s="456"/>
      <c r="AR519" s="456"/>
      <c r="AS519" s="456"/>
      <c r="AT519" s="456"/>
      <c r="AU519" s="456"/>
      <c r="AV519" s="456"/>
      <c r="AW519" s="456"/>
      <c r="AX519" s="456"/>
      <c r="AY519" s="456"/>
      <c r="AZ519" s="456"/>
      <c r="BA519" s="456"/>
      <c r="BB519" s="456"/>
      <c r="BC519" s="456"/>
      <c r="BD519" s="456">
        <v>451324.81</v>
      </c>
      <c r="BE519" s="456">
        <v>454361.13</v>
      </c>
      <c r="BF519" s="456">
        <v>455298.68</v>
      </c>
      <c r="BG519" s="456">
        <v>460344.2383</v>
      </c>
      <c r="BH519" s="456">
        <v>463600.11</v>
      </c>
      <c r="BI519" s="456">
        <v>466315.06</v>
      </c>
      <c r="BJ519" s="456">
        <v>468663.84</v>
      </c>
      <c r="BK519" s="456">
        <v>471964.89</v>
      </c>
      <c r="BL519" s="456">
        <v>475987.18</v>
      </c>
      <c r="BM519" s="456">
        <v>665.27</v>
      </c>
      <c r="BN519" s="456">
        <v>0.0</v>
      </c>
      <c r="BO519" s="456">
        <v>0.0</v>
      </c>
      <c r="BP519" s="456">
        <v>0.0</v>
      </c>
      <c r="BQ519" s="456">
        <v>0.0</v>
      </c>
      <c r="BR519" s="456">
        <v>0.0</v>
      </c>
      <c r="BS519" s="90">
        <v>0.0</v>
      </c>
      <c r="BT519" s="90"/>
    </row>
    <row r="520" ht="15.75" customHeight="1">
      <c r="A520" s="444" t="s">
        <v>98</v>
      </c>
      <c r="B520" s="445" t="s">
        <v>7790</v>
      </c>
      <c r="C520" s="458" t="s">
        <v>7791</v>
      </c>
      <c r="D520" s="449">
        <v>4548330.0</v>
      </c>
      <c r="E520" s="447" t="s">
        <v>255</v>
      </c>
      <c r="F520" s="447" t="s">
        <v>199</v>
      </c>
      <c r="G520" s="447" t="s">
        <v>3885</v>
      </c>
      <c r="H520" s="447" t="str">
        <f>IFERROR(VLOOKUP(G520,'Cadastro de assessores'!A:B,2,FALSE),"Não Cadastrado")</f>
        <v>17243</v>
      </c>
      <c r="I520" s="447"/>
      <c r="J520" s="49" t="s">
        <v>2318</v>
      </c>
      <c r="K520" s="449" t="s">
        <v>183</v>
      </c>
      <c r="L520" s="451">
        <v>44130.0</v>
      </c>
      <c r="M520" s="451">
        <v>44130.0</v>
      </c>
      <c r="N520" s="449"/>
      <c r="O520" s="449" t="s">
        <v>2341</v>
      </c>
      <c r="P520" s="452">
        <v>0.015</v>
      </c>
      <c r="Q520" s="461"/>
      <c r="R520" s="453"/>
      <c r="S520" s="449" t="str">
        <f t="shared" si="56"/>
        <v>Não Qualificado</v>
      </c>
      <c r="T520" s="449" t="s">
        <v>234</v>
      </c>
      <c r="U520" s="449" t="s">
        <v>2401</v>
      </c>
      <c r="V520" s="449" t="s">
        <v>199</v>
      </c>
      <c r="W520" s="455" t="s">
        <v>2344</v>
      </c>
      <c r="X520" s="455" t="s">
        <v>2344</v>
      </c>
      <c r="Y520" s="455" t="s">
        <v>2344</v>
      </c>
      <c r="Z520" s="455" t="s">
        <v>2344</v>
      </c>
      <c r="AA520" s="455" t="s">
        <v>2344</v>
      </c>
      <c r="AB520" s="455" t="s">
        <v>2344</v>
      </c>
      <c r="AC520" s="455" t="s">
        <v>2344</v>
      </c>
      <c r="AD520" s="455" t="s">
        <v>2344</v>
      </c>
      <c r="AE520" s="455" t="s">
        <v>2344</v>
      </c>
      <c r="AF520" s="455" t="s">
        <v>2344</v>
      </c>
      <c r="AG520" s="455" t="s">
        <v>2344</v>
      </c>
      <c r="AH520" s="455"/>
      <c r="AI520" s="455" t="s">
        <v>7795</v>
      </c>
      <c r="AJ520" s="455" t="s">
        <v>7796</v>
      </c>
      <c r="AK520" s="456"/>
      <c r="AL520" s="456">
        <v>154145.4</v>
      </c>
      <c r="AM520" s="456">
        <v>244503.55</v>
      </c>
      <c r="AN520" s="456">
        <v>245098.86</v>
      </c>
      <c r="AO520" s="456">
        <v>251631.13</v>
      </c>
      <c r="AP520" s="456">
        <v>253218.32</v>
      </c>
      <c r="AQ520" s="456">
        <v>252175.62</v>
      </c>
      <c r="AR520" s="456">
        <v>258354.28</v>
      </c>
      <c r="AS520" s="456">
        <v>256172.96</v>
      </c>
      <c r="AT520" s="456">
        <v>250902.41</v>
      </c>
      <c r="AU520" s="456">
        <v>249230.42</v>
      </c>
      <c r="AV520" s="456">
        <v>244969.86</v>
      </c>
      <c r="AW520" s="456">
        <v>237043.86</v>
      </c>
      <c r="AX520" s="456">
        <v>236709.21</v>
      </c>
      <c r="AY520" s="456">
        <v>239439.29</v>
      </c>
      <c r="AZ520" s="456">
        <v>247715.95</v>
      </c>
      <c r="BA520" s="456">
        <v>249710.25</v>
      </c>
      <c r="BB520" s="456">
        <v>207.49</v>
      </c>
      <c r="BC520" s="456">
        <v>284559.64</v>
      </c>
      <c r="BD520" s="456">
        <v>208.09</v>
      </c>
      <c r="BE520" s="456">
        <v>208.09</v>
      </c>
      <c r="BF520" s="456">
        <v>208.1</v>
      </c>
      <c r="BG520" s="456">
        <v>208.1</v>
      </c>
      <c r="BH520" s="456">
        <v>208.1</v>
      </c>
      <c r="BI520" s="456">
        <v>208.1</v>
      </c>
      <c r="BJ520" s="456">
        <v>208.1</v>
      </c>
      <c r="BK520" s="456">
        <v>208.1</v>
      </c>
      <c r="BL520" s="456">
        <v>208.1</v>
      </c>
      <c r="BM520" s="456">
        <v>208.1</v>
      </c>
      <c r="BN520" s="456">
        <v>208.1</v>
      </c>
      <c r="BO520" s="456">
        <v>208.1</v>
      </c>
      <c r="BP520" s="456">
        <v>208.1</v>
      </c>
      <c r="BQ520" s="456">
        <v>208.1</v>
      </c>
      <c r="BR520" s="456">
        <v>208.1</v>
      </c>
      <c r="BS520" s="90">
        <v>0.0</v>
      </c>
      <c r="BT520" s="90"/>
    </row>
    <row r="521" ht="15.75" customHeight="1">
      <c r="A521" s="444" t="s">
        <v>98</v>
      </c>
      <c r="B521" s="445" t="s">
        <v>7799</v>
      </c>
      <c r="C521" s="458" t="s">
        <v>5965</v>
      </c>
      <c r="D521" s="449">
        <v>4784067.0</v>
      </c>
      <c r="E521" s="449" t="s">
        <v>255</v>
      </c>
      <c r="F521" s="449" t="s">
        <v>199</v>
      </c>
      <c r="G521" s="449" t="s">
        <v>2531</v>
      </c>
      <c r="H521" s="449" t="str">
        <f>IFERROR(VLOOKUP(G521,'Cadastro de assessores'!A:B,2,FALSE),"Não Cadastrado")</f>
        <v>1441</v>
      </c>
      <c r="I521" s="449"/>
      <c r="J521" s="49" t="s">
        <v>224</v>
      </c>
      <c r="K521" s="449" t="s">
        <v>2340</v>
      </c>
      <c r="L521" s="460">
        <v>44215.0</v>
      </c>
      <c r="M521" s="460">
        <v>44215.0</v>
      </c>
      <c r="N521" s="460">
        <v>44291.0</v>
      </c>
      <c r="O521" s="449" t="s">
        <v>2319</v>
      </c>
      <c r="P521" s="452">
        <v>0.02</v>
      </c>
      <c r="Q521" s="461" t="s">
        <v>7802</v>
      </c>
      <c r="R521" s="453"/>
      <c r="S521" s="449" t="str">
        <f t="shared" si="56"/>
        <v/>
      </c>
      <c r="T521" s="446" t="s">
        <v>194</v>
      </c>
      <c r="U521" s="446" t="s">
        <v>2852</v>
      </c>
      <c r="V521" s="449" t="s">
        <v>2854</v>
      </c>
      <c r="W521" s="455"/>
      <c r="X521" s="455"/>
      <c r="Y521" s="455"/>
      <c r="Z521" s="455"/>
      <c r="AA521" s="455"/>
      <c r="AB521" s="455"/>
      <c r="AC521" s="455"/>
      <c r="AD521" s="455"/>
      <c r="AE521" s="455"/>
      <c r="AF521" s="455"/>
      <c r="AG521" s="455"/>
      <c r="AH521" s="455" t="s">
        <v>2344</v>
      </c>
      <c r="AI521" s="455" t="s">
        <v>7803</v>
      </c>
      <c r="AJ521" s="455" t="s">
        <v>7796</v>
      </c>
      <c r="AK521" s="456">
        <v>255998.06</v>
      </c>
      <c r="AL521" s="456">
        <v>154099.51</v>
      </c>
      <c r="AM521" s="456">
        <v>146187.71</v>
      </c>
      <c r="AN521" s="456">
        <v>147390.16</v>
      </c>
      <c r="AO521" s="456">
        <v>153417.37</v>
      </c>
      <c r="AP521" s="456"/>
      <c r="AQ521" s="456"/>
      <c r="AR521" s="456"/>
      <c r="AS521" s="456"/>
      <c r="AT521" s="456"/>
      <c r="AU521" s="456"/>
      <c r="AV521" s="456"/>
      <c r="AW521" s="456"/>
      <c r="AX521" s="456"/>
      <c r="AY521" s="456"/>
      <c r="AZ521" s="456"/>
      <c r="BA521" s="456">
        <v>0.0</v>
      </c>
      <c r="BB521" s="456">
        <v>0.0</v>
      </c>
      <c r="BC521" s="456">
        <v>0.0</v>
      </c>
      <c r="BD521" s="456" t="s">
        <v>377</v>
      </c>
      <c r="BE521" s="456" t="s">
        <v>377</v>
      </c>
      <c r="BF521" s="456">
        <v>0.0</v>
      </c>
      <c r="BG521" s="456">
        <v>0.0</v>
      </c>
      <c r="BH521" s="456">
        <v>0.0</v>
      </c>
      <c r="BI521" s="456">
        <v>0.0</v>
      </c>
      <c r="BJ521" s="456">
        <v>0.0</v>
      </c>
      <c r="BK521" s="456">
        <v>0.0</v>
      </c>
      <c r="BL521" s="456">
        <v>0.0</v>
      </c>
      <c r="BM521" s="456">
        <v>0.0</v>
      </c>
      <c r="BN521" s="456">
        <v>0.0</v>
      </c>
      <c r="BO521" s="456">
        <v>0.0</v>
      </c>
      <c r="BP521" s="456">
        <v>0.0</v>
      </c>
      <c r="BQ521" s="456">
        <v>0.0</v>
      </c>
      <c r="BR521" s="456">
        <v>0.0</v>
      </c>
      <c r="BS521" s="90" t="s">
        <v>268</v>
      </c>
      <c r="BT521" s="90"/>
    </row>
    <row r="522" ht="15.75" customHeight="1">
      <c r="A522" s="444" t="s">
        <v>98</v>
      </c>
      <c r="B522" s="445" t="s">
        <v>7808</v>
      </c>
      <c r="C522" s="458" t="s">
        <v>7809</v>
      </c>
      <c r="D522" s="449">
        <v>4809599.0</v>
      </c>
      <c r="E522" s="449" t="s">
        <v>120</v>
      </c>
      <c r="F522" s="507" t="s">
        <v>54</v>
      </c>
      <c r="G522" s="449" t="s">
        <v>379</v>
      </c>
      <c r="H522" s="449" t="str">
        <f>IFERROR(VLOOKUP(G522,'Cadastro de assessores'!A:B,2,FALSE),"Não Cadastrado")</f>
        <v>18009</v>
      </c>
      <c r="I522" s="449"/>
      <c r="J522" s="49" t="s">
        <v>224</v>
      </c>
      <c r="K522" s="449" t="s">
        <v>2340</v>
      </c>
      <c r="L522" s="460">
        <v>44229.0</v>
      </c>
      <c r="M522" s="460">
        <v>44229.0</v>
      </c>
      <c r="N522" s="460">
        <v>44683.0</v>
      </c>
      <c r="O522" s="449" t="s">
        <v>2319</v>
      </c>
      <c r="P522" s="452">
        <v>0.02</v>
      </c>
      <c r="Q522" s="461" t="s">
        <v>7813</v>
      </c>
      <c r="R522" s="453"/>
      <c r="S522" s="449" t="str">
        <f t="shared" si="56"/>
        <v>Não Qualificado</v>
      </c>
      <c r="T522" s="449" t="s">
        <v>194</v>
      </c>
      <c r="U522" s="446" t="s">
        <v>2852</v>
      </c>
      <c r="V522" s="449" t="s">
        <v>2854</v>
      </c>
      <c r="W522" s="455"/>
      <c r="X522" s="455"/>
      <c r="Y522" s="455"/>
      <c r="Z522" s="455"/>
      <c r="AA522" s="455"/>
      <c r="AB522" s="455"/>
      <c r="AC522" s="455"/>
      <c r="AD522" s="455"/>
      <c r="AE522" s="455"/>
      <c r="AF522" s="455"/>
      <c r="AG522" s="455"/>
      <c r="AH522" s="455"/>
      <c r="AI522" s="455"/>
      <c r="AJ522" s="455"/>
      <c r="AK522" s="456"/>
      <c r="AL522" s="456"/>
      <c r="AM522" s="456">
        <v>106868.39</v>
      </c>
      <c r="AN522" s="456">
        <v>107082.31</v>
      </c>
      <c r="AO522" s="456">
        <v>112400.21</v>
      </c>
      <c r="AP522" s="456">
        <v>113441.29</v>
      </c>
      <c r="AQ522" s="456">
        <v>112654.82</v>
      </c>
      <c r="AR522" s="456">
        <v>147557.36</v>
      </c>
      <c r="AS522" s="456">
        <v>146912.27</v>
      </c>
      <c r="AT522" s="456">
        <v>142068.42</v>
      </c>
      <c r="AU522" s="456">
        <v>160332.18</v>
      </c>
      <c r="AV522" s="456">
        <v>155986.19</v>
      </c>
      <c r="AW522" s="456">
        <v>146703.13</v>
      </c>
      <c r="AX522" s="456">
        <v>145825.26</v>
      </c>
      <c r="AY522" s="456">
        <v>147902.17</v>
      </c>
      <c r="AZ522" s="456">
        <v>153055.23</v>
      </c>
      <c r="BA522" s="456">
        <v>153873.5</v>
      </c>
      <c r="BB522" s="456">
        <v>161785.37</v>
      </c>
      <c r="BC522" s="456">
        <v>761666.51</v>
      </c>
      <c r="BD522" s="456" t="s">
        <v>377</v>
      </c>
      <c r="BE522" s="456" t="s">
        <v>377</v>
      </c>
      <c r="BF522" s="456">
        <v>0.0</v>
      </c>
      <c r="BG522" s="456">
        <v>0.0</v>
      </c>
      <c r="BH522" s="456">
        <v>0.0</v>
      </c>
      <c r="BI522" s="456">
        <v>0.0</v>
      </c>
      <c r="BJ522" s="456">
        <v>0.0</v>
      </c>
      <c r="BK522" s="456">
        <v>0.0</v>
      </c>
      <c r="BL522" s="456">
        <v>0.0</v>
      </c>
      <c r="BM522" s="456">
        <v>0.0</v>
      </c>
      <c r="BN522" s="456">
        <v>0.0</v>
      </c>
      <c r="BO522" s="456">
        <v>0.0</v>
      </c>
      <c r="BP522" s="456">
        <v>0.0</v>
      </c>
      <c r="BQ522" s="456">
        <v>0.0</v>
      </c>
      <c r="BR522" s="456">
        <v>0.0</v>
      </c>
      <c r="BS522" s="90" t="s">
        <v>268</v>
      </c>
      <c r="BT522" s="90"/>
    </row>
    <row r="523" ht="15.75" customHeight="1">
      <c r="A523" s="444" t="s">
        <v>98</v>
      </c>
      <c r="B523" s="445" t="s">
        <v>7808</v>
      </c>
      <c r="C523" s="458" t="s">
        <v>7809</v>
      </c>
      <c r="D523" s="449">
        <v>4900263.0</v>
      </c>
      <c r="E523" s="449" t="s">
        <v>120</v>
      </c>
      <c r="F523" s="507" t="s">
        <v>54</v>
      </c>
      <c r="G523" s="449" t="s">
        <v>379</v>
      </c>
      <c r="H523" s="449" t="str">
        <f>IFERROR(VLOOKUP(G523,'Cadastro de assessores'!A:B,2,FALSE),"Não Cadastrado")</f>
        <v>18009</v>
      </c>
      <c r="I523" s="449"/>
      <c r="J523" s="49" t="s">
        <v>224</v>
      </c>
      <c r="K523" s="449" t="s">
        <v>2340</v>
      </c>
      <c r="L523" s="449" t="s">
        <v>584</v>
      </c>
      <c r="M523" s="449" t="s">
        <v>584</v>
      </c>
      <c r="N523" s="460">
        <v>44683.0</v>
      </c>
      <c r="O523" s="446" t="s">
        <v>2452</v>
      </c>
      <c r="P523" s="452">
        <v>0.008</v>
      </c>
      <c r="Q523" s="461" t="s">
        <v>7813</v>
      </c>
      <c r="R523" s="453"/>
      <c r="S523" s="449" t="str">
        <f t="shared" si="56"/>
        <v>Não Qualificado</v>
      </c>
      <c r="T523" s="449" t="s">
        <v>194</v>
      </c>
      <c r="U523" s="446" t="s">
        <v>2852</v>
      </c>
      <c r="V523" s="449" t="s">
        <v>2854</v>
      </c>
      <c r="W523" s="455"/>
      <c r="X523" s="455"/>
      <c r="Y523" s="455"/>
      <c r="Z523" s="455"/>
      <c r="AA523" s="455"/>
      <c r="AB523" s="455"/>
      <c r="AC523" s="455"/>
      <c r="AD523" s="455"/>
      <c r="AE523" s="455"/>
      <c r="AF523" s="455"/>
      <c r="AG523" s="455"/>
      <c r="AH523" s="455"/>
      <c r="AI523" s="455"/>
      <c r="AJ523" s="455"/>
      <c r="AK523" s="456"/>
      <c r="AL523" s="456"/>
      <c r="AM523" s="456"/>
      <c r="AN523" s="456" t="s">
        <v>3320</v>
      </c>
      <c r="AO523" s="456"/>
      <c r="AP523" s="456"/>
      <c r="AQ523" s="456"/>
      <c r="AR523" s="456"/>
      <c r="AS523" s="456"/>
      <c r="AT523" s="456"/>
      <c r="AU523" s="456"/>
      <c r="AV523" s="456"/>
      <c r="AW523" s="456"/>
      <c r="AX523" s="456"/>
      <c r="AY523" s="456"/>
      <c r="AZ523" s="456"/>
      <c r="BA523" s="456">
        <v>0.0</v>
      </c>
      <c r="BB523" s="456">
        <v>0.0</v>
      </c>
      <c r="BC523" s="456">
        <v>710231.14</v>
      </c>
      <c r="BD523" s="456" t="s">
        <v>377</v>
      </c>
      <c r="BE523" s="456" t="s">
        <v>377</v>
      </c>
      <c r="BF523" s="456">
        <v>0.0</v>
      </c>
      <c r="BG523" s="456">
        <v>0.0</v>
      </c>
      <c r="BH523" s="456">
        <v>0.0</v>
      </c>
      <c r="BI523" s="456">
        <v>0.0</v>
      </c>
      <c r="BJ523" s="456">
        <v>0.0</v>
      </c>
      <c r="BK523" s="456">
        <v>0.0</v>
      </c>
      <c r="BL523" s="456">
        <v>0.0</v>
      </c>
      <c r="BM523" s="456">
        <v>0.0</v>
      </c>
      <c r="BN523" s="456">
        <v>0.0</v>
      </c>
      <c r="BO523" s="456">
        <v>0.0</v>
      </c>
      <c r="BP523" s="456">
        <v>0.0</v>
      </c>
      <c r="BQ523" s="456">
        <v>0.0</v>
      </c>
      <c r="BR523" s="456">
        <v>0.0</v>
      </c>
      <c r="BS523" s="90" t="s">
        <v>268</v>
      </c>
      <c r="BT523" s="90"/>
    </row>
    <row r="524" ht="15.75" customHeight="1">
      <c r="A524" s="444" t="s">
        <v>98</v>
      </c>
      <c r="B524" s="445" t="s">
        <v>7818</v>
      </c>
      <c r="C524" s="468" t="s">
        <v>7819</v>
      </c>
      <c r="D524" s="446">
        <v>4458091.0</v>
      </c>
      <c r="E524" s="447" t="s">
        <v>120</v>
      </c>
      <c r="F524" s="448" t="s">
        <v>199</v>
      </c>
      <c r="G524" s="448" t="s">
        <v>1340</v>
      </c>
      <c r="H524" s="448" t="str">
        <f>IFERROR(VLOOKUP(G524,'Cadastro de assessores'!A:B,2,FALSE),"Não Cadastrado")</f>
        <v>13444</v>
      </c>
      <c r="I524" s="448"/>
      <c r="J524" s="49" t="s">
        <v>2318</v>
      </c>
      <c r="K524" s="447" t="s">
        <v>183</v>
      </c>
      <c r="L524" s="450">
        <v>44372.0</v>
      </c>
      <c r="M524" s="450">
        <v>44372.0</v>
      </c>
      <c r="N524" s="446"/>
      <c r="O524" s="446" t="s">
        <v>3721</v>
      </c>
      <c r="P524" s="452">
        <v>0.02</v>
      </c>
      <c r="Q524" s="330"/>
      <c r="R524" s="453"/>
      <c r="S524" s="449" t="str">
        <f t="shared" si="56"/>
        <v/>
      </c>
      <c r="T524" s="449" t="s">
        <v>234</v>
      </c>
      <c r="U524" s="446" t="s">
        <v>3722</v>
      </c>
      <c r="V524" s="446" t="s">
        <v>475</v>
      </c>
      <c r="W524" s="454"/>
      <c r="X524" s="454"/>
      <c r="Y524" s="454"/>
      <c r="Z524" s="454"/>
      <c r="AA524" s="454"/>
      <c r="AB524" s="454"/>
      <c r="AC524" s="454"/>
      <c r="AD524" s="454"/>
      <c r="AE524" s="454"/>
      <c r="AF524" s="454"/>
      <c r="AG524" s="454"/>
      <c r="AH524" s="454"/>
      <c r="AI524" s="455"/>
      <c r="AJ524" s="456"/>
      <c r="AK524" s="456"/>
      <c r="AL524" s="456"/>
      <c r="AM524" s="456"/>
      <c r="AN524" s="456"/>
      <c r="AO524" s="456"/>
      <c r="AP524" s="456"/>
      <c r="AQ524" s="456"/>
      <c r="AR524" s="454"/>
      <c r="AS524" s="456">
        <v>204883.83</v>
      </c>
      <c r="AT524" s="456">
        <v>191556.99</v>
      </c>
      <c r="AU524" s="456">
        <v>188033.32</v>
      </c>
      <c r="AV524" s="456">
        <v>176053.49</v>
      </c>
      <c r="AW524" s="456">
        <v>158038.86</v>
      </c>
      <c r="AX524" s="456">
        <v>144316.36</v>
      </c>
      <c r="AY524" s="456">
        <v>149421.76</v>
      </c>
      <c r="AZ524" s="456">
        <v>155037.35</v>
      </c>
      <c r="BA524" s="456">
        <v>159439.99</v>
      </c>
      <c r="BB524" s="456">
        <v>168050.41</v>
      </c>
      <c r="BC524" s="456"/>
      <c r="BD524" s="456">
        <v>160034.17</v>
      </c>
      <c r="BE524" s="456">
        <v>136631.26</v>
      </c>
      <c r="BF524" s="456">
        <v>116289.73</v>
      </c>
      <c r="BG524" s="456">
        <v>122764.66</v>
      </c>
      <c r="BH524" s="456">
        <v>601.27</v>
      </c>
      <c r="BI524" s="456">
        <v>1430.43</v>
      </c>
      <c r="BJ524" s="456">
        <v>535.51</v>
      </c>
      <c r="BK524" s="456">
        <v>638.45</v>
      </c>
      <c r="BL524" s="456">
        <v>530.04</v>
      </c>
      <c r="BM524" s="456">
        <v>532.41</v>
      </c>
      <c r="BN524" s="456">
        <v>533.4</v>
      </c>
      <c r="BO524" s="456">
        <v>0.0</v>
      </c>
      <c r="BP524" s="456">
        <v>5.56</v>
      </c>
      <c r="BQ524" s="456">
        <v>5.56</v>
      </c>
      <c r="BR524" s="456">
        <v>5.56</v>
      </c>
      <c r="BS524" s="90">
        <v>0.0</v>
      </c>
      <c r="BT524" s="90"/>
    </row>
    <row r="525" ht="15.75" customHeight="1">
      <c r="A525" s="444" t="s">
        <v>98</v>
      </c>
      <c r="B525" s="445" t="s">
        <v>7824</v>
      </c>
      <c r="C525" s="458" t="s">
        <v>5977</v>
      </c>
      <c r="D525" s="449">
        <v>4729728.0</v>
      </c>
      <c r="E525" s="447" t="s">
        <v>255</v>
      </c>
      <c r="F525" s="447" t="s">
        <v>199</v>
      </c>
      <c r="G525" s="447" t="s">
        <v>3855</v>
      </c>
      <c r="H525" s="447" t="str">
        <f>IFERROR(VLOOKUP(G525,'Cadastro de assessores'!A:B,2,FALSE),"Não Cadastrado")</f>
        <v>19634</v>
      </c>
      <c r="I525" s="447"/>
      <c r="J525" s="49" t="s">
        <v>224</v>
      </c>
      <c r="K525" s="447" t="s">
        <v>183</v>
      </c>
      <c r="L525" s="450">
        <v>44203.0</v>
      </c>
      <c r="M525" s="450">
        <v>44203.0</v>
      </c>
      <c r="N525" s="459">
        <v>44911.0</v>
      </c>
      <c r="O525" s="449" t="s">
        <v>2341</v>
      </c>
      <c r="P525" s="452">
        <v>0.015</v>
      </c>
      <c r="Q525" s="461" t="s">
        <v>7826</v>
      </c>
      <c r="R525" s="453"/>
      <c r="S525" s="449" t="str">
        <f t="shared" si="56"/>
        <v>Não Qualificado</v>
      </c>
      <c r="T525" s="449" t="s">
        <v>194</v>
      </c>
      <c r="U525" s="449" t="s">
        <v>2343</v>
      </c>
      <c r="V525" s="449" t="s">
        <v>199</v>
      </c>
      <c r="W525" s="455"/>
      <c r="X525" s="455"/>
      <c r="Y525" s="455"/>
      <c r="Z525" s="455"/>
      <c r="AA525" s="455"/>
      <c r="AB525" s="455"/>
      <c r="AC525" s="455"/>
      <c r="AD525" s="455"/>
      <c r="AE525" s="455"/>
      <c r="AF525" s="455"/>
      <c r="AG525" s="455"/>
      <c r="AH525" s="455"/>
      <c r="AI525" s="455"/>
      <c r="AJ525" s="455"/>
      <c r="AK525" s="456"/>
      <c r="AL525" s="456">
        <v>295739.94</v>
      </c>
      <c r="AM525" s="456">
        <v>288456.94</v>
      </c>
      <c r="AN525" s="456">
        <v>288843.33</v>
      </c>
      <c r="AO525" s="456">
        <v>296604.47</v>
      </c>
      <c r="AP525" s="456">
        <v>278429.59</v>
      </c>
      <c r="AQ525" s="456">
        <v>277305.68</v>
      </c>
      <c r="AR525" s="456">
        <v>284024.73</v>
      </c>
      <c r="AS525" s="456">
        <v>281782.79</v>
      </c>
      <c r="AT525" s="456">
        <v>210819.47</v>
      </c>
      <c r="AU525" s="456">
        <v>209173.29</v>
      </c>
      <c r="AV525" s="456">
        <v>205286.54</v>
      </c>
      <c r="AW525" s="456">
        <v>198545.31</v>
      </c>
      <c r="AX525" s="456">
        <v>199144.53</v>
      </c>
      <c r="AY525" s="456">
        <v>201544.88</v>
      </c>
      <c r="AZ525" s="456">
        <v>207486.83</v>
      </c>
      <c r="BA525" s="456">
        <v>208782.34</v>
      </c>
      <c r="BB525" s="456">
        <v>161242.08</v>
      </c>
      <c r="BC525" s="456">
        <v>697132.67</v>
      </c>
      <c r="BD525" s="456">
        <v>107329.17</v>
      </c>
      <c r="BE525" s="456">
        <v>105474.84</v>
      </c>
      <c r="BF525" s="456">
        <v>109316.66</v>
      </c>
      <c r="BG525" s="456">
        <v>110615.0997</v>
      </c>
      <c r="BH525" s="456">
        <v>110540.34</v>
      </c>
      <c r="BI525" s="456">
        <v>117222.67</v>
      </c>
      <c r="BJ525" s="456">
        <v>115136.1</v>
      </c>
      <c r="BK525" s="456">
        <v>0.0</v>
      </c>
      <c r="BL525" s="456">
        <v>0.0</v>
      </c>
      <c r="BM525" s="456">
        <v>0.0</v>
      </c>
      <c r="BN525" s="456">
        <v>0.0</v>
      </c>
      <c r="BO525" s="456">
        <v>0.0</v>
      </c>
      <c r="BP525" s="456">
        <v>0.0</v>
      </c>
      <c r="BQ525" s="456">
        <v>0.0</v>
      </c>
      <c r="BR525" s="456">
        <v>0.0</v>
      </c>
      <c r="BS525" s="90" t="s">
        <v>268</v>
      </c>
      <c r="BT525" s="90"/>
    </row>
    <row r="526" ht="15.75" customHeight="1">
      <c r="A526" s="444" t="s">
        <v>98</v>
      </c>
      <c r="B526" s="445" t="s">
        <v>7833</v>
      </c>
      <c r="C526" s="468" t="s">
        <v>7835</v>
      </c>
      <c r="D526" s="446">
        <v>6104436.0</v>
      </c>
      <c r="E526" s="449" t="s">
        <v>120</v>
      </c>
      <c r="F526" s="507" t="s">
        <v>54</v>
      </c>
      <c r="G526" s="449" t="s">
        <v>4057</v>
      </c>
      <c r="H526" s="449" t="str">
        <f>IFERROR(VLOOKUP(G526,'Cadastro de assessores'!A:B,2,FALSE),"Não Cadastrado")</f>
        <v>14294</v>
      </c>
      <c r="I526" s="449"/>
      <c r="J526" s="49" t="s">
        <v>224</v>
      </c>
      <c r="K526" s="449" t="s">
        <v>2340</v>
      </c>
      <c r="L526" s="460">
        <v>44420.0</v>
      </c>
      <c r="M526" s="460">
        <v>44420.0</v>
      </c>
      <c r="N526" s="460">
        <v>44812.0</v>
      </c>
      <c r="O526" s="449" t="s">
        <v>2365</v>
      </c>
      <c r="P526" s="452">
        <v>0.012</v>
      </c>
      <c r="Q526" s="330" t="s">
        <v>7836</v>
      </c>
      <c r="R526" s="453"/>
      <c r="S526" s="449" t="str">
        <f t="shared" si="56"/>
        <v>Não Qualificado</v>
      </c>
      <c r="T526" s="449" t="s">
        <v>194</v>
      </c>
      <c r="U526" s="446" t="s">
        <v>2852</v>
      </c>
      <c r="V526" s="449" t="s">
        <v>2854</v>
      </c>
      <c r="W526" s="454"/>
      <c r="X526" s="454"/>
      <c r="Y526" s="454"/>
      <c r="Z526" s="454"/>
      <c r="AA526" s="454"/>
      <c r="AB526" s="454"/>
      <c r="AC526" s="454"/>
      <c r="AD526" s="454"/>
      <c r="AE526" s="454"/>
      <c r="AF526" s="454"/>
      <c r="AG526" s="454"/>
      <c r="AH526" s="455"/>
      <c r="AI526" s="455"/>
      <c r="AJ526" s="456"/>
      <c r="AK526" s="456"/>
      <c r="AL526" s="456"/>
      <c r="AM526" s="456"/>
      <c r="AN526" s="456"/>
      <c r="AO526" s="456"/>
      <c r="AP526" s="456"/>
      <c r="AQ526" s="456"/>
      <c r="AR526" s="456"/>
      <c r="AS526" s="538"/>
      <c r="AT526" s="481"/>
      <c r="AU526" s="481">
        <v>201499.55</v>
      </c>
      <c r="AV526" s="456">
        <v>200530.9</v>
      </c>
      <c r="AW526" s="456">
        <v>198258.04</v>
      </c>
      <c r="AX526" s="456">
        <v>199225.9</v>
      </c>
      <c r="AY526" s="456">
        <v>201108.71</v>
      </c>
      <c r="AZ526" s="456">
        <v>205260.98</v>
      </c>
      <c r="BA526" s="456">
        <v>206737.19</v>
      </c>
      <c r="BB526" s="456">
        <v>211411.92</v>
      </c>
      <c r="BC526" s="456">
        <v>639711.96</v>
      </c>
      <c r="BD526" s="456">
        <v>211811.01</v>
      </c>
      <c r="BE526" s="456">
        <v>212239.47</v>
      </c>
      <c r="BF526" s="456">
        <v>215271.44</v>
      </c>
      <c r="BG526" s="456">
        <v>216872.7863</v>
      </c>
      <c r="BH526" s="456">
        <v>0.0</v>
      </c>
      <c r="BI526" s="456">
        <v>0.0</v>
      </c>
      <c r="BJ526" s="456">
        <v>0.0</v>
      </c>
      <c r="BK526" s="456">
        <v>0.0</v>
      </c>
      <c r="BL526" s="456">
        <v>0.0</v>
      </c>
      <c r="BM526" s="456">
        <v>0.0</v>
      </c>
      <c r="BN526" s="456">
        <v>0.0</v>
      </c>
      <c r="BO526" s="456">
        <v>0.0</v>
      </c>
      <c r="BP526" s="456">
        <v>0.0</v>
      </c>
      <c r="BQ526" s="456">
        <v>0.0</v>
      </c>
      <c r="BR526" s="456">
        <v>0.0</v>
      </c>
      <c r="BS526" s="90" t="s">
        <v>268</v>
      </c>
      <c r="BT526" s="90"/>
    </row>
    <row r="527" ht="15.75" customHeight="1">
      <c r="A527" s="444" t="s">
        <v>98</v>
      </c>
      <c r="B527" s="445" t="s">
        <v>7843</v>
      </c>
      <c r="C527" s="458" t="s">
        <v>7119</v>
      </c>
      <c r="D527" s="449">
        <v>3608409.0</v>
      </c>
      <c r="E527" s="449" t="s">
        <v>255</v>
      </c>
      <c r="F527" s="449" t="s">
        <v>199</v>
      </c>
      <c r="G527" s="449" t="s">
        <v>4044</v>
      </c>
      <c r="H527" s="449" t="str">
        <f>IFERROR(VLOOKUP(G527,'Cadastro de assessores'!A:B,2,FALSE),"Não Cadastrado")</f>
        <v>17489</v>
      </c>
      <c r="I527" s="449"/>
      <c r="J527" s="49" t="s">
        <v>224</v>
      </c>
      <c r="K527" s="449" t="s">
        <v>2340</v>
      </c>
      <c r="L527" s="460">
        <v>44092.0</v>
      </c>
      <c r="M527" s="460">
        <v>44092.0</v>
      </c>
      <c r="N527" s="459">
        <v>44490.0</v>
      </c>
      <c r="O527" s="449" t="s">
        <v>2319</v>
      </c>
      <c r="P527" s="452">
        <v>0.02</v>
      </c>
      <c r="Q527" s="461" t="s">
        <v>7844</v>
      </c>
      <c r="R527" s="453"/>
      <c r="S527" s="449" t="str">
        <f t="shared" si="56"/>
        <v>Não Qualificado</v>
      </c>
      <c r="T527" s="449" t="s">
        <v>194</v>
      </c>
      <c r="U527" s="449" t="s">
        <v>2383</v>
      </c>
      <c r="V527" s="449" t="s">
        <v>199</v>
      </c>
      <c r="W527" s="455" t="s">
        <v>2344</v>
      </c>
      <c r="X527" s="455" t="s">
        <v>2344</v>
      </c>
      <c r="Y527" s="455" t="s">
        <v>2344</v>
      </c>
      <c r="Z527" s="455" t="s">
        <v>2344</v>
      </c>
      <c r="AA527" s="455" t="s">
        <v>2344</v>
      </c>
      <c r="AB527" s="455" t="s">
        <v>2344</v>
      </c>
      <c r="AC527" s="455" t="s">
        <v>2344</v>
      </c>
      <c r="AD527" s="455" t="s">
        <v>2344</v>
      </c>
      <c r="AE527" s="455" t="s">
        <v>2344</v>
      </c>
      <c r="AF527" s="455" t="s">
        <v>2344</v>
      </c>
      <c r="AG527" s="455" t="s">
        <v>2344</v>
      </c>
      <c r="AH527" s="455" t="s">
        <v>7845</v>
      </c>
      <c r="AI527" s="455" t="s">
        <v>7846</v>
      </c>
      <c r="AJ527" s="455" t="s">
        <v>7847</v>
      </c>
      <c r="AK527" s="456">
        <v>882078.05</v>
      </c>
      <c r="AL527" s="456">
        <v>854224.36</v>
      </c>
      <c r="AM527" s="456">
        <v>790881.3</v>
      </c>
      <c r="AN527" s="456">
        <v>787131.12</v>
      </c>
      <c r="AO527" s="456">
        <v>818109.02</v>
      </c>
      <c r="AP527" s="456">
        <v>823708.23</v>
      </c>
      <c r="AQ527" s="456">
        <v>818336.0</v>
      </c>
      <c r="AR527" s="456">
        <v>846781.25</v>
      </c>
      <c r="AS527" s="456">
        <v>831196.66</v>
      </c>
      <c r="AT527" s="456">
        <v>805903.08</v>
      </c>
      <c r="AU527" s="456">
        <v>802434.71</v>
      </c>
      <c r="AV527" s="456">
        <v>775537.05</v>
      </c>
      <c r="AW527" s="456">
        <v>643686.4</v>
      </c>
      <c r="AX527" s="456"/>
      <c r="AY527" s="456"/>
      <c r="AZ527" s="456"/>
      <c r="BA527" s="456">
        <v>0.0</v>
      </c>
      <c r="BB527" s="456">
        <v>0.0</v>
      </c>
      <c r="BC527" s="456">
        <v>890155.82</v>
      </c>
      <c r="BD527" s="456" t="s">
        <v>377</v>
      </c>
      <c r="BE527" s="456" t="s">
        <v>377</v>
      </c>
      <c r="BF527" s="456">
        <v>0.0</v>
      </c>
      <c r="BG527" s="456">
        <v>0.0</v>
      </c>
      <c r="BH527" s="456">
        <v>0.0</v>
      </c>
      <c r="BI527" s="456">
        <v>0.0</v>
      </c>
      <c r="BJ527" s="456">
        <v>0.0</v>
      </c>
      <c r="BK527" s="456">
        <v>0.0</v>
      </c>
      <c r="BL527" s="456">
        <v>0.0</v>
      </c>
      <c r="BM527" s="456">
        <v>0.0</v>
      </c>
      <c r="BN527" s="456">
        <v>0.0</v>
      </c>
      <c r="BO527" s="456">
        <v>0.0</v>
      </c>
      <c r="BP527" s="456">
        <v>0.0</v>
      </c>
      <c r="BQ527" s="456">
        <v>0.0</v>
      </c>
      <c r="BR527" s="456">
        <v>0.0</v>
      </c>
      <c r="BS527" s="90" t="s">
        <v>268</v>
      </c>
      <c r="BT527" s="90"/>
    </row>
    <row r="528" ht="15.75" customHeight="1">
      <c r="A528" s="444" t="s">
        <v>98</v>
      </c>
      <c r="B528" s="445" t="s">
        <v>7852</v>
      </c>
      <c r="C528" s="844" t="s">
        <v>7853</v>
      </c>
      <c r="D528" s="449">
        <v>4465050.0</v>
      </c>
      <c r="E528" s="447" t="s">
        <v>120</v>
      </c>
      <c r="F528" s="447" t="s">
        <v>54</v>
      </c>
      <c r="G528" s="447" t="s">
        <v>379</v>
      </c>
      <c r="H528" s="447" t="str">
        <f>IFERROR(VLOOKUP(G528,'Cadastro de assessores'!A:B,2,FALSE),"Não Cadastrado")</f>
        <v>18009</v>
      </c>
      <c r="I528" s="447"/>
      <c r="J528" s="49" t="s">
        <v>224</v>
      </c>
      <c r="K528" s="449" t="s">
        <v>2340</v>
      </c>
      <c r="L528" s="450">
        <v>44103.0</v>
      </c>
      <c r="M528" s="450">
        <v>44104.0</v>
      </c>
      <c r="N528" s="449"/>
      <c r="O528" s="449" t="s">
        <v>2341</v>
      </c>
      <c r="P528" s="452">
        <v>0.015</v>
      </c>
      <c r="Q528" s="830" t="s">
        <v>7858</v>
      </c>
      <c r="R528" s="453"/>
      <c r="S528" s="449" t="str">
        <f t="shared" si="56"/>
        <v/>
      </c>
      <c r="T528" s="449" t="s">
        <v>194</v>
      </c>
      <c r="U528" s="449" t="s">
        <v>2343</v>
      </c>
      <c r="V528" s="449" t="s">
        <v>199</v>
      </c>
      <c r="W528" s="455" t="s">
        <v>2344</v>
      </c>
      <c r="X528" s="455" t="s">
        <v>2344</v>
      </c>
      <c r="Y528" s="455" t="s">
        <v>2344</v>
      </c>
      <c r="Z528" s="455" t="s">
        <v>2344</v>
      </c>
      <c r="AA528" s="455" t="s">
        <v>2344</v>
      </c>
      <c r="AB528" s="455" t="s">
        <v>2344</v>
      </c>
      <c r="AC528" s="455" t="s">
        <v>2344</v>
      </c>
      <c r="AD528" s="455" t="s">
        <v>2344</v>
      </c>
      <c r="AE528" s="455" t="s">
        <v>2344</v>
      </c>
      <c r="AF528" s="455" t="s">
        <v>2344</v>
      </c>
      <c r="AG528" s="455" t="s">
        <v>2344</v>
      </c>
      <c r="AH528" s="455" t="s">
        <v>7859</v>
      </c>
      <c r="AI528" s="455" t="s">
        <v>7860</v>
      </c>
      <c r="AJ528" s="455" t="s">
        <v>7861</v>
      </c>
      <c r="AK528" s="456">
        <v>4131996.4</v>
      </c>
      <c r="AL528" s="456">
        <v>4077407.13</v>
      </c>
      <c r="AM528" s="456">
        <v>3954103.56</v>
      </c>
      <c r="AN528" s="456">
        <v>3965210.51</v>
      </c>
      <c r="AO528" s="456">
        <v>4062014.82</v>
      </c>
      <c r="AP528" s="456">
        <v>4090647.35</v>
      </c>
      <c r="AQ528" s="456">
        <v>4071830.03</v>
      </c>
      <c r="AR528" s="456">
        <v>4176600.85</v>
      </c>
      <c r="AS528" s="456">
        <v>4141846.57</v>
      </c>
      <c r="AT528" s="456">
        <v>4053503.17</v>
      </c>
      <c r="AU528" s="456">
        <v>4024690.62</v>
      </c>
      <c r="AV528" s="456">
        <v>3973444.68</v>
      </c>
      <c r="AW528" s="456">
        <v>3779498.87</v>
      </c>
      <c r="AX528" s="456">
        <v>3786371.87</v>
      </c>
      <c r="AY528" s="456">
        <v>3838450.87</v>
      </c>
      <c r="AZ528" s="456">
        <v>3951805.33</v>
      </c>
      <c r="BA528" s="456">
        <v>3976460.77</v>
      </c>
      <c r="BB528" s="456">
        <v>4125382.15</v>
      </c>
      <c r="BC528" s="456">
        <v>0.0</v>
      </c>
      <c r="BD528" s="456">
        <v>4132115.16</v>
      </c>
      <c r="BE528" s="456">
        <v>4111979.93</v>
      </c>
      <c r="BF528" s="456">
        <v>4188894.14</v>
      </c>
      <c r="BG528" s="456">
        <v>4221619.685</v>
      </c>
      <c r="BH528" s="456">
        <v>4237705.55</v>
      </c>
      <c r="BI528" s="456">
        <v>4379189.73</v>
      </c>
      <c r="BJ528" s="456">
        <v>4365751.61</v>
      </c>
      <c r="BK528" s="456">
        <v>4389200.51</v>
      </c>
      <c r="BL528" s="456">
        <v>515.53</v>
      </c>
      <c r="BM528" s="456">
        <v>0.0</v>
      </c>
      <c r="BN528" s="456">
        <v>0.0</v>
      </c>
      <c r="BO528" s="456">
        <v>0.0</v>
      </c>
      <c r="BP528" s="456">
        <v>0.0</v>
      </c>
      <c r="BQ528" s="456">
        <v>0.0</v>
      </c>
      <c r="BR528" s="456">
        <v>0.0</v>
      </c>
      <c r="BS528" s="90" t="s">
        <v>268</v>
      </c>
      <c r="BT528" s="90"/>
    </row>
    <row r="529" ht="15.75" customHeight="1">
      <c r="A529" s="444" t="s">
        <v>98</v>
      </c>
      <c r="B529" s="445" t="s">
        <v>7864</v>
      </c>
      <c r="C529" s="468" t="s">
        <v>6590</v>
      </c>
      <c r="D529" s="446">
        <v>5678151.0</v>
      </c>
      <c r="E529" s="449" t="s">
        <v>255</v>
      </c>
      <c r="F529" s="507" t="s">
        <v>199</v>
      </c>
      <c r="G529" s="507" t="s">
        <v>4809</v>
      </c>
      <c r="H529" s="507" t="str">
        <f>IFERROR(VLOOKUP(G529,'Cadastro de assessores'!A:B,2,FALSE),"Não Cadastrado")</f>
        <v>14091</v>
      </c>
      <c r="I529" s="507"/>
      <c r="J529" s="49" t="s">
        <v>224</v>
      </c>
      <c r="K529" s="449" t="s">
        <v>2340</v>
      </c>
      <c r="L529" s="460">
        <v>44397.0</v>
      </c>
      <c r="M529" s="460">
        <v>44397.0</v>
      </c>
      <c r="N529" s="460">
        <v>44473.0</v>
      </c>
      <c r="O529" s="449" t="s">
        <v>2365</v>
      </c>
      <c r="P529" s="452">
        <v>0.012</v>
      </c>
      <c r="Q529" s="461" t="s">
        <v>2411</v>
      </c>
      <c r="R529" s="453"/>
      <c r="S529" s="449" t="str">
        <f t="shared" si="56"/>
        <v>Não Qualificado</v>
      </c>
      <c r="T529" s="446" t="s">
        <v>234</v>
      </c>
      <c r="U529" s="446" t="s">
        <v>2343</v>
      </c>
      <c r="V529" s="446" t="s">
        <v>199</v>
      </c>
      <c r="W529" s="454"/>
      <c r="X529" s="454"/>
      <c r="Y529" s="454"/>
      <c r="Z529" s="454"/>
      <c r="AA529" s="454"/>
      <c r="AB529" s="454"/>
      <c r="AC529" s="454"/>
      <c r="AD529" s="454"/>
      <c r="AE529" s="454"/>
      <c r="AF529" s="454"/>
      <c r="AG529" s="454"/>
      <c r="AH529" s="454"/>
      <c r="AI529" s="454"/>
      <c r="AJ529" s="454"/>
      <c r="AK529" s="456"/>
      <c r="AL529" s="456"/>
      <c r="AM529" s="456"/>
      <c r="AN529" s="456"/>
      <c r="AO529" s="456"/>
      <c r="AP529" s="456"/>
      <c r="AQ529" s="454"/>
      <c r="AR529" s="481"/>
      <c r="AS529" s="456"/>
      <c r="AT529" s="456">
        <v>387869.72</v>
      </c>
      <c r="AU529" s="456">
        <v>6871.19</v>
      </c>
      <c r="AV529" s="456">
        <v>6844.13</v>
      </c>
      <c r="AW529" s="456"/>
      <c r="AX529" s="456"/>
      <c r="AY529" s="456"/>
      <c r="AZ529" s="456"/>
      <c r="BA529" s="456">
        <v>0.0</v>
      </c>
      <c r="BB529" s="456">
        <v>0.0</v>
      </c>
      <c r="BC529" s="456">
        <v>422353.32</v>
      </c>
      <c r="BD529" s="456" t="s">
        <v>377</v>
      </c>
      <c r="BE529" s="456" t="s">
        <v>377</v>
      </c>
      <c r="BF529" s="456">
        <v>0.0</v>
      </c>
      <c r="BG529" s="456">
        <v>0.0</v>
      </c>
      <c r="BH529" s="456">
        <v>0.0</v>
      </c>
      <c r="BI529" s="456">
        <v>0.0</v>
      </c>
      <c r="BJ529" s="456">
        <v>0.0</v>
      </c>
      <c r="BK529" s="456">
        <v>0.0</v>
      </c>
      <c r="BL529" s="456">
        <v>0.0</v>
      </c>
      <c r="BM529" s="456">
        <v>0.0</v>
      </c>
      <c r="BN529" s="456">
        <v>0.0</v>
      </c>
      <c r="BO529" s="456">
        <v>0.0</v>
      </c>
      <c r="BP529" s="456">
        <v>0.0</v>
      </c>
      <c r="BQ529" s="456">
        <v>0.0</v>
      </c>
      <c r="BR529" s="456">
        <v>0.0</v>
      </c>
      <c r="BS529" s="90" t="s">
        <v>268</v>
      </c>
      <c r="BT529" s="90"/>
    </row>
    <row r="530" ht="15.75" customHeight="1">
      <c r="A530" s="444" t="s">
        <v>98</v>
      </c>
      <c r="B530" s="445" t="s">
        <v>7870</v>
      </c>
      <c r="C530" s="862" t="s">
        <v>7871</v>
      </c>
      <c r="D530" s="490">
        <v>2129230.0</v>
      </c>
      <c r="E530" s="447" t="s">
        <v>120</v>
      </c>
      <c r="F530" s="448" t="s">
        <v>199</v>
      </c>
      <c r="G530" s="490" t="s">
        <v>1174</v>
      </c>
      <c r="H530" s="490" t="str">
        <f>IFERROR(VLOOKUP(G530,'Cadastro de assessores'!A:B,2,FALSE),"Não Cadastrado")</f>
        <v>18266</v>
      </c>
      <c r="I530" s="490"/>
      <c r="J530" s="49" t="s">
        <v>2318</v>
      </c>
      <c r="K530" s="446" t="s">
        <v>183</v>
      </c>
      <c r="L530" s="450">
        <v>44426.0</v>
      </c>
      <c r="M530" s="450">
        <v>44426.0</v>
      </c>
      <c r="N530" s="490"/>
      <c r="O530" s="490" t="s">
        <v>2372</v>
      </c>
      <c r="P530" s="519">
        <v>0.025</v>
      </c>
      <c r="Q530" s="863" t="s">
        <v>7873</v>
      </c>
      <c r="R530" s="453"/>
      <c r="S530" s="449" t="str">
        <f t="shared" si="56"/>
        <v>Qualificado</v>
      </c>
      <c r="T530" s="446" t="s">
        <v>194</v>
      </c>
      <c r="U530" s="446" t="s">
        <v>3820</v>
      </c>
      <c r="V530" s="446" t="s">
        <v>397</v>
      </c>
      <c r="W530" s="864"/>
      <c r="X530" s="864"/>
      <c r="Y530" s="864"/>
      <c r="Z530" s="864"/>
      <c r="AA530" s="864"/>
      <c r="AB530" s="864"/>
      <c r="AC530" s="864"/>
      <c r="AD530" s="864"/>
      <c r="AE530" s="864"/>
      <c r="AF530" s="864"/>
      <c r="AG530" s="864"/>
      <c r="AH530" s="864"/>
      <c r="AI530" s="735"/>
      <c r="AJ530" s="735"/>
      <c r="AK530" s="735"/>
      <c r="AL530" s="735"/>
      <c r="AM530" s="735"/>
      <c r="AN530" s="735"/>
      <c r="AO530" s="864"/>
      <c r="AP530" s="865"/>
      <c r="AQ530" s="735"/>
      <c r="AR530" s="864"/>
      <c r="AS530" s="864"/>
      <c r="AT530" s="865"/>
      <c r="AU530" s="865">
        <v>134528.81</v>
      </c>
      <c r="AV530" s="456">
        <v>198893.53</v>
      </c>
      <c r="AW530" s="456">
        <v>119773.82</v>
      </c>
      <c r="AX530" s="456">
        <v>121398.43</v>
      </c>
      <c r="AY530" s="456">
        <v>119016.53</v>
      </c>
      <c r="AZ530" s="456">
        <v>123907.74</v>
      </c>
      <c r="BA530" s="456">
        <v>120547.73</v>
      </c>
      <c r="BB530" s="456">
        <v>109095.33</v>
      </c>
      <c r="BC530" s="456">
        <v>1055335.81</v>
      </c>
      <c r="BD530" s="456">
        <v>152507.88</v>
      </c>
      <c r="BE530" s="456">
        <v>146803.0</v>
      </c>
      <c r="BF530" s="456">
        <v>151484.87</v>
      </c>
      <c r="BG530" s="456">
        <v>101785.788</v>
      </c>
      <c r="BH530" s="456">
        <v>99526.34</v>
      </c>
      <c r="BI530" s="456">
        <v>112878.01</v>
      </c>
      <c r="BJ530" s="456">
        <v>93280.32</v>
      </c>
      <c r="BK530" s="456">
        <v>92143.86</v>
      </c>
      <c r="BL530" s="456">
        <v>96864.89</v>
      </c>
      <c r="BM530" s="456">
        <v>91879.65</v>
      </c>
      <c r="BN530" s="456">
        <v>23305.23</v>
      </c>
      <c r="BO530" s="456">
        <v>8461.52</v>
      </c>
      <c r="BP530" s="456">
        <v>8211.43</v>
      </c>
      <c r="BQ530" s="456">
        <v>8080.14</v>
      </c>
      <c r="BR530" s="456">
        <v>8107.4</v>
      </c>
      <c r="BS530" s="90">
        <v>0.0</v>
      </c>
      <c r="BT530" s="90"/>
    </row>
    <row r="531" ht="15.75" customHeight="1">
      <c r="A531" s="444" t="s">
        <v>98</v>
      </c>
      <c r="B531" s="445" t="s">
        <v>7878</v>
      </c>
      <c r="C531" s="468" t="s">
        <v>7879</v>
      </c>
      <c r="D531" s="446">
        <v>417444.0</v>
      </c>
      <c r="E531" s="447" t="s">
        <v>120</v>
      </c>
      <c r="F531" s="447" t="s">
        <v>199</v>
      </c>
      <c r="G531" s="447" t="s">
        <v>1174</v>
      </c>
      <c r="H531" s="447" t="str">
        <f>IFERROR(VLOOKUP(G531,'Cadastro de assessores'!A:B,2,FALSE),"Não Cadastrado")</f>
        <v>18266</v>
      </c>
      <c r="I531" s="447"/>
      <c r="J531" s="74" t="s">
        <v>183</v>
      </c>
      <c r="K531" s="446" t="s">
        <v>183</v>
      </c>
      <c r="L531" s="450">
        <v>44329.0</v>
      </c>
      <c r="M531" s="450">
        <v>44344.0</v>
      </c>
      <c r="N531" s="446"/>
      <c r="O531" s="446" t="s">
        <v>2452</v>
      </c>
      <c r="P531" s="452">
        <v>0.008</v>
      </c>
      <c r="Q531" s="330"/>
      <c r="R531" s="453"/>
      <c r="S531" s="449" t="str">
        <f t="shared" si="56"/>
        <v>Não Qualificado</v>
      </c>
      <c r="T531" s="446" t="s">
        <v>194</v>
      </c>
      <c r="U531" s="446" t="s">
        <v>3820</v>
      </c>
      <c r="V531" s="446" t="s">
        <v>397</v>
      </c>
      <c r="W531" s="454"/>
      <c r="X531" s="454"/>
      <c r="Y531" s="454"/>
      <c r="Z531" s="454"/>
      <c r="AA531" s="454"/>
      <c r="AB531" s="454"/>
      <c r="AC531" s="454"/>
      <c r="AD531" s="454"/>
      <c r="AE531" s="454"/>
      <c r="AF531" s="454"/>
      <c r="AG531" s="454"/>
      <c r="AH531" s="454"/>
      <c r="AI531" s="454"/>
      <c r="AJ531" s="454"/>
      <c r="AK531" s="456"/>
      <c r="AL531" s="456"/>
      <c r="AM531" s="456"/>
      <c r="AN531" s="456"/>
      <c r="AO531" s="456"/>
      <c r="AP531" s="456"/>
      <c r="AQ531" s="454"/>
      <c r="AR531" s="481">
        <v>101286.77</v>
      </c>
      <c r="AS531" s="456">
        <v>120861.35</v>
      </c>
      <c r="AT531" s="456">
        <v>123291.09</v>
      </c>
      <c r="AU531" s="456">
        <v>133665.0</v>
      </c>
      <c r="AV531" s="456">
        <v>142197.48</v>
      </c>
      <c r="AW531" s="456">
        <v>140750.92</v>
      </c>
      <c r="AX531" s="456">
        <v>143397.42</v>
      </c>
      <c r="AY531" s="456">
        <v>156253.26</v>
      </c>
      <c r="AZ531" s="456">
        <v>156760.21</v>
      </c>
      <c r="BA531" s="456">
        <v>159689.33</v>
      </c>
      <c r="BB531" s="456">
        <v>171346.45</v>
      </c>
      <c r="BC531" s="456">
        <v>703075.17</v>
      </c>
      <c r="BD531" s="456">
        <v>177887.63</v>
      </c>
      <c r="BE531" s="456">
        <v>178045.5</v>
      </c>
      <c r="BF531" s="456">
        <v>179910.69</v>
      </c>
      <c r="BG531" s="456">
        <v>184557.44</v>
      </c>
      <c r="BH531" s="456">
        <v>188433.4</v>
      </c>
      <c r="BI531" s="456">
        <v>190218.57</v>
      </c>
      <c r="BJ531" s="456">
        <v>184808.47</v>
      </c>
      <c r="BK531" s="456">
        <v>189192.82</v>
      </c>
      <c r="BL531" s="456">
        <v>190358.55</v>
      </c>
      <c r="BM531" s="456">
        <v>188656.56</v>
      </c>
      <c r="BN531" s="456">
        <v>186045.7</v>
      </c>
      <c r="BO531" s="456">
        <v>190867.7</v>
      </c>
      <c r="BP531" s="456">
        <v>197849.72</v>
      </c>
      <c r="BQ531" s="456">
        <v>205877.89</v>
      </c>
      <c r="BR531" s="456">
        <v>211801.14</v>
      </c>
      <c r="BS531" s="90">
        <v>0.0</v>
      </c>
      <c r="BT531" s="90"/>
    </row>
    <row r="532" ht="15.75" customHeight="1">
      <c r="A532" s="444" t="s">
        <v>98</v>
      </c>
      <c r="B532" s="445" t="s">
        <v>7887</v>
      </c>
      <c r="C532" s="468" t="s">
        <v>7761</v>
      </c>
      <c r="D532" s="446">
        <v>4841689.0</v>
      </c>
      <c r="E532" s="447" t="s">
        <v>120</v>
      </c>
      <c r="F532" s="448" t="s">
        <v>54</v>
      </c>
      <c r="G532" s="447" t="s">
        <v>379</v>
      </c>
      <c r="H532" s="447" t="str">
        <f>IFERROR(VLOOKUP(G532,'Cadastro de assessores'!A:B,2,FALSE),"Não Cadastrado")</f>
        <v>18009</v>
      </c>
      <c r="I532" s="447"/>
      <c r="J532" s="49" t="s">
        <v>224</v>
      </c>
      <c r="K532" s="552" t="s">
        <v>183</v>
      </c>
      <c r="L532" s="450">
        <v>44256.0</v>
      </c>
      <c r="M532" s="450">
        <v>44256.0</v>
      </c>
      <c r="N532" s="446"/>
      <c r="O532" s="446" t="s">
        <v>2319</v>
      </c>
      <c r="P532" s="452">
        <v>0.02</v>
      </c>
      <c r="Q532" s="461" t="s">
        <v>7889</v>
      </c>
      <c r="R532" s="453"/>
      <c r="S532" s="449" t="str">
        <f t="shared" si="56"/>
        <v/>
      </c>
      <c r="T532" s="449" t="s">
        <v>194</v>
      </c>
      <c r="U532" s="449" t="s">
        <v>2475</v>
      </c>
      <c r="V532" s="449" t="s">
        <v>618</v>
      </c>
      <c r="W532" s="455"/>
      <c r="X532" s="455"/>
      <c r="Y532" s="455"/>
      <c r="Z532" s="455"/>
      <c r="AA532" s="455"/>
      <c r="AB532" s="455"/>
      <c r="AC532" s="455"/>
      <c r="AD532" s="455"/>
      <c r="AE532" s="455"/>
      <c r="AF532" s="455"/>
      <c r="AG532" s="455"/>
      <c r="AH532" s="455"/>
      <c r="AI532" s="455"/>
      <c r="AJ532" s="455"/>
      <c r="AK532" s="456"/>
      <c r="AL532" s="456"/>
      <c r="AM532" s="456" t="s">
        <v>3320</v>
      </c>
      <c r="AN532" s="456">
        <v>98520.49</v>
      </c>
      <c r="AO532" s="456">
        <v>102245.42</v>
      </c>
      <c r="AP532" s="456">
        <v>102856.28</v>
      </c>
      <c r="AQ532" s="456">
        <v>102362.02</v>
      </c>
      <c r="AR532" s="456">
        <v>105209.82</v>
      </c>
      <c r="AS532" s="456">
        <v>103933.12</v>
      </c>
      <c r="AT532" s="456">
        <v>101197.78</v>
      </c>
      <c r="AU532" s="456">
        <v>100528.71</v>
      </c>
      <c r="AV532" s="456">
        <v>99201.68</v>
      </c>
      <c r="AW532" s="456">
        <v>93051.42</v>
      </c>
      <c r="AX532" s="456">
        <v>92501.96</v>
      </c>
      <c r="AY532" s="456">
        <v>93795.48</v>
      </c>
      <c r="AZ532" s="456">
        <v>97153.84</v>
      </c>
      <c r="BA532" s="456">
        <v>98309.34</v>
      </c>
      <c r="BB532" s="456">
        <v>5107.71</v>
      </c>
      <c r="BC532" s="456"/>
      <c r="BD532" s="456">
        <v>6705.53</v>
      </c>
      <c r="BE532" s="456">
        <v>6758.51</v>
      </c>
      <c r="BF532" s="456">
        <v>6750.97</v>
      </c>
      <c r="BG532" s="456">
        <v>6877.16</v>
      </c>
      <c r="BH532" s="456">
        <v>6936.19</v>
      </c>
      <c r="BI532" s="456">
        <v>7006.14</v>
      </c>
      <c r="BJ532" s="456">
        <v>7079.91</v>
      </c>
      <c r="BK532" s="456">
        <v>7076.04</v>
      </c>
      <c r="BL532" s="456">
        <v>7226.76</v>
      </c>
      <c r="BM532" s="456">
        <v>7344.51</v>
      </c>
      <c r="BN532" s="456">
        <v>7356.03</v>
      </c>
      <c r="BO532" s="456">
        <v>7464.94</v>
      </c>
      <c r="BP532" s="456">
        <v>7541.08</v>
      </c>
      <c r="BQ532" s="456">
        <v>7660.94</v>
      </c>
      <c r="BR532" s="456">
        <v>7746.42</v>
      </c>
      <c r="BS532" s="90" t="s">
        <v>268</v>
      </c>
      <c r="BT532" s="90"/>
    </row>
    <row r="533" ht="15.75" customHeight="1">
      <c r="A533" s="444" t="s">
        <v>98</v>
      </c>
      <c r="B533" s="445" t="s">
        <v>7892</v>
      </c>
      <c r="C533" s="468" t="s">
        <v>7893</v>
      </c>
      <c r="D533" s="469">
        <v>4145752.0</v>
      </c>
      <c r="E533" s="447" t="s">
        <v>120</v>
      </c>
      <c r="F533" s="447" t="s">
        <v>54</v>
      </c>
      <c r="G533" s="447" t="s">
        <v>348</v>
      </c>
      <c r="H533" s="490">
        <f>IFERROR(VLOOKUP(G533,'Cadastro de assessores'!A:B,2,FALSE),"Não Cadastrado")</f>
        <v>12331</v>
      </c>
      <c r="I533" s="490"/>
      <c r="J533" s="49" t="s">
        <v>2318</v>
      </c>
      <c r="K533" s="446" t="s">
        <v>183</v>
      </c>
      <c r="L533" s="470">
        <v>44651.0</v>
      </c>
      <c r="M533" s="470">
        <v>44655.0</v>
      </c>
      <c r="N533" s="490"/>
      <c r="O533" s="490" t="s">
        <v>2356</v>
      </c>
      <c r="P533" s="519">
        <v>0.007</v>
      </c>
      <c r="Q533" s="863"/>
      <c r="R533" s="453"/>
      <c r="S533" s="449" t="str">
        <f t="shared" si="56"/>
        <v/>
      </c>
      <c r="T533" s="449" t="s">
        <v>194</v>
      </c>
      <c r="U533" s="449" t="s">
        <v>2438</v>
      </c>
      <c r="V533" s="449" t="s">
        <v>54</v>
      </c>
      <c r="W533" s="864"/>
      <c r="X533" s="864"/>
      <c r="Y533" s="864"/>
      <c r="Z533" s="864"/>
      <c r="AA533" s="864"/>
      <c r="AB533" s="864"/>
      <c r="AC533" s="864"/>
      <c r="AD533" s="864"/>
      <c r="AE533" s="864"/>
      <c r="AF533" s="864"/>
      <c r="AG533" s="864"/>
      <c r="AH533" s="864"/>
      <c r="AI533" s="735"/>
      <c r="AJ533" s="735"/>
      <c r="AK533" s="735"/>
      <c r="AL533" s="735"/>
      <c r="AM533" s="735"/>
      <c r="AN533" s="735"/>
      <c r="AO533" s="864"/>
      <c r="AP533" s="865"/>
      <c r="AQ533" s="735"/>
      <c r="AR533" s="864"/>
      <c r="AS533" s="864"/>
      <c r="AT533" s="865"/>
      <c r="AU533" s="865"/>
      <c r="AV533" s="456"/>
      <c r="AW533" s="456"/>
      <c r="AX533" s="456"/>
      <c r="AY533" s="456"/>
      <c r="AZ533" s="456"/>
      <c r="BA533" s="456"/>
      <c r="BB533" s="456">
        <v>0.0</v>
      </c>
      <c r="BC533" s="456"/>
      <c r="BD533" s="456">
        <v>323684.66</v>
      </c>
      <c r="BE533" s="456">
        <v>326099.2</v>
      </c>
      <c r="BF533" s="456">
        <v>327213.08</v>
      </c>
      <c r="BG533" s="456">
        <v>331454.6887</v>
      </c>
      <c r="BH533" s="456">
        <v>333841.24</v>
      </c>
      <c r="BI533" s="456">
        <v>384871.04</v>
      </c>
      <c r="BJ533" s="456">
        <v>385131.47</v>
      </c>
      <c r="BK533" s="456">
        <v>363562.71</v>
      </c>
      <c r="BL533" s="456">
        <v>368254.67</v>
      </c>
      <c r="BM533" s="456">
        <v>0.89</v>
      </c>
      <c r="BN533" s="456">
        <v>0.89</v>
      </c>
      <c r="BO533" s="456">
        <v>0.89</v>
      </c>
      <c r="BP533" s="456">
        <v>0.89</v>
      </c>
      <c r="BQ533" s="456">
        <v>0.89</v>
      </c>
      <c r="BR533" s="456">
        <v>0.89</v>
      </c>
      <c r="BS533" s="90" t="s">
        <v>268</v>
      </c>
      <c r="BT533" s="90"/>
    </row>
    <row r="534" ht="15.75" customHeight="1">
      <c r="A534" s="444" t="s">
        <v>98</v>
      </c>
      <c r="B534" s="445" t="s">
        <v>7897</v>
      </c>
      <c r="C534" s="468" t="s">
        <v>7898</v>
      </c>
      <c r="D534" s="469">
        <v>2897612.0</v>
      </c>
      <c r="E534" s="447" t="s">
        <v>120</v>
      </c>
      <c r="F534" s="447" t="s">
        <v>7899</v>
      </c>
      <c r="G534" s="447" t="s">
        <v>348</v>
      </c>
      <c r="H534" s="490">
        <f>IFERROR(VLOOKUP(G534,'Cadastro de assessores'!A:B,2,FALSE),"Não Cadastrado")</f>
        <v>12331</v>
      </c>
      <c r="I534" s="490"/>
      <c r="J534" s="74" t="s">
        <v>183</v>
      </c>
      <c r="K534" s="446" t="s">
        <v>183</v>
      </c>
      <c r="L534" s="470">
        <v>44812.0</v>
      </c>
      <c r="M534" s="470">
        <v>44812.0</v>
      </c>
      <c r="N534" s="490"/>
      <c r="O534" s="490" t="s">
        <v>2365</v>
      </c>
      <c r="P534" s="519">
        <v>0.012</v>
      </c>
      <c r="Q534" s="863" t="s">
        <v>5525</v>
      </c>
      <c r="R534" s="453"/>
      <c r="S534" s="449"/>
      <c r="T534" s="449"/>
      <c r="U534" s="449"/>
      <c r="V534" s="449" t="s">
        <v>618</v>
      </c>
      <c r="W534" s="864"/>
      <c r="X534" s="864"/>
      <c r="Y534" s="864"/>
      <c r="Z534" s="864"/>
      <c r="AA534" s="864"/>
      <c r="AB534" s="864"/>
      <c r="AC534" s="864"/>
      <c r="AD534" s="864"/>
      <c r="AE534" s="864"/>
      <c r="AF534" s="864"/>
      <c r="AG534" s="864"/>
      <c r="AH534" s="864"/>
      <c r="AI534" s="735"/>
      <c r="AJ534" s="735"/>
      <c r="AK534" s="735"/>
      <c r="AL534" s="735"/>
      <c r="AM534" s="735"/>
      <c r="AN534" s="735"/>
      <c r="AO534" s="864"/>
      <c r="AP534" s="865"/>
      <c r="AQ534" s="735"/>
      <c r="AR534" s="864"/>
      <c r="AS534" s="864"/>
      <c r="AT534" s="865"/>
      <c r="AU534" s="865"/>
      <c r="AV534" s="456"/>
      <c r="AW534" s="456"/>
      <c r="AX534" s="456"/>
      <c r="AY534" s="456"/>
      <c r="AZ534" s="456"/>
      <c r="BA534" s="456"/>
      <c r="BB534" s="456"/>
      <c r="BC534" s="456"/>
      <c r="BD534" s="456"/>
      <c r="BE534" s="456"/>
      <c r="BF534" s="456"/>
      <c r="BG534" s="456">
        <v>0.0</v>
      </c>
      <c r="BH534" s="456">
        <v>692969.64</v>
      </c>
      <c r="BI534" s="456">
        <v>712888.94</v>
      </c>
      <c r="BJ534" s="456">
        <v>713659.09</v>
      </c>
      <c r="BK534" s="456">
        <v>717071.47</v>
      </c>
      <c r="BL534" s="456">
        <v>215472.77</v>
      </c>
      <c r="BM534" s="456">
        <v>43098.8</v>
      </c>
      <c r="BN534" s="456">
        <v>42754.26</v>
      </c>
      <c r="BO534" s="456">
        <v>44059.59</v>
      </c>
      <c r="BP534" s="456">
        <v>24119.52</v>
      </c>
      <c r="BQ534" s="456">
        <v>17834.17</v>
      </c>
      <c r="BR534" s="456">
        <v>12551.82</v>
      </c>
      <c r="BS534" s="90">
        <v>966.74</v>
      </c>
      <c r="BT534" s="90"/>
    </row>
    <row r="535" ht="15.75" customHeight="1">
      <c r="A535" s="444" t="s">
        <v>98</v>
      </c>
      <c r="B535" s="445" t="s">
        <v>7903</v>
      </c>
      <c r="C535" s="458" t="s">
        <v>6857</v>
      </c>
      <c r="D535" s="449">
        <v>4424587.0</v>
      </c>
      <c r="E535" s="449" t="s">
        <v>120</v>
      </c>
      <c r="F535" s="449" t="s">
        <v>199</v>
      </c>
      <c r="G535" s="449" t="s">
        <v>2339</v>
      </c>
      <c r="H535" s="449" t="str">
        <f>IFERROR(VLOOKUP(G535,'Cadastro de assessores'!A:B,2,FALSE),"Não Cadastrado")</f>
        <v>17679</v>
      </c>
      <c r="I535" s="449"/>
      <c r="J535" s="49" t="s">
        <v>224</v>
      </c>
      <c r="K535" s="449" t="s">
        <v>2340</v>
      </c>
      <c r="L535" s="460">
        <v>44088.0</v>
      </c>
      <c r="M535" s="460">
        <v>44088.0</v>
      </c>
      <c r="N535" s="460">
        <v>44460.0</v>
      </c>
      <c r="O535" s="449" t="s">
        <v>2372</v>
      </c>
      <c r="P535" s="452">
        <v>0.025</v>
      </c>
      <c r="Q535" s="461" t="s">
        <v>7904</v>
      </c>
      <c r="R535" s="453"/>
      <c r="S535" s="449" t="str">
        <f t="shared" ref="S535:S539" si="57">IF(BC535&lt;=0,"",IF(BC535&lt;=1000000,"Não Qualificado",IF(AND(BC535&gt;1000000,BC535&lt;=10000000),"Qualificado","Profissional")))</f>
        <v>Não Qualificado</v>
      </c>
      <c r="T535" s="449" t="s">
        <v>194</v>
      </c>
      <c r="U535" s="449" t="s">
        <v>3383</v>
      </c>
      <c r="V535" s="449" t="s">
        <v>199</v>
      </c>
      <c r="W535" s="455" t="s">
        <v>2344</v>
      </c>
      <c r="X535" s="455" t="s">
        <v>2344</v>
      </c>
      <c r="Y535" s="455" t="s">
        <v>2344</v>
      </c>
      <c r="Z535" s="455" t="s">
        <v>2344</v>
      </c>
      <c r="AA535" s="455" t="s">
        <v>2344</v>
      </c>
      <c r="AB535" s="455" t="s">
        <v>2344</v>
      </c>
      <c r="AC535" s="455" t="s">
        <v>2344</v>
      </c>
      <c r="AD535" s="455" t="s">
        <v>2344</v>
      </c>
      <c r="AE535" s="455" t="s">
        <v>2344</v>
      </c>
      <c r="AF535" s="455" t="s">
        <v>2344</v>
      </c>
      <c r="AG535" s="455" t="s">
        <v>2344</v>
      </c>
      <c r="AH535" s="455" t="s">
        <v>7907</v>
      </c>
      <c r="AI535" s="455" t="s">
        <v>7908</v>
      </c>
      <c r="AJ535" s="455" t="s">
        <v>7909</v>
      </c>
      <c r="AK535" s="456">
        <v>94017.14</v>
      </c>
      <c r="AL535" s="456"/>
      <c r="AM535" s="456">
        <v>93118.47</v>
      </c>
      <c r="AN535" s="456">
        <v>87122.92</v>
      </c>
      <c r="AO535" s="456">
        <v>92685.69</v>
      </c>
      <c r="AP535" s="456">
        <v>93971.81</v>
      </c>
      <c r="AQ535" s="456">
        <v>93032.21</v>
      </c>
      <c r="AR535" s="456">
        <v>98248.58</v>
      </c>
      <c r="AS535" s="456">
        <v>94513.29</v>
      </c>
      <c r="AT535" s="456">
        <v>89797.53</v>
      </c>
      <c r="AU535" s="456">
        <v>87981.78</v>
      </c>
      <c r="AV535" s="456"/>
      <c r="AW535" s="456"/>
      <c r="AX535" s="456"/>
      <c r="AY535" s="456"/>
      <c r="AZ535" s="456">
        <v>0.0</v>
      </c>
      <c r="BA535" s="456">
        <v>0.0</v>
      </c>
      <c r="BB535" s="456">
        <v>0.0</v>
      </c>
      <c r="BC535" s="456">
        <v>142736.17</v>
      </c>
      <c r="BD535" s="456" t="s">
        <v>377</v>
      </c>
      <c r="BE535" s="456" t="s">
        <v>377</v>
      </c>
      <c r="BF535" s="456">
        <v>0.0</v>
      </c>
      <c r="BG535" s="456">
        <v>0.0</v>
      </c>
      <c r="BH535" s="456">
        <v>0.0</v>
      </c>
      <c r="BI535" s="456">
        <v>0.0</v>
      </c>
      <c r="BJ535" s="456">
        <v>0.0</v>
      </c>
      <c r="BK535" s="456">
        <v>0.0</v>
      </c>
      <c r="BL535" s="456">
        <v>0.0</v>
      </c>
      <c r="BM535" s="456">
        <v>0.0</v>
      </c>
      <c r="BN535" s="456">
        <v>0.0</v>
      </c>
      <c r="BO535" s="456">
        <v>0.0</v>
      </c>
      <c r="BP535" s="456">
        <v>0.0</v>
      </c>
      <c r="BQ535" s="456">
        <v>0.0</v>
      </c>
      <c r="BR535" s="456">
        <v>0.0</v>
      </c>
      <c r="BS535" s="90" t="s">
        <v>268</v>
      </c>
      <c r="BT535" s="90"/>
    </row>
    <row r="536" ht="15.75" customHeight="1">
      <c r="A536" s="444" t="s">
        <v>98</v>
      </c>
      <c r="B536" s="445" t="s">
        <v>7912</v>
      </c>
      <c r="C536" s="458" t="s">
        <v>6404</v>
      </c>
      <c r="D536" s="449">
        <v>480283.0</v>
      </c>
      <c r="E536" s="449" t="s">
        <v>120</v>
      </c>
      <c r="F536" s="449" t="s">
        <v>199</v>
      </c>
      <c r="G536" s="449" t="s">
        <v>4744</v>
      </c>
      <c r="H536" s="449" t="str">
        <f>IFERROR(VLOOKUP(G536,'Cadastro de assessores'!A:B,2,FALSE),"Não Cadastrado")</f>
        <v>12846</v>
      </c>
      <c r="I536" s="449"/>
      <c r="J536" s="49" t="s">
        <v>224</v>
      </c>
      <c r="K536" s="449" t="s">
        <v>2340</v>
      </c>
      <c r="L536" s="460">
        <v>44166.0</v>
      </c>
      <c r="M536" s="460">
        <v>44166.0</v>
      </c>
      <c r="N536" s="460">
        <v>44378.0</v>
      </c>
      <c r="O536" s="449" t="s">
        <v>2341</v>
      </c>
      <c r="P536" s="452">
        <v>0.012</v>
      </c>
      <c r="Q536" s="461" t="s">
        <v>4807</v>
      </c>
      <c r="R536" s="453"/>
      <c r="S536" s="449" t="str">
        <f t="shared" si="57"/>
        <v/>
      </c>
      <c r="T536" s="449" t="s">
        <v>194</v>
      </c>
      <c r="U536" s="449" t="s">
        <v>2417</v>
      </c>
      <c r="V536" s="449" t="s">
        <v>199</v>
      </c>
      <c r="W536" s="455" t="s">
        <v>2344</v>
      </c>
      <c r="X536" s="455" t="s">
        <v>2344</v>
      </c>
      <c r="Y536" s="455" t="s">
        <v>2344</v>
      </c>
      <c r="Z536" s="455" t="s">
        <v>2344</v>
      </c>
      <c r="AA536" s="455" t="s">
        <v>2344</v>
      </c>
      <c r="AB536" s="455" t="s">
        <v>2344</v>
      </c>
      <c r="AC536" s="455" t="s">
        <v>2344</v>
      </c>
      <c r="AD536" s="455" t="s">
        <v>2344</v>
      </c>
      <c r="AE536" s="455" t="s">
        <v>2344</v>
      </c>
      <c r="AF536" s="455" t="s">
        <v>2344</v>
      </c>
      <c r="AG536" s="455" t="s">
        <v>2344</v>
      </c>
      <c r="AH536" s="455" t="s">
        <v>2344</v>
      </c>
      <c r="AI536" s="455" t="s">
        <v>2344</v>
      </c>
      <c r="AJ536" s="455" t="s">
        <v>2344</v>
      </c>
      <c r="AK536" s="456">
        <v>4455935.39</v>
      </c>
      <c r="AL536" s="456">
        <v>4556984.84</v>
      </c>
      <c r="AM536" s="456">
        <v>4456531.78</v>
      </c>
      <c r="AN536" s="456">
        <v>4435869.12</v>
      </c>
      <c r="AO536" s="456">
        <v>4402941.0</v>
      </c>
      <c r="AP536" s="456">
        <v>4430539.23</v>
      </c>
      <c r="AQ536" s="456">
        <v>4427621.86</v>
      </c>
      <c r="AR536" s="456">
        <v>4504912.2</v>
      </c>
      <c r="AS536" s="456">
        <v>4542973.27</v>
      </c>
      <c r="AT536" s="456"/>
      <c r="AU536" s="456"/>
      <c r="AV536" s="456"/>
      <c r="AW536" s="456"/>
      <c r="AX536" s="456"/>
      <c r="AY536" s="456"/>
      <c r="AZ536" s="456">
        <v>0.0</v>
      </c>
      <c r="BA536" s="456">
        <v>0.0</v>
      </c>
      <c r="BB536" s="456">
        <v>0.0</v>
      </c>
      <c r="BC536" s="456"/>
      <c r="BD536" s="456" t="s">
        <v>377</v>
      </c>
      <c r="BE536" s="456" t="s">
        <v>377</v>
      </c>
      <c r="BF536" s="456">
        <v>0.0</v>
      </c>
      <c r="BG536" s="456">
        <v>0.0</v>
      </c>
      <c r="BH536" s="456">
        <v>0.0</v>
      </c>
      <c r="BI536" s="456">
        <v>0.0</v>
      </c>
      <c r="BJ536" s="456">
        <v>0.0</v>
      </c>
      <c r="BK536" s="456">
        <v>0.0</v>
      </c>
      <c r="BL536" s="456">
        <v>0.0</v>
      </c>
      <c r="BM536" s="456">
        <v>0.0</v>
      </c>
      <c r="BN536" s="456">
        <v>0.0</v>
      </c>
      <c r="BO536" s="456">
        <v>0.0</v>
      </c>
      <c r="BP536" s="456">
        <v>0.0</v>
      </c>
      <c r="BQ536" s="456">
        <v>0.0</v>
      </c>
      <c r="BR536" s="456">
        <v>0.0</v>
      </c>
      <c r="BS536" s="90" t="s">
        <v>268</v>
      </c>
      <c r="BT536" s="90"/>
    </row>
    <row r="537" ht="15.75" customHeight="1">
      <c r="A537" s="444" t="s">
        <v>98</v>
      </c>
      <c r="B537" s="445" t="s">
        <v>7915</v>
      </c>
      <c r="C537" s="458" t="s">
        <v>4489</v>
      </c>
      <c r="D537" s="449">
        <v>2049496.0</v>
      </c>
      <c r="E537" s="447" t="s">
        <v>669</v>
      </c>
      <c r="F537" s="447" t="s">
        <v>199</v>
      </c>
      <c r="G537" s="447" t="s">
        <v>669</v>
      </c>
      <c r="H537" s="447" t="str">
        <f>IFERROR(VLOOKUP(G537,'Cadastro de assessores'!A:B,2,FALSE),"Não Cadastrado")</f>
        <v>18986</v>
      </c>
      <c r="I537" s="447"/>
      <c r="J537" s="74" t="s">
        <v>183</v>
      </c>
      <c r="K537" s="447" t="s">
        <v>183</v>
      </c>
      <c r="L537" s="450">
        <v>43655.0</v>
      </c>
      <c r="M537" s="450">
        <v>43696.0</v>
      </c>
      <c r="N537" s="449"/>
      <c r="O537" s="449" t="s">
        <v>4383</v>
      </c>
      <c r="P537" s="519">
        <v>0.01</v>
      </c>
      <c r="Q537" s="610"/>
      <c r="R537" s="453"/>
      <c r="S537" s="449" t="str">
        <f t="shared" si="57"/>
        <v>Não Qualificado</v>
      </c>
      <c r="T537" s="449" t="s">
        <v>194</v>
      </c>
      <c r="U537" s="449" t="s">
        <v>3383</v>
      </c>
      <c r="V537" s="449" t="s">
        <v>199</v>
      </c>
      <c r="W537" s="455" t="s">
        <v>7918</v>
      </c>
      <c r="X537" s="455"/>
      <c r="Y537" s="455" t="s">
        <v>7919</v>
      </c>
      <c r="Z537" s="455" t="s">
        <v>7920</v>
      </c>
      <c r="AA537" s="455" t="s">
        <v>7921</v>
      </c>
      <c r="AB537" s="455" t="s">
        <v>7922</v>
      </c>
      <c r="AC537" s="455" t="s">
        <v>7923</v>
      </c>
      <c r="AD537" s="455" t="s">
        <v>7924</v>
      </c>
      <c r="AE537" s="455" t="s">
        <v>7925</v>
      </c>
      <c r="AF537" s="455" t="s">
        <v>7926</v>
      </c>
      <c r="AG537" s="455" t="s">
        <v>7927</v>
      </c>
      <c r="AH537" s="455" t="s">
        <v>7928</v>
      </c>
      <c r="AI537" s="455" t="s">
        <v>7929</v>
      </c>
      <c r="AJ537" s="455" t="s">
        <v>7930</v>
      </c>
      <c r="AK537" s="456">
        <v>106356.57</v>
      </c>
      <c r="AL537" s="456">
        <v>105522.04</v>
      </c>
      <c r="AM537" s="456">
        <v>103853.57</v>
      </c>
      <c r="AN537" s="456">
        <v>104091.7</v>
      </c>
      <c r="AO537" s="456">
        <v>104781.2</v>
      </c>
      <c r="AP537" s="456">
        <v>105326.44</v>
      </c>
      <c r="AQ537" s="456">
        <v>105186.99</v>
      </c>
      <c r="AR537" s="456">
        <v>106277.67</v>
      </c>
      <c r="AS537" s="456">
        <v>106122.31</v>
      </c>
      <c r="AT537" s="456">
        <v>105551.35</v>
      </c>
      <c r="AU537" s="456">
        <v>105376.45</v>
      </c>
      <c r="AV537" s="456">
        <v>104763.51</v>
      </c>
      <c r="AW537" s="456">
        <v>101529.71</v>
      </c>
      <c r="AX537" s="456">
        <v>101923.09</v>
      </c>
      <c r="AY537" s="456">
        <v>102971.39</v>
      </c>
      <c r="AZ537" s="456">
        <v>108585.01</v>
      </c>
      <c r="BA537" s="456">
        <v>104652.5</v>
      </c>
      <c r="BB537" s="456">
        <v>112681.41</v>
      </c>
      <c r="BC537" s="456">
        <v>102637.97</v>
      </c>
      <c r="BD537" s="456">
        <v>112593.37</v>
      </c>
      <c r="BE537" s="456">
        <v>106867.45</v>
      </c>
      <c r="BF537" s="456">
        <v>113978.48</v>
      </c>
      <c r="BG537" s="456">
        <v>119049.1395</v>
      </c>
      <c r="BH537" s="456">
        <v>119451.17</v>
      </c>
      <c r="BI537" s="456">
        <v>122635.49</v>
      </c>
      <c r="BJ537" s="456">
        <v>135114.7</v>
      </c>
      <c r="BK537" s="456">
        <v>161173.91</v>
      </c>
      <c r="BL537" s="456">
        <v>173276.78</v>
      </c>
      <c r="BM537" s="456">
        <v>174714.3</v>
      </c>
      <c r="BN537" s="456">
        <v>176487.12</v>
      </c>
      <c r="BO537" s="456">
        <v>177723.83</v>
      </c>
      <c r="BP537" s="456">
        <v>179785.82</v>
      </c>
      <c r="BQ537" s="456">
        <v>181368.3</v>
      </c>
      <c r="BR537" s="456">
        <v>201144.74</v>
      </c>
      <c r="BS537" s="90">
        <v>40645.41</v>
      </c>
      <c r="BT537" s="90"/>
    </row>
    <row r="538" ht="15.75" customHeight="1">
      <c r="A538" s="444" t="s">
        <v>98</v>
      </c>
      <c r="B538" s="445" t="s">
        <v>7934</v>
      </c>
      <c r="C538" s="506" t="s">
        <v>7935</v>
      </c>
      <c r="D538" s="490">
        <v>7086435.0</v>
      </c>
      <c r="E538" s="447" t="s">
        <v>120</v>
      </c>
      <c r="F538" s="447" t="s">
        <v>199</v>
      </c>
      <c r="G538" s="447" t="s">
        <v>4715</v>
      </c>
      <c r="H538" s="447">
        <f>IFERROR(VLOOKUP(G538,'Cadastro de assessores'!A:B,2,FALSE),"Não Cadastrado")</f>
        <v>12342</v>
      </c>
      <c r="I538" s="447"/>
      <c r="J538" s="49" t="s">
        <v>224</v>
      </c>
      <c r="K538" s="447" t="s">
        <v>183</v>
      </c>
      <c r="L538" s="451">
        <v>44510.0</v>
      </c>
      <c r="M538" s="451">
        <v>44517.0</v>
      </c>
      <c r="N538" s="446"/>
      <c r="O538" s="446" t="s">
        <v>2341</v>
      </c>
      <c r="P538" s="452">
        <v>0.015</v>
      </c>
      <c r="Q538" s="207" t="s">
        <v>7940</v>
      </c>
      <c r="R538" s="453"/>
      <c r="S538" s="449" t="str">
        <f t="shared" si="57"/>
        <v/>
      </c>
      <c r="T538" s="446" t="s">
        <v>194</v>
      </c>
      <c r="U538" s="446" t="s">
        <v>3281</v>
      </c>
      <c r="V538" s="446" t="s">
        <v>199</v>
      </c>
      <c r="W538" s="454"/>
      <c r="X538" s="454"/>
      <c r="Y538" s="454"/>
      <c r="Z538" s="454"/>
      <c r="AA538" s="454"/>
      <c r="AB538" s="454"/>
      <c r="AC538" s="454"/>
      <c r="AD538" s="454"/>
      <c r="AE538" s="454"/>
      <c r="AF538" s="454"/>
      <c r="AG538" s="455"/>
      <c r="AH538" s="455"/>
      <c r="AI538" s="456"/>
      <c r="AJ538" s="456"/>
      <c r="AK538" s="456"/>
      <c r="AL538" s="456"/>
      <c r="AM538" s="456"/>
      <c r="AN538" s="456"/>
      <c r="AO538" s="456"/>
      <c r="AP538" s="456"/>
      <c r="AQ538" s="456"/>
      <c r="AR538" s="456"/>
      <c r="AS538" s="456"/>
      <c r="AT538" s="454"/>
      <c r="AU538" s="456"/>
      <c r="AV538" s="456"/>
      <c r="AW538" s="454"/>
      <c r="AX538" s="481"/>
      <c r="AY538" s="481"/>
      <c r="AZ538" s="456">
        <v>104191.6</v>
      </c>
      <c r="BA538" s="456">
        <v>104886.29</v>
      </c>
      <c r="BB538" s="456">
        <v>108029.37</v>
      </c>
      <c r="BC538" s="456"/>
      <c r="BD538" s="456">
        <v>106041.28</v>
      </c>
      <c r="BE538" s="456">
        <v>105588.2</v>
      </c>
      <c r="BF538" s="456">
        <v>107346.33</v>
      </c>
      <c r="BG538" s="456">
        <v>107944.2953</v>
      </c>
      <c r="BH538" s="456">
        <v>108189.27</v>
      </c>
      <c r="BI538" s="456">
        <v>112040.05</v>
      </c>
      <c r="BJ538" s="456">
        <v>111040.33</v>
      </c>
      <c r="BK538" s="456">
        <v>111749.06</v>
      </c>
      <c r="BL538" s="456">
        <v>123178.68</v>
      </c>
      <c r="BM538" s="456">
        <v>124069.89</v>
      </c>
      <c r="BN538" s="456">
        <v>124879.44</v>
      </c>
      <c r="BO538" s="456">
        <v>126099.0</v>
      </c>
      <c r="BP538" s="456">
        <v>127549.93</v>
      </c>
      <c r="BQ538" s="456">
        <v>128760.01</v>
      </c>
      <c r="BR538" s="456">
        <v>129512.75</v>
      </c>
      <c r="BS538" s="90" t="s">
        <v>268</v>
      </c>
      <c r="BT538" s="90"/>
    </row>
    <row r="539" ht="15.75" customHeight="1">
      <c r="A539" s="444" t="s">
        <v>98</v>
      </c>
      <c r="B539" s="445" t="s">
        <v>7942</v>
      </c>
      <c r="C539" s="468" t="s">
        <v>7751</v>
      </c>
      <c r="D539" s="448">
        <v>226343.0</v>
      </c>
      <c r="E539" s="447" t="s">
        <v>120</v>
      </c>
      <c r="F539" s="448" t="s">
        <v>54</v>
      </c>
      <c r="G539" s="447" t="s">
        <v>4057</v>
      </c>
      <c r="H539" s="447" t="str">
        <f>IFERROR(VLOOKUP(G539,'Cadastro de assessores'!A:B,2,FALSE),"Não Cadastrado")</f>
        <v>14294</v>
      </c>
      <c r="I539" s="447"/>
      <c r="J539" s="49" t="s">
        <v>2318</v>
      </c>
      <c r="K539" s="552" t="s">
        <v>183</v>
      </c>
      <c r="L539" s="450">
        <v>44452.0</v>
      </c>
      <c r="M539" s="450">
        <v>44469.0</v>
      </c>
      <c r="N539" s="446"/>
      <c r="O539" s="446" t="s">
        <v>2319</v>
      </c>
      <c r="P539" s="452">
        <v>0.02</v>
      </c>
      <c r="Q539" s="330" t="s">
        <v>5367</v>
      </c>
      <c r="R539" s="453"/>
      <c r="S539" s="449" t="str">
        <f t="shared" si="57"/>
        <v>Não Qualificado</v>
      </c>
      <c r="T539" s="446" t="s">
        <v>194</v>
      </c>
      <c r="U539" s="446" t="s">
        <v>5368</v>
      </c>
      <c r="V539" s="446" t="s">
        <v>475</v>
      </c>
      <c r="W539" s="454"/>
      <c r="X539" s="454"/>
      <c r="Y539" s="454"/>
      <c r="Z539" s="454"/>
      <c r="AA539" s="454"/>
      <c r="AB539" s="454"/>
      <c r="AC539" s="454"/>
      <c r="AD539" s="454"/>
      <c r="AE539" s="454"/>
      <c r="AF539" s="454"/>
      <c r="AG539" s="455"/>
      <c r="AH539" s="455"/>
      <c r="AI539" s="455"/>
      <c r="AJ539" s="456"/>
      <c r="AK539" s="456"/>
      <c r="AL539" s="456"/>
      <c r="AM539" s="456"/>
      <c r="AN539" s="456"/>
      <c r="AO539" s="456"/>
      <c r="AP539" s="456"/>
      <c r="AQ539" s="456"/>
      <c r="AR539" s="456"/>
      <c r="AS539" s="456"/>
      <c r="AT539" s="456"/>
      <c r="AU539" s="454"/>
      <c r="AV539" s="456"/>
      <c r="AW539" s="456">
        <v>97353.3</v>
      </c>
      <c r="AX539" s="456">
        <v>96960.45</v>
      </c>
      <c r="AY539" s="456">
        <v>98324.02</v>
      </c>
      <c r="AZ539" s="456">
        <v>101955.79</v>
      </c>
      <c r="BA539" s="456">
        <v>102787.19</v>
      </c>
      <c r="BB539" s="456">
        <v>174.88</v>
      </c>
      <c r="BC539" s="456">
        <v>48746.18</v>
      </c>
      <c r="BD539" s="456">
        <v>130.87</v>
      </c>
      <c r="BE539" s="456">
        <v>130.87</v>
      </c>
      <c r="BF539" s="456">
        <v>130.88</v>
      </c>
      <c r="BG539" s="456">
        <v>130.88</v>
      </c>
      <c r="BH539" s="456">
        <v>130.88</v>
      </c>
      <c r="BI539" s="456">
        <v>130.88</v>
      </c>
      <c r="BJ539" s="456">
        <v>130.88</v>
      </c>
      <c r="BK539" s="456">
        <v>130.88</v>
      </c>
      <c r="BL539" s="456">
        <v>130.88</v>
      </c>
      <c r="BM539" s="456">
        <v>130.88</v>
      </c>
      <c r="BN539" s="456">
        <v>130.88</v>
      </c>
      <c r="BO539" s="456">
        <v>130.88</v>
      </c>
      <c r="BP539" s="456">
        <v>130.88</v>
      </c>
      <c r="BQ539" s="456">
        <v>130.88</v>
      </c>
      <c r="BR539" s="456">
        <v>130.88</v>
      </c>
      <c r="BS539" s="90">
        <v>0.0</v>
      </c>
      <c r="BT539" s="90"/>
    </row>
    <row r="540" ht="15.75" customHeight="1">
      <c r="A540" s="444" t="s">
        <v>98</v>
      </c>
      <c r="B540" s="445" t="s">
        <v>7947</v>
      </c>
      <c r="C540" s="458" t="s">
        <v>7948</v>
      </c>
      <c r="D540" s="449">
        <v>9009128.0</v>
      </c>
      <c r="E540" s="447" t="s">
        <v>120</v>
      </c>
      <c r="F540" s="447" t="s">
        <v>54</v>
      </c>
      <c r="G540" s="447" t="s">
        <v>348</v>
      </c>
      <c r="H540" s="447">
        <f>IFERROR(VLOOKUP(G540,'Cadastro de assessores'!A:B,2,FALSE),"Não Cadastrado")</f>
        <v>12331</v>
      </c>
      <c r="I540" s="447"/>
      <c r="J540" s="49" t="s">
        <v>2318</v>
      </c>
      <c r="K540" s="449" t="s">
        <v>295</v>
      </c>
      <c r="L540" s="447" t="s">
        <v>3320</v>
      </c>
      <c r="M540" s="451">
        <v>44848.0</v>
      </c>
      <c r="N540" s="449"/>
      <c r="O540" s="449" t="s">
        <v>2356</v>
      </c>
      <c r="P540" s="452">
        <v>0.007</v>
      </c>
      <c r="Q540" s="461"/>
      <c r="R540" s="453"/>
      <c r="S540" s="449"/>
      <c r="T540" s="449" t="s">
        <v>194</v>
      </c>
      <c r="U540" s="449"/>
      <c r="V540" s="449" t="s">
        <v>54</v>
      </c>
      <c r="W540" s="455"/>
      <c r="X540" s="455"/>
      <c r="Y540" s="455"/>
      <c r="Z540" s="455"/>
      <c r="AA540" s="455"/>
      <c r="AB540" s="455"/>
      <c r="AC540" s="455"/>
      <c r="AD540" s="455"/>
      <c r="AE540" s="455"/>
      <c r="AF540" s="455"/>
      <c r="AG540" s="455"/>
      <c r="AH540" s="455"/>
      <c r="AI540" s="455"/>
      <c r="AJ540" s="455"/>
      <c r="AK540" s="456"/>
      <c r="AL540" s="456"/>
      <c r="AM540" s="456"/>
      <c r="AN540" s="456"/>
      <c r="AO540" s="456"/>
      <c r="AP540" s="456"/>
      <c r="AQ540" s="456"/>
      <c r="AR540" s="456"/>
      <c r="AS540" s="456"/>
      <c r="AT540" s="456"/>
      <c r="AU540" s="456"/>
      <c r="AV540" s="456"/>
      <c r="AW540" s="456"/>
      <c r="AX540" s="456"/>
      <c r="AY540" s="456"/>
      <c r="AZ540" s="456"/>
      <c r="BA540" s="456"/>
      <c r="BB540" s="456"/>
      <c r="BC540" s="456"/>
      <c r="BD540" s="456"/>
      <c r="BE540" s="456"/>
      <c r="BF540" s="456">
        <v>0.0</v>
      </c>
      <c r="BG540" s="456">
        <v>0.0</v>
      </c>
      <c r="BH540" s="456">
        <v>0.0</v>
      </c>
      <c r="BI540" s="456">
        <v>5026.73</v>
      </c>
      <c r="BJ540" s="456">
        <v>5080.61</v>
      </c>
      <c r="BK540" s="456">
        <v>50456.32</v>
      </c>
      <c r="BL540" s="456">
        <v>100567.92</v>
      </c>
      <c r="BM540" s="456">
        <v>6062.25</v>
      </c>
      <c r="BN540" s="456">
        <v>6051.36</v>
      </c>
      <c r="BO540" s="456">
        <v>6105.42</v>
      </c>
      <c r="BP540" s="456">
        <v>9180.3</v>
      </c>
      <c r="BQ540" s="456">
        <v>9234.17</v>
      </c>
      <c r="BR540" s="456">
        <v>0.0</v>
      </c>
      <c r="BS540" s="90">
        <v>0.0</v>
      </c>
      <c r="BT540" s="90"/>
    </row>
    <row r="541" ht="15.75" customHeight="1">
      <c r="A541" s="444" t="s">
        <v>98</v>
      </c>
      <c r="B541" s="445" t="s">
        <v>1824</v>
      </c>
      <c r="C541" s="458" t="s">
        <v>1822</v>
      </c>
      <c r="D541" s="449">
        <v>2694253.0</v>
      </c>
      <c r="E541" s="447" t="s">
        <v>255</v>
      </c>
      <c r="F541" s="447" t="s">
        <v>199</v>
      </c>
      <c r="G541" s="447" t="s">
        <v>3885</v>
      </c>
      <c r="H541" s="447" t="str">
        <f>IFERROR(VLOOKUP(G541,'Cadastro de assessores'!A:B,2,FALSE),"Não Cadastrado")</f>
        <v>17243</v>
      </c>
      <c r="I541" s="447"/>
      <c r="J541" s="74" t="s">
        <v>183</v>
      </c>
      <c r="K541" s="447" t="s">
        <v>183</v>
      </c>
      <c r="L541" s="451">
        <v>44134.0</v>
      </c>
      <c r="M541" s="451">
        <v>44134.0</v>
      </c>
      <c r="N541" s="449"/>
      <c r="O541" s="449" t="s">
        <v>2319</v>
      </c>
      <c r="P541" s="452">
        <v>0.02</v>
      </c>
      <c r="Q541" s="461" t="s">
        <v>7955</v>
      </c>
      <c r="R541" s="453"/>
      <c r="S541" s="449" t="str">
        <f t="shared" ref="S541:S543" si="58">IF(BC541&lt;=0,"",IF(BC541&lt;=1000000,"Não Qualificado",IF(AND(BC541&gt;1000000,BC541&lt;=10000000),"Qualificado","Profissional")))</f>
        <v>Não Qualificado</v>
      </c>
      <c r="T541" s="449" t="s">
        <v>234</v>
      </c>
      <c r="U541" s="449" t="s">
        <v>2383</v>
      </c>
      <c r="V541" s="449" t="s">
        <v>199</v>
      </c>
      <c r="W541" s="455" t="s">
        <v>2344</v>
      </c>
      <c r="X541" s="455" t="s">
        <v>2344</v>
      </c>
      <c r="Y541" s="455" t="s">
        <v>2344</v>
      </c>
      <c r="Z541" s="455" t="s">
        <v>2344</v>
      </c>
      <c r="AA541" s="455" t="s">
        <v>2344</v>
      </c>
      <c r="AB541" s="455" t="s">
        <v>2344</v>
      </c>
      <c r="AC541" s="455" t="s">
        <v>2344</v>
      </c>
      <c r="AD541" s="455" t="s">
        <v>2344</v>
      </c>
      <c r="AE541" s="455" t="s">
        <v>2344</v>
      </c>
      <c r="AF541" s="455" t="s">
        <v>2344</v>
      </c>
      <c r="AG541" s="455" t="s">
        <v>2344</v>
      </c>
      <c r="AH541" s="455" t="s">
        <v>2344</v>
      </c>
      <c r="AI541" s="455" t="s">
        <v>7957</v>
      </c>
      <c r="AJ541" s="455" t="s">
        <v>7958</v>
      </c>
      <c r="AK541" s="456">
        <v>1121856.74</v>
      </c>
      <c r="AL541" s="456">
        <v>1098784.47</v>
      </c>
      <c r="AM541" s="456">
        <v>1068858.84</v>
      </c>
      <c r="AN541" s="456">
        <v>1070996.96</v>
      </c>
      <c r="AO541" s="456">
        <v>1096915.81</v>
      </c>
      <c r="AP541" s="456">
        <v>983415.53</v>
      </c>
      <c r="AQ541" s="456">
        <v>978783.49</v>
      </c>
      <c r="AR541" s="456">
        <v>1004917.74</v>
      </c>
      <c r="AS541" s="456">
        <v>952985.01</v>
      </c>
      <c r="AT541" s="456">
        <v>924185.84</v>
      </c>
      <c r="AU541" s="456">
        <v>913557.33</v>
      </c>
      <c r="AV541" s="456">
        <v>887052.24</v>
      </c>
      <c r="AW541" s="456">
        <v>848245.56</v>
      </c>
      <c r="AX541" s="456">
        <v>843938.57</v>
      </c>
      <c r="AY541" s="456">
        <v>857860.94</v>
      </c>
      <c r="AZ541" s="456">
        <v>839266.93</v>
      </c>
      <c r="BA541" s="456">
        <v>848010.87</v>
      </c>
      <c r="BB541" s="456">
        <v>882826.57</v>
      </c>
      <c r="BC541" s="456">
        <v>76255.39</v>
      </c>
      <c r="BD541" s="456">
        <v>863822.55</v>
      </c>
      <c r="BE541" s="456">
        <v>844779.35</v>
      </c>
      <c r="BF541" s="456">
        <v>840741.1</v>
      </c>
      <c r="BG541" s="456">
        <v>854872.0258</v>
      </c>
      <c r="BH541" s="456">
        <v>846931.9</v>
      </c>
      <c r="BI541" s="456">
        <v>900579.93</v>
      </c>
      <c r="BJ541" s="456">
        <v>894292.14</v>
      </c>
      <c r="BK541" s="456">
        <v>843710.71</v>
      </c>
      <c r="BL541" s="456">
        <v>854838.15</v>
      </c>
      <c r="BM541" s="456">
        <v>850862.76</v>
      </c>
      <c r="BN541" s="456">
        <v>844178.74</v>
      </c>
      <c r="BO541" s="456">
        <v>850543.7</v>
      </c>
      <c r="BP541" s="456">
        <v>858466.45</v>
      </c>
      <c r="BQ541" s="456">
        <v>873766.48</v>
      </c>
      <c r="BR541" s="456">
        <v>890106.73</v>
      </c>
      <c r="BS541" s="90">
        <v>564364.79</v>
      </c>
      <c r="BT541" s="90"/>
    </row>
    <row r="542" ht="15.75" customHeight="1">
      <c r="A542" s="444" t="s">
        <v>98</v>
      </c>
      <c r="B542" s="445" t="s">
        <v>7964</v>
      </c>
      <c r="C542" s="458" t="s">
        <v>7811</v>
      </c>
      <c r="D542" s="449">
        <v>4906342.0</v>
      </c>
      <c r="E542" s="449" t="s">
        <v>120</v>
      </c>
      <c r="F542" s="449" t="s">
        <v>54</v>
      </c>
      <c r="G542" s="449" t="s">
        <v>379</v>
      </c>
      <c r="H542" s="449" t="str">
        <f>IFERROR(VLOOKUP(G542,'Cadastro de assessores'!A:B,2,FALSE),"Não Cadastrado")</f>
        <v>18009</v>
      </c>
      <c r="I542" s="449"/>
      <c r="J542" s="49" t="s">
        <v>224</v>
      </c>
      <c r="K542" s="449" t="s">
        <v>2340</v>
      </c>
      <c r="L542" s="460"/>
      <c r="M542" s="460">
        <v>44294.0</v>
      </c>
      <c r="N542" s="616">
        <v>44651.0</v>
      </c>
      <c r="O542" s="446" t="s">
        <v>2319</v>
      </c>
      <c r="P542" s="452">
        <v>0.02</v>
      </c>
      <c r="Q542" s="461" t="s">
        <v>7970</v>
      </c>
      <c r="R542" s="453"/>
      <c r="S542" s="449" t="str">
        <f t="shared" si="58"/>
        <v>Não Qualificado</v>
      </c>
      <c r="T542" s="449" t="s">
        <v>194</v>
      </c>
      <c r="U542" s="449" t="s">
        <v>2475</v>
      </c>
      <c r="V542" s="449" t="s">
        <v>618</v>
      </c>
      <c r="W542" s="455"/>
      <c r="X542" s="455"/>
      <c r="Y542" s="455"/>
      <c r="Z542" s="455"/>
      <c r="AA542" s="455"/>
      <c r="AB542" s="455"/>
      <c r="AC542" s="455"/>
      <c r="AD542" s="455"/>
      <c r="AE542" s="455"/>
      <c r="AF542" s="455"/>
      <c r="AG542" s="455"/>
      <c r="AH542" s="455"/>
      <c r="AI542" s="455"/>
      <c r="AJ542" s="455"/>
      <c r="AK542" s="456"/>
      <c r="AL542" s="456"/>
      <c r="AM542" s="456" t="s">
        <v>3320</v>
      </c>
      <c r="AN542" s="456" t="s">
        <v>3320</v>
      </c>
      <c r="AO542" s="456"/>
      <c r="AP542" s="456">
        <v>202150.12</v>
      </c>
      <c r="AQ542" s="456">
        <v>200882.58</v>
      </c>
      <c r="AR542" s="456">
        <v>238915.99</v>
      </c>
      <c r="AS542" s="456">
        <v>236393.75</v>
      </c>
      <c r="AT542" s="456">
        <v>228891.7</v>
      </c>
      <c r="AU542" s="456">
        <v>226240.5</v>
      </c>
      <c r="AV542" s="456">
        <v>219578.68</v>
      </c>
      <c r="AW542" s="456">
        <v>208523.9</v>
      </c>
      <c r="AX542" s="456">
        <v>207496.61</v>
      </c>
      <c r="AY542" s="456">
        <v>210593.1</v>
      </c>
      <c r="AZ542" s="456">
        <v>218225.6</v>
      </c>
      <c r="BA542" s="456">
        <v>220333.61</v>
      </c>
      <c r="BB542" s="456">
        <v>229569.98</v>
      </c>
      <c r="BC542" s="456">
        <v>108888.9</v>
      </c>
      <c r="BD542" s="456" t="s">
        <v>377</v>
      </c>
      <c r="BE542" s="456" t="s">
        <v>377</v>
      </c>
      <c r="BF542" s="456">
        <v>0.0</v>
      </c>
      <c r="BG542" s="456">
        <v>0.0</v>
      </c>
      <c r="BH542" s="456">
        <v>0.0</v>
      </c>
      <c r="BI542" s="456">
        <v>0.0</v>
      </c>
      <c r="BJ542" s="456">
        <v>0.0</v>
      </c>
      <c r="BK542" s="456">
        <v>0.0</v>
      </c>
      <c r="BL542" s="456">
        <v>0.0</v>
      </c>
      <c r="BM542" s="456">
        <v>0.0</v>
      </c>
      <c r="BN542" s="456">
        <v>0.0</v>
      </c>
      <c r="BO542" s="456">
        <v>0.0</v>
      </c>
      <c r="BP542" s="456">
        <v>0.0</v>
      </c>
      <c r="BQ542" s="456">
        <v>0.0</v>
      </c>
      <c r="BR542" s="456">
        <v>0.0</v>
      </c>
      <c r="BS542" s="90" t="s">
        <v>268</v>
      </c>
      <c r="BT542" s="90"/>
    </row>
    <row r="543" ht="15.75" customHeight="1">
      <c r="A543" s="444" t="s">
        <v>98</v>
      </c>
      <c r="B543" s="445" t="s">
        <v>1844</v>
      </c>
      <c r="C543" s="458" t="s">
        <v>1843</v>
      </c>
      <c r="D543" s="449">
        <v>4733764.0</v>
      </c>
      <c r="E543" s="449" t="s">
        <v>255</v>
      </c>
      <c r="F543" s="449" t="s">
        <v>199</v>
      </c>
      <c r="G543" s="449" t="s">
        <v>4815</v>
      </c>
      <c r="H543" s="449" t="str">
        <f>IFERROR(VLOOKUP(G543,'Cadastro de assessores'!A:B,2,FALSE),"Não Cadastrado")</f>
        <v>18992</v>
      </c>
      <c r="I543" s="449"/>
      <c r="J543" s="49" t="s">
        <v>224</v>
      </c>
      <c r="K543" s="449" t="s">
        <v>2340</v>
      </c>
      <c r="L543" s="460"/>
      <c r="M543" s="460">
        <v>44209.0</v>
      </c>
      <c r="N543" s="616">
        <v>44512.0</v>
      </c>
      <c r="O543" s="446" t="s">
        <v>2452</v>
      </c>
      <c r="P543" s="452">
        <v>0.008</v>
      </c>
      <c r="Q543" s="461" t="s">
        <v>7980</v>
      </c>
      <c r="R543" s="453"/>
      <c r="S543" s="449" t="str">
        <f t="shared" si="58"/>
        <v>Não Qualificado</v>
      </c>
      <c r="T543" s="449" t="s">
        <v>194</v>
      </c>
      <c r="U543" s="449" t="s">
        <v>2374</v>
      </c>
      <c r="V543" s="449" t="s">
        <v>199</v>
      </c>
      <c r="W543" s="455"/>
      <c r="X543" s="455"/>
      <c r="Y543" s="455"/>
      <c r="Z543" s="455"/>
      <c r="AA543" s="455"/>
      <c r="AB543" s="455"/>
      <c r="AC543" s="455"/>
      <c r="AD543" s="455"/>
      <c r="AE543" s="455"/>
      <c r="AF543" s="455"/>
      <c r="AG543" s="455"/>
      <c r="AH543" s="455"/>
      <c r="AI543" s="455"/>
      <c r="AJ543" s="455"/>
      <c r="AK543" s="456"/>
      <c r="AL543" s="456">
        <v>139614.64</v>
      </c>
      <c r="AM543" s="456">
        <v>140550.07</v>
      </c>
      <c r="AN543" s="456">
        <v>135558.52</v>
      </c>
      <c r="AO543" s="456">
        <v>134332.69</v>
      </c>
      <c r="AP543" s="456">
        <v>133346.22</v>
      </c>
      <c r="AQ543" s="456">
        <v>133985.49</v>
      </c>
      <c r="AR543" s="456">
        <v>131770.31</v>
      </c>
      <c r="AS543" s="456">
        <v>130070.07</v>
      </c>
      <c r="AT543" s="456">
        <v>132694.37</v>
      </c>
      <c r="AU543" s="456">
        <v>128662.05</v>
      </c>
      <c r="AV543" s="456">
        <v>128963.71</v>
      </c>
      <c r="AW543" s="456">
        <v>126051.79</v>
      </c>
      <c r="AX543" s="481"/>
      <c r="AY543" s="481"/>
      <c r="AZ543" s="481"/>
      <c r="BA543" s="481">
        <v>0.0</v>
      </c>
      <c r="BB543" s="481">
        <v>0.0</v>
      </c>
      <c r="BC543" s="481">
        <v>160646.16</v>
      </c>
      <c r="BD543" s="456">
        <v>0.0</v>
      </c>
      <c r="BE543" s="456" t="s">
        <v>377</v>
      </c>
      <c r="BF543" s="456">
        <v>0.0</v>
      </c>
      <c r="BG543" s="456">
        <v>0.0</v>
      </c>
      <c r="BH543" s="456">
        <v>0.0</v>
      </c>
      <c r="BI543" s="456">
        <v>0.0</v>
      </c>
      <c r="BJ543" s="456">
        <v>0.0</v>
      </c>
      <c r="BK543" s="456">
        <v>0.0</v>
      </c>
      <c r="BL543" s="456">
        <v>0.0</v>
      </c>
      <c r="BM543" s="456">
        <v>0.0</v>
      </c>
      <c r="BN543" s="456">
        <v>0.0</v>
      </c>
      <c r="BO543" s="456">
        <v>0.0</v>
      </c>
      <c r="BP543" s="456">
        <v>0.0</v>
      </c>
      <c r="BQ543" s="456">
        <v>0.0</v>
      </c>
      <c r="BR543" s="456">
        <v>0.0</v>
      </c>
      <c r="BS543" s="90" t="s">
        <v>268</v>
      </c>
      <c r="BT543" s="90"/>
    </row>
    <row r="544" ht="15.75" customHeight="1">
      <c r="A544" s="237"/>
      <c r="B544" s="237"/>
      <c r="C544" s="237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5"/>
      <c r="Q544" s="207"/>
      <c r="R544" s="871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  <c r="AC544" s="203"/>
      <c r="AD544" s="203"/>
      <c r="AE544" s="203"/>
      <c r="AF544" s="203"/>
      <c r="AG544" s="203"/>
      <c r="AH544" s="203"/>
      <c r="AI544" s="203"/>
      <c r="AJ544" s="203"/>
      <c r="AK544" s="203"/>
      <c r="AL544" s="203"/>
      <c r="AM544" s="203"/>
      <c r="AN544" s="203"/>
      <c r="AO544" s="203"/>
      <c r="AP544" s="203"/>
      <c r="AQ544" s="210"/>
      <c r="AR544" s="210"/>
      <c r="AS544" s="210"/>
      <c r="AT544" s="210"/>
      <c r="AU544" s="210"/>
      <c r="AV544" s="210"/>
      <c r="AW544" s="210"/>
      <c r="AX544" s="210"/>
      <c r="AY544" s="210"/>
      <c r="AZ544" s="210"/>
      <c r="BA544" s="210"/>
      <c r="BB544" s="210"/>
      <c r="BC544" s="210"/>
      <c r="BD544" s="210"/>
      <c r="BE544" s="210"/>
      <c r="BF544" s="210"/>
      <c r="BG544" s="210"/>
      <c r="BH544" s="210"/>
      <c r="BI544" s="210"/>
      <c r="BJ544" s="210"/>
      <c r="BK544" s="210"/>
      <c r="BL544" s="210"/>
      <c r="BM544" s="210"/>
      <c r="BN544" s="210"/>
      <c r="BO544" s="210"/>
      <c r="BP544" s="210"/>
      <c r="BQ544" s="210"/>
      <c r="BR544" s="210"/>
      <c r="BS544" s="872"/>
      <c r="BT544" s="872"/>
    </row>
    <row r="545" ht="15.75" customHeight="1">
      <c r="A545" s="294"/>
      <c r="B545" s="294"/>
      <c r="C545" s="294" t="s">
        <v>1353</v>
      </c>
      <c r="D545" s="873">
        <f>COUNTIF(J2:J543,"Ativo")</f>
        <v>52</v>
      </c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5"/>
      <c r="Q545" s="207"/>
      <c r="R545" s="871"/>
      <c r="S545" s="203"/>
      <c r="T545" s="203"/>
      <c r="U545" s="203"/>
      <c r="V545" s="203"/>
      <c r="W545" s="874">
        <f t="shared" ref="W545:AY545" si="59">SUM(W3:W543)</f>
        <v>0</v>
      </c>
      <c r="X545" s="874">
        <f t="shared" si="59"/>
        <v>0</v>
      </c>
      <c r="Y545" s="874">
        <f t="shared" si="59"/>
        <v>0</v>
      </c>
      <c r="Z545" s="874">
        <f t="shared" si="59"/>
        <v>0</v>
      </c>
      <c r="AA545" s="874">
        <f t="shared" si="59"/>
        <v>0</v>
      </c>
      <c r="AB545" s="874">
        <f t="shared" si="59"/>
        <v>0</v>
      </c>
      <c r="AC545" s="874">
        <f t="shared" si="59"/>
        <v>0</v>
      </c>
      <c r="AD545" s="874">
        <f t="shared" si="59"/>
        <v>0</v>
      </c>
      <c r="AE545" s="874">
        <f t="shared" si="59"/>
        <v>0</v>
      </c>
      <c r="AF545" s="874">
        <f t="shared" si="59"/>
        <v>0</v>
      </c>
      <c r="AG545" s="874">
        <f t="shared" si="59"/>
        <v>0</v>
      </c>
      <c r="AH545" s="874">
        <f t="shared" si="59"/>
        <v>0</v>
      </c>
      <c r="AI545" s="874">
        <f t="shared" si="59"/>
        <v>0</v>
      </c>
      <c r="AJ545" s="874">
        <f t="shared" si="59"/>
        <v>0</v>
      </c>
      <c r="AK545" s="874">
        <f t="shared" si="59"/>
        <v>49939606.47</v>
      </c>
      <c r="AL545" s="874">
        <f t="shared" si="59"/>
        <v>56320445.3</v>
      </c>
      <c r="AM545" s="874">
        <f t="shared" si="59"/>
        <v>61178277.87</v>
      </c>
      <c r="AN545" s="874">
        <f t="shared" si="59"/>
        <v>127507478</v>
      </c>
      <c r="AO545" s="874">
        <f t="shared" si="59"/>
        <v>122724856.2</v>
      </c>
      <c r="AP545" s="874">
        <f t="shared" si="59"/>
        <v>131155083.4</v>
      </c>
      <c r="AQ545" s="874">
        <f t="shared" si="59"/>
        <v>131412065.4</v>
      </c>
      <c r="AR545" s="874">
        <f t="shared" si="59"/>
        <v>136452066.2</v>
      </c>
      <c r="AS545" s="874">
        <f t="shared" si="59"/>
        <v>140158681.6</v>
      </c>
      <c r="AT545" s="874">
        <f t="shared" si="59"/>
        <v>71262668.03</v>
      </c>
      <c r="AU545" s="874">
        <f t="shared" si="59"/>
        <v>69124058.38</v>
      </c>
      <c r="AV545" s="874">
        <f t="shared" si="59"/>
        <v>76850538.54</v>
      </c>
      <c r="AW545" s="874">
        <f t="shared" si="59"/>
        <v>69027370.7</v>
      </c>
      <c r="AX545" s="874">
        <f t="shared" si="59"/>
        <v>73362806.81</v>
      </c>
      <c r="AY545" s="874">
        <f t="shared" si="59"/>
        <v>80914890.3</v>
      </c>
      <c r="AZ545" s="874">
        <f t="shared" ref="AZ545:BS545" si="60">SUM(AZ2:AZ543)</f>
        <v>86755962.91</v>
      </c>
      <c r="BA545" s="874">
        <f t="shared" si="60"/>
        <v>91413422.46</v>
      </c>
      <c r="BB545" s="874">
        <f t="shared" si="60"/>
        <v>101114599.6</v>
      </c>
      <c r="BC545" s="874">
        <f t="shared" si="60"/>
        <v>97384990.45</v>
      </c>
      <c r="BD545" s="874">
        <f t="shared" si="60"/>
        <v>129049070.1</v>
      </c>
      <c r="BE545" s="874">
        <f t="shared" si="60"/>
        <v>133680411</v>
      </c>
      <c r="BF545" s="874">
        <f t="shared" si="60"/>
        <v>132712631.9</v>
      </c>
      <c r="BG545" s="874">
        <f t="shared" si="60"/>
        <v>133649376.4</v>
      </c>
      <c r="BH545" s="874">
        <f t="shared" si="60"/>
        <v>134917880</v>
      </c>
      <c r="BI545" s="874">
        <f t="shared" si="60"/>
        <v>135978013.7</v>
      </c>
      <c r="BJ545" s="874">
        <f t="shared" si="60"/>
        <v>129078340.2</v>
      </c>
      <c r="BK545" s="874">
        <f t="shared" si="60"/>
        <v>134130576.3</v>
      </c>
      <c r="BL545" s="874">
        <f t="shared" si="60"/>
        <v>118095517.4</v>
      </c>
      <c r="BM545" s="874">
        <f t="shared" si="60"/>
        <v>79431765.17</v>
      </c>
      <c r="BN545" s="874">
        <f t="shared" si="60"/>
        <v>40285042.4</v>
      </c>
      <c r="BO545" s="874">
        <f t="shared" si="60"/>
        <v>25774006.55</v>
      </c>
      <c r="BP545" s="874">
        <f t="shared" si="60"/>
        <v>20333651.86</v>
      </c>
      <c r="BQ545" s="874">
        <f t="shared" si="60"/>
        <v>17231025.4</v>
      </c>
      <c r="BR545" s="874">
        <f t="shared" si="60"/>
        <v>14167989.99</v>
      </c>
      <c r="BS545" s="354">
        <f t="shared" si="60"/>
        <v>5579040.22</v>
      </c>
      <c r="BT545" s="875"/>
    </row>
    <row r="546" ht="15.75" customHeight="1">
      <c r="A546" s="294"/>
      <c r="B546" s="294"/>
      <c r="C546" s="294" t="s">
        <v>1407</v>
      </c>
      <c r="D546" s="873">
        <f>COUNTIF(J2:J543,"Encerrado")</f>
        <v>204</v>
      </c>
      <c r="E546" s="203"/>
      <c r="F546" s="203"/>
      <c r="G546" s="876"/>
      <c r="H546" s="203"/>
      <c r="I546" s="203"/>
      <c r="J546" s="203"/>
      <c r="K546" s="203"/>
      <c r="L546" s="203"/>
      <c r="M546" s="203"/>
      <c r="N546" s="203"/>
      <c r="O546" s="203"/>
      <c r="P546" s="205"/>
      <c r="Q546" s="207"/>
      <c r="R546" s="871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  <c r="AC546" s="203"/>
      <c r="AD546" s="203"/>
      <c r="AE546" s="203"/>
      <c r="AF546" s="203"/>
      <c r="AG546" s="203"/>
      <c r="AH546" s="203"/>
      <c r="AI546" s="203"/>
      <c r="AJ546" s="203"/>
      <c r="AK546" s="203"/>
      <c r="AL546" s="203"/>
      <c r="AM546" s="203"/>
      <c r="AN546" s="203"/>
      <c r="AO546" s="203"/>
      <c r="AP546" s="203"/>
      <c r="AQ546" s="210"/>
      <c r="AR546" s="210"/>
      <c r="AS546" s="210"/>
      <c r="AT546" s="210"/>
      <c r="AU546" s="210"/>
      <c r="AV546" s="210"/>
      <c r="AW546" s="210"/>
      <c r="AX546" s="210"/>
      <c r="AY546" s="210"/>
      <c r="AZ546" s="210"/>
      <c r="BA546" s="210"/>
      <c r="BB546" s="210"/>
      <c r="BC546" s="210"/>
      <c r="BD546" s="210"/>
      <c r="BE546" s="210"/>
      <c r="BF546" s="210"/>
      <c r="BG546" s="210"/>
      <c r="BH546" s="210"/>
      <c r="BI546" s="877"/>
      <c r="BJ546" s="877"/>
      <c r="BK546" s="877"/>
      <c r="BL546" s="877"/>
      <c r="BM546" s="210"/>
      <c r="BN546" s="210"/>
      <c r="BO546" s="210"/>
      <c r="BP546" s="210"/>
      <c r="BQ546" s="210"/>
      <c r="BR546" s="210"/>
      <c r="BS546" s="872"/>
      <c r="BT546" s="872"/>
    </row>
    <row r="547" ht="15.75" customHeight="1">
      <c r="A547" s="294"/>
      <c r="B547" s="294"/>
      <c r="C547" s="878" t="s">
        <v>7999</v>
      </c>
      <c r="D547" s="873">
        <f>COUNTIF(J2:J543,"Sem Patrimônio")</f>
        <v>285</v>
      </c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5"/>
      <c r="Q547" s="207"/>
      <c r="R547" s="871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  <c r="AC547" s="203"/>
      <c r="AD547" s="203"/>
      <c r="AE547" s="203"/>
      <c r="AF547" s="203"/>
      <c r="AG547" s="203"/>
      <c r="AH547" s="203"/>
      <c r="AI547" s="203"/>
      <c r="AJ547" s="203"/>
      <c r="AK547" s="203"/>
      <c r="AL547" s="203"/>
      <c r="AM547" s="203"/>
      <c r="AN547" s="203"/>
      <c r="AO547" s="203"/>
      <c r="AP547" s="203"/>
      <c r="AQ547" s="210"/>
      <c r="AR547" s="210"/>
      <c r="AS547" s="210"/>
      <c r="AT547" s="210"/>
      <c r="AU547" s="210"/>
      <c r="AV547" s="210"/>
      <c r="AW547" s="210"/>
      <c r="AX547" s="210"/>
      <c r="AY547" s="210"/>
      <c r="AZ547" s="210"/>
      <c r="BA547" s="210"/>
      <c r="BB547" s="210"/>
      <c r="BC547" s="210"/>
      <c r="BD547" s="210"/>
      <c r="BE547" s="210"/>
      <c r="BF547" s="210"/>
      <c r="BG547" s="210"/>
      <c r="BH547" s="210"/>
      <c r="BI547" s="210"/>
      <c r="BJ547" s="210" t="s">
        <v>4102</v>
      </c>
      <c r="BK547" s="210" t="s">
        <v>3995</v>
      </c>
      <c r="BL547" s="210" t="s">
        <v>8002</v>
      </c>
      <c r="BM547" s="210"/>
      <c r="BN547" s="210"/>
      <c r="BO547" s="210"/>
      <c r="BP547" s="210"/>
      <c r="BQ547" s="210"/>
      <c r="BR547" s="210"/>
      <c r="BS547" s="872"/>
      <c r="BT547" s="872"/>
    </row>
    <row r="548" ht="15.75" customHeight="1">
      <c r="A548" s="294"/>
      <c r="B548" s="294"/>
      <c r="C548" s="878" t="s">
        <v>8003</v>
      </c>
      <c r="D548" s="873">
        <f>COUNTIF(J2:J543,"Inativo")</f>
        <v>1</v>
      </c>
      <c r="E548" s="214"/>
      <c r="F548" s="214"/>
      <c r="G548" s="215"/>
      <c r="H548" s="203"/>
      <c r="I548" s="203"/>
      <c r="J548" s="216"/>
      <c r="K548" s="216"/>
      <c r="L548" s="298"/>
      <c r="M548" s="298"/>
      <c r="N548" s="216"/>
      <c r="O548" s="216"/>
      <c r="P548" s="205"/>
      <c r="Q548" s="207"/>
      <c r="R548" s="871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  <c r="AC548" s="203"/>
      <c r="AD548" s="203"/>
      <c r="AE548" s="203"/>
      <c r="AF548" s="203"/>
      <c r="AG548" s="203"/>
      <c r="AH548" s="203"/>
      <c r="AI548" s="203"/>
      <c r="AJ548" s="203"/>
      <c r="AK548" s="203"/>
      <c r="AL548" s="203"/>
      <c r="AM548" s="203"/>
      <c r="AN548" s="203"/>
      <c r="AO548" s="203"/>
      <c r="AP548" s="203"/>
      <c r="AQ548" s="210"/>
      <c r="AR548" s="210"/>
      <c r="AS548" s="210"/>
      <c r="AT548" s="210"/>
      <c r="AU548" s="210"/>
      <c r="AV548" s="210"/>
      <c r="AW548" s="210"/>
      <c r="AX548" s="210"/>
      <c r="AY548" s="210"/>
      <c r="AZ548" s="210"/>
      <c r="BA548" s="210"/>
      <c r="BB548" s="210"/>
      <c r="BC548" s="210"/>
      <c r="BD548" s="210"/>
      <c r="BE548" s="210"/>
      <c r="BF548" s="210"/>
      <c r="BG548" s="210"/>
      <c r="BH548" s="210"/>
      <c r="BI548" s="210" t="s">
        <v>98</v>
      </c>
      <c r="BJ548" s="210">
        <v>1.2907834016000009E8</v>
      </c>
      <c r="BK548" s="210"/>
      <c r="BL548" s="210">
        <v>4.028504240000002E7</v>
      </c>
      <c r="BM548" s="210"/>
      <c r="BN548" s="210"/>
      <c r="BO548" s="210"/>
      <c r="BP548" s="210"/>
      <c r="BQ548" s="210"/>
      <c r="BR548" s="210"/>
      <c r="BS548" s="872"/>
      <c r="BT548" s="872"/>
    </row>
    <row r="549" ht="15.75" customHeight="1">
      <c r="A549" s="240"/>
      <c r="B549" s="240"/>
      <c r="C549" s="240"/>
      <c r="D549" s="238"/>
      <c r="E549" s="214"/>
      <c r="F549" s="214"/>
      <c r="G549" s="236"/>
      <c r="H549" s="203"/>
      <c r="I549" s="203"/>
      <c r="J549" s="879"/>
      <c r="K549" s="879"/>
      <c r="L549" s="880"/>
      <c r="M549" s="880"/>
      <c r="N549" s="203"/>
      <c r="O549" s="203"/>
      <c r="P549" s="205"/>
      <c r="Q549" s="207"/>
      <c r="R549" s="871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  <c r="AC549" s="203"/>
      <c r="AD549" s="203"/>
      <c r="AE549" s="203"/>
      <c r="AF549" s="203"/>
      <c r="AG549" s="203"/>
      <c r="AH549" s="203"/>
      <c r="AI549" s="203"/>
      <c r="AJ549" s="203"/>
      <c r="AK549" s="203"/>
      <c r="AL549" s="203"/>
      <c r="AM549" s="203"/>
      <c r="AN549" s="203"/>
      <c r="AO549" s="203"/>
      <c r="AP549" s="203"/>
      <c r="AQ549" s="210"/>
      <c r="AR549" s="210"/>
      <c r="AS549" s="210"/>
      <c r="AT549" s="210"/>
      <c r="AU549" s="210"/>
      <c r="AV549" s="210"/>
      <c r="AW549" s="210"/>
      <c r="AX549" s="210"/>
      <c r="AY549" s="210"/>
      <c r="AZ549" s="210"/>
      <c r="BA549" s="210"/>
      <c r="BB549" s="210"/>
      <c r="BC549" s="210"/>
      <c r="BD549" s="210"/>
      <c r="BE549" s="210"/>
      <c r="BF549" s="210"/>
      <c r="BG549" s="210"/>
      <c r="BH549" s="210"/>
      <c r="BI549" s="210" t="s">
        <v>2346</v>
      </c>
      <c r="BJ549" s="210">
        <v>9.223206563000003E7</v>
      </c>
      <c r="BK549" s="210">
        <v>8.406274848000003E7</v>
      </c>
      <c r="BL549" s="210">
        <v>8.406274848000003E7</v>
      </c>
      <c r="BM549" s="210"/>
      <c r="BN549" s="210"/>
      <c r="BO549" s="210"/>
      <c r="BP549" s="210"/>
      <c r="BQ549" s="210"/>
      <c r="BR549" s="210"/>
      <c r="BS549" s="872"/>
      <c r="BT549" s="872"/>
    </row>
    <row r="550" ht="15.75" customHeight="1">
      <c r="A550" s="237"/>
      <c r="B550" s="237"/>
      <c r="C550" s="237"/>
      <c r="D550" s="238"/>
      <c r="E550" s="214"/>
      <c r="F550" s="214"/>
      <c r="G550" s="215"/>
      <c r="H550" s="203"/>
      <c r="I550" s="203"/>
      <c r="J550" s="210"/>
      <c r="K550" s="210"/>
      <c r="L550" s="298"/>
      <c r="M550" s="298"/>
      <c r="N550" s="203"/>
      <c r="O550" s="203"/>
      <c r="P550" s="205"/>
      <c r="Q550" s="207"/>
      <c r="R550" s="871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  <c r="AC550" s="203"/>
      <c r="AD550" s="203"/>
      <c r="AE550" s="203"/>
      <c r="AF550" s="203"/>
      <c r="AG550" s="203"/>
      <c r="AH550" s="203"/>
      <c r="AI550" s="203"/>
      <c r="AJ550" s="203"/>
      <c r="AK550" s="203"/>
      <c r="AL550" s="203"/>
      <c r="AM550" s="203"/>
      <c r="AN550" s="203"/>
      <c r="AO550" s="203"/>
      <c r="AP550" s="203"/>
      <c r="AQ550" s="210"/>
      <c r="AR550" s="210"/>
      <c r="AS550" s="210"/>
      <c r="AT550" s="210"/>
      <c r="AU550" s="210"/>
      <c r="AV550" s="210"/>
      <c r="AW550" s="210"/>
      <c r="AX550" s="210"/>
      <c r="AY550" s="210"/>
      <c r="AZ550" s="210"/>
      <c r="BA550" s="210"/>
      <c r="BB550" s="210"/>
      <c r="BC550" s="210"/>
      <c r="BD550" s="210"/>
      <c r="BE550" s="210"/>
      <c r="BF550" s="210"/>
      <c r="BG550" s="210"/>
      <c r="BH550" s="210"/>
      <c r="BI550" s="210" t="s">
        <v>207</v>
      </c>
      <c r="BJ550" s="210">
        <v>0.0</v>
      </c>
      <c r="BK550" s="210">
        <v>2329685.95</v>
      </c>
      <c r="BL550" s="210">
        <v>2329685.95</v>
      </c>
      <c r="BM550" s="210"/>
      <c r="BN550" s="210"/>
      <c r="BO550" s="210"/>
      <c r="BP550" s="210"/>
      <c r="BQ550" s="210"/>
      <c r="BR550" s="210"/>
      <c r="BS550" s="872"/>
      <c r="BT550" s="872"/>
    </row>
    <row r="551" ht="15.75" customHeight="1">
      <c r="A551" s="240"/>
      <c r="B551" s="240"/>
      <c r="C551" s="240"/>
      <c r="D551" s="238"/>
      <c r="E551" s="214"/>
      <c r="F551" s="214"/>
      <c r="G551" s="215"/>
      <c r="H551" s="203"/>
      <c r="I551" s="203"/>
      <c r="J551" s="881"/>
      <c r="K551" s="881"/>
      <c r="L551" s="880"/>
      <c r="M551" s="880"/>
      <c r="N551" s="216"/>
      <c r="O551" s="216"/>
      <c r="P551" s="205"/>
      <c r="Q551" s="207"/>
      <c r="R551" s="871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  <c r="AC551" s="203"/>
      <c r="AD551" s="203"/>
      <c r="AE551" s="203"/>
      <c r="AF551" s="203"/>
      <c r="AG551" s="203"/>
      <c r="AH551" s="203"/>
      <c r="AI551" s="203"/>
      <c r="AJ551" s="203"/>
      <c r="AK551" s="203"/>
      <c r="AL551" s="203"/>
      <c r="AM551" s="203"/>
      <c r="AN551" s="203"/>
      <c r="AO551" s="203"/>
      <c r="AP551" s="203"/>
      <c r="AQ551" s="210"/>
      <c r="AR551" s="210"/>
      <c r="AS551" s="210"/>
      <c r="AT551" s="210"/>
      <c r="AU551" s="210"/>
      <c r="AV551" s="210"/>
      <c r="AW551" s="210"/>
      <c r="AX551" s="210"/>
      <c r="AY551" s="210"/>
      <c r="AZ551" s="210"/>
      <c r="BA551" s="210"/>
      <c r="BB551" s="210"/>
      <c r="BC551" s="210"/>
      <c r="BD551" s="210"/>
      <c r="BE551" s="210"/>
      <c r="BF551" s="210"/>
      <c r="BG551" s="210"/>
      <c r="BH551" s="210"/>
      <c r="BI551" s="210" t="s">
        <v>202</v>
      </c>
      <c r="BJ551" s="210">
        <v>2401947.46</v>
      </c>
      <c r="BK551" s="210">
        <v>2421812.0799999996</v>
      </c>
      <c r="BL551" s="210">
        <v>2421812.0799999996</v>
      </c>
      <c r="BM551" s="210"/>
      <c r="BN551" s="210"/>
      <c r="BO551" s="210"/>
      <c r="BP551" s="210"/>
      <c r="BQ551" s="210"/>
      <c r="BR551" s="210"/>
      <c r="BS551" s="872"/>
      <c r="BT551" s="872"/>
    </row>
    <row r="552" ht="15.75" customHeight="1">
      <c r="A552" s="240"/>
      <c r="B552" s="240"/>
      <c r="C552" s="240"/>
      <c r="D552" s="238"/>
      <c r="E552" s="214"/>
      <c r="F552" s="214"/>
      <c r="G552" s="215"/>
      <c r="H552" s="203"/>
      <c r="I552" s="203"/>
      <c r="J552" s="210"/>
      <c r="K552" s="210"/>
      <c r="L552" s="880"/>
      <c r="M552" s="880"/>
      <c r="N552" s="203"/>
      <c r="O552" s="203"/>
      <c r="P552" s="205"/>
      <c r="Q552" s="207"/>
      <c r="R552" s="871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  <c r="AC552" s="203"/>
      <c r="AD552" s="203"/>
      <c r="AE552" s="203"/>
      <c r="AF552" s="203"/>
      <c r="AG552" s="203"/>
      <c r="AH552" s="203"/>
      <c r="AI552" s="203"/>
      <c r="AJ552" s="203"/>
      <c r="AK552" s="203"/>
      <c r="AL552" s="203"/>
      <c r="AM552" s="203"/>
      <c r="AN552" s="203"/>
      <c r="AO552" s="203"/>
      <c r="AP552" s="203"/>
      <c r="AQ552" s="210"/>
      <c r="AR552" s="210"/>
      <c r="AS552" s="210"/>
      <c r="AT552" s="210"/>
      <c r="AU552" s="210"/>
      <c r="AV552" s="210"/>
      <c r="AW552" s="210"/>
      <c r="AX552" s="210"/>
      <c r="AY552" s="210"/>
      <c r="AZ552" s="210"/>
      <c r="BA552" s="210"/>
      <c r="BB552" s="210"/>
      <c r="BC552" s="210"/>
      <c r="BD552" s="210"/>
      <c r="BE552" s="210"/>
      <c r="BF552" s="210"/>
      <c r="BG552" s="210"/>
      <c r="BH552" s="210"/>
      <c r="BI552" s="210"/>
      <c r="BJ552" s="210">
        <f t="shared" ref="BJ552:BL552" si="61">SUM(BJ548:BJ551)</f>
        <v>223712353.3</v>
      </c>
      <c r="BK552" s="210">
        <f t="shared" si="61"/>
        <v>88814246.51</v>
      </c>
      <c r="BL552" s="210">
        <f t="shared" si="61"/>
        <v>129099288.9</v>
      </c>
      <c r="BM552" s="210"/>
      <c r="BN552" s="210"/>
      <c r="BO552" s="210"/>
      <c r="BP552" s="210"/>
      <c r="BQ552" s="210"/>
      <c r="BR552" s="210"/>
      <c r="BS552" s="872"/>
      <c r="BT552" s="872"/>
    </row>
    <row r="553" ht="15.75" customHeight="1">
      <c r="A553" s="240"/>
      <c r="B553" s="240"/>
      <c r="C553" s="240"/>
      <c r="D553" s="238"/>
      <c r="E553" s="214"/>
      <c r="F553" s="214"/>
      <c r="G553" s="215"/>
      <c r="H553" s="203"/>
      <c r="I553" s="203"/>
      <c r="J553" s="881"/>
      <c r="K553" s="881"/>
      <c r="L553" s="880"/>
      <c r="M553" s="880"/>
      <c r="N553" s="216"/>
      <c r="O553" s="216"/>
      <c r="P553" s="205"/>
      <c r="Q553" s="207"/>
      <c r="R553" s="871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  <c r="AC553" s="203"/>
      <c r="AD553" s="203"/>
      <c r="AE553" s="203"/>
      <c r="AF553" s="203"/>
      <c r="AG553" s="203"/>
      <c r="AH553" s="203"/>
      <c r="AI553" s="203"/>
      <c r="AJ553" s="203"/>
      <c r="AK553" s="203"/>
      <c r="AL553" s="203"/>
      <c r="AM553" s="203"/>
      <c r="AN553" s="203"/>
      <c r="AO553" s="203"/>
      <c r="AP553" s="203"/>
      <c r="AQ553" s="210"/>
      <c r="AR553" s="210"/>
      <c r="AS553" s="210"/>
      <c r="AT553" s="210"/>
      <c r="AU553" s="210"/>
      <c r="AV553" s="210"/>
      <c r="AW553" s="210"/>
      <c r="AX553" s="210"/>
      <c r="AY553" s="210"/>
      <c r="AZ553" s="210"/>
      <c r="BA553" s="210"/>
      <c r="BB553" s="210"/>
      <c r="BC553" s="210"/>
      <c r="BD553" s="210"/>
      <c r="BE553" s="210"/>
      <c r="BF553" s="210"/>
      <c r="BG553" s="210"/>
      <c r="BH553" s="210"/>
      <c r="BI553" s="210"/>
      <c r="BJ553" s="210"/>
      <c r="BK553" s="210"/>
      <c r="BL553" s="210"/>
      <c r="BM553" s="210"/>
      <c r="BN553" s="210"/>
      <c r="BO553" s="210"/>
      <c r="BP553" s="210"/>
      <c r="BQ553" s="210"/>
      <c r="BR553" s="210"/>
      <c r="BS553" s="872"/>
      <c r="BT553" s="872"/>
    </row>
    <row r="554" ht="15.75" customHeight="1">
      <c r="A554" s="240"/>
      <c r="B554" s="240"/>
      <c r="C554" s="240"/>
      <c r="D554" s="238"/>
      <c r="E554" s="214"/>
      <c r="F554" s="214"/>
      <c r="G554" s="215"/>
      <c r="H554" s="203"/>
      <c r="I554" s="203"/>
      <c r="J554" s="210"/>
      <c r="K554" s="210"/>
      <c r="L554" s="880"/>
      <c r="M554" s="880"/>
      <c r="N554" s="203"/>
      <c r="O554" s="203"/>
      <c r="P554" s="205"/>
      <c r="Q554" s="207"/>
      <c r="R554" s="871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  <c r="AC554" s="203"/>
      <c r="AD554" s="203"/>
      <c r="AE554" s="203"/>
      <c r="AF554" s="203"/>
      <c r="AG554" s="203"/>
      <c r="AH554" s="203"/>
      <c r="AI554" s="203"/>
      <c r="AJ554" s="203"/>
      <c r="AK554" s="203"/>
      <c r="AL554" s="203"/>
      <c r="AM554" s="203"/>
      <c r="AN554" s="203"/>
      <c r="AO554" s="203"/>
      <c r="AP554" s="203"/>
      <c r="AQ554" s="210"/>
      <c r="AR554" s="210"/>
      <c r="AS554" s="210"/>
      <c r="AT554" s="210"/>
      <c r="AU554" s="210"/>
      <c r="AV554" s="210"/>
      <c r="AW554" s="210"/>
      <c r="AX554" s="210"/>
      <c r="AY554" s="210"/>
      <c r="AZ554" s="210"/>
      <c r="BA554" s="210"/>
      <c r="BB554" s="210"/>
      <c r="BC554" s="210"/>
      <c r="BD554" s="210"/>
      <c r="BE554" s="210"/>
      <c r="BF554" s="210"/>
      <c r="BG554" s="210"/>
      <c r="BH554" s="210"/>
      <c r="BI554" s="210" t="s">
        <v>8017</v>
      </c>
      <c r="BJ554" s="210" t="s">
        <v>8018</v>
      </c>
      <c r="BK554" s="210" t="s">
        <v>8019</v>
      </c>
      <c r="BL554" s="210" t="s">
        <v>8019</v>
      </c>
      <c r="BM554" s="210"/>
      <c r="BN554" s="210"/>
      <c r="BO554" s="210"/>
      <c r="BP554" s="210"/>
      <c r="BQ554" s="210"/>
      <c r="BR554" s="210"/>
      <c r="BS554" s="872"/>
      <c r="BT554" s="872"/>
    </row>
  </sheetData>
  <customSheetViews>
    <customSheetView guid="{FBD4E7F3-FBBA-4389-B8DB-C6E19298F85D}" filter="1" showAutoFilter="1">
      <autoFilter ref="$C$1:$BS$543">
        <filterColumn colId="14">
          <filters>
            <filter val="Solicitação do FA Gustavo Amorim para não operar as contas em 29/01/2024."/>
            <filter val="Troca de assessor de David Mendes para Rafael Vilela em 01/12/2022 para Matheus Vilar em 13/04/2023"/>
            <filter val="Troca de assessor de Valdesson para Rafael Vilela em 01/12/2022"/>
            <filter val="Resgate TOTAL"/>
          </filters>
        </filterColumn>
      </autoFilter>
    </customSheetView>
    <customSheetView guid="{A214FC91-2926-4021-8CFF-EA2F61021101}" filter="1" showAutoFilter="1">
      <autoFilter ref="$C$1:$BN$543"/>
    </customSheetView>
  </customSheetViews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1" priority="1" operator="equal">
      <formula>"Conquest"</formula>
    </cfRule>
  </conditionalFormatting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2" priority="2" operator="equal">
      <formula>"Voga"</formula>
    </cfRule>
  </conditionalFormatting>
  <conditionalFormatting sqref="F404:F405">
    <cfRule type="cellIs" dxfId="1" priority="3" operator="equal">
      <formula>"Conquest"</formula>
    </cfRule>
  </conditionalFormatting>
  <conditionalFormatting sqref="F404:F405">
    <cfRule type="cellIs" dxfId="2" priority="4" operator="equal">
      <formula>"Voga"</formula>
    </cfRule>
  </conditionalFormatting>
  <conditionalFormatting sqref="F404:F405">
    <cfRule type="cellIs" dxfId="2" priority="5" operator="equal">
      <formula>"Voga"</formula>
    </cfRule>
  </conditionalFormatting>
  <conditionalFormatting sqref="F404:F405">
    <cfRule type="cellIs" dxfId="1" priority="6" operator="equal">
      <formula>"Conquest"</formula>
    </cfRule>
  </conditionalFormatting>
  <conditionalFormatting sqref="F273:F274">
    <cfRule type="cellIs" dxfId="1" priority="7" operator="equal">
      <formula>"Conquest"</formula>
    </cfRule>
  </conditionalFormatting>
  <conditionalFormatting sqref="F273:F274">
    <cfRule type="cellIs" dxfId="2" priority="8" operator="equal">
      <formula>"Voga"</formula>
    </cfRule>
  </conditionalFormatting>
  <conditionalFormatting sqref="F273:F274">
    <cfRule type="cellIs" dxfId="1" priority="9" operator="equal">
      <formula>"Conquest"</formula>
    </cfRule>
  </conditionalFormatting>
  <conditionalFormatting sqref="F273:F274">
    <cfRule type="cellIs" dxfId="2" priority="10" operator="equal">
      <formula>"Voga"</formula>
    </cfRule>
  </conditionalFormatting>
  <conditionalFormatting sqref="F347">
    <cfRule type="cellIs" dxfId="2" priority="11" operator="equal">
      <formula>"Voga"</formula>
    </cfRule>
  </conditionalFormatting>
  <conditionalFormatting sqref="F347">
    <cfRule type="cellIs" dxfId="1" priority="12" operator="equal">
      <formula>"Conquest"</formula>
    </cfRule>
  </conditionalFormatting>
  <conditionalFormatting sqref="F500">
    <cfRule type="cellIs" dxfId="1" priority="13" operator="equal">
      <formula>"Conquest"</formula>
    </cfRule>
  </conditionalFormatting>
  <conditionalFormatting sqref="F500">
    <cfRule type="cellIs" dxfId="2" priority="14" operator="equal">
      <formula>"Voga"</formula>
    </cfRule>
  </conditionalFormatting>
  <conditionalFormatting sqref="F500">
    <cfRule type="cellIs" dxfId="1" priority="15" operator="equal">
      <formula>"Conquest"</formula>
    </cfRule>
  </conditionalFormatting>
  <conditionalFormatting sqref="F500">
    <cfRule type="cellIs" dxfId="2" priority="16" operator="equal">
      <formula>"Voga"</formula>
    </cfRule>
  </conditionalFormatting>
  <conditionalFormatting sqref="F310">
    <cfRule type="cellIs" dxfId="1" priority="17" operator="equal">
      <formula>"Conquest"</formula>
    </cfRule>
  </conditionalFormatting>
  <conditionalFormatting sqref="F310">
    <cfRule type="cellIs" dxfId="2" priority="18" operator="equal">
      <formula>"Voga"</formula>
    </cfRule>
  </conditionalFormatting>
  <conditionalFormatting sqref="F310">
    <cfRule type="cellIs" dxfId="1" priority="19" operator="equal">
      <formula>"Conquest"</formula>
    </cfRule>
  </conditionalFormatting>
  <conditionalFormatting sqref="F310">
    <cfRule type="cellIs" dxfId="2" priority="20" operator="equal">
      <formula>"Voga"</formula>
    </cfRule>
  </conditionalFormatting>
  <conditionalFormatting sqref="F311:F312">
    <cfRule type="cellIs" dxfId="1" priority="21" operator="equal">
      <formula>"Conquest"</formula>
    </cfRule>
  </conditionalFormatting>
  <conditionalFormatting sqref="F311:F312">
    <cfRule type="cellIs" dxfId="2" priority="22" operator="equal">
      <formula>"Voga"</formula>
    </cfRule>
  </conditionalFormatting>
  <conditionalFormatting sqref="F311:F312">
    <cfRule type="cellIs" dxfId="1" priority="23" operator="equal">
      <formula>"Conquest"</formula>
    </cfRule>
  </conditionalFormatting>
  <conditionalFormatting sqref="F311:F312">
    <cfRule type="cellIs" dxfId="2" priority="24" operator="equal">
      <formula>"Voga"</formula>
    </cfRule>
  </conditionalFormatting>
  <conditionalFormatting sqref="F467">
    <cfRule type="cellIs" dxfId="1" priority="25" operator="equal">
      <formula>"Conquest"</formula>
    </cfRule>
  </conditionalFormatting>
  <conditionalFormatting sqref="F467">
    <cfRule type="cellIs" dxfId="2" priority="26" operator="equal">
      <formula>"Voga"</formula>
    </cfRule>
  </conditionalFormatting>
  <conditionalFormatting sqref="F467">
    <cfRule type="cellIs" dxfId="1" priority="27" operator="equal">
      <formula>"Conquest"</formula>
    </cfRule>
  </conditionalFormatting>
  <conditionalFormatting sqref="F467">
    <cfRule type="cellIs" dxfId="2" priority="28" operator="equal">
      <formula>"Voga"</formula>
    </cfRule>
  </conditionalFormatting>
  <conditionalFormatting sqref="F345:F346">
    <cfRule type="cellIs" dxfId="1" priority="29" operator="equal">
      <formula>"Conquest"</formula>
    </cfRule>
  </conditionalFormatting>
  <conditionalFormatting sqref="F345:F346">
    <cfRule type="cellIs" dxfId="2" priority="30" operator="equal">
      <formula>"Voga"</formula>
    </cfRule>
  </conditionalFormatting>
  <conditionalFormatting sqref="F345:F346">
    <cfRule type="cellIs" dxfId="1" priority="31" operator="equal">
      <formula>"Conquest"</formula>
    </cfRule>
  </conditionalFormatting>
  <conditionalFormatting sqref="F345:F346">
    <cfRule type="cellIs" dxfId="2" priority="32" operator="equal">
      <formula>"Voga"</formula>
    </cfRule>
  </conditionalFormatting>
  <conditionalFormatting sqref="F14:F16">
    <cfRule type="cellIs" dxfId="1" priority="33" operator="equal">
      <formula>"Conquest"</formula>
    </cfRule>
  </conditionalFormatting>
  <conditionalFormatting sqref="F14:F16">
    <cfRule type="cellIs" dxfId="2" priority="34" operator="equal">
      <formula>"Voga"</formula>
    </cfRule>
  </conditionalFormatting>
  <conditionalFormatting sqref="F14:F16">
    <cfRule type="cellIs" dxfId="1" priority="35" operator="equal">
      <formula>"Conquest"</formula>
    </cfRule>
  </conditionalFormatting>
  <conditionalFormatting sqref="F14:F16">
    <cfRule type="cellIs" dxfId="2" priority="36" operator="equal">
      <formula>"Voga"</formula>
    </cfRule>
  </conditionalFormatting>
  <conditionalFormatting sqref="F461">
    <cfRule type="cellIs" dxfId="1" priority="37" operator="equal">
      <formula>"Conquest"</formula>
    </cfRule>
  </conditionalFormatting>
  <conditionalFormatting sqref="F461">
    <cfRule type="cellIs" dxfId="2" priority="38" operator="equal">
      <formula>"Voga"</formula>
    </cfRule>
  </conditionalFormatting>
  <conditionalFormatting sqref="F461">
    <cfRule type="cellIs" dxfId="1" priority="39" operator="equal">
      <formula>"Conquest"</formula>
    </cfRule>
  </conditionalFormatting>
  <conditionalFormatting sqref="F461">
    <cfRule type="cellIs" dxfId="2" priority="40" operator="equal">
      <formula>"Voga"</formula>
    </cfRule>
  </conditionalFormatting>
  <conditionalFormatting sqref="F466">
    <cfRule type="cellIs" dxfId="1" priority="41" operator="equal">
      <formula>"Conquest"</formula>
    </cfRule>
  </conditionalFormatting>
  <conditionalFormatting sqref="F466">
    <cfRule type="cellIs" dxfId="2" priority="42" operator="equal">
      <formula>"Voga"</formula>
    </cfRule>
  </conditionalFormatting>
  <conditionalFormatting sqref="F466">
    <cfRule type="cellIs" dxfId="1" priority="43" operator="equal">
      <formula>"Conquest"</formula>
    </cfRule>
  </conditionalFormatting>
  <conditionalFormatting sqref="F466">
    <cfRule type="cellIs" dxfId="2" priority="44" operator="equal">
      <formula>"Voga"</formula>
    </cfRule>
  </conditionalFormatting>
  <conditionalFormatting sqref="F417">
    <cfRule type="cellIs" dxfId="1" priority="45" operator="equal">
      <formula>"Conquest"</formula>
    </cfRule>
  </conditionalFormatting>
  <conditionalFormatting sqref="F417">
    <cfRule type="cellIs" dxfId="2" priority="46" operator="equal">
      <formula>"Voga"</formula>
    </cfRule>
  </conditionalFormatting>
  <conditionalFormatting sqref="F417">
    <cfRule type="cellIs" dxfId="1" priority="47" operator="equal">
      <formula>"Conquest"</formula>
    </cfRule>
  </conditionalFormatting>
  <conditionalFormatting sqref="F417">
    <cfRule type="cellIs" dxfId="2" priority="48" operator="equal">
      <formula>"Voga"</formula>
    </cfRule>
  </conditionalFormatting>
  <conditionalFormatting sqref="F390:F391">
    <cfRule type="cellIs" dxfId="1" priority="49" operator="equal">
      <formula>"Conquest"</formula>
    </cfRule>
  </conditionalFormatting>
  <conditionalFormatting sqref="F390:F391">
    <cfRule type="cellIs" dxfId="2" priority="50" operator="equal">
      <formula>"Voga"</formula>
    </cfRule>
  </conditionalFormatting>
  <conditionalFormatting sqref="F390:F391">
    <cfRule type="cellIs" dxfId="1" priority="51" operator="equal">
      <formula>"Conquest"</formula>
    </cfRule>
  </conditionalFormatting>
  <conditionalFormatting sqref="F390:F391">
    <cfRule type="cellIs" dxfId="2" priority="52" operator="equal">
      <formula>"Voga"</formula>
    </cfRule>
  </conditionalFormatting>
  <conditionalFormatting sqref="F22">
    <cfRule type="cellIs" dxfId="1" priority="53" operator="equal">
      <formula>"Conquest"</formula>
    </cfRule>
  </conditionalFormatting>
  <conditionalFormatting sqref="F22">
    <cfRule type="cellIs" dxfId="2" priority="54" operator="equal">
      <formula>"Voga"</formula>
    </cfRule>
  </conditionalFormatting>
  <conditionalFormatting sqref="F22">
    <cfRule type="cellIs" dxfId="1" priority="55" operator="equal">
      <formula>"Conquest"</formula>
    </cfRule>
  </conditionalFormatting>
  <conditionalFormatting sqref="F22">
    <cfRule type="cellIs" dxfId="2" priority="56" operator="equal">
      <formula>"Voga"</formula>
    </cfRule>
  </conditionalFormatting>
  <conditionalFormatting sqref="F67:F68">
    <cfRule type="cellIs" dxfId="2" priority="57" operator="equal">
      <formula>"Voga"</formula>
    </cfRule>
  </conditionalFormatting>
  <conditionalFormatting sqref="F67:F68">
    <cfRule type="cellIs" dxfId="1" priority="58" operator="equal">
      <formula>"Conquest"</formula>
    </cfRule>
  </conditionalFormatting>
  <conditionalFormatting sqref="F67:F68">
    <cfRule type="cellIs" dxfId="2" priority="59" operator="equal">
      <formula>"Voga"</formula>
    </cfRule>
  </conditionalFormatting>
  <conditionalFormatting sqref="F67:F68">
    <cfRule type="cellIs" dxfId="1" priority="60" operator="equal">
      <formula>"Conquest"</formula>
    </cfRule>
  </conditionalFormatting>
  <conditionalFormatting sqref="F378">
    <cfRule type="cellIs" dxfId="1" priority="61" operator="equal">
      <formula>"Conquest"</formula>
    </cfRule>
  </conditionalFormatting>
  <conditionalFormatting sqref="F378">
    <cfRule type="cellIs" dxfId="2" priority="62" operator="equal">
      <formula>"Voga"</formula>
    </cfRule>
  </conditionalFormatting>
  <conditionalFormatting sqref="F377">
    <cfRule type="cellIs" dxfId="1" priority="63" operator="equal">
      <formula>"Conquest"</formula>
    </cfRule>
  </conditionalFormatting>
  <conditionalFormatting sqref="F377">
    <cfRule type="cellIs" dxfId="2" priority="64" operator="equal">
      <formula>"Voga"</formula>
    </cfRule>
  </conditionalFormatting>
  <conditionalFormatting sqref="F161">
    <cfRule type="cellIs" dxfId="1" priority="65" operator="equal">
      <formula>"Conquest"</formula>
    </cfRule>
  </conditionalFormatting>
  <conditionalFormatting sqref="F161">
    <cfRule type="cellIs" dxfId="2" priority="66" operator="equal">
      <formula>"Voga"</formula>
    </cfRule>
  </conditionalFormatting>
  <conditionalFormatting sqref="F429:F433">
    <cfRule type="cellIs" dxfId="1" priority="67" operator="equal">
      <formula>"Conquest"</formula>
    </cfRule>
  </conditionalFormatting>
  <conditionalFormatting sqref="F429:F433">
    <cfRule type="cellIs" dxfId="2" priority="68" operator="equal">
      <formula>"Voga"</formula>
    </cfRule>
  </conditionalFormatting>
  <conditionalFormatting sqref="F313">
    <cfRule type="cellIs" dxfId="1" priority="69" operator="equal">
      <formula>"Conquest"</formula>
    </cfRule>
  </conditionalFormatting>
  <conditionalFormatting sqref="F313">
    <cfRule type="cellIs" dxfId="2" priority="70" operator="equal">
      <formula>"Voga"</formula>
    </cfRule>
  </conditionalFormatting>
  <conditionalFormatting sqref="F244:F245">
    <cfRule type="cellIs" dxfId="1" priority="71" operator="equal">
      <formula>"Conquest"</formula>
    </cfRule>
  </conditionalFormatting>
  <conditionalFormatting sqref="F244:F245">
    <cfRule type="cellIs" dxfId="2" priority="72" operator="equal">
      <formula>"Voga"</formula>
    </cfRule>
  </conditionalFormatting>
  <conditionalFormatting sqref="F230:F231">
    <cfRule type="cellIs" dxfId="1" priority="73" operator="equal">
      <formula>"Conquest"</formula>
    </cfRule>
  </conditionalFormatting>
  <conditionalFormatting sqref="F230:F231">
    <cfRule type="cellIs" dxfId="2" priority="74" operator="equal">
      <formula>"Voga"</formula>
    </cfRule>
  </conditionalFormatting>
  <conditionalFormatting sqref="F2">
    <cfRule type="cellIs" dxfId="1" priority="75" operator="equal">
      <formula>"Conquest"</formula>
    </cfRule>
  </conditionalFormatting>
  <conditionalFormatting sqref="F2">
    <cfRule type="cellIs" dxfId="2" priority="76" operator="equal">
      <formula>"Voga"</formula>
    </cfRule>
  </conditionalFormatting>
  <conditionalFormatting sqref="F57">
    <cfRule type="cellIs" dxfId="1" priority="77" operator="equal">
      <formula>"Conquest"</formula>
    </cfRule>
  </conditionalFormatting>
  <conditionalFormatting sqref="F57">
    <cfRule type="cellIs" dxfId="2" priority="78" operator="equal">
      <formula>"Voga"</formula>
    </cfRule>
  </conditionalFormatting>
  <conditionalFormatting sqref="F78">
    <cfRule type="cellIs" dxfId="1" priority="79" operator="equal">
      <formula>"Conquest"</formula>
    </cfRule>
  </conditionalFormatting>
  <conditionalFormatting sqref="F78">
    <cfRule type="cellIs" dxfId="2" priority="80" operator="equal">
      <formula>"Voga"</formula>
    </cfRule>
  </conditionalFormatting>
  <conditionalFormatting sqref="F79:F80">
    <cfRule type="cellIs" dxfId="1" priority="81" operator="equal">
      <formula>"Conquest"</formula>
    </cfRule>
  </conditionalFormatting>
  <conditionalFormatting sqref="F79:F80">
    <cfRule type="cellIs" dxfId="2" priority="82" operator="equal">
      <formula>"Voga"</formula>
    </cfRule>
  </conditionalFormatting>
  <conditionalFormatting sqref="F248">
    <cfRule type="cellIs" dxfId="1" priority="83" operator="equal">
      <formula>"Conquest"</formula>
    </cfRule>
  </conditionalFormatting>
  <conditionalFormatting sqref="F248">
    <cfRule type="cellIs" dxfId="2" priority="84" operator="equal">
      <formula>"Voga"</formula>
    </cfRule>
  </conditionalFormatting>
  <conditionalFormatting sqref="F226">
    <cfRule type="cellIs" dxfId="2" priority="85" operator="equal">
      <formula>"Voga"</formula>
    </cfRule>
  </conditionalFormatting>
  <conditionalFormatting sqref="F226">
    <cfRule type="cellIs" dxfId="1" priority="86" operator="equal">
      <formula>"Conquest"</formula>
    </cfRule>
  </conditionalFormatting>
  <conditionalFormatting sqref="F435">
    <cfRule type="cellIs" dxfId="2" priority="87" operator="equal">
      <formula>"Voga"</formula>
    </cfRule>
  </conditionalFormatting>
  <conditionalFormatting sqref="F435">
    <cfRule type="cellIs" dxfId="1" priority="88" operator="equal">
      <formula>"Conquest"</formula>
    </cfRule>
  </conditionalFormatting>
  <conditionalFormatting sqref="F539">
    <cfRule type="cellIs" dxfId="1" priority="89" operator="equal">
      <formula>"Conquest"</formula>
    </cfRule>
  </conditionalFormatting>
  <conditionalFormatting sqref="F539">
    <cfRule type="cellIs" dxfId="2" priority="90" operator="equal">
      <formula>"Voga"</formula>
    </cfRule>
  </conditionalFormatting>
  <conditionalFormatting sqref="F122:F125">
    <cfRule type="cellIs" dxfId="2" priority="91" operator="equal">
      <formula>"Voga"</formula>
    </cfRule>
  </conditionalFormatting>
  <conditionalFormatting sqref="F122:F125">
    <cfRule type="cellIs" dxfId="1" priority="92" operator="equal">
      <formula>"Conquest"</formula>
    </cfRule>
  </conditionalFormatting>
  <conditionalFormatting sqref="F135">
    <cfRule type="cellIs" dxfId="2" priority="93" operator="equal">
      <formula>"Voga"</formula>
    </cfRule>
  </conditionalFormatting>
  <conditionalFormatting sqref="F135">
    <cfRule type="cellIs" dxfId="1" priority="94" operator="equal">
      <formula>"Conquest"</formula>
    </cfRule>
  </conditionalFormatting>
  <conditionalFormatting sqref="F76">
    <cfRule type="cellIs" dxfId="2" priority="95" operator="equal">
      <formula>"Voga"</formula>
    </cfRule>
  </conditionalFormatting>
  <conditionalFormatting sqref="F76">
    <cfRule type="cellIs" dxfId="1" priority="96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1" priority="97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2" priority="98" operator="equal">
      <formula>"Voga"</formula>
    </cfRule>
  </conditionalFormatting>
  <conditionalFormatting sqref="F360:F362">
    <cfRule type="cellIs" dxfId="1" priority="99" operator="equal">
      <formula>"Conquest"</formula>
    </cfRule>
  </conditionalFormatting>
  <conditionalFormatting sqref="F360:F362">
    <cfRule type="cellIs" dxfId="2" priority="100" operator="equal">
      <formula>"Voga"</formula>
    </cfRule>
  </conditionalFormatting>
  <conditionalFormatting sqref="F510">
    <cfRule type="cellIs" dxfId="2" priority="101" operator="equal">
      <formula>"Voga"</formula>
    </cfRule>
  </conditionalFormatting>
  <conditionalFormatting sqref="F510">
    <cfRule type="cellIs" dxfId="1" priority="102" operator="equal">
      <formula>"Conquest"</formula>
    </cfRule>
  </conditionalFormatting>
  <conditionalFormatting sqref="F194:F197">
    <cfRule type="cellIs" dxfId="2" priority="103" operator="equal">
      <formula>"Voga"</formula>
    </cfRule>
  </conditionalFormatting>
  <conditionalFormatting sqref="F194:F197">
    <cfRule type="cellIs" dxfId="1" priority="104" operator="equal">
      <formula>"Conquest"</formula>
    </cfRule>
  </conditionalFormatting>
  <conditionalFormatting sqref="F41">
    <cfRule type="cellIs" dxfId="1" priority="105" operator="equal">
      <formula>"Conquest"</formula>
    </cfRule>
  </conditionalFormatting>
  <conditionalFormatting sqref="F41">
    <cfRule type="cellIs" dxfId="2" priority="106" operator="equal">
      <formula>"Voga"</formula>
    </cfRule>
  </conditionalFormatting>
  <conditionalFormatting sqref="F117">
    <cfRule type="cellIs" dxfId="1" priority="107" operator="equal">
      <formula>"Conquest"</formula>
    </cfRule>
  </conditionalFormatting>
  <conditionalFormatting sqref="F117">
    <cfRule type="cellIs" dxfId="2" priority="108" operator="equal">
      <formula>"Voga"</formula>
    </cfRule>
  </conditionalFormatting>
  <conditionalFormatting sqref="F87:F89">
    <cfRule type="cellIs" dxfId="2" priority="109" operator="equal">
      <formula>"Voga"</formula>
    </cfRule>
  </conditionalFormatting>
  <conditionalFormatting sqref="F87:F89">
    <cfRule type="cellIs" dxfId="1" priority="110" operator="equal">
      <formula>"Conquest"</formula>
    </cfRule>
  </conditionalFormatting>
  <conditionalFormatting sqref="F321">
    <cfRule type="cellIs" dxfId="1" priority="111" operator="equal">
      <formula>"Conquest"</formula>
    </cfRule>
  </conditionalFormatting>
  <conditionalFormatting sqref="F321">
    <cfRule type="cellIs" dxfId="2" priority="112" operator="equal">
      <formula>"Voga"</formula>
    </cfRule>
  </conditionalFormatting>
  <conditionalFormatting sqref="F330:F331">
    <cfRule type="cellIs" dxfId="2" priority="113" operator="equal">
      <formula>"Voga"</formula>
    </cfRule>
  </conditionalFormatting>
  <conditionalFormatting sqref="F330:F331">
    <cfRule type="cellIs" dxfId="1" priority="114" operator="equal">
      <formula>"Conquest"</formula>
    </cfRule>
  </conditionalFormatting>
  <conditionalFormatting sqref="F164">
    <cfRule type="cellIs" dxfId="2" priority="115" operator="equal">
      <formula>"Voga"</formula>
    </cfRule>
  </conditionalFormatting>
  <conditionalFormatting sqref="F164">
    <cfRule type="cellIs" dxfId="1" priority="116" operator="equal">
      <formula>"Conquest"</formula>
    </cfRule>
  </conditionalFormatting>
  <conditionalFormatting sqref="F73">
    <cfRule type="cellIs" dxfId="2" priority="117" operator="equal">
      <formula>"Voga"</formula>
    </cfRule>
  </conditionalFormatting>
  <conditionalFormatting sqref="F73">
    <cfRule type="cellIs" dxfId="1" priority="118" operator="equal">
      <formula>"Conquest"</formula>
    </cfRule>
  </conditionalFormatting>
  <conditionalFormatting sqref="F96">
    <cfRule type="cellIs" dxfId="1" priority="119" operator="equal">
      <formula>"Conquest"</formula>
    </cfRule>
  </conditionalFormatting>
  <conditionalFormatting sqref="F96">
    <cfRule type="cellIs" dxfId="2" priority="120" operator="equal">
      <formula>"Voga"</formula>
    </cfRule>
  </conditionalFormatting>
  <conditionalFormatting sqref="F407">
    <cfRule type="cellIs" dxfId="1" priority="121" operator="equal">
      <formula>"Conquest"</formula>
    </cfRule>
  </conditionalFormatting>
  <conditionalFormatting sqref="F407">
    <cfRule type="cellIs" dxfId="2" priority="122" operator="equal">
      <formula>"Voga"</formula>
    </cfRule>
  </conditionalFormatting>
  <conditionalFormatting sqref="F115:F116">
    <cfRule type="cellIs" dxfId="1" priority="123" operator="equal">
      <formula>"Conquest"</formula>
    </cfRule>
  </conditionalFormatting>
  <conditionalFormatting sqref="F115:F116">
    <cfRule type="cellIs" dxfId="2" priority="124" operator="equal">
      <formula>"Voga"</formula>
    </cfRule>
  </conditionalFormatting>
  <conditionalFormatting sqref="F62 F76 F81:F82 F84 F90:F92 F94 F119 F153:F154 F168 F170:F173 F205 F208 F211:F212 F215:F216 F218">
    <cfRule type="cellIs" dxfId="1" priority="125" operator="equal">
      <formula>"Conquest"</formula>
    </cfRule>
  </conditionalFormatting>
  <conditionalFormatting sqref="F62 F76 F81:F82 F84 F90:F92 F94 F119 F153:F154 F168 F170:F173 F205 F208 F211:F212 F215:F216 F218">
    <cfRule type="cellIs" dxfId="2" priority="126" operator="equal">
      <formula>"Voga"</formula>
    </cfRule>
  </conditionalFormatting>
  <conditionalFormatting sqref="F81:F82">
    <cfRule type="cellIs" dxfId="1" priority="127" operator="equal">
      <formula>"Conquest"</formula>
    </cfRule>
  </conditionalFormatting>
  <conditionalFormatting sqref="F81:F82">
    <cfRule type="cellIs" dxfId="2" priority="128" operator="equal">
      <formula>"Voga"</formula>
    </cfRule>
  </conditionalFormatting>
  <conditionalFormatting sqref="F335">
    <cfRule type="cellIs" dxfId="1" priority="129" operator="equal">
      <formula>"Conquest"</formula>
    </cfRule>
  </conditionalFormatting>
  <conditionalFormatting sqref="F335">
    <cfRule type="cellIs" dxfId="2" priority="130" operator="equal">
      <formula>"Voga"</formula>
    </cfRule>
  </conditionalFormatting>
  <conditionalFormatting sqref="F465">
    <cfRule type="cellIs" dxfId="2" priority="131" operator="equal">
      <formula>"Voga"</formula>
    </cfRule>
  </conditionalFormatting>
  <conditionalFormatting sqref="F465">
    <cfRule type="cellIs" dxfId="1" priority="132" operator="equal">
      <formula>"Conquest"</formula>
    </cfRule>
  </conditionalFormatting>
  <conditionalFormatting sqref="F453">
    <cfRule type="cellIs" dxfId="2" priority="133" operator="equal">
      <formula>"Voga"</formula>
    </cfRule>
  </conditionalFormatting>
  <conditionalFormatting sqref="F453">
    <cfRule type="cellIs" dxfId="1" priority="134" operator="equal">
      <formula>"Conquest"</formula>
    </cfRule>
  </conditionalFormatting>
  <conditionalFormatting sqref="F526">
    <cfRule type="cellIs" dxfId="1" priority="135" operator="equal">
      <formula>"Conquest"</formula>
    </cfRule>
  </conditionalFormatting>
  <conditionalFormatting sqref="F526">
    <cfRule type="cellIs" dxfId="2" priority="136" operator="equal">
      <formula>"Voga"</formula>
    </cfRule>
  </conditionalFormatting>
  <conditionalFormatting sqref="F526">
    <cfRule type="cellIs" dxfId="1" priority="137" operator="equal">
      <formula>"Conquest"</formula>
    </cfRule>
  </conditionalFormatting>
  <conditionalFormatting sqref="F526">
    <cfRule type="cellIs" dxfId="2" priority="138" operator="equal">
      <formula>"Voga"</formula>
    </cfRule>
  </conditionalFormatting>
  <conditionalFormatting sqref="F506:F507">
    <cfRule type="cellIs" dxfId="1" priority="139" operator="equal">
      <formula>"Conquest"</formula>
    </cfRule>
  </conditionalFormatting>
  <conditionalFormatting sqref="F506:F507">
    <cfRule type="cellIs" dxfId="2" priority="140" operator="equal">
      <formula>"Voga"</formula>
    </cfRule>
  </conditionalFormatting>
  <conditionalFormatting sqref="F218">
    <cfRule type="cellIs" dxfId="1" priority="141" operator="equal">
      <formula>"Conquest"</formula>
    </cfRule>
  </conditionalFormatting>
  <conditionalFormatting sqref="F218">
    <cfRule type="cellIs" dxfId="2" priority="142" operator="equal">
      <formula>"Voga"</formula>
    </cfRule>
  </conditionalFormatting>
  <conditionalFormatting sqref="F29:I29">
    <cfRule type="cellIs" dxfId="1" priority="143" operator="equal">
      <formula>"Conquest"</formula>
    </cfRule>
  </conditionalFormatting>
  <conditionalFormatting sqref="F29:I29">
    <cfRule type="cellIs" dxfId="2" priority="144" operator="equal">
      <formula>"Voga"</formula>
    </cfRule>
  </conditionalFormatting>
  <conditionalFormatting sqref="H375:I375">
    <cfRule type="cellIs" dxfId="1" priority="145" operator="equal">
      <formula>"Conquest"</formula>
    </cfRule>
  </conditionalFormatting>
  <conditionalFormatting sqref="H375:I375">
    <cfRule type="cellIs" dxfId="2" priority="146" operator="equal">
      <formula>"Voga"</formula>
    </cfRule>
  </conditionalFormatting>
  <conditionalFormatting sqref="F129">
    <cfRule type="cellIs" dxfId="1" priority="147" operator="equal">
      <formula>"Conquest"</formula>
    </cfRule>
  </conditionalFormatting>
  <conditionalFormatting sqref="F129">
    <cfRule type="cellIs" dxfId="2" priority="148" operator="equal">
      <formula>"Voga"</formula>
    </cfRule>
  </conditionalFormatting>
  <conditionalFormatting sqref="F215:F216">
    <cfRule type="cellIs" dxfId="2" priority="149" operator="equal">
      <formula>"Voga"</formula>
    </cfRule>
  </conditionalFormatting>
  <conditionalFormatting sqref="F215:F216">
    <cfRule type="cellIs" dxfId="1" priority="150" operator="equal">
      <formula>"Conquest"</formula>
    </cfRule>
  </conditionalFormatting>
  <conditionalFormatting sqref="F208">
    <cfRule type="cellIs" dxfId="2" priority="151" operator="equal">
      <formula>"Voga"</formula>
    </cfRule>
  </conditionalFormatting>
  <conditionalFormatting sqref="F208">
    <cfRule type="cellIs" dxfId="1" priority="152" operator="equal">
      <formula>"Conquest"</formula>
    </cfRule>
  </conditionalFormatting>
  <conditionalFormatting sqref="F103:F104">
    <cfRule type="cellIs" dxfId="2" priority="153" operator="equal">
      <formula>"Voga"</formula>
    </cfRule>
  </conditionalFormatting>
  <conditionalFormatting sqref="F103:F104">
    <cfRule type="cellIs" dxfId="1" priority="154" operator="equal">
      <formula>"Conquest"</formula>
    </cfRule>
  </conditionalFormatting>
  <conditionalFormatting sqref="F529:F531">
    <cfRule type="cellIs" dxfId="2" priority="155" operator="equal">
      <formula>"Voga"</formula>
    </cfRule>
  </conditionalFormatting>
  <conditionalFormatting sqref="F529:F531">
    <cfRule type="cellIs" dxfId="1" priority="156" operator="equal">
      <formula>"Conquest"</formula>
    </cfRule>
  </conditionalFormatting>
  <conditionalFormatting sqref="F519">
    <cfRule type="cellIs" dxfId="2" priority="157" operator="equal">
      <formula>"Voga"</formula>
    </cfRule>
  </conditionalFormatting>
  <conditionalFormatting sqref="F519">
    <cfRule type="cellIs" dxfId="1" priority="158" operator="equal">
      <formula>"Conquest"</formula>
    </cfRule>
  </conditionalFormatting>
  <conditionalFormatting sqref="F90:F92 F94 F119 F153:F154 F168 F170:F173 F205 F208 F211:F212 F215:F216 F218">
    <cfRule type="cellIs" dxfId="1" priority="159" operator="equal">
      <formula>"Conquest"</formula>
    </cfRule>
  </conditionalFormatting>
  <conditionalFormatting sqref="F90:F92 F94 F119 F153:F154 F168 F170:F173 F205 F208 F211:F212 F215:F216 F218">
    <cfRule type="cellIs" dxfId="2" priority="160" operator="equal">
      <formula>"Voga"</formula>
    </cfRule>
  </conditionalFormatting>
  <conditionalFormatting sqref="F286:F289">
    <cfRule type="cellIs" dxfId="1" priority="161" operator="equal">
      <formula>"Conquest"</formula>
    </cfRule>
  </conditionalFormatting>
  <conditionalFormatting sqref="F286:F289">
    <cfRule type="cellIs" dxfId="2" priority="162" operator="equal">
      <formula>"Voga"</formula>
    </cfRule>
  </conditionalFormatting>
  <conditionalFormatting sqref="F91:F92">
    <cfRule type="cellIs" dxfId="1" priority="163" operator="equal">
      <formula>"Conquest"</formula>
    </cfRule>
  </conditionalFormatting>
  <conditionalFormatting sqref="F91:F92">
    <cfRule type="cellIs" dxfId="2" priority="164" operator="equal">
      <formula>"Voga"</formula>
    </cfRule>
  </conditionalFormatting>
  <conditionalFormatting sqref="F281">
    <cfRule type="cellIs" dxfId="1" priority="165" operator="equal">
      <formula>"Conquest"</formula>
    </cfRule>
  </conditionalFormatting>
  <conditionalFormatting sqref="F281">
    <cfRule type="cellIs" dxfId="2" priority="166" operator="equal">
      <formula>"Voga"</formula>
    </cfRule>
  </conditionalFormatting>
  <conditionalFormatting sqref="F94">
    <cfRule type="cellIs" dxfId="2" priority="167" operator="equal">
      <formula>"Voga"</formula>
    </cfRule>
  </conditionalFormatting>
  <conditionalFormatting sqref="F94">
    <cfRule type="cellIs" dxfId="1" priority="168" operator="equal">
      <formula>"Conquest"</formula>
    </cfRule>
  </conditionalFormatting>
  <conditionalFormatting sqref="F299:F301 F426">
    <cfRule type="cellIs" dxfId="1" priority="169" operator="equal">
      <formula>"Conquest"</formula>
    </cfRule>
  </conditionalFormatting>
  <conditionalFormatting sqref="F299:F301 F426">
    <cfRule type="cellIs" dxfId="2" priority="170" operator="equal">
      <formula>"Voga"</formula>
    </cfRule>
  </conditionalFormatting>
  <conditionalFormatting sqref="F84">
    <cfRule type="cellIs" dxfId="1" priority="171" operator="equal">
      <formula>"Conquest"</formula>
    </cfRule>
  </conditionalFormatting>
  <conditionalFormatting sqref="F84">
    <cfRule type="cellIs" dxfId="2" priority="172" operator="equal">
      <formula>"Voga"</formula>
    </cfRule>
  </conditionalFormatting>
  <conditionalFormatting sqref="F60:F62">
    <cfRule type="cellIs" dxfId="2" priority="173" operator="equal">
      <formula>"Voga"</formula>
    </cfRule>
  </conditionalFormatting>
  <conditionalFormatting sqref="F60:F62">
    <cfRule type="cellIs" dxfId="1" priority="174" operator="equal">
      <formula>"Conquest"</formula>
    </cfRule>
  </conditionalFormatting>
  <conditionalFormatting sqref="F468">
    <cfRule type="cellIs" dxfId="2" priority="175" operator="equal">
      <formula>"Voga"</formula>
    </cfRule>
  </conditionalFormatting>
  <conditionalFormatting sqref="F468">
    <cfRule type="cellIs" dxfId="1" priority="176" operator="equal">
      <formula>"Conquest"</formula>
    </cfRule>
  </conditionalFormatting>
  <conditionalFormatting sqref="F478">
    <cfRule type="cellIs" dxfId="1" priority="177" operator="equal">
      <formula>"Conquest"</formula>
    </cfRule>
  </conditionalFormatting>
  <conditionalFormatting sqref="F478">
    <cfRule type="cellIs" dxfId="2" priority="178" operator="equal">
      <formula>"Voga"</formula>
    </cfRule>
  </conditionalFormatting>
  <conditionalFormatting sqref="F492">
    <cfRule type="cellIs" dxfId="1" priority="179" operator="equal">
      <formula>"Conquest"</formula>
    </cfRule>
  </conditionalFormatting>
  <conditionalFormatting sqref="F492">
    <cfRule type="cellIs" dxfId="2" priority="180" operator="equal">
      <formula>"Voga"</formula>
    </cfRule>
  </conditionalFormatting>
  <conditionalFormatting sqref="F229 F524">
    <cfRule type="cellIs" dxfId="1" priority="181" operator="equal">
      <formula>"Conquest"</formula>
    </cfRule>
  </conditionalFormatting>
  <conditionalFormatting sqref="F229 F524">
    <cfRule type="cellIs" dxfId="2" priority="182" operator="equal">
      <formula>"Voga"</formula>
    </cfRule>
  </conditionalFormatting>
  <conditionalFormatting sqref="F397:F398">
    <cfRule type="cellIs" dxfId="1" priority="183" operator="equal">
      <formula>"Conquest"</formula>
    </cfRule>
  </conditionalFormatting>
  <conditionalFormatting sqref="F397:F398">
    <cfRule type="cellIs" dxfId="2" priority="184" operator="equal">
      <formula>"Voga"</formula>
    </cfRule>
  </conditionalFormatting>
  <conditionalFormatting sqref="F349:F350">
    <cfRule type="cellIs" dxfId="2" priority="185" operator="equal">
      <formula>"Voga"</formula>
    </cfRule>
  </conditionalFormatting>
  <conditionalFormatting sqref="F349:F350">
    <cfRule type="cellIs" dxfId="1" priority="186" operator="equal">
      <formula>"Conquest"</formula>
    </cfRule>
  </conditionalFormatting>
  <conditionalFormatting sqref="F376 F440 F457:F458">
    <cfRule type="cellIs" dxfId="1" priority="187" operator="equal">
      <formula>"Conquest"</formula>
    </cfRule>
  </conditionalFormatting>
  <conditionalFormatting sqref="F376 F440 F457:F458">
    <cfRule type="cellIs" dxfId="2" priority="188" operator="equal">
      <formula>"Voga"</formula>
    </cfRule>
  </conditionalFormatting>
  <conditionalFormatting sqref="F64:F65">
    <cfRule type="cellIs" dxfId="2" priority="189" operator="equal">
      <formula>"Voga"</formula>
    </cfRule>
  </conditionalFormatting>
  <conditionalFormatting sqref="F64:F65">
    <cfRule type="cellIs" dxfId="1" priority="190" operator="equal">
      <formula>"Conquest"</formula>
    </cfRule>
  </conditionalFormatting>
  <conditionalFormatting sqref="F213">
    <cfRule type="cellIs" dxfId="1" priority="191" operator="equal">
      <formula>"Conquest"</formula>
    </cfRule>
  </conditionalFormatting>
  <conditionalFormatting sqref="F213">
    <cfRule type="cellIs" dxfId="2" priority="192" operator="equal">
      <formula>"Voga"</formula>
    </cfRule>
  </conditionalFormatting>
  <conditionalFormatting sqref="E389 F388:F389 G389">
    <cfRule type="cellIs" dxfId="1" priority="193" operator="equal">
      <formula>"Conquest"</formula>
    </cfRule>
  </conditionalFormatting>
  <conditionalFormatting sqref="E389 F388:F389 G389">
    <cfRule type="cellIs" dxfId="2" priority="194" operator="equal">
      <formula>"Voga"</formula>
    </cfRule>
  </conditionalFormatting>
  <conditionalFormatting sqref="F120">
    <cfRule type="cellIs" dxfId="1" priority="195" operator="equal">
      <formula>"Conquest"</formula>
    </cfRule>
  </conditionalFormatting>
  <conditionalFormatting sqref="F120">
    <cfRule type="cellIs" dxfId="2" priority="196" operator="equal">
      <formula>"Voga"</formula>
    </cfRule>
  </conditionalFormatting>
  <conditionalFormatting sqref="F323:F324">
    <cfRule type="cellIs" dxfId="1" priority="197" operator="equal">
      <formula>"Conquest"</formula>
    </cfRule>
  </conditionalFormatting>
  <conditionalFormatting sqref="F323:F324">
    <cfRule type="cellIs" dxfId="2" priority="198" operator="equal">
      <formula>"Voga"</formula>
    </cfRule>
  </conditionalFormatting>
  <conditionalFormatting sqref="F320">
    <cfRule type="cellIs" dxfId="1" priority="199" operator="equal">
      <formula>"Conquest"</formula>
    </cfRule>
  </conditionalFormatting>
  <conditionalFormatting sqref="F320">
    <cfRule type="cellIs" dxfId="2" priority="200" operator="equal">
      <formula>"Voga"</formula>
    </cfRule>
  </conditionalFormatting>
  <conditionalFormatting sqref="F113">
    <cfRule type="cellIs" dxfId="1" priority="201" operator="equal">
      <formula>"Conquest"</formula>
    </cfRule>
  </conditionalFormatting>
  <conditionalFormatting sqref="F113">
    <cfRule type="cellIs" dxfId="2" priority="202" operator="equal">
      <formula>"Voga"</formula>
    </cfRule>
  </conditionalFormatting>
  <conditionalFormatting sqref="F463:F464">
    <cfRule type="cellIs" dxfId="1" priority="203" operator="equal">
      <formula>"Conquest"</formula>
    </cfRule>
  </conditionalFormatting>
  <conditionalFormatting sqref="F463:F464">
    <cfRule type="cellIs" dxfId="2" priority="204" operator="equal">
      <formula>"Voga"</formula>
    </cfRule>
  </conditionalFormatting>
  <conditionalFormatting sqref="F42">
    <cfRule type="cellIs" dxfId="2" priority="205" operator="equal">
      <formula>"Voga"</formula>
    </cfRule>
  </conditionalFormatting>
  <conditionalFormatting sqref="F42">
    <cfRule type="cellIs" dxfId="1" priority="206" operator="equal">
      <formula>"Conquest"</formula>
    </cfRule>
  </conditionalFormatting>
  <conditionalFormatting sqref="F112 G5 G305 G390 G515:G516 G530">
    <cfRule type="cellIs" dxfId="3" priority="207" operator="equal">
      <formula>"Bluemetrix"</formula>
    </cfRule>
  </conditionalFormatting>
  <conditionalFormatting sqref="F112">
    <cfRule type="cellIs" dxfId="1" priority="208" operator="equal">
      <formula>"Conquest"</formula>
    </cfRule>
  </conditionalFormatting>
  <conditionalFormatting sqref="F112">
    <cfRule type="cellIs" dxfId="2" priority="209" operator="equal">
      <formula>"Voga"</formula>
    </cfRule>
  </conditionalFormatting>
  <conditionalFormatting sqref="F441">
    <cfRule type="cellIs" dxfId="3" priority="210" operator="equal">
      <formula>"Bluemetrix"</formula>
    </cfRule>
  </conditionalFormatting>
  <conditionalFormatting sqref="F441">
    <cfRule type="cellIs" dxfId="1" priority="211" operator="equal">
      <formula>"Conquest"</formula>
    </cfRule>
  </conditionalFormatting>
  <conditionalFormatting sqref="F441">
    <cfRule type="cellIs" dxfId="2" priority="212" operator="equal">
      <formula>"Voga"</formula>
    </cfRule>
  </conditionalFormatting>
  <conditionalFormatting sqref="F422">
    <cfRule type="cellIs" dxfId="3" priority="213" operator="equal">
      <formula>"Bluemetrix"</formula>
    </cfRule>
  </conditionalFormatting>
  <conditionalFormatting sqref="F422">
    <cfRule type="cellIs" dxfId="1" priority="214" operator="equal">
      <formula>"Conquest"</formula>
    </cfRule>
  </conditionalFormatting>
  <conditionalFormatting sqref="F422">
    <cfRule type="cellIs" dxfId="2" priority="215" operator="equal">
      <formula>"Voga"</formula>
    </cfRule>
  </conditionalFormatting>
  <conditionalFormatting sqref="F304">
    <cfRule type="cellIs" dxfId="1" priority="216" operator="equal">
      <formula>"Conquest"</formula>
    </cfRule>
  </conditionalFormatting>
  <conditionalFormatting sqref="F304">
    <cfRule type="cellIs" dxfId="2" priority="217" operator="equal">
      <formula>"Voga"</formula>
    </cfRule>
  </conditionalFormatting>
  <conditionalFormatting sqref="F304">
    <cfRule type="cellIs" dxfId="3" priority="218" operator="equal">
      <formula>"Bluemetrix"</formula>
    </cfRule>
  </conditionalFormatting>
  <conditionalFormatting sqref="F206">
    <cfRule type="cellIs" dxfId="2" priority="219" operator="equal">
      <formula>"Voga"</formula>
    </cfRule>
  </conditionalFormatting>
  <conditionalFormatting sqref="F206">
    <cfRule type="cellIs" dxfId="1" priority="220" operator="equal">
      <formula>"Conquest"</formula>
    </cfRule>
  </conditionalFormatting>
  <conditionalFormatting sqref="F206">
    <cfRule type="cellIs" dxfId="3" priority="221" operator="equal">
      <formula>"Bluemetrix"</formula>
    </cfRule>
  </conditionalFormatting>
  <conditionalFormatting sqref="F494:F495">
    <cfRule type="cellIs" dxfId="2" priority="222" operator="equal">
      <formula>"Voga"</formula>
    </cfRule>
  </conditionalFormatting>
  <conditionalFormatting sqref="F494:F495">
    <cfRule type="cellIs" dxfId="1" priority="223" operator="equal">
      <formula>"Conquest"</formula>
    </cfRule>
  </conditionalFormatting>
  <conditionalFormatting sqref="F494:F495">
    <cfRule type="cellIs" dxfId="3" priority="224" operator="equal">
      <formula>"Bluemetrix"</formula>
    </cfRule>
  </conditionalFormatting>
  <conditionalFormatting sqref="F50">
    <cfRule type="cellIs" dxfId="3" priority="225" operator="equal">
      <formula>"Bluemetrix"</formula>
    </cfRule>
  </conditionalFormatting>
  <conditionalFormatting sqref="F419:F421 G419">
    <cfRule type="cellIs" dxfId="3" priority="226" operator="equal">
      <formula>"Bluemetrix"</formula>
    </cfRule>
  </conditionalFormatting>
  <conditionalFormatting sqref="F419:F421">
    <cfRule type="cellIs" dxfId="1" priority="227" operator="equal">
      <formula>"Conquest"</formula>
    </cfRule>
  </conditionalFormatting>
  <conditionalFormatting sqref="F419:F421">
    <cfRule type="cellIs" dxfId="2" priority="228" operator="equal">
      <formula>"Voga"</formula>
    </cfRule>
  </conditionalFormatting>
  <conditionalFormatting sqref="F33:F35">
    <cfRule type="cellIs" dxfId="3" priority="229" operator="equal">
      <formula>"Bluemetrix"</formula>
    </cfRule>
  </conditionalFormatting>
  <conditionalFormatting sqref="F33:F35">
    <cfRule type="cellIs" dxfId="1" priority="230" operator="equal">
      <formula>"Conquest"</formula>
    </cfRule>
  </conditionalFormatting>
  <conditionalFormatting sqref="F33:F35">
    <cfRule type="cellIs" dxfId="2" priority="231" operator="equal">
      <formula>"Voga"</formula>
    </cfRule>
  </conditionalFormatting>
  <conditionalFormatting sqref="F396">
    <cfRule type="cellIs" dxfId="3" priority="232" operator="equal">
      <formula>"Bluemetrix"</formula>
    </cfRule>
  </conditionalFormatting>
  <conditionalFormatting sqref="F396">
    <cfRule type="cellIs" dxfId="1" priority="233" operator="equal">
      <formula>"Conquest"</formula>
    </cfRule>
  </conditionalFormatting>
  <conditionalFormatting sqref="F396">
    <cfRule type="cellIs" dxfId="2" priority="234" operator="equal">
      <formula>"Voga"</formula>
    </cfRule>
  </conditionalFormatting>
  <conditionalFormatting sqref="F503:F504">
    <cfRule type="cellIs" dxfId="1" priority="235" operator="equal">
      <formula>"Conquest"</formula>
    </cfRule>
  </conditionalFormatting>
  <conditionalFormatting sqref="F503:F504">
    <cfRule type="cellIs" dxfId="2" priority="236" operator="equal">
      <formula>"Voga"</formula>
    </cfRule>
  </conditionalFormatting>
  <conditionalFormatting sqref="F503:F504">
    <cfRule type="cellIs" dxfId="3" priority="237" operator="equal">
      <formula>"Bluemetrix"</formula>
    </cfRule>
  </conditionalFormatting>
  <conditionalFormatting sqref="F156:F157">
    <cfRule type="cellIs" dxfId="3" priority="238" operator="equal">
      <formula>"Bluemetrix"</formula>
    </cfRule>
  </conditionalFormatting>
  <conditionalFormatting sqref="F156:F157">
    <cfRule type="cellIs" dxfId="2" priority="239" operator="equal">
      <formula>"Voga"</formula>
    </cfRule>
  </conditionalFormatting>
  <conditionalFormatting sqref="F156:F157">
    <cfRule type="cellIs" dxfId="1" priority="240" operator="equal">
      <formula>"Conquest"</formula>
    </cfRule>
  </conditionalFormatting>
  <conditionalFormatting sqref="F532">
    <cfRule type="cellIs" dxfId="3" priority="241" operator="equal">
      <formula>"Bluemetrix"</formula>
    </cfRule>
  </conditionalFormatting>
  <conditionalFormatting sqref="F488">
    <cfRule type="cellIs" dxfId="2" priority="242" operator="equal">
      <formula>"Voga"</formula>
    </cfRule>
  </conditionalFormatting>
  <conditionalFormatting sqref="F488">
    <cfRule type="cellIs" dxfId="1" priority="243" operator="equal">
      <formula>"Conquest"</formula>
    </cfRule>
  </conditionalFormatting>
  <conditionalFormatting sqref="F488">
    <cfRule type="cellIs" dxfId="3" priority="244" operator="equal">
      <formula>"Bluemetrix"</formula>
    </cfRule>
  </conditionalFormatting>
  <conditionalFormatting sqref="G13:G262 H13:I16 G264:G292 G302:G303 G326 G329 G336 G355:G356 G373:G375 G405:G406 G425 G427 G448 G460 G481 G497 G505 G522:G523 G533:G534 G552">
    <cfRule type="cellIs" dxfId="3" priority="245" operator="equal">
      <formula>"Bluemetrix"</formula>
    </cfRule>
  </conditionalFormatting>
  <conditionalFormatting sqref="F64:F65 G11:I11">
    <cfRule type="containsBlanks" dxfId="4" priority="246">
      <formula>LEN(TRIM(F64))=0</formula>
    </cfRule>
  </conditionalFormatting>
  <conditionalFormatting sqref="F64:F65 G11:I11">
    <cfRule type="cellIs" dxfId="5" priority="247" operator="equal">
      <formula>"GUIDE"</formula>
    </cfRule>
  </conditionalFormatting>
  <conditionalFormatting sqref="F64:F65 G11:I11">
    <cfRule type="cellIs" dxfId="6" priority="248" operator="equal">
      <formula>"XP"</formula>
    </cfRule>
  </conditionalFormatting>
  <conditionalFormatting sqref="F64:F65 G11:I11">
    <cfRule type="cellIs" dxfId="7" priority="249" operator="equal">
      <formula>"GENIAL"</formula>
    </cfRule>
  </conditionalFormatting>
  <conditionalFormatting sqref="G11:I11">
    <cfRule type="cellIs" dxfId="3" priority="250" operator="equal">
      <formula>"Bluemetrix"</formula>
    </cfRule>
  </conditionalFormatting>
  <dataValidations>
    <dataValidation type="list" allowBlank="1" showErrorMessage="1" sqref="J2:J543">
      <formula1>"Ativo,Inativo,Encerrado,Sem Patrimônio"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182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63"/>
    <col customWidth="1" min="3" max="3" width="12.75"/>
    <col customWidth="1" min="4" max="4" width="5.75"/>
    <col customWidth="1" min="5" max="5" width="10.0"/>
    <col customWidth="1" min="6" max="6" width="15.13"/>
    <col customWidth="1" min="7" max="7" width="7.88"/>
    <col customWidth="1" min="8" max="8" width="11.38"/>
    <col customWidth="1" min="9" max="9" width="13.63"/>
    <col customWidth="1" min="10" max="10" width="5.75"/>
    <col customWidth="1" min="11" max="11" width="10.75"/>
    <col customWidth="1" min="12" max="12" width="11.75"/>
    <col customWidth="1" min="13" max="13" width="8.38"/>
    <col customWidth="1" min="14" max="14" width="10.88"/>
    <col customWidth="1" min="15" max="15" width="10.75"/>
    <col customWidth="1" min="16" max="16" width="8.38"/>
    <col customWidth="1" min="17" max="17" width="9.88"/>
    <col customWidth="1" min="18" max="18" width="10.63"/>
    <col customWidth="1" min="19" max="19" width="8.38"/>
  </cols>
  <sheetData>
    <row r="1">
      <c r="A1" s="483" t="s">
        <v>2425</v>
      </c>
      <c r="E1" s="484"/>
      <c r="F1" s="484"/>
      <c r="H1" s="483" t="s">
        <v>2428</v>
      </c>
      <c r="K1" s="485" t="s">
        <v>2429</v>
      </c>
      <c r="M1" s="483"/>
      <c r="N1" s="483" t="s">
        <v>2430</v>
      </c>
      <c r="P1" s="483"/>
      <c r="Q1" s="483" t="s">
        <v>2431</v>
      </c>
      <c r="S1" s="483"/>
    </row>
    <row r="2">
      <c r="A2" s="486" t="s">
        <v>2</v>
      </c>
      <c r="B2" s="487" t="s">
        <v>1</v>
      </c>
      <c r="C2" s="487" t="s">
        <v>2435</v>
      </c>
      <c r="E2" s="488" t="s">
        <v>2436</v>
      </c>
      <c r="F2" s="489">
        <v>46238.0</v>
      </c>
      <c r="H2" s="486" t="s">
        <v>2</v>
      </c>
      <c r="I2" s="487" t="s">
        <v>2435</v>
      </c>
      <c r="K2" s="487" t="s">
        <v>2</v>
      </c>
      <c r="L2" s="491" t="s">
        <v>2435</v>
      </c>
      <c r="M2" s="492"/>
      <c r="N2" s="486" t="s">
        <v>2</v>
      </c>
      <c r="O2" s="487" t="s">
        <v>2435</v>
      </c>
      <c r="P2" s="492"/>
      <c r="Q2" s="486" t="s">
        <v>2</v>
      </c>
      <c r="R2" s="487" t="s">
        <v>2435</v>
      </c>
      <c r="S2" s="492"/>
    </row>
    <row r="3">
      <c r="A3" s="493" t="s">
        <v>2439</v>
      </c>
      <c r="B3" s="494" t="s">
        <v>2440</v>
      </c>
      <c r="C3" s="495">
        <v>1.838883719E7</v>
      </c>
      <c r="H3" s="496">
        <v>1.100556E7</v>
      </c>
      <c r="I3" s="497">
        <v>6217903.6</v>
      </c>
      <c r="K3" s="496">
        <v>47176.0</v>
      </c>
      <c r="L3" s="495">
        <v>1445073.48</v>
      </c>
      <c r="M3" s="498"/>
      <c r="N3" s="499">
        <v>3251756.0</v>
      </c>
      <c r="O3" s="500">
        <v>0.0</v>
      </c>
      <c r="P3" s="498"/>
      <c r="Q3" s="501" t="s">
        <v>206</v>
      </c>
      <c r="R3" s="500">
        <v>0.0</v>
      </c>
      <c r="S3" s="498"/>
    </row>
    <row r="4">
      <c r="A4" s="502" t="s">
        <v>2123</v>
      </c>
      <c r="B4" s="494" t="s">
        <v>2444</v>
      </c>
      <c r="C4" s="495">
        <v>1.12945676E7</v>
      </c>
      <c r="E4" s="503" t="s">
        <v>2445</v>
      </c>
      <c r="F4" s="504">
        <f>SUM(C:C)+SUM(O:O)+SUM(I:I)+SUM(L:L)+SUM(R:R)</f>
        <v>509355192.6</v>
      </c>
      <c r="H4" s="496">
        <v>1.5667976E7</v>
      </c>
      <c r="I4" s="497">
        <v>499463.58</v>
      </c>
      <c r="K4" s="494">
        <v>87474.0</v>
      </c>
      <c r="L4" s="495">
        <v>765787.8022</v>
      </c>
      <c r="M4" s="498"/>
      <c r="N4" s="499">
        <v>3252345.0</v>
      </c>
      <c r="O4" s="500">
        <v>50798.14</v>
      </c>
      <c r="P4" s="498"/>
      <c r="Q4" s="501" t="s">
        <v>286</v>
      </c>
      <c r="R4" s="500">
        <v>0.0</v>
      </c>
      <c r="S4" s="498"/>
    </row>
    <row r="5">
      <c r="A5" s="502" t="s">
        <v>2450</v>
      </c>
      <c r="B5" s="494" t="s">
        <v>2451</v>
      </c>
      <c r="C5" s="495">
        <v>8907974.51</v>
      </c>
      <c r="H5" s="496">
        <v>1.7868117E7</v>
      </c>
      <c r="I5" s="497">
        <v>0.0</v>
      </c>
      <c r="K5" s="494">
        <v>89660.0</v>
      </c>
      <c r="L5" s="495">
        <v>267527.6452</v>
      </c>
      <c r="M5" s="498"/>
      <c r="N5" s="499">
        <v>3252027.0</v>
      </c>
      <c r="O5" s="500">
        <v>24157.79</v>
      </c>
      <c r="P5" s="498"/>
      <c r="Q5" s="502" t="s">
        <v>331</v>
      </c>
      <c r="R5" s="500">
        <v>76520.99</v>
      </c>
      <c r="S5" s="498"/>
    </row>
    <row r="6">
      <c r="A6" s="502" t="s">
        <v>2453</v>
      </c>
      <c r="B6" s="494" t="s">
        <v>2454</v>
      </c>
      <c r="C6" s="495">
        <v>7788664.89</v>
      </c>
      <c r="H6" s="496">
        <v>9087902.0</v>
      </c>
      <c r="I6" s="497">
        <v>0.0</v>
      </c>
      <c r="K6" s="496">
        <v>287927.0</v>
      </c>
      <c r="L6" s="495">
        <v>155610.5163</v>
      </c>
      <c r="M6" s="498"/>
      <c r="N6" s="499">
        <v>3252396.0</v>
      </c>
      <c r="O6" s="500">
        <v>583654.22</v>
      </c>
      <c r="P6" s="498"/>
      <c r="Q6" s="501" t="s">
        <v>356</v>
      </c>
      <c r="R6" s="500">
        <v>0.0</v>
      </c>
      <c r="S6" s="498"/>
    </row>
    <row r="7">
      <c r="A7" s="502" t="s">
        <v>2050</v>
      </c>
      <c r="B7" s="494" t="s">
        <v>2455</v>
      </c>
      <c r="C7" s="495">
        <v>7741530.29</v>
      </c>
      <c r="E7" s="503" t="s">
        <v>2456</v>
      </c>
      <c r="F7" s="504">
        <f>SUM(C:C)</f>
        <v>432893844.9</v>
      </c>
      <c r="H7" s="496">
        <v>1.094059E7</v>
      </c>
      <c r="I7" s="497">
        <v>0.0</v>
      </c>
      <c r="J7" s="498"/>
      <c r="K7" s="494">
        <v>297338.0</v>
      </c>
      <c r="L7" s="495">
        <v>17803.27</v>
      </c>
      <c r="M7" s="498"/>
      <c r="N7" s="499">
        <v>3252418.0</v>
      </c>
      <c r="O7" s="500">
        <v>505646.48</v>
      </c>
      <c r="P7" s="498"/>
      <c r="Q7" s="501" t="s">
        <v>387</v>
      </c>
      <c r="R7" s="500">
        <v>0.0</v>
      </c>
      <c r="S7" s="498"/>
    </row>
    <row r="8">
      <c r="A8" s="502" t="s">
        <v>2459</v>
      </c>
      <c r="B8" s="494" t="s">
        <v>2460</v>
      </c>
      <c r="C8" s="495">
        <v>7734288.29</v>
      </c>
      <c r="E8" s="503" t="s">
        <v>2461</v>
      </c>
      <c r="F8" s="504">
        <f>SUM(I:I)</f>
        <v>16433607.06</v>
      </c>
      <c r="H8" s="496">
        <v>1.1830618E7</v>
      </c>
      <c r="I8" s="497">
        <v>145944.23</v>
      </c>
      <c r="J8" s="498"/>
      <c r="K8" s="494">
        <v>390262.0</v>
      </c>
      <c r="L8" s="495">
        <v>314115.7959</v>
      </c>
      <c r="M8" s="498"/>
      <c r="N8" s="499">
        <v>3251951.0</v>
      </c>
      <c r="O8" s="500">
        <v>0.0</v>
      </c>
      <c r="P8" s="498"/>
      <c r="Q8" s="501" t="s">
        <v>410</v>
      </c>
      <c r="R8" s="500">
        <v>0.0</v>
      </c>
      <c r="S8" s="498"/>
    </row>
    <row r="9">
      <c r="A9" s="502" t="s">
        <v>2463</v>
      </c>
      <c r="B9" s="494" t="s">
        <v>2464</v>
      </c>
      <c r="C9" s="495">
        <v>6295624.4</v>
      </c>
      <c r="E9" s="503" t="s">
        <v>2465</v>
      </c>
      <c r="F9" s="504">
        <f>SUM(L:L)</f>
        <v>51357215.7</v>
      </c>
      <c r="H9" s="496">
        <v>1.123005E7</v>
      </c>
      <c r="I9" s="497">
        <v>0.0</v>
      </c>
      <c r="J9" s="498"/>
      <c r="K9" s="494">
        <v>474990.0</v>
      </c>
      <c r="L9" s="495">
        <v>424136.717</v>
      </c>
      <c r="M9" s="498"/>
      <c r="N9" s="499">
        <v>3252311.0</v>
      </c>
      <c r="O9" s="500">
        <v>0.0</v>
      </c>
      <c r="P9" s="498"/>
      <c r="Q9" s="501" t="s">
        <v>438</v>
      </c>
      <c r="R9" s="500">
        <v>0.0</v>
      </c>
      <c r="S9" s="498"/>
    </row>
    <row r="10">
      <c r="A10" s="502" t="s">
        <v>2468</v>
      </c>
      <c r="B10" s="494" t="s">
        <v>2469</v>
      </c>
      <c r="C10" s="495">
        <v>6072740.61</v>
      </c>
      <c r="E10" s="503" t="s">
        <v>2470</v>
      </c>
      <c r="F10" s="504">
        <f>SUM(O:O)</f>
        <v>5142691.54</v>
      </c>
      <c r="H10" s="496">
        <v>1.0982276E7</v>
      </c>
      <c r="I10" s="497">
        <v>8788649.38</v>
      </c>
      <c r="K10" s="494">
        <v>516643.0</v>
      </c>
      <c r="L10" s="495">
        <v>36905.89</v>
      </c>
      <c r="M10" s="498"/>
      <c r="N10" s="499">
        <v>3251985.0</v>
      </c>
      <c r="O10" s="500">
        <v>0.0</v>
      </c>
      <c r="P10" s="498"/>
      <c r="Q10" s="501" t="s">
        <v>470</v>
      </c>
      <c r="R10" s="500">
        <v>0.0</v>
      </c>
      <c r="S10" s="498"/>
    </row>
    <row r="11">
      <c r="A11" s="502" t="s">
        <v>2472</v>
      </c>
      <c r="B11" s="494" t="s">
        <v>2473</v>
      </c>
      <c r="C11" s="495">
        <v>5489302.229</v>
      </c>
      <c r="E11" s="503" t="s">
        <v>2474</v>
      </c>
      <c r="F11" s="504">
        <f>SUM(R:R)</f>
        <v>3527833.37</v>
      </c>
      <c r="H11" s="496">
        <v>1.2307245E7</v>
      </c>
      <c r="I11" s="497">
        <v>0.0</v>
      </c>
      <c r="K11" s="494">
        <v>750425.0</v>
      </c>
      <c r="L11" s="495">
        <v>1044558.886</v>
      </c>
      <c r="M11" s="498"/>
      <c r="N11" s="499">
        <v>3252477.0</v>
      </c>
      <c r="O11" s="500">
        <v>0.0</v>
      </c>
      <c r="P11" s="498"/>
      <c r="Q11" s="501" t="s">
        <v>510</v>
      </c>
      <c r="R11" s="500">
        <v>0.0</v>
      </c>
      <c r="S11" s="498"/>
    </row>
    <row r="12">
      <c r="A12" s="502" t="s">
        <v>2476</v>
      </c>
      <c r="B12" s="494" t="s">
        <v>2477</v>
      </c>
      <c r="C12" s="495">
        <v>5368474.85</v>
      </c>
      <c r="H12" s="496">
        <v>3844136.0</v>
      </c>
      <c r="I12" s="497">
        <v>89253.41</v>
      </c>
      <c r="K12" s="494">
        <v>750733.0</v>
      </c>
      <c r="L12" s="495">
        <v>307396.7931</v>
      </c>
      <c r="M12" s="498"/>
      <c r="N12" s="499">
        <v>3251993.0</v>
      </c>
      <c r="O12" s="500">
        <v>0.0</v>
      </c>
      <c r="P12" s="498"/>
      <c r="Q12" s="501" t="s">
        <v>545</v>
      </c>
      <c r="R12" s="500">
        <v>0.0</v>
      </c>
      <c r="S12" s="498"/>
    </row>
    <row r="13">
      <c r="A13" s="502" t="s">
        <v>2480</v>
      </c>
      <c r="B13" s="494" t="s">
        <v>2481</v>
      </c>
      <c r="C13" s="495">
        <v>5280856.0</v>
      </c>
      <c r="H13" s="496">
        <v>1.093663E7</v>
      </c>
      <c r="I13" s="497">
        <v>0.0</v>
      </c>
      <c r="K13" s="494">
        <v>2037686.0</v>
      </c>
      <c r="L13" s="495">
        <v>341520.8585</v>
      </c>
      <c r="M13" s="498"/>
      <c r="N13" s="499">
        <v>3252531.0</v>
      </c>
      <c r="O13" s="500">
        <v>127422.46</v>
      </c>
      <c r="P13" s="498"/>
      <c r="Q13" s="501" t="s">
        <v>579</v>
      </c>
      <c r="R13" s="500">
        <v>0.0</v>
      </c>
      <c r="S13" s="498"/>
    </row>
    <row r="14">
      <c r="A14" s="502" t="s">
        <v>2479</v>
      </c>
      <c r="B14" s="494" t="s">
        <v>2482</v>
      </c>
      <c r="C14" s="495">
        <v>4954105.93</v>
      </c>
      <c r="H14" s="496">
        <v>1.0944986E7</v>
      </c>
      <c r="I14" s="497">
        <v>759.67</v>
      </c>
      <c r="K14" s="494">
        <v>2044321.0</v>
      </c>
      <c r="L14" s="495">
        <v>30599.31</v>
      </c>
      <c r="M14" s="498"/>
      <c r="N14" s="499">
        <v>3251799.0</v>
      </c>
      <c r="O14" s="500">
        <v>0.0</v>
      </c>
      <c r="P14" s="498"/>
      <c r="Q14" s="501" t="s">
        <v>626</v>
      </c>
      <c r="R14" s="500">
        <v>0.0</v>
      </c>
      <c r="S14" s="498"/>
    </row>
    <row r="15">
      <c r="A15" s="502" t="s">
        <v>2485</v>
      </c>
      <c r="B15" s="494" t="s">
        <v>2486</v>
      </c>
      <c r="C15" s="495">
        <v>4927942.398</v>
      </c>
      <c r="H15" s="496">
        <v>1.1071318E7</v>
      </c>
      <c r="I15" s="497">
        <v>575320.61</v>
      </c>
      <c r="K15" s="494">
        <v>2146957.0</v>
      </c>
      <c r="L15" s="495">
        <v>253111.9972</v>
      </c>
      <c r="M15" s="498"/>
      <c r="N15" s="499">
        <v>3250091.0</v>
      </c>
      <c r="O15" s="500">
        <v>0.0</v>
      </c>
      <c r="P15" s="498"/>
      <c r="Q15" s="501" t="s">
        <v>668</v>
      </c>
      <c r="R15" s="500">
        <v>0.0</v>
      </c>
      <c r="S15" s="498"/>
    </row>
    <row r="16">
      <c r="A16" s="502" t="s">
        <v>2487</v>
      </c>
      <c r="B16" s="494" t="s">
        <v>2488</v>
      </c>
      <c r="C16" s="495">
        <v>4855028.27</v>
      </c>
      <c r="H16" s="496">
        <v>1.0989041E7</v>
      </c>
      <c r="I16" s="497">
        <v>0.0</v>
      </c>
      <c r="J16" s="498"/>
      <c r="K16" s="494">
        <v>2182451.0</v>
      </c>
      <c r="L16" s="495">
        <v>213794.47</v>
      </c>
      <c r="M16" s="498"/>
      <c r="N16" s="499">
        <v>3252094.0</v>
      </c>
      <c r="O16" s="500">
        <v>0.0</v>
      </c>
      <c r="P16" s="498"/>
      <c r="Q16" s="502" t="s">
        <v>709</v>
      </c>
      <c r="R16" s="500">
        <v>0.0</v>
      </c>
      <c r="S16" s="498"/>
    </row>
    <row r="17">
      <c r="A17" s="502" t="s">
        <v>2490</v>
      </c>
      <c r="B17" s="494" t="s">
        <v>2491</v>
      </c>
      <c r="C17" s="495">
        <v>4520203.82</v>
      </c>
      <c r="H17" s="496">
        <v>1.1026371E7</v>
      </c>
      <c r="I17" s="497">
        <v>0.0</v>
      </c>
      <c r="J17" s="498"/>
      <c r="K17" s="494">
        <v>2209353.0</v>
      </c>
      <c r="L17" s="495">
        <v>28700.55</v>
      </c>
      <c r="M17" s="498"/>
      <c r="N17" s="499">
        <v>3251811.0</v>
      </c>
      <c r="O17" s="500">
        <v>0.0</v>
      </c>
      <c r="P17" s="498"/>
      <c r="Q17" s="501" t="s">
        <v>747</v>
      </c>
      <c r="R17" s="500">
        <v>495521.0</v>
      </c>
      <c r="S17" s="498"/>
    </row>
    <row r="18">
      <c r="A18" s="502" t="s">
        <v>2493</v>
      </c>
      <c r="B18" s="494" t="s">
        <v>2388</v>
      </c>
      <c r="C18" s="495">
        <v>4119803.24</v>
      </c>
      <c r="H18" s="496">
        <v>1.1339353E7</v>
      </c>
      <c r="I18" s="497">
        <v>116185.43</v>
      </c>
      <c r="J18" s="498"/>
      <c r="K18" s="494">
        <v>2375512.0</v>
      </c>
      <c r="L18" s="495">
        <v>61556.14556</v>
      </c>
      <c r="M18" s="498"/>
      <c r="N18" s="499">
        <v>3252001.0</v>
      </c>
      <c r="O18" s="500">
        <v>0.0</v>
      </c>
      <c r="P18" s="498"/>
      <c r="Q18" s="501" t="s">
        <v>777</v>
      </c>
      <c r="R18" s="500">
        <v>0.0</v>
      </c>
      <c r="S18" s="498"/>
    </row>
    <row r="19">
      <c r="A19" s="502" t="s">
        <v>2495</v>
      </c>
      <c r="B19" s="494" t="s">
        <v>2496</v>
      </c>
      <c r="C19" s="495">
        <v>4119604.52</v>
      </c>
      <c r="H19" s="496">
        <v>6116342.0</v>
      </c>
      <c r="I19" s="497">
        <v>127.15</v>
      </c>
      <c r="K19" s="494">
        <v>2379924.0</v>
      </c>
      <c r="L19" s="495">
        <v>2508.32</v>
      </c>
      <c r="M19" s="498"/>
      <c r="N19" s="499">
        <v>3259382.0</v>
      </c>
      <c r="O19" s="500">
        <v>0.0</v>
      </c>
      <c r="P19" s="498"/>
      <c r="Q19" s="501" t="s">
        <v>802</v>
      </c>
      <c r="R19" s="500">
        <v>2603.5</v>
      </c>
      <c r="S19" s="498"/>
    </row>
    <row r="20">
      <c r="A20" s="502" t="s">
        <v>2498</v>
      </c>
      <c r="B20" s="494" t="s">
        <v>2499</v>
      </c>
      <c r="C20" s="495">
        <v>4086211.7</v>
      </c>
      <c r="H20" s="496"/>
      <c r="I20" s="497"/>
      <c r="K20" s="494">
        <v>2427743.0</v>
      </c>
      <c r="L20" s="495">
        <v>484350.2438</v>
      </c>
      <c r="M20" s="498"/>
      <c r="N20" s="499">
        <v>3252434.0</v>
      </c>
      <c r="O20" s="500">
        <v>76708.01</v>
      </c>
      <c r="P20" s="498"/>
      <c r="Q20" s="501" t="s">
        <v>840</v>
      </c>
      <c r="R20" s="500">
        <v>0.0</v>
      </c>
      <c r="S20" s="498"/>
    </row>
    <row r="21" ht="15.75" customHeight="1">
      <c r="A21" s="502" t="s">
        <v>2501</v>
      </c>
      <c r="B21" s="494" t="s">
        <v>2503</v>
      </c>
      <c r="C21" s="495">
        <v>4006177.42</v>
      </c>
      <c r="K21" s="494">
        <v>2569205.0</v>
      </c>
      <c r="L21" s="495">
        <v>10055.72</v>
      </c>
      <c r="M21" s="498"/>
      <c r="N21" s="499">
        <v>3252361.0</v>
      </c>
      <c r="O21" s="500">
        <v>0.0</v>
      </c>
      <c r="P21" s="498"/>
      <c r="Q21" s="502" t="s">
        <v>867</v>
      </c>
      <c r="R21" s="500">
        <v>2932463.55</v>
      </c>
      <c r="S21" s="498"/>
    </row>
    <row r="22" ht="15.75" customHeight="1">
      <c r="A22" s="502" t="s">
        <v>2505</v>
      </c>
      <c r="B22" s="494" t="s">
        <v>178</v>
      </c>
      <c r="C22" s="495">
        <v>3995316.27</v>
      </c>
      <c r="K22" s="494">
        <v>2570762.0</v>
      </c>
      <c r="L22" s="495">
        <v>494038.874</v>
      </c>
      <c r="M22" s="498"/>
      <c r="N22" s="499">
        <v>3251900.0</v>
      </c>
      <c r="O22" s="500">
        <v>0.0</v>
      </c>
      <c r="P22" s="498"/>
      <c r="Q22" s="501" t="s">
        <v>904</v>
      </c>
      <c r="R22" s="500">
        <v>0.0</v>
      </c>
      <c r="S22" s="498"/>
    </row>
    <row r="23" ht="15.75" customHeight="1">
      <c r="A23" s="502" t="s">
        <v>2510</v>
      </c>
      <c r="B23" s="494" t="s">
        <v>2511</v>
      </c>
      <c r="C23" s="495">
        <v>3864019.0</v>
      </c>
      <c r="K23" s="494">
        <v>2570963.0</v>
      </c>
      <c r="L23" s="495">
        <v>830226.0649</v>
      </c>
      <c r="N23" s="499">
        <v>3251683.0</v>
      </c>
      <c r="O23" s="500">
        <v>0.0</v>
      </c>
      <c r="Q23" s="501" t="s">
        <v>953</v>
      </c>
      <c r="R23" s="500">
        <v>0.0</v>
      </c>
    </row>
    <row r="24" ht="15.75" customHeight="1">
      <c r="A24" s="502" t="s">
        <v>2512</v>
      </c>
      <c r="B24" s="494" t="s">
        <v>2513</v>
      </c>
      <c r="C24" s="495">
        <v>3640960.73</v>
      </c>
      <c r="K24" s="494">
        <v>2679780.0</v>
      </c>
      <c r="L24" s="495">
        <v>1023555.25</v>
      </c>
      <c r="N24" s="499">
        <v>3252540.0</v>
      </c>
      <c r="O24" s="500">
        <v>308009.95</v>
      </c>
      <c r="Q24" s="502" t="s">
        <v>978</v>
      </c>
      <c r="R24" s="500">
        <v>20724.33</v>
      </c>
    </row>
    <row r="25" ht="15.75" customHeight="1">
      <c r="A25" s="502" t="s">
        <v>2514</v>
      </c>
      <c r="B25" s="494" t="s">
        <v>2515</v>
      </c>
      <c r="C25" s="495">
        <v>3632469.07</v>
      </c>
      <c r="K25" s="494">
        <v>2694253.0</v>
      </c>
      <c r="L25" s="495">
        <v>431585.25</v>
      </c>
      <c r="N25" s="499">
        <v>3252523.0</v>
      </c>
      <c r="O25" s="500">
        <v>217118.17</v>
      </c>
      <c r="Q25" s="501" t="s">
        <v>1076</v>
      </c>
      <c r="R25" s="500">
        <v>0.0</v>
      </c>
    </row>
    <row r="26" ht="15.75" customHeight="1">
      <c r="A26" s="502" t="s">
        <v>2516</v>
      </c>
      <c r="B26" s="494" t="s">
        <v>2517</v>
      </c>
      <c r="C26" s="495">
        <v>3552587.14</v>
      </c>
      <c r="K26" s="494">
        <v>2738150.0</v>
      </c>
      <c r="L26" s="495">
        <v>643437.7726</v>
      </c>
      <c r="N26" s="499">
        <v>3252329.0</v>
      </c>
      <c r="O26" s="500">
        <v>122385.63</v>
      </c>
      <c r="Q26" s="501" t="s">
        <v>1107</v>
      </c>
      <c r="R26" s="500">
        <v>0.0</v>
      </c>
    </row>
    <row r="27" ht="15.75" customHeight="1">
      <c r="A27" s="502" t="s">
        <v>485</v>
      </c>
      <c r="B27" s="494" t="s">
        <v>2518</v>
      </c>
      <c r="C27" s="495">
        <v>3334568.93</v>
      </c>
      <c r="K27" s="494">
        <v>2872613.0</v>
      </c>
      <c r="L27" s="495">
        <v>6117365.425</v>
      </c>
      <c r="N27" s="499">
        <v>3251624.0</v>
      </c>
      <c r="O27" s="500">
        <v>0.0</v>
      </c>
      <c r="Q27" s="501" t="s">
        <v>1138</v>
      </c>
      <c r="R27" s="500">
        <v>0.0</v>
      </c>
    </row>
    <row r="28" ht="15.75" customHeight="1">
      <c r="A28" s="502" t="s">
        <v>2519</v>
      </c>
      <c r="B28" s="494" t="s">
        <v>2520</v>
      </c>
      <c r="C28" s="495">
        <v>3297663.6</v>
      </c>
      <c r="K28" s="494">
        <v>3144426.0</v>
      </c>
      <c r="L28" s="495">
        <v>0.0</v>
      </c>
      <c r="N28" s="499">
        <v>3252019.0</v>
      </c>
      <c r="O28" s="500">
        <v>0.0</v>
      </c>
      <c r="Q28" s="501" t="s">
        <v>1173</v>
      </c>
      <c r="R28" s="500">
        <v>0.0</v>
      </c>
    </row>
    <row r="29" ht="15.75" customHeight="1">
      <c r="A29" s="502" t="s">
        <v>2521</v>
      </c>
      <c r="B29" s="494" t="s">
        <v>2522</v>
      </c>
      <c r="C29" s="495">
        <v>3172881.48</v>
      </c>
      <c r="K29" s="494">
        <v>3227135.0</v>
      </c>
      <c r="L29" s="495">
        <v>334477.3519</v>
      </c>
      <c r="N29" s="499">
        <v>3251829.0</v>
      </c>
      <c r="O29" s="500">
        <v>0.23</v>
      </c>
      <c r="Q29" s="501" t="s">
        <v>1193</v>
      </c>
      <c r="R29" s="500">
        <v>0.0</v>
      </c>
    </row>
    <row r="30" ht="15.75" customHeight="1">
      <c r="A30" s="502" t="s">
        <v>2525</v>
      </c>
      <c r="B30" s="494" t="s">
        <v>2388</v>
      </c>
      <c r="C30" s="495">
        <v>3120154.18</v>
      </c>
      <c r="K30" s="494">
        <v>3237400.0</v>
      </c>
      <c r="L30" s="495">
        <v>400568.4147</v>
      </c>
      <c r="N30" s="499">
        <v>3252281.0</v>
      </c>
      <c r="O30" s="500">
        <v>0.0</v>
      </c>
      <c r="Q30" s="501" t="s">
        <v>1221</v>
      </c>
      <c r="R30" s="500">
        <v>0.0</v>
      </c>
    </row>
    <row r="31" ht="15.75" customHeight="1">
      <c r="A31" s="502" t="s">
        <v>2526</v>
      </c>
      <c r="B31" s="494" t="s">
        <v>2527</v>
      </c>
      <c r="C31" s="495">
        <v>3040102.19</v>
      </c>
      <c r="K31" s="494">
        <v>3345620.0</v>
      </c>
      <c r="L31" s="495">
        <v>217332.2785</v>
      </c>
      <c r="N31" s="499">
        <v>3251781.0</v>
      </c>
      <c r="O31" s="500">
        <v>0.0</v>
      </c>
      <c r="Q31" s="501" t="s">
        <v>1251</v>
      </c>
      <c r="R31" s="500">
        <v>0.0</v>
      </c>
    </row>
    <row r="32" ht="15.75" customHeight="1">
      <c r="A32" s="502" t="s">
        <v>2530</v>
      </c>
      <c r="B32" s="494" t="s">
        <v>2533</v>
      </c>
      <c r="C32" s="495">
        <v>3000606.07</v>
      </c>
      <c r="K32" s="494">
        <v>3426143.0</v>
      </c>
      <c r="L32" s="495">
        <v>2627979.905</v>
      </c>
      <c r="N32" s="499">
        <v>3252167.0</v>
      </c>
      <c r="O32" s="500">
        <v>234.08</v>
      </c>
      <c r="Q32" s="501" t="s">
        <v>1280</v>
      </c>
      <c r="R32" s="500">
        <v>0.0</v>
      </c>
    </row>
    <row r="33" ht="15.75" customHeight="1">
      <c r="A33" s="502" t="s">
        <v>2534</v>
      </c>
      <c r="B33" s="494" t="s">
        <v>2535</v>
      </c>
      <c r="C33" s="495">
        <v>2928131.11</v>
      </c>
      <c r="K33" s="494">
        <v>3437690.0</v>
      </c>
      <c r="L33" s="495">
        <v>84.71</v>
      </c>
      <c r="N33" s="499">
        <v>3251667.0</v>
      </c>
      <c r="O33" s="500">
        <v>0.0</v>
      </c>
      <c r="Q33" s="501" t="s">
        <v>1303</v>
      </c>
      <c r="R33" s="500">
        <v>0.0</v>
      </c>
    </row>
    <row r="34" ht="15.75" customHeight="1">
      <c r="A34" s="502" t="s">
        <v>2537</v>
      </c>
      <c r="B34" s="494" t="s">
        <v>2538</v>
      </c>
      <c r="C34" s="495">
        <v>2897898.94</v>
      </c>
      <c r="K34" s="494">
        <v>3525456.0</v>
      </c>
      <c r="L34" s="495">
        <v>0.0</v>
      </c>
      <c r="N34" s="499">
        <v>3251691.0</v>
      </c>
      <c r="O34" s="500">
        <v>0.0</v>
      </c>
      <c r="Q34" s="494"/>
      <c r="R34" s="512"/>
    </row>
    <row r="35" ht="15.75" customHeight="1">
      <c r="A35" s="502" t="s">
        <v>2539</v>
      </c>
      <c r="B35" s="494" t="s">
        <v>2540</v>
      </c>
      <c r="C35" s="495">
        <v>2814617.82</v>
      </c>
      <c r="K35" s="494">
        <v>3671989.0</v>
      </c>
      <c r="L35" s="495">
        <v>491528.6712</v>
      </c>
      <c r="N35" s="499">
        <v>3251721.0</v>
      </c>
      <c r="O35" s="500">
        <v>0.0</v>
      </c>
      <c r="Q35" s="494"/>
      <c r="R35" s="512"/>
    </row>
    <row r="36" ht="15.75" customHeight="1">
      <c r="A36" s="502" t="s">
        <v>2541</v>
      </c>
      <c r="B36" s="494" t="s">
        <v>2542</v>
      </c>
      <c r="C36" s="495">
        <v>2691615.47</v>
      </c>
      <c r="K36" s="494">
        <v>3709188.0</v>
      </c>
      <c r="L36" s="495">
        <v>371516.3642</v>
      </c>
      <c r="N36" s="499">
        <v>3252566.0</v>
      </c>
      <c r="O36" s="500">
        <v>0.0</v>
      </c>
      <c r="Q36" s="494"/>
      <c r="R36" s="495"/>
    </row>
    <row r="37" ht="15.75" customHeight="1">
      <c r="A37" s="502" t="s">
        <v>2543</v>
      </c>
      <c r="B37" s="494" t="s">
        <v>211</v>
      </c>
      <c r="C37" s="495">
        <v>2609046.92</v>
      </c>
      <c r="K37" s="494">
        <v>3709756.0</v>
      </c>
      <c r="L37" s="495">
        <v>0.0</v>
      </c>
      <c r="N37" s="499">
        <v>3258459.0</v>
      </c>
      <c r="O37" s="500">
        <v>0.0</v>
      </c>
      <c r="Q37" s="494"/>
      <c r="R37" s="495"/>
    </row>
    <row r="38" ht="15.75" customHeight="1">
      <c r="A38" s="502" t="s">
        <v>2544</v>
      </c>
      <c r="B38" s="494" t="s">
        <v>2545</v>
      </c>
      <c r="C38" s="495">
        <v>2567568.13</v>
      </c>
      <c r="K38" s="494">
        <v>3723914.0</v>
      </c>
      <c r="L38" s="495">
        <v>1548957.32</v>
      </c>
      <c r="N38" s="499">
        <v>3251837.0</v>
      </c>
      <c r="O38" s="500">
        <v>0.0</v>
      </c>
      <c r="Q38" s="494"/>
      <c r="R38" s="495"/>
    </row>
    <row r="39" ht="15.75" customHeight="1">
      <c r="A39" s="502" t="s">
        <v>2547</v>
      </c>
      <c r="B39" s="494" t="s">
        <v>2550</v>
      </c>
      <c r="C39" s="495">
        <v>2542628.67</v>
      </c>
      <c r="K39" s="494">
        <v>3732278.0</v>
      </c>
      <c r="L39" s="495">
        <v>308967.7678</v>
      </c>
      <c r="N39" s="499">
        <v>3252051.0</v>
      </c>
      <c r="O39" s="500">
        <v>20.56</v>
      </c>
      <c r="Q39" s="494"/>
      <c r="R39" s="512"/>
    </row>
    <row r="40" ht="15.75" customHeight="1">
      <c r="A40" s="502" t="s">
        <v>2552</v>
      </c>
      <c r="B40" s="494" t="s">
        <v>2554</v>
      </c>
      <c r="C40" s="495">
        <v>2536565.52</v>
      </c>
      <c r="K40" s="494">
        <v>3757672.0</v>
      </c>
      <c r="L40" s="495">
        <v>276308.6568</v>
      </c>
      <c r="N40" s="499">
        <v>3252043.0</v>
      </c>
      <c r="O40" s="500">
        <v>161.31</v>
      </c>
      <c r="Q40" s="494"/>
      <c r="R40" s="512"/>
    </row>
    <row r="41" ht="15.75" customHeight="1">
      <c r="A41" s="502" t="s">
        <v>2555</v>
      </c>
      <c r="B41" s="494" t="s">
        <v>2556</v>
      </c>
      <c r="C41" s="495">
        <v>2426163.13</v>
      </c>
      <c r="K41" s="494">
        <v>3821522.0</v>
      </c>
      <c r="L41" s="495">
        <v>107094.3482</v>
      </c>
      <c r="N41" s="499">
        <v>3251969.0</v>
      </c>
      <c r="O41" s="500">
        <v>0.0</v>
      </c>
      <c r="Q41" s="494"/>
      <c r="R41" s="495"/>
    </row>
    <row r="42" ht="15.75" customHeight="1">
      <c r="A42" s="502" t="s">
        <v>2072</v>
      </c>
      <c r="B42" s="494" t="s">
        <v>2557</v>
      </c>
      <c r="C42" s="495">
        <v>2393841.89</v>
      </c>
      <c r="K42" s="494">
        <v>3862487.0</v>
      </c>
      <c r="L42" s="495">
        <v>93858.81</v>
      </c>
      <c r="N42" s="499">
        <v>3252116.0</v>
      </c>
      <c r="O42" s="500">
        <v>0.23</v>
      </c>
      <c r="Q42" s="494"/>
      <c r="R42" s="495"/>
    </row>
    <row r="43" ht="15.75" customHeight="1">
      <c r="A43" s="502" t="s">
        <v>2558</v>
      </c>
      <c r="B43" s="494" t="s">
        <v>2559</v>
      </c>
      <c r="C43" s="495">
        <v>2362112.42</v>
      </c>
      <c r="K43" s="494">
        <v>3917632.0</v>
      </c>
      <c r="L43" s="495">
        <v>43576.4</v>
      </c>
      <c r="N43" s="499">
        <v>3251748.0</v>
      </c>
      <c r="O43" s="500">
        <v>0.0</v>
      </c>
      <c r="Q43" s="494"/>
      <c r="R43" s="512"/>
    </row>
    <row r="44" ht="15.75" customHeight="1">
      <c r="A44" s="502" t="s">
        <v>2564</v>
      </c>
      <c r="B44" s="494" t="s">
        <v>2565</v>
      </c>
      <c r="C44" s="495">
        <v>2270201.6</v>
      </c>
      <c r="K44" s="494">
        <v>3977611.0</v>
      </c>
      <c r="L44" s="495">
        <v>0.0</v>
      </c>
      <c r="N44" s="499">
        <v>3252230.0</v>
      </c>
      <c r="O44" s="500">
        <v>0.0</v>
      </c>
      <c r="Q44" s="494"/>
      <c r="R44" s="512"/>
    </row>
    <row r="45" ht="15.75" customHeight="1">
      <c r="A45" s="502" t="s">
        <v>2566</v>
      </c>
      <c r="B45" s="494" t="s">
        <v>2567</v>
      </c>
      <c r="C45" s="495">
        <v>2248605.22</v>
      </c>
      <c r="K45" s="494">
        <v>4097264.0</v>
      </c>
      <c r="L45" s="495">
        <v>592985.7806</v>
      </c>
      <c r="N45" s="499">
        <v>3252604.0</v>
      </c>
      <c r="O45" s="500">
        <v>0.0</v>
      </c>
      <c r="Q45" s="494"/>
      <c r="R45" s="495"/>
    </row>
    <row r="46" ht="15.75" customHeight="1">
      <c r="A46" s="502" t="s">
        <v>2568</v>
      </c>
      <c r="B46" s="494" t="s">
        <v>2570</v>
      </c>
      <c r="C46" s="495">
        <v>2231141.91</v>
      </c>
      <c r="K46" s="494">
        <v>4114582.0</v>
      </c>
      <c r="L46" s="495">
        <v>295112.1625</v>
      </c>
      <c r="N46" s="499">
        <v>3251730.0</v>
      </c>
      <c r="O46" s="500">
        <v>0.0</v>
      </c>
      <c r="Q46" s="494"/>
      <c r="R46" s="495"/>
    </row>
    <row r="47" ht="15.75" customHeight="1">
      <c r="A47" s="502" t="s">
        <v>2572</v>
      </c>
      <c r="B47" s="494" t="s">
        <v>2573</v>
      </c>
      <c r="C47" s="495">
        <v>2166245.07</v>
      </c>
      <c r="K47" s="494">
        <v>4329986.0</v>
      </c>
      <c r="L47" s="495">
        <v>190049.3768</v>
      </c>
      <c r="N47" s="499">
        <v>3252558.0</v>
      </c>
      <c r="O47" s="500">
        <v>179382.33</v>
      </c>
      <c r="Q47" s="494"/>
      <c r="R47" s="495"/>
    </row>
    <row r="48" ht="15.75" customHeight="1">
      <c r="A48" s="502" t="s">
        <v>2574</v>
      </c>
      <c r="B48" s="494" t="s">
        <v>2575</v>
      </c>
      <c r="C48" s="495">
        <v>2132727.48</v>
      </c>
      <c r="K48" s="494">
        <v>4334650.0</v>
      </c>
      <c r="L48" s="495">
        <v>33614.2765</v>
      </c>
      <c r="N48" s="499">
        <v>3252400.0</v>
      </c>
      <c r="O48" s="500">
        <v>0.0</v>
      </c>
      <c r="Q48" s="494"/>
      <c r="R48" s="495"/>
    </row>
    <row r="49" ht="15.75" customHeight="1">
      <c r="A49" s="502" t="s">
        <v>2576</v>
      </c>
      <c r="B49" s="494" t="s">
        <v>2577</v>
      </c>
      <c r="C49" s="495">
        <v>2073714.71</v>
      </c>
      <c r="K49" s="494">
        <v>4340593.0</v>
      </c>
      <c r="L49" s="495">
        <v>389.82</v>
      </c>
      <c r="N49" s="499">
        <v>3251764.0</v>
      </c>
      <c r="O49" s="500">
        <v>0.0</v>
      </c>
      <c r="Q49" s="494"/>
      <c r="R49" s="495"/>
    </row>
    <row r="50" ht="15.75" customHeight="1">
      <c r="A50" s="502" t="s">
        <v>2580</v>
      </c>
      <c r="B50" s="494" t="s">
        <v>2473</v>
      </c>
      <c r="C50" s="495">
        <v>2016287.84</v>
      </c>
      <c r="K50" s="494">
        <v>4427733.0</v>
      </c>
      <c r="L50" s="495">
        <v>269505.7386</v>
      </c>
      <c r="N50" s="499">
        <v>3251802.0</v>
      </c>
      <c r="O50" s="500">
        <v>0.0</v>
      </c>
      <c r="Q50" s="494"/>
      <c r="R50" s="495"/>
    </row>
    <row r="51" ht="15.75" customHeight="1">
      <c r="A51" s="502" t="s">
        <v>2581</v>
      </c>
      <c r="B51" s="494" t="s">
        <v>2582</v>
      </c>
      <c r="C51" s="495">
        <v>1980195.46</v>
      </c>
      <c r="K51" s="494">
        <v>4574738.0</v>
      </c>
      <c r="L51" s="495">
        <v>673115.0059</v>
      </c>
      <c r="N51" s="499">
        <v>3252485.0</v>
      </c>
      <c r="O51" s="500">
        <v>0.0</v>
      </c>
      <c r="Q51" s="494"/>
      <c r="R51" s="495"/>
    </row>
    <row r="52" ht="15.75" customHeight="1">
      <c r="A52" s="502" t="s">
        <v>828</v>
      </c>
      <c r="B52" s="494" t="s">
        <v>2583</v>
      </c>
      <c r="C52" s="495">
        <v>1950686.58</v>
      </c>
      <c r="K52" s="494">
        <v>4627761.0</v>
      </c>
      <c r="L52" s="495">
        <v>175912.3119</v>
      </c>
      <c r="N52" s="499">
        <v>3252205.0</v>
      </c>
      <c r="O52" s="500">
        <v>249512.47</v>
      </c>
      <c r="Q52" s="494"/>
      <c r="R52" s="495"/>
    </row>
    <row r="53" ht="15.75" customHeight="1">
      <c r="A53" s="502" t="s">
        <v>2586</v>
      </c>
      <c r="B53" s="494" t="s">
        <v>2588</v>
      </c>
      <c r="C53" s="495">
        <v>1942072.41</v>
      </c>
      <c r="K53" s="494">
        <v>4660824.0</v>
      </c>
      <c r="L53" s="495">
        <v>186912.3304</v>
      </c>
      <c r="N53" s="499">
        <v>3252060.0</v>
      </c>
      <c r="O53" s="500">
        <v>0.16</v>
      </c>
      <c r="Q53" s="494"/>
      <c r="R53" s="495"/>
    </row>
    <row r="54" ht="15.75" customHeight="1">
      <c r="A54" s="502" t="s">
        <v>2593</v>
      </c>
      <c r="B54" s="494" t="s">
        <v>2594</v>
      </c>
      <c r="C54" s="495">
        <v>1936033.58</v>
      </c>
      <c r="K54" s="494">
        <v>4743435.0</v>
      </c>
      <c r="L54" s="495">
        <v>599640.1714</v>
      </c>
      <c r="N54" s="499">
        <v>3252078.0</v>
      </c>
      <c r="O54" s="500">
        <v>0.14</v>
      </c>
      <c r="Q54" s="494"/>
      <c r="R54" s="495"/>
    </row>
    <row r="55" ht="15.75" customHeight="1">
      <c r="A55" s="502" t="s">
        <v>2595</v>
      </c>
      <c r="B55" s="494" t="s">
        <v>2596</v>
      </c>
      <c r="C55" s="495">
        <v>1931924.86</v>
      </c>
      <c r="K55" s="494">
        <v>4862996.0</v>
      </c>
      <c r="L55" s="495">
        <v>1512463.062</v>
      </c>
      <c r="N55" s="499">
        <v>3252141.0</v>
      </c>
      <c r="O55" s="500">
        <v>0.0</v>
      </c>
      <c r="Q55" s="494"/>
      <c r="R55" s="495"/>
    </row>
    <row r="56" ht="15.75" customHeight="1">
      <c r="A56" s="502" t="s">
        <v>2598</v>
      </c>
      <c r="B56" s="494" t="s">
        <v>2599</v>
      </c>
      <c r="C56" s="495">
        <v>1913609.07</v>
      </c>
      <c r="K56" s="494">
        <v>5282208.0</v>
      </c>
      <c r="L56" s="495">
        <v>113541.7792</v>
      </c>
      <c r="N56" s="499">
        <v>3252299.0</v>
      </c>
      <c r="O56" s="500">
        <v>231694.82</v>
      </c>
      <c r="Q56" s="494"/>
      <c r="R56" s="495"/>
    </row>
    <row r="57" ht="15.75" customHeight="1">
      <c r="A57" s="502" t="s">
        <v>2600</v>
      </c>
      <c r="B57" s="494" t="s">
        <v>2601</v>
      </c>
      <c r="C57" s="495">
        <v>1857807.34</v>
      </c>
      <c r="K57" s="494">
        <v>5568034.0</v>
      </c>
      <c r="L57" s="495">
        <v>29674.05972</v>
      </c>
      <c r="N57" s="499">
        <v>3252370.0</v>
      </c>
      <c r="O57" s="500">
        <v>44990.23</v>
      </c>
      <c r="Q57" s="494"/>
      <c r="R57" s="495"/>
    </row>
    <row r="58" ht="15.75" customHeight="1">
      <c r="A58" s="502" t="s">
        <v>2602</v>
      </c>
      <c r="B58" s="494" t="s">
        <v>2550</v>
      </c>
      <c r="C58" s="495">
        <v>1826227.45</v>
      </c>
      <c r="K58" s="494">
        <v>5612032.0</v>
      </c>
      <c r="L58" s="495">
        <v>669923.0627</v>
      </c>
      <c r="N58" s="499">
        <v>3252264.0</v>
      </c>
      <c r="O58" s="500">
        <v>133396.85</v>
      </c>
      <c r="Q58" s="494"/>
      <c r="R58" s="495"/>
    </row>
    <row r="59" ht="15.75" customHeight="1">
      <c r="A59" s="502" t="s">
        <v>2603</v>
      </c>
      <c r="B59" s="494" t="s">
        <v>2604</v>
      </c>
      <c r="C59" s="495">
        <v>1825105.87</v>
      </c>
      <c r="K59" s="494">
        <v>5627240.0</v>
      </c>
      <c r="L59" s="495">
        <v>-11.77</v>
      </c>
      <c r="N59" s="499">
        <v>3252493.0</v>
      </c>
      <c r="O59" s="500">
        <v>0.0</v>
      </c>
      <c r="Q59" s="494"/>
      <c r="R59" s="495"/>
    </row>
    <row r="60" ht="15.75" customHeight="1">
      <c r="A60" s="502" t="s">
        <v>2608</v>
      </c>
      <c r="B60" s="494" t="s">
        <v>2601</v>
      </c>
      <c r="C60" s="495">
        <v>1738578.01</v>
      </c>
      <c r="K60" s="494">
        <v>5637768.0</v>
      </c>
      <c r="L60" s="495">
        <v>1970547.75</v>
      </c>
      <c r="N60" s="499">
        <v>3251641.0</v>
      </c>
      <c r="O60" s="500">
        <v>0.0</v>
      </c>
      <c r="Q60" s="494"/>
      <c r="R60" s="495"/>
    </row>
    <row r="61" ht="15.75" customHeight="1">
      <c r="A61" s="502" t="s">
        <v>2610</v>
      </c>
      <c r="B61" s="494" t="s">
        <v>2611</v>
      </c>
      <c r="C61" s="495">
        <v>1709577.16</v>
      </c>
      <c r="K61" s="494">
        <v>5698370.0</v>
      </c>
      <c r="L61" s="495">
        <v>229685.8476</v>
      </c>
      <c r="N61" s="499">
        <v>3252353.0</v>
      </c>
      <c r="O61" s="500">
        <v>0.0</v>
      </c>
      <c r="Q61" s="494"/>
      <c r="R61" s="495"/>
    </row>
    <row r="62" ht="15.75" customHeight="1">
      <c r="A62" s="502" t="s">
        <v>2612</v>
      </c>
      <c r="B62" s="494" t="s">
        <v>2613</v>
      </c>
      <c r="C62" s="495">
        <v>1703909.86</v>
      </c>
      <c r="K62" s="494">
        <v>5745802.0</v>
      </c>
      <c r="L62" s="495">
        <v>1031495.007</v>
      </c>
      <c r="N62" s="499">
        <v>3252302.0</v>
      </c>
      <c r="O62" s="500">
        <v>0.0</v>
      </c>
      <c r="Q62" s="494"/>
      <c r="R62" s="495"/>
    </row>
    <row r="63" ht="15.75" customHeight="1">
      <c r="A63" s="502" t="s">
        <v>2024</v>
      </c>
      <c r="B63" s="494" t="s">
        <v>2614</v>
      </c>
      <c r="C63" s="495">
        <v>1702516.47</v>
      </c>
      <c r="K63" s="494">
        <v>6853541.0</v>
      </c>
      <c r="L63" s="495">
        <v>1027647.248</v>
      </c>
      <c r="N63" s="499">
        <v>3252612.0</v>
      </c>
      <c r="O63" s="500">
        <v>2147.03</v>
      </c>
      <c r="Q63" s="494"/>
      <c r="R63" s="495"/>
    </row>
    <row r="64" ht="15.75" customHeight="1">
      <c r="A64" s="502" t="s">
        <v>2615</v>
      </c>
      <c r="B64" s="494" t="s">
        <v>2616</v>
      </c>
      <c r="C64" s="495">
        <v>1692561.37</v>
      </c>
      <c r="K64" s="494">
        <v>7294113.0</v>
      </c>
      <c r="L64" s="495">
        <v>11476.64</v>
      </c>
      <c r="N64" s="499">
        <v>3251845.0</v>
      </c>
      <c r="O64" s="500">
        <v>0.0</v>
      </c>
      <c r="Q64" s="498"/>
    </row>
    <row r="65" ht="15.75" customHeight="1">
      <c r="A65" s="502" t="s">
        <v>2617</v>
      </c>
      <c r="B65" s="494" t="s">
        <v>2611</v>
      </c>
      <c r="C65" s="495">
        <v>1669531.04</v>
      </c>
      <c r="K65" s="494">
        <v>7519150.0</v>
      </c>
      <c r="L65" s="495">
        <v>0.0</v>
      </c>
      <c r="N65" s="499">
        <v>3252183.0</v>
      </c>
      <c r="O65" s="500">
        <v>305064.88</v>
      </c>
      <c r="Q65" s="498"/>
    </row>
    <row r="66" ht="15.75" customHeight="1">
      <c r="A66" s="502" t="s">
        <v>2618</v>
      </c>
      <c r="B66" s="494" t="s">
        <v>2619</v>
      </c>
      <c r="C66" s="495">
        <v>1667706.75</v>
      </c>
      <c r="K66" s="494">
        <v>7656240.0</v>
      </c>
      <c r="L66" s="495">
        <v>469544.1394</v>
      </c>
      <c r="N66" s="499">
        <v>3252132.0</v>
      </c>
      <c r="O66" s="500">
        <v>365024.06</v>
      </c>
      <c r="Q66" s="498"/>
    </row>
    <row r="67" ht="15.75" customHeight="1">
      <c r="A67" s="502" t="s">
        <v>2620</v>
      </c>
      <c r="B67" s="494" t="s">
        <v>211</v>
      </c>
      <c r="C67" s="495">
        <v>1656941.34</v>
      </c>
      <c r="K67" s="494">
        <v>8424641.0</v>
      </c>
      <c r="L67" s="495">
        <v>319256.7393</v>
      </c>
      <c r="N67" s="499">
        <v>3251977.0</v>
      </c>
      <c r="O67" s="500">
        <v>0.0</v>
      </c>
      <c r="Q67" s="498"/>
    </row>
    <row r="68" ht="15.75" customHeight="1">
      <c r="A68" s="502" t="s">
        <v>2621</v>
      </c>
      <c r="B68" s="494" t="s">
        <v>2622</v>
      </c>
      <c r="C68" s="495">
        <v>1656812.02</v>
      </c>
      <c r="K68" s="494">
        <v>8580102.0</v>
      </c>
      <c r="L68" s="495">
        <v>848212.8766</v>
      </c>
      <c r="N68" s="499">
        <v>3252035.0</v>
      </c>
      <c r="O68" s="500">
        <v>0.0</v>
      </c>
      <c r="Q68" s="498"/>
    </row>
    <row r="69" ht="15.75" customHeight="1">
      <c r="A69" s="502" t="s">
        <v>2625</v>
      </c>
      <c r="B69" s="494" t="s">
        <v>2626</v>
      </c>
      <c r="C69" s="495">
        <v>1650377.8</v>
      </c>
      <c r="K69" s="494">
        <v>8625760.0</v>
      </c>
      <c r="L69" s="495">
        <v>1737473.268</v>
      </c>
      <c r="N69" s="499">
        <v>3252515.0</v>
      </c>
      <c r="O69" s="500">
        <v>5.79</v>
      </c>
      <c r="Q69" s="498"/>
    </row>
    <row r="70" ht="15.75" customHeight="1">
      <c r="A70" s="502" t="s">
        <v>2627</v>
      </c>
      <c r="B70" s="494" t="s">
        <v>2628</v>
      </c>
      <c r="C70" s="495">
        <v>1622440.37</v>
      </c>
      <c r="K70" s="494">
        <v>8961166.0</v>
      </c>
      <c r="L70" s="495">
        <v>389022.3301</v>
      </c>
      <c r="N70" s="499">
        <v>3251861.0</v>
      </c>
      <c r="O70" s="500">
        <v>0.0</v>
      </c>
      <c r="Q70" s="498"/>
    </row>
    <row r="71" ht="15.75" customHeight="1">
      <c r="A71" s="502" t="s">
        <v>2631</v>
      </c>
      <c r="B71" s="494" t="s">
        <v>2632</v>
      </c>
      <c r="C71" s="495">
        <v>1614935.1</v>
      </c>
      <c r="K71" s="494">
        <v>9023091.0</v>
      </c>
      <c r="L71" s="495">
        <v>178591.122</v>
      </c>
      <c r="N71" s="499">
        <v>3251616.0</v>
      </c>
      <c r="O71" s="500">
        <v>0.0</v>
      </c>
      <c r="Q71" s="498"/>
    </row>
    <row r="72" ht="15.75" customHeight="1">
      <c r="A72" s="502" t="s">
        <v>2633</v>
      </c>
      <c r="B72" s="494" t="s">
        <v>178</v>
      </c>
      <c r="C72" s="495">
        <v>1591858.99</v>
      </c>
      <c r="K72" s="494">
        <v>9071920.0</v>
      </c>
      <c r="L72" s="495">
        <v>18765.51601</v>
      </c>
      <c r="N72" s="499">
        <v>3251632.0</v>
      </c>
      <c r="O72" s="500">
        <v>0.0</v>
      </c>
      <c r="Q72" s="498"/>
    </row>
    <row r="73" ht="15.75" customHeight="1">
      <c r="A73" s="502" t="s">
        <v>2635</v>
      </c>
      <c r="B73" s="494" t="s">
        <v>2636</v>
      </c>
      <c r="C73" s="495">
        <v>1555560.84</v>
      </c>
      <c r="K73" s="494">
        <v>9169673.0</v>
      </c>
      <c r="L73" s="495">
        <v>0.0</v>
      </c>
      <c r="N73" s="499">
        <v>3252337.0</v>
      </c>
      <c r="O73" s="500">
        <v>1291387.16</v>
      </c>
      <c r="Q73" s="498"/>
    </row>
    <row r="74" ht="15.75" customHeight="1">
      <c r="A74" s="502" t="s">
        <v>2637</v>
      </c>
      <c r="B74" s="494" t="s">
        <v>2638</v>
      </c>
      <c r="C74" s="495">
        <v>1544652.01</v>
      </c>
      <c r="K74" s="494">
        <v>9290248.0</v>
      </c>
      <c r="L74" s="495">
        <v>419119.8893</v>
      </c>
      <c r="N74" s="499">
        <v>3252671.0</v>
      </c>
      <c r="O74" s="500">
        <v>130249.42</v>
      </c>
      <c r="Q74" s="498"/>
    </row>
    <row r="75" ht="15.75" customHeight="1">
      <c r="A75" s="502" t="s">
        <v>2641</v>
      </c>
      <c r="B75" s="494" t="s">
        <v>2642</v>
      </c>
      <c r="C75" s="495">
        <v>1524140.31</v>
      </c>
      <c r="K75" s="494">
        <v>9389773.0</v>
      </c>
      <c r="L75" s="495">
        <v>136491.7915</v>
      </c>
      <c r="N75" s="499">
        <v>3252213.0</v>
      </c>
      <c r="O75" s="500">
        <v>0.0</v>
      </c>
      <c r="Q75" s="498"/>
    </row>
    <row r="76" ht="15.75" customHeight="1">
      <c r="A76" s="502" t="s">
        <v>2643</v>
      </c>
      <c r="B76" s="494" t="s">
        <v>2638</v>
      </c>
      <c r="C76" s="495">
        <v>1500000.0</v>
      </c>
      <c r="K76" s="494">
        <v>9602680.0</v>
      </c>
      <c r="L76" s="495">
        <v>546635.5148</v>
      </c>
      <c r="N76" s="499">
        <v>3258475.0</v>
      </c>
      <c r="O76" s="500">
        <v>0.0</v>
      </c>
      <c r="Q76" s="498"/>
    </row>
    <row r="77" ht="15.75" customHeight="1">
      <c r="A77" s="502" t="s">
        <v>2644</v>
      </c>
      <c r="B77" s="494" t="s">
        <v>2645</v>
      </c>
      <c r="C77" s="495">
        <v>1492254.68</v>
      </c>
      <c r="K77" s="494">
        <v>9851852.0</v>
      </c>
      <c r="L77" s="495">
        <v>1215973.522</v>
      </c>
      <c r="N77" s="499">
        <v>3252426.0</v>
      </c>
      <c r="O77" s="500">
        <v>2533.36</v>
      </c>
      <c r="Q77" s="498"/>
      <c r="R77" s="498"/>
    </row>
    <row r="78" ht="15.75" customHeight="1">
      <c r="A78" s="502" t="s">
        <v>2646</v>
      </c>
      <c r="B78" s="494" t="s">
        <v>2647</v>
      </c>
      <c r="C78" s="495">
        <v>1468492.89</v>
      </c>
      <c r="K78" s="494">
        <v>1.1371496E7</v>
      </c>
      <c r="L78" s="495">
        <v>548683.5624</v>
      </c>
      <c r="N78" s="499">
        <v>3252442.0</v>
      </c>
      <c r="O78" s="500">
        <v>0.0</v>
      </c>
      <c r="Q78" s="498"/>
      <c r="R78" s="498"/>
    </row>
    <row r="79" ht="15.75" customHeight="1">
      <c r="A79" s="502" t="s">
        <v>2648</v>
      </c>
      <c r="B79" s="494" t="s">
        <v>2649</v>
      </c>
      <c r="C79" s="495">
        <v>1453243.99</v>
      </c>
      <c r="K79" s="494">
        <v>1.1451861E7</v>
      </c>
      <c r="L79" s="495">
        <v>39998.32531</v>
      </c>
      <c r="N79" s="499">
        <v>3252256.0</v>
      </c>
      <c r="O79" s="500">
        <v>0.0</v>
      </c>
      <c r="Q79" s="498"/>
      <c r="R79" s="498"/>
    </row>
    <row r="80" ht="15.75" customHeight="1">
      <c r="A80" s="502" t="s">
        <v>2650</v>
      </c>
      <c r="B80" s="494" t="s">
        <v>2651</v>
      </c>
      <c r="C80" s="495">
        <v>1442089.84</v>
      </c>
      <c r="K80" s="496">
        <v>1.3606804E7</v>
      </c>
      <c r="L80" s="495">
        <v>0.0</v>
      </c>
      <c r="N80" s="499">
        <v>3252086.0</v>
      </c>
      <c r="O80" s="500">
        <v>0.0</v>
      </c>
      <c r="Q80" s="498"/>
      <c r="R80" s="498"/>
    </row>
    <row r="81" ht="15.75" customHeight="1">
      <c r="A81" s="502" t="s">
        <v>2652</v>
      </c>
      <c r="B81" s="494" t="s">
        <v>2653</v>
      </c>
      <c r="C81" s="495">
        <v>1438507.76</v>
      </c>
      <c r="K81" s="494">
        <v>1.4411211E7</v>
      </c>
      <c r="L81" s="495">
        <v>359071.0288</v>
      </c>
      <c r="N81" s="499">
        <v>3252191.0</v>
      </c>
      <c r="O81" s="500">
        <v>0.0</v>
      </c>
      <c r="Q81" s="498"/>
      <c r="R81" s="498"/>
    </row>
    <row r="82" ht="15.75" customHeight="1">
      <c r="A82" s="502" t="s">
        <v>2654</v>
      </c>
      <c r="B82" s="494" t="s">
        <v>2655</v>
      </c>
      <c r="C82" s="495">
        <v>1312561.63</v>
      </c>
      <c r="K82" s="494">
        <v>1.5218743E7</v>
      </c>
      <c r="L82" s="495">
        <v>0.0</v>
      </c>
      <c r="N82" s="499">
        <v>3252507.0</v>
      </c>
      <c r="O82" s="500">
        <v>5405.44</v>
      </c>
      <c r="Q82" s="498"/>
      <c r="R82" s="498"/>
    </row>
    <row r="83" ht="15.75" customHeight="1">
      <c r="A83" s="502" t="s">
        <v>2114</v>
      </c>
      <c r="B83" s="494" t="s">
        <v>2656</v>
      </c>
      <c r="C83" s="495">
        <v>1300117.78</v>
      </c>
      <c r="K83" s="494">
        <v>1.5463905E7</v>
      </c>
      <c r="L83" s="495">
        <v>26668.48837</v>
      </c>
      <c r="N83" s="499">
        <v>3252159.0</v>
      </c>
      <c r="O83" s="500">
        <v>23654.78</v>
      </c>
      <c r="Q83" s="498"/>
      <c r="R83" s="498"/>
    </row>
    <row r="84" ht="15.75" customHeight="1">
      <c r="A84" s="502" t="s">
        <v>2657</v>
      </c>
      <c r="B84" s="494" t="s">
        <v>2658</v>
      </c>
      <c r="C84" s="495">
        <v>1285463.02</v>
      </c>
      <c r="K84" s="494">
        <v>1.5733167E7</v>
      </c>
      <c r="L84" s="495">
        <v>1266947.078</v>
      </c>
      <c r="N84" s="499">
        <v>3251934.0</v>
      </c>
      <c r="O84" s="500">
        <v>0.0</v>
      </c>
      <c r="Q84" s="498"/>
      <c r="R84" s="498"/>
    </row>
    <row r="85" ht="15.75" customHeight="1">
      <c r="A85" s="502" t="s">
        <v>2659</v>
      </c>
      <c r="B85" s="494" t="s">
        <v>2660</v>
      </c>
      <c r="C85" s="495">
        <v>1284089.46</v>
      </c>
      <c r="K85" s="494">
        <v>1.5919404E7</v>
      </c>
      <c r="L85" s="495">
        <v>309356.2631</v>
      </c>
      <c r="N85" s="499">
        <v>3251853.0</v>
      </c>
      <c r="O85" s="500">
        <v>0.0</v>
      </c>
      <c r="Q85" s="498"/>
      <c r="R85" s="498"/>
    </row>
    <row r="86" ht="15.75" customHeight="1">
      <c r="A86" s="502" t="s">
        <v>2661</v>
      </c>
      <c r="B86" s="494" t="s">
        <v>2662</v>
      </c>
      <c r="C86" s="495">
        <v>1280169.58</v>
      </c>
      <c r="K86" s="494">
        <v>1.6286158E7</v>
      </c>
      <c r="L86" s="495">
        <v>964412.8238</v>
      </c>
      <c r="N86" s="499">
        <v>3251870.0</v>
      </c>
      <c r="O86" s="500">
        <v>0.0</v>
      </c>
      <c r="Q86" s="498"/>
      <c r="R86" s="498"/>
    </row>
    <row r="87" ht="15.75" customHeight="1">
      <c r="A87" s="502" t="s">
        <v>2663</v>
      </c>
      <c r="B87" s="494" t="s">
        <v>2664</v>
      </c>
      <c r="C87" s="495">
        <v>1264473.52</v>
      </c>
      <c r="K87" s="494">
        <v>1.7005019E7</v>
      </c>
      <c r="L87" s="495">
        <v>51878.17006</v>
      </c>
      <c r="N87" s="499">
        <v>3251888.0</v>
      </c>
      <c r="O87" s="500">
        <v>0.0</v>
      </c>
      <c r="Q87" s="498"/>
      <c r="R87" s="498"/>
    </row>
    <row r="88" ht="15.75" customHeight="1">
      <c r="A88" s="502" t="s">
        <v>2665</v>
      </c>
      <c r="B88" s="494" t="s">
        <v>2666</v>
      </c>
      <c r="C88" s="495">
        <v>1262422.7</v>
      </c>
      <c r="K88" s="494">
        <v>1.7006336E7</v>
      </c>
      <c r="L88" s="495">
        <v>0.0</v>
      </c>
      <c r="N88" s="499">
        <v>3251926.0</v>
      </c>
      <c r="O88" s="500">
        <v>0.0</v>
      </c>
      <c r="Q88" s="498"/>
      <c r="R88" s="498"/>
    </row>
    <row r="89" ht="15.75" customHeight="1">
      <c r="A89" s="502" t="s">
        <v>2667</v>
      </c>
      <c r="B89" s="494" t="s">
        <v>2668</v>
      </c>
      <c r="C89" s="495">
        <v>1260840.53</v>
      </c>
      <c r="K89" s="494">
        <v>1.703326E7</v>
      </c>
      <c r="L89" s="495">
        <v>0.0</v>
      </c>
      <c r="N89" s="499">
        <v>3251942.0</v>
      </c>
      <c r="O89" s="500">
        <v>0.0</v>
      </c>
      <c r="Q89" s="498"/>
      <c r="R89" s="498"/>
    </row>
    <row r="90" ht="15.75" customHeight="1">
      <c r="A90" s="502" t="s">
        <v>2669</v>
      </c>
      <c r="B90" s="494" t="s">
        <v>2670</v>
      </c>
      <c r="C90" s="495">
        <v>1227367.44</v>
      </c>
      <c r="K90" s="494">
        <v>1.7159452E7</v>
      </c>
      <c r="L90" s="495">
        <v>293255.15</v>
      </c>
      <c r="N90" s="499">
        <v>3252175.0</v>
      </c>
      <c r="O90" s="500">
        <v>109266.32</v>
      </c>
      <c r="Q90" s="498"/>
      <c r="R90" s="498"/>
    </row>
    <row r="91" ht="15.75" customHeight="1">
      <c r="A91" s="502" t="s">
        <v>2671</v>
      </c>
      <c r="B91" s="494" t="s">
        <v>2672</v>
      </c>
      <c r="C91" s="495">
        <v>1213924.47</v>
      </c>
      <c r="K91" s="494">
        <v>1.7319807E7</v>
      </c>
      <c r="L91" s="495">
        <v>296964.86</v>
      </c>
      <c r="N91" s="499">
        <v>3252451.0</v>
      </c>
      <c r="O91" s="500">
        <v>51594.6</v>
      </c>
      <c r="Q91" s="498"/>
      <c r="R91" s="498"/>
    </row>
    <row r="92" ht="15.75" customHeight="1">
      <c r="A92" s="502" t="s">
        <v>2675</v>
      </c>
      <c r="B92" s="494" t="s">
        <v>2573</v>
      </c>
      <c r="C92" s="495">
        <v>1208742.24</v>
      </c>
      <c r="K92" s="494">
        <v>1.7448472E7</v>
      </c>
      <c r="L92" s="495">
        <v>32.07</v>
      </c>
      <c r="N92" s="499">
        <v>3251659.0</v>
      </c>
      <c r="O92" s="500">
        <v>0.0</v>
      </c>
      <c r="Q92" s="498"/>
      <c r="R92" s="498"/>
    </row>
    <row r="93" ht="15.75" customHeight="1">
      <c r="A93" s="502" t="s">
        <v>2677</v>
      </c>
      <c r="B93" s="494" t="s">
        <v>2678</v>
      </c>
      <c r="C93" s="495">
        <v>1200603.49</v>
      </c>
      <c r="K93" s="494">
        <v>1.7684846E7</v>
      </c>
      <c r="L93" s="495">
        <v>120657.56</v>
      </c>
      <c r="N93" s="499">
        <v>3252124.0</v>
      </c>
      <c r="O93" s="500">
        <v>0.16</v>
      </c>
      <c r="Q93" s="498"/>
      <c r="R93" s="498"/>
    </row>
    <row r="94" ht="15.75" customHeight="1">
      <c r="A94" s="502" t="s">
        <v>2679</v>
      </c>
      <c r="B94" s="494" t="s">
        <v>2680</v>
      </c>
      <c r="C94" s="495">
        <v>1198260.5</v>
      </c>
      <c r="K94" s="494">
        <v>1.839725E7</v>
      </c>
      <c r="L94" s="495">
        <v>487283.0934</v>
      </c>
      <c r="N94" s="499">
        <v>3252221.0</v>
      </c>
      <c r="O94" s="500">
        <v>1.04</v>
      </c>
      <c r="Q94" s="498"/>
      <c r="R94" s="498"/>
    </row>
    <row r="95" ht="15.75" customHeight="1">
      <c r="A95" s="502" t="s">
        <v>2681</v>
      </c>
      <c r="B95" s="494" t="s">
        <v>2588</v>
      </c>
      <c r="C95" s="495">
        <v>1179088.26</v>
      </c>
      <c r="K95" s="494">
        <v>1.8408485E7</v>
      </c>
      <c r="L95" s="495">
        <v>72629.59</v>
      </c>
      <c r="N95" s="499">
        <v>3251772.0</v>
      </c>
      <c r="O95" s="500">
        <v>1063.24</v>
      </c>
      <c r="Q95" s="498"/>
      <c r="R95" s="498"/>
    </row>
    <row r="96" ht="15.75" customHeight="1">
      <c r="A96" s="502" t="s">
        <v>2682</v>
      </c>
      <c r="B96" s="494" t="s">
        <v>2683</v>
      </c>
      <c r="C96" s="495">
        <v>1161280.49</v>
      </c>
      <c r="K96" s="494">
        <v>1.8446216E7</v>
      </c>
      <c r="L96" s="495">
        <v>0.22</v>
      </c>
      <c r="N96" s="499">
        <v>3251896.0</v>
      </c>
      <c r="O96" s="500">
        <v>0.0</v>
      </c>
      <c r="Q96" s="498"/>
      <c r="R96" s="498"/>
    </row>
    <row r="97" ht="15.75" customHeight="1">
      <c r="A97" s="502" t="s">
        <v>2684</v>
      </c>
      <c r="B97" s="494" t="s">
        <v>2668</v>
      </c>
      <c r="C97" s="495">
        <v>1155421.44</v>
      </c>
      <c r="K97" s="494">
        <v>1.8610732E7</v>
      </c>
      <c r="L97" s="495">
        <v>0.0</v>
      </c>
      <c r="N97" s="499"/>
      <c r="O97" s="499"/>
      <c r="Q97" s="498"/>
      <c r="R97" s="498"/>
    </row>
    <row r="98" ht="15.75" customHeight="1">
      <c r="A98" s="502" t="s">
        <v>188</v>
      </c>
      <c r="B98" s="494" t="s">
        <v>2686</v>
      </c>
      <c r="C98" s="495">
        <v>1151901.73</v>
      </c>
      <c r="K98" s="494">
        <v>1.8718124E7</v>
      </c>
      <c r="L98" s="495">
        <v>12.28</v>
      </c>
      <c r="N98" s="499"/>
      <c r="O98" s="500"/>
      <c r="Q98" s="498"/>
      <c r="R98" s="498"/>
    </row>
    <row r="99" ht="15.75" customHeight="1">
      <c r="A99" s="502" t="s">
        <v>2687</v>
      </c>
      <c r="B99" s="494" t="s">
        <v>2688</v>
      </c>
      <c r="C99" s="495">
        <v>1137382.11</v>
      </c>
      <c r="K99" s="494">
        <v>1.871822E7</v>
      </c>
      <c r="L99" s="495">
        <v>20.87</v>
      </c>
      <c r="N99" s="499"/>
      <c r="O99" s="500"/>
      <c r="Q99" s="498"/>
      <c r="R99" s="498"/>
    </row>
    <row r="100" ht="15.75" customHeight="1">
      <c r="A100" s="502" t="s">
        <v>1559</v>
      </c>
      <c r="B100" s="494" t="s">
        <v>2689</v>
      </c>
      <c r="C100" s="495">
        <v>1111750.83</v>
      </c>
      <c r="K100" s="494">
        <v>1.880124E7</v>
      </c>
      <c r="L100" s="495">
        <v>373840.87</v>
      </c>
      <c r="N100" s="499"/>
      <c r="O100" s="499"/>
      <c r="Q100" s="498"/>
      <c r="R100" s="498"/>
    </row>
    <row r="101" ht="15.75" customHeight="1">
      <c r="A101" s="502" t="s">
        <v>2690</v>
      </c>
      <c r="B101" s="494" t="s">
        <v>2691</v>
      </c>
      <c r="C101" s="495">
        <v>1103932.91</v>
      </c>
      <c r="K101" s="494">
        <v>1.8809506E7</v>
      </c>
      <c r="L101" s="495">
        <v>1054853.714</v>
      </c>
      <c r="N101" s="499"/>
      <c r="O101" s="500"/>
      <c r="Q101" s="498"/>
      <c r="R101" s="498"/>
    </row>
    <row r="102" ht="15.75" customHeight="1">
      <c r="A102" s="502" t="s">
        <v>2692</v>
      </c>
      <c r="B102" s="494" t="s">
        <v>2693</v>
      </c>
      <c r="C102" s="495">
        <v>1103560.54</v>
      </c>
      <c r="K102" s="494">
        <v>1.8826594E7</v>
      </c>
      <c r="L102" s="495">
        <v>1062981.685</v>
      </c>
      <c r="N102" s="499"/>
      <c r="O102" s="500"/>
      <c r="Q102" s="498"/>
      <c r="R102" s="498"/>
    </row>
    <row r="103" ht="15.75" customHeight="1">
      <c r="A103" s="502" t="s">
        <v>2694</v>
      </c>
      <c r="B103" s="494" t="s">
        <v>2695</v>
      </c>
      <c r="C103" s="495">
        <v>1089770.37</v>
      </c>
      <c r="K103" s="494">
        <v>1.8936181E7</v>
      </c>
      <c r="L103" s="495">
        <v>439914.9998</v>
      </c>
      <c r="N103" s="499"/>
      <c r="O103" s="500"/>
      <c r="Q103" s="498"/>
      <c r="R103" s="498"/>
    </row>
    <row r="104" ht="15.75" customHeight="1">
      <c r="A104" s="502" t="s">
        <v>2696</v>
      </c>
      <c r="B104" s="494" t="s">
        <v>2697</v>
      </c>
      <c r="C104" s="495">
        <v>1059378.97</v>
      </c>
      <c r="K104" s="494">
        <v>1.9228652E7</v>
      </c>
      <c r="L104" s="495">
        <v>0.0</v>
      </c>
      <c r="N104" s="499"/>
      <c r="O104" s="499"/>
      <c r="Q104" s="498"/>
      <c r="R104" s="498"/>
    </row>
    <row r="105" ht="15.75" customHeight="1">
      <c r="A105" s="502" t="s">
        <v>1626</v>
      </c>
      <c r="B105" s="494" t="s">
        <v>2689</v>
      </c>
      <c r="C105" s="495">
        <v>1015435.11</v>
      </c>
      <c r="K105" s="494">
        <v>1.9423561E7</v>
      </c>
      <c r="L105" s="495">
        <v>0.0</v>
      </c>
      <c r="N105" s="499"/>
      <c r="O105" s="500"/>
      <c r="Q105" s="498"/>
      <c r="R105" s="498"/>
    </row>
    <row r="106" ht="15.75" customHeight="1">
      <c r="A106" s="502" t="s">
        <v>2698</v>
      </c>
      <c r="B106" s="494" t="s">
        <v>2668</v>
      </c>
      <c r="C106" s="495">
        <v>1011890.35</v>
      </c>
      <c r="K106" s="494">
        <v>1.9492633E7</v>
      </c>
      <c r="L106" s="495">
        <v>0.0</v>
      </c>
      <c r="N106" s="499"/>
      <c r="O106" s="500"/>
      <c r="Q106" s="498"/>
      <c r="R106" s="498"/>
    </row>
    <row r="107" ht="15.75" customHeight="1">
      <c r="A107" s="502" t="s">
        <v>2699</v>
      </c>
      <c r="B107" s="494" t="s">
        <v>2651</v>
      </c>
      <c r="C107" s="495">
        <v>1008505.94</v>
      </c>
      <c r="K107" s="494">
        <v>1.9538063E7</v>
      </c>
      <c r="L107" s="495">
        <v>0.0</v>
      </c>
      <c r="N107" s="499"/>
      <c r="O107" s="499"/>
      <c r="Q107" s="498"/>
      <c r="R107" s="498"/>
    </row>
    <row r="108" ht="15.75" customHeight="1">
      <c r="A108" s="502" t="s">
        <v>2700</v>
      </c>
      <c r="B108" s="494" t="s">
        <v>2701</v>
      </c>
      <c r="C108" s="495">
        <v>1005743.63</v>
      </c>
      <c r="K108" s="494">
        <v>1.9550454E7</v>
      </c>
      <c r="L108" s="495">
        <v>72010.50204</v>
      </c>
      <c r="N108" s="499"/>
      <c r="O108" s="499"/>
      <c r="Q108" s="498"/>
      <c r="R108" s="498"/>
    </row>
    <row r="109" ht="15.75" customHeight="1">
      <c r="A109" s="502" t="s">
        <v>2702</v>
      </c>
      <c r="B109" s="494" t="s">
        <v>2703</v>
      </c>
      <c r="C109" s="495">
        <v>993569.56</v>
      </c>
      <c r="K109" s="494">
        <v>1.9573989E7</v>
      </c>
      <c r="L109" s="495">
        <v>317552.255</v>
      </c>
      <c r="N109" s="499"/>
      <c r="O109" s="499"/>
      <c r="Q109" s="498"/>
      <c r="R109" s="498"/>
    </row>
    <row r="110" ht="15.75" customHeight="1">
      <c r="A110" s="502" t="s">
        <v>2704</v>
      </c>
      <c r="B110" s="494" t="s">
        <v>2705</v>
      </c>
      <c r="C110" s="495">
        <v>992283.08</v>
      </c>
      <c r="K110" s="494">
        <v>1.9584661E7</v>
      </c>
      <c r="L110" s="495">
        <v>0.0</v>
      </c>
      <c r="N110" s="499"/>
      <c r="O110" s="499"/>
      <c r="Q110" s="498"/>
      <c r="R110" s="498"/>
    </row>
    <row r="111" ht="15.75" customHeight="1">
      <c r="A111" s="502" t="s">
        <v>2706</v>
      </c>
      <c r="B111" s="494" t="s">
        <v>2517</v>
      </c>
      <c r="C111" s="495">
        <v>978449.02</v>
      </c>
      <c r="K111" s="494">
        <v>1.9620735E7</v>
      </c>
      <c r="L111" s="495">
        <v>0.0</v>
      </c>
      <c r="N111" s="499"/>
      <c r="O111" s="500"/>
      <c r="Q111" s="498"/>
      <c r="R111" s="498"/>
    </row>
    <row r="112" ht="15.75" customHeight="1">
      <c r="A112" s="502" t="s">
        <v>2707</v>
      </c>
      <c r="B112" s="494" t="s">
        <v>2708</v>
      </c>
      <c r="C112" s="495">
        <v>964232.73</v>
      </c>
      <c r="K112" s="494">
        <v>1.9622653E7</v>
      </c>
      <c r="L112" s="495">
        <v>464717.217</v>
      </c>
      <c r="N112" s="499"/>
      <c r="O112" s="499"/>
      <c r="Q112" s="498"/>
      <c r="R112" s="498"/>
    </row>
    <row r="113" ht="15.75" customHeight="1">
      <c r="A113" s="502" t="s">
        <v>2709</v>
      </c>
      <c r="B113" s="494" t="s">
        <v>178</v>
      </c>
      <c r="C113" s="495">
        <v>959437.13</v>
      </c>
      <c r="K113" s="494">
        <v>1.9625446E7</v>
      </c>
      <c r="L113" s="495">
        <v>108852.85</v>
      </c>
      <c r="N113" s="499"/>
      <c r="O113" s="500"/>
      <c r="Q113" s="498"/>
      <c r="R113" s="498"/>
    </row>
    <row r="114" ht="15.75" customHeight="1">
      <c r="A114" s="502" t="s">
        <v>2711</v>
      </c>
      <c r="B114" s="494" t="s">
        <v>2712</v>
      </c>
      <c r="C114" s="495">
        <v>952201.29</v>
      </c>
      <c r="K114" s="494">
        <v>1.9685218E7</v>
      </c>
      <c r="L114" s="495">
        <v>1867373.469</v>
      </c>
      <c r="N114" s="499"/>
      <c r="O114" s="500"/>
      <c r="Q114" s="498"/>
      <c r="R114" s="498"/>
    </row>
    <row r="115" ht="15.75" customHeight="1">
      <c r="A115" s="502" t="s">
        <v>2713</v>
      </c>
      <c r="B115" s="494" t="s">
        <v>2714</v>
      </c>
      <c r="C115" s="495">
        <v>944829.72</v>
      </c>
      <c r="K115" s="494">
        <v>1.9693984E7</v>
      </c>
      <c r="L115" s="495">
        <v>195295.9244</v>
      </c>
      <c r="N115" s="499"/>
      <c r="O115" s="499"/>
      <c r="Q115" s="498"/>
      <c r="R115" s="498"/>
    </row>
    <row r="116" ht="15.75" customHeight="1">
      <c r="A116" s="502" t="s">
        <v>2715</v>
      </c>
      <c r="B116" s="494" t="s">
        <v>2705</v>
      </c>
      <c r="C116" s="495">
        <v>936735.44</v>
      </c>
      <c r="K116" s="494">
        <v>1.9771047E7</v>
      </c>
      <c r="L116" s="495">
        <v>0.0</v>
      </c>
      <c r="N116" s="499"/>
      <c r="O116" s="499"/>
      <c r="Q116" s="498"/>
      <c r="R116" s="498"/>
    </row>
    <row r="117" ht="15.75" customHeight="1">
      <c r="A117" s="502" t="s">
        <v>2716</v>
      </c>
      <c r="B117" s="494" t="s">
        <v>2513</v>
      </c>
      <c r="C117" s="495">
        <v>935170.89</v>
      </c>
      <c r="K117" s="494">
        <v>1.9771677E7</v>
      </c>
      <c r="L117" s="495">
        <v>0.0</v>
      </c>
      <c r="N117" s="499"/>
      <c r="O117" s="500"/>
      <c r="Q117" s="498"/>
      <c r="R117" s="498"/>
    </row>
    <row r="118" ht="15.75" customHeight="1">
      <c r="A118" s="502" t="s">
        <v>2717</v>
      </c>
      <c r="B118" s="494" t="s">
        <v>2718</v>
      </c>
      <c r="C118" s="495">
        <v>932113.04</v>
      </c>
      <c r="K118" s="494">
        <v>1.9774585E7</v>
      </c>
      <c r="L118" s="495">
        <v>100000.0</v>
      </c>
      <c r="N118" s="499"/>
      <c r="O118" s="499"/>
      <c r="Q118" s="498"/>
      <c r="R118" s="498"/>
    </row>
    <row r="119" ht="15.75" customHeight="1">
      <c r="A119" s="502" t="s">
        <v>2721</v>
      </c>
      <c r="B119" s="494" t="s">
        <v>2722</v>
      </c>
      <c r="C119" s="495">
        <v>924829.62</v>
      </c>
      <c r="K119" s="494">
        <v>1.978477E7</v>
      </c>
      <c r="L119" s="495">
        <v>768594.6626</v>
      </c>
      <c r="N119" s="499"/>
      <c r="O119" s="500"/>
      <c r="Q119" s="498"/>
      <c r="R119" s="498"/>
    </row>
    <row r="120" ht="15.75" customHeight="1">
      <c r="A120" s="502" t="s">
        <v>2727</v>
      </c>
      <c r="B120" s="494" t="s">
        <v>2728</v>
      </c>
      <c r="C120" s="495">
        <v>924125.6</v>
      </c>
      <c r="K120" s="494">
        <v>1.9800198E7</v>
      </c>
      <c r="L120" s="495">
        <v>1233015.703</v>
      </c>
      <c r="N120" s="499"/>
      <c r="O120" s="500"/>
      <c r="Q120" s="498"/>
      <c r="R120" s="498"/>
    </row>
    <row r="121" ht="15.75" customHeight="1">
      <c r="A121" s="502" t="s">
        <v>2730</v>
      </c>
      <c r="B121" s="494" t="s">
        <v>2731</v>
      </c>
      <c r="C121" s="495">
        <v>923538.44</v>
      </c>
      <c r="K121" s="494">
        <v>1.9806802E7</v>
      </c>
      <c r="L121" s="495">
        <v>0.0</v>
      </c>
      <c r="N121" s="499"/>
      <c r="O121" s="499"/>
      <c r="Q121" s="498"/>
      <c r="R121" s="498"/>
    </row>
    <row r="122" ht="15.75" customHeight="1">
      <c r="A122" s="502" t="s">
        <v>2732</v>
      </c>
      <c r="B122" s="494" t="s">
        <v>2733</v>
      </c>
      <c r="C122" s="495">
        <v>916239.45</v>
      </c>
      <c r="K122" s="494"/>
      <c r="L122" s="495"/>
      <c r="N122" s="499"/>
      <c r="O122" s="500"/>
      <c r="Q122" s="498"/>
      <c r="R122" s="498"/>
    </row>
    <row r="123" ht="15.75" customHeight="1">
      <c r="A123" s="502" t="s">
        <v>2735</v>
      </c>
      <c r="B123" s="494" t="s">
        <v>2737</v>
      </c>
      <c r="C123" s="495">
        <v>911431.5</v>
      </c>
      <c r="K123" s="494"/>
      <c r="L123" s="495"/>
      <c r="N123" s="499"/>
      <c r="O123" s="500"/>
      <c r="Q123" s="498"/>
      <c r="R123" s="498"/>
    </row>
    <row r="124" ht="15.75" customHeight="1">
      <c r="A124" s="502" t="s">
        <v>2739</v>
      </c>
      <c r="B124" s="494" t="s">
        <v>2740</v>
      </c>
      <c r="C124" s="495">
        <v>907601.49</v>
      </c>
      <c r="K124" s="494"/>
      <c r="L124" s="495"/>
      <c r="N124" s="499"/>
      <c r="O124" s="499"/>
      <c r="Q124" s="498"/>
      <c r="R124" s="498"/>
    </row>
    <row r="125" ht="15.75" customHeight="1">
      <c r="A125" s="502" t="s">
        <v>2741</v>
      </c>
      <c r="B125" s="494" t="s">
        <v>2742</v>
      </c>
      <c r="C125" s="495">
        <v>904537.81</v>
      </c>
      <c r="K125" s="494"/>
      <c r="L125" s="495"/>
      <c r="N125" s="499"/>
      <c r="O125" s="500"/>
      <c r="Q125" s="498"/>
      <c r="R125" s="498"/>
    </row>
    <row r="126" ht="15.75" customHeight="1">
      <c r="A126" s="502" t="s">
        <v>2745</v>
      </c>
      <c r="B126" s="494" t="s">
        <v>2746</v>
      </c>
      <c r="C126" s="495">
        <v>898380.17</v>
      </c>
      <c r="K126" s="494"/>
      <c r="L126" s="495"/>
      <c r="N126" s="499"/>
      <c r="O126" s="500"/>
      <c r="Q126" s="498"/>
      <c r="R126" s="498"/>
    </row>
    <row r="127" ht="15.75" customHeight="1">
      <c r="A127" s="502" t="s">
        <v>1896</v>
      </c>
      <c r="B127" s="494" t="s">
        <v>2747</v>
      </c>
      <c r="C127" s="495">
        <v>896977.05</v>
      </c>
      <c r="K127" s="494"/>
      <c r="L127" s="495"/>
      <c r="N127" s="499"/>
      <c r="O127" s="500"/>
      <c r="Q127" s="498"/>
      <c r="R127" s="498"/>
    </row>
    <row r="128" ht="15.75" customHeight="1">
      <c r="A128" s="502" t="s">
        <v>2748</v>
      </c>
      <c r="B128" s="494" t="s">
        <v>2749</v>
      </c>
      <c r="C128" s="495">
        <v>893822.93</v>
      </c>
      <c r="K128" s="494"/>
      <c r="L128" s="514"/>
      <c r="N128" s="499"/>
      <c r="O128" s="500"/>
      <c r="Q128" s="498"/>
      <c r="R128" s="498"/>
    </row>
    <row r="129" ht="15.75" customHeight="1">
      <c r="A129" s="502" t="s">
        <v>2750</v>
      </c>
      <c r="B129" s="494" t="s">
        <v>2662</v>
      </c>
      <c r="C129" s="495">
        <v>890371.95</v>
      </c>
      <c r="K129" s="494"/>
      <c r="L129" s="514"/>
      <c r="N129" s="499"/>
      <c r="O129" s="500"/>
      <c r="Q129" s="498"/>
      <c r="R129" s="498"/>
    </row>
    <row r="130" ht="15.75" customHeight="1">
      <c r="A130" s="502" t="s">
        <v>2751</v>
      </c>
      <c r="B130" s="494" t="s">
        <v>2542</v>
      </c>
      <c r="C130" s="495">
        <v>883254.17</v>
      </c>
      <c r="K130" s="494"/>
      <c r="L130" s="514"/>
      <c r="N130" s="499"/>
      <c r="O130" s="500"/>
      <c r="Q130" s="498"/>
      <c r="R130" s="498"/>
    </row>
    <row r="131" ht="15.75" customHeight="1">
      <c r="A131" s="502" t="s">
        <v>2752</v>
      </c>
      <c r="B131" s="494" t="s">
        <v>178</v>
      </c>
      <c r="C131" s="495">
        <v>877689.88</v>
      </c>
      <c r="K131" s="494"/>
      <c r="L131" s="514"/>
      <c r="N131" s="499"/>
      <c r="O131" s="500"/>
      <c r="Q131" s="498"/>
      <c r="R131" s="498"/>
    </row>
    <row r="132" ht="15.75" customHeight="1">
      <c r="A132" s="502" t="s">
        <v>2753</v>
      </c>
      <c r="B132" s="494" t="s">
        <v>2754</v>
      </c>
      <c r="C132" s="495">
        <v>856608.59</v>
      </c>
      <c r="K132" s="494"/>
      <c r="L132" s="514"/>
      <c r="N132" s="499"/>
      <c r="O132" s="499"/>
      <c r="Q132" s="498"/>
      <c r="R132" s="498"/>
    </row>
    <row r="133" ht="15.75" customHeight="1">
      <c r="A133" s="502" t="s">
        <v>2755</v>
      </c>
      <c r="B133" s="494" t="s">
        <v>2756</v>
      </c>
      <c r="C133" s="495">
        <v>849067.48</v>
      </c>
      <c r="K133" s="494"/>
      <c r="L133" s="514"/>
      <c r="N133" s="499"/>
      <c r="O133" s="500"/>
      <c r="Q133" s="498"/>
      <c r="R133" s="498"/>
    </row>
    <row r="134" ht="15.75" customHeight="1">
      <c r="A134" s="502" t="s">
        <v>2757</v>
      </c>
      <c r="B134" s="494" t="s">
        <v>2758</v>
      </c>
      <c r="C134" s="495">
        <v>842992.28</v>
      </c>
      <c r="K134" s="494"/>
      <c r="L134" s="514"/>
      <c r="N134" s="499"/>
      <c r="O134" s="500"/>
      <c r="Q134" s="498"/>
      <c r="R134" s="498"/>
    </row>
    <row r="135" ht="15.75" customHeight="1">
      <c r="A135" s="502" t="s">
        <v>2759</v>
      </c>
      <c r="B135" s="494" t="s">
        <v>2760</v>
      </c>
      <c r="C135" s="495">
        <v>842403.25</v>
      </c>
      <c r="K135" s="494"/>
      <c r="L135" s="514"/>
      <c r="N135" s="499"/>
      <c r="O135" s="500"/>
      <c r="Q135" s="498"/>
      <c r="R135" s="498"/>
    </row>
    <row r="136" ht="15.75" customHeight="1">
      <c r="A136" s="502" t="s">
        <v>2761</v>
      </c>
      <c r="B136" s="494" t="s">
        <v>2762</v>
      </c>
      <c r="C136" s="495">
        <v>818211.07</v>
      </c>
      <c r="K136" s="494"/>
      <c r="L136" s="514"/>
      <c r="N136" s="499"/>
      <c r="O136" s="500"/>
      <c r="Q136" s="498"/>
      <c r="R136" s="498"/>
    </row>
    <row r="137" ht="15.75" customHeight="1">
      <c r="A137" s="502" t="s">
        <v>2763</v>
      </c>
      <c r="B137" s="494" t="s">
        <v>2764</v>
      </c>
      <c r="C137" s="495">
        <v>809535.57</v>
      </c>
      <c r="K137" s="494"/>
      <c r="L137" s="514"/>
      <c r="N137" s="499"/>
      <c r="O137" s="499"/>
      <c r="Q137" s="498"/>
      <c r="R137" s="498"/>
    </row>
    <row r="138" ht="15.75" customHeight="1">
      <c r="A138" s="502" t="s">
        <v>2765</v>
      </c>
      <c r="B138" s="494" t="s">
        <v>2491</v>
      </c>
      <c r="C138" s="495">
        <v>779726.47</v>
      </c>
      <c r="K138" s="494"/>
      <c r="L138" s="514"/>
      <c r="N138" s="499"/>
      <c r="O138" s="499"/>
      <c r="Q138" s="498"/>
      <c r="R138" s="498"/>
    </row>
    <row r="139" ht="15.75" customHeight="1">
      <c r="A139" s="502" t="s">
        <v>2767</v>
      </c>
      <c r="B139" s="494" t="s">
        <v>2768</v>
      </c>
      <c r="C139" s="495">
        <v>775613.04</v>
      </c>
      <c r="K139" s="494"/>
      <c r="L139" s="514"/>
      <c r="N139" s="499"/>
      <c r="O139" s="500"/>
      <c r="Q139" s="498"/>
      <c r="R139" s="498"/>
    </row>
    <row r="140" ht="15.75" customHeight="1">
      <c r="A140" s="502" t="s">
        <v>2769</v>
      </c>
      <c r="B140" s="494" t="s">
        <v>2693</v>
      </c>
      <c r="C140" s="495">
        <v>755193.13</v>
      </c>
      <c r="K140" s="494"/>
      <c r="L140" s="514"/>
      <c r="N140" s="499"/>
      <c r="O140" s="500"/>
      <c r="Q140" s="498"/>
      <c r="R140" s="498"/>
    </row>
    <row r="141" ht="15.75" customHeight="1">
      <c r="A141" s="502" t="s">
        <v>2771</v>
      </c>
      <c r="B141" s="494" t="s">
        <v>178</v>
      </c>
      <c r="C141" s="495">
        <v>753539.73</v>
      </c>
      <c r="K141" s="494"/>
      <c r="L141" s="514"/>
      <c r="N141" s="499"/>
      <c r="O141" s="499"/>
      <c r="Q141" s="498"/>
      <c r="R141" s="498"/>
    </row>
    <row r="142" ht="15.75" customHeight="1">
      <c r="A142" s="502" t="s">
        <v>620</v>
      </c>
      <c r="B142" s="494" t="s">
        <v>2772</v>
      </c>
      <c r="C142" s="495">
        <v>745514.65</v>
      </c>
      <c r="K142" s="494"/>
      <c r="L142" s="514"/>
      <c r="N142" s="499"/>
      <c r="O142" s="499"/>
      <c r="Q142" s="498"/>
      <c r="R142" s="498"/>
    </row>
    <row r="143" ht="15.75" customHeight="1">
      <c r="A143" s="502" t="s">
        <v>2773</v>
      </c>
      <c r="B143" s="494" t="s">
        <v>2774</v>
      </c>
      <c r="C143" s="495">
        <v>744117.32</v>
      </c>
      <c r="K143" s="494"/>
      <c r="L143" s="514"/>
      <c r="N143" s="499"/>
      <c r="O143" s="499"/>
      <c r="Q143" s="498"/>
      <c r="R143" s="498"/>
    </row>
    <row r="144" ht="15.75" customHeight="1">
      <c r="A144" s="502" t="s">
        <v>2775</v>
      </c>
      <c r="B144" s="494" t="s">
        <v>2776</v>
      </c>
      <c r="C144" s="495">
        <v>743389.86</v>
      </c>
      <c r="K144" s="494"/>
      <c r="L144" s="514"/>
      <c r="N144" s="499"/>
      <c r="O144" s="499"/>
      <c r="Q144" s="498"/>
      <c r="R144" s="498"/>
    </row>
    <row r="145" ht="15.75" customHeight="1">
      <c r="A145" s="502" t="s">
        <v>2777</v>
      </c>
      <c r="B145" s="494" t="s">
        <v>178</v>
      </c>
      <c r="C145" s="495">
        <v>742655.19</v>
      </c>
      <c r="K145" s="494"/>
      <c r="L145" s="514"/>
      <c r="N145" s="499"/>
      <c r="O145" s="499"/>
      <c r="Q145" s="498"/>
      <c r="R145" s="498"/>
    </row>
    <row r="146" ht="15.75" customHeight="1">
      <c r="A146" s="502" t="s">
        <v>461</v>
      </c>
      <c r="B146" s="494" t="s">
        <v>2782</v>
      </c>
      <c r="C146" s="495">
        <v>738397.44</v>
      </c>
      <c r="K146" s="494"/>
      <c r="L146" s="514"/>
      <c r="N146" s="499"/>
      <c r="O146" s="499"/>
      <c r="Q146" s="498"/>
      <c r="R146" s="498"/>
    </row>
    <row r="147" ht="15.75" customHeight="1">
      <c r="A147" s="502" t="s">
        <v>1947</v>
      </c>
      <c r="B147" s="494" t="s">
        <v>2783</v>
      </c>
      <c r="C147" s="495">
        <v>734516.7</v>
      </c>
      <c r="K147" s="494"/>
      <c r="L147" s="514"/>
      <c r="N147" s="499"/>
      <c r="O147" s="499"/>
      <c r="Q147" s="498"/>
      <c r="R147" s="498"/>
    </row>
    <row r="148" ht="15.75" customHeight="1">
      <c r="A148" s="502" t="s">
        <v>2784</v>
      </c>
      <c r="B148" s="494" t="s">
        <v>2785</v>
      </c>
      <c r="C148" s="495">
        <v>722601.25</v>
      </c>
      <c r="K148" s="494"/>
      <c r="L148" s="514"/>
      <c r="N148" s="499"/>
      <c r="O148" s="499"/>
      <c r="Q148" s="498"/>
      <c r="R148" s="498"/>
    </row>
    <row r="149" ht="15.75" customHeight="1">
      <c r="A149" s="502" t="s">
        <v>2786</v>
      </c>
      <c r="B149" s="494" t="s">
        <v>2787</v>
      </c>
      <c r="C149" s="495">
        <v>720073.96</v>
      </c>
      <c r="K149" s="494"/>
      <c r="L149" s="514"/>
      <c r="N149" s="499"/>
      <c r="O149" s="499"/>
      <c r="Q149" s="498"/>
      <c r="R149" s="498"/>
    </row>
    <row r="150" ht="15.75" customHeight="1">
      <c r="A150" s="502" t="s">
        <v>2790</v>
      </c>
      <c r="B150" s="494" t="s">
        <v>2791</v>
      </c>
      <c r="C150" s="495">
        <v>715723.16</v>
      </c>
      <c r="K150" s="494"/>
      <c r="L150" s="514"/>
      <c r="N150" s="499"/>
      <c r="O150" s="500"/>
      <c r="Q150" s="498"/>
      <c r="R150" s="498"/>
    </row>
    <row r="151" ht="15.75" customHeight="1">
      <c r="A151" s="502" t="s">
        <v>2792</v>
      </c>
      <c r="B151" s="494" t="s">
        <v>2793</v>
      </c>
      <c r="C151" s="495">
        <v>706257.7</v>
      </c>
      <c r="K151" s="494"/>
      <c r="L151" s="514"/>
      <c r="N151" s="499"/>
      <c r="O151" s="499"/>
      <c r="Q151" s="498"/>
      <c r="R151" s="498"/>
    </row>
    <row r="152" ht="15.75" customHeight="1">
      <c r="A152" s="502" t="s">
        <v>2794</v>
      </c>
      <c r="B152" s="494" t="s">
        <v>2795</v>
      </c>
      <c r="C152" s="495">
        <v>699186.46</v>
      </c>
      <c r="K152" s="494"/>
      <c r="L152" s="514"/>
      <c r="N152" s="499"/>
      <c r="O152" s="500"/>
      <c r="Q152" s="498"/>
      <c r="R152" s="498"/>
    </row>
    <row r="153" ht="15.75" customHeight="1">
      <c r="A153" s="502" t="s">
        <v>2796</v>
      </c>
      <c r="B153" s="494" t="s">
        <v>2797</v>
      </c>
      <c r="C153" s="495">
        <v>695583.65</v>
      </c>
      <c r="K153" s="494"/>
      <c r="L153" s="514"/>
      <c r="N153" s="499"/>
      <c r="O153" s="499"/>
      <c r="Q153" s="498"/>
      <c r="R153" s="498"/>
    </row>
    <row r="154" ht="15.75" customHeight="1">
      <c r="A154" s="502" t="s">
        <v>2798</v>
      </c>
      <c r="B154" s="494" t="s">
        <v>2611</v>
      </c>
      <c r="C154" s="495">
        <v>688824.96</v>
      </c>
      <c r="K154" s="494"/>
      <c r="L154" s="514"/>
      <c r="N154" s="499"/>
      <c r="O154" s="500"/>
      <c r="Q154" s="498"/>
      <c r="R154" s="498"/>
    </row>
    <row r="155" ht="15.75" customHeight="1">
      <c r="A155" s="502" t="s">
        <v>2799</v>
      </c>
      <c r="B155" s="494" t="s">
        <v>2542</v>
      </c>
      <c r="C155" s="495">
        <v>676564.82</v>
      </c>
      <c r="K155" s="494"/>
      <c r="L155" s="514"/>
      <c r="N155" s="499"/>
      <c r="O155" s="500"/>
      <c r="Q155" s="498"/>
      <c r="R155" s="498"/>
    </row>
    <row r="156" ht="15.75" customHeight="1">
      <c r="A156" s="502" t="s">
        <v>2800</v>
      </c>
      <c r="B156" s="494" t="s">
        <v>211</v>
      </c>
      <c r="C156" s="495">
        <v>673285.54</v>
      </c>
      <c r="K156" s="494"/>
      <c r="L156" s="514"/>
      <c r="N156" s="499"/>
      <c r="O156" s="499"/>
      <c r="Q156" s="498"/>
      <c r="R156" s="498"/>
    </row>
    <row r="157" ht="15.75" customHeight="1">
      <c r="A157" s="502" t="s">
        <v>2801</v>
      </c>
      <c r="B157" s="494" t="s">
        <v>200</v>
      </c>
      <c r="C157" s="495">
        <v>672831.51</v>
      </c>
      <c r="K157" s="494"/>
      <c r="L157" s="514"/>
      <c r="N157" s="499"/>
      <c r="O157" s="499"/>
      <c r="Q157" s="498"/>
      <c r="R157" s="498"/>
    </row>
    <row r="158" ht="15.75" customHeight="1">
      <c r="A158" s="502" t="s">
        <v>2803</v>
      </c>
      <c r="B158" s="494" t="s">
        <v>2804</v>
      </c>
      <c r="C158" s="495">
        <v>651688.64</v>
      </c>
      <c r="K158" s="494"/>
      <c r="L158" s="514"/>
      <c r="N158" s="499"/>
      <c r="O158" s="499"/>
      <c r="Q158" s="498"/>
      <c r="R158" s="498"/>
    </row>
    <row r="159" ht="15.75" customHeight="1">
      <c r="A159" s="502" t="s">
        <v>2806</v>
      </c>
      <c r="B159" s="494" t="s">
        <v>2613</v>
      </c>
      <c r="C159" s="495">
        <v>649075.29</v>
      </c>
      <c r="K159" s="494"/>
      <c r="L159" s="514"/>
      <c r="N159" s="499"/>
      <c r="O159" s="500"/>
      <c r="Q159" s="498"/>
      <c r="R159" s="498"/>
    </row>
    <row r="160" ht="15.75" customHeight="1">
      <c r="A160" s="502" t="s">
        <v>2807</v>
      </c>
      <c r="B160" s="494" t="s">
        <v>2660</v>
      </c>
      <c r="C160" s="495">
        <v>644447.64</v>
      </c>
      <c r="K160" s="494"/>
      <c r="L160" s="514"/>
      <c r="N160" s="499"/>
      <c r="O160" s="500"/>
      <c r="Q160" s="498"/>
      <c r="R160" s="498"/>
    </row>
    <row r="161" ht="15.75" customHeight="1">
      <c r="A161" s="502" t="s">
        <v>2808</v>
      </c>
      <c r="B161" s="494" t="s">
        <v>2542</v>
      </c>
      <c r="C161" s="495">
        <v>642043.53</v>
      </c>
      <c r="K161" s="494"/>
      <c r="L161" s="514"/>
      <c r="N161" s="499"/>
      <c r="O161" s="499"/>
      <c r="Q161" s="498"/>
      <c r="R161" s="498"/>
    </row>
    <row r="162" ht="15.75" customHeight="1">
      <c r="A162" s="502" t="s">
        <v>2814</v>
      </c>
      <c r="B162" s="494" t="s">
        <v>2815</v>
      </c>
      <c r="C162" s="495">
        <v>639471.46</v>
      </c>
      <c r="K162" s="494"/>
      <c r="L162" s="514"/>
      <c r="N162" s="499"/>
      <c r="O162" s="499"/>
      <c r="Q162" s="498"/>
      <c r="R162" s="498"/>
    </row>
    <row r="163" ht="15.75" customHeight="1">
      <c r="A163" s="502" t="s">
        <v>2816</v>
      </c>
      <c r="B163" s="494" t="s">
        <v>2817</v>
      </c>
      <c r="C163" s="495">
        <v>638782.76</v>
      </c>
      <c r="K163" s="494"/>
      <c r="L163" s="514"/>
      <c r="N163" s="499"/>
      <c r="O163" s="499"/>
      <c r="Q163" s="498"/>
      <c r="R163" s="498"/>
    </row>
    <row r="164" ht="15.75" customHeight="1">
      <c r="A164" s="502" t="s">
        <v>2818</v>
      </c>
      <c r="B164" s="494" t="s">
        <v>2819</v>
      </c>
      <c r="C164" s="495">
        <v>635855.82</v>
      </c>
      <c r="K164" s="494"/>
      <c r="L164" s="514"/>
      <c r="N164" s="499"/>
      <c r="O164" s="499"/>
      <c r="Q164" s="498"/>
      <c r="R164" s="498"/>
    </row>
    <row r="165" ht="15.75" customHeight="1">
      <c r="A165" s="502" t="s">
        <v>1940</v>
      </c>
      <c r="B165" s="494" t="s">
        <v>2783</v>
      </c>
      <c r="C165" s="495">
        <v>628577.51</v>
      </c>
      <c r="K165" s="494"/>
      <c r="L165" s="514"/>
      <c r="N165" s="499"/>
      <c r="O165" s="499"/>
      <c r="Q165" s="498"/>
      <c r="R165" s="498"/>
    </row>
    <row r="166" ht="15.75" customHeight="1">
      <c r="A166" s="502" t="s">
        <v>2820</v>
      </c>
      <c r="B166" s="494" t="s">
        <v>2821</v>
      </c>
      <c r="C166" s="495">
        <v>627214.65</v>
      </c>
      <c r="K166" s="494"/>
      <c r="L166" s="514"/>
      <c r="N166" s="499"/>
      <c r="O166" s="499"/>
      <c r="Q166" s="498"/>
      <c r="R166" s="498"/>
    </row>
    <row r="167" ht="15.75" customHeight="1">
      <c r="A167" s="502" t="s">
        <v>2822</v>
      </c>
      <c r="B167" s="494" t="s">
        <v>2588</v>
      </c>
      <c r="C167" s="495">
        <v>622354.68</v>
      </c>
      <c r="K167" s="494"/>
      <c r="L167" s="514"/>
      <c r="N167" s="499"/>
      <c r="O167" s="500"/>
      <c r="Q167" s="498"/>
      <c r="R167" s="498"/>
    </row>
    <row r="168" ht="15.75" customHeight="1">
      <c r="A168" s="502" t="s">
        <v>2823</v>
      </c>
      <c r="B168" s="494" t="s">
        <v>2824</v>
      </c>
      <c r="C168" s="495">
        <v>602377.44</v>
      </c>
      <c r="K168" s="494"/>
      <c r="L168" s="514"/>
      <c r="N168" s="499"/>
      <c r="O168" s="499"/>
      <c r="Q168" s="498"/>
      <c r="R168" s="498"/>
    </row>
    <row r="169" ht="15.75" customHeight="1">
      <c r="A169" s="502" t="s">
        <v>2825</v>
      </c>
      <c r="B169" s="494" t="s">
        <v>2660</v>
      </c>
      <c r="C169" s="495">
        <v>596357.34</v>
      </c>
      <c r="K169" s="494"/>
      <c r="L169" s="514"/>
      <c r="N169" s="499"/>
      <c r="O169" s="500"/>
      <c r="Q169" s="498"/>
      <c r="R169" s="498"/>
    </row>
    <row r="170" ht="15.75" customHeight="1">
      <c r="A170" s="502" t="s">
        <v>2826</v>
      </c>
      <c r="B170" s="494" t="s">
        <v>2827</v>
      </c>
      <c r="C170" s="495">
        <v>586537.1416</v>
      </c>
      <c r="K170" s="494"/>
      <c r="L170" s="514"/>
      <c r="N170" s="499"/>
      <c r="O170" s="500"/>
      <c r="Q170" s="498"/>
      <c r="R170" s="498"/>
    </row>
    <row r="171" ht="15.75" customHeight="1">
      <c r="A171" s="502" t="s">
        <v>2828</v>
      </c>
      <c r="B171" s="494" t="s">
        <v>2829</v>
      </c>
      <c r="C171" s="495">
        <v>582886.42</v>
      </c>
      <c r="K171" s="494"/>
      <c r="L171" s="514"/>
      <c r="N171" s="499"/>
      <c r="O171" s="500"/>
      <c r="Q171" s="498"/>
      <c r="R171" s="498"/>
    </row>
    <row r="172" ht="15.75" customHeight="1">
      <c r="A172" s="502" t="s">
        <v>2045</v>
      </c>
      <c r="B172" s="494" t="s">
        <v>2455</v>
      </c>
      <c r="C172" s="495">
        <v>582678.26</v>
      </c>
      <c r="K172" s="494"/>
      <c r="L172" s="514"/>
      <c r="N172" s="499"/>
      <c r="O172" s="500"/>
      <c r="Q172" s="498"/>
      <c r="R172" s="498"/>
    </row>
    <row r="173" ht="15.75" customHeight="1">
      <c r="A173" s="502" t="s">
        <v>2831</v>
      </c>
      <c r="B173" s="494" t="s">
        <v>2832</v>
      </c>
      <c r="C173" s="495">
        <v>579908.72</v>
      </c>
      <c r="K173" s="494"/>
      <c r="L173" s="514"/>
      <c r="N173" s="499"/>
      <c r="O173" s="499"/>
      <c r="Q173" s="498"/>
      <c r="R173" s="498"/>
    </row>
    <row r="174" ht="15.75" customHeight="1">
      <c r="A174" s="502" t="s">
        <v>2833</v>
      </c>
      <c r="B174" s="494" t="s">
        <v>2834</v>
      </c>
      <c r="C174" s="495">
        <v>579885.81</v>
      </c>
      <c r="K174" s="494"/>
      <c r="L174" s="514"/>
      <c r="N174" s="499"/>
      <c r="O174" s="499"/>
      <c r="Q174" s="498"/>
      <c r="R174" s="498"/>
    </row>
    <row r="175" ht="15.75" customHeight="1">
      <c r="A175" s="502" t="s">
        <v>2836</v>
      </c>
      <c r="B175" s="494" t="s">
        <v>2838</v>
      </c>
      <c r="C175" s="495">
        <v>579822.19</v>
      </c>
      <c r="K175" s="494"/>
      <c r="L175" s="514"/>
      <c r="N175" s="499"/>
      <c r="O175" s="500"/>
      <c r="Q175" s="498"/>
      <c r="R175" s="498"/>
    </row>
    <row r="176" ht="15.75" customHeight="1">
      <c r="A176" s="502" t="s">
        <v>2840</v>
      </c>
      <c r="B176" s="494" t="s">
        <v>2454</v>
      </c>
      <c r="C176" s="495">
        <v>573414.33</v>
      </c>
      <c r="K176" s="494"/>
      <c r="L176" s="514"/>
      <c r="N176" s="499"/>
      <c r="O176" s="500"/>
      <c r="Q176" s="498"/>
      <c r="R176" s="498"/>
    </row>
    <row r="177" ht="15.75" customHeight="1">
      <c r="A177" s="502" t="s">
        <v>2841</v>
      </c>
      <c r="B177" s="494" t="s">
        <v>2842</v>
      </c>
      <c r="C177" s="495">
        <v>572644.04</v>
      </c>
      <c r="K177" s="494"/>
      <c r="L177" s="514"/>
      <c r="N177" s="499"/>
      <c r="O177" s="499"/>
      <c r="Q177" s="498"/>
      <c r="R177" s="498"/>
    </row>
    <row r="178" ht="15.75" customHeight="1">
      <c r="A178" s="502" t="s">
        <v>2843</v>
      </c>
      <c r="B178" s="494" t="s">
        <v>2844</v>
      </c>
      <c r="C178" s="495">
        <v>572291.63</v>
      </c>
      <c r="K178" s="494"/>
      <c r="L178" s="514"/>
      <c r="N178" s="499"/>
      <c r="O178" s="499"/>
      <c r="Q178" s="498"/>
      <c r="R178" s="498"/>
    </row>
    <row r="179" ht="15.75" customHeight="1">
      <c r="A179" s="502" t="s">
        <v>2846</v>
      </c>
      <c r="B179" s="494" t="s">
        <v>2847</v>
      </c>
      <c r="C179" s="495">
        <v>569238.74</v>
      </c>
      <c r="K179" s="494"/>
      <c r="L179" s="514"/>
      <c r="N179" s="499"/>
      <c r="O179" s="499"/>
      <c r="Q179" s="498"/>
      <c r="R179" s="498"/>
    </row>
    <row r="180" ht="15.75" customHeight="1">
      <c r="A180" s="502" t="s">
        <v>2848</v>
      </c>
      <c r="B180" s="494" t="s">
        <v>2849</v>
      </c>
      <c r="C180" s="495">
        <v>560802.87</v>
      </c>
      <c r="K180" s="494"/>
      <c r="L180" s="514"/>
      <c r="N180" s="499"/>
      <c r="O180" s="499"/>
      <c r="Q180" s="498"/>
      <c r="R180" s="498"/>
    </row>
    <row r="181" ht="15.75" customHeight="1">
      <c r="A181" s="502" t="s">
        <v>2850</v>
      </c>
      <c r="B181" s="494" t="s">
        <v>2473</v>
      </c>
      <c r="C181" s="495">
        <v>557928.87</v>
      </c>
      <c r="K181" s="494"/>
      <c r="L181" s="514"/>
      <c r="N181" s="499"/>
      <c r="O181" s="499"/>
      <c r="Q181" s="498"/>
      <c r="R181" s="498"/>
    </row>
    <row r="182" ht="15.75" customHeight="1">
      <c r="A182" s="502" t="s">
        <v>2851</v>
      </c>
      <c r="B182" s="494" t="s">
        <v>2542</v>
      </c>
      <c r="C182" s="495">
        <v>554812.52</v>
      </c>
      <c r="K182" s="494"/>
      <c r="L182" s="514"/>
      <c r="N182" s="499"/>
      <c r="O182" s="499"/>
      <c r="Q182" s="498"/>
      <c r="R182" s="498"/>
    </row>
    <row r="183" ht="15.75" customHeight="1">
      <c r="A183" s="502" t="s">
        <v>2853</v>
      </c>
      <c r="B183" s="494" t="s">
        <v>2649</v>
      </c>
      <c r="C183" s="495">
        <v>554520.17</v>
      </c>
      <c r="K183" s="494"/>
      <c r="L183" s="514"/>
      <c r="N183" s="499"/>
      <c r="O183" s="499"/>
      <c r="Q183" s="498"/>
      <c r="R183" s="498"/>
    </row>
    <row r="184" ht="15.75" customHeight="1">
      <c r="A184" s="502" t="s">
        <v>2855</v>
      </c>
      <c r="B184" s="494" t="s">
        <v>2611</v>
      </c>
      <c r="C184" s="495">
        <v>552238.88</v>
      </c>
      <c r="K184" s="494"/>
      <c r="L184" s="514"/>
      <c r="N184" s="499"/>
      <c r="O184" s="500"/>
      <c r="Q184" s="498"/>
      <c r="R184" s="498"/>
    </row>
    <row r="185" ht="15.75" customHeight="1">
      <c r="A185" s="502" t="s">
        <v>2856</v>
      </c>
      <c r="B185" s="494" t="s">
        <v>2857</v>
      </c>
      <c r="C185" s="495">
        <v>550454.97</v>
      </c>
      <c r="K185" s="494"/>
      <c r="L185" s="514"/>
      <c r="N185" s="499"/>
      <c r="O185" s="500"/>
      <c r="Q185" s="498"/>
      <c r="R185" s="498"/>
    </row>
    <row r="186" ht="15.75" customHeight="1">
      <c r="A186" s="502" t="s">
        <v>789</v>
      </c>
      <c r="B186" s="494" t="s">
        <v>2583</v>
      </c>
      <c r="C186" s="495">
        <v>550274.29</v>
      </c>
      <c r="K186" s="494"/>
      <c r="L186" s="514"/>
      <c r="N186" s="499"/>
      <c r="O186" s="499"/>
      <c r="Q186" s="498"/>
      <c r="R186" s="498"/>
    </row>
    <row r="187" ht="15.75" customHeight="1">
      <c r="A187" s="502" t="s">
        <v>2859</v>
      </c>
      <c r="B187" s="494" t="s">
        <v>2473</v>
      </c>
      <c r="C187" s="495">
        <v>550132.66</v>
      </c>
      <c r="K187" s="494"/>
      <c r="L187" s="514"/>
      <c r="N187" s="499"/>
      <c r="O187" s="499"/>
      <c r="Q187" s="498"/>
      <c r="R187" s="498"/>
    </row>
    <row r="188" ht="15.75" customHeight="1">
      <c r="A188" s="502" t="s">
        <v>2860</v>
      </c>
      <c r="B188" s="494" t="s">
        <v>2611</v>
      </c>
      <c r="C188" s="495">
        <v>549931.48</v>
      </c>
      <c r="K188" s="494"/>
      <c r="L188" s="514"/>
      <c r="N188" s="499"/>
      <c r="O188" s="499"/>
      <c r="Q188" s="498"/>
      <c r="R188" s="498"/>
    </row>
    <row r="189" ht="15.75" customHeight="1">
      <c r="A189" s="502" t="s">
        <v>2861</v>
      </c>
      <c r="B189" s="494" t="s">
        <v>2862</v>
      </c>
      <c r="C189" s="495">
        <v>549116.62</v>
      </c>
      <c r="K189" s="494"/>
      <c r="L189" s="514"/>
      <c r="N189" s="499"/>
      <c r="O189" s="499"/>
      <c r="Q189" s="498"/>
      <c r="R189" s="498"/>
    </row>
    <row r="190" ht="15.75" customHeight="1">
      <c r="A190" s="502" t="s">
        <v>2863</v>
      </c>
      <c r="B190" s="494" t="s">
        <v>2864</v>
      </c>
      <c r="C190" s="495">
        <v>547936.6</v>
      </c>
      <c r="K190" s="494"/>
      <c r="L190" s="514"/>
      <c r="N190" s="499"/>
      <c r="O190" s="499"/>
      <c r="Q190" s="498"/>
      <c r="R190" s="498"/>
    </row>
    <row r="191" ht="15.75" customHeight="1">
      <c r="A191" s="502" t="s">
        <v>2865</v>
      </c>
      <c r="B191" s="494" t="s">
        <v>2622</v>
      </c>
      <c r="C191" s="495">
        <v>542989.63</v>
      </c>
      <c r="K191" s="494"/>
      <c r="L191" s="514"/>
      <c r="N191" s="499"/>
      <c r="O191" s="499"/>
      <c r="Q191" s="498"/>
      <c r="R191" s="498"/>
    </row>
    <row r="192" ht="15.75" customHeight="1">
      <c r="A192" s="502" t="s">
        <v>2866</v>
      </c>
      <c r="B192" s="494" t="s">
        <v>2559</v>
      </c>
      <c r="C192" s="495">
        <v>539694.49</v>
      </c>
      <c r="K192" s="494"/>
      <c r="L192" s="514"/>
      <c r="N192" s="499"/>
      <c r="O192" s="500"/>
      <c r="Q192" s="498"/>
      <c r="R192" s="498"/>
    </row>
    <row r="193" ht="15.75" customHeight="1">
      <c r="A193" s="502" t="s">
        <v>2867</v>
      </c>
      <c r="B193" s="494" t="s">
        <v>2559</v>
      </c>
      <c r="C193" s="495">
        <v>538706.13</v>
      </c>
      <c r="K193" s="494"/>
      <c r="L193" s="514"/>
      <c r="N193" s="499"/>
      <c r="O193" s="500"/>
      <c r="Q193" s="498"/>
      <c r="R193" s="498"/>
    </row>
    <row r="194" ht="15.75" customHeight="1">
      <c r="A194" s="502" t="s">
        <v>918</v>
      </c>
      <c r="B194" s="494" t="s">
        <v>2868</v>
      </c>
      <c r="C194" s="495">
        <v>534945.84</v>
      </c>
      <c r="K194" s="494"/>
      <c r="L194" s="514"/>
      <c r="N194" s="499"/>
      <c r="O194" s="500"/>
      <c r="Q194" s="498"/>
      <c r="R194" s="498"/>
    </row>
    <row r="195" ht="15.75" customHeight="1">
      <c r="A195" s="502" t="s">
        <v>2869</v>
      </c>
      <c r="B195" s="494" t="s">
        <v>2488</v>
      </c>
      <c r="C195" s="495">
        <v>532278.96</v>
      </c>
      <c r="K195" s="494"/>
      <c r="L195" s="514"/>
      <c r="N195" s="499"/>
      <c r="O195" s="499"/>
      <c r="Q195" s="498"/>
      <c r="R195" s="498"/>
    </row>
    <row r="196" ht="15.75" customHeight="1">
      <c r="A196" s="502" t="s">
        <v>2870</v>
      </c>
      <c r="B196" s="494" t="s">
        <v>2871</v>
      </c>
      <c r="C196" s="495">
        <v>531411.04</v>
      </c>
      <c r="K196" s="494"/>
      <c r="L196" s="514"/>
      <c r="N196" s="499"/>
      <c r="O196" s="499"/>
      <c r="Q196" s="498"/>
      <c r="R196" s="498"/>
    </row>
    <row r="197" ht="15.75" customHeight="1">
      <c r="A197" s="502" t="s">
        <v>2874</v>
      </c>
      <c r="B197" s="494" t="s">
        <v>2875</v>
      </c>
      <c r="C197" s="495">
        <v>531402.64</v>
      </c>
      <c r="K197" s="494"/>
      <c r="L197" s="514"/>
      <c r="N197" s="499"/>
      <c r="O197" s="499"/>
      <c r="Q197" s="498"/>
      <c r="R197" s="498"/>
    </row>
    <row r="198" ht="15.75" customHeight="1">
      <c r="A198" s="502" t="s">
        <v>2876</v>
      </c>
      <c r="B198" s="494" t="s">
        <v>2556</v>
      </c>
      <c r="C198" s="495">
        <v>529822.38</v>
      </c>
      <c r="K198" s="494"/>
      <c r="L198" s="514"/>
      <c r="N198" s="499"/>
      <c r="O198" s="499"/>
      <c r="Q198" s="498"/>
      <c r="R198" s="498"/>
    </row>
    <row r="199" ht="15.75" customHeight="1">
      <c r="A199" s="502" t="s">
        <v>1854</v>
      </c>
      <c r="B199" s="494" t="s">
        <v>2689</v>
      </c>
      <c r="C199" s="495">
        <v>526492.11</v>
      </c>
      <c r="K199" s="494"/>
      <c r="L199" s="514"/>
      <c r="N199" s="499"/>
      <c r="O199" s="499"/>
      <c r="Q199" s="498"/>
      <c r="R199" s="498"/>
    </row>
    <row r="200" ht="15.75" customHeight="1">
      <c r="A200" s="502" t="s">
        <v>2879</v>
      </c>
      <c r="B200" s="494" t="s">
        <v>2880</v>
      </c>
      <c r="C200" s="495">
        <v>526312.37</v>
      </c>
      <c r="K200" s="494"/>
      <c r="L200" s="514"/>
      <c r="N200" s="499"/>
      <c r="O200" s="500"/>
      <c r="Q200" s="498"/>
      <c r="R200" s="498"/>
    </row>
    <row r="201" ht="15.75" customHeight="1">
      <c r="A201" s="502" t="s">
        <v>2881</v>
      </c>
      <c r="B201" s="494" t="s">
        <v>2882</v>
      </c>
      <c r="C201" s="495">
        <v>524648.82</v>
      </c>
      <c r="K201" s="494"/>
      <c r="L201" s="514"/>
      <c r="N201" s="499"/>
      <c r="O201" s="499"/>
      <c r="Q201" s="498"/>
      <c r="R201" s="498"/>
    </row>
    <row r="202" ht="15.75" customHeight="1">
      <c r="A202" s="502" t="s">
        <v>2884</v>
      </c>
      <c r="B202" s="494" t="s">
        <v>2613</v>
      </c>
      <c r="C202" s="495">
        <v>522574.25</v>
      </c>
      <c r="K202" s="494"/>
      <c r="L202" s="514"/>
      <c r="N202" s="499"/>
      <c r="O202" s="499"/>
      <c r="Q202" s="498"/>
      <c r="R202" s="498"/>
    </row>
    <row r="203" ht="15.75" customHeight="1">
      <c r="A203" s="502" t="s">
        <v>2885</v>
      </c>
      <c r="B203" s="494" t="s">
        <v>2542</v>
      </c>
      <c r="C203" s="495">
        <v>520866.32</v>
      </c>
      <c r="K203" s="494"/>
      <c r="L203" s="514"/>
      <c r="N203" s="499"/>
      <c r="O203" s="499"/>
      <c r="Q203" s="498"/>
      <c r="R203" s="498"/>
    </row>
    <row r="204" ht="15.75" customHeight="1">
      <c r="A204" s="502" t="s">
        <v>2886</v>
      </c>
      <c r="B204" s="494" t="s">
        <v>2887</v>
      </c>
      <c r="C204" s="495">
        <v>518408.87</v>
      </c>
      <c r="K204" s="494"/>
      <c r="L204" s="514"/>
      <c r="N204" s="499"/>
      <c r="O204" s="499"/>
      <c r="Q204" s="498"/>
      <c r="R204" s="498"/>
    </row>
    <row r="205" ht="15.75" customHeight="1">
      <c r="A205" s="502" t="s">
        <v>2890</v>
      </c>
      <c r="B205" s="494" t="s">
        <v>2891</v>
      </c>
      <c r="C205" s="495">
        <v>517415.99</v>
      </c>
      <c r="K205" s="494"/>
      <c r="L205" s="514"/>
      <c r="N205" s="499"/>
      <c r="O205" s="499"/>
      <c r="Q205" s="498"/>
      <c r="R205" s="498"/>
    </row>
    <row r="206" ht="15.75" customHeight="1">
      <c r="A206" s="502" t="s">
        <v>2892</v>
      </c>
      <c r="B206" s="494" t="s">
        <v>2893</v>
      </c>
      <c r="C206" s="495">
        <v>515106.61</v>
      </c>
      <c r="K206" s="494"/>
      <c r="L206" s="514"/>
      <c r="N206" s="499"/>
      <c r="O206" s="500"/>
      <c r="Q206" s="498"/>
      <c r="R206" s="498"/>
    </row>
    <row r="207" ht="15.75" customHeight="1">
      <c r="A207" s="502" t="s">
        <v>2894</v>
      </c>
      <c r="B207" s="494" t="s">
        <v>2895</v>
      </c>
      <c r="C207" s="495">
        <v>508594.24</v>
      </c>
      <c r="K207" s="494"/>
      <c r="L207" s="514"/>
      <c r="N207" s="499"/>
      <c r="O207" s="499"/>
      <c r="Q207" s="498"/>
      <c r="R207" s="498"/>
    </row>
    <row r="208" ht="15.75" customHeight="1">
      <c r="A208" s="502" t="s">
        <v>2896</v>
      </c>
      <c r="B208" s="494" t="s">
        <v>2469</v>
      </c>
      <c r="C208" s="495">
        <v>507656.38</v>
      </c>
      <c r="K208" s="494"/>
      <c r="L208" s="514"/>
      <c r="N208" s="499"/>
      <c r="O208" s="499"/>
      <c r="Q208" s="498"/>
      <c r="R208" s="498"/>
    </row>
    <row r="209" ht="15.75" customHeight="1">
      <c r="A209" s="502" t="s">
        <v>536</v>
      </c>
      <c r="B209" s="494" t="s">
        <v>2897</v>
      </c>
      <c r="C209" s="495">
        <v>507506.12</v>
      </c>
      <c r="K209" s="494"/>
      <c r="L209" s="514"/>
      <c r="N209" s="499"/>
      <c r="O209" s="500"/>
      <c r="Q209" s="498"/>
      <c r="R209" s="498"/>
    </row>
    <row r="210" ht="15.75" customHeight="1">
      <c r="A210" s="502" t="s">
        <v>294</v>
      </c>
      <c r="B210" s="494" t="s">
        <v>2898</v>
      </c>
      <c r="C210" s="495">
        <v>504296.39</v>
      </c>
      <c r="K210" s="494"/>
      <c r="L210" s="514"/>
      <c r="N210" s="499"/>
      <c r="O210" s="499"/>
      <c r="Q210" s="498"/>
      <c r="R210" s="498"/>
    </row>
    <row r="211" ht="15.75" customHeight="1">
      <c r="A211" s="502" t="s">
        <v>2899</v>
      </c>
      <c r="B211" s="494" t="s">
        <v>2847</v>
      </c>
      <c r="C211" s="495">
        <v>504076.71</v>
      </c>
      <c r="K211" s="494"/>
      <c r="L211" s="514"/>
      <c r="N211" s="499"/>
      <c r="O211" s="499"/>
      <c r="Q211" s="498"/>
      <c r="R211" s="498"/>
    </row>
    <row r="212" ht="15.75" customHeight="1">
      <c r="A212" s="502" t="s">
        <v>2900</v>
      </c>
      <c r="B212" s="494" t="s">
        <v>2901</v>
      </c>
      <c r="C212" s="495">
        <v>493695.9</v>
      </c>
      <c r="K212" s="494"/>
      <c r="L212" s="514"/>
      <c r="N212" s="499"/>
      <c r="O212" s="499"/>
      <c r="Q212" s="498"/>
      <c r="R212" s="498"/>
    </row>
    <row r="213" ht="15.75" customHeight="1">
      <c r="A213" s="502" t="s">
        <v>2902</v>
      </c>
      <c r="B213" s="494" t="s">
        <v>2688</v>
      </c>
      <c r="C213" s="495">
        <v>490834.41</v>
      </c>
      <c r="K213" s="494"/>
      <c r="L213" s="514"/>
      <c r="N213" s="499"/>
      <c r="O213" s="499"/>
      <c r="Q213" s="498"/>
      <c r="R213" s="498"/>
    </row>
    <row r="214" ht="15.75" customHeight="1">
      <c r="A214" s="502" t="s">
        <v>2905</v>
      </c>
      <c r="B214" s="494" t="s">
        <v>2906</v>
      </c>
      <c r="C214" s="495">
        <v>488399.35</v>
      </c>
      <c r="K214" s="494"/>
      <c r="L214" s="514"/>
      <c r="N214" s="499"/>
      <c r="O214" s="499"/>
      <c r="Q214" s="498"/>
      <c r="R214" s="498"/>
    </row>
    <row r="215" ht="15.75" customHeight="1">
      <c r="A215" s="502" t="s">
        <v>2908</v>
      </c>
      <c r="B215" s="494" t="s">
        <v>2909</v>
      </c>
      <c r="C215" s="495">
        <v>487473.79</v>
      </c>
      <c r="K215" s="494"/>
      <c r="L215" s="514"/>
      <c r="N215" s="499"/>
      <c r="O215" s="499"/>
      <c r="Q215" s="498"/>
      <c r="R215" s="498"/>
    </row>
    <row r="216" ht="15.75" customHeight="1">
      <c r="A216" s="502" t="s">
        <v>2910</v>
      </c>
      <c r="B216" s="494" t="s">
        <v>2911</v>
      </c>
      <c r="C216" s="495">
        <v>485828.17</v>
      </c>
      <c r="K216" s="494"/>
      <c r="L216" s="514"/>
      <c r="N216" s="499"/>
      <c r="O216" s="499"/>
      <c r="Q216" s="498"/>
      <c r="R216" s="498"/>
    </row>
    <row r="217" ht="15.75" customHeight="1">
      <c r="A217" s="502" t="s">
        <v>2914</v>
      </c>
      <c r="B217" s="494" t="s">
        <v>2915</v>
      </c>
      <c r="C217" s="495">
        <v>477537.74</v>
      </c>
      <c r="K217" s="494"/>
      <c r="L217" s="514"/>
      <c r="N217" s="499"/>
      <c r="O217" s="500"/>
      <c r="Q217" s="498"/>
      <c r="R217" s="498"/>
    </row>
    <row r="218" ht="15.75" customHeight="1">
      <c r="A218" s="502" t="s">
        <v>2917</v>
      </c>
      <c r="B218" s="494" t="s">
        <v>2893</v>
      </c>
      <c r="C218" s="495">
        <v>476900.59</v>
      </c>
      <c r="K218" s="494"/>
      <c r="L218" s="514"/>
      <c r="N218" s="499"/>
      <c r="O218" s="499"/>
      <c r="Q218" s="498"/>
      <c r="R218" s="498"/>
    </row>
    <row r="219" ht="15.75" customHeight="1">
      <c r="A219" s="502" t="s">
        <v>2919</v>
      </c>
      <c r="B219" s="494" t="s">
        <v>2920</v>
      </c>
      <c r="C219" s="495">
        <v>474982.41</v>
      </c>
      <c r="K219" s="494"/>
      <c r="L219" s="514"/>
      <c r="N219" s="499"/>
      <c r="O219" s="499"/>
      <c r="Q219" s="498"/>
      <c r="R219" s="498"/>
    </row>
    <row r="220" ht="15.75" customHeight="1">
      <c r="A220" s="502" t="s">
        <v>2923</v>
      </c>
      <c r="B220" s="494" t="s">
        <v>2924</v>
      </c>
      <c r="C220" s="495">
        <v>473385.49</v>
      </c>
      <c r="K220" s="494"/>
      <c r="L220" s="514"/>
      <c r="N220" s="499"/>
      <c r="O220" s="500"/>
      <c r="Q220" s="498"/>
      <c r="R220" s="498"/>
    </row>
    <row r="221" ht="15.75" customHeight="1">
      <c r="A221" s="502" t="s">
        <v>2925</v>
      </c>
      <c r="B221" s="494" t="s">
        <v>2538</v>
      </c>
      <c r="C221" s="495">
        <v>469137.49</v>
      </c>
      <c r="K221" s="494"/>
      <c r="L221" s="514"/>
      <c r="N221" s="499"/>
      <c r="O221" s="500"/>
      <c r="Q221" s="498"/>
      <c r="R221" s="498"/>
    </row>
    <row r="222" ht="15.75" customHeight="1">
      <c r="A222" s="502" t="s">
        <v>2926</v>
      </c>
      <c r="B222" s="494" t="s">
        <v>2927</v>
      </c>
      <c r="C222" s="495">
        <v>467278.77</v>
      </c>
      <c r="K222" s="494"/>
      <c r="L222" s="514"/>
      <c r="N222" s="499"/>
      <c r="O222" s="499"/>
      <c r="Q222" s="498"/>
      <c r="R222" s="498"/>
    </row>
    <row r="223" ht="15.75" customHeight="1">
      <c r="A223" s="502" t="s">
        <v>2928</v>
      </c>
      <c r="B223" s="494" t="s">
        <v>2388</v>
      </c>
      <c r="C223" s="495">
        <v>465856.6</v>
      </c>
      <c r="K223" s="494"/>
      <c r="L223" s="514"/>
      <c r="N223" s="499"/>
      <c r="O223" s="500"/>
      <c r="Q223" s="498"/>
      <c r="R223" s="498"/>
    </row>
    <row r="224" ht="15.75" customHeight="1">
      <c r="A224" s="502" t="s">
        <v>1926</v>
      </c>
      <c r="B224" s="494" t="s">
        <v>2783</v>
      </c>
      <c r="C224" s="495">
        <v>462782.67</v>
      </c>
      <c r="K224" s="494"/>
      <c r="L224" s="514"/>
      <c r="N224" s="517"/>
      <c r="O224" s="517"/>
      <c r="Q224" s="498"/>
      <c r="R224" s="498"/>
    </row>
    <row r="225" ht="15.75" customHeight="1">
      <c r="A225" s="502" t="s">
        <v>2929</v>
      </c>
      <c r="B225" s="494" t="s">
        <v>2653</v>
      </c>
      <c r="C225" s="495">
        <v>456692.85</v>
      </c>
      <c r="K225" s="494"/>
      <c r="L225" s="514"/>
      <c r="N225" s="517"/>
      <c r="O225" s="517"/>
      <c r="Q225" s="498"/>
      <c r="R225" s="498"/>
    </row>
    <row r="226" ht="15.75" customHeight="1">
      <c r="A226" s="502" t="s">
        <v>2930</v>
      </c>
      <c r="B226" s="494" t="s">
        <v>2931</v>
      </c>
      <c r="C226" s="495">
        <v>455776.05</v>
      </c>
      <c r="K226" s="494"/>
      <c r="L226" s="514"/>
      <c r="N226" s="517"/>
      <c r="O226" s="517"/>
      <c r="Q226" s="498"/>
      <c r="R226" s="498"/>
    </row>
    <row r="227" ht="15.75" customHeight="1">
      <c r="A227" s="502" t="s">
        <v>1490</v>
      </c>
      <c r="B227" s="494" t="s">
        <v>2932</v>
      </c>
      <c r="C227" s="495">
        <v>453657.36</v>
      </c>
      <c r="K227" s="494"/>
      <c r="L227" s="514"/>
      <c r="N227" s="517"/>
      <c r="O227" s="517"/>
      <c r="Q227" s="498"/>
      <c r="R227" s="498"/>
    </row>
    <row r="228" ht="15.75" customHeight="1">
      <c r="A228" s="502" t="s">
        <v>2933</v>
      </c>
      <c r="B228" s="494" t="s">
        <v>2924</v>
      </c>
      <c r="C228" s="495">
        <v>453151.04</v>
      </c>
      <c r="K228" s="494"/>
      <c r="L228" s="514"/>
      <c r="N228" s="517"/>
      <c r="O228" s="517"/>
      <c r="Q228" s="498"/>
      <c r="R228" s="498"/>
    </row>
    <row r="229" ht="15.75" customHeight="1">
      <c r="A229" s="502" t="s">
        <v>967</v>
      </c>
      <c r="B229" s="494" t="s">
        <v>2936</v>
      </c>
      <c r="C229" s="495">
        <v>452141.01</v>
      </c>
      <c r="K229" s="494"/>
      <c r="L229" s="514"/>
      <c r="N229" s="517"/>
      <c r="O229" s="517"/>
      <c r="Q229" s="498"/>
      <c r="R229" s="498"/>
    </row>
    <row r="230" ht="15.75" customHeight="1">
      <c r="A230" s="502" t="s">
        <v>2781</v>
      </c>
      <c r="B230" s="494" t="s">
        <v>178</v>
      </c>
      <c r="C230" s="495">
        <v>448588.46</v>
      </c>
      <c r="K230" s="494"/>
      <c r="L230" s="514"/>
      <c r="N230" s="517"/>
      <c r="O230" s="517"/>
      <c r="Q230" s="498"/>
      <c r="R230" s="498"/>
    </row>
    <row r="231" ht="15.75" customHeight="1">
      <c r="A231" s="502" t="s">
        <v>2938</v>
      </c>
      <c r="B231" s="494" t="s">
        <v>2668</v>
      </c>
      <c r="C231" s="495">
        <v>448183.77</v>
      </c>
      <c r="K231" s="494"/>
      <c r="L231" s="514"/>
      <c r="N231" s="517"/>
      <c r="O231" s="517"/>
      <c r="Q231" s="498"/>
      <c r="R231" s="498"/>
    </row>
    <row r="232" ht="15.75" customHeight="1">
      <c r="A232" s="502" t="s">
        <v>2939</v>
      </c>
      <c r="B232" s="494" t="s">
        <v>2940</v>
      </c>
      <c r="C232" s="495">
        <v>442686.88</v>
      </c>
      <c r="K232" s="494"/>
      <c r="L232" s="514"/>
      <c r="N232" s="517"/>
      <c r="O232" s="517"/>
      <c r="Q232" s="498"/>
      <c r="R232" s="498"/>
    </row>
    <row r="233" ht="15.75" customHeight="1">
      <c r="A233" s="502" t="s">
        <v>2941</v>
      </c>
      <c r="B233" s="494" t="s">
        <v>2942</v>
      </c>
      <c r="C233" s="495">
        <v>442004.19</v>
      </c>
      <c r="K233" s="494"/>
      <c r="L233" s="514"/>
      <c r="N233" s="517"/>
      <c r="O233" s="517"/>
      <c r="Q233" s="498"/>
      <c r="R233" s="498"/>
    </row>
    <row r="234" ht="15.75" customHeight="1">
      <c r="A234" s="502" t="s">
        <v>2943</v>
      </c>
      <c r="B234" s="494" t="s">
        <v>2945</v>
      </c>
      <c r="C234" s="495">
        <v>439797.65</v>
      </c>
      <c r="K234" s="494"/>
      <c r="L234" s="514"/>
      <c r="N234" s="517"/>
      <c r="O234" s="517"/>
      <c r="Q234" s="498"/>
      <c r="R234" s="498"/>
    </row>
    <row r="235" ht="15.75" customHeight="1">
      <c r="A235" s="502" t="s">
        <v>2947</v>
      </c>
      <c r="B235" s="494" t="s">
        <v>2948</v>
      </c>
      <c r="C235" s="495">
        <v>437853.2</v>
      </c>
      <c r="K235" s="494"/>
      <c r="L235" s="514"/>
      <c r="N235" s="517"/>
      <c r="O235" s="517"/>
      <c r="Q235" s="498"/>
      <c r="R235" s="498"/>
    </row>
    <row r="236" ht="15.75" customHeight="1">
      <c r="A236" s="502" t="s">
        <v>2949</v>
      </c>
      <c r="B236" s="494" t="s">
        <v>2950</v>
      </c>
      <c r="C236" s="495">
        <v>434931.82</v>
      </c>
      <c r="K236" s="494"/>
      <c r="L236" s="514"/>
      <c r="N236" s="517"/>
      <c r="O236" s="517"/>
      <c r="Q236" s="498"/>
      <c r="R236" s="498"/>
    </row>
    <row r="237" ht="15.75" customHeight="1">
      <c r="A237" s="502" t="s">
        <v>2951</v>
      </c>
      <c r="B237" s="494" t="s">
        <v>2952</v>
      </c>
      <c r="C237" s="495">
        <v>434595.53</v>
      </c>
      <c r="K237" s="494"/>
      <c r="L237" s="514"/>
      <c r="N237" s="517"/>
      <c r="O237" s="517"/>
      <c r="Q237" s="498"/>
      <c r="R237" s="498"/>
    </row>
    <row r="238" ht="15.75" customHeight="1">
      <c r="A238" s="502" t="s">
        <v>2953</v>
      </c>
      <c r="B238" s="494" t="s">
        <v>2542</v>
      </c>
      <c r="C238" s="495">
        <v>430061.0</v>
      </c>
      <c r="K238" s="494"/>
      <c r="L238" s="514"/>
      <c r="N238" s="517"/>
      <c r="O238" s="517"/>
      <c r="Q238" s="498"/>
      <c r="R238" s="498"/>
    </row>
    <row r="239" ht="15.75" customHeight="1">
      <c r="A239" s="502" t="s">
        <v>2954</v>
      </c>
      <c r="B239" s="494" t="s">
        <v>2955</v>
      </c>
      <c r="C239" s="495">
        <v>427037.61</v>
      </c>
      <c r="K239" s="494"/>
      <c r="L239" s="514"/>
      <c r="N239" s="517"/>
      <c r="O239" s="517"/>
      <c r="Q239" s="498"/>
      <c r="R239" s="498"/>
    </row>
    <row r="240" ht="15.75" customHeight="1">
      <c r="A240" s="502" t="s">
        <v>2956</v>
      </c>
      <c r="B240" s="494" t="s">
        <v>2787</v>
      </c>
      <c r="C240" s="495">
        <v>426424.15</v>
      </c>
      <c r="K240" s="494"/>
      <c r="L240" s="514"/>
      <c r="N240" s="517"/>
      <c r="O240" s="517"/>
      <c r="Q240" s="498"/>
      <c r="R240" s="498"/>
    </row>
    <row r="241" ht="15.75" customHeight="1">
      <c r="A241" s="502" t="s">
        <v>2421</v>
      </c>
      <c r="B241" s="494" t="s">
        <v>2957</v>
      </c>
      <c r="C241" s="495">
        <v>422112.72</v>
      </c>
      <c r="K241" s="494"/>
      <c r="L241" s="514"/>
      <c r="N241" s="517"/>
      <c r="O241" s="517"/>
      <c r="Q241" s="498"/>
      <c r="R241" s="498"/>
    </row>
    <row r="242" ht="15.75" customHeight="1">
      <c r="A242" s="502" t="s">
        <v>2958</v>
      </c>
      <c r="B242" s="494" t="s">
        <v>2959</v>
      </c>
      <c r="C242" s="495">
        <v>420778.32</v>
      </c>
      <c r="K242" s="494"/>
      <c r="L242" s="514"/>
      <c r="N242" s="517"/>
      <c r="O242" s="517"/>
      <c r="Q242" s="498"/>
      <c r="R242" s="498"/>
    </row>
    <row r="243" ht="15.75" customHeight="1">
      <c r="A243" s="502" t="s">
        <v>1368</v>
      </c>
      <c r="B243" s="494" t="s">
        <v>2960</v>
      </c>
      <c r="C243" s="495">
        <v>420484.85</v>
      </c>
      <c r="K243" s="494"/>
      <c r="L243" s="514"/>
      <c r="N243" s="517"/>
      <c r="O243" s="517"/>
      <c r="Q243" s="498"/>
      <c r="R243" s="498"/>
    </row>
    <row r="244" ht="15.75" customHeight="1">
      <c r="A244" s="502" t="s">
        <v>2961</v>
      </c>
      <c r="B244" s="494" t="s">
        <v>2962</v>
      </c>
      <c r="C244" s="495">
        <v>419789.64</v>
      </c>
      <c r="K244" s="494"/>
      <c r="L244" s="514"/>
      <c r="N244" s="517"/>
      <c r="O244" s="517"/>
      <c r="Q244" s="498"/>
      <c r="R244" s="498"/>
    </row>
    <row r="245" ht="15.75" customHeight="1">
      <c r="A245" s="502" t="s">
        <v>2963</v>
      </c>
      <c r="B245" s="494" t="s">
        <v>2577</v>
      </c>
      <c r="C245" s="495">
        <v>418762.85</v>
      </c>
      <c r="K245" s="494"/>
      <c r="L245" s="514"/>
      <c r="N245" s="517"/>
      <c r="O245" s="517"/>
      <c r="Q245" s="498"/>
      <c r="R245" s="498"/>
    </row>
    <row r="246" ht="15.75" customHeight="1">
      <c r="A246" s="502" t="s">
        <v>2965</v>
      </c>
      <c r="B246" s="494" t="s">
        <v>2967</v>
      </c>
      <c r="C246" s="495">
        <v>412707.91</v>
      </c>
      <c r="K246" s="494"/>
      <c r="L246" s="514"/>
      <c r="Q246" s="498"/>
      <c r="R246" s="498"/>
    </row>
    <row r="247" ht="15.75" customHeight="1">
      <c r="A247" s="502" t="s">
        <v>2968</v>
      </c>
      <c r="B247" s="494" t="s">
        <v>2969</v>
      </c>
      <c r="C247" s="495">
        <v>402439.47</v>
      </c>
      <c r="K247" s="494"/>
      <c r="L247" s="514"/>
      <c r="Q247" s="498"/>
      <c r="R247" s="498"/>
    </row>
    <row r="248" ht="15.75" customHeight="1">
      <c r="A248" s="502" t="s">
        <v>2970</v>
      </c>
      <c r="B248" s="494" t="s">
        <v>2611</v>
      </c>
      <c r="C248" s="495">
        <v>400369.27</v>
      </c>
      <c r="K248" s="494"/>
      <c r="L248" s="514"/>
      <c r="Q248" s="498"/>
      <c r="R248" s="498"/>
    </row>
    <row r="249" ht="15.75" customHeight="1">
      <c r="A249" s="502" t="s">
        <v>2971</v>
      </c>
      <c r="B249" s="494" t="s">
        <v>2972</v>
      </c>
      <c r="C249" s="495">
        <v>400146.29</v>
      </c>
      <c r="K249" s="494"/>
      <c r="L249" s="514"/>
      <c r="Q249" s="498"/>
      <c r="R249" s="498"/>
    </row>
    <row r="250" ht="15.75" customHeight="1">
      <c r="A250" s="502" t="s">
        <v>2973</v>
      </c>
      <c r="B250" s="494" t="s">
        <v>2975</v>
      </c>
      <c r="C250" s="495">
        <v>397875.35</v>
      </c>
      <c r="K250" s="494"/>
      <c r="L250" s="514"/>
      <c r="Q250" s="498"/>
      <c r="R250" s="498"/>
    </row>
    <row r="251" ht="15.75" customHeight="1">
      <c r="A251" s="502" t="s">
        <v>589</v>
      </c>
      <c r="B251" s="494" t="s">
        <v>2978</v>
      </c>
      <c r="C251" s="495">
        <v>395290.08</v>
      </c>
      <c r="K251" s="494"/>
      <c r="L251" s="514"/>
      <c r="Q251" s="498"/>
      <c r="R251" s="498"/>
    </row>
    <row r="252" ht="15.75" customHeight="1">
      <c r="A252" s="502" t="s">
        <v>2981</v>
      </c>
      <c r="B252" s="494" t="s">
        <v>2982</v>
      </c>
      <c r="C252" s="495">
        <v>393574.34</v>
      </c>
      <c r="K252" s="494"/>
      <c r="L252" s="514"/>
      <c r="Q252" s="498"/>
      <c r="R252" s="498"/>
    </row>
    <row r="253" ht="15.75" customHeight="1">
      <c r="A253" s="502" t="s">
        <v>2983</v>
      </c>
      <c r="B253" s="494" t="s">
        <v>2984</v>
      </c>
      <c r="C253" s="495">
        <v>393088.25</v>
      </c>
      <c r="K253" s="494"/>
      <c r="L253" s="514"/>
      <c r="Q253" s="498"/>
      <c r="R253" s="498"/>
    </row>
    <row r="254" ht="15.75" customHeight="1">
      <c r="A254" s="502" t="s">
        <v>2985</v>
      </c>
      <c r="B254" s="494" t="s">
        <v>2649</v>
      </c>
      <c r="C254" s="495">
        <v>391741.93</v>
      </c>
      <c r="K254" s="494"/>
      <c r="L254" s="514"/>
      <c r="Q254" s="498"/>
      <c r="R254" s="498"/>
    </row>
    <row r="255" ht="15.75" customHeight="1">
      <c r="A255" s="502" t="s">
        <v>2987</v>
      </c>
      <c r="B255" s="494" t="s">
        <v>2522</v>
      </c>
      <c r="C255" s="495">
        <v>388537.72</v>
      </c>
      <c r="K255" s="494"/>
      <c r="L255" s="514"/>
      <c r="Q255" s="498"/>
      <c r="R255" s="498"/>
    </row>
    <row r="256" ht="15.75" customHeight="1">
      <c r="A256" s="502" t="s">
        <v>2988</v>
      </c>
      <c r="B256" s="494" t="s">
        <v>2989</v>
      </c>
      <c r="C256" s="495">
        <v>380815.12</v>
      </c>
      <c r="K256" s="494"/>
      <c r="L256" s="514"/>
      <c r="Q256" s="498"/>
      <c r="R256" s="498"/>
    </row>
    <row r="257" ht="15.75" customHeight="1">
      <c r="A257" s="502" t="s">
        <v>2990</v>
      </c>
      <c r="B257" s="494" t="s">
        <v>2588</v>
      </c>
      <c r="C257" s="495">
        <v>376813.19</v>
      </c>
      <c r="K257" s="494"/>
      <c r="L257" s="514"/>
      <c r="Q257" s="498"/>
      <c r="R257" s="498"/>
    </row>
    <row r="258" ht="15.75" customHeight="1">
      <c r="A258" s="502" t="s">
        <v>2991</v>
      </c>
      <c r="B258" s="494" t="s">
        <v>2857</v>
      </c>
      <c r="C258" s="495">
        <v>375265.99</v>
      </c>
      <c r="K258" s="494"/>
      <c r="L258" s="514"/>
      <c r="Q258" s="498"/>
      <c r="R258" s="498"/>
    </row>
    <row r="259" ht="15.75" customHeight="1">
      <c r="A259" s="502" t="s">
        <v>734</v>
      </c>
      <c r="B259" s="494" t="s">
        <v>2583</v>
      </c>
      <c r="C259" s="495">
        <v>369891.49</v>
      </c>
      <c r="K259" s="494"/>
      <c r="L259" s="514"/>
      <c r="Q259" s="498"/>
      <c r="R259" s="498"/>
    </row>
    <row r="260" ht="15.75" customHeight="1">
      <c r="A260" s="502" t="s">
        <v>2992</v>
      </c>
      <c r="B260" s="494" t="s">
        <v>2993</v>
      </c>
      <c r="C260" s="495">
        <v>368909.8</v>
      </c>
      <c r="K260" s="494"/>
      <c r="L260" s="514"/>
      <c r="Q260" s="498"/>
      <c r="R260" s="498"/>
    </row>
    <row r="261" ht="15.75" customHeight="1">
      <c r="A261" s="502" t="s">
        <v>1728</v>
      </c>
      <c r="B261" s="494" t="s">
        <v>2689</v>
      </c>
      <c r="C261" s="495">
        <v>368310.4</v>
      </c>
      <c r="K261" s="494"/>
      <c r="L261" s="514"/>
      <c r="Q261" s="498"/>
      <c r="R261" s="498"/>
    </row>
    <row r="262" ht="15.75" customHeight="1">
      <c r="A262" s="502" t="s">
        <v>2995</v>
      </c>
      <c r="B262" s="494" t="s">
        <v>2768</v>
      </c>
      <c r="C262" s="495">
        <v>366809.38</v>
      </c>
      <c r="K262" s="494"/>
      <c r="L262" s="514"/>
      <c r="Q262" s="498"/>
      <c r="R262" s="498"/>
    </row>
    <row r="263" ht="15.75" customHeight="1">
      <c r="A263" s="502" t="s">
        <v>2996</v>
      </c>
      <c r="B263" s="494" t="s">
        <v>2542</v>
      </c>
      <c r="C263" s="495">
        <v>362683.72</v>
      </c>
      <c r="K263" s="494"/>
      <c r="L263" s="514"/>
      <c r="Q263" s="498"/>
      <c r="R263" s="498"/>
    </row>
    <row r="264" ht="15.75" customHeight="1">
      <c r="A264" s="502" t="s">
        <v>2997</v>
      </c>
      <c r="B264" s="494" t="s">
        <v>2998</v>
      </c>
      <c r="C264" s="495">
        <v>362043.87</v>
      </c>
      <c r="K264" s="494"/>
      <c r="L264" s="514"/>
      <c r="Q264" s="498"/>
      <c r="R264" s="498"/>
    </row>
    <row r="265" ht="15.75" customHeight="1">
      <c r="A265" s="502" t="s">
        <v>3000</v>
      </c>
      <c r="B265" s="494" t="s">
        <v>3001</v>
      </c>
      <c r="C265" s="495">
        <v>359821.2</v>
      </c>
      <c r="K265" s="494"/>
      <c r="L265" s="514"/>
      <c r="Q265" s="498"/>
      <c r="R265" s="498"/>
    </row>
    <row r="266" ht="15.75" customHeight="1">
      <c r="A266" s="502" t="s">
        <v>3002</v>
      </c>
      <c r="B266" s="494" t="s">
        <v>2658</v>
      </c>
      <c r="C266" s="495">
        <v>354594.36</v>
      </c>
      <c r="K266" s="494"/>
      <c r="L266" s="514"/>
      <c r="Q266" s="498"/>
      <c r="R266" s="498"/>
    </row>
    <row r="267" ht="15.75" customHeight="1">
      <c r="A267" s="502" t="s">
        <v>3003</v>
      </c>
      <c r="B267" s="494" t="s">
        <v>3004</v>
      </c>
      <c r="C267" s="495">
        <v>352976.67</v>
      </c>
      <c r="K267" s="494"/>
      <c r="L267" s="514"/>
      <c r="Q267" s="498"/>
      <c r="R267" s="498"/>
    </row>
    <row r="268" ht="15.75" customHeight="1">
      <c r="A268" s="502" t="s">
        <v>3005</v>
      </c>
      <c r="B268" s="494" t="s">
        <v>3007</v>
      </c>
      <c r="C268" s="495">
        <v>349465.72</v>
      </c>
      <c r="K268" s="494"/>
      <c r="L268" s="514"/>
      <c r="Q268" s="498"/>
      <c r="R268" s="498"/>
    </row>
    <row r="269" ht="15.75" customHeight="1">
      <c r="A269" s="502" t="s">
        <v>3009</v>
      </c>
      <c r="B269" s="494" t="s">
        <v>2768</v>
      </c>
      <c r="C269" s="495">
        <v>348745.91</v>
      </c>
      <c r="K269" s="494"/>
      <c r="L269" s="514"/>
      <c r="Q269" s="498"/>
      <c r="R269" s="498"/>
    </row>
    <row r="270" ht="15.75" customHeight="1">
      <c r="A270" s="502" t="s">
        <v>3010</v>
      </c>
      <c r="B270" s="494" t="s">
        <v>3011</v>
      </c>
      <c r="C270" s="495">
        <v>344055.03</v>
      </c>
      <c r="K270" s="494"/>
      <c r="L270" s="514"/>
      <c r="Q270" s="498"/>
      <c r="R270" s="498"/>
    </row>
    <row r="271" ht="15.75" customHeight="1">
      <c r="A271" s="502" t="s">
        <v>3012</v>
      </c>
      <c r="B271" s="494" t="s">
        <v>2527</v>
      </c>
      <c r="C271" s="495">
        <v>340071.81</v>
      </c>
      <c r="K271" s="494"/>
      <c r="L271" s="514"/>
      <c r="Q271" s="498"/>
      <c r="R271" s="498"/>
    </row>
    <row r="272" ht="15.75" customHeight="1">
      <c r="A272" s="502" t="s">
        <v>1900</v>
      </c>
      <c r="B272" s="494" t="s">
        <v>2747</v>
      </c>
      <c r="C272" s="495">
        <v>335441.31</v>
      </c>
      <c r="K272" s="494"/>
      <c r="L272" s="514"/>
      <c r="Q272" s="498"/>
      <c r="R272" s="498"/>
    </row>
    <row r="273" ht="15.75" customHeight="1">
      <c r="A273" s="502" t="s">
        <v>3014</v>
      </c>
      <c r="B273" s="494" t="s">
        <v>2522</v>
      </c>
      <c r="C273" s="495">
        <v>335339.05</v>
      </c>
      <c r="K273" s="494"/>
      <c r="L273" s="514"/>
      <c r="Q273" s="498"/>
      <c r="R273" s="498"/>
    </row>
    <row r="274" ht="15.75" customHeight="1">
      <c r="A274" s="502" t="s">
        <v>3016</v>
      </c>
      <c r="B274" s="494" t="s">
        <v>200</v>
      </c>
      <c r="C274" s="495">
        <v>333745.59</v>
      </c>
      <c r="K274" s="494"/>
      <c r="L274" s="514"/>
      <c r="Q274" s="498"/>
      <c r="R274" s="498"/>
    </row>
    <row r="275" ht="15.75" customHeight="1">
      <c r="A275" s="502" t="s">
        <v>3019</v>
      </c>
      <c r="B275" s="494" t="s">
        <v>2559</v>
      </c>
      <c r="C275" s="495">
        <v>331669.5</v>
      </c>
      <c r="K275" s="494"/>
      <c r="L275" s="514"/>
      <c r="Q275" s="498"/>
      <c r="R275" s="498"/>
    </row>
    <row r="276" ht="15.75" customHeight="1">
      <c r="A276" s="502" t="s">
        <v>3020</v>
      </c>
      <c r="B276" s="494" t="s">
        <v>2473</v>
      </c>
      <c r="C276" s="495">
        <v>328377.15</v>
      </c>
      <c r="K276" s="494"/>
      <c r="L276" s="514"/>
      <c r="Q276" s="498"/>
      <c r="R276" s="498"/>
    </row>
    <row r="277" ht="15.75" customHeight="1">
      <c r="A277" s="502" t="s">
        <v>3021</v>
      </c>
      <c r="B277" s="494" t="s">
        <v>3022</v>
      </c>
      <c r="C277" s="495">
        <v>328089.44</v>
      </c>
      <c r="K277" s="494"/>
      <c r="L277" s="514"/>
      <c r="Q277" s="498"/>
      <c r="R277" s="498"/>
    </row>
    <row r="278" ht="15.75" customHeight="1">
      <c r="A278" s="502" t="s">
        <v>3025</v>
      </c>
      <c r="B278" s="494" t="s">
        <v>3026</v>
      </c>
      <c r="C278" s="495">
        <v>327592.29</v>
      </c>
      <c r="K278" s="494"/>
      <c r="L278" s="514"/>
      <c r="Q278" s="498"/>
      <c r="R278" s="498"/>
    </row>
    <row r="279" ht="15.75" customHeight="1">
      <c r="A279" s="502" t="s">
        <v>3027</v>
      </c>
      <c r="B279" s="494" t="s">
        <v>3028</v>
      </c>
      <c r="C279" s="495">
        <v>327219.87</v>
      </c>
      <c r="K279" s="494"/>
      <c r="L279" s="514"/>
      <c r="Q279" s="498"/>
      <c r="R279" s="498"/>
    </row>
    <row r="280" ht="15.75" customHeight="1">
      <c r="A280" s="502" t="s">
        <v>3029</v>
      </c>
      <c r="B280" s="494" t="s">
        <v>3030</v>
      </c>
      <c r="C280" s="495">
        <v>326463.5</v>
      </c>
      <c r="K280" s="494"/>
      <c r="L280" s="514"/>
      <c r="Q280" s="498"/>
      <c r="R280" s="498"/>
    </row>
    <row r="281" ht="15.75" customHeight="1">
      <c r="A281" s="502" t="s">
        <v>3031</v>
      </c>
      <c r="B281" s="494" t="s">
        <v>2642</v>
      </c>
      <c r="C281" s="495">
        <v>326441.73</v>
      </c>
      <c r="K281" s="494"/>
      <c r="L281" s="514"/>
      <c r="Q281" s="498"/>
      <c r="R281" s="498"/>
    </row>
    <row r="282" ht="15.75" customHeight="1">
      <c r="A282" s="502" t="s">
        <v>2244</v>
      </c>
      <c r="B282" s="494" t="s">
        <v>3032</v>
      </c>
      <c r="C282" s="495">
        <v>325895.36</v>
      </c>
      <c r="K282" s="494"/>
      <c r="L282" s="514"/>
      <c r="Q282" s="498"/>
      <c r="R282" s="498"/>
    </row>
    <row r="283" ht="15.75" customHeight="1">
      <c r="A283" s="502" t="s">
        <v>3033</v>
      </c>
      <c r="B283" s="494" t="s">
        <v>3034</v>
      </c>
      <c r="C283" s="495">
        <v>323276.7</v>
      </c>
      <c r="K283" s="494"/>
      <c r="L283" s="514"/>
      <c r="Q283" s="498"/>
      <c r="R283" s="498"/>
    </row>
    <row r="284" ht="15.75" customHeight="1">
      <c r="A284" s="502" t="s">
        <v>3035</v>
      </c>
      <c r="B284" s="494" t="s">
        <v>3036</v>
      </c>
      <c r="C284" s="495">
        <v>322436.32</v>
      </c>
      <c r="K284" s="494"/>
      <c r="L284" s="514"/>
      <c r="Q284" s="498"/>
      <c r="R284" s="498"/>
    </row>
    <row r="285" ht="15.75" customHeight="1">
      <c r="A285" s="502" t="s">
        <v>3037</v>
      </c>
      <c r="B285" s="494" t="s">
        <v>2847</v>
      </c>
      <c r="C285" s="495">
        <v>322347.64</v>
      </c>
      <c r="K285" s="494"/>
      <c r="L285" s="514"/>
      <c r="Q285" s="498"/>
      <c r="R285" s="498"/>
    </row>
    <row r="286" ht="15.75" customHeight="1">
      <c r="A286" s="502" t="s">
        <v>3038</v>
      </c>
      <c r="B286" s="494" t="s">
        <v>3039</v>
      </c>
      <c r="C286" s="495">
        <v>320579.0</v>
      </c>
      <c r="K286" s="494"/>
      <c r="L286" s="514"/>
      <c r="Q286" s="498"/>
      <c r="R286" s="498"/>
    </row>
    <row r="287" ht="15.75" customHeight="1">
      <c r="A287" s="502" t="s">
        <v>3040</v>
      </c>
      <c r="B287" s="494" t="s">
        <v>2488</v>
      </c>
      <c r="C287" s="495">
        <v>319463.48</v>
      </c>
      <c r="K287" s="494"/>
      <c r="L287" s="514"/>
      <c r="Q287" s="498"/>
      <c r="R287" s="498"/>
    </row>
    <row r="288" ht="15.75" customHeight="1">
      <c r="A288" s="502" t="s">
        <v>3042</v>
      </c>
      <c r="B288" s="494" t="s">
        <v>2545</v>
      </c>
      <c r="C288" s="495">
        <v>313234.62</v>
      </c>
      <c r="K288" s="494"/>
      <c r="L288" s="514"/>
      <c r="Q288" s="498"/>
      <c r="R288" s="498"/>
    </row>
    <row r="289" ht="15.75" customHeight="1">
      <c r="A289" s="502" t="s">
        <v>3043</v>
      </c>
      <c r="B289" s="494" t="s">
        <v>3044</v>
      </c>
      <c r="C289" s="495">
        <v>312057.84</v>
      </c>
      <c r="K289" s="494"/>
      <c r="L289" s="514"/>
      <c r="Q289" s="498"/>
      <c r="R289" s="498"/>
    </row>
    <row r="290" ht="15.75" customHeight="1">
      <c r="A290" s="502" t="s">
        <v>3045</v>
      </c>
      <c r="B290" s="494" t="s">
        <v>3046</v>
      </c>
      <c r="C290" s="495">
        <v>311547.93</v>
      </c>
      <c r="K290" s="494"/>
      <c r="L290" s="514"/>
      <c r="Q290" s="498"/>
      <c r="R290" s="498"/>
    </row>
    <row r="291" ht="15.75" customHeight="1">
      <c r="A291" s="502" t="s">
        <v>3047</v>
      </c>
      <c r="B291" s="494" t="s">
        <v>2613</v>
      </c>
      <c r="C291" s="495">
        <v>310628.04</v>
      </c>
      <c r="K291" s="494"/>
      <c r="L291" s="514"/>
      <c r="Q291" s="498"/>
      <c r="R291" s="498"/>
    </row>
    <row r="292" ht="15.75" customHeight="1">
      <c r="A292" s="502" t="s">
        <v>3048</v>
      </c>
      <c r="B292" s="494" t="s">
        <v>2550</v>
      </c>
      <c r="C292" s="495">
        <v>309695.16</v>
      </c>
      <c r="K292" s="494"/>
      <c r="L292" s="514"/>
      <c r="Q292" s="498"/>
      <c r="R292" s="498"/>
    </row>
    <row r="293" ht="15.75" customHeight="1">
      <c r="A293" s="502" t="s">
        <v>3050</v>
      </c>
      <c r="B293" s="494" t="s">
        <v>829</v>
      </c>
      <c r="C293" s="495">
        <v>309158.43</v>
      </c>
      <c r="K293" s="494"/>
      <c r="L293" s="514"/>
      <c r="Q293" s="498"/>
      <c r="R293" s="498"/>
    </row>
    <row r="294" ht="15.75" customHeight="1">
      <c r="A294" s="502" t="s">
        <v>3051</v>
      </c>
      <c r="B294" s="494" t="s">
        <v>2491</v>
      </c>
      <c r="C294" s="495">
        <v>308996.51</v>
      </c>
      <c r="K294" s="494"/>
      <c r="L294" s="514"/>
      <c r="Q294" s="498"/>
      <c r="R294" s="498"/>
    </row>
    <row r="295" ht="15.75" customHeight="1">
      <c r="A295" s="502" t="s">
        <v>3052</v>
      </c>
      <c r="B295" s="494" t="s">
        <v>3053</v>
      </c>
      <c r="C295" s="495">
        <v>308973.08</v>
      </c>
      <c r="K295" s="494"/>
      <c r="L295" s="514"/>
      <c r="Q295" s="498"/>
      <c r="R295" s="498"/>
    </row>
    <row r="296" ht="15.75" customHeight="1">
      <c r="A296" s="502" t="s">
        <v>3054</v>
      </c>
      <c r="B296" s="494" t="s">
        <v>3055</v>
      </c>
      <c r="C296" s="495">
        <v>308204.76</v>
      </c>
      <c r="K296" s="494"/>
      <c r="L296" s="514"/>
      <c r="Q296" s="498"/>
      <c r="R296" s="498"/>
    </row>
    <row r="297" ht="15.75" customHeight="1">
      <c r="A297" s="502" t="s">
        <v>3056</v>
      </c>
      <c r="B297" s="494" t="s">
        <v>2920</v>
      </c>
      <c r="C297" s="495">
        <v>307999.47</v>
      </c>
      <c r="K297" s="494"/>
      <c r="L297" s="514"/>
      <c r="Q297" s="498"/>
      <c r="R297" s="498"/>
    </row>
    <row r="298" ht="15.75" customHeight="1">
      <c r="A298" s="502" t="s">
        <v>2312</v>
      </c>
      <c r="B298" s="494" t="s">
        <v>3060</v>
      </c>
      <c r="C298" s="495">
        <v>306339.46</v>
      </c>
      <c r="K298" s="494"/>
      <c r="L298" s="514"/>
      <c r="Q298" s="498"/>
      <c r="R298" s="498"/>
    </row>
    <row r="299" ht="15.75" customHeight="1">
      <c r="A299" s="502" t="s">
        <v>3061</v>
      </c>
      <c r="B299" s="494" t="s">
        <v>2491</v>
      </c>
      <c r="C299" s="495">
        <v>305739.18</v>
      </c>
      <c r="K299" s="494"/>
      <c r="L299" s="514"/>
      <c r="Q299" s="498"/>
      <c r="R299" s="498"/>
    </row>
    <row r="300" ht="15.75" customHeight="1">
      <c r="A300" s="502" t="s">
        <v>3062</v>
      </c>
      <c r="B300" s="494" t="s">
        <v>2540</v>
      </c>
      <c r="C300" s="495">
        <v>304529.98</v>
      </c>
      <c r="K300" s="494"/>
      <c r="L300" s="514"/>
      <c r="Q300" s="498"/>
      <c r="R300" s="498"/>
    </row>
    <row r="301" ht="15.75" customHeight="1">
      <c r="A301" s="502" t="s">
        <v>1848</v>
      </c>
      <c r="B301" s="494" t="s">
        <v>2689</v>
      </c>
      <c r="C301" s="495">
        <v>303185.9</v>
      </c>
      <c r="K301" s="494"/>
      <c r="L301" s="514"/>
      <c r="Q301" s="498"/>
      <c r="R301" s="498"/>
    </row>
    <row r="302" ht="15.75" customHeight="1">
      <c r="A302" s="502" t="s">
        <v>3063</v>
      </c>
      <c r="B302" s="494" t="s">
        <v>2638</v>
      </c>
      <c r="C302" s="495">
        <v>302952.86</v>
      </c>
      <c r="K302" s="494"/>
      <c r="L302" s="514"/>
      <c r="Q302" s="498"/>
      <c r="R302" s="498"/>
    </row>
    <row r="303" ht="15.75" customHeight="1">
      <c r="A303" s="502" t="s">
        <v>3064</v>
      </c>
      <c r="B303" s="494" t="s">
        <v>3065</v>
      </c>
      <c r="C303" s="495">
        <v>300769.16</v>
      </c>
      <c r="K303" s="494"/>
      <c r="L303" s="514"/>
      <c r="Q303" s="498"/>
      <c r="R303" s="498"/>
    </row>
    <row r="304" ht="15.75" customHeight="1">
      <c r="A304" s="502" t="s">
        <v>3066</v>
      </c>
      <c r="B304" s="494" t="s">
        <v>3067</v>
      </c>
      <c r="C304" s="495">
        <v>300618.75</v>
      </c>
      <c r="K304" s="494"/>
      <c r="L304" s="514"/>
      <c r="Q304" s="498"/>
      <c r="R304" s="498"/>
    </row>
    <row r="305" ht="15.75" customHeight="1">
      <c r="A305" s="502" t="s">
        <v>3068</v>
      </c>
      <c r="B305" s="494" t="s">
        <v>3069</v>
      </c>
      <c r="C305" s="495">
        <v>298641.26</v>
      </c>
      <c r="K305" s="494"/>
      <c r="L305" s="514"/>
      <c r="Q305" s="498"/>
      <c r="R305" s="498"/>
    </row>
    <row r="306" ht="15.75" customHeight="1">
      <c r="A306" s="502" t="s">
        <v>3070</v>
      </c>
      <c r="B306" s="494" t="s">
        <v>2737</v>
      </c>
      <c r="C306" s="495">
        <v>296318.48</v>
      </c>
      <c r="K306" s="494"/>
      <c r="L306" s="514"/>
      <c r="Q306" s="498"/>
      <c r="R306" s="498"/>
    </row>
    <row r="307" ht="15.75" customHeight="1">
      <c r="A307" s="502" t="s">
        <v>3072</v>
      </c>
      <c r="B307" s="494" t="s">
        <v>2488</v>
      </c>
      <c r="C307" s="495">
        <v>289671.19</v>
      </c>
      <c r="K307" s="494"/>
      <c r="L307" s="514"/>
      <c r="Q307" s="498"/>
      <c r="R307" s="498"/>
    </row>
    <row r="308" ht="15.75" customHeight="1">
      <c r="A308" s="502" t="s">
        <v>3073</v>
      </c>
      <c r="B308" s="494" t="s">
        <v>3011</v>
      </c>
      <c r="C308" s="495">
        <v>287387.23</v>
      </c>
      <c r="K308" s="494"/>
      <c r="L308" s="514"/>
      <c r="Q308" s="498"/>
      <c r="R308" s="498"/>
    </row>
    <row r="309" ht="15.75" customHeight="1">
      <c r="A309" s="502" t="s">
        <v>3074</v>
      </c>
      <c r="B309" s="494" t="s">
        <v>3075</v>
      </c>
      <c r="C309" s="495">
        <v>284249.72</v>
      </c>
      <c r="K309" s="494"/>
      <c r="L309" s="514"/>
      <c r="Q309" s="498"/>
      <c r="R309" s="498"/>
    </row>
    <row r="310" ht="15.75" customHeight="1">
      <c r="A310" s="502" t="s">
        <v>3076</v>
      </c>
      <c r="B310" s="494" t="s">
        <v>3077</v>
      </c>
      <c r="C310" s="495">
        <v>277291.96</v>
      </c>
      <c r="K310" s="494"/>
      <c r="L310" s="514"/>
      <c r="Q310" s="498"/>
      <c r="R310" s="498"/>
    </row>
    <row r="311" ht="15.75" customHeight="1">
      <c r="A311" s="502" t="s">
        <v>3078</v>
      </c>
      <c r="B311" s="494" t="s">
        <v>2611</v>
      </c>
      <c r="C311" s="495">
        <v>276038.23</v>
      </c>
      <c r="K311" s="494"/>
      <c r="L311" s="514"/>
      <c r="Q311" s="498"/>
      <c r="R311" s="498"/>
    </row>
    <row r="312" ht="15.75" customHeight="1">
      <c r="A312" s="502" t="s">
        <v>3079</v>
      </c>
      <c r="B312" s="494" t="s">
        <v>3080</v>
      </c>
      <c r="C312" s="495">
        <v>275129.86</v>
      </c>
      <c r="K312" s="494"/>
      <c r="L312" s="514"/>
      <c r="Q312" s="498"/>
      <c r="R312" s="498"/>
    </row>
    <row r="313" ht="15.75" customHeight="1">
      <c r="A313" s="502" t="s">
        <v>3082</v>
      </c>
      <c r="B313" s="494" t="s">
        <v>2611</v>
      </c>
      <c r="C313" s="495">
        <v>272721.31</v>
      </c>
      <c r="K313" s="494"/>
      <c r="L313" s="514"/>
      <c r="Q313" s="498"/>
      <c r="R313" s="498"/>
    </row>
    <row r="314" ht="15.75" customHeight="1">
      <c r="A314" s="502" t="s">
        <v>2553</v>
      </c>
      <c r="B314" s="494" t="s">
        <v>905</v>
      </c>
      <c r="C314" s="495">
        <v>270419.59</v>
      </c>
      <c r="K314" s="494"/>
      <c r="L314" s="514"/>
      <c r="Q314" s="498"/>
      <c r="R314" s="498"/>
    </row>
    <row r="315" ht="15.75" customHeight="1">
      <c r="A315" s="502" t="s">
        <v>3083</v>
      </c>
      <c r="B315" s="494" t="s">
        <v>2893</v>
      </c>
      <c r="C315" s="495">
        <v>266979.04</v>
      </c>
      <c r="K315" s="494"/>
      <c r="L315" s="514"/>
      <c r="Q315" s="498"/>
      <c r="R315" s="498"/>
    </row>
    <row r="316" ht="15.75" customHeight="1">
      <c r="A316" s="502" t="s">
        <v>3084</v>
      </c>
      <c r="B316" s="494" t="s">
        <v>3085</v>
      </c>
      <c r="C316" s="495">
        <v>266713.89</v>
      </c>
      <c r="K316" s="494"/>
      <c r="L316" s="514"/>
      <c r="Q316" s="498"/>
      <c r="R316" s="498"/>
    </row>
    <row r="317" ht="15.75" customHeight="1">
      <c r="A317" s="502" t="s">
        <v>3086</v>
      </c>
      <c r="B317" s="494" t="s">
        <v>2817</v>
      </c>
      <c r="C317" s="495">
        <v>265373.21</v>
      </c>
      <c r="K317" s="494"/>
      <c r="L317" s="514"/>
      <c r="Q317" s="498"/>
      <c r="R317" s="498"/>
    </row>
    <row r="318" ht="15.75" customHeight="1">
      <c r="A318" s="502" t="s">
        <v>3087</v>
      </c>
      <c r="B318" s="494" t="s">
        <v>3088</v>
      </c>
      <c r="C318" s="495">
        <v>262924.45</v>
      </c>
      <c r="K318" s="494"/>
      <c r="L318" s="514"/>
      <c r="Q318" s="498"/>
      <c r="R318" s="498"/>
    </row>
    <row r="319" ht="15.75" customHeight="1">
      <c r="A319" s="502" t="s">
        <v>3089</v>
      </c>
      <c r="B319" s="494" t="s">
        <v>3090</v>
      </c>
      <c r="C319" s="495">
        <v>262752.22</v>
      </c>
      <c r="K319" s="494"/>
      <c r="L319" s="514"/>
      <c r="Q319" s="498"/>
      <c r="R319" s="498"/>
    </row>
    <row r="320" ht="15.75" customHeight="1">
      <c r="A320" s="502" t="s">
        <v>3091</v>
      </c>
      <c r="B320" s="494" t="s">
        <v>3092</v>
      </c>
      <c r="C320" s="495">
        <v>258210.56</v>
      </c>
      <c r="K320" s="494"/>
      <c r="L320" s="514"/>
      <c r="Q320" s="498"/>
      <c r="R320" s="498"/>
    </row>
    <row r="321" ht="15.75" customHeight="1">
      <c r="A321" s="502" t="s">
        <v>3095</v>
      </c>
      <c r="B321" s="494" t="s">
        <v>2588</v>
      </c>
      <c r="C321" s="495">
        <v>255553.2</v>
      </c>
      <c r="K321" s="494"/>
      <c r="L321" s="514"/>
      <c r="Q321" s="498"/>
      <c r="R321" s="498"/>
    </row>
    <row r="322" ht="15.75" customHeight="1">
      <c r="A322" s="502" t="s">
        <v>3098</v>
      </c>
      <c r="B322" s="494" t="s">
        <v>200</v>
      </c>
      <c r="C322" s="495">
        <v>255535.66</v>
      </c>
      <c r="K322" s="494"/>
      <c r="L322" s="514"/>
      <c r="Q322" s="498"/>
      <c r="R322" s="498"/>
    </row>
    <row r="323" ht="15.75" customHeight="1">
      <c r="A323" s="502" t="s">
        <v>3099</v>
      </c>
      <c r="B323" s="494" t="s">
        <v>2849</v>
      </c>
      <c r="C323" s="495">
        <v>255456.82</v>
      </c>
      <c r="K323" s="494"/>
      <c r="L323" s="514"/>
      <c r="Q323" s="498"/>
      <c r="R323" s="498"/>
    </row>
    <row r="324" ht="15.75" customHeight="1">
      <c r="A324" s="502" t="s">
        <v>3100</v>
      </c>
      <c r="B324" s="494" t="s">
        <v>2653</v>
      </c>
      <c r="C324" s="495">
        <v>253528.26</v>
      </c>
      <c r="K324" s="494"/>
      <c r="L324" s="514"/>
      <c r="Q324" s="498"/>
      <c r="R324" s="498"/>
    </row>
    <row r="325" ht="15.75" customHeight="1">
      <c r="A325" s="502" t="s">
        <v>3101</v>
      </c>
      <c r="B325" s="494" t="s">
        <v>2611</v>
      </c>
      <c r="C325" s="495">
        <v>252062.25</v>
      </c>
      <c r="K325" s="494"/>
      <c r="L325" s="514"/>
      <c r="Q325" s="498"/>
      <c r="R325" s="498"/>
    </row>
    <row r="326" ht="15.75" customHeight="1">
      <c r="A326" s="502" t="s">
        <v>416</v>
      </c>
      <c r="B326" s="494" t="s">
        <v>3102</v>
      </c>
      <c r="C326" s="495">
        <v>251715.28</v>
      </c>
      <c r="K326" s="494"/>
      <c r="L326" s="514"/>
      <c r="Q326" s="498"/>
      <c r="R326" s="498"/>
    </row>
    <row r="327" ht="15.75" customHeight="1">
      <c r="A327" s="502" t="s">
        <v>2579</v>
      </c>
      <c r="B327" s="494" t="s">
        <v>905</v>
      </c>
      <c r="C327" s="495">
        <v>248357.35</v>
      </c>
      <c r="K327" s="494"/>
      <c r="L327" s="514"/>
      <c r="Q327" s="498"/>
      <c r="R327" s="498"/>
    </row>
    <row r="328" ht="15.75" customHeight="1">
      <c r="A328" s="502" t="s">
        <v>3103</v>
      </c>
      <c r="B328" s="494" t="s">
        <v>2893</v>
      </c>
      <c r="C328" s="495">
        <v>240252.89</v>
      </c>
      <c r="K328" s="494"/>
      <c r="L328" s="514"/>
      <c r="Q328" s="498"/>
      <c r="R328" s="498"/>
    </row>
    <row r="329" ht="15.75" customHeight="1">
      <c r="A329" s="502" t="s">
        <v>3104</v>
      </c>
      <c r="B329" s="494" t="s">
        <v>2473</v>
      </c>
      <c r="C329" s="495">
        <v>239697.01</v>
      </c>
      <c r="K329" s="494"/>
      <c r="L329" s="514"/>
      <c r="Q329" s="498"/>
      <c r="R329" s="498"/>
    </row>
    <row r="330" ht="15.75" customHeight="1">
      <c r="A330" s="502" t="s">
        <v>3105</v>
      </c>
      <c r="B330" s="494" t="s">
        <v>2511</v>
      </c>
      <c r="C330" s="495">
        <v>237630.53</v>
      </c>
      <c r="K330" s="494"/>
      <c r="L330" s="514"/>
      <c r="Q330" s="498"/>
      <c r="R330" s="498"/>
    </row>
    <row r="331" ht="15.75" customHeight="1">
      <c r="A331" s="502" t="s">
        <v>3106</v>
      </c>
      <c r="B331" s="494" t="s">
        <v>2645</v>
      </c>
      <c r="C331" s="495">
        <v>237055.84</v>
      </c>
      <c r="K331" s="494"/>
      <c r="L331" s="514"/>
      <c r="Q331" s="498"/>
      <c r="R331" s="498"/>
    </row>
    <row r="332" ht="15.75" customHeight="1">
      <c r="A332" s="502" t="s">
        <v>3107</v>
      </c>
      <c r="B332" s="494" t="s">
        <v>200</v>
      </c>
      <c r="C332" s="495">
        <v>236799.14</v>
      </c>
      <c r="K332" s="494"/>
      <c r="L332" s="514"/>
      <c r="Q332" s="498"/>
      <c r="R332" s="498"/>
    </row>
    <row r="333" ht="15.75" customHeight="1">
      <c r="A333" s="502" t="s">
        <v>3108</v>
      </c>
      <c r="B333" s="494" t="s">
        <v>2924</v>
      </c>
      <c r="C333" s="495">
        <v>232793.0</v>
      </c>
      <c r="K333" s="494"/>
      <c r="L333" s="514"/>
      <c r="Q333" s="498"/>
      <c r="R333" s="498"/>
    </row>
    <row r="334" ht="15.75" customHeight="1">
      <c r="A334" s="502" t="s">
        <v>3110</v>
      </c>
      <c r="B334" s="494" t="s">
        <v>2651</v>
      </c>
      <c r="C334" s="495">
        <v>232239.28</v>
      </c>
      <c r="K334" s="494"/>
      <c r="L334" s="514"/>
      <c r="Q334" s="498"/>
      <c r="R334" s="498"/>
    </row>
    <row r="335" ht="15.75" customHeight="1">
      <c r="A335" s="502" t="s">
        <v>3111</v>
      </c>
      <c r="B335" s="494" t="s">
        <v>2893</v>
      </c>
      <c r="C335" s="495">
        <v>231489.03</v>
      </c>
      <c r="K335" s="494"/>
      <c r="L335" s="514"/>
      <c r="Q335" s="498"/>
      <c r="R335" s="498"/>
    </row>
    <row r="336" ht="15.75" customHeight="1">
      <c r="A336" s="502" t="s">
        <v>3112</v>
      </c>
      <c r="B336" s="494" t="s">
        <v>2871</v>
      </c>
      <c r="C336" s="495">
        <v>229786.52</v>
      </c>
      <c r="K336" s="494"/>
      <c r="L336" s="514"/>
      <c r="Q336" s="498"/>
      <c r="R336" s="498"/>
    </row>
    <row r="337" ht="15.75" customHeight="1">
      <c r="A337" s="502" t="s">
        <v>3113</v>
      </c>
      <c r="B337" s="494" t="s">
        <v>3114</v>
      </c>
      <c r="C337" s="495">
        <v>222994.75</v>
      </c>
      <c r="K337" s="494"/>
      <c r="L337" s="514"/>
      <c r="Q337" s="498"/>
      <c r="R337" s="498"/>
    </row>
    <row r="338" ht="15.75" customHeight="1">
      <c r="A338" s="502" t="s">
        <v>3115</v>
      </c>
      <c r="B338" s="494" t="s">
        <v>3116</v>
      </c>
      <c r="C338" s="495">
        <v>222983.48</v>
      </c>
      <c r="K338" s="494"/>
      <c r="L338" s="514"/>
      <c r="Q338" s="498"/>
      <c r="R338" s="498"/>
    </row>
    <row r="339" ht="15.75" customHeight="1">
      <c r="A339" s="502" t="s">
        <v>3117</v>
      </c>
      <c r="B339" s="494" t="s">
        <v>3118</v>
      </c>
      <c r="C339" s="495">
        <v>218783.1</v>
      </c>
      <c r="K339" s="494"/>
      <c r="L339" s="514"/>
      <c r="Q339" s="498"/>
      <c r="R339" s="498"/>
    </row>
    <row r="340" ht="15.75" customHeight="1">
      <c r="A340" s="502" t="s">
        <v>3119</v>
      </c>
      <c r="B340" s="494" t="s">
        <v>2542</v>
      </c>
      <c r="C340" s="495">
        <v>218365.39</v>
      </c>
      <c r="K340" s="494"/>
      <c r="L340" s="514"/>
      <c r="Q340" s="498"/>
      <c r="R340" s="498"/>
    </row>
    <row r="341" ht="15.75" customHeight="1">
      <c r="A341" s="502" t="s">
        <v>3120</v>
      </c>
      <c r="B341" s="494" t="s">
        <v>2473</v>
      </c>
      <c r="C341" s="495">
        <v>218096.86</v>
      </c>
      <c r="K341" s="494"/>
      <c r="L341" s="514"/>
      <c r="Q341" s="498"/>
      <c r="R341" s="498"/>
    </row>
    <row r="342" ht="15.75" customHeight="1">
      <c r="A342" s="502" t="s">
        <v>364</v>
      </c>
      <c r="B342" s="494" t="s">
        <v>2898</v>
      </c>
      <c r="C342" s="495">
        <v>216111.18</v>
      </c>
      <c r="K342" s="494"/>
      <c r="L342" s="514"/>
      <c r="Q342" s="498"/>
      <c r="R342" s="498"/>
    </row>
    <row r="343" ht="15.75" customHeight="1">
      <c r="A343" s="502" t="s">
        <v>3121</v>
      </c>
      <c r="B343" s="494" t="s">
        <v>3122</v>
      </c>
      <c r="C343" s="495">
        <v>216026.43</v>
      </c>
      <c r="K343" s="494"/>
      <c r="L343" s="514"/>
      <c r="Q343" s="498"/>
      <c r="R343" s="498"/>
    </row>
    <row r="344" ht="15.75" customHeight="1">
      <c r="A344" s="502" t="s">
        <v>3123</v>
      </c>
      <c r="B344" s="494" t="s">
        <v>3124</v>
      </c>
      <c r="C344" s="495">
        <v>216017.11</v>
      </c>
      <c r="K344" s="494"/>
      <c r="L344" s="514"/>
      <c r="Q344" s="498"/>
      <c r="R344" s="498"/>
    </row>
    <row r="345" ht="15.75" customHeight="1">
      <c r="A345" s="502" t="s">
        <v>1284</v>
      </c>
      <c r="B345" s="494" t="s">
        <v>3125</v>
      </c>
      <c r="C345" s="495">
        <v>215733.94</v>
      </c>
      <c r="K345" s="494"/>
      <c r="L345" s="514"/>
      <c r="Q345" s="498"/>
      <c r="R345" s="498"/>
    </row>
    <row r="346" ht="15.75" customHeight="1">
      <c r="A346" s="502" t="s">
        <v>3126</v>
      </c>
      <c r="B346" s="494" t="s">
        <v>3127</v>
      </c>
      <c r="C346" s="495">
        <v>212426.88</v>
      </c>
      <c r="K346" s="494"/>
      <c r="L346" s="514"/>
      <c r="Q346" s="498"/>
      <c r="R346" s="498"/>
    </row>
    <row r="347" ht="15.75" customHeight="1">
      <c r="A347" s="502" t="s">
        <v>3128</v>
      </c>
      <c r="B347" s="494" t="s">
        <v>3129</v>
      </c>
      <c r="C347" s="495">
        <v>210338.73</v>
      </c>
      <c r="K347" s="494"/>
      <c r="L347" s="514"/>
      <c r="Q347" s="498"/>
      <c r="R347" s="498"/>
    </row>
    <row r="348" ht="15.75" customHeight="1">
      <c r="A348" s="502" t="s">
        <v>3130</v>
      </c>
      <c r="B348" s="494" t="s">
        <v>3131</v>
      </c>
      <c r="C348" s="495">
        <v>210012.02</v>
      </c>
      <c r="K348" s="494"/>
      <c r="L348" s="514"/>
      <c r="Q348" s="498"/>
      <c r="R348" s="498"/>
    </row>
    <row r="349" ht="15.75" customHeight="1">
      <c r="A349" s="502" t="s">
        <v>3132</v>
      </c>
      <c r="B349" s="494" t="s">
        <v>3133</v>
      </c>
      <c r="C349" s="495">
        <v>207684.55</v>
      </c>
      <c r="K349" s="494"/>
      <c r="L349" s="514"/>
      <c r="Q349" s="498"/>
      <c r="R349" s="498"/>
    </row>
    <row r="350" ht="15.75" customHeight="1">
      <c r="A350" s="502" t="s">
        <v>3135</v>
      </c>
      <c r="B350" s="494" t="s">
        <v>2952</v>
      </c>
      <c r="C350" s="495">
        <v>207541.6</v>
      </c>
      <c r="K350" s="494"/>
      <c r="L350" s="514"/>
      <c r="Q350" s="498"/>
      <c r="R350" s="498"/>
    </row>
    <row r="351" ht="15.75" customHeight="1">
      <c r="A351" s="502" t="s">
        <v>3136</v>
      </c>
      <c r="B351" s="494" t="s">
        <v>3034</v>
      </c>
      <c r="C351" s="495">
        <v>206641.09</v>
      </c>
      <c r="K351" s="494"/>
      <c r="L351" s="514"/>
      <c r="Q351" s="498"/>
      <c r="R351" s="498"/>
    </row>
    <row r="352" ht="15.75" customHeight="1">
      <c r="A352" s="502" t="s">
        <v>3137</v>
      </c>
      <c r="B352" s="494" t="s">
        <v>3138</v>
      </c>
      <c r="C352" s="495">
        <v>204894.62</v>
      </c>
      <c r="K352" s="494"/>
      <c r="L352" s="514"/>
      <c r="Q352" s="498"/>
      <c r="R352" s="498"/>
    </row>
    <row r="353" ht="15.75" customHeight="1">
      <c r="A353" s="502" t="s">
        <v>3139</v>
      </c>
      <c r="B353" s="494" t="s">
        <v>3140</v>
      </c>
      <c r="C353" s="495">
        <v>204477.99</v>
      </c>
      <c r="K353" s="494"/>
      <c r="L353" s="514"/>
      <c r="Q353" s="498"/>
      <c r="R353" s="498"/>
    </row>
    <row r="354" ht="15.75" customHeight="1">
      <c r="A354" s="502" t="s">
        <v>3143</v>
      </c>
      <c r="B354" s="494" t="s">
        <v>3026</v>
      </c>
      <c r="C354" s="495">
        <v>202826.46</v>
      </c>
      <c r="K354" s="494"/>
      <c r="L354" s="514"/>
      <c r="Q354" s="498"/>
      <c r="R354" s="498"/>
    </row>
    <row r="355" ht="15.75" customHeight="1">
      <c r="A355" s="502" t="s">
        <v>564</v>
      </c>
      <c r="B355" s="494" t="s">
        <v>3144</v>
      </c>
      <c r="C355" s="495">
        <v>202526.35</v>
      </c>
      <c r="K355" s="494"/>
      <c r="L355" s="514"/>
      <c r="Q355" s="498"/>
      <c r="R355" s="498"/>
    </row>
    <row r="356" ht="15.75" customHeight="1">
      <c r="A356" s="502" t="s">
        <v>3146</v>
      </c>
      <c r="B356" s="494" t="s">
        <v>3147</v>
      </c>
      <c r="C356" s="495">
        <v>202404.61</v>
      </c>
      <c r="K356" s="494"/>
      <c r="L356" s="514"/>
      <c r="Q356" s="498"/>
      <c r="R356" s="498"/>
    </row>
    <row r="357" ht="15.75" customHeight="1">
      <c r="A357" s="502" t="s">
        <v>3148</v>
      </c>
      <c r="B357" s="494" t="s">
        <v>3149</v>
      </c>
      <c r="C357" s="495">
        <v>201908.51</v>
      </c>
      <c r="K357" s="494"/>
      <c r="L357" s="514"/>
      <c r="Q357" s="498"/>
      <c r="R357" s="498"/>
    </row>
    <row r="358" ht="15.75" customHeight="1">
      <c r="A358" s="502" t="s">
        <v>3150</v>
      </c>
      <c r="B358" s="494" t="s">
        <v>3077</v>
      </c>
      <c r="C358" s="495">
        <v>201806.4</v>
      </c>
      <c r="K358" s="494"/>
      <c r="L358" s="514"/>
      <c r="Q358" s="498"/>
      <c r="R358" s="498"/>
    </row>
    <row r="359" ht="15.75" customHeight="1">
      <c r="A359" s="502" t="s">
        <v>3151</v>
      </c>
      <c r="B359" s="494" t="s">
        <v>2651</v>
      </c>
      <c r="C359" s="495">
        <v>200501.07</v>
      </c>
      <c r="K359" s="494"/>
      <c r="L359" s="514"/>
      <c r="Q359" s="498"/>
      <c r="R359" s="498"/>
    </row>
    <row r="360" ht="15.75" customHeight="1">
      <c r="A360" s="502" t="s">
        <v>3152</v>
      </c>
      <c r="B360" s="494" t="s">
        <v>3154</v>
      </c>
      <c r="C360" s="495">
        <v>200225.43</v>
      </c>
      <c r="K360" s="494"/>
      <c r="L360" s="514"/>
      <c r="Q360" s="498"/>
      <c r="R360" s="498"/>
    </row>
    <row r="361" ht="15.75" customHeight="1">
      <c r="A361" s="502" t="s">
        <v>3156</v>
      </c>
      <c r="B361" s="494" t="s">
        <v>2588</v>
      </c>
      <c r="C361" s="495">
        <v>199857.89</v>
      </c>
      <c r="K361" s="494"/>
      <c r="L361" s="514"/>
      <c r="Q361" s="498"/>
      <c r="R361" s="498"/>
    </row>
    <row r="362" ht="15.75" customHeight="1">
      <c r="A362" s="502" t="s">
        <v>1818</v>
      </c>
      <c r="B362" s="494" t="s">
        <v>2689</v>
      </c>
      <c r="C362" s="495">
        <v>198974.48</v>
      </c>
      <c r="K362" s="494"/>
      <c r="L362" s="514"/>
      <c r="Q362" s="498"/>
      <c r="R362" s="498"/>
    </row>
    <row r="363" ht="15.75" customHeight="1">
      <c r="A363" s="502" t="s">
        <v>3158</v>
      </c>
      <c r="B363" s="494" t="s">
        <v>3159</v>
      </c>
      <c r="C363" s="495">
        <v>198576.22</v>
      </c>
      <c r="K363" s="494"/>
      <c r="L363" s="514"/>
      <c r="Q363" s="498"/>
      <c r="R363" s="498"/>
    </row>
    <row r="364" ht="15.75" customHeight="1">
      <c r="A364" s="502" t="s">
        <v>2034</v>
      </c>
      <c r="B364" s="494" t="s">
        <v>2455</v>
      </c>
      <c r="C364" s="495">
        <v>196038.01</v>
      </c>
      <c r="K364" s="494"/>
      <c r="L364" s="514"/>
      <c r="Q364" s="498"/>
      <c r="R364" s="498"/>
    </row>
    <row r="365" ht="15.75" customHeight="1">
      <c r="A365" s="502" t="s">
        <v>3160</v>
      </c>
      <c r="B365" s="494" t="s">
        <v>3161</v>
      </c>
      <c r="C365" s="495">
        <v>195251.16</v>
      </c>
      <c r="K365" s="494"/>
      <c r="L365" s="514"/>
      <c r="Q365" s="498"/>
      <c r="R365" s="498"/>
    </row>
    <row r="366" ht="15.75" customHeight="1">
      <c r="A366" s="502" t="s">
        <v>3162</v>
      </c>
      <c r="B366" s="494" t="s">
        <v>3163</v>
      </c>
      <c r="C366" s="495">
        <v>194734.79</v>
      </c>
      <c r="K366" s="494"/>
      <c r="L366" s="514"/>
      <c r="Q366" s="498"/>
      <c r="R366" s="498"/>
    </row>
    <row r="367" ht="15.75" customHeight="1">
      <c r="A367" s="502" t="s">
        <v>3165</v>
      </c>
      <c r="B367" s="494" t="s">
        <v>3167</v>
      </c>
      <c r="C367" s="495">
        <v>193947.89</v>
      </c>
      <c r="K367" s="494"/>
      <c r="L367" s="514"/>
      <c r="Q367" s="498"/>
      <c r="R367" s="498"/>
    </row>
    <row r="368" ht="15.75" customHeight="1">
      <c r="A368" s="502" t="s">
        <v>3168</v>
      </c>
      <c r="B368" s="494" t="s">
        <v>2712</v>
      </c>
      <c r="C368" s="495">
        <v>191267.91</v>
      </c>
      <c r="K368" s="494"/>
      <c r="L368" s="514"/>
      <c r="Q368" s="498"/>
      <c r="R368" s="498"/>
    </row>
    <row r="369" ht="15.75" customHeight="1">
      <c r="A369" s="502" t="s">
        <v>3169</v>
      </c>
      <c r="B369" s="494" t="s">
        <v>3170</v>
      </c>
      <c r="C369" s="495">
        <v>188366.87</v>
      </c>
      <c r="K369" s="494"/>
      <c r="L369" s="514"/>
      <c r="Q369" s="498"/>
      <c r="R369" s="498"/>
    </row>
    <row r="370" ht="15.75" customHeight="1">
      <c r="A370" s="502" t="s">
        <v>3171</v>
      </c>
      <c r="B370" s="494" t="s">
        <v>3172</v>
      </c>
      <c r="C370" s="495">
        <v>187536.01</v>
      </c>
      <c r="K370" s="494"/>
      <c r="L370" s="514"/>
      <c r="Q370" s="498"/>
      <c r="R370" s="498"/>
    </row>
    <row r="371" ht="15.75" customHeight="1">
      <c r="A371" s="502" t="s">
        <v>3173</v>
      </c>
      <c r="B371" s="494" t="s">
        <v>3174</v>
      </c>
      <c r="C371" s="495">
        <v>186019.42</v>
      </c>
      <c r="K371" s="494"/>
      <c r="L371" s="514"/>
      <c r="Q371" s="498"/>
      <c r="R371" s="498"/>
    </row>
    <row r="372" ht="15.75" customHeight="1">
      <c r="A372" s="502" t="s">
        <v>3175</v>
      </c>
      <c r="B372" s="494" t="s">
        <v>3176</v>
      </c>
      <c r="C372" s="495">
        <v>185700.83</v>
      </c>
      <c r="K372" s="494"/>
      <c r="L372" s="514"/>
      <c r="Q372" s="498"/>
      <c r="R372" s="498"/>
    </row>
    <row r="373" ht="15.75" customHeight="1">
      <c r="A373" s="502" t="s">
        <v>3178</v>
      </c>
      <c r="B373" s="494" t="s">
        <v>3179</v>
      </c>
      <c r="C373" s="495">
        <v>184917.25</v>
      </c>
      <c r="K373" s="494"/>
      <c r="L373" s="514"/>
      <c r="Q373" s="498"/>
      <c r="R373" s="498"/>
    </row>
    <row r="374" ht="15.75" customHeight="1">
      <c r="A374" s="502" t="s">
        <v>3181</v>
      </c>
      <c r="B374" s="494" t="s">
        <v>3182</v>
      </c>
      <c r="C374" s="495">
        <v>184890.48</v>
      </c>
      <c r="K374" s="494"/>
      <c r="L374" s="514"/>
      <c r="Q374" s="498"/>
      <c r="R374" s="498"/>
    </row>
    <row r="375" ht="15.75" customHeight="1">
      <c r="A375" s="502" t="s">
        <v>3183</v>
      </c>
      <c r="B375" s="494" t="s">
        <v>3184</v>
      </c>
      <c r="C375" s="495">
        <v>183262.54</v>
      </c>
      <c r="K375" s="494"/>
      <c r="L375" s="514"/>
      <c r="Q375" s="498"/>
      <c r="R375" s="498"/>
    </row>
    <row r="376" ht="15.75" customHeight="1">
      <c r="A376" s="502" t="s">
        <v>3185</v>
      </c>
      <c r="B376" s="494" t="s">
        <v>2662</v>
      </c>
      <c r="C376" s="495">
        <v>178890.42</v>
      </c>
      <c r="K376" s="494"/>
      <c r="L376" s="514"/>
      <c r="Q376" s="498"/>
      <c r="R376" s="498"/>
    </row>
    <row r="377" ht="15.75" customHeight="1">
      <c r="A377" s="502" t="s">
        <v>3186</v>
      </c>
      <c r="B377" s="494" t="s">
        <v>3187</v>
      </c>
      <c r="C377" s="495">
        <v>178514.16</v>
      </c>
      <c r="K377" s="494"/>
      <c r="L377" s="514"/>
      <c r="Q377" s="498"/>
      <c r="R377" s="498"/>
    </row>
    <row r="378" ht="15.75" customHeight="1">
      <c r="A378" s="502" t="s">
        <v>2059</v>
      </c>
      <c r="B378" s="494" t="s">
        <v>2455</v>
      </c>
      <c r="C378" s="495">
        <v>176576.24</v>
      </c>
      <c r="K378" s="494"/>
      <c r="L378" s="514"/>
      <c r="Q378" s="498"/>
      <c r="R378" s="498"/>
    </row>
    <row r="379" ht="15.75" customHeight="1">
      <c r="A379" s="502" t="s">
        <v>1786</v>
      </c>
      <c r="B379" s="494" t="s">
        <v>2689</v>
      </c>
      <c r="C379" s="495">
        <v>174724.2</v>
      </c>
      <c r="K379" s="494"/>
      <c r="L379" s="514"/>
      <c r="Q379" s="498"/>
      <c r="R379" s="498"/>
    </row>
    <row r="380" ht="15.75" customHeight="1">
      <c r="A380" s="502" t="s">
        <v>2878</v>
      </c>
      <c r="B380" s="494" t="s">
        <v>178</v>
      </c>
      <c r="C380" s="495">
        <v>174090.92</v>
      </c>
      <c r="K380" s="494"/>
      <c r="L380" s="514"/>
      <c r="Q380" s="498"/>
      <c r="R380" s="498"/>
    </row>
    <row r="381" ht="15.75" customHeight="1">
      <c r="A381" s="502" t="s">
        <v>3189</v>
      </c>
      <c r="B381" s="494" t="s">
        <v>3190</v>
      </c>
      <c r="C381" s="495">
        <v>173107.73</v>
      </c>
      <c r="K381" s="494"/>
      <c r="L381" s="514"/>
      <c r="Q381" s="498"/>
      <c r="R381" s="498"/>
    </row>
    <row r="382" ht="15.75" customHeight="1">
      <c r="A382" s="502" t="s">
        <v>3191</v>
      </c>
      <c r="B382" s="494" t="s">
        <v>2488</v>
      </c>
      <c r="C382" s="495">
        <v>172164.78</v>
      </c>
      <c r="K382" s="494"/>
      <c r="L382" s="514"/>
      <c r="Q382" s="498"/>
      <c r="R382" s="498"/>
    </row>
    <row r="383" ht="15.75" customHeight="1">
      <c r="A383" s="502" t="s">
        <v>3193</v>
      </c>
      <c r="B383" s="494" t="s">
        <v>2768</v>
      </c>
      <c r="C383" s="495">
        <v>169689.78</v>
      </c>
      <c r="K383" s="494"/>
      <c r="L383" s="514"/>
      <c r="Q383" s="498"/>
      <c r="R383" s="498"/>
    </row>
    <row r="384" ht="15.75" customHeight="1">
      <c r="A384" s="502" t="s">
        <v>3194</v>
      </c>
      <c r="B384" s="494" t="s">
        <v>3195</v>
      </c>
      <c r="C384" s="495">
        <v>168636.05</v>
      </c>
      <c r="K384" s="494"/>
      <c r="L384" s="514"/>
      <c r="Q384" s="498"/>
      <c r="R384" s="498"/>
    </row>
    <row r="385" ht="15.75" customHeight="1">
      <c r="A385" s="502" t="s">
        <v>3196</v>
      </c>
      <c r="B385" s="494" t="s">
        <v>3197</v>
      </c>
      <c r="C385" s="495">
        <v>168425.04</v>
      </c>
      <c r="K385" s="494"/>
      <c r="L385" s="514"/>
      <c r="Q385" s="498"/>
      <c r="R385" s="498"/>
    </row>
    <row r="386" ht="15.75" customHeight="1">
      <c r="A386" s="502" t="s">
        <v>3198</v>
      </c>
      <c r="B386" s="494" t="s">
        <v>3199</v>
      </c>
      <c r="C386" s="495">
        <v>168263.56</v>
      </c>
      <c r="K386" s="494"/>
      <c r="L386" s="514"/>
      <c r="Q386" s="498"/>
      <c r="R386" s="498"/>
    </row>
    <row r="387" ht="15.75" customHeight="1">
      <c r="A387" s="502" t="s">
        <v>1161</v>
      </c>
      <c r="B387" s="494" t="s">
        <v>2936</v>
      </c>
      <c r="C387" s="495">
        <v>165457.44</v>
      </c>
      <c r="K387" s="494"/>
      <c r="L387" s="514"/>
      <c r="Q387" s="498"/>
      <c r="R387" s="498"/>
    </row>
    <row r="388" ht="15.75" customHeight="1">
      <c r="A388" s="502" t="s">
        <v>3202</v>
      </c>
      <c r="B388" s="494" t="s">
        <v>2477</v>
      </c>
      <c r="C388" s="495">
        <v>159272.33</v>
      </c>
      <c r="K388" s="494"/>
      <c r="L388" s="514"/>
      <c r="Q388" s="498"/>
      <c r="R388" s="498"/>
    </row>
    <row r="389" ht="15.75" customHeight="1">
      <c r="A389" s="502" t="s">
        <v>86</v>
      </c>
      <c r="B389" s="494" t="s">
        <v>2689</v>
      </c>
      <c r="C389" s="495">
        <v>159237.64</v>
      </c>
      <c r="K389" s="494"/>
      <c r="L389" s="514"/>
      <c r="Q389" s="498"/>
      <c r="R389" s="498"/>
    </row>
    <row r="390" ht="15.75" customHeight="1">
      <c r="A390" s="502" t="s">
        <v>3205</v>
      </c>
      <c r="B390" s="494" t="s">
        <v>2688</v>
      </c>
      <c r="C390" s="495">
        <v>158823.19</v>
      </c>
      <c r="K390" s="494"/>
      <c r="L390" s="514"/>
      <c r="Q390" s="498"/>
      <c r="R390" s="498"/>
    </row>
    <row r="391" ht="15.75" customHeight="1">
      <c r="A391" s="502" t="s">
        <v>3206</v>
      </c>
      <c r="B391" s="494" t="s">
        <v>3207</v>
      </c>
      <c r="C391" s="495">
        <v>157188.57</v>
      </c>
      <c r="K391" s="494"/>
      <c r="L391" s="514"/>
      <c r="Q391" s="498"/>
      <c r="R391" s="498"/>
    </row>
    <row r="392" ht="15.75" customHeight="1">
      <c r="A392" s="502" t="s">
        <v>3208</v>
      </c>
      <c r="B392" s="494" t="s">
        <v>3209</v>
      </c>
      <c r="C392" s="495">
        <v>156220.81</v>
      </c>
      <c r="K392" s="494"/>
      <c r="L392" s="514"/>
      <c r="Q392" s="498"/>
      <c r="R392" s="498"/>
    </row>
    <row r="393" ht="15.75" customHeight="1">
      <c r="A393" s="502" t="s">
        <v>3210</v>
      </c>
      <c r="B393" s="494" t="s">
        <v>829</v>
      </c>
      <c r="C393" s="495">
        <v>153943.27</v>
      </c>
      <c r="K393" s="494"/>
      <c r="L393" s="514"/>
      <c r="Q393" s="498"/>
      <c r="R393" s="498"/>
    </row>
    <row r="394" ht="15.75" customHeight="1">
      <c r="A394" s="502" t="s">
        <v>1882</v>
      </c>
      <c r="B394" s="494" t="s">
        <v>3212</v>
      </c>
      <c r="C394" s="495">
        <v>151954.71</v>
      </c>
      <c r="K394" s="494"/>
      <c r="L394" s="514"/>
      <c r="Q394" s="498"/>
      <c r="R394" s="498"/>
    </row>
    <row r="395" ht="15.75" customHeight="1">
      <c r="A395" s="502" t="s">
        <v>3214</v>
      </c>
      <c r="B395" s="494" t="s">
        <v>3216</v>
      </c>
      <c r="C395" s="495">
        <v>151923.82</v>
      </c>
      <c r="K395" s="494"/>
      <c r="L395" s="514"/>
      <c r="Q395" s="498"/>
      <c r="R395" s="498"/>
    </row>
    <row r="396" ht="15.75" customHeight="1">
      <c r="A396" s="502" t="s">
        <v>943</v>
      </c>
      <c r="B396" s="494" t="s">
        <v>2936</v>
      </c>
      <c r="C396" s="495">
        <v>150923.26</v>
      </c>
      <c r="K396" s="494"/>
      <c r="L396" s="514"/>
      <c r="Q396" s="498"/>
      <c r="R396" s="498"/>
    </row>
    <row r="397" ht="15.75" customHeight="1">
      <c r="A397" s="502" t="s">
        <v>3217</v>
      </c>
      <c r="B397" s="494" t="s">
        <v>2473</v>
      </c>
      <c r="C397" s="495">
        <v>150168.94</v>
      </c>
      <c r="K397" s="494"/>
      <c r="L397" s="514"/>
      <c r="Q397" s="498"/>
      <c r="R397" s="498"/>
    </row>
    <row r="398" ht="15.75" customHeight="1">
      <c r="A398" s="502" t="s">
        <v>3219</v>
      </c>
      <c r="B398" s="494" t="s">
        <v>3221</v>
      </c>
      <c r="C398" s="495">
        <v>149257.15</v>
      </c>
      <c r="K398" s="494"/>
      <c r="L398" s="514"/>
      <c r="Q398" s="498"/>
      <c r="R398" s="498"/>
    </row>
    <row r="399" ht="15.75" customHeight="1">
      <c r="A399" s="502" t="s">
        <v>3223</v>
      </c>
      <c r="B399" s="494" t="s">
        <v>3224</v>
      </c>
      <c r="C399" s="495">
        <v>147893.06</v>
      </c>
      <c r="K399" s="494"/>
      <c r="L399" s="514"/>
      <c r="Q399" s="498"/>
      <c r="R399" s="498"/>
    </row>
    <row r="400" ht="15.75" customHeight="1">
      <c r="A400" s="502" t="s">
        <v>3225</v>
      </c>
      <c r="B400" s="494" t="s">
        <v>3226</v>
      </c>
      <c r="C400" s="495">
        <v>146596.09</v>
      </c>
      <c r="K400" s="494"/>
      <c r="L400" s="514"/>
      <c r="Q400" s="498"/>
      <c r="R400" s="498"/>
    </row>
    <row r="401" ht="15.75" customHeight="1">
      <c r="A401" s="502" t="s">
        <v>3227</v>
      </c>
      <c r="B401" s="494" t="s">
        <v>3228</v>
      </c>
      <c r="C401" s="495">
        <v>144295.08</v>
      </c>
      <c r="K401" s="494"/>
      <c r="L401" s="514"/>
      <c r="Q401" s="498"/>
      <c r="R401" s="498"/>
    </row>
    <row r="402" ht="15.75" customHeight="1">
      <c r="A402" s="502" t="s">
        <v>3229</v>
      </c>
      <c r="B402" s="494" t="s">
        <v>3230</v>
      </c>
      <c r="C402" s="495">
        <v>143690.76</v>
      </c>
      <c r="K402" s="494"/>
      <c r="L402" s="514"/>
      <c r="Q402" s="498"/>
      <c r="R402" s="498"/>
    </row>
    <row r="403" ht="15.75" customHeight="1">
      <c r="A403" s="502" t="s">
        <v>3231</v>
      </c>
      <c r="B403" s="494" t="s">
        <v>211</v>
      </c>
      <c r="C403" s="495">
        <v>142808.39</v>
      </c>
      <c r="K403" s="494"/>
      <c r="L403" s="514"/>
      <c r="Q403" s="498"/>
      <c r="R403" s="498"/>
    </row>
    <row r="404" ht="15.75" customHeight="1">
      <c r="A404" s="502" t="s">
        <v>1802</v>
      </c>
      <c r="B404" s="494" t="s">
        <v>2689</v>
      </c>
      <c r="C404" s="495">
        <v>142790.17</v>
      </c>
      <c r="K404" s="494"/>
      <c r="L404" s="514"/>
      <c r="Q404" s="498"/>
      <c r="R404" s="498"/>
    </row>
    <row r="405" ht="15.75" customHeight="1">
      <c r="A405" s="502" t="s">
        <v>3232</v>
      </c>
      <c r="B405" s="494" t="s">
        <v>3233</v>
      </c>
      <c r="C405" s="495">
        <v>142719.55</v>
      </c>
      <c r="K405" s="494"/>
      <c r="L405" s="514"/>
      <c r="Q405" s="498"/>
      <c r="R405" s="498"/>
    </row>
    <row r="406" ht="15.75" customHeight="1">
      <c r="A406" s="502" t="s">
        <v>3235</v>
      </c>
      <c r="B406" s="494" t="s">
        <v>3236</v>
      </c>
      <c r="C406" s="495">
        <v>141249.27</v>
      </c>
      <c r="K406" s="494"/>
      <c r="L406" s="514"/>
      <c r="Q406" s="498"/>
      <c r="R406" s="498"/>
    </row>
    <row r="407" ht="15.75" customHeight="1">
      <c r="A407" s="502" t="s">
        <v>3237</v>
      </c>
      <c r="B407" s="494" t="s">
        <v>3238</v>
      </c>
      <c r="C407" s="495">
        <v>140771.48</v>
      </c>
      <c r="K407" s="494"/>
      <c r="L407" s="514"/>
      <c r="Q407" s="498"/>
      <c r="R407" s="498"/>
    </row>
    <row r="408" ht="15.75" customHeight="1">
      <c r="A408" s="502" t="s">
        <v>3239</v>
      </c>
      <c r="B408" s="494" t="s">
        <v>3240</v>
      </c>
      <c r="C408" s="495">
        <v>140753.71</v>
      </c>
      <c r="K408" s="494"/>
      <c r="L408" s="514"/>
      <c r="Q408" s="498"/>
      <c r="R408" s="498"/>
    </row>
    <row r="409" ht="15.75" customHeight="1">
      <c r="A409" s="502" t="s">
        <v>3243</v>
      </c>
      <c r="B409" s="494" t="s">
        <v>2517</v>
      </c>
      <c r="C409" s="495">
        <v>140039.29</v>
      </c>
      <c r="K409" s="494"/>
      <c r="L409" s="514"/>
      <c r="Q409" s="498"/>
      <c r="R409" s="498"/>
    </row>
    <row r="410" ht="15.75" customHeight="1">
      <c r="A410" s="502" t="s">
        <v>3244</v>
      </c>
      <c r="B410" s="494" t="s">
        <v>2651</v>
      </c>
      <c r="C410" s="495">
        <v>139785.18</v>
      </c>
      <c r="K410" s="494"/>
      <c r="L410" s="514"/>
      <c r="Q410" s="498"/>
      <c r="R410" s="498"/>
    </row>
    <row r="411" ht="15.75" customHeight="1">
      <c r="A411" s="502" t="s">
        <v>3245</v>
      </c>
      <c r="B411" s="494" t="s">
        <v>3133</v>
      </c>
      <c r="C411" s="495">
        <v>138146.27</v>
      </c>
      <c r="K411" s="494"/>
      <c r="L411" s="514"/>
      <c r="Q411" s="498"/>
      <c r="R411" s="498"/>
    </row>
    <row r="412" ht="15.75" customHeight="1">
      <c r="A412" s="502" t="s">
        <v>3246</v>
      </c>
      <c r="B412" s="494" t="s">
        <v>2642</v>
      </c>
      <c r="C412" s="495">
        <v>136245.74</v>
      </c>
      <c r="K412" s="494"/>
      <c r="L412" s="514"/>
      <c r="Q412" s="498"/>
      <c r="R412" s="498"/>
    </row>
    <row r="413" ht="15.75" customHeight="1">
      <c r="A413" s="502" t="s">
        <v>3247</v>
      </c>
      <c r="B413" s="494" t="s">
        <v>2515</v>
      </c>
      <c r="C413" s="495">
        <v>135620.67</v>
      </c>
      <c r="K413" s="494"/>
      <c r="L413" s="514"/>
      <c r="Q413" s="498"/>
      <c r="R413" s="498"/>
    </row>
    <row r="414" ht="15.75" customHeight="1">
      <c r="A414" s="502" t="s">
        <v>3248</v>
      </c>
      <c r="B414" s="494" t="s">
        <v>3249</v>
      </c>
      <c r="C414" s="495">
        <v>135151.28</v>
      </c>
      <c r="K414" s="494"/>
      <c r="L414" s="514"/>
      <c r="Q414" s="498"/>
      <c r="R414" s="498"/>
    </row>
    <row r="415" ht="15.75" customHeight="1">
      <c r="A415" s="502" t="s">
        <v>3251</v>
      </c>
      <c r="B415" s="494" t="s">
        <v>3252</v>
      </c>
      <c r="C415" s="495">
        <v>135125.85</v>
      </c>
      <c r="K415" s="494"/>
      <c r="L415" s="514"/>
      <c r="Q415" s="498"/>
      <c r="R415" s="498"/>
    </row>
    <row r="416" ht="15.75" customHeight="1">
      <c r="A416" s="502" t="s">
        <v>3254</v>
      </c>
      <c r="B416" s="494" t="s">
        <v>2920</v>
      </c>
      <c r="C416" s="495">
        <v>133680.66</v>
      </c>
      <c r="K416" s="494"/>
      <c r="L416" s="514"/>
      <c r="Q416" s="498"/>
      <c r="R416" s="498"/>
    </row>
    <row r="417" ht="15.75" customHeight="1">
      <c r="A417" s="502" t="s">
        <v>1952</v>
      </c>
      <c r="B417" s="494" t="s">
        <v>3256</v>
      </c>
      <c r="C417" s="495">
        <v>132694.62</v>
      </c>
      <c r="K417" s="494"/>
      <c r="L417" s="514"/>
      <c r="Q417" s="498"/>
      <c r="R417" s="498"/>
    </row>
    <row r="418" ht="15.75" customHeight="1">
      <c r="A418" s="502" t="s">
        <v>1510</v>
      </c>
      <c r="B418" s="494" t="s">
        <v>3257</v>
      </c>
      <c r="C418" s="495">
        <v>132469.35</v>
      </c>
      <c r="K418" s="494"/>
      <c r="L418" s="514"/>
      <c r="Q418" s="498"/>
      <c r="R418" s="498"/>
    </row>
    <row r="419" ht="15.75" customHeight="1">
      <c r="A419" s="502" t="s">
        <v>3258</v>
      </c>
      <c r="B419" s="494" t="s">
        <v>2693</v>
      </c>
      <c r="C419" s="495">
        <v>131299.94</v>
      </c>
      <c r="K419" s="494"/>
      <c r="L419" s="514"/>
      <c r="Q419" s="498"/>
      <c r="R419" s="498"/>
    </row>
    <row r="420" ht="15.75" customHeight="1">
      <c r="A420" s="502" t="s">
        <v>3259</v>
      </c>
      <c r="B420" s="494" t="s">
        <v>3260</v>
      </c>
      <c r="C420" s="495">
        <v>130265.7</v>
      </c>
      <c r="K420" s="494"/>
      <c r="L420" s="514"/>
      <c r="Q420" s="498"/>
      <c r="R420" s="498"/>
    </row>
    <row r="421" ht="15.75" customHeight="1">
      <c r="A421" s="502" t="s">
        <v>3262</v>
      </c>
      <c r="B421" s="494" t="s">
        <v>2712</v>
      </c>
      <c r="C421" s="495">
        <v>129054.34</v>
      </c>
      <c r="K421" s="494"/>
      <c r="L421" s="514"/>
      <c r="Q421" s="498"/>
      <c r="R421" s="498"/>
    </row>
    <row r="422" ht="15.75" customHeight="1">
      <c r="A422" s="502" t="s">
        <v>3263</v>
      </c>
      <c r="B422" s="494" t="s">
        <v>2776</v>
      </c>
      <c r="C422" s="495">
        <v>127575.68</v>
      </c>
      <c r="K422" s="494"/>
      <c r="L422" s="514"/>
      <c r="Q422" s="498"/>
      <c r="R422" s="498"/>
    </row>
    <row r="423" ht="15.75" customHeight="1">
      <c r="A423" s="502" t="s">
        <v>3264</v>
      </c>
      <c r="B423" s="494" t="s">
        <v>2649</v>
      </c>
      <c r="C423" s="495">
        <v>126403.63</v>
      </c>
      <c r="K423" s="494"/>
      <c r="L423" s="514"/>
      <c r="Q423" s="498"/>
      <c r="R423" s="498"/>
    </row>
    <row r="424" ht="15.75" customHeight="1">
      <c r="A424" s="502" t="s">
        <v>3265</v>
      </c>
      <c r="B424" s="494" t="s">
        <v>2613</v>
      </c>
      <c r="C424" s="495">
        <v>126317.16</v>
      </c>
      <c r="K424" s="494"/>
      <c r="L424" s="514"/>
      <c r="Q424" s="498"/>
      <c r="R424" s="498"/>
    </row>
    <row r="425" ht="15.75" customHeight="1">
      <c r="A425" s="502" t="s">
        <v>3266</v>
      </c>
      <c r="B425" s="494" t="s">
        <v>2737</v>
      </c>
      <c r="C425" s="495">
        <v>124373.38</v>
      </c>
      <c r="K425" s="494"/>
      <c r="L425" s="514"/>
      <c r="Q425" s="498"/>
      <c r="R425" s="498"/>
    </row>
    <row r="426" ht="15.75" customHeight="1">
      <c r="A426" s="502" t="s">
        <v>3267</v>
      </c>
      <c r="B426" s="494" t="s">
        <v>2950</v>
      </c>
      <c r="C426" s="495">
        <v>124244.6</v>
      </c>
      <c r="K426" s="494"/>
      <c r="L426" s="514"/>
      <c r="Q426" s="498"/>
      <c r="R426" s="498"/>
    </row>
    <row r="427" ht="15.75" customHeight="1">
      <c r="A427" s="502" t="s">
        <v>986</v>
      </c>
      <c r="B427" s="494" t="s">
        <v>2936</v>
      </c>
      <c r="C427" s="495">
        <v>122978.6</v>
      </c>
      <c r="K427" s="494"/>
      <c r="L427" s="514"/>
      <c r="Q427" s="498"/>
      <c r="R427" s="498"/>
    </row>
    <row r="428" ht="15.75" customHeight="1">
      <c r="A428" s="502" t="s">
        <v>3268</v>
      </c>
      <c r="B428" s="494" t="s">
        <v>3269</v>
      </c>
      <c r="C428" s="495">
        <v>121733.69</v>
      </c>
      <c r="K428" s="494"/>
      <c r="L428" s="514"/>
      <c r="Q428" s="498"/>
      <c r="R428" s="498"/>
    </row>
    <row r="429" ht="15.75" customHeight="1">
      <c r="A429" s="502" t="s">
        <v>3270</v>
      </c>
      <c r="B429" s="494" t="s">
        <v>3271</v>
      </c>
      <c r="C429" s="495">
        <v>120364.96</v>
      </c>
      <c r="K429" s="494"/>
      <c r="L429" s="514"/>
      <c r="Q429" s="498"/>
      <c r="R429" s="498"/>
    </row>
    <row r="430" ht="15.75" customHeight="1">
      <c r="A430" s="502" t="s">
        <v>1922</v>
      </c>
      <c r="B430" s="494" t="s">
        <v>2783</v>
      </c>
      <c r="C430" s="495">
        <v>120270.81</v>
      </c>
      <c r="K430" s="494"/>
      <c r="L430" s="514"/>
      <c r="Q430" s="498"/>
      <c r="R430" s="498"/>
    </row>
    <row r="431" ht="15.75" customHeight="1">
      <c r="A431" s="502" t="s">
        <v>3272</v>
      </c>
      <c r="B431" s="494" t="s">
        <v>3273</v>
      </c>
      <c r="C431" s="495">
        <v>119353.01</v>
      </c>
      <c r="K431" s="494"/>
      <c r="L431" s="514"/>
      <c r="Q431" s="498"/>
      <c r="R431" s="498"/>
    </row>
    <row r="432" ht="15.75" customHeight="1">
      <c r="A432" s="502" t="s">
        <v>3274</v>
      </c>
      <c r="B432" s="494" t="s">
        <v>297</v>
      </c>
      <c r="C432" s="495">
        <v>118042.38</v>
      </c>
      <c r="K432" s="494"/>
      <c r="L432" s="514"/>
      <c r="Q432" s="498"/>
      <c r="R432" s="498"/>
    </row>
    <row r="433" ht="15.75" customHeight="1">
      <c r="A433" s="502" t="s">
        <v>3275</v>
      </c>
      <c r="B433" s="494" t="s">
        <v>3276</v>
      </c>
      <c r="C433" s="495">
        <v>117329.53</v>
      </c>
      <c r="K433" s="494"/>
      <c r="L433" s="514"/>
      <c r="Q433" s="498"/>
      <c r="R433" s="498"/>
    </row>
    <row r="434" ht="15.75" customHeight="1">
      <c r="A434" s="502" t="s">
        <v>3277</v>
      </c>
      <c r="B434" s="494" t="s">
        <v>3216</v>
      </c>
      <c r="C434" s="495">
        <v>117084.14</v>
      </c>
      <c r="K434" s="494"/>
      <c r="L434" s="514"/>
      <c r="Q434" s="498"/>
      <c r="R434" s="498"/>
    </row>
    <row r="435" ht="15.75" customHeight="1">
      <c r="A435" s="502" t="s">
        <v>3278</v>
      </c>
      <c r="B435" s="494" t="s">
        <v>2556</v>
      </c>
      <c r="C435" s="495">
        <v>116694.76</v>
      </c>
      <c r="K435" s="494"/>
      <c r="L435" s="514"/>
      <c r="Q435" s="498"/>
      <c r="R435" s="498"/>
    </row>
    <row r="436" ht="15.75" customHeight="1">
      <c r="A436" s="502" t="s">
        <v>3279</v>
      </c>
      <c r="B436" s="494" t="s">
        <v>3280</v>
      </c>
      <c r="C436" s="495">
        <v>114907.47</v>
      </c>
      <c r="K436" s="494"/>
      <c r="L436" s="514"/>
      <c r="Q436" s="498"/>
      <c r="R436" s="498"/>
    </row>
    <row r="437" ht="15.75" customHeight="1">
      <c r="A437" s="502" t="s">
        <v>806</v>
      </c>
      <c r="B437" s="494" t="s">
        <v>2583</v>
      </c>
      <c r="C437" s="495">
        <v>114440.98</v>
      </c>
      <c r="K437" s="494"/>
      <c r="L437" s="514"/>
      <c r="Q437" s="498"/>
      <c r="R437" s="498"/>
    </row>
    <row r="438" ht="15.75" customHeight="1">
      <c r="A438" s="502" t="s">
        <v>3284</v>
      </c>
      <c r="B438" s="494" t="s">
        <v>2469</v>
      </c>
      <c r="C438" s="495">
        <v>114395.81</v>
      </c>
      <c r="K438" s="494"/>
      <c r="L438" s="514"/>
      <c r="Q438" s="498"/>
      <c r="R438" s="498"/>
    </row>
    <row r="439" ht="15.75" customHeight="1">
      <c r="A439" s="502" t="s">
        <v>3285</v>
      </c>
      <c r="B439" s="494" t="s">
        <v>3286</v>
      </c>
      <c r="C439" s="495">
        <v>114325.29</v>
      </c>
      <c r="K439" s="494"/>
      <c r="L439" s="514"/>
      <c r="Q439" s="498"/>
      <c r="R439" s="498"/>
    </row>
    <row r="440" ht="15.75" customHeight="1">
      <c r="A440" s="502" t="s">
        <v>3287</v>
      </c>
      <c r="B440" s="494" t="s">
        <v>829</v>
      </c>
      <c r="C440" s="495">
        <v>113274.06</v>
      </c>
      <c r="K440" s="494"/>
      <c r="L440" s="514"/>
      <c r="Q440" s="498"/>
      <c r="R440" s="498"/>
    </row>
    <row r="441" ht="15.75" customHeight="1">
      <c r="A441" s="502" t="s">
        <v>3288</v>
      </c>
      <c r="B441" s="494" t="s">
        <v>3289</v>
      </c>
      <c r="C441" s="495">
        <v>112659.79</v>
      </c>
      <c r="K441" s="494"/>
      <c r="L441" s="514"/>
      <c r="Q441" s="498"/>
      <c r="R441" s="498"/>
    </row>
    <row r="442" ht="15.75" customHeight="1">
      <c r="A442" s="502" t="s">
        <v>3290</v>
      </c>
      <c r="B442" s="494" t="s">
        <v>2559</v>
      </c>
      <c r="C442" s="495">
        <v>112168.17</v>
      </c>
      <c r="K442" s="494"/>
      <c r="L442" s="514"/>
      <c r="Q442" s="498"/>
      <c r="R442" s="498"/>
    </row>
    <row r="443" ht="15.75" customHeight="1">
      <c r="A443" s="502" t="s">
        <v>3291</v>
      </c>
      <c r="B443" s="494" t="s">
        <v>2666</v>
      </c>
      <c r="C443" s="495">
        <v>110078.43</v>
      </c>
      <c r="K443" s="494"/>
      <c r="L443" s="514"/>
      <c r="Q443" s="498"/>
      <c r="R443" s="498"/>
    </row>
    <row r="444" ht="15.75" customHeight="1">
      <c r="A444" s="502" t="s">
        <v>3295</v>
      </c>
      <c r="B444" s="494" t="s">
        <v>3296</v>
      </c>
      <c r="C444" s="495">
        <v>109147.02</v>
      </c>
      <c r="K444" s="494"/>
      <c r="L444" s="514"/>
      <c r="Q444" s="498"/>
      <c r="R444" s="498"/>
    </row>
    <row r="445" ht="15.75" customHeight="1">
      <c r="A445" s="502" t="s">
        <v>851</v>
      </c>
      <c r="B445" s="494" t="s">
        <v>2868</v>
      </c>
      <c r="C445" s="495">
        <v>109077.68</v>
      </c>
      <c r="K445" s="494"/>
      <c r="L445" s="514"/>
      <c r="Q445" s="498"/>
      <c r="R445" s="498"/>
    </row>
    <row r="446" ht="15.75" customHeight="1">
      <c r="A446" s="502" t="s">
        <v>3297</v>
      </c>
      <c r="B446" s="494" t="s">
        <v>3298</v>
      </c>
      <c r="C446" s="495">
        <v>107385.42</v>
      </c>
      <c r="K446" s="494"/>
      <c r="L446" s="514"/>
      <c r="Q446" s="498"/>
      <c r="R446" s="498"/>
    </row>
    <row r="447" ht="15.75" customHeight="1">
      <c r="A447" s="502" t="s">
        <v>3300</v>
      </c>
      <c r="B447" s="494" t="s">
        <v>3301</v>
      </c>
      <c r="C447" s="495">
        <v>107013.44</v>
      </c>
      <c r="K447" s="494"/>
      <c r="L447" s="514"/>
      <c r="Q447" s="498"/>
      <c r="R447" s="498"/>
    </row>
    <row r="448" ht="15.75" customHeight="1">
      <c r="A448" s="502" t="s">
        <v>3302</v>
      </c>
      <c r="B448" s="494" t="s">
        <v>2542</v>
      </c>
      <c r="C448" s="495">
        <v>105653.25</v>
      </c>
      <c r="K448" s="494"/>
      <c r="L448" s="514"/>
      <c r="Q448" s="498"/>
      <c r="R448" s="498"/>
    </row>
    <row r="449" ht="15.75" customHeight="1">
      <c r="A449" s="502" t="s">
        <v>2233</v>
      </c>
      <c r="B449" s="494" t="s">
        <v>3303</v>
      </c>
      <c r="C449" s="495">
        <v>104468.27</v>
      </c>
      <c r="K449" s="494"/>
      <c r="L449" s="514"/>
      <c r="Q449" s="498"/>
      <c r="R449" s="498"/>
    </row>
    <row r="450" ht="15.75" customHeight="1">
      <c r="A450" s="502" t="s">
        <v>3306</v>
      </c>
      <c r="B450" s="494" t="s">
        <v>3307</v>
      </c>
      <c r="C450" s="495">
        <v>104274.38</v>
      </c>
      <c r="K450" s="494"/>
      <c r="L450" s="514"/>
      <c r="Q450" s="498"/>
      <c r="R450" s="498"/>
    </row>
    <row r="451" ht="15.75" customHeight="1">
      <c r="A451" s="502" t="s">
        <v>3308</v>
      </c>
      <c r="B451" s="494" t="s">
        <v>3309</v>
      </c>
      <c r="C451" s="495">
        <v>104133.63</v>
      </c>
      <c r="K451" s="494"/>
      <c r="L451" s="514"/>
      <c r="Q451" s="498"/>
      <c r="R451" s="498"/>
    </row>
    <row r="452" ht="15.75" customHeight="1">
      <c r="A452" s="502" t="s">
        <v>3310</v>
      </c>
      <c r="B452" s="494" t="s">
        <v>2611</v>
      </c>
      <c r="C452" s="495">
        <v>104085.89</v>
      </c>
      <c r="K452" s="494"/>
      <c r="L452" s="514"/>
      <c r="Q452" s="498"/>
      <c r="R452" s="498"/>
    </row>
    <row r="453" ht="15.75" customHeight="1">
      <c r="A453" s="502" t="s">
        <v>3311</v>
      </c>
      <c r="B453" s="494" t="s">
        <v>3116</v>
      </c>
      <c r="C453" s="495">
        <v>103542.98</v>
      </c>
      <c r="F453" s="530"/>
      <c r="K453" s="494"/>
      <c r="L453" s="514"/>
      <c r="Q453" s="498"/>
      <c r="R453" s="498"/>
    </row>
    <row r="454" ht="15.75" customHeight="1">
      <c r="A454" s="502" t="s">
        <v>3313</v>
      </c>
      <c r="B454" s="494" t="s">
        <v>3314</v>
      </c>
      <c r="C454" s="495">
        <v>103400.65</v>
      </c>
      <c r="K454" s="494"/>
      <c r="L454" s="514"/>
      <c r="Q454" s="498"/>
      <c r="R454" s="498"/>
    </row>
    <row r="455" ht="15.75" customHeight="1">
      <c r="A455" s="502" t="s">
        <v>3315</v>
      </c>
      <c r="B455" s="494" t="s">
        <v>2683</v>
      </c>
      <c r="C455" s="495">
        <v>103375.14</v>
      </c>
      <c r="K455" s="494"/>
      <c r="L455" s="514"/>
      <c r="Q455" s="498"/>
      <c r="R455" s="498"/>
    </row>
    <row r="456" ht="15.75" customHeight="1">
      <c r="A456" s="502" t="s">
        <v>2609</v>
      </c>
      <c r="B456" s="494" t="s">
        <v>3316</v>
      </c>
      <c r="C456" s="495">
        <v>103219.82</v>
      </c>
      <c r="K456" s="494"/>
      <c r="L456" s="514"/>
      <c r="Q456" s="498"/>
      <c r="R456" s="498"/>
    </row>
    <row r="457" ht="15.75" customHeight="1">
      <c r="A457" s="502" t="s">
        <v>3317</v>
      </c>
      <c r="B457" s="494" t="s">
        <v>2847</v>
      </c>
      <c r="C457" s="495">
        <v>102141.59</v>
      </c>
      <c r="K457" s="494"/>
      <c r="L457" s="514"/>
      <c r="Q457" s="498"/>
      <c r="R457" s="498"/>
    </row>
    <row r="458" ht="15.75" customHeight="1">
      <c r="A458" s="502" t="s">
        <v>3318</v>
      </c>
      <c r="B458" s="494" t="s">
        <v>3319</v>
      </c>
      <c r="C458" s="495">
        <v>101861.19</v>
      </c>
      <c r="K458" s="494"/>
      <c r="L458" s="514"/>
      <c r="Q458" s="498"/>
      <c r="R458" s="498"/>
    </row>
    <row r="459" ht="15.75" customHeight="1">
      <c r="A459" s="502" t="s">
        <v>3322</v>
      </c>
      <c r="B459" s="494" t="s">
        <v>3195</v>
      </c>
      <c r="C459" s="495">
        <v>101727.24</v>
      </c>
      <c r="K459" s="494"/>
      <c r="L459" s="514"/>
      <c r="Q459" s="498"/>
      <c r="R459" s="498"/>
    </row>
    <row r="460" ht="15.75" customHeight="1">
      <c r="A460" s="502" t="s">
        <v>3323</v>
      </c>
      <c r="B460" s="494" t="s">
        <v>2668</v>
      </c>
      <c r="C460" s="495">
        <v>101459.23</v>
      </c>
      <c r="K460" s="494"/>
      <c r="L460" s="514"/>
      <c r="Q460" s="498"/>
      <c r="R460" s="498"/>
    </row>
    <row r="461" ht="15.75" customHeight="1">
      <c r="A461" s="502" t="s">
        <v>2166</v>
      </c>
      <c r="B461" s="494" t="s">
        <v>3324</v>
      </c>
      <c r="C461" s="495">
        <v>100000.0</v>
      </c>
      <c r="K461" s="494"/>
      <c r="L461" s="514"/>
      <c r="Q461" s="498"/>
      <c r="R461" s="498"/>
    </row>
    <row r="462" ht="15.75" customHeight="1">
      <c r="A462" s="502" t="s">
        <v>3325</v>
      </c>
      <c r="B462" s="494" t="s">
        <v>3326</v>
      </c>
      <c r="C462" s="495">
        <v>97082.16</v>
      </c>
      <c r="K462" s="494"/>
      <c r="L462" s="514"/>
      <c r="Q462" s="498"/>
      <c r="R462" s="498"/>
    </row>
    <row r="463" ht="15.75" customHeight="1">
      <c r="A463" s="502" t="s">
        <v>3327</v>
      </c>
      <c r="B463" s="494" t="s">
        <v>3328</v>
      </c>
      <c r="C463" s="495">
        <v>96204.1</v>
      </c>
      <c r="K463" s="494"/>
      <c r="L463" s="514"/>
      <c r="Q463" s="498"/>
      <c r="R463" s="498"/>
    </row>
    <row r="464" ht="15.75" customHeight="1">
      <c r="A464" s="502" t="s">
        <v>3329</v>
      </c>
      <c r="B464" s="494" t="s">
        <v>2473</v>
      </c>
      <c r="C464" s="495">
        <v>95768.98</v>
      </c>
      <c r="K464" s="494"/>
      <c r="L464" s="514"/>
      <c r="Q464" s="498"/>
      <c r="R464" s="498"/>
    </row>
    <row r="465" ht="15.75" customHeight="1">
      <c r="A465" s="502" t="s">
        <v>3332</v>
      </c>
      <c r="B465" s="494" t="s">
        <v>3333</v>
      </c>
      <c r="C465" s="495">
        <v>94291.94</v>
      </c>
      <c r="K465" s="494"/>
      <c r="L465" s="514"/>
      <c r="Q465" s="498"/>
      <c r="R465" s="498"/>
    </row>
    <row r="466" ht="15.75" customHeight="1">
      <c r="A466" s="502" t="s">
        <v>3335</v>
      </c>
      <c r="B466" s="494" t="s">
        <v>3336</v>
      </c>
      <c r="C466" s="495">
        <v>93941.02</v>
      </c>
      <c r="K466" s="494"/>
      <c r="L466" s="514"/>
      <c r="Q466" s="498"/>
      <c r="R466" s="498"/>
    </row>
    <row r="467" ht="15.75" customHeight="1">
      <c r="A467" s="502" t="s">
        <v>1335</v>
      </c>
      <c r="B467" s="494" t="s">
        <v>2960</v>
      </c>
      <c r="C467" s="495">
        <v>93462.28</v>
      </c>
      <c r="K467" s="494"/>
      <c r="L467" s="514"/>
      <c r="Q467" s="498"/>
      <c r="R467" s="498"/>
    </row>
    <row r="468" ht="15.75" customHeight="1">
      <c r="A468" s="502" t="s">
        <v>3339</v>
      </c>
      <c r="B468" s="494" t="s">
        <v>2611</v>
      </c>
      <c r="C468" s="495">
        <v>92037.92</v>
      </c>
      <c r="K468" s="494"/>
      <c r="L468" s="514"/>
      <c r="Q468" s="498"/>
      <c r="R468" s="498"/>
    </row>
    <row r="469" ht="15.75" customHeight="1">
      <c r="A469" s="502" t="s">
        <v>3340</v>
      </c>
      <c r="B469" s="494" t="s">
        <v>3341</v>
      </c>
      <c r="C469" s="495">
        <v>90694.98</v>
      </c>
      <c r="K469" s="494"/>
      <c r="L469" s="514"/>
      <c r="Q469" s="498"/>
      <c r="R469" s="498"/>
    </row>
    <row r="470" ht="15.75" customHeight="1">
      <c r="A470" s="502" t="s">
        <v>3342</v>
      </c>
      <c r="B470" s="494" t="s">
        <v>3343</v>
      </c>
      <c r="C470" s="495">
        <v>89853.96</v>
      </c>
      <c r="K470" s="494"/>
      <c r="L470" s="514"/>
      <c r="Q470" s="498"/>
      <c r="R470" s="498"/>
    </row>
    <row r="471" ht="15.75" customHeight="1">
      <c r="A471" s="502" t="s">
        <v>2178</v>
      </c>
      <c r="B471" s="494" t="s">
        <v>3345</v>
      </c>
      <c r="C471" s="495">
        <v>89535.91</v>
      </c>
      <c r="K471" s="494"/>
      <c r="L471" s="514"/>
      <c r="Q471" s="498"/>
      <c r="R471" s="498"/>
    </row>
    <row r="472" ht="15.75" customHeight="1">
      <c r="A472" s="502" t="s">
        <v>3346</v>
      </c>
      <c r="B472" s="494" t="s">
        <v>3347</v>
      </c>
      <c r="C472" s="495">
        <v>88978.44</v>
      </c>
      <c r="K472" s="494"/>
      <c r="L472" s="514"/>
      <c r="Q472" s="498"/>
      <c r="R472" s="498"/>
    </row>
    <row r="473" ht="15.75" customHeight="1">
      <c r="A473" s="502" t="s">
        <v>3349</v>
      </c>
      <c r="B473" s="494" t="s">
        <v>2776</v>
      </c>
      <c r="C473" s="495">
        <v>88932.82</v>
      </c>
      <c r="K473" s="494"/>
      <c r="L473" s="514"/>
      <c r="Q473" s="498"/>
      <c r="R473" s="498"/>
    </row>
    <row r="474" ht="15.75" customHeight="1">
      <c r="A474" s="502" t="s">
        <v>2443</v>
      </c>
      <c r="B474" s="494" t="s">
        <v>120</v>
      </c>
      <c r="C474" s="495">
        <v>88895.34</v>
      </c>
      <c r="K474" s="494"/>
      <c r="L474" s="514"/>
      <c r="Q474" s="498"/>
      <c r="R474" s="498"/>
    </row>
    <row r="475" ht="15.75" customHeight="1">
      <c r="A475" s="502" t="s">
        <v>3351</v>
      </c>
      <c r="B475" s="494" t="s">
        <v>2596</v>
      </c>
      <c r="C475" s="495">
        <v>88853.18</v>
      </c>
      <c r="K475" s="494"/>
      <c r="L475" s="514"/>
      <c r="Q475" s="498"/>
      <c r="R475" s="498"/>
    </row>
    <row r="476" ht="15.75" customHeight="1">
      <c r="A476" s="502" t="s">
        <v>3353</v>
      </c>
      <c r="B476" s="494" t="s">
        <v>3354</v>
      </c>
      <c r="C476" s="495">
        <v>87136.24</v>
      </c>
      <c r="K476" s="494"/>
      <c r="L476" s="514"/>
      <c r="Q476" s="498"/>
      <c r="R476" s="498"/>
    </row>
    <row r="477" ht="15.75" customHeight="1">
      <c r="A477" s="502" t="s">
        <v>3356</v>
      </c>
      <c r="B477" s="494" t="s">
        <v>2481</v>
      </c>
      <c r="C477" s="495">
        <v>86414.86</v>
      </c>
      <c r="K477" s="494"/>
      <c r="L477" s="514"/>
      <c r="Q477" s="498"/>
      <c r="R477" s="498"/>
    </row>
    <row r="478" ht="15.75" customHeight="1">
      <c r="A478" s="502" t="s">
        <v>2524</v>
      </c>
      <c r="B478" s="494" t="s">
        <v>905</v>
      </c>
      <c r="C478" s="495">
        <v>85985.38</v>
      </c>
      <c r="K478" s="494"/>
      <c r="L478" s="514"/>
      <c r="Q478" s="498"/>
      <c r="R478" s="498"/>
    </row>
    <row r="479" ht="15.75" customHeight="1">
      <c r="A479" s="502" t="s">
        <v>3357</v>
      </c>
      <c r="B479" s="494" t="s">
        <v>3358</v>
      </c>
      <c r="C479" s="495">
        <v>85760.24</v>
      </c>
      <c r="K479" s="494"/>
      <c r="L479" s="514"/>
      <c r="Q479" s="498"/>
      <c r="R479" s="498"/>
    </row>
    <row r="480" ht="15.75" customHeight="1">
      <c r="A480" s="502" t="s">
        <v>3359</v>
      </c>
      <c r="B480" s="494" t="s">
        <v>2651</v>
      </c>
      <c r="C480" s="495">
        <v>84853.03</v>
      </c>
      <c r="K480" s="494"/>
      <c r="L480" s="514"/>
      <c r="Q480" s="498"/>
      <c r="R480" s="498"/>
    </row>
    <row r="481" ht="15.75" customHeight="1">
      <c r="A481" s="502" t="s">
        <v>3362</v>
      </c>
      <c r="B481" s="494" t="s">
        <v>2705</v>
      </c>
      <c r="C481" s="495">
        <v>82745.18</v>
      </c>
      <c r="K481" s="494"/>
      <c r="L481" s="514"/>
      <c r="Q481" s="498"/>
      <c r="R481" s="498"/>
    </row>
    <row r="482" ht="15.75" customHeight="1">
      <c r="A482" s="502" t="s">
        <v>3363</v>
      </c>
      <c r="B482" s="494" t="s">
        <v>3328</v>
      </c>
      <c r="C482" s="495">
        <v>81408.32</v>
      </c>
      <c r="K482" s="494"/>
      <c r="L482" s="514"/>
      <c r="Q482" s="498"/>
      <c r="R482" s="498"/>
    </row>
    <row r="483" ht="15.75" customHeight="1">
      <c r="A483" s="502" t="s">
        <v>3364</v>
      </c>
      <c r="B483" s="494" t="s">
        <v>3365</v>
      </c>
      <c r="C483" s="495">
        <v>80845.53</v>
      </c>
      <c r="K483" s="494"/>
      <c r="L483" s="514"/>
      <c r="Q483" s="498"/>
      <c r="R483" s="498"/>
    </row>
    <row r="484" ht="15.75" customHeight="1">
      <c r="A484" s="502" t="s">
        <v>3366</v>
      </c>
      <c r="B484" s="494" t="s">
        <v>3367</v>
      </c>
      <c r="C484" s="495">
        <v>79885.4</v>
      </c>
      <c r="K484" s="494"/>
      <c r="L484" s="514"/>
      <c r="Q484" s="498"/>
      <c r="R484" s="498"/>
    </row>
    <row r="485" ht="15.75" customHeight="1">
      <c r="A485" s="502" t="s">
        <v>3369</v>
      </c>
      <c r="B485" s="494" t="s">
        <v>2559</v>
      </c>
      <c r="C485" s="495">
        <v>79879.08</v>
      </c>
      <c r="K485" s="494"/>
      <c r="L485" s="514"/>
      <c r="Q485" s="498"/>
      <c r="R485" s="498"/>
    </row>
    <row r="486" ht="15.75" customHeight="1">
      <c r="A486" s="502" t="s">
        <v>3372</v>
      </c>
      <c r="B486" s="494" t="s">
        <v>3373</v>
      </c>
      <c r="C486" s="495">
        <v>78040.37</v>
      </c>
      <c r="K486" s="494"/>
      <c r="L486" s="514"/>
      <c r="Q486" s="498"/>
      <c r="R486" s="498"/>
    </row>
    <row r="487" ht="15.75" customHeight="1">
      <c r="A487" s="502" t="s">
        <v>3375</v>
      </c>
      <c r="B487" s="494" t="s">
        <v>3376</v>
      </c>
      <c r="C487" s="495">
        <v>77906.31</v>
      </c>
      <c r="K487" s="494"/>
      <c r="L487" s="514"/>
      <c r="Q487" s="498"/>
      <c r="R487" s="498"/>
    </row>
    <row r="488" ht="15.75" customHeight="1">
      <c r="A488" s="502" t="s">
        <v>3377</v>
      </c>
      <c r="B488" s="494" t="s">
        <v>3221</v>
      </c>
      <c r="C488" s="495">
        <v>77795.33</v>
      </c>
      <c r="K488" s="494"/>
      <c r="L488" s="514"/>
      <c r="Q488" s="498"/>
      <c r="R488" s="498"/>
    </row>
    <row r="489" ht="15.75" customHeight="1">
      <c r="A489" s="502" t="s">
        <v>3378</v>
      </c>
      <c r="B489" s="494" t="s">
        <v>3379</v>
      </c>
      <c r="C489" s="495">
        <v>77445.47</v>
      </c>
      <c r="K489" s="494"/>
      <c r="L489" s="514"/>
      <c r="Q489" s="498"/>
      <c r="R489" s="498"/>
    </row>
    <row r="490" ht="15.75" customHeight="1">
      <c r="A490" s="502" t="s">
        <v>1596</v>
      </c>
      <c r="B490" s="494" t="s">
        <v>2689</v>
      </c>
      <c r="C490" s="495">
        <v>76620.54</v>
      </c>
      <c r="K490" s="494"/>
      <c r="L490" s="514"/>
      <c r="Q490" s="498"/>
      <c r="R490" s="498"/>
    </row>
    <row r="491" ht="15.75" customHeight="1">
      <c r="A491" s="502" t="s">
        <v>3381</v>
      </c>
      <c r="B491" s="494" t="s">
        <v>3382</v>
      </c>
      <c r="C491" s="495">
        <v>75688.3</v>
      </c>
      <c r="K491" s="494"/>
      <c r="L491" s="514"/>
      <c r="Q491" s="498"/>
      <c r="R491" s="498"/>
    </row>
    <row r="492" ht="15.75" customHeight="1">
      <c r="A492" s="502" t="s">
        <v>3384</v>
      </c>
      <c r="B492" s="494" t="s">
        <v>2705</v>
      </c>
      <c r="C492" s="495">
        <v>75217.45</v>
      </c>
      <c r="K492" s="494"/>
      <c r="L492" s="514"/>
      <c r="Q492" s="498"/>
      <c r="R492" s="498"/>
    </row>
    <row r="493" ht="15.75" customHeight="1">
      <c r="A493" s="502" t="s">
        <v>3385</v>
      </c>
      <c r="B493" s="494" t="s">
        <v>297</v>
      </c>
      <c r="C493" s="495">
        <v>74770.95</v>
      </c>
      <c r="K493" s="494"/>
      <c r="L493" s="514"/>
      <c r="Q493" s="498"/>
      <c r="R493" s="498"/>
    </row>
    <row r="494" ht="15.75" customHeight="1">
      <c r="A494" s="502" t="s">
        <v>3386</v>
      </c>
      <c r="B494" s="494" t="s">
        <v>3122</v>
      </c>
      <c r="C494" s="495">
        <v>74378.73</v>
      </c>
      <c r="K494" s="494"/>
      <c r="L494" s="514"/>
      <c r="Q494" s="498"/>
      <c r="R494" s="498"/>
    </row>
    <row r="495" ht="15.75" customHeight="1">
      <c r="A495" s="502" t="s">
        <v>3387</v>
      </c>
      <c r="B495" s="494" t="s">
        <v>3388</v>
      </c>
      <c r="C495" s="495">
        <v>73006.39</v>
      </c>
      <c r="K495" s="494"/>
      <c r="L495" s="514"/>
      <c r="Q495" s="498"/>
      <c r="R495" s="498"/>
    </row>
    <row r="496" ht="15.75" customHeight="1">
      <c r="A496" s="502" t="s">
        <v>3389</v>
      </c>
      <c r="B496" s="494" t="s">
        <v>2632</v>
      </c>
      <c r="C496" s="495">
        <v>72962.46</v>
      </c>
      <c r="K496" s="494"/>
      <c r="L496" s="514"/>
      <c r="Q496" s="498"/>
      <c r="R496" s="498"/>
    </row>
    <row r="497" ht="15.75" customHeight="1">
      <c r="A497" s="502" t="s">
        <v>3390</v>
      </c>
      <c r="B497" s="494" t="s">
        <v>3391</v>
      </c>
      <c r="C497" s="495">
        <v>70986.47</v>
      </c>
      <c r="K497" s="494"/>
      <c r="L497" s="514"/>
      <c r="Q497" s="498"/>
      <c r="R497" s="498"/>
    </row>
    <row r="498" ht="15.75" customHeight="1">
      <c r="A498" s="502" t="s">
        <v>3392</v>
      </c>
      <c r="B498" s="494" t="s">
        <v>3393</v>
      </c>
      <c r="C498" s="495">
        <v>70725.06</v>
      </c>
      <c r="K498" s="494"/>
      <c r="L498" s="514"/>
      <c r="Q498" s="498"/>
      <c r="R498" s="498"/>
    </row>
    <row r="499" ht="15.75" customHeight="1">
      <c r="A499" s="502" t="s">
        <v>3395</v>
      </c>
      <c r="B499" s="494" t="s">
        <v>2388</v>
      </c>
      <c r="C499" s="495">
        <v>69690.12</v>
      </c>
      <c r="K499" s="494"/>
      <c r="L499" s="514"/>
      <c r="Q499" s="498"/>
      <c r="R499" s="498"/>
    </row>
    <row r="500" ht="15.75" customHeight="1">
      <c r="A500" s="502" t="s">
        <v>3396</v>
      </c>
      <c r="B500" s="494" t="s">
        <v>3397</v>
      </c>
      <c r="C500" s="495">
        <v>69430.27</v>
      </c>
      <c r="K500" s="494"/>
      <c r="L500" s="514"/>
      <c r="Q500" s="498"/>
      <c r="R500" s="498"/>
    </row>
    <row r="501" ht="15.75" customHeight="1">
      <c r="A501" s="502" t="s">
        <v>3398</v>
      </c>
      <c r="B501" s="494" t="s">
        <v>3399</v>
      </c>
      <c r="C501" s="495">
        <v>67257.83</v>
      </c>
      <c r="K501" s="494"/>
      <c r="L501" s="514"/>
      <c r="Q501" s="498"/>
      <c r="R501" s="498"/>
    </row>
    <row r="502" ht="15.75" customHeight="1">
      <c r="A502" s="502" t="s">
        <v>3400</v>
      </c>
      <c r="B502" s="494" t="s">
        <v>3401</v>
      </c>
      <c r="C502" s="495">
        <v>67210.28</v>
      </c>
      <c r="K502" s="494"/>
      <c r="L502" s="514"/>
      <c r="Q502" s="498"/>
      <c r="R502" s="498"/>
    </row>
    <row r="503" ht="15.75" customHeight="1">
      <c r="A503" s="502" t="s">
        <v>3403</v>
      </c>
      <c r="B503" s="494" t="s">
        <v>3404</v>
      </c>
      <c r="C503" s="495">
        <v>66231.72</v>
      </c>
      <c r="K503" s="494"/>
      <c r="L503" s="514"/>
      <c r="Q503" s="498"/>
      <c r="R503" s="498"/>
    </row>
    <row r="504" ht="15.75" customHeight="1">
      <c r="A504" s="502" t="s">
        <v>3409</v>
      </c>
      <c r="B504" s="494" t="s">
        <v>3410</v>
      </c>
      <c r="C504" s="495">
        <v>65474.16</v>
      </c>
      <c r="K504" s="494"/>
      <c r="L504" s="514"/>
      <c r="Q504" s="498"/>
      <c r="R504" s="498"/>
    </row>
    <row r="505" ht="15.75" customHeight="1">
      <c r="A505" s="502" t="s">
        <v>1841</v>
      </c>
      <c r="B505" s="494" t="s">
        <v>2689</v>
      </c>
      <c r="C505" s="495">
        <v>64774.65</v>
      </c>
      <c r="K505" s="494"/>
      <c r="L505" s="514"/>
      <c r="Q505" s="498"/>
      <c r="R505" s="498"/>
    </row>
    <row r="506" ht="15.75" customHeight="1">
      <c r="A506" s="502" t="s">
        <v>3411</v>
      </c>
      <c r="B506" s="494" t="s">
        <v>3393</v>
      </c>
      <c r="C506" s="495">
        <v>64665.55</v>
      </c>
      <c r="K506" s="494"/>
      <c r="L506" s="514"/>
      <c r="Q506" s="498"/>
      <c r="R506" s="498"/>
    </row>
    <row r="507" ht="15.75" customHeight="1">
      <c r="A507" s="502" t="s">
        <v>3412</v>
      </c>
      <c r="B507" s="494" t="s">
        <v>2768</v>
      </c>
      <c r="C507" s="495">
        <v>64610.66</v>
      </c>
      <c r="K507" s="494"/>
      <c r="L507" s="514"/>
      <c r="Q507" s="498"/>
      <c r="R507" s="498"/>
    </row>
    <row r="508" ht="15.75" customHeight="1">
      <c r="A508" s="502" t="s">
        <v>3413</v>
      </c>
      <c r="B508" s="494" t="s">
        <v>3414</v>
      </c>
      <c r="C508" s="495">
        <v>63739.45</v>
      </c>
      <c r="K508" s="494"/>
      <c r="L508" s="514"/>
      <c r="Q508" s="498"/>
      <c r="R508" s="498"/>
    </row>
    <row r="509" ht="15.75" customHeight="1">
      <c r="A509" s="502" t="s">
        <v>3417</v>
      </c>
      <c r="B509" s="494" t="s">
        <v>3176</v>
      </c>
      <c r="C509" s="495">
        <v>61805.35</v>
      </c>
      <c r="K509" s="494"/>
      <c r="L509" s="514"/>
      <c r="Q509" s="498"/>
      <c r="R509" s="498"/>
    </row>
    <row r="510" ht="15.75" customHeight="1">
      <c r="A510" s="502" t="s">
        <v>3418</v>
      </c>
      <c r="B510" s="494" t="s">
        <v>2388</v>
      </c>
      <c r="C510" s="495">
        <v>61411.18</v>
      </c>
      <c r="K510" s="494"/>
      <c r="L510" s="514"/>
      <c r="Q510" s="498"/>
      <c r="R510" s="498"/>
    </row>
    <row r="511" ht="15.75" customHeight="1">
      <c r="A511" s="502" t="s">
        <v>3419</v>
      </c>
      <c r="B511" s="494" t="s">
        <v>3420</v>
      </c>
      <c r="C511" s="495">
        <v>60864.1</v>
      </c>
      <c r="K511" s="494"/>
      <c r="L511" s="514"/>
      <c r="Q511" s="498"/>
      <c r="R511" s="498"/>
    </row>
    <row r="512" ht="15.75" customHeight="1">
      <c r="A512" s="502" t="s">
        <v>3421</v>
      </c>
      <c r="B512" s="494" t="s">
        <v>2651</v>
      </c>
      <c r="C512" s="495">
        <v>58866.85</v>
      </c>
      <c r="K512" s="494"/>
      <c r="L512" s="514"/>
      <c r="Q512" s="498"/>
      <c r="R512" s="498"/>
    </row>
    <row r="513" ht="15.75" customHeight="1">
      <c r="A513" s="502" t="s">
        <v>3422</v>
      </c>
      <c r="B513" s="494" t="s">
        <v>3423</v>
      </c>
      <c r="C513" s="495">
        <v>57856.23</v>
      </c>
      <c r="K513" s="494"/>
      <c r="L513" s="514"/>
      <c r="Q513" s="498"/>
      <c r="R513" s="498"/>
    </row>
    <row r="514" ht="15.75" customHeight="1">
      <c r="A514" s="502" t="s">
        <v>3424</v>
      </c>
      <c r="B514" s="494" t="s">
        <v>2920</v>
      </c>
      <c r="C514" s="495">
        <v>57378.13</v>
      </c>
      <c r="K514" s="494"/>
      <c r="L514" s="514"/>
      <c r="Q514" s="498"/>
      <c r="R514" s="498"/>
    </row>
    <row r="515" ht="15.75" customHeight="1">
      <c r="A515" s="502" t="s">
        <v>3425</v>
      </c>
      <c r="B515" s="494" t="s">
        <v>3426</v>
      </c>
      <c r="C515" s="495">
        <v>57263.2</v>
      </c>
      <c r="K515" s="494"/>
      <c r="L515" s="514"/>
      <c r="Q515" s="498"/>
      <c r="R515" s="498"/>
    </row>
    <row r="516" ht="15.75" customHeight="1">
      <c r="A516" s="502" t="s">
        <v>3427</v>
      </c>
      <c r="B516" s="494" t="s">
        <v>3428</v>
      </c>
      <c r="C516" s="495">
        <v>57055.28</v>
      </c>
      <c r="K516" s="494"/>
      <c r="L516" s="514"/>
      <c r="Q516" s="498"/>
      <c r="R516" s="498"/>
    </row>
    <row r="517" ht="15.75" customHeight="1">
      <c r="A517" s="502" t="s">
        <v>3429</v>
      </c>
      <c r="B517" s="494" t="s">
        <v>3430</v>
      </c>
      <c r="C517" s="495">
        <v>56910.44</v>
      </c>
      <c r="K517" s="494"/>
      <c r="L517" s="514"/>
      <c r="Q517" s="498"/>
      <c r="R517" s="498"/>
    </row>
    <row r="518" ht="15.75" customHeight="1">
      <c r="A518" s="502" t="s">
        <v>3431</v>
      </c>
      <c r="B518" s="494" t="s">
        <v>2653</v>
      </c>
      <c r="C518" s="495">
        <v>56821.67</v>
      </c>
      <c r="K518" s="494"/>
      <c r="L518" s="514"/>
      <c r="Q518" s="498"/>
      <c r="R518" s="498"/>
    </row>
    <row r="519" ht="15.75" customHeight="1">
      <c r="A519" s="502" t="s">
        <v>3432</v>
      </c>
      <c r="B519" s="494" t="s">
        <v>3433</v>
      </c>
      <c r="C519" s="495">
        <v>56529.2</v>
      </c>
      <c r="K519" s="494"/>
      <c r="L519" s="514"/>
      <c r="Q519" s="498"/>
      <c r="R519" s="498"/>
    </row>
    <row r="520" ht="15.75" customHeight="1">
      <c r="A520" s="502" t="s">
        <v>3434</v>
      </c>
      <c r="B520" s="494" t="s">
        <v>2596</v>
      </c>
      <c r="C520" s="495">
        <v>55523.85</v>
      </c>
      <c r="K520" s="494"/>
      <c r="L520" s="514"/>
      <c r="Q520" s="498"/>
      <c r="R520" s="498"/>
    </row>
    <row r="521" ht="15.75" customHeight="1">
      <c r="A521" s="502" t="s">
        <v>3435</v>
      </c>
      <c r="B521" s="494" t="s">
        <v>2550</v>
      </c>
      <c r="C521" s="495">
        <v>54325.44</v>
      </c>
      <c r="K521" s="494"/>
      <c r="L521" s="514"/>
      <c r="Q521" s="498"/>
      <c r="R521" s="498"/>
    </row>
    <row r="522" ht="15.75" customHeight="1">
      <c r="A522" s="502" t="s">
        <v>3436</v>
      </c>
      <c r="B522" s="494" t="s">
        <v>3437</v>
      </c>
      <c r="C522" s="495">
        <v>54155.36</v>
      </c>
      <c r="K522" s="494"/>
      <c r="L522" s="514"/>
      <c r="Q522" s="498"/>
      <c r="R522" s="498"/>
    </row>
    <row r="523" ht="15.75" customHeight="1">
      <c r="A523" s="502" t="s">
        <v>3439</v>
      </c>
      <c r="B523" s="494" t="s">
        <v>2847</v>
      </c>
      <c r="C523" s="495">
        <v>54089.91</v>
      </c>
      <c r="K523" s="494"/>
      <c r="L523" s="514"/>
      <c r="Q523" s="498"/>
      <c r="R523" s="498"/>
    </row>
    <row r="524" ht="15.75" customHeight="1">
      <c r="A524" s="502" t="s">
        <v>3444</v>
      </c>
      <c r="B524" s="494" t="s">
        <v>3445</v>
      </c>
      <c r="C524" s="495">
        <v>53452.25</v>
      </c>
      <c r="K524" s="494"/>
      <c r="L524" s="514"/>
      <c r="Q524" s="498"/>
      <c r="R524" s="498"/>
    </row>
    <row r="525" ht="15.75" customHeight="1">
      <c r="A525" s="502" t="s">
        <v>3446</v>
      </c>
      <c r="B525" s="494" t="s">
        <v>2783</v>
      </c>
      <c r="C525" s="495">
        <v>53234.65</v>
      </c>
      <c r="K525" s="494"/>
      <c r="L525" s="514"/>
      <c r="Q525" s="498"/>
      <c r="R525" s="498"/>
    </row>
    <row r="526" ht="15.75" customHeight="1">
      <c r="A526" s="502" t="s">
        <v>3447</v>
      </c>
      <c r="B526" s="494" t="s">
        <v>3448</v>
      </c>
      <c r="C526" s="495">
        <v>52244.02</v>
      </c>
      <c r="K526" s="494"/>
      <c r="L526" s="514"/>
      <c r="Q526" s="498"/>
      <c r="R526" s="498"/>
    </row>
    <row r="527" ht="15.75" customHeight="1">
      <c r="A527" s="502" t="s">
        <v>2291</v>
      </c>
      <c r="B527" s="494" t="s">
        <v>3060</v>
      </c>
      <c r="C527" s="495">
        <v>52161.29</v>
      </c>
      <c r="K527" s="494"/>
      <c r="L527" s="514"/>
      <c r="Q527" s="498"/>
      <c r="R527" s="498"/>
    </row>
    <row r="528" ht="15.75" customHeight="1">
      <c r="A528" s="502" t="s">
        <v>1640</v>
      </c>
      <c r="B528" s="494" t="s">
        <v>2689</v>
      </c>
      <c r="C528" s="495">
        <v>51676.5</v>
      </c>
      <c r="K528" s="494"/>
      <c r="L528" s="514"/>
      <c r="Q528" s="498"/>
      <c r="R528" s="498"/>
    </row>
    <row r="529" ht="15.75" customHeight="1">
      <c r="A529" s="502" t="s">
        <v>3451</v>
      </c>
      <c r="B529" s="494" t="s">
        <v>3452</v>
      </c>
      <c r="C529" s="495">
        <v>50509.67</v>
      </c>
      <c r="K529" s="494"/>
      <c r="L529" s="514"/>
      <c r="Q529" s="498"/>
      <c r="R529" s="498"/>
    </row>
    <row r="530" ht="15.75" customHeight="1">
      <c r="A530" s="502" t="s">
        <v>3453</v>
      </c>
      <c r="B530" s="494" t="s">
        <v>2388</v>
      </c>
      <c r="C530" s="495">
        <v>49653.58</v>
      </c>
      <c r="K530" s="494"/>
      <c r="L530" s="514"/>
      <c r="Q530" s="498"/>
      <c r="R530" s="498"/>
    </row>
    <row r="531" ht="15.75" customHeight="1">
      <c r="A531" s="502" t="s">
        <v>3454</v>
      </c>
      <c r="B531" s="494" t="s">
        <v>3455</v>
      </c>
      <c r="C531" s="495">
        <v>49636.18</v>
      </c>
      <c r="K531" s="494"/>
      <c r="L531" s="514"/>
      <c r="Q531" s="498"/>
      <c r="R531" s="498"/>
    </row>
    <row r="532" ht="15.75" customHeight="1">
      <c r="A532" s="502" t="s">
        <v>3456</v>
      </c>
      <c r="B532" s="494" t="s">
        <v>2895</v>
      </c>
      <c r="C532" s="495">
        <v>49207.39</v>
      </c>
      <c r="K532" s="494"/>
      <c r="L532" s="514"/>
      <c r="Q532" s="498"/>
      <c r="R532" s="498"/>
    </row>
    <row r="533" ht="15.75" customHeight="1">
      <c r="A533" s="502" t="s">
        <v>3457</v>
      </c>
      <c r="B533" s="494" t="s">
        <v>2742</v>
      </c>
      <c r="C533" s="495">
        <v>49018.17</v>
      </c>
      <c r="K533" s="494"/>
      <c r="L533" s="514"/>
      <c r="Q533" s="498"/>
      <c r="R533" s="498"/>
    </row>
    <row r="534" ht="15.75" customHeight="1">
      <c r="A534" s="502" t="s">
        <v>1966</v>
      </c>
      <c r="B534" s="494" t="s">
        <v>3256</v>
      </c>
      <c r="C534" s="495">
        <v>48351.73</v>
      </c>
      <c r="K534" s="494"/>
      <c r="L534" s="514"/>
      <c r="Q534" s="498"/>
      <c r="R534" s="498"/>
    </row>
    <row r="535" ht="15.75" customHeight="1">
      <c r="A535" s="502" t="s">
        <v>1203</v>
      </c>
      <c r="B535" s="494" t="s">
        <v>3458</v>
      </c>
      <c r="C535" s="495">
        <v>46637.66</v>
      </c>
      <c r="K535" s="494"/>
      <c r="L535" s="514"/>
      <c r="Q535" s="498"/>
      <c r="R535" s="498"/>
    </row>
    <row r="536" ht="15.75" customHeight="1">
      <c r="A536" s="502" t="s">
        <v>3459</v>
      </c>
      <c r="B536" s="494" t="s">
        <v>3460</v>
      </c>
      <c r="C536" s="495">
        <v>45993.35</v>
      </c>
      <c r="K536" s="494"/>
      <c r="L536" s="514"/>
      <c r="Q536" s="498"/>
      <c r="R536" s="498"/>
    </row>
    <row r="537" ht="15.75" customHeight="1">
      <c r="A537" s="502" t="s">
        <v>3461</v>
      </c>
      <c r="B537" s="494" t="s">
        <v>3414</v>
      </c>
      <c r="C537" s="495">
        <v>45868.9</v>
      </c>
      <c r="K537" s="494"/>
      <c r="L537" s="514"/>
      <c r="Q537" s="498"/>
      <c r="R537" s="498"/>
    </row>
    <row r="538" ht="15.75" customHeight="1">
      <c r="A538" s="502" t="s">
        <v>2404</v>
      </c>
      <c r="B538" s="494" t="s">
        <v>3462</v>
      </c>
      <c r="C538" s="495">
        <v>44328.73</v>
      </c>
      <c r="K538" s="494"/>
      <c r="L538" s="514"/>
      <c r="Q538" s="498"/>
      <c r="R538" s="498"/>
    </row>
    <row r="539" ht="15.75" customHeight="1">
      <c r="A539" s="502" t="s">
        <v>3463</v>
      </c>
      <c r="B539" s="494" t="s">
        <v>2513</v>
      </c>
      <c r="C539" s="495">
        <v>43933.27</v>
      </c>
      <c r="K539" s="494"/>
      <c r="L539" s="514"/>
      <c r="Q539" s="498"/>
      <c r="R539" s="498"/>
    </row>
    <row r="540" ht="15.75" customHeight="1">
      <c r="A540" s="502" t="s">
        <v>3466</v>
      </c>
      <c r="B540" s="494" t="s">
        <v>2636</v>
      </c>
      <c r="C540" s="495">
        <v>42828.06</v>
      </c>
      <c r="K540" s="494"/>
      <c r="L540" s="514"/>
      <c r="Q540" s="498"/>
      <c r="R540" s="498"/>
    </row>
    <row r="541" ht="15.75" customHeight="1">
      <c r="A541" s="502" t="s">
        <v>3467</v>
      </c>
      <c r="B541" s="494" t="s">
        <v>3468</v>
      </c>
      <c r="C541" s="495">
        <v>42720.52</v>
      </c>
      <c r="K541" s="494"/>
      <c r="L541" s="514"/>
      <c r="Q541" s="498"/>
      <c r="R541" s="498"/>
    </row>
    <row r="542" ht="15.75" customHeight="1">
      <c r="A542" s="502" t="s">
        <v>3469</v>
      </c>
      <c r="B542" s="494" t="s">
        <v>3393</v>
      </c>
      <c r="C542" s="495">
        <v>42021.41</v>
      </c>
      <c r="K542" s="494"/>
      <c r="L542" s="514"/>
      <c r="Q542" s="498"/>
      <c r="R542" s="498"/>
    </row>
    <row r="543" ht="15.75" customHeight="1">
      <c r="A543" s="502" t="s">
        <v>3471</v>
      </c>
      <c r="B543" s="494" t="s">
        <v>3472</v>
      </c>
      <c r="C543" s="495">
        <v>41263.84</v>
      </c>
      <c r="K543" s="494"/>
      <c r="L543" s="514"/>
      <c r="Q543" s="498"/>
      <c r="R543" s="498"/>
    </row>
    <row r="544" ht="15.75" customHeight="1">
      <c r="A544" s="502" t="s">
        <v>3474</v>
      </c>
      <c r="B544" s="494" t="s">
        <v>2522</v>
      </c>
      <c r="C544" s="495">
        <v>40856.73</v>
      </c>
      <c r="K544" s="494"/>
      <c r="L544" s="514"/>
      <c r="Q544" s="498"/>
      <c r="R544" s="498"/>
    </row>
    <row r="545" ht="15.75" customHeight="1">
      <c r="A545" s="502" t="s">
        <v>3476</v>
      </c>
      <c r="B545" s="494" t="s">
        <v>3065</v>
      </c>
      <c r="C545" s="495">
        <v>40119.54</v>
      </c>
      <c r="K545" s="494"/>
      <c r="L545" s="514"/>
      <c r="Q545" s="498"/>
      <c r="R545" s="498"/>
    </row>
    <row r="546" ht="15.75" customHeight="1">
      <c r="A546" s="502" t="s">
        <v>3477</v>
      </c>
      <c r="B546" s="494" t="s">
        <v>3075</v>
      </c>
      <c r="C546" s="495">
        <v>38661.38</v>
      </c>
      <c r="K546" s="494"/>
      <c r="L546" s="514"/>
      <c r="Q546" s="498"/>
      <c r="R546" s="498"/>
    </row>
    <row r="547" ht="15.75" customHeight="1">
      <c r="A547" s="502" t="s">
        <v>3480</v>
      </c>
      <c r="B547" s="494" t="s">
        <v>3481</v>
      </c>
      <c r="C547" s="495">
        <v>36561.22</v>
      </c>
      <c r="K547" s="494"/>
      <c r="L547" s="514"/>
      <c r="Q547" s="498"/>
      <c r="R547" s="498"/>
    </row>
    <row r="548" ht="15.75" customHeight="1">
      <c r="A548" s="502" t="s">
        <v>3483</v>
      </c>
      <c r="B548" s="494" t="s">
        <v>2776</v>
      </c>
      <c r="C548" s="495">
        <v>36223.87</v>
      </c>
      <c r="K548" s="494"/>
      <c r="L548" s="514"/>
      <c r="Q548" s="498"/>
      <c r="R548" s="498"/>
    </row>
    <row r="549" ht="15.75" customHeight="1">
      <c r="A549" s="502" t="s">
        <v>3487</v>
      </c>
      <c r="B549" s="494" t="s">
        <v>3488</v>
      </c>
      <c r="C549" s="495">
        <v>35153.89</v>
      </c>
      <c r="K549" s="494"/>
      <c r="L549" s="514"/>
      <c r="Q549" s="498"/>
      <c r="R549" s="498"/>
    </row>
    <row r="550" ht="15.75" customHeight="1">
      <c r="A550" s="502" t="s">
        <v>2726</v>
      </c>
      <c r="B550" s="494" t="s">
        <v>178</v>
      </c>
      <c r="C550" s="495">
        <v>34560.24</v>
      </c>
      <c r="K550" s="494"/>
      <c r="L550" s="514"/>
      <c r="Q550" s="498"/>
      <c r="R550" s="498"/>
    </row>
    <row r="551" ht="15.75" customHeight="1">
      <c r="A551" s="502" t="s">
        <v>3489</v>
      </c>
      <c r="B551" s="494" t="s">
        <v>3437</v>
      </c>
      <c r="C551" s="495">
        <v>34198.54</v>
      </c>
      <c r="K551" s="494"/>
      <c r="L551" s="514"/>
      <c r="Q551" s="498"/>
      <c r="R551" s="498"/>
    </row>
    <row r="552" ht="15.75" customHeight="1">
      <c r="A552" s="502" t="s">
        <v>2130</v>
      </c>
      <c r="B552" s="494" t="s">
        <v>2444</v>
      </c>
      <c r="C552" s="495">
        <v>34010.85</v>
      </c>
      <c r="K552" s="494"/>
      <c r="L552" s="514"/>
      <c r="Q552" s="498"/>
      <c r="R552" s="498"/>
    </row>
    <row r="553" ht="15.75" customHeight="1">
      <c r="A553" s="502" t="s">
        <v>3490</v>
      </c>
      <c r="B553" s="494" t="s">
        <v>3195</v>
      </c>
      <c r="C553" s="495">
        <v>33604.92</v>
      </c>
      <c r="K553" s="494"/>
      <c r="L553" s="514"/>
      <c r="Q553" s="498"/>
      <c r="R553" s="498"/>
    </row>
    <row r="554" ht="15.75" customHeight="1">
      <c r="A554" s="502" t="s">
        <v>3491</v>
      </c>
      <c r="B554" s="494" t="s">
        <v>2901</v>
      </c>
      <c r="C554" s="495">
        <v>32715.33</v>
      </c>
      <c r="K554" s="494"/>
      <c r="L554" s="514"/>
      <c r="Q554" s="498"/>
      <c r="R554" s="498"/>
    </row>
    <row r="555" ht="15.75" customHeight="1">
      <c r="A555" s="502" t="s">
        <v>3492</v>
      </c>
      <c r="B555" s="494" t="s">
        <v>2611</v>
      </c>
      <c r="C555" s="495">
        <v>32109.98</v>
      </c>
      <c r="K555" s="494"/>
      <c r="L555" s="514"/>
      <c r="Q555" s="498"/>
      <c r="R555" s="498"/>
    </row>
    <row r="556" ht="15.75" customHeight="1">
      <c r="A556" s="502" t="s">
        <v>3493</v>
      </c>
      <c r="B556" s="494" t="s">
        <v>2893</v>
      </c>
      <c r="C556" s="495">
        <v>31513.37</v>
      </c>
      <c r="K556" s="494"/>
      <c r="L556" s="514"/>
      <c r="Q556" s="498"/>
      <c r="R556" s="498"/>
    </row>
    <row r="557" ht="15.75" customHeight="1">
      <c r="A557" s="502" t="s">
        <v>3495</v>
      </c>
      <c r="B557" s="494" t="s">
        <v>3497</v>
      </c>
      <c r="C557" s="495">
        <v>30816.47</v>
      </c>
      <c r="K557" s="494"/>
      <c r="L557" s="514"/>
      <c r="Q557" s="498"/>
      <c r="R557" s="498"/>
    </row>
    <row r="558" ht="15.75" customHeight="1">
      <c r="A558" s="502" t="s">
        <v>2002</v>
      </c>
      <c r="B558" s="494" t="s">
        <v>3498</v>
      </c>
      <c r="C558" s="495">
        <v>30812.13</v>
      </c>
      <c r="K558" s="494"/>
      <c r="L558" s="514"/>
      <c r="Q558" s="498"/>
      <c r="R558" s="498"/>
    </row>
    <row r="559" ht="15.75" customHeight="1">
      <c r="A559" s="502" t="s">
        <v>3499</v>
      </c>
      <c r="B559" s="494" t="s">
        <v>3500</v>
      </c>
      <c r="C559" s="495">
        <v>30624.97</v>
      </c>
      <c r="K559" s="494"/>
      <c r="L559" s="514"/>
      <c r="Q559" s="498"/>
      <c r="R559" s="498"/>
    </row>
    <row r="560" ht="15.75" customHeight="1">
      <c r="A560" s="502" t="s">
        <v>3502</v>
      </c>
      <c r="B560" s="494" t="s">
        <v>3503</v>
      </c>
      <c r="C560" s="495">
        <v>30597.12</v>
      </c>
      <c r="K560" s="494"/>
      <c r="L560" s="514"/>
      <c r="Q560" s="498"/>
      <c r="R560" s="498"/>
    </row>
    <row r="561" ht="15.75" customHeight="1">
      <c r="A561" s="502" t="s">
        <v>3504</v>
      </c>
      <c r="B561" s="494" t="s">
        <v>3228</v>
      </c>
      <c r="C561" s="495">
        <v>30438.85</v>
      </c>
      <c r="K561" s="494"/>
      <c r="L561" s="514"/>
      <c r="Q561" s="498"/>
      <c r="R561" s="498"/>
    </row>
    <row r="562" ht="15.75" customHeight="1">
      <c r="A562" s="502" t="s">
        <v>320</v>
      </c>
      <c r="B562" s="494" t="s">
        <v>2898</v>
      </c>
      <c r="C562" s="495">
        <v>30201.01</v>
      </c>
      <c r="K562" s="494"/>
      <c r="L562" s="514"/>
      <c r="Q562" s="498"/>
      <c r="R562" s="498"/>
    </row>
    <row r="563" ht="15.75" customHeight="1">
      <c r="A563" s="502" t="s">
        <v>3505</v>
      </c>
      <c r="B563" s="494" t="s">
        <v>3199</v>
      </c>
      <c r="C563" s="495">
        <v>28849.15</v>
      </c>
      <c r="K563" s="494"/>
      <c r="L563" s="514"/>
      <c r="Q563" s="498"/>
      <c r="R563" s="498"/>
    </row>
    <row r="564" ht="15.75" customHeight="1">
      <c r="A564" s="502" t="s">
        <v>3507</v>
      </c>
      <c r="B564" s="494" t="s">
        <v>3509</v>
      </c>
      <c r="C564" s="495">
        <v>28801.4</v>
      </c>
      <c r="K564" s="494"/>
      <c r="L564" s="514"/>
      <c r="Q564" s="498"/>
      <c r="R564" s="498"/>
    </row>
    <row r="565" ht="15.75" customHeight="1">
      <c r="A565" s="502" t="s">
        <v>3511</v>
      </c>
      <c r="B565" s="494" t="s">
        <v>3039</v>
      </c>
      <c r="C565" s="495">
        <v>27830.83</v>
      </c>
      <c r="K565" s="494"/>
      <c r="L565" s="514"/>
      <c r="Q565" s="498"/>
      <c r="R565" s="498"/>
    </row>
    <row r="566" ht="15.75" customHeight="1">
      <c r="A566" s="502" t="s">
        <v>3512</v>
      </c>
      <c r="B566" s="494" t="s">
        <v>3233</v>
      </c>
      <c r="C566" s="495">
        <v>27283.62</v>
      </c>
      <c r="K566" s="494"/>
      <c r="L566" s="514"/>
      <c r="Q566" s="498"/>
      <c r="R566" s="498"/>
    </row>
    <row r="567" ht="15.75" customHeight="1">
      <c r="A567" s="502" t="s">
        <v>3513</v>
      </c>
      <c r="B567" s="494" t="s">
        <v>2668</v>
      </c>
      <c r="C567" s="495">
        <v>26487.47</v>
      </c>
      <c r="K567" s="494"/>
      <c r="L567" s="514"/>
      <c r="Q567" s="498"/>
      <c r="R567" s="498"/>
    </row>
    <row r="568" ht="15.75" customHeight="1">
      <c r="A568" s="502" t="s">
        <v>3514</v>
      </c>
      <c r="B568" s="494" t="s">
        <v>2517</v>
      </c>
      <c r="C568" s="495">
        <v>26040.33</v>
      </c>
      <c r="K568" s="494"/>
      <c r="L568" s="514"/>
      <c r="Q568" s="498"/>
      <c r="R568" s="498"/>
    </row>
    <row r="569" ht="15.75" customHeight="1">
      <c r="A569" s="502" t="s">
        <v>3515</v>
      </c>
      <c r="B569" s="494" t="s">
        <v>2683</v>
      </c>
      <c r="C569" s="495">
        <v>24932.87</v>
      </c>
      <c r="K569" s="494"/>
      <c r="L569" s="514"/>
      <c r="Q569" s="498"/>
      <c r="R569" s="498"/>
    </row>
    <row r="570" ht="15.75" customHeight="1">
      <c r="A570" s="502" t="s">
        <v>3517</v>
      </c>
      <c r="B570" s="494" t="s">
        <v>3216</v>
      </c>
      <c r="C570" s="495">
        <v>24112.78</v>
      </c>
      <c r="K570" s="494"/>
      <c r="L570" s="514"/>
      <c r="Q570" s="498"/>
      <c r="R570" s="498"/>
    </row>
    <row r="571" ht="15.75" customHeight="1">
      <c r="A571" s="502" t="s">
        <v>3520</v>
      </c>
      <c r="B571" s="494" t="s">
        <v>3176</v>
      </c>
      <c r="C571" s="495">
        <v>23245.16</v>
      </c>
      <c r="K571" s="494"/>
      <c r="L571" s="514"/>
      <c r="Q571" s="498"/>
      <c r="R571" s="498"/>
    </row>
    <row r="572" ht="15.75" customHeight="1">
      <c r="A572" s="502" t="s">
        <v>3522</v>
      </c>
      <c r="B572" s="494" t="s">
        <v>2611</v>
      </c>
      <c r="C572" s="495">
        <v>22099.43</v>
      </c>
      <c r="K572" s="494"/>
      <c r="L572" s="514"/>
      <c r="Q572" s="498"/>
      <c r="R572" s="498"/>
    </row>
    <row r="573" ht="15.75" customHeight="1">
      <c r="A573" s="502" t="s">
        <v>3523</v>
      </c>
      <c r="B573" s="494" t="s">
        <v>2611</v>
      </c>
      <c r="C573" s="495">
        <v>21491.78</v>
      </c>
      <c r="K573" s="494"/>
      <c r="L573" s="514"/>
      <c r="Q573" s="498"/>
      <c r="R573" s="498"/>
    </row>
    <row r="574" ht="15.75" customHeight="1">
      <c r="A574" s="502" t="s">
        <v>3524</v>
      </c>
      <c r="B574" s="494" t="s">
        <v>3221</v>
      </c>
      <c r="C574" s="495">
        <v>21463.35</v>
      </c>
      <c r="K574" s="494"/>
      <c r="L574" s="514"/>
      <c r="Q574" s="498"/>
      <c r="R574" s="498"/>
    </row>
    <row r="575" ht="15.75" customHeight="1">
      <c r="A575" s="502" t="s">
        <v>333</v>
      </c>
      <c r="B575" s="494" t="s">
        <v>2898</v>
      </c>
      <c r="C575" s="495">
        <v>21317.88</v>
      </c>
      <c r="K575" s="494"/>
      <c r="L575" s="514"/>
      <c r="Q575" s="498"/>
      <c r="R575" s="498"/>
    </row>
    <row r="576" ht="15.75" customHeight="1">
      <c r="A576" s="502" t="s">
        <v>3526</v>
      </c>
      <c r="B576" s="494" t="s">
        <v>3527</v>
      </c>
      <c r="C576" s="495">
        <v>20399.47</v>
      </c>
      <c r="K576" s="494"/>
      <c r="L576" s="514"/>
      <c r="Q576" s="498"/>
      <c r="R576" s="498"/>
    </row>
    <row r="577" ht="15.75" customHeight="1">
      <c r="A577" s="502" t="s">
        <v>1254</v>
      </c>
      <c r="B577" s="494" t="s">
        <v>3125</v>
      </c>
      <c r="C577" s="495">
        <v>19663.05</v>
      </c>
      <c r="K577" s="494"/>
      <c r="L577" s="514"/>
      <c r="Q577" s="498"/>
      <c r="R577" s="498"/>
    </row>
    <row r="578" ht="15.75" customHeight="1">
      <c r="A578" s="502" t="s">
        <v>2858</v>
      </c>
      <c r="B578" s="494" t="s">
        <v>178</v>
      </c>
      <c r="C578" s="495">
        <v>18738.6</v>
      </c>
      <c r="K578" s="533"/>
      <c r="L578" s="534"/>
      <c r="Q578" s="498"/>
      <c r="R578" s="498"/>
    </row>
    <row r="579" ht="15.75" customHeight="1">
      <c r="A579" s="502" t="s">
        <v>3528</v>
      </c>
      <c r="B579" s="494" t="s">
        <v>2737</v>
      </c>
      <c r="C579" s="495">
        <v>18727.48</v>
      </c>
      <c r="K579" s="533"/>
      <c r="L579" s="534"/>
      <c r="Q579" s="498"/>
      <c r="R579" s="498"/>
    </row>
    <row r="580" ht="15.75" customHeight="1">
      <c r="A580" s="502" t="s">
        <v>3529</v>
      </c>
      <c r="B580" s="494" t="s">
        <v>2559</v>
      </c>
      <c r="C580" s="495">
        <v>17391.13</v>
      </c>
      <c r="K580" s="533"/>
      <c r="L580" s="534"/>
      <c r="Q580" s="498"/>
      <c r="R580" s="498"/>
    </row>
    <row r="581" ht="15.75" customHeight="1">
      <c r="A581" s="502" t="s">
        <v>3532</v>
      </c>
      <c r="B581" s="494" t="s">
        <v>2469</v>
      </c>
      <c r="C581" s="495">
        <v>16689.68</v>
      </c>
      <c r="K581" s="533"/>
      <c r="L581" s="534"/>
      <c r="Q581" s="498"/>
      <c r="R581" s="498"/>
    </row>
    <row r="582" ht="15.75" customHeight="1">
      <c r="A582" s="502" t="s">
        <v>3537</v>
      </c>
      <c r="B582" s="494" t="s">
        <v>3161</v>
      </c>
      <c r="C582" s="495">
        <v>16489.08</v>
      </c>
      <c r="K582" s="533"/>
      <c r="L582" s="534"/>
      <c r="Q582" s="498"/>
      <c r="R582" s="498"/>
    </row>
    <row r="583" ht="15.75" customHeight="1">
      <c r="A583" s="502" t="s">
        <v>3538</v>
      </c>
      <c r="B583" s="494" t="s">
        <v>2955</v>
      </c>
      <c r="C583" s="495">
        <v>15647.92</v>
      </c>
      <c r="K583" s="533"/>
      <c r="L583" s="534"/>
      <c r="Q583" s="498"/>
      <c r="R583" s="498"/>
    </row>
    <row r="584" ht="15.75" customHeight="1">
      <c r="A584" s="502" t="s">
        <v>2285</v>
      </c>
      <c r="B584" s="494" t="s">
        <v>3060</v>
      </c>
      <c r="C584" s="495">
        <v>15517.14</v>
      </c>
      <c r="K584" s="533"/>
      <c r="L584" s="534"/>
      <c r="Q584" s="498"/>
      <c r="R584" s="498"/>
    </row>
    <row r="585" ht="15.75" customHeight="1">
      <c r="A585" s="502" t="s">
        <v>3539</v>
      </c>
      <c r="B585" s="494" t="s">
        <v>211</v>
      </c>
      <c r="C585" s="495">
        <v>15355.72</v>
      </c>
      <c r="K585" s="533"/>
      <c r="L585" s="534"/>
      <c r="Q585" s="498"/>
      <c r="R585" s="498"/>
    </row>
    <row r="586" ht="15.75" customHeight="1">
      <c r="A586" s="502" t="s">
        <v>3540</v>
      </c>
      <c r="B586" s="494" t="s">
        <v>3541</v>
      </c>
      <c r="C586" s="495">
        <v>15240.27</v>
      </c>
      <c r="K586" s="533"/>
      <c r="L586" s="534"/>
      <c r="Q586" s="498"/>
      <c r="R586" s="498"/>
    </row>
    <row r="587" ht="15.75" customHeight="1">
      <c r="A587" s="502" t="s">
        <v>3542</v>
      </c>
      <c r="B587" s="494" t="s">
        <v>3437</v>
      </c>
      <c r="C587" s="495">
        <v>15240.26</v>
      </c>
      <c r="K587" s="533"/>
      <c r="L587" s="534"/>
      <c r="Q587" s="498"/>
      <c r="R587" s="498"/>
    </row>
    <row r="588" ht="15.75" customHeight="1">
      <c r="A588" s="502" t="s">
        <v>3545</v>
      </c>
      <c r="B588" s="494" t="s">
        <v>3199</v>
      </c>
      <c r="C588" s="495">
        <v>14750.11</v>
      </c>
      <c r="K588" s="533"/>
      <c r="L588" s="534"/>
      <c r="Q588" s="498"/>
      <c r="R588" s="498"/>
    </row>
    <row r="589" ht="15.75" customHeight="1">
      <c r="A589" s="502" t="s">
        <v>3546</v>
      </c>
      <c r="B589" s="494" t="s">
        <v>2695</v>
      </c>
      <c r="C589" s="495">
        <v>14633.21</v>
      </c>
      <c r="K589" s="533"/>
      <c r="L589" s="534"/>
      <c r="Q589" s="498"/>
      <c r="R589" s="498"/>
    </row>
    <row r="590" ht="15.75" customHeight="1">
      <c r="A590" s="502" t="s">
        <v>3548</v>
      </c>
      <c r="B590" s="494" t="s">
        <v>3197</v>
      </c>
      <c r="C590" s="495">
        <v>13802.21</v>
      </c>
      <c r="K590" s="533"/>
      <c r="L590" s="534"/>
      <c r="Q590" s="498"/>
      <c r="R590" s="498"/>
    </row>
    <row r="591" ht="15.75" customHeight="1">
      <c r="A591" s="502" t="s">
        <v>2064</v>
      </c>
      <c r="B591" s="494" t="s">
        <v>2455</v>
      </c>
      <c r="C591" s="495">
        <v>13775.83</v>
      </c>
      <c r="K591" s="533"/>
      <c r="L591" s="534"/>
      <c r="Q591" s="498"/>
      <c r="R591" s="498"/>
    </row>
    <row r="592" ht="15.75" customHeight="1">
      <c r="A592" s="502" t="s">
        <v>3550</v>
      </c>
      <c r="B592" s="494" t="s">
        <v>3551</v>
      </c>
      <c r="C592" s="495">
        <v>12526.24</v>
      </c>
      <c r="K592" s="533"/>
      <c r="L592" s="534"/>
      <c r="Q592" s="498"/>
      <c r="R592" s="498"/>
    </row>
    <row r="593" ht="15.75" customHeight="1">
      <c r="A593" s="502" t="s">
        <v>3552</v>
      </c>
      <c r="B593" s="494" t="s">
        <v>3553</v>
      </c>
      <c r="C593" s="495">
        <v>12343.87</v>
      </c>
      <c r="K593" s="533"/>
      <c r="L593" s="534"/>
      <c r="Q593" s="498"/>
      <c r="R593" s="498"/>
    </row>
    <row r="594" ht="15.75" customHeight="1">
      <c r="A594" s="502" t="s">
        <v>3554</v>
      </c>
      <c r="B594" s="494" t="s">
        <v>3503</v>
      </c>
      <c r="C594" s="495">
        <v>11405.26</v>
      </c>
      <c r="K594" s="533"/>
      <c r="L594" s="534"/>
      <c r="Q594" s="498"/>
      <c r="R594" s="498"/>
    </row>
    <row r="595" ht="15.75" customHeight="1">
      <c r="A595" s="502" t="s">
        <v>3555</v>
      </c>
      <c r="B595" s="494" t="s">
        <v>2683</v>
      </c>
      <c r="C595" s="495">
        <v>11377.77</v>
      </c>
      <c r="K595" s="533"/>
      <c r="L595" s="534"/>
      <c r="Q595" s="498"/>
      <c r="R595" s="498"/>
    </row>
    <row r="596" ht="15.75" customHeight="1">
      <c r="A596" s="502" t="s">
        <v>2018</v>
      </c>
      <c r="B596" s="494" t="s">
        <v>2614</v>
      </c>
      <c r="C596" s="495">
        <v>10440.11</v>
      </c>
      <c r="K596" s="533"/>
      <c r="L596" s="534"/>
      <c r="Q596" s="498"/>
      <c r="R596" s="498"/>
    </row>
    <row r="597" ht="15.75" customHeight="1">
      <c r="A597" s="502" t="s">
        <v>2086</v>
      </c>
      <c r="B597" s="494" t="s">
        <v>3556</v>
      </c>
      <c r="C597" s="495">
        <v>10012.86</v>
      </c>
      <c r="K597" s="533"/>
      <c r="L597" s="534"/>
      <c r="Q597" s="498"/>
      <c r="R597" s="498"/>
    </row>
    <row r="598" ht="15.75" customHeight="1">
      <c r="A598" s="502" t="s">
        <v>3557</v>
      </c>
      <c r="B598" s="494" t="s">
        <v>3558</v>
      </c>
      <c r="C598" s="495">
        <v>8740.79</v>
      </c>
      <c r="K598" s="533"/>
      <c r="L598" s="534"/>
      <c r="Q598" s="498"/>
      <c r="R598" s="498"/>
    </row>
    <row r="599" ht="15.75" customHeight="1">
      <c r="A599" s="502" t="s">
        <v>3559</v>
      </c>
      <c r="B599" s="494" t="s">
        <v>3560</v>
      </c>
      <c r="C599" s="495">
        <v>8515.15</v>
      </c>
      <c r="K599" s="533"/>
      <c r="L599" s="534"/>
      <c r="Q599" s="498"/>
      <c r="R599" s="498"/>
    </row>
    <row r="600" ht="15.75" customHeight="1">
      <c r="A600" s="502" t="s">
        <v>3561</v>
      </c>
      <c r="B600" s="494" t="s">
        <v>2693</v>
      </c>
      <c r="C600" s="495">
        <v>8038.31</v>
      </c>
      <c r="K600" s="533"/>
      <c r="L600" s="534"/>
      <c r="Q600" s="498"/>
      <c r="R600" s="498"/>
    </row>
    <row r="601" ht="15.75" customHeight="1">
      <c r="A601" s="502" t="s">
        <v>3562</v>
      </c>
      <c r="B601" s="494" t="s">
        <v>2952</v>
      </c>
      <c r="C601" s="495">
        <v>6629.19</v>
      </c>
      <c r="K601" s="533"/>
      <c r="L601" s="534"/>
      <c r="Q601" s="498"/>
      <c r="R601" s="498"/>
    </row>
    <row r="602" ht="15.75" customHeight="1">
      <c r="A602" s="502" t="s">
        <v>3563</v>
      </c>
      <c r="B602" s="494" t="s">
        <v>3564</v>
      </c>
      <c r="C602" s="495">
        <v>6614.32</v>
      </c>
      <c r="K602" s="533"/>
      <c r="L602" s="534"/>
      <c r="Q602" s="498"/>
      <c r="R602" s="498"/>
    </row>
    <row r="603" ht="15.75" customHeight="1">
      <c r="A603" s="502" t="s">
        <v>3565</v>
      </c>
      <c r="B603" s="494" t="s">
        <v>3566</v>
      </c>
      <c r="C603" s="495">
        <v>6550.14</v>
      </c>
      <c r="K603" s="533"/>
      <c r="L603" s="534"/>
      <c r="Q603" s="498"/>
      <c r="R603" s="498"/>
    </row>
    <row r="604" ht="15.75" customHeight="1">
      <c r="A604" s="496">
        <v>4801481.0</v>
      </c>
      <c r="B604" s="496" t="s">
        <v>2388</v>
      </c>
      <c r="C604" s="497">
        <v>6542.57</v>
      </c>
      <c r="K604" s="533"/>
      <c r="L604" s="534"/>
      <c r="Q604" s="498"/>
      <c r="R604" s="498"/>
    </row>
    <row r="605" ht="15.75" customHeight="1">
      <c r="A605" s="496">
        <v>8026930.0</v>
      </c>
      <c r="B605" s="496" t="s">
        <v>2768</v>
      </c>
      <c r="C605" s="497">
        <v>6498.05</v>
      </c>
      <c r="K605" s="533"/>
      <c r="L605" s="534"/>
      <c r="Q605" s="498"/>
      <c r="R605" s="498"/>
    </row>
    <row r="606" ht="15.75" customHeight="1">
      <c r="A606" s="496">
        <v>1.4307003E7</v>
      </c>
      <c r="B606" s="496" t="s">
        <v>2783</v>
      </c>
      <c r="C606" s="497">
        <v>6036.12</v>
      </c>
      <c r="K606" s="533"/>
      <c r="L606" s="534"/>
      <c r="Q606" s="498"/>
      <c r="R606" s="498"/>
    </row>
    <row r="607" ht="15.75" customHeight="1">
      <c r="A607" s="496">
        <v>5040864.0</v>
      </c>
      <c r="B607" s="496" t="s">
        <v>2747</v>
      </c>
      <c r="C607" s="497">
        <v>5989.09</v>
      </c>
      <c r="K607" s="533"/>
      <c r="L607" s="534"/>
      <c r="Q607" s="498"/>
      <c r="R607" s="498"/>
    </row>
    <row r="608" ht="15.75" customHeight="1">
      <c r="A608" s="496">
        <v>8683290.0</v>
      </c>
      <c r="B608" s="496" t="s">
        <v>2705</v>
      </c>
      <c r="C608" s="497">
        <v>5578.11</v>
      </c>
      <c r="K608" s="533"/>
      <c r="L608" s="534"/>
      <c r="Q608" s="498"/>
      <c r="R608" s="498"/>
    </row>
    <row r="609" ht="15.75" customHeight="1">
      <c r="A609" s="496">
        <v>2.8693505E7</v>
      </c>
      <c r="B609" s="496" t="s">
        <v>3569</v>
      </c>
      <c r="C609" s="497">
        <v>4966.09</v>
      </c>
      <c r="K609" s="533"/>
      <c r="L609" s="534"/>
      <c r="Q609" s="498"/>
      <c r="R609" s="498"/>
    </row>
    <row r="610" ht="15.75" customHeight="1">
      <c r="A610" s="496">
        <v>1759765.0</v>
      </c>
      <c r="B610" s="496" t="s">
        <v>3570</v>
      </c>
      <c r="C610" s="497">
        <v>3773.53</v>
      </c>
      <c r="K610" s="533"/>
      <c r="L610" s="534"/>
      <c r="Q610" s="498"/>
      <c r="R610" s="498"/>
    </row>
    <row r="611" ht="15.75" customHeight="1">
      <c r="A611" s="496">
        <v>5075382.0</v>
      </c>
      <c r="B611" s="496" t="s">
        <v>3573</v>
      </c>
      <c r="C611" s="497">
        <v>3677.51</v>
      </c>
      <c r="K611" s="533"/>
      <c r="L611" s="534"/>
      <c r="Q611" s="498"/>
      <c r="R611" s="498"/>
    </row>
    <row r="612" ht="15.75" customHeight="1">
      <c r="A612" s="496">
        <v>5216881.0</v>
      </c>
      <c r="B612" s="496" t="s">
        <v>3376</v>
      </c>
      <c r="C612" s="497">
        <v>3583.46</v>
      </c>
      <c r="K612" s="533"/>
      <c r="L612" s="534"/>
      <c r="Q612" s="498"/>
      <c r="R612" s="498"/>
    </row>
    <row r="613" ht="15.75" customHeight="1">
      <c r="A613" s="496">
        <v>4231371.0</v>
      </c>
      <c r="B613" s="496" t="s">
        <v>3102</v>
      </c>
      <c r="C613" s="497">
        <v>3018.35</v>
      </c>
      <c r="K613" s="533"/>
      <c r="L613" s="534"/>
      <c r="Q613" s="498"/>
      <c r="R613" s="498"/>
    </row>
    <row r="614" ht="15.75" customHeight="1">
      <c r="A614" s="496">
        <v>3836362.0</v>
      </c>
      <c r="B614" s="496" t="s">
        <v>3574</v>
      </c>
      <c r="C614" s="497">
        <v>2851.21</v>
      </c>
      <c r="K614" s="533"/>
      <c r="L614" s="534"/>
      <c r="Q614" s="498"/>
      <c r="R614" s="498"/>
    </row>
    <row r="615" ht="15.75" customHeight="1">
      <c r="A615" s="496">
        <v>8070544.0</v>
      </c>
      <c r="B615" s="496" t="s">
        <v>3399</v>
      </c>
      <c r="C615" s="497">
        <v>2767.49</v>
      </c>
      <c r="K615" s="533"/>
      <c r="L615" s="534"/>
      <c r="Q615" s="498"/>
      <c r="R615" s="498"/>
    </row>
    <row r="616" ht="15.75" customHeight="1">
      <c r="A616" s="496">
        <v>8090243.0</v>
      </c>
      <c r="B616" s="496" t="s">
        <v>829</v>
      </c>
      <c r="C616" s="497">
        <v>2504.22</v>
      </c>
      <c r="K616" s="533"/>
      <c r="L616" s="534"/>
      <c r="Q616" s="498"/>
      <c r="R616" s="498"/>
    </row>
    <row r="617" ht="15.75" customHeight="1">
      <c r="A617" s="496">
        <v>4797389.0</v>
      </c>
      <c r="B617" s="496" t="s">
        <v>3578</v>
      </c>
      <c r="C617" s="497">
        <v>2381.92</v>
      </c>
      <c r="K617" s="533"/>
      <c r="L617" s="534"/>
      <c r="Q617" s="498"/>
      <c r="R617" s="498"/>
    </row>
    <row r="618" ht="15.75" customHeight="1">
      <c r="A618" s="496">
        <v>5380854.0</v>
      </c>
      <c r="B618" s="496" t="s">
        <v>2455</v>
      </c>
      <c r="C618" s="497">
        <v>2261.62</v>
      </c>
      <c r="K618" s="533"/>
      <c r="L618" s="534"/>
      <c r="Q618" s="498"/>
      <c r="R618" s="498"/>
    </row>
    <row r="619" ht="15.75" customHeight="1">
      <c r="A619" s="496">
        <v>8616994.0</v>
      </c>
      <c r="B619" s="496" t="s">
        <v>3462</v>
      </c>
      <c r="C619" s="497">
        <v>1962.48</v>
      </c>
      <c r="K619" s="533"/>
      <c r="L619" s="534"/>
      <c r="Q619" s="498"/>
      <c r="R619" s="498"/>
    </row>
    <row r="620" ht="15.75" customHeight="1">
      <c r="A620" s="496">
        <v>4340217.0</v>
      </c>
      <c r="B620" s="496" t="s">
        <v>3345</v>
      </c>
      <c r="C620" s="497">
        <v>1714.13</v>
      </c>
      <c r="K620" s="533"/>
      <c r="L620" s="534"/>
      <c r="Q620" s="498"/>
      <c r="R620" s="498"/>
    </row>
    <row r="621" ht="15.75" customHeight="1">
      <c r="A621" s="496">
        <v>5220531.0</v>
      </c>
      <c r="B621" s="496" t="s">
        <v>3376</v>
      </c>
      <c r="C621" s="497">
        <v>1439.9</v>
      </c>
      <c r="K621" s="533"/>
      <c r="L621" s="534"/>
      <c r="Q621" s="498"/>
      <c r="R621" s="498"/>
    </row>
    <row r="622" ht="15.75" customHeight="1">
      <c r="A622" s="496">
        <v>4321092.0</v>
      </c>
      <c r="B622" s="496" t="s">
        <v>3133</v>
      </c>
      <c r="C622" s="497">
        <v>1380.99</v>
      </c>
      <c r="K622" s="533"/>
      <c r="L622" s="534"/>
      <c r="Q622" s="498"/>
      <c r="R622" s="498"/>
    </row>
    <row r="623" ht="15.75" customHeight="1">
      <c r="A623" s="496">
        <v>8887839.0</v>
      </c>
      <c r="B623" s="496" t="s">
        <v>3195</v>
      </c>
      <c r="C623" s="497">
        <v>1290.16</v>
      </c>
      <c r="K623" s="533"/>
      <c r="L623" s="534"/>
      <c r="Q623" s="498"/>
      <c r="R623" s="498"/>
    </row>
    <row r="624" ht="15.75" customHeight="1">
      <c r="A624" s="496">
        <v>8239123.0</v>
      </c>
      <c r="B624" s="496" t="s">
        <v>3580</v>
      </c>
      <c r="C624" s="497">
        <v>915.09</v>
      </c>
      <c r="K624" s="533"/>
      <c r="L624" s="534"/>
      <c r="Q624" s="498"/>
      <c r="R624" s="498"/>
    </row>
    <row r="625" ht="15.75" customHeight="1">
      <c r="A625" s="496">
        <v>4514241.0</v>
      </c>
      <c r="B625" s="496" t="s">
        <v>2747</v>
      </c>
      <c r="C625" s="497">
        <v>847.46</v>
      </c>
      <c r="K625" s="533"/>
      <c r="L625" s="534"/>
      <c r="Q625" s="498"/>
      <c r="R625" s="498"/>
    </row>
    <row r="626" ht="15.75" customHeight="1">
      <c r="A626" s="496">
        <v>1000288.0</v>
      </c>
      <c r="B626" s="496" t="s">
        <v>3574</v>
      </c>
      <c r="C626" s="497">
        <v>827.05</v>
      </c>
      <c r="K626" s="533"/>
      <c r="L626" s="534"/>
      <c r="Q626" s="498"/>
      <c r="R626" s="498"/>
    </row>
    <row r="627" ht="15.75" customHeight="1">
      <c r="A627" s="496">
        <v>1.9338458E7</v>
      </c>
      <c r="B627" s="496" t="s">
        <v>2550</v>
      </c>
      <c r="C627" s="497">
        <v>807.37</v>
      </c>
      <c r="K627" s="533"/>
      <c r="L627" s="534"/>
      <c r="Q627" s="498"/>
      <c r="R627" s="498"/>
    </row>
    <row r="628" ht="15.75" customHeight="1">
      <c r="A628" s="496">
        <v>4339183.0</v>
      </c>
      <c r="B628" s="496" t="s">
        <v>3583</v>
      </c>
      <c r="C628" s="497">
        <v>546.89</v>
      </c>
      <c r="K628" s="533"/>
      <c r="L628" s="534"/>
      <c r="Q628" s="498"/>
      <c r="R628" s="498"/>
    </row>
    <row r="629" ht="15.75" customHeight="1">
      <c r="A629" s="496">
        <v>4550605.0</v>
      </c>
      <c r="B629" s="496" t="s">
        <v>3584</v>
      </c>
      <c r="C629" s="497">
        <v>530.71</v>
      </c>
      <c r="K629" s="533"/>
      <c r="L629" s="534"/>
      <c r="Q629" s="498"/>
      <c r="R629" s="498"/>
    </row>
    <row r="630" ht="15.75" customHeight="1">
      <c r="A630" s="496">
        <v>5997429.0</v>
      </c>
      <c r="B630" s="496" t="s">
        <v>2920</v>
      </c>
      <c r="C630" s="497">
        <v>518.37</v>
      </c>
      <c r="K630" s="533"/>
      <c r="L630" s="534"/>
      <c r="Q630" s="498"/>
      <c r="R630" s="498"/>
    </row>
    <row r="631" ht="15.75" customHeight="1">
      <c r="A631" s="496">
        <v>4381415.0</v>
      </c>
      <c r="B631" s="496" t="s">
        <v>2768</v>
      </c>
      <c r="C631" s="497">
        <v>373.94</v>
      </c>
      <c r="K631" s="533"/>
      <c r="L631" s="534"/>
      <c r="Q631" s="498"/>
      <c r="R631" s="498"/>
    </row>
    <row r="632" ht="15.75" customHeight="1">
      <c r="A632" s="496">
        <v>5293480.0</v>
      </c>
      <c r="B632" s="496" t="s">
        <v>3588</v>
      </c>
      <c r="C632" s="497">
        <v>266.43</v>
      </c>
      <c r="K632" s="533"/>
      <c r="L632" s="534"/>
      <c r="Q632" s="498"/>
      <c r="R632" s="498"/>
    </row>
    <row r="633" ht="15.75" customHeight="1">
      <c r="A633" s="496">
        <v>4484207.0</v>
      </c>
      <c r="B633" s="496" t="s">
        <v>3116</v>
      </c>
      <c r="C633" s="497">
        <v>265.48</v>
      </c>
      <c r="K633" s="533"/>
      <c r="L633" s="534"/>
      <c r="Q633" s="498"/>
      <c r="R633" s="498"/>
    </row>
    <row r="634" ht="15.75" customHeight="1">
      <c r="A634" s="496">
        <v>4462543.0</v>
      </c>
      <c r="B634" s="496" t="s">
        <v>2604</v>
      </c>
      <c r="C634" s="497">
        <v>177.26</v>
      </c>
      <c r="K634" s="533"/>
      <c r="L634" s="534"/>
      <c r="Q634" s="498"/>
      <c r="R634" s="498"/>
    </row>
    <row r="635" ht="15.75" customHeight="1">
      <c r="A635" s="496">
        <v>4281300.0</v>
      </c>
      <c r="B635" s="496" t="s">
        <v>3590</v>
      </c>
      <c r="C635" s="497">
        <v>176.19</v>
      </c>
      <c r="K635" s="533"/>
      <c r="L635" s="534"/>
      <c r="Q635" s="498"/>
      <c r="R635" s="498"/>
    </row>
    <row r="636" ht="15.75" customHeight="1">
      <c r="A636" s="496">
        <v>4862746.0</v>
      </c>
      <c r="B636" s="496" t="s">
        <v>3271</v>
      </c>
      <c r="C636" s="497">
        <v>161.65</v>
      </c>
      <c r="K636" s="533"/>
      <c r="L636" s="534"/>
      <c r="Q636" s="498"/>
      <c r="R636" s="498"/>
    </row>
    <row r="637" ht="15.75" customHeight="1">
      <c r="A637" s="496">
        <v>5055239.0</v>
      </c>
      <c r="B637" s="496" t="s">
        <v>3592</v>
      </c>
      <c r="C637" s="497">
        <v>139.75</v>
      </c>
      <c r="K637" s="533"/>
      <c r="L637" s="534"/>
      <c r="Q637" s="498"/>
      <c r="R637" s="498"/>
    </row>
    <row r="638" ht="15.75" customHeight="1">
      <c r="A638" s="496">
        <v>4971448.0</v>
      </c>
      <c r="B638" s="496" t="s">
        <v>3595</v>
      </c>
      <c r="C638" s="497">
        <v>133.49</v>
      </c>
      <c r="K638" s="533"/>
      <c r="L638" s="534"/>
      <c r="Q638" s="498"/>
      <c r="R638" s="498"/>
    </row>
    <row r="639" ht="15.75" customHeight="1">
      <c r="A639" s="496">
        <v>5081833.0</v>
      </c>
      <c r="B639" s="496" t="s">
        <v>2651</v>
      </c>
      <c r="C639" s="497">
        <v>129.38</v>
      </c>
      <c r="K639" s="533"/>
      <c r="L639" s="534"/>
      <c r="Q639" s="498"/>
      <c r="R639" s="498"/>
    </row>
    <row r="640" ht="15.75" customHeight="1">
      <c r="A640" s="496">
        <v>4974089.0</v>
      </c>
      <c r="B640" s="496" t="s">
        <v>3240</v>
      </c>
      <c r="C640" s="497">
        <v>120.58</v>
      </c>
      <c r="K640" s="533"/>
      <c r="L640" s="534"/>
      <c r="Q640" s="498"/>
      <c r="R640" s="498"/>
    </row>
    <row r="641" ht="15.75" customHeight="1">
      <c r="A641" s="496">
        <v>5530256.0</v>
      </c>
      <c r="B641" s="496" t="s">
        <v>3503</v>
      </c>
      <c r="C641" s="497">
        <v>117.16</v>
      </c>
      <c r="K641" s="533"/>
      <c r="L641" s="534"/>
      <c r="Q641" s="498"/>
      <c r="R641" s="498"/>
    </row>
    <row r="642" ht="15.75" customHeight="1">
      <c r="A642" s="496">
        <v>5076418.0</v>
      </c>
      <c r="B642" s="496" t="s">
        <v>3195</v>
      </c>
      <c r="C642" s="497">
        <v>114.16</v>
      </c>
      <c r="K642" s="533"/>
      <c r="L642" s="534"/>
      <c r="Q642" s="498"/>
      <c r="R642" s="498"/>
    </row>
    <row r="643" ht="15.75" customHeight="1">
      <c r="A643" s="496">
        <v>8412872.0</v>
      </c>
      <c r="B643" s="496" t="s">
        <v>2668</v>
      </c>
      <c r="C643" s="497">
        <v>100.01</v>
      </c>
      <c r="K643" s="533"/>
      <c r="L643" s="534"/>
      <c r="Q643" s="498"/>
      <c r="R643" s="498"/>
    </row>
    <row r="644" ht="15.75" customHeight="1">
      <c r="A644" s="496">
        <v>4405476.0</v>
      </c>
      <c r="B644" s="496" t="s">
        <v>211</v>
      </c>
      <c r="C644" s="497">
        <v>98.98</v>
      </c>
      <c r="K644" s="533"/>
      <c r="L644" s="534"/>
      <c r="Q644" s="498"/>
      <c r="R644" s="498"/>
    </row>
    <row r="645" ht="15.75" customHeight="1">
      <c r="A645" s="496">
        <v>2823185.0</v>
      </c>
      <c r="B645" s="496" t="s">
        <v>3598</v>
      </c>
      <c r="C645" s="497">
        <v>91.31</v>
      </c>
      <c r="K645" s="533"/>
      <c r="L645" s="534"/>
      <c r="Q645" s="498"/>
      <c r="R645" s="498"/>
    </row>
    <row r="646" ht="15.75" customHeight="1">
      <c r="A646" s="496">
        <v>4693308.0</v>
      </c>
      <c r="B646" s="496" t="s">
        <v>2737</v>
      </c>
      <c r="C646" s="497">
        <v>91.18</v>
      </c>
      <c r="K646" s="533"/>
      <c r="L646" s="534"/>
      <c r="Q646" s="498"/>
      <c r="R646" s="498"/>
    </row>
    <row r="647" ht="15.75" customHeight="1">
      <c r="A647" s="496">
        <v>4547073.0</v>
      </c>
      <c r="B647" s="496" t="s">
        <v>3455</v>
      </c>
      <c r="C647" s="497">
        <v>70.0</v>
      </c>
      <c r="K647" s="533"/>
      <c r="L647" s="534"/>
      <c r="Q647" s="498"/>
      <c r="R647" s="498"/>
    </row>
    <row r="648" ht="15.75" customHeight="1">
      <c r="A648" s="496">
        <v>4454365.0</v>
      </c>
      <c r="B648" s="496" t="s">
        <v>2388</v>
      </c>
      <c r="C648" s="497">
        <v>56.35</v>
      </c>
      <c r="K648" s="533"/>
      <c r="L648" s="534"/>
      <c r="Q648" s="498"/>
      <c r="R648" s="498"/>
    </row>
    <row r="649" ht="15.75" customHeight="1">
      <c r="A649" s="496">
        <v>4400640.0</v>
      </c>
      <c r="B649" s="496" t="s">
        <v>2642</v>
      </c>
      <c r="C649" s="497">
        <v>51.44</v>
      </c>
      <c r="K649" s="533"/>
      <c r="L649" s="534"/>
      <c r="Q649" s="498"/>
      <c r="R649" s="498"/>
    </row>
    <row r="650" ht="15.75" customHeight="1">
      <c r="A650" s="496">
        <v>5558076.0</v>
      </c>
      <c r="B650" s="496" t="s">
        <v>2936</v>
      </c>
      <c r="C650" s="497">
        <v>46.08</v>
      </c>
      <c r="K650" s="533"/>
      <c r="L650" s="534"/>
      <c r="Q650" s="498"/>
      <c r="R650" s="498"/>
    </row>
    <row r="651" ht="15.75" customHeight="1">
      <c r="A651" s="496">
        <v>4752519.0</v>
      </c>
      <c r="B651" s="496" t="s">
        <v>3075</v>
      </c>
      <c r="C651" s="497">
        <v>45.08</v>
      </c>
      <c r="K651" s="533"/>
      <c r="L651" s="534"/>
      <c r="Q651" s="498"/>
      <c r="R651" s="498"/>
    </row>
    <row r="652" ht="15.75" customHeight="1">
      <c r="A652" s="496">
        <v>4508516.0</v>
      </c>
      <c r="B652" s="496" t="s">
        <v>2776</v>
      </c>
      <c r="C652" s="497">
        <v>34.41</v>
      </c>
      <c r="K652" s="533"/>
      <c r="L652" s="534"/>
      <c r="Q652" s="498"/>
      <c r="R652" s="498"/>
    </row>
    <row r="653" ht="15.75" customHeight="1">
      <c r="A653" s="496">
        <v>4500804.0</v>
      </c>
      <c r="B653" s="496" t="s">
        <v>2388</v>
      </c>
      <c r="C653" s="497">
        <v>34.33</v>
      </c>
      <c r="K653" s="533"/>
      <c r="L653" s="534"/>
      <c r="Q653" s="498"/>
      <c r="R653" s="498"/>
    </row>
    <row r="654" ht="15.75" customHeight="1">
      <c r="A654" s="496">
        <v>5256036.0</v>
      </c>
      <c r="B654" s="496" t="s">
        <v>2683</v>
      </c>
      <c r="C654" s="497">
        <v>33.41</v>
      </c>
      <c r="K654" s="533"/>
      <c r="L654" s="534"/>
      <c r="Q654" s="498"/>
      <c r="R654" s="498"/>
    </row>
    <row r="655" ht="15.75" customHeight="1">
      <c r="A655" s="496">
        <v>5927101.0</v>
      </c>
      <c r="B655" s="496" t="s">
        <v>3598</v>
      </c>
      <c r="C655" s="497">
        <v>30.0</v>
      </c>
      <c r="K655" s="533"/>
      <c r="L655" s="534"/>
      <c r="Q655" s="498"/>
      <c r="R655" s="498"/>
    </row>
    <row r="656" ht="15.75" customHeight="1">
      <c r="A656" s="496">
        <v>5068961.0</v>
      </c>
      <c r="B656" s="496" t="s">
        <v>2638</v>
      </c>
      <c r="C656" s="497">
        <v>29.94</v>
      </c>
      <c r="K656" s="533"/>
      <c r="L656" s="534"/>
      <c r="Q656" s="498"/>
      <c r="R656" s="498"/>
    </row>
    <row r="657" ht="15.75" customHeight="1">
      <c r="A657" s="496">
        <v>1719494.0</v>
      </c>
      <c r="B657" s="496" t="s">
        <v>2697</v>
      </c>
      <c r="C657" s="497">
        <v>28.28</v>
      </c>
      <c r="K657" s="533"/>
      <c r="L657" s="534"/>
      <c r="Q657" s="498"/>
      <c r="R657" s="498"/>
    </row>
    <row r="658" ht="15.75" customHeight="1">
      <c r="A658" s="496">
        <v>4453045.0</v>
      </c>
      <c r="B658" s="496" t="s">
        <v>3601</v>
      </c>
      <c r="C658" s="497">
        <v>28.19</v>
      </c>
      <c r="K658" s="533"/>
      <c r="L658" s="534"/>
      <c r="Q658" s="498"/>
      <c r="R658" s="498"/>
    </row>
    <row r="659" ht="15.75" customHeight="1">
      <c r="A659" s="496">
        <v>5642649.0</v>
      </c>
      <c r="B659" s="496" t="s">
        <v>3602</v>
      </c>
      <c r="C659" s="497">
        <v>27.77</v>
      </c>
      <c r="K659" s="533"/>
      <c r="L659" s="534"/>
      <c r="Q659" s="498"/>
      <c r="R659" s="498"/>
    </row>
    <row r="660" ht="15.75" customHeight="1">
      <c r="A660" s="496">
        <v>1804114.0</v>
      </c>
      <c r="B660" s="496" t="s">
        <v>3588</v>
      </c>
      <c r="C660" s="497">
        <v>26.52</v>
      </c>
      <c r="K660" s="533"/>
      <c r="L660" s="534"/>
      <c r="Q660" s="498"/>
      <c r="R660" s="498"/>
    </row>
    <row r="661" ht="15.75" customHeight="1">
      <c r="A661" s="496">
        <v>4508159.0</v>
      </c>
      <c r="B661" s="496" t="s">
        <v>2642</v>
      </c>
      <c r="C661" s="497">
        <v>25.31</v>
      </c>
      <c r="K661" s="533"/>
      <c r="L661" s="534"/>
      <c r="Q661" s="498"/>
      <c r="R661" s="498"/>
    </row>
    <row r="662" ht="15.75" customHeight="1">
      <c r="A662" s="496">
        <v>4472076.0</v>
      </c>
      <c r="B662" s="496" t="s">
        <v>2703</v>
      </c>
      <c r="C662" s="497">
        <v>24.23</v>
      </c>
      <c r="K662" s="533"/>
      <c r="L662" s="534"/>
      <c r="Q662" s="498"/>
      <c r="R662" s="498"/>
    </row>
    <row r="663" ht="15.75" customHeight="1">
      <c r="A663" s="496">
        <v>5142611.0</v>
      </c>
      <c r="B663" s="496" t="s">
        <v>2540</v>
      </c>
      <c r="C663" s="497">
        <v>24.08</v>
      </c>
      <c r="K663" s="533"/>
      <c r="L663" s="534"/>
      <c r="Q663" s="498"/>
      <c r="R663" s="498"/>
    </row>
    <row r="664" ht="15.75" customHeight="1">
      <c r="A664" s="496">
        <v>4207955.0</v>
      </c>
      <c r="B664" s="496" t="s">
        <v>3607</v>
      </c>
      <c r="C664" s="497">
        <v>23.2</v>
      </c>
      <c r="K664" s="533"/>
      <c r="L664" s="534"/>
      <c r="Q664" s="498"/>
      <c r="R664" s="498"/>
    </row>
    <row r="665" ht="15.75" customHeight="1">
      <c r="A665" s="496">
        <v>8894569.0</v>
      </c>
      <c r="B665" s="496" t="s">
        <v>3610</v>
      </c>
      <c r="C665" s="497">
        <v>22.18</v>
      </c>
      <c r="K665" s="533"/>
      <c r="L665" s="534"/>
      <c r="Q665" s="498"/>
      <c r="R665" s="498"/>
    </row>
    <row r="666" ht="15.75" customHeight="1">
      <c r="A666" s="496">
        <v>8004799.0</v>
      </c>
      <c r="B666" s="496" t="s">
        <v>2740</v>
      </c>
      <c r="C666" s="497">
        <v>15.92</v>
      </c>
      <c r="K666" s="533"/>
      <c r="L666" s="534"/>
      <c r="Q666" s="498"/>
      <c r="R666" s="498"/>
    </row>
    <row r="667" ht="15.75" customHeight="1">
      <c r="A667" s="496">
        <v>1368670.0</v>
      </c>
      <c r="B667" s="496" t="s">
        <v>200</v>
      </c>
      <c r="C667" s="497">
        <v>13.93</v>
      </c>
      <c r="K667" s="533"/>
      <c r="L667" s="534"/>
      <c r="Q667" s="498"/>
      <c r="R667" s="498"/>
    </row>
    <row r="668" ht="15.75" customHeight="1">
      <c r="A668" s="496">
        <v>4212581.0</v>
      </c>
      <c r="B668" s="496" t="s">
        <v>2611</v>
      </c>
      <c r="C668" s="497">
        <v>10.04</v>
      </c>
      <c r="K668" s="533"/>
      <c r="L668" s="534"/>
      <c r="Q668" s="498"/>
      <c r="R668" s="498"/>
    </row>
    <row r="669" ht="15.75" customHeight="1">
      <c r="A669" s="496">
        <v>5661334.0</v>
      </c>
      <c r="B669" s="496" t="s">
        <v>3195</v>
      </c>
      <c r="C669" s="497">
        <v>10.0</v>
      </c>
      <c r="K669" s="533"/>
      <c r="L669" s="534"/>
      <c r="Q669" s="498"/>
      <c r="R669" s="498"/>
    </row>
    <row r="670" ht="15.75" customHeight="1">
      <c r="A670" s="496">
        <v>8004995.0</v>
      </c>
      <c r="B670" s="496" t="s">
        <v>2542</v>
      </c>
      <c r="C670" s="497">
        <v>9.0</v>
      </c>
      <c r="K670" s="533"/>
      <c r="L670" s="534"/>
      <c r="Q670" s="498"/>
      <c r="R670" s="498"/>
    </row>
    <row r="671" ht="15.75" customHeight="1">
      <c r="A671" s="496">
        <v>1.512721E7</v>
      </c>
      <c r="B671" s="496" t="s">
        <v>3615</v>
      </c>
      <c r="C671" s="497">
        <v>8.79</v>
      </c>
      <c r="K671" s="533"/>
      <c r="L671" s="534"/>
      <c r="Q671" s="498"/>
      <c r="R671" s="498"/>
    </row>
    <row r="672" ht="15.75" customHeight="1">
      <c r="A672" s="496">
        <v>8615899.0</v>
      </c>
      <c r="B672" s="496" t="s">
        <v>2653</v>
      </c>
      <c r="C672" s="497">
        <v>7.84</v>
      </c>
      <c r="K672" s="533"/>
      <c r="L672" s="534"/>
      <c r="Q672" s="498"/>
      <c r="R672" s="498"/>
    </row>
    <row r="673" ht="15.75" customHeight="1">
      <c r="A673" s="496">
        <v>4840589.0</v>
      </c>
      <c r="B673" s="496" t="s">
        <v>2993</v>
      </c>
      <c r="C673" s="497">
        <v>4.71</v>
      </c>
      <c r="K673" s="533"/>
      <c r="L673" s="534"/>
      <c r="Q673" s="498"/>
      <c r="R673" s="498"/>
    </row>
    <row r="674" ht="15.75" customHeight="1">
      <c r="A674" s="496">
        <v>5374916.0</v>
      </c>
      <c r="B674" s="496" t="s">
        <v>2645</v>
      </c>
      <c r="C674" s="497">
        <v>2.53</v>
      </c>
      <c r="K674" s="533"/>
      <c r="L674" s="534"/>
      <c r="Q674" s="498"/>
      <c r="R674" s="498"/>
    </row>
    <row r="675" ht="15.75" customHeight="1">
      <c r="A675" s="496">
        <v>2.4866212E7</v>
      </c>
      <c r="B675" s="496" t="s">
        <v>2550</v>
      </c>
      <c r="C675" s="497">
        <v>2.1</v>
      </c>
      <c r="K675" s="533"/>
      <c r="L675" s="534"/>
      <c r="Q675" s="498"/>
      <c r="R675" s="498"/>
    </row>
    <row r="676" ht="15.75" customHeight="1">
      <c r="A676" s="496">
        <v>1882235.0</v>
      </c>
      <c r="B676" s="496" t="s">
        <v>3618</v>
      </c>
      <c r="C676" s="497">
        <v>1.84</v>
      </c>
      <c r="K676" s="533"/>
      <c r="L676" s="534"/>
      <c r="Q676" s="498"/>
      <c r="R676" s="498"/>
    </row>
    <row r="677" ht="15.75" customHeight="1">
      <c r="A677" s="496">
        <v>9038731.0</v>
      </c>
      <c r="B677" s="496" t="s">
        <v>3619</v>
      </c>
      <c r="C677" s="497">
        <v>1.76</v>
      </c>
      <c r="K677" s="533"/>
      <c r="L677" s="534"/>
      <c r="Q677" s="498"/>
      <c r="R677" s="498"/>
    </row>
    <row r="678" ht="15.75" customHeight="1">
      <c r="A678" s="496">
        <v>8404765.0</v>
      </c>
      <c r="B678" s="496" t="s">
        <v>3430</v>
      </c>
      <c r="C678" s="497">
        <v>1.75</v>
      </c>
      <c r="K678" s="533"/>
      <c r="L678" s="534"/>
      <c r="Q678" s="498"/>
      <c r="R678" s="498"/>
    </row>
    <row r="679" ht="15.75" customHeight="1">
      <c r="A679" s="496">
        <v>5019925.0</v>
      </c>
      <c r="B679" s="496" t="s">
        <v>2936</v>
      </c>
      <c r="C679" s="497">
        <v>1.7</v>
      </c>
      <c r="K679" s="533"/>
      <c r="L679" s="534"/>
      <c r="Q679" s="498"/>
      <c r="R679" s="498"/>
    </row>
    <row r="680" ht="15.75" customHeight="1">
      <c r="A680" s="496">
        <v>8830000.0</v>
      </c>
      <c r="B680" s="496" t="s">
        <v>3065</v>
      </c>
      <c r="C680" s="497">
        <v>1.61</v>
      </c>
      <c r="K680" s="533"/>
      <c r="L680" s="534"/>
      <c r="Q680" s="498"/>
      <c r="R680" s="498"/>
    </row>
    <row r="681" ht="15.75" customHeight="1">
      <c r="A681" s="496">
        <v>5701765.0</v>
      </c>
      <c r="B681" s="496" t="s">
        <v>3620</v>
      </c>
      <c r="C681" s="497">
        <v>1.54</v>
      </c>
      <c r="K681" s="533"/>
      <c r="L681" s="534"/>
      <c r="Q681" s="498"/>
      <c r="R681" s="498"/>
    </row>
    <row r="682" ht="15.75" customHeight="1">
      <c r="A682" s="496">
        <v>4805333.0</v>
      </c>
      <c r="B682" s="496" t="s">
        <v>3622</v>
      </c>
      <c r="C682" s="497">
        <v>1.37</v>
      </c>
      <c r="K682" s="533"/>
      <c r="L682" s="534"/>
      <c r="Q682" s="498"/>
      <c r="R682" s="498"/>
    </row>
    <row r="683" ht="15.75" customHeight="1">
      <c r="A683" s="496">
        <v>8012870.0</v>
      </c>
      <c r="B683" s="496" t="s">
        <v>2689</v>
      </c>
      <c r="C683" s="497">
        <v>1.36</v>
      </c>
      <c r="K683" s="533"/>
      <c r="L683" s="534"/>
      <c r="Q683" s="498"/>
      <c r="R683" s="498"/>
    </row>
    <row r="684" ht="15.75" customHeight="1">
      <c r="A684" s="496">
        <v>4976625.0</v>
      </c>
      <c r="B684" s="496" t="s">
        <v>3623</v>
      </c>
      <c r="C684" s="497">
        <v>1.1</v>
      </c>
      <c r="K684" s="533"/>
      <c r="L684" s="534"/>
      <c r="Q684" s="498"/>
      <c r="R684" s="498"/>
    </row>
    <row r="685" ht="15.75" customHeight="1">
      <c r="A685" s="496">
        <v>1.1095494E7</v>
      </c>
      <c r="B685" s="496" t="s">
        <v>2712</v>
      </c>
      <c r="C685" s="497">
        <v>1.0</v>
      </c>
      <c r="K685" s="533"/>
      <c r="L685" s="534"/>
      <c r="Q685" s="498"/>
      <c r="R685" s="498"/>
    </row>
    <row r="686" ht="15.75" customHeight="1">
      <c r="A686" s="496">
        <v>4486497.0</v>
      </c>
      <c r="B686" s="496" t="s">
        <v>3624</v>
      </c>
      <c r="C686" s="497">
        <v>0.96</v>
      </c>
      <c r="K686" s="533"/>
      <c r="L686" s="534"/>
      <c r="Q686" s="498"/>
      <c r="R686" s="498"/>
    </row>
    <row r="687" ht="15.75" customHeight="1">
      <c r="A687" s="496">
        <v>4115403.0</v>
      </c>
      <c r="B687" s="496" t="s">
        <v>3627</v>
      </c>
      <c r="C687" s="497">
        <v>0.88</v>
      </c>
      <c r="K687" s="533"/>
      <c r="L687" s="534"/>
      <c r="Q687" s="498"/>
      <c r="R687" s="498"/>
    </row>
    <row r="688" ht="15.75" customHeight="1">
      <c r="A688" s="496">
        <v>4472431.0</v>
      </c>
      <c r="B688" s="496" t="s">
        <v>2697</v>
      </c>
      <c r="C688" s="497">
        <v>0.83</v>
      </c>
      <c r="K688" s="533"/>
      <c r="L688" s="534"/>
      <c r="Q688" s="498"/>
      <c r="R688" s="498"/>
    </row>
    <row r="689" ht="15.75" customHeight="1">
      <c r="A689" s="496">
        <v>4381194.0</v>
      </c>
      <c r="B689" s="496" t="s">
        <v>3628</v>
      </c>
      <c r="C689" s="497">
        <v>0.76</v>
      </c>
      <c r="K689" s="533"/>
      <c r="L689" s="534"/>
      <c r="Q689" s="498"/>
      <c r="R689" s="498"/>
    </row>
    <row r="690" ht="15.75" customHeight="1">
      <c r="A690" s="496">
        <v>938440.0</v>
      </c>
      <c r="B690" s="496" t="s">
        <v>3629</v>
      </c>
      <c r="C690" s="497">
        <v>0.63</v>
      </c>
      <c r="K690" s="533"/>
      <c r="L690" s="534"/>
      <c r="Q690" s="498"/>
      <c r="R690" s="498"/>
    </row>
    <row r="691" ht="15.75" customHeight="1">
      <c r="A691" s="496">
        <v>4848843.0</v>
      </c>
      <c r="B691" s="496" t="s">
        <v>3630</v>
      </c>
      <c r="C691" s="497">
        <v>0.63</v>
      </c>
      <c r="K691" s="533"/>
      <c r="L691" s="534"/>
      <c r="Q691" s="498"/>
      <c r="R691" s="498"/>
    </row>
    <row r="692" ht="15.75" customHeight="1">
      <c r="A692" s="496">
        <v>5110894.0</v>
      </c>
      <c r="B692" s="496" t="s">
        <v>2689</v>
      </c>
      <c r="C692" s="497">
        <v>0.6</v>
      </c>
      <c r="K692" s="533"/>
      <c r="L692" s="534"/>
      <c r="Q692" s="498"/>
      <c r="R692" s="498"/>
    </row>
    <row r="693" ht="15.75" customHeight="1">
      <c r="A693" s="496">
        <v>5880628.0</v>
      </c>
      <c r="B693" s="496" t="s">
        <v>2651</v>
      </c>
      <c r="C693" s="497">
        <v>0.56</v>
      </c>
      <c r="K693" s="533"/>
      <c r="L693" s="534"/>
      <c r="Q693" s="498"/>
      <c r="R693" s="498"/>
    </row>
    <row r="694" ht="15.75" customHeight="1">
      <c r="A694" s="496">
        <v>4207374.0</v>
      </c>
      <c r="B694" s="496" t="s">
        <v>3633</v>
      </c>
      <c r="C694" s="497">
        <v>0.55</v>
      </c>
      <c r="K694" s="533"/>
      <c r="L694" s="534"/>
      <c r="Q694" s="498"/>
      <c r="R694" s="498"/>
    </row>
    <row r="695" ht="15.75" customHeight="1">
      <c r="A695" s="496">
        <v>8353082.0</v>
      </c>
      <c r="B695" s="496" t="s">
        <v>2651</v>
      </c>
      <c r="C695" s="497">
        <v>0.51</v>
      </c>
      <c r="K695" s="533"/>
      <c r="L695" s="534"/>
      <c r="Q695" s="498"/>
      <c r="R695" s="498"/>
    </row>
    <row r="696" ht="15.75" customHeight="1">
      <c r="A696" s="496">
        <v>8960460.0</v>
      </c>
      <c r="B696" s="496" t="s">
        <v>3634</v>
      </c>
      <c r="C696" s="497">
        <v>0.46</v>
      </c>
      <c r="K696" s="533"/>
      <c r="L696" s="534"/>
      <c r="Q696" s="498"/>
      <c r="R696" s="498"/>
    </row>
    <row r="697" ht="15.75" customHeight="1">
      <c r="A697" s="496">
        <v>9262271.0</v>
      </c>
      <c r="B697" s="496" t="s">
        <v>3635</v>
      </c>
      <c r="C697" s="497">
        <v>0.43</v>
      </c>
      <c r="K697" s="533"/>
      <c r="L697" s="534"/>
      <c r="Q697" s="498"/>
      <c r="R697" s="498"/>
    </row>
    <row r="698" ht="15.75" customHeight="1">
      <c r="A698" s="496">
        <v>8443638.0</v>
      </c>
      <c r="B698" s="496" t="s">
        <v>3636</v>
      </c>
      <c r="C698" s="497">
        <v>0.37</v>
      </c>
      <c r="K698" s="533"/>
      <c r="L698" s="534"/>
      <c r="Q698" s="498"/>
      <c r="R698" s="498"/>
    </row>
    <row r="699" ht="15.75" customHeight="1">
      <c r="A699" s="496">
        <v>8525980.0</v>
      </c>
      <c r="B699" s="496" t="s">
        <v>2577</v>
      </c>
      <c r="C699" s="497">
        <v>0.29</v>
      </c>
      <c r="K699" s="533"/>
      <c r="L699" s="534"/>
      <c r="Q699" s="498"/>
      <c r="R699" s="498"/>
    </row>
    <row r="700" ht="15.75" customHeight="1">
      <c r="A700" s="496">
        <v>8243633.0</v>
      </c>
      <c r="B700" s="496" t="s">
        <v>2513</v>
      </c>
      <c r="C700" s="497">
        <v>0.28</v>
      </c>
      <c r="K700" s="533"/>
      <c r="L700" s="534"/>
      <c r="Q700" s="498"/>
      <c r="R700" s="498"/>
    </row>
    <row r="701" ht="15.75" customHeight="1">
      <c r="A701" s="496">
        <v>5697554.0</v>
      </c>
      <c r="B701" s="496" t="s">
        <v>2611</v>
      </c>
      <c r="C701" s="497">
        <v>0.22</v>
      </c>
      <c r="K701" s="533"/>
      <c r="L701" s="534"/>
      <c r="Q701" s="498"/>
      <c r="R701" s="498"/>
    </row>
    <row r="702" ht="15.75" customHeight="1">
      <c r="A702" s="496">
        <v>1.7775289E7</v>
      </c>
      <c r="B702" s="496" t="s">
        <v>3637</v>
      </c>
      <c r="C702" s="497">
        <v>0.21</v>
      </c>
      <c r="K702" s="533"/>
      <c r="L702" s="534"/>
      <c r="Q702" s="498"/>
      <c r="R702" s="498"/>
    </row>
    <row r="703" ht="15.75" customHeight="1">
      <c r="A703" s="496">
        <v>5110867.0</v>
      </c>
      <c r="B703" s="496" t="s">
        <v>3639</v>
      </c>
      <c r="C703" s="497">
        <v>0.12</v>
      </c>
      <c r="K703" s="533"/>
      <c r="L703" s="534"/>
      <c r="Q703" s="498"/>
      <c r="R703" s="498"/>
    </row>
    <row r="704" ht="15.75" customHeight="1">
      <c r="A704" s="496">
        <v>9173523.0</v>
      </c>
      <c r="B704" s="496" t="s">
        <v>2632</v>
      </c>
      <c r="C704" s="497">
        <v>0.11</v>
      </c>
      <c r="K704" s="533"/>
      <c r="L704" s="534"/>
      <c r="Q704" s="498"/>
      <c r="R704" s="498"/>
    </row>
    <row r="705" ht="15.75" customHeight="1">
      <c r="A705" s="496">
        <v>4267976.0</v>
      </c>
      <c r="B705" s="496" t="s">
        <v>3640</v>
      </c>
      <c r="C705" s="497">
        <v>0.09</v>
      </c>
      <c r="K705" s="533"/>
      <c r="L705" s="534"/>
      <c r="Q705" s="498"/>
      <c r="R705" s="498"/>
    </row>
    <row r="706" ht="15.75" customHeight="1">
      <c r="A706" s="496">
        <v>4381095.0</v>
      </c>
      <c r="B706" s="496" t="s">
        <v>200</v>
      </c>
      <c r="C706" s="497">
        <v>0.09</v>
      </c>
      <c r="K706" s="533"/>
      <c r="L706" s="534"/>
      <c r="Q706" s="498"/>
      <c r="R706" s="498"/>
    </row>
    <row r="707" ht="15.75" customHeight="1">
      <c r="A707" s="496">
        <v>5000460.0</v>
      </c>
      <c r="B707" s="496" t="s">
        <v>211</v>
      </c>
      <c r="C707" s="497">
        <v>0.07</v>
      </c>
      <c r="K707" s="533"/>
      <c r="L707" s="534"/>
      <c r="Q707" s="498"/>
      <c r="R707" s="498"/>
    </row>
    <row r="708" ht="15.75" customHeight="1">
      <c r="A708" s="496">
        <v>5641874.0</v>
      </c>
      <c r="B708" s="496" t="s">
        <v>3642</v>
      </c>
      <c r="C708" s="497">
        <v>0.02</v>
      </c>
      <c r="K708" s="533"/>
      <c r="L708" s="534"/>
      <c r="Q708" s="498"/>
      <c r="R708" s="498"/>
    </row>
    <row r="709" ht="15.75" customHeight="1">
      <c r="A709" s="496">
        <v>8297098.0</v>
      </c>
      <c r="B709" s="496" t="s">
        <v>3643</v>
      </c>
      <c r="C709" s="497">
        <v>0.02</v>
      </c>
      <c r="K709" s="533"/>
      <c r="L709" s="534"/>
      <c r="Q709" s="498"/>
      <c r="R709" s="498"/>
    </row>
    <row r="710" ht="15.75" customHeight="1">
      <c r="A710" s="496">
        <v>8569831.0</v>
      </c>
      <c r="B710" s="496" t="s">
        <v>2868</v>
      </c>
      <c r="C710" s="497">
        <v>0.02</v>
      </c>
      <c r="K710" s="533"/>
      <c r="L710" s="534"/>
      <c r="Q710" s="498"/>
      <c r="R710" s="498"/>
    </row>
    <row r="711" ht="15.75" customHeight="1">
      <c r="A711" s="496">
        <v>1.1281441E7</v>
      </c>
      <c r="B711" s="496" t="s">
        <v>3648</v>
      </c>
      <c r="C711" s="497">
        <v>0.02</v>
      </c>
      <c r="K711" s="533"/>
      <c r="L711" s="534"/>
      <c r="Q711" s="498"/>
      <c r="R711" s="498"/>
    </row>
    <row r="712" ht="15.75" customHeight="1">
      <c r="A712" s="496">
        <v>1731007.0</v>
      </c>
      <c r="B712" s="496" t="s">
        <v>2540</v>
      </c>
      <c r="C712" s="497">
        <v>0.01</v>
      </c>
      <c r="K712" s="533"/>
      <c r="L712" s="534"/>
      <c r="Q712" s="498"/>
      <c r="R712" s="498"/>
    </row>
    <row r="713" ht="15.75" customHeight="1">
      <c r="A713" s="496">
        <v>4213373.0</v>
      </c>
      <c r="B713" s="496" t="s">
        <v>2936</v>
      </c>
      <c r="C713" s="497">
        <v>0.01</v>
      </c>
      <c r="K713" s="533"/>
      <c r="L713" s="534"/>
      <c r="Q713" s="498"/>
      <c r="R713" s="498"/>
    </row>
    <row r="714" ht="15.75" customHeight="1">
      <c r="A714" s="496">
        <v>4223226.0</v>
      </c>
      <c r="B714" s="183" t="s">
        <v>3651</v>
      </c>
      <c r="C714" s="183">
        <v>0.01</v>
      </c>
      <c r="K714" s="533"/>
      <c r="L714" s="534"/>
      <c r="Q714" s="498"/>
      <c r="R714" s="498"/>
    </row>
    <row r="715" ht="15.75" customHeight="1">
      <c r="A715" s="496">
        <v>4228090.0</v>
      </c>
      <c r="B715" s="496" t="s">
        <v>2893</v>
      </c>
      <c r="C715" s="497">
        <v>0.01</v>
      </c>
      <c r="K715" s="533"/>
      <c r="L715" s="534"/>
      <c r="Q715" s="498"/>
      <c r="R715" s="498"/>
    </row>
    <row r="716" ht="15.75" customHeight="1">
      <c r="A716" s="496">
        <v>4238164.0</v>
      </c>
      <c r="B716" s="496" t="s">
        <v>2513</v>
      </c>
      <c r="C716" s="497">
        <v>0.01</v>
      </c>
      <c r="K716" s="533"/>
      <c r="L716" s="534"/>
      <c r="Q716" s="498"/>
      <c r="R716" s="498"/>
    </row>
    <row r="717" ht="15.75" customHeight="1">
      <c r="A717" s="496">
        <v>4457389.0</v>
      </c>
      <c r="B717" s="496" t="s">
        <v>2388</v>
      </c>
      <c r="C717" s="497">
        <v>0.01</v>
      </c>
      <c r="K717" s="533"/>
      <c r="L717" s="534"/>
      <c r="Q717" s="498"/>
      <c r="R717" s="498"/>
    </row>
    <row r="718" ht="15.75" customHeight="1">
      <c r="A718" s="496">
        <v>4530494.0</v>
      </c>
      <c r="B718" s="496" t="s">
        <v>2817</v>
      </c>
      <c r="C718" s="497">
        <v>0.01</v>
      </c>
      <c r="K718" s="533"/>
      <c r="L718" s="534"/>
      <c r="Q718" s="498"/>
      <c r="R718" s="498"/>
    </row>
    <row r="719" ht="15.75" customHeight="1">
      <c r="A719" s="496">
        <v>4975924.0</v>
      </c>
      <c r="B719" s="496" t="s">
        <v>2649</v>
      </c>
      <c r="C719" s="497">
        <v>0.01</v>
      </c>
      <c r="K719" s="533"/>
      <c r="L719" s="534"/>
      <c r="Q719" s="498"/>
      <c r="R719" s="498"/>
    </row>
    <row r="720" ht="15.75" customHeight="1">
      <c r="A720" s="496"/>
      <c r="B720" s="496"/>
      <c r="C720" s="497"/>
      <c r="K720" s="533"/>
      <c r="L720" s="534"/>
      <c r="Q720" s="498"/>
      <c r="R720" s="498"/>
    </row>
    <row r="721" ht="15.75" customHeight="1">
      <c r="A721" s="496"/>
      <c r="B721" s="496"/>
      <c r="C721" s="497"/>
      <c r="K721" s="533"/>
      <c r="L721" s="534"/>
      <c r="Q721" s="498"/>
      <c r="R721" s="498"/>
    </row>
    <row r="722" ht="15.75" customHeight="1">
      <c r="A722" s="496"/>
      <c r="B722" s="496"/>
      <c r="C722" s="497"/>
      <c r="K722" s="533"/>
      <c r="L722" s="534"/>
      <c r="Q722" s="498"/>
      <c r="R722" s="498"/>
    </row>
    <row r="723" ht="15.75" customHeight="1">
      <c r="A723" s="496"/>
      <c r="B723" s="496"/>
      <c r="C723" s="497"/>
      <c r="K723" s="533"/>
      <c r="L723" s="534"/>
      <c r="Q723" s="498"/>
      <c r="R723" s="498"/>
    </row>
    <row r="724" ht="15.75" customHeight="1">
      <c r="A724" s="496"/>
      <c r="B724" s="496"/>
      <c r="C724" s="497"/>
      <c r="K724" s="533"/>
      <c r="L724" s="534"/>
      <c r="Q724" s="498"/>
      <c r="R724" s="498"/>
    </row>
    <row r="725" ht="15.75" customHeight="1">
      <c r="A725" s="496"/>
      <c r="B725" s="496"/>
      <c r="C725" s="497"/>
      <c r="K725" s="533"/>
      <c r="L725" s="534"/>
      <c r="Q725" s="498"/>
      <c r="R725" s="498"/>
    </row>
    <row r="726" ht="15.75" customHeight="1">
      <c r="A726" s="496"/>
      <c r="B726" s="496"/>
      <c r="C726" s="497"/>
      <c r="K726" s="533"/>
      <c r="L726" s="534"/>
      <c r="Q726" s="498"/>
      <c r="R726" s="498"/>
    </row>
    <row r="727" ht="15.75" customHeight="1">
      <c r="A727" s="496"/>
      <c r="B727" s="496"/>
      <c r="C727" s="497"/>
      <c r="K727" s="533"/>
      <c r="L727" s="534"/>
      <c r="Q727" s="498"/>
      <c r="R727" s="498"/>
    </row>
    <row r="728" ht="15.75" customHeight="1">
      <c r="A728" s="496"/>
      <c r="B728" s="496"/>
      <c r="C728" s="497"/>
      <c r="K728" s="533"/>
      <c r="L728" s="534"/>
      <c r="Q728" s="498"/>
      <c r="R728" s="498"/>
    </row>
    <row r="729" ht="15.75" customHeight="1">
      <c r="A729" s="496"/>
      <c r="B729" s="496"/>
      <c r="C729" s="497"/>
      <c r="K729" s="533"/>
      <c r="L729" s="534"/>
      <c r="Q729" s="498"/>
      <c r="R729" s="498"/>
    </row>
    <row r="730" ht="15.75" customHeight="1">
      <c r="A730" s="496"/>
      <c r="B730" s="496"/>
      <c r="C730" s="497"/>
      <c r="K730" s="533"/>
      <c r="L730" s="534"/>
      <c r="Q730" s="498"/>
      <c r="R730" s="498"/>
    </row>
    <row r="731" ht="15.75" customHeight="1">
      <c r="A731" s="496"/>
      <c r="B731" s="496"/>
      <c r="C731" s="497"/>
      <c r="K731" s="533"/>
      <c r="L731" s="534"/>
      <c r="Q731" s="498"/>
      <c r="R731" s="498"/>
    </row>
    <row r="732" ht="15.75" customHeight="1">
      <c r="A732" s="496"/>
      <c r="B732" s="496"/>
      <c r="C732" s="497"/>
      <c r="K732" s="533"/>
      <c r="L732" s="534"/>
      <c r="Q732" s="498"/>
      <c r="R732" s="498"/>
    </row>
    <row r="733" ht="15.75" customHeight="1">
      <c r="A733" s="496"/>
      <c r="B733" s="496"/>
      <c r="C733" s="497"/>
      <c r="K733" s="533"/>
      <c r="L733" s="534"/>
      <c r="Q733" s="498"/>
      <c r="R733" s="498"/>
    </row>
    <row r="734" ht="15.75" customHeight="1">
      <c r="A734" s="496"/>
      <c r="B734" s="496"/>
      <c r="C734" s="497"/>
      <c r="K734" s="533"/>
      <c r="L734" s="534"/>
      <c r="Q734" s="498"/>
      <c r="R734" s="498"/>
    </row>
    <row r="735" ht="15.75" customHeight="1">
      <c r="A735" s="496"/>
      <c r="B735" s="496"/>
      <c r="C735" s="497"/>
      <c r="K735" s="533"/>
      <c r="L735" s="534"/>
      <c r="Q735" s="498"/>
      <c r="R735" s="498"/>
    </row>
    <row r="736" ht="15.75" customHeight="1">
      <c r="A736" s="496"/>
      <c r="B736" s="496"/>
      <c r="C736" s="497"/>
      <c r="K736" s="533"/>
      <c r="L736" s="534"/>
      <c r="Q736" s="498"/>
      <c r="R736" s="498"/>
    </row>
    <row r="737" ht="15.75" customHeight="1">
      <c r="A737" s="496"/>
      <c r="B737" s="496"/>
      <c r="C737" s="497"/>
      <c r="K737" s="533"/>
      <c r="L737" s="534"/>
      <c r="Q737" s="498"/>
      <c r="R737" s="498"/>
    </row>
    <row r="738" ht="15.75" customHeight="1">
      <c r="A738" s="496"/>
      <c r="B738" s="496"/>
      <c r="C738" s="497"/>
      <c r="K738" s="533"/>
      <c r="L738" s="534"/>
      <c r="Q738" s="498"/>
      <c r="R738" s="498"/>
    </row>
    <row r="739" ht="15.75" customHeight="1">
      <c r="A739" s="496"/>
      <c r="B739" s="496"/>
      <c r="C739" s="497"/>
      <c r="K739" s="533"/>
      <c r="L739" s="534"/>
      <c r="Q739" s="498"/>
      <c r="R739" s="498"/>
    </row>
    <row r="740" ht="15.75" customHeight="1">
      <c r="A740" s="496"/>
      <c r="B740" s="496"/>
      <c r="C740" s="497"/>
      <c r="K740" s="533"/>
      <c r="L740" s="534"/>
      <c r="Q740" s="498"/>
      <c r="R740" s="498"/>
    </row>
    <row r="741" ht="15.75" customHeight="1">
      <c r="A741" s="496"/>
      <c r="B741" s="496"/>
      <c r="C741" s="497"/>
      <c r="K741" s="533"/>
      <c r="L741" s="534"/>
      <c r="Q741" s="498"/>
      <c r="R741" s="498"/>
    </row>
    <row r="742" ht="15.75" customHeight="1">
      <c r="A742" s="496"/>
      <c r="B742" s="496"/>
      <c r="C742" s="497"/>
      <c r="K742" s="533"/>
      <c r="L742" s="534"/>
      <c r="Q742" s="498"/>
      <c r="R742" s="498"/>
    </row>
    <row r="743" ht="15.75" customHeight="1">
      <c r="A743" s="496"/>
      <c r="B743" s="496"/>
      <c r="C743" s="497"/>
      <c r="K743" s="533"/>
      <c r="L743" s="534"/>
      <c r="Q743" s="498"/>
      <c r="R743" s="498"/>
    </row>
    <row r="744" ht="15.75" customHeight="1">
      <c r="A744" s="496"/>
      <c r="B744" s="496"/>
      <c r="C744" s="497"/>
      <c r="K744" s="533"/>
      <c r="L744" s="534"/>
      <c r="Q744" s="498"/>
      <c r="R744" s="498"/>
    </row>
    <row r="745" ht="15.75" customHeight="1">
      <c r="A745" s="496"/>
      <c r="B745" s="496"/>
      <c r="C745" s="497"/>
      <c r="K745" s="533"/>
      <c r="L745" s="534"/>
      <c r="Q745" s="498"/>
      <c r="R745" s="498"/>
    </row>
    <row r="746" ht="15.75" customHeight="1">
      <c r="A746" s="496"/>
      <c r="B746" s="496"/>
      <c r="C746" s="497"/>
      <c r="K746" s="533"/>
      <c r="L746" s="534"/>
      <c r="Q746" s="498"/>
      <c r="R746" s="498"/>
    </row>
    <row r="747" ht="15.75" customHeight="1">
      <c r="A747" s="496"/>
      <c r="B747" s="496"/>
      <c r="C747" s="497"/>
      <c r="K747" s="533"/>
      <c r="L747" s="534"/>
      <c r="Q747" s="498"/>
      <c r="R747" s="498"/>
    </row>
    <row r="748" ht="15.75" customHeight="1">
      <c r="A748" s="496"/>
      <c r="B748" s="496"/>
      <c r="C748" s="497"/>
      <c r="K748" s="533"/>
      <c r="L748" s="534"/>
      <c r="Q748" s="498"/>
      <c r="R748" s="498"/>
    </row>
    <row r="749" ht="15.75" customHeight="1">
      <c r="A749" s="496"/>
      <c r="B749" s="496"/>
      <c r="C749" s="497"/>
      <c r="K749" s="533"/>
      <c r="L749" s="534"/>
      <c r="Q749" s="498"/>
      <c r="R749" s="498"/>
    </row>
    <row r="750" ht="15.75" customHeight="1">
      <c r="A750" s="496"/>
      <c r="B750" s="496"/>
      <c r="C750" s="497"/>
      <c r="K750" s="533"/>
      <c r="L750" s="534"/>
      <c r="Q750" s="498"/>
      <c r="R750" s="498"/>
    </row>
    <row r="751" ht="15.75" customHeight="1">
      <c r="A751" s="496"/>
      <c r="B751" s="496"/>
      <c r="C751" s="497"/>
      <c r="K751" s="533"/>
      <c r="L751" s="534"/>
      <c r="Q751" s="498"/>
      <c r="R751" s="498"/>
    </row>
    <row r="752" ht="15.75" customHeight="1">
      <c r="A752" s="496"/>
      <c r="B752" s="496"/>
      <c r="C752" s="497"/>
      <c r="K752" s="533"/>
      <c r="L752" s="534"/>
      <c r="Q752" s="498"/>
      <c r="R752" s="498"/>
    </row>
    <row r="753" ht="15.75" customHeight="1">
      <c r="A753" s="496"/>
      <c r="B753" s="496"/>
      <c r="C753" s="497"/>
      <c r="K753" s="533"/>
      <c r="L753" s="534"/>
      <c r="Q753" s="498"/>
      <c r="R753" s="498"/>
    </row>
    <row r="754" ht="15.75" customHeight="1">
      <c r="A754" s="496"/>
      <c r="B754" s="496"/>
      <c r="C754" s="497"/>
      <c r="K754" s="533"/>
      <c r="L754" s="534"/>
      <c r="Q754" s="498"/>
      <c r="R754" s="498"/>
    </row>
    <row r="755" ht="15.75" customHeight="1">
      <c r="A755" s="496"/>
      <c r="B755" s="496"/>
      <c r="C755" s="497"/>
      <c r="K755" s="533"/>
      <c r="L755" s="534"/>
      <c r="Q755" s="498"/>
      <c r="R755" s="498"/>
    </row>
    <row r="756" ht="15.75" customHeight="1">
      <c r="A756" s="496"/>
      <c r="B756" s="496"/>
      <c r="C756" s="497"/>
      <c r="K756" s="533"/>
      <c r="L756" s="534"/>
      <c r="Q756" s="498"/>
      <c r="R756" s="498"/>
    </row>
    <row r="757" ht="15.75" customHeight="1">
      <c r="A757" s="496"/>
      <c r="B757" s="496"/>
      <c r="C757" s="497"/>
      <c r="K757" s="533"/>
      <c r="L757" s="534"/>
      <c r="Q757" s="498"/>
      <c r="R757" s="498"/>
    </row>
    <row r="758" ht="15.75" customHeight="1">
      <c r="A758" s="496"/>
      <c r="B758" s="496"/>
      <c r="C758" s="497"/>
      <c r="K758" s="533"/>
      <c r="L758" s="534"/>
      <c r="Q758" s="498"/>
      <c r="R758" s="498"/>
    </row>
    <row r="759" ht="15.75" customHeight="1">
      <c r="A759" s="496"/>
      <c r="B759" s="496"/>
      <c r="C759" s="497"/>
      <c r="K759" s="533"/>
      <c r="L759" s="534"/>
      <c r="Q759" s="498"/>
      <c r="R759" s="498"/>
    </row>
    <row r="760" ht="15.75" customHeight="1">
      <c r="A760" s="496"/>
      <c r="B760" s="496"/>
      <c r="C760" s="497"/>
      <c r="K760" s="533"/>
      <c r="L760" s="534"/>
      <c r="Q760" s="498"/>
      <c r="R760" s="498"/>
    </row>
    <row r="761" ht="15.75" customHeight="1">
      <c r="A761" s="496"/>
      <c r="B761" s="496"/>
      <c r="C761" s="497"/>
      <c r="K761" s="533"/>
      <c r="L761" s="534"/>
      <c r="Q761" s="498"/>
      <c r="R761" s="498"/>
    </row>
    <row r="762" ht="15.75" customHeight="1">
      <c r="A762" s="496"/>
      <c r="B762" s="496"/>
      <c r="C762" s="497"/>
      <c r="K762" s="533"/>
      <c r="L762" s="534"/>
      <c r="Q762" s="498"/>
      <c r="R762" s="498"/>
    </row>
    <row r="763" ht="15.75" customHeight="1">
      <c r="A763" s="496"/>
      <c r="B763" s="496"/>
      <c r="C763" s="497"/>
      <c r="K763" s="533"/>
      <c r="L763" s="534"/>
      <c r="Q763" s="498"/>
      <c r="R763" s="498"/>
    </row>
    <row r="764" ht="15.75" customHeight="1">
      <c r="A764" s="496"/>
      <c r="B764" s="496"/>
      <c r="C764" s="497"/>
      <c r="K764" s="533"/>
      <c r="L764" s="534"/>
      <c r="Q764" s="498"/>
      <c r="R764" s="498"/>
    </row>
    <row r="765" ht="15.75" customHeight="1">
      <c r="A765" s="496"/>
      <c r="B765" s="496"/>
      <c r="C765" s="497"/>
      <c r="K765" s="533"/>
      <c r="L765" s="534"/>
      <c r="Q765" s="498"/>
      <c r="R765" s="498"/>
    </row>
    <row r="766" ht="15.75" customHeight="1">
      <c r="A766" s="496"/>
      <c r="B766" s="496"/>
      <c r="C766" s="497"/>
      <c r="K766" s="533"/>
      <c r="L766" s="534"/>
      <c r="Q766" s="498"/>
      <c r="R766" s="498"/>
    </row>
    <row r="767" ht="15.75" customHeight="1">
      <c r="A767" s="496"/>
      <c r="B767" s="496"/>
      <c r="C767" s="497"/>
      <c r="K767" s="533"/>
      <c r="L767" s="534"/>
      <c r="Q767" s="498"/>
      <c r="R767" s="498"/>
    </row>
    <row r="768" ht="15.75" customHeight="1">
      <c r="A768" s="496"/>
      <c r="B768" s="496"/>
      <c r="C768" s="497"/>
      <c r="K768" s="533"/>
      <c r="L768" s="534"/>
      <c r="Q768" s="498"/>
      <c r="R768" s="498"/>
    </row>
    <row r="769" ht="15.75" customHeight="1">
      <c r="A769" s="496"/>
      <c r="B769" s="496"/>
      <c r="C769" s="497"/>
      <c r="K769" s="533"/>
      <c r="L769" s="534"/>
      <c r="Q769" s="498"/>
      <c r="R769" s="498"/>
    </row>
    <row r="770" ht="15.75" customHeight="1">
      <c r="A770" s="496"/>
      <c r="B770" s="496"/>
      <c r="C770" s="497"/>
      <c r="K770" s="533"/>
      <c r="L770" s="534"/>
      <c r="Q770" s="498"/>
      <c r="R770" s="498"/>
    </row>
    <row r="771" ht="15.75" customHeight="1">
      <c r="A771" s="496"/>
      <c r="B771" s="496"/>
      <c r="C771" s="497"/>
      <c r="K771" s="533"/>
      <c r="L771" s="534"/>
      <c r="Q771" s="498"/>
      <c r="R771" s="498"/>
    </row>
    <row r="772" ht="15.75" customHeight="1">
      <c r="A772" s="496"/>
      <c r="B772" s="496"/>
      <c r="C772" s="497"/>
      <c r="K772" s="533"/>
      <c r="L772" s="534"/>
      <c r="Q772" s="498"/>
      <c r="R772" s="498"/>
    </row>
    <row r="773" ht="15.75" customHeight="1">
      <c r="A773" s="496"/>
      <c r="B773" s="496"/>
      <c r="C773" s="497"/>
      <c r="K773" s="533"/>
      <c r="L773" s="534"/>
      <c r="Q773" s="498"/>
      <c r="R773" s="498"/>
    </row>
    <row r="774" ht="15.75" customHeight="1">
      <c r="A774" s="496"/>
      <c r="B774" s="496"/>
      <c r="C774" s="497"/>
      <c r="K774" s="533"/>
      <c r="L774" s="534"/>
      <c r="Q774" s="498"/>
      <c r="R774" s="498"/>
    </row>
    <row r="775" ht="15.75" customHeight="1">
      <c r="A775" s="496"/>
      <c r="B775" s="496"/>
      <c r="C775" s="497"/>
      <c r="K775" s="533"/>
      <c r="L775" s="534"/>
      <c r="Q775" s="498"/>
      <c r="R775" s="498"/>
    </row>
    <row r="776" ht="15.75" customHeight="1">
      <c r="A776" s="496"/>
      <c r="B776" s="496"/>
      <c r="C776" s="497"/>
      <c r="K776" s="533"/>
      <c r="L776" s="534"/>
      <c r="Q776" s="498"/>
      <c r="R776" s="498"/>
    </row>
    <row r="777" ht="15.75" customHeight="1">
      <c r="A777" s="496"/>
      <c r="B777" s="496"/>
      <c r="C777" s="497"/>
      <c r="K777" s="533"/>
      <c r="L777" s="534"/>
      <c r="Q777" s="498"/>
      <c r="R777" s="498"/>
    </row>
    <row r="778" ht="15.75" customHeight="1">
      <c r="A778" s="496"/>
      <c r="B778" s="496"/>
      <c r="C778" s="497"/>
      <c r="K778" s="533"/>
      <c r="L778" s="534"/>
      <c r="Q778" s="498"/>
      <c r="R778" s="498"/>
    </row>
    <row r="779" ht="15.75" customHeight="1">
      <c r="A779" s="496"/>
      <c r="B779" s="496"/>
      <c r="C779" s="497"/>
      <c r="K779" s="533"/>
      <c r="L779" s="534"/>
      <c r="Q779" s="498"/>
      <c r="R779" s="498"/>
    </row>
    <row r="780" ht="15.75" customHeight="1">
      <c r="A780" s="496"/>
      <c r="B780" s="496"/>
      <c r="C780" s="497"/>
      <c r="K780" s="533"/>
      <c r="L780" s="534"/>
      <c r="Q780" s="498"/>
      <c r="R780" s="498"/>
    </row>
    <row r="781" ht="15.75" customHeight="1">
      <c r="A781" s="496"/>
      <c r="B781" s="496"/>
      <c r="C781" s="497"/>
      <c r="K781" s="533"/>
      <c r="L781" s="534"/>
      <c r="Q781" s="498"/>
      <c r="R781" s="498"/>
    </row>
    <row r="782" ht="15.75" customHeight="1">
      <c r="A782" s="496"/>
      <c r="B782" s="496"/>
      <c r="C782" s="497"/>
      <c r="K782" s="533"/>
      <c r="L782" s="534"/>
      <c r="Q782" s="498"/>
      <c r="R782" s="498"/>
    </row>
    <row r="783" ht="15.75" customHeight="1">
      <c r="A783" s="496"/>
      <c r="B783" s="496"/>
      <c r="C783" s="497"/>
      <c r="K783" s="533"/>
      <c r="L783" s="534"/>
      <c r="Q783" s="498"/>
      <c r="R783" s="498"/>
    </row>
    <row r="784" ht="15.75" customHeight="1">
      <c r="A784" s="496"/>
      <c r="B784" s="496"/>
      <c r="C784" s="497"/>
      <c r="K784" s="533"/>
      <c r="L784" s="534"/>
      <c r="Q784" s="498"/>
      <c r="R784" s="498"/>
    </row>
    <row r="785" ht="15.75" customHeight="1">
      <c r="A785" s="496"/>
      <c r="B785" s="496"/>
      <c r="C785" s="497"/>
      <c r="K785" s="533"/>
      <c r="L785" s="534"/>
      <c r="Q785" s="498"/>
      <c r="R785" s="498"/>
    </row>
    <row r="786" ht="15.75" customHeight="1">
      <c r="A786" s="496"/>
      <c r="B786" s="496"/>
      <c r="C786" s="497"/>
      <c r="K786" s="533"/>
      <c r="L786" s="534"/>
      <c r="Q786" s="498"/>
      <c r="R786" s="498"/>
    </row>
    <row r="787" ht="15.75" customHeight="1">
      <c r="A787" s="496"/>
      <c r="B787" s="496"/>
      <c r="C787" s="497"/>
      <c r="K787" s="533"/>
      <c r="L787" s="534"/>
      <c r="Q787" s="498"/>
      <c r="R787" s="498"/>
    </row>
    <row r="788" ht="15.75" customHeight="1">
      <c r="A788" s="496"/>
      <c r="B788" s="496"/>
      <c r="C788" s="497"/>
      <c r="K788" s="533"/>
      <c r="L788" s="534"/>
      <c r="Q788" s="498"/>
      <c r="R788" s="498"/>
    </row>
    <row r="789" ht="15.75" customHeight="1">
      <c r="A789" s="496"/>
      <c r="B789" s="496"/>
      <c r="C789" s="497"/>
      <c r="K789" s="533"/>
      <c r="L789" s="534"/>
      <c r="Q789" s="498"/>
      <c r="R789" s="498"/>
    </row>
    <row r="790" ht="15.75" customHeight="1">
      <c r="A790" s="496"/>
      <c r="B790" s="496"/>
      <c r="C790" s="497"/>
      <c r="K790" s="533"/>
      <c r="L790" s="534"/>
      <c r="Q790" s="498"/>
      <c r="R790" s="498"/>
    </row>
    <row r="791" ht="15.75" customHeight="1">
      <c r="A791" s="496"/>
      <c r="B791" s="496"/>
      <c r="C791" s="497"/>
      <c r="K791" s="533"/>
      <c r="L791" s="534"/>
      <c r="Q791" s="498"/>
      <c r="R791" s="498"/>
    </row>
    <row r="792" ht="15.75" customHeight="1">
      <c r="A792" s="496"/>
      <c r="B792" s="496"/>
      <c r="C792" s="497"/>
      <c r="K792" s="533"/>
      <c r="L792" s="534"/>
      <c r="Q792" s="498"/>
      <c r="R792" s="498"/>
    </row>
    <row r="793" ht="15.75" customHeight="1">
      <c r="A793" s="496"/>
      <c r="B793" s="496"/>
      <c r="C793" s="497"/>
      <c r="K793" s="533"/>
      <c r="L793" s="534"/>
      <c r="Q793" s="498"/>
      <c r="R793" s="498"/>
    </row>
    <row r="794" ht="15.75" customHeight="1">
      <c r="A794" s="496"/>
      <c r="B794" s="496"/>
      <c r="C794" s="497"/>
      <c r="K794" s="533"/>
      <c r="L794" s="534"/>
      <c r="Q794" s="498"/>
      <c r="R794" s="498"/>
    </row>
    <row r="795" ht="15.75" customHeight="1">
      <c r="A795" s="496"/>
      <c r="B795" s="496"/>
      <c r="C795" s="497"/>
      <c r="K795" s="533"/>
      <c r="L795" s="534"/>
      <c r="Q795" s="498"/>
      <c r="R795" s="498"/>
    </row>
    <row r="796" ht="15.75" customHeight="1">
      <c r="A796" s="496"/>
      <c r="B796" s="496"/>
      <c r="C796" s="497"/>
      <c r="K796" s="533"/>
      <c r="L796" s="534"/>
      <c r="Q796" s="498"/>
      <c r="R796" s="498"/>
    </row>
    <row r="797" ht="15.75" customHeight="1">
      <c r="A797" s="496"/>
      <c r="B797" s="496"/>
      <c r="C797" s="497"/>
      <c r="K797" s="533"/>
      <c r="L797" s="534"/>
      <c r="Q797" s="498"/>
      <c r="R797" s="498"/>
    </row>
    <row r="798" ht="15.75" customHeight="1">
      <c r="A798" s="496"/>
      <c r="B798" s="496"/>
      <c r="C798" s="497"/>
      <c r="K798" s="533"/>
      <c r="L798" s="534"/>
      <c r="Q798" s="498"/>
      <c r="R798" s="498"/>
    </row>
    <row r="799" ht="15.75" customHeight="1">
      <c r="A799" s="496"/>
      <c r="B799" s="496"/>
      <c r="C799" s="497"/>
      <c r="K799" s="533"/>
      <c r="L799" s="534"/>
      <c r="Q799" s="498"/>
      <c r="R799" s="498"/>
    </row>
    <row r="800" ht="15.75" customHeight="1">
      <c r="A800" s="496"/>
      <c r="B800" s="496"/>
      <c r="C800" s="497"/>
      <c r="K800" s="533"/>
      <c r="L800" s="534"/>
      <c r="Q800" s="498"/>
      <c r="R800" s="498"/>
    </row>
    <row r="801" ht="15.75" customHeight="1">
      <c r="A801" s="496"/>
      <c r="B801" s="496"/>
      <c r="C801" s="497"/>
      <c r="K801" s="533"/>
      <c r="L801" s="534"/>
      <c r="Q801" s="498"/>
      <c r="R801" s="498"/>
    </row>
    <row r="802" ht="15.75" customHeight="1">
      <c r="A802" s="496"/>
      <c r="B802" s="496"/>
      <c r="C802" s="497"/>
      <c r="K802" s="533"/>
      <c r="L802" s="534"/>
      <c r="Q802" s="498"/>
      <c r="R802" s="498"/>
    </row>
    <row r="803" ht="15.75" customHeight="1">
      <c r="A803" s="496"/>
      <c r="B803" s="496"/>
      <c r="C803" s="497"/>
      <c r="K803" s="533"/>
      <c r="L803" s="534"/>
      <c r="Q803" s="498"/>
      <c r="R803" s="498"/>
    </row>
    <row r="804" ht="15.75" customHeight="1">
      <c r="A804" s="496"/>
      <c r="B804" s="496"/>
      <c r="C804" s="497"/>
      <c r="K804" s="533"/>
      <c r="L804" s="534"/>
      <c r="Q804" s="498"/>
      <c r="R804" s="498"/>
    </row>
    <row r="805" ht="15.75" customHeight="1">
      <c r="A805" s="496"/>
      <c r="B805" s="496"/>
      <c r="C805" s="497"/>
      <c r="K805" s="533"/>
      <c r="L805" s="534"/>
      <c r="Q805" s="498"/>
      <c r="R805" s="498"/>
    </row>
    <row r="806" ht="15.75" customHeight="1">
      <c r="A806" s="496"/>
      <c r="B806" s="496"/>
      <c r="C806" s="497"/>
      <c r="K806" s="533"/>
      <c r="L806" s="534"/>
      <c r="Q806" s="498"/>
      <c r="R806" s="498"/>
    </row>
    <row r="807" ht="15.75" customHeight="1">
      <c r="A807" s="496"/>
      <c r="B807" s="496"/>
      <c r="C807" s="497"/>
      <c r="K807" s="533"/>
      <c r="L807" s="534"/>
      <c r="Q807" s="498"/>
      <c r="R807" s="498"/>
    </row>
    <row r="808" ht="15.75" customHeight="1">
      <c r="A808" s="496"/>
      <c r="B808" s="496"/>
      <c r="C808" s="497"/>
      <c r="K808" s="533"/>
      <c r="L808" s="534"/>
      <c r="Q808" s="498"/>
      <c r="R808" s="498"/>
    </row>
    <row r="809" ht="15.75" customHeight="1">
      <c r="A809" s="496"/>
      <c r="B809" s="496"/>
      <c r="C809" s="497"/>
      <c r="K809" s="533"/>
      <c r="L809" s="534"/>
      <c r="Q809" s="498"/>
      <c r="R809" s="498"/>
    </row>
    <row r="810" ht="15.75" customHeight="1">
      <c r="A810" s="496"/>
      <c r="B810" s="496"/>
      <c r="C810" s="497"/>
      <c r="K810" s="533"/>
      <c r="L810" s="534"/>
      <c r="Q810" s="498"/>
      <c r="R810" s="498"/>
    </row>
    <row r="811" ht="15.75" customHeight="1">
      <c r="A811" s="496"/>
      <c r="B811" s="496"/>
      <c r="C811" s="497"/>
      <c r="K811" s="533"/>
      <c r="L811" s="534"/>
      <c r="Q811" s="498"/>
      <c r="R811" s="498"/>
    </row>
    <row r="812" ht="15.75" customHeight="1">
      <c r="A812" s="496"/>
      <c r="B812" s="496"/>
      <c r="C812" s="497"/>
      <c r="K812" s="533"/>
      <c r="L812" s="534"/>
      <c r="Q812" s="498"/>
      <c r="R812" s="498"/>
    </row>
    <row r="813" ht="15.75" customHeight="1">
      <c r="A813" s="496"/>
      <c r="B813" s="496"/>
      <c r="C813" s="497"/>
      <c r="K813" s="533"/>
      <c r="L813" s="534"/>
      <c r="Q813" s="498"/>
      <c r="R813" s="498"/>
    </row>
    <row r="814" ht="15.75" customHeight="1">
      <c r="A814" s="496"/>
      <c r="B814" s="496"/>
      <c r="C814" s="497"/>
      <c r="K814" s="533"/>
      <c r="L814" s="534"/>
      <c r="Q814" s="498"/>
      <c r="R814" s="498"/>
    </row>
    <row r="815" ht="15.75" customHeight="1">
      <c r="A815" s="496"/>
      <c r="B815" s="496"/>
      <c r="C815" s="497"/>
      <c r="K815" s="533"/>
      <c r="L815" s="534"/>
      <c r="Q815" s="498"/>
      <c r="R815" s="498"/>
    </row>
    <row r="816" ht="15.75" customHeight="1">
      <c r="A816" s="496"/>
      <c r="B816" s="496"/>
      <c r="C816" s="497"/>
      <c r="K816" s="533"/>
      <c r="L816" s="534"/>
      <c r="Q816" s="498"/>
      <c r="R816" s="498"/>
    </row>
    <row r="817" ht="15.75" customHeight="1">
      <c r="A817" s="496"/>
      <c r="B817" s="496"/>
      <c r="C817" s="497"/>
      <c r="K817" s="533"/>
      <c r="L817" s="534"/>
      <c r="Q817" s="498"/>
      <c r="R817" s="498"/>
    </row>
    <row r="818" ht="15.75" customHeight="1">
      <c r="A818" s="496"/>
      <c r="B818" s="496"/>
      <c r="C818" s="497"/>
      <c r="K818" s="533"/>
      <c r="L818" s="534"/>
      <c r="Q818" s="498"/>
      <c r="R818" s="498"/>
    </row>
    <row r="819" ht="15.75" customHeight="1">
      <c r="A819" s="496"/>
      <c r="B819" s="496"/>
      <c r="C819" s="497"/>
      <c r="K819" s="533"/>
      <c r="L819" s="534"/>
      <c r="Q819" s="498"/>
      <c r="R819" s="498"/>
    </row>
    <row r="820" ht="15.75" customHeight="1">
      <c r="A820" s="496"/>
      <c r="B820" s="496"/>
      <c r="C820" s="497"/>
      <c r="K820" s="533"/>
      <c r="L820" s="534"/>
      <c r="Q820" s="498"/>
      <c r="R820" s="498"/>
    </row>
    <row r="821" ht="15.75" customHeight="1">
      <c r="A821" s="496"/>
      <c r="B821" s="496"/>
      <c r="C821" s="497"/>
      <c r="K821" s="533"/>
      <c r="L821" s="534"/>
      <c r="Q821" s="498"/>
      <c r="R821" s="498"/>
    </row>
    <row r="822" ht="15.75" customHeight="1">
      <c r="A822" s="496"/>
      <c r="B822" s="496"/>
      <c r="C822" s="497"/>
      <c r="K822" s="533"/>
      <c r="L822" s="534"/>
      <c r="Q822" s="498"/>
      <c r="R822" s="498"/>
    </row>
    <row r="823" ht="15.75" customHeight="1">
      <c r="A823" s="496"/>
      <c r="B823" s="496"/>
      <c r="C823" s="497"/>
      <c r="K823" s="533"/>
      <c r="L823" s="534"/>
      <c r="Q823" s="498"/>
      <c r="R823" s="498"/>
    </row>
    <row r="824" ht="15.75" customHeight="1">
      <c r="A824" s="496"/>
      <c r="B824" s="496"/>
      <c r="C824" s="497"/>
      <c r="K824" s="533"/>
      <c r="L824" s="534"/>
      <c r="Q824" s="498"/>
      <c r="R824" s="498"/>
    </row>
    <row r="825" ht="15.75" customHeight="1">
      <c r="A825" s="496"/>
      <c r="B825" s="496"/>
      <c r="C825" s="497"/>
      <c r="K825" s="533"/>
      <c r="L825" s="534"/>
      <c r="Q825" s="498"/>
      <c r="R825" s="498"/>
    </row>
    <row r="826" ht="15.75" customHeight="1">
      <c r="A826" s="496"/>
      <c r="B826" s="496"/>
      <c r="C826" s="497"/>
      <c r="K826" s="533"/>
      <c r="L826" s="534"/>
      <c r="Q826" s="498"/>
      <c r="R826" s="498"/>
    </row>
    <row r="827" ht="15.75" customHeight="1">
      <c r="A827" s="496"/>
      <c r="B827" s="496"/>
      <c r="C827" s="497"/>
      <c r="K827" s="533"/>
      <c r="L827" s="534"/>
      <c r="Q827" s="498"/>
      <c r="R827" s="498"/>
    </row>
    <row r="828" ht="15.75" customHeight="1">
      <c r="A828" s="496"/>
      <c r="B828" s="496"/>
      <c r="C828" s="497"/>
      <c r="K828" s="533"/>
      <c r="L828" s="534"/>
      <c r="Q828" s="498"/>
      <c r="R828" s="498"/>
    </row>
    <row r="829" ht="15.75" customHeight="1">
      <c r="A829" s="496"/>
      <c r="B829" s="496"/>
      <c r="C829" s="497"/>
      <c r="K829" s="533"/>
      <c r="L829" s="534"/>
      <c r="Q829" s="498"/>
      <c r="R829" s="498"/>
    </row>
    <row r="830" ht="15.75" customHeight="1">
      <c r="A830" s="496"/>
      <c r="B830" s="496"/>
      <c r="C830" s="497"/>
      <c r="K830" s="533"/>
      <c r="L830" s="534"/>
      <c r="Q830" s="498"/>
      <c r="R830" s="498"/>
    </row>
    <row r="831" ht="15.75" customHeight="1">
      <c r="A831" s="496"/>
      <c r="B831" s="496"/>
      <c r="C831" s="497"/>
      <c r="K831" s="533"/>
      <c r="L831" s="534"/>
      <c r="Q831" s="498"/>
      <c r="R831" s="498"/>
    </row>
    <row r="832" ht="15.75" customHeight="1">
      <c r="A832" s="496"/>
      <c r="B832" s="496"/>
      <c r="C832" s="497"/>
      <c r="K832" s="533"/>
      <c r="L832" s="534"/>
      <c r="Q832" s="498"/>
      <c r="R832" s="498"/>
    </row>
    <row r="833" ht="15.75" customHeight="1">
      <c r="A833" s="496"/>
      <c r="B833" s="496"/>
      <c r="C833" s="497"/>
      <c r="K833" s="533"/>
      <c r="L833" s="534"/>
      <c r="Q833" s="498"/>
      <c r="R833" s="498"/>
    </row>
    <row r="834" ht="15.75" customHeight="1">
      <c r="A834" s="496"/>
      <c r="B834" s="496"/>
      <c r="C834" s="497"/>
      <c r="K834" s="533"/>
      <c r="L834" s="534"/>
      <c r="Q834" s="498"/>
      <c r="R834" s="498"/>
    </row>
    <row r="835" ht="15.75" customHeight="1">
      <c r="A835" s="496"/>
      <c r="B835" s="496"/>
      <c r="C835" s="497"/>
      <c r="K835" s="533"/>
      <c r="L835" s="534"/>
      <c r="Q835" s="498"/>
      <c r="R835" s="498"/>
    </row>
    <row r="836" ht="15.75" customHeight="1">
      <c r="A836" s="496"/>
      <c r="B836" s="496"/>
      <c r="C836" s="497"/>
      <c r="K836" s="533"/>
      <c r="L836" s="534"/>
      <c r="Q836" s="498"/>
      <c r="R836" s="498"/>
    </row>
    <row r="837" ht="15.75" customHeight="1">
      <c r="A837" s="496"/>
      <c r="B837" s="496"/>
      <c r="C837" s="497"/>
      <c r="K837" s="533"/>
      <c r="L837" s="534"/>
      <c r="Q837" s="498"/>
      <c r="R837" s="498"/>
    </row>
    <row r="838" ht="15.75" customHeight="1">
      <c r="A838" s="496"/>
      <c r="B838" s="496"/>
      <c r="C838" s="497"/>
      <c r="K838" s="533"/>
      <c r="L838" s="534"/>
      <c r="Q838" s="498"/>
      <c r="R838" s="498"/>
    </row>
    <row r="839" ht="15.75" customHeight="1">
      <c r="A839" s="496"/>
      <c r="B839" s="496"/>
      <c r="C839" s="497"/>
      <c r="K839" s="533"/>
      <c r="L839" s="534"/>
      <c r="Q839" s="498"/>
      <c r="R839" s="498"/>
    </row>
    <row r="840" ht="15.75" customHeight="1">
      <c r="A840" s="496"/>
      <c r="B840" s="496"/>
      <c r="C840" s="497"/>
      <c r="K840" s="533"/>
      <c r="L840" s="534"/>
      <c r="Q840" s="498"/>
      <c r="R840" s="498"/>
    </row>
    <row r="841" ht="15.75" customHeight="1">
      <c r="A841" s="496"/>
      <c r="B841" s="496"/>
      <c r="C841" s="497"/>
      <c r="K841" s="533"/>
      <c r="L841" s="534"/>
      <c r="Q841" s="498"/>
      <c r="R841" s="498"/>
    </row>
    <row r="842" ht="15.75" customHeight="1">
      <c r="A842" s="496"/>
      <c r="B842" s="496"/>
      <c r="C842" s="497"/>
      <c r="K842" s="533"/>
      <c r="L842" s="534"/>
      <c r="Q842" s="498"/>
      <c r="R842" s="498"/>
    </row>
    <row r="843" ht="15.75" customHeight="1">
      <c r="A843" s="496"/>
      <c r="B843" s="496"/>
      <c r="C843" s="497"/>
      <c r="K843" s="533"/>
      <c r="L843" s="534"/>
      <c r="Q843" s="498"/>
      <c r="R843" s="498"/>
    </row>
    <row r="844" ht="15.75" customHeight="1">
      <c r="A844" s="496"/>
      <c r="B844" s="496"/>
      <c r="C844" s="497"/>
      <c r="K844" s="533"/>
      <c r="L844" s="534"/>
      <c r="Q844" s="498"/>
      <c r="R844" s="498"/>
    </row>
    <row r="845" ht="15.75" customHeight="1">
      <c r="A845" s="496"/>
      <c r="B845" s="496"/>
      <c r="C845" s="497"/>
      <c r="K845" s="533"/>
      <c r="L845" s="534"/>
      <c r="Q845" s="498"/>
      <c r="R845" s="498"/>
    </row>
    <row r="846" ht="15.75" customHeight="1">
      <c r="A846" s="496"/>
      <c r="B846" s="496"/>
      <c r="C846" s="497"/>
      <c r="K846" s="533"/>
      <c r="L846" s="534"/>
      <c r="Q846" s="498"/>
      <c r="R846" s="498"/>
    </row>
    <row r="847" ht="15.75" customHeight="1">
      <c r="A847" s="496"/>
      <c r="B847" s="496"/>
      <c r="C847" s="497"/>
      <c r="K847" s="533"/>
      <c r="L847" s="534"/>
      <c r="Q847" s="498"/>
      <c r="R847" s="498"/>
    </row>
    <row r="848" ht="15.75" customHeight="1">
      <c r="A848" s="496"/>
      <c r="B848" s="496"/>
      <c r="C848" s="497"/>
      <c r="K848" s="533"/>
      <c r="L848" s="534"/>
      <c r="Q848" s="498"/>
      <c r="R848" s="498"/>
    </row>
    <row r="849" ht="15.75" customHeight="1">
      <c r="A849" s="496"/>
      <c r="B849" s="496"/>
      <c r="C849" s="497"/>
      <c r="K849" s="533"/>
      <c r="L849" s="534"/>
      <c r="Q849" s="498"/>
      <c r="R849" s="498"/>
    </row>
    <row r="850" ht="15.75" customHeight="1">
      <c r="A850" s="496"/>
      <c r="B850" s="496"/>
      <c r="C850" s="497"/>
      <c r="K850" s="533"/>
      <c r="L850" s="534"/>
      <c r="Q850" s="498"/>
      <c r="R850" s="498"/>
    </row>
    <row r="851" ht="15.75" customHeight="1">
      <c r="A851" s="496"/>
      <c r="B851" s="496"/>
      <c r="C851" s="497"/>
      <c r="K851" s="533"/>
      <c r="L851" s="534"/>
      <c r="Q851" s="498"/>
      <c r="R851" s="498"/>
    </row>
    <row r="852" ht="15.75" customHeight="1">
      <c r="A852" s="496"/>
      <c r="B852" s="496"/>
      <c r="C852" s="497"/>
      <c r="K852" s="533"/>
      <c r="L852" s="534"/>
      <c r="Q852" s="498"/>
      <c r="R852" s="498"/>
    </row>
    <row r="853" ht="15.75" customHeight="1">
      <c r="A853" s="496"/>
      <c r="B853" s="496"/>
      <c r="C853" s="497"/>
      <c r="K853" s="533"/>
      <c r="L853" s="534"/>
      <c r="Q853" s="498"/>
      <c r="R853" s="498"/>
    </row>
    <row r="854" ht="15.75" customHeight="1">
      <c r="A854" s="496"/>
      <c r="B854" s="496"/>
      <c r="C854" s="497"/>
      <c r="K854" s="533"/>
      <c r="L854" s="534"/>
      <c r="Q854" s="498"/>
      <c r="R854" s="498"/>
    </row>
    <row r="855" ht="15.75" customHeight="1">
      <c r="A855" s="496"/>
      <c r="B855" s="496"/>
      <c r="C855" s="497"/>
      <c r="K855" s="533"/>
      <c r="L855" s="534"/>
      <c r="Q855" s="498"/>
      <c r="R855" s="498"/>
    </row>
    <row r="856" ht="15.75" customHeight="1">
      <c r="A856" s="496"/>
      <c r="B856" s="496"/>
      <c r="C856" s="497"/>
      <c r="K856" s="533"/>
      <c r="L856" s="534"/>
      <c r="Q856" s="498"/>
      <c r="R856" s="498"/>
    </row>
    <row r="857" ht="15.75" customHeight="1">
      <c r="A857" s="496"/>
      <c r="B857" s="496"/>
      <c r="C857" s="497"/>
      <c r="K857" s="533"/>
      <c r="L857" s="534"/>
      <c r="Q857" s="498"/>
      <c r="R857" s="498"/>
    </row>
    <row r="858" ht="15.75" customHeight="1">
      <c r="A858" s="496"/>
      <c r="B858" s="496"/>
      <c r="C858" s="497"/>
      <c r="K858" s="533"/>
      <c r="L858" s="534"/>
      <c r="Q858" s="498"/>
      <c r="R858" s="498"/>
    </row>
    <row r="859" ht="15.75" customHeight="1">
      <c r="A859" s="496"/>
      <c r="B859" s="496"/>
      <c r="C859" s="497"/>
      <c r="K859" s="533"/>
      <c r="L859" s="534"/>
      <c r="Q859" s="498"/>
      <c r="R859" s="498"/>
    </row>
    <row r="860" ht="15.75" customHeight="1">
      <c r="A860" s="496"/>
      <c r="B860" s="496"/>
      <c r="C860" s="497"/>
      <c r="K860" s="533"/>
      <c r="L860" s="534"/>
      <c r="Q860" s="498"/>
      <c r="R860" s="498"/>
    </row>
    <row r="861" ht="15.75" customHeight="1">
      <c r="A861" s="496"/>
      <c r="B861" s="496"/>
      <c r="C861" s="497"/>
      <c r="K861" s="533"/>
      <c r="L861" s="534"/>
      <c r="Q861" s="498"/>
      <c r="R861" s="498"/>
    </row>
    <row r="862" ht="15.75" customHeight="1">
      <c r="A862" s="496"/>
      <c r="B862" s="496"/>
      <c r="C862" s="497"/>
      <c r="K862" s="533"/>
      <c r="L862" s="534"/>
      <c r="Q862" s="498"/>
      <c r="R862" s="498"/>
    </row>
    <row r="863" ht="15.75" customHeight="1">
      <c r="A863" s="496"/>
      <c r="B863" s="496"/>
      <c r="C863" s="497"/>
      <c r="K863" s="533"/>
      <c r="L863" s="534"/>
      <c r="Q863" s="498"/>
      <c r="R863" s="498"/>
    </row>
    <row r="864" ht="15.75" customHeight="1">
      <c r="A864" s="496"/>
      <c r="B864" s="496"/>
      <c r="C864" s="497"/>
      <c r="K864" s="533"/>
      <c r="L864" s="534"/>
      <c r="Q864" s="498"/>
      <c r="R864" s="498"/>
    </row>
    <row r="865" ht="15.75" customHeight="1">
      <c r="A865" s="496"/>
      <c r="B865" s="496"/>
      <c r="C865" s="497"/>
      <c r="K865" s="533"/>
      <c r="L865" s="534"/>
      <c r="Q865" s="498"/>
      <c r="R865" s="498"/>
    </row>
    <row r="866" ht="15.75" customHeight="1">
      <c r="A866" s="496"/>
      <c r="B866" s="496"/>
      <c r="C866" s="497"/>
      <c r="K866" s="533"/>
      <c r="L866" s="534"/>
      <c r="Q866" s="498"/>
      <c r="R866" s="498"/>
    </row>
    <row r="867" ht="15.75" customHeight="1">
      <c r="A867" s="496"/>
      <c r="B867" s="496"/>
      <c r="C867" s="497"/>
      <c r="K867" s="533"/>
      <c r="L867" s="534"/>
      <c r="Q867" s="498"/>
      <c r="R867" s="498"/>
    </row>
    <row r="868" ht="15.75" customHeight="1">
      <c r="A868" s="496"/>
      <c r="B868" s="496"/>
      <c r="C868" s="497"/>
      <c r="K868" s="533"/>
      <c r="L868" s="534"/>
      <c r="Q868" s="498"/>
      <c r="R868" s="498"/>
    </row>
    <row r="869" ht="15.75" customHeight="1">
      <c r="A869" s="496"/>
      <c r="B869" s="496"/>
      <c r="C869" s="497"/>
      <c r="K869" s="533"/>
      <c r="L869" s="534"/>
      <c r="Q869" s="498"/>
      <c r="R869" s="498"/>
    </row>
    <row r="870" ht="15.75" customHeight="1">
      <c r="A870" s="496"/>
      <c r="B870" s="496"/>
      <c r="C870" s="497"/>
      <c r="K870" s="533"/>
      <c r="L870" s="534"/>
      <c r="Q870" s="498"/>
      <c r="R870" s="498"/>
    </row>
    <row r="871" ht="15.75" customHeight="1">
      <c r="A871" s="496"/>
      <c r="B871" s="496"/>
      <c r="C871" s="497"/>
      <c r="K871" s="533"/>
      <c r="L871" s="534"/>
      <c r="Q871" s="498"/>
      <c r="R871" s="498"/>
    </row>
    <row r="872" ht="15.75" customHeight="1">
      <c r="A872" s="496"/>
      <c r="B872" s="496"/>
      <c r="C872" s="497"/>
      <c r="K872" s="533"/>
      <c r="L872" s="534"/>
      <c r="Q872" s="498"/>
      <c r="R872" s="498"/>
    </row>
    <row r="873" ht="15.75" customHeight="1">
      <c r="A873" s="496"/>
      <c r="B873" s="496"/>
      <c r="C873" s="497"/>
      <c r="K873" s="533"/>
      <c r="L873" s="534"/>
      <c r="Q873" s="498"/>
      <c r="R873" s="498"/>
    </row>
    <row r="874" ht="15.75" customHeight="1">
      <c r="A874" s="496"/>
      <c r="B874" s="496"/>
      <c r="C874" s="497"/>
      <c r="K874" s="533"/>
      <c r="L874" s="534"/>
      <c r="Q874" s="498"/>
      <c r="R874" s="498"/>
    </row>
    <row r="875" ht="15.75" customHeight="1">
      <c r="A875" s="496"/>
      <c r="B875" s="496"/>
      <c r="C875" s="497"/>
      <c r="K875" s="533"/>
      <c r="L875" s="534"/>
      <c r="Q875" s="498"/>
      <c r="R875" s="498"/>
    </row>
    <row r="876" ht="15.75" customHeight="1">
      <c r="A876" s="496"/>
      <c r="B876" s="496"/>
      <c r="C876" s="497"/>
      <c r="K876" s="533"/>
      <c r="L876" s="534"/>
      <c r="Q876" s="498"/>
      <c r="R876" s="498"/>
    </row>
    <row r="877" ht="15.75" customHeight="1">
      <c r="A877" s="496"/>
      <c r="B877" s="496"/>
      <c r="C877" s="497"/>
      <c r="K877" s="533"/>
      <c r="L877" s="534"/>
      <c r="Q877" s="498"/>
      <c r="R877" s="498"/>
    </row>
    <row r="878" ht="15.75" customHeight="1">
      <c r="A878" s="496"/>
      <c r="B878" s="496"/>
      <c r="C878" s="497"/>
      <c r="K878" s="533"/>
      <c r="L878" s="534"/>
      <c r="Q878" s="498"/>
      <c r="R878" s="498"/>
    </row>
    <row r="879" ht="15.75" customHeight="1">
      <c r="A879" s="496"/>
      <c r="B879" s="496"/>
      <c r="C879" s="497"/>
      <c r="K879" s="533"/>
      <c r="L879" s="534"/>
      <c r="Q879" s="498"/>
      <c r="R879" s="498"/>
    </row>
    <row r="880" ht="15.75" customHeight="1">
      <c r="A880" s="496"/>
      <c r="B880" s="496"/>
      <c r="C880" s="497"/>
      <c r="K880" s="533"/>
      <c r="L880" s="534"/>
      <c r="Q880" s="498"/>
      <c r="R880" s="498"/>
    </row>
    <row r="881" ht="15.75" customHeight="1">
      <c r="A881" s="496"/>
      <c r="B881" s="496"/>
      <c r="C881" s="497"/>
      <c r="K881" s="533"/>
      <c r="L881" s="534"/>
      <c r="Q881" s="498"/>
      <c r="R881" s="498"/>
    </row>
    <row r="882" ht="15.75" customHeight="1">
      <c r="A882" s="496"/>
      <c r="B882" s="496"/>
      <c r="C882" s="497"/>
      <c r="K882" s="533"/>
      <c r="L882" s="534"/>
      <c r="Q882" s="498"/>
      <c r="R882" s="498"/>
    </row>
    <row r="883" ht="15.75" customHeight="1">
      <c r="A883" s="496"/>
      <c r="B883" s="496"/>
      <c r="C883" s="497"/>
      <c r="K883" s="533"/>
      <c r="L883" s="534"/>
      <c r="Q883" s="498"/>
      <c r="R883" s="498"/>
    </row>
    <row r="884" ht="15.75" customHeight="1">
      <c r="A884" s="496"/>
      <c r="B884" s="496"/>
      <c r="C884" s="497"/>
      <c r="K884" s="533"/>
      <c r="L884" s="534"/>
      <c r="Q884" s="498"/>
      <c r="R884" s="498"/>
    </row>
    <row r="885" ht="15.75" customHeight="1">
      <c r="A885" s="496"/>
      <c r="B885" s="496"/>
      <c r="C885" s="497"/>
      <c r="K885" s="533"/>
      <c r="L885" s="534"/>
      <c r="Q885" s="498"/>
      <c r="R885" s="498"/>
    </row>
    <row r="886" ht="15.75" customHeight="1">
      <c r="A886" s="496"/>
      <c r="B886" s="496"/>
      <c r="C886" s="497"/>
      <c r="K886" s="533"/>
      <c r="L886" s="534"/>
      <c r="Q886" s="498"/>
      <c r="R886" s="498"/>
    </row>
    <row r="887" ht="15.75" customHeight="1">
      <c r="A887" s="496"/>
      <c r="B887" s="496"/>
      <c r="C887" s="497"/>
      <c r="K887" s="533"/>
      <c r="L887" s="534"/>
      <c r="Q887" s="498"/>
      <c r="R887" s="498"/>
    </row>
    <row r="888" ht="15.75" customHeight="1">
      <c r="A888" s="496"/>
      <c r="B888" s="496"/>
      <c r="C888" s="497"/>
      <c r="K888" s="533"/>
      <c r="L888" s="534"/>
      <c r="Q888" s="498"/>
      <c r="R888" s="498"/>
    </row>
    <row r="889" ht="15.75" customHeight="1">
      <c r="A889" s="496"/>
      <c r="B889" s="496"/>
      <c r="C889" s="497"/>
      <c r="K889" s="533"/>
      <c r="L889" s="534"/>
      <c r="Q889" s="498"/>
      <c r="R889" s="498"/>
    </row>
    <row r="890" ht="15.75" customHeight="1">
      <c r="A890" s="496"/>
      <c r="B890" s="496"/>
      <c r="C890" s="497"/>
      <c r="K890" s="533"/>
      <c r="L890" s="534"/>
      <c r="Q890" s="498"/>
      <c r="R890" s="498"/>
    </row>
    <row r="891" ht="15.75" customHeight="1">
      <c r="A891" s="496"/>
      <c r="B891" s="496"/>
      <c r="C891" s="497"/>
      <c r="K891" s="533"/>
      <c r="L891" s="534"/>
      <c r="Q891" s="498"/>
      <c r="R891" s="498"/>
    </row>
    <row r="892" ht="15.75" customHeight="1">
      <c r="A892" s="496"/>
      <c r="B892" s="496"/>
      <c r="C892" s="497"/>
      <c r="K892" s="533"/>
      <c r="L892" s="534"/>
      <c r="Q892" s="498"/>
      <c r="R892" s="498"/>
    </row>
    <row r="893" ht="15.75" customHeight="1">
      <c r="A893" s="496"/>
      <c r="B893" s="496"/>
      <c r="C893" s="497"/>
      <c r="K893" s="533"/>
      <c r="L893" s="534"/>
      <c r="Q893" s="498"/>
      <c r="R893" s="498"/>
    </row>
    <row r="894" ht="15.75" customHeight="1">
      <c r="A894" s="496"/>
      <c r="B894" s="496"/>
      <c r="C894" s="497"/>
      <c r="K894" s="533"/>
      <c r="L894" s="534"/>
      <c r="Q894" s="498"/>
      <c r="R894" s="498"/>
    </row>
    <row r="895" ht="15.75" customHeight="1">
      <c r="A895" s="496"/>
      <c r="B895" s="496"/>
      <c r="C895" s="497"/>
      <c r="K895" s="533"/>
      <c r="L895" s="534"/>
      <c r="Q895" s="498"/>
      <c r="R895" s="498"/>
    </row>
    <row r="896" ht="15.75" customHeight="1">
      <c r="A896" s="496"/>
      <c r="B896" s="496"/>
      <c r="C896" s="497"/>
      <c r="K896" s="533"/>
      <c r="L896" s="534"/>
      <c r="Q896" s="498"/>
      <c r="R896" s="498"/>
    </row>
    <row r="897" ht="15.75" customHeight="1">
      <c r="A897" s="496"/>
      <c r="B897" s="496"/>
      <c r="C897" s="497"/>
      <c r="K897" s="533"/>
      <c r="L897" s="534"/>
      <c r="Q897" s="498"/>
      <c r="R897" s="498"/>
    </row>
    <row r="898" ht="15.75" customHeight="1">
      <c r="A898" s="496"/>
      <c r="B898" s="496"/>
      <c r="C898" s="497"/>
      <c r="K898" s="533"/>
      <c r="L898" s="534"/>
      <c r="Q898" s="498"/>
      <c r="R898" s="498"/>
    </row>
    <row r="899" ht="15.75" customHeight="1">
      <c r="A899" s="496"/>
      <c r="B899" s="496"/>
      <c r="C899" s="497"/>
      <c r="K899" s="533"/>
      <c r="L899" s="534"/>
      <c r="Q899" s="498"/>
      <c r="R899" s="498"/>
    </row>
    <row r="900" ht="15.75" customHeight="1">
      <c r="A900" s="496"/>
      <c r="B900" s="496"/>
      <c r="C900" s="497"/>
      <c r="K900" s="533"/>
      <c r="L900" s="534"/>
      <c r="Q900" s="498"/>
      <c r="R900" s="498"/>
    </row>
    <row r="901" ht="15.75" customHeight="1">
      <c r="A901" s="496"/>
      <c r="B901" s="496"/>
      <c r="C901" s="497"/>
      <c r="K901" s="533"/>
      <c r="L901" s="534"/>
      <c r="Q901" s="498"/>
      <c r="R901" s="498"/>
    </row>
    <row r="902" ht="15.75" customHeight="1">
      <c r="A902" s="496"/>
      <c r="B902" s="496"/>
      <c r="C902" s="497"/>
      <c r="K902" s="533"/>
      <c r="L902" s="534"/>
      <c r="Q902" s="498"/>
      <c r="R902" s="498"/>
    </row>
    <row r="903" ht="15.75" customHeight="1">
      <c r="A903" s="496"/>
      <c r="B903" s="496"/>
      <c r="C903" s="497"/>
      <c r="K903" s="533"/>
      <c r="L903" s="534"/>
      <c r="Q903" s="498"/>
      <c r="R903" s="498"/>
    </row>
    <row r="904" ht="15.75" customHeight="1">
      <c r="A904" s="496"/>
      <c r="B904" s="496"/>
      <c r="C904" s="497"/>
      <c r="K904" s="533"/>
      <c r="L904" s="534"/>
      <c r="Q904" s="498"/>
      <c r="R904" s="498"/>
    </row>
    <row r="905" ht="15.75" customHeight="1">
      <c r="A905" s="496"/>
      <c r="B905" s="496"/>
      <c r="C905" s="497"/>
      <c r="K905" s="533"/>
      <c r="L905" s="534"/>
      <c r="Q905" s="498"/>
      <c r="R905" s="498"/>
    </row>
    <row r="906" ht="15.75" customHeight="1">
      <c r="A906" s="496"/>
      <c r="B906" s="496"/>
      <c r="C906" s="497"/>
      <c r="K906" s="533"/>
      <c r="L906" s="534"/>
      <c r="Q906" s="498"/>
      <c r="R906" s="498"/>
    </row>
    <row r="907" ht="15.75" customHeight="1">
      <c r="A907" s="496"/>
      <c r="B907" s="496"/>
      <c r="C907" s="497"/>
      <c r="K907" s="533"/>
      <c r="L907" s="534"/>
      <c r="Q907" s="498"/>
      <c r="R907" s="498"/>
    </row>
    <row r="908" ht="15.75" customHeight="1">
      <c r="A908" s="496"/>
      <c r="B908" s="496"/>
      <c r="C908" s="497"/>
      <c r="K908" s="533"/>
      <c r="L908" s="534"/>
      <c r="Q908" s="498"/>
      <c r="R908" s="498"/>
    </row>
    <row r="909" ht="15.75" customHeight="1">
      <c r="A909" s="496"/>
      <c r="B909" s="496"/>
      <c r="C909" s="497"/>
      <c r="K909" s="533"/>
      <c r="L909" s="534"/>
      <c r="Q909" s="498"/>
      <c r="R909" s="498"/>
    </row>
    <row r="910" ht="15.75" customHeight="1">
      <c r="A910" s="496"/>
      <c r="B910" s="496"/>
      <c r="C910" s="497"/>
      <c r="K910" s="533"/>
      <c r="L910" s="534"/>
      <c r="Q910" s="498"/>
      <c r="R910" s="498"/>
    </row>
    <row r="911" ht="15.75" customHeight="1">
      <c r="A911" s="496"/>
      <c r="B911" s="496"/>
      <c r="C911" s="497"/>
      <c r="K911" s="533"/>
      <c r="L911" s="534"/>
      <c r="Q911" s="498"/>
      <c r="R911" s="498"/>
    </row>
    <row r="912" ht="15.75" customHeight="1">
      <c r="A912" s="496"/>
      <c r="B912" s="496"/>
      <c r="C912" s="497"/>
      <c r="K912" s="533"/>
      <c r="L912" s="534"/>
      <c r="Q912" s="498"/>
      <c r="R912" s="498"/>
    </row>
    <row r="913" ht="15.75" customHeight="1">
      <c r="A913" s="496"/>
      <c r="B913" s="496"/>
      <c r="C913" s="497"/>
      <c r="K913" s="533"/>
      <c r="L913" s="534"/>
      <c r="Q913" s="498"/>
      <c r="R913" s="498"/>
    </row>
    <row r="914" ht="15.75" customHeight="1">
      <c r="A914" s="496"/>
      <c r="B914" s="496"/>
      <c r="C914" s="497"/>
      <c r="K914" s="533"/>
      <c r="L914" s="534"/>
      <c r="Q914" s="498"/>
      <c r="R914" s="498"/>
    </row>
    <row r="915" ht="15.75" customHeight="1">
      <c r="A915" s="496"/>
      <c r="B915" s="496"/>
      <c r="C915" s="497"/>
      <c r="K915" s="533"/>
      <c r="L915" s="534"/>
      <c r="Q915" s="498"/>
      <c r="R915" s="498"/>
    </row>
    <row r="916" ht="15.75" customHeight="1">
      <c r="A916" s="496"/>
      <c r="B916" s="496"/>
      <c r="C916" s="497"/>
      <c r="K916" s="533"/>
      <c r="L916" s="534"/>
      <c r="Q916" s="498"/>
      <c r="R916" s="498"/>
    </row>
    <row r="917" ht="15.75" customHeight="1">
      <c r="A917" s="496"/>
      <c r="B917" s="496"/>
      <c r="C917" s="497"/>
      <c r="K917" s="533"/>
      <c r="L917" s="534"/>
      <c r="Q917" s="498"/>
      <c r="R917" s="498"/>
    </row>
    <row r="918" ht="15.75" customHeight="1">
      <c r="A918" s="496"/>
      <c r="B918" s="496"/>
      <c r="C918" s="497"/>
      <c r="K918" s="533"/>
      <c r="L918" s="534"/>
      <c r="Q918" s="498"/>
      <c r="R918" s="498"/>
    </row>
    <row r="919" ht="15.75" customHeight="1">
      <c r="A919" s="496"/>
      <c r="B919" s="496"/>
      <c r="C919" s="497"/>
      <c r="K919" s="533"/>
      <c r="L919" s="534"/>
      <c r="Q919" s="498"/>
      <c r="R919" s="498"/>
    </row>
    <row r="920" ht="15.75" customHeight="1">
      <c r="A920" s="496"/>
      <c r="B920" s="496"/>
      <c r="C920" s="497"/>
      <c r="K920" s="533"/>
      <c r="L920" s="534"/>
      <c r="Q920" s="498"/>
      <c r="R920" s="498"/>
    </row>
    <row r="921" ht="15.75" customHeight="1">
      <c r="A921" s="496"/>
      <c r="B921" s="496"/>
      <c r="C921" s="497"/>
      <c r="K921" s="533"/>
      <c r="L921" s="534"/>
      <c r="Q921" s="498"/>
      <c r="R921" s="498"/>
    </row>
    <row r="922" ht="15.75" customHeight="1">
      <c r="A922" s="496"/>
      <c r="B922" s="496"/>
      <c r="C922" s="497"/>
      <c r="K922" s="533"/>
      <c r="L922" s="534"/>
      <c r="Q922" s="498"/>
      <c r="R922" s="498"/>
    </row>
    <row r="923" ht="15.75" customHeight="1">
      <c r="A923" s="496"/>
      <c r="B923" s="496"/>
      <c r="C923" s="497"/>
      <c r="K923" s="533"/>
      <c r="L923" s="534"/>
      <c r="Q923" s="498"/>
      <c r="R923" s="498"/>
    </row>
    <row r="924" ht="15.75" customHeight="1">
      <c r="A924" s="496"/>
      <c r="B924" s="496"/>
      <c r="C924" s="497"/>
      <c r="K924" s="533"/>
      <c r="L924" s="534"/>
      <c r="Q924" s="498"/>
      <c r="R924" s="498"/>
    </row>
    <row r="925" ht="15.75" customHeight="1">
      <c r="A925" s="496"/>
      <c r="B925" s="496"/>
      <c r="C925" s="497"/>
      <c r="K925" s="533"/>
      <c r="L925" s="534"/>
      <c r="Q925" s="498"/>
      <c r="R925" s="498"/>
    </row>
    <row r="926" ht="15.75" customHeight="1">
      <c r="A926" s="496"/>
      <c r="B926" s="496"/>
      <c r="C926" s="497"/>
      <c r="K926" s="533"/>
      <c r="L926" s="534"/>
      <c r="Q926" s="498"/>
      <c r="R926" s="498"/>
    </row>
    <row r="927" ht="15.75" customHeight="1">
      <c r="A927" s="496"/>
      <c r="B927" s="496"/>
      <c r="C927" s="497"/>
      <c r="K927" s="533"/>
      <c r="L927" s="534"/>
      <c r="Q927" s="498"/>
      <c r="R927" s="498"/>
    </row>
    <row r="928" ht="15.75" customHeight="1">
      <c r="A928" s="496"/>
      <c r="B928" s="496"/>
      <c r="C928" s="497"/>
      <c r="K928" s="533"/>
      <c r="L928" s="534"/>
      <c r="Q928" s="498"/>
      <c r="R928" s="498"/>
    </row>
    <row r="929" ht="15.75" customHeight="1">
      <c r="A929" s="496"/>
      <c r="B929" s="496"/>
      <c r="C929" s="497"/>
      <c r="K929" s="533"/>
      <c r="L929" s="534"/>
      <c r="Q929" s="498"/>
      <c r="R929" s="498"/>
    </row>
    <row r="930" ht="15.75" customHeight="1">
      <c r="A930" s="496"/>
      <c r="B930" s="496"/>
      <c r="C930" s="497"/>
      <c r="K930" s="533"/>
      <c r="L930" s="534"/>
      <c r="Q930" s="498"/>
      <c r="R930" s="498"/>
    </row>
    <row r="931" ht="15.75" customHeight="1">
      <c r="A931" s="496"/>
      <c r="B931" s="496"/>
      <c r="C931" s="497"/>
      <c r="K931" s="533"/>
      <c r="L931" s="534"/>
      <c r="Q931" s="498"/>
      <c r="R931" s="498"/>
    </row>
    <row r="932" ht="15.75" customHeight="1">
      <c r="A932" s="496"/>
      <c r="B932" s="496"/>
      <c r="C932" s="497"/>
      <c r="K932" s="533"/>
      <c r="L932" s="534"/>
      <c r="Q932" s="498"/>
      <c r="R932" s="498"/>
    </row>
    <row r="933" ht="15.75" customHeight="1">
      <c r="A933" s="496"/>
      <c r="B933" s="496"/>
      <c r="C933" s="497"/>
      <c r="K933" s="533"/>
      <c r="L933" s="534"/>
      <c r="Q933" s="498"/>
      <c r="R933" s="498"/>
    </row>
    <row r="934" ht="15.75" customHeight="1">
      <c r="A934" s="496"/>
      <c r="B934" s="496"/>
      <c r="C934" s="497"/>
      <c r="K934" s="533"/>
      <c r="L934" s="534"/>
      <c r="Q934" s="498"/>
      <c r="R934" s="498"/>
    </row>
    <row r="935" ht="15.75" customHeight="1">
      <c r="A935" s="496"/>
      <c r="B935" s="496"/>
      <c r="C935" s="497"/>
      <c r="K935" s="533"/>
      <c r="L935" s="534"/>
      <c r="Q935" s="498"/>
      <c r="R935" s="498"/>
    </row>
    <row r="936" ht="15.75" customHeight="1">
      <c r="A936" s="496"/>
      <c r="B936" s="496"/>
      <c r="C936" s="497"/>
      <c r="K936" s="533"/>
      <c r="L936" s="534"/>
      <c r="Q936" s="498"/>
      <c r="R936" s="498"/>
    </row>
    <row r="937" ht="15.75" customHeight="1">
      <c r="A937" s="496"/>
      <c r="B937" s="496"/>
      <c r="C937" s="497"/>
      <c r="K937" s="533"/>
      <c r="L937" s="534"/>
      <c r="Q937" s="498"/>
      <c r="R937" s="498"/>
    </row>
    <row r="938" ht="15.75" customHeight="1">
      <c r="A938" s="496"/>
      <c r="B938" s="496"/>
      <c r="C938" s="497"/>
      <c r="K938" s="533"/>
      <c r="L938" s="534"/>
      <c r="Q938" s="498"/>
      <c r="R938" s="498"/>
    </row>
    <row r="939" ht="15.75" customHeight="1">
      <c r="A939" s="496"/>
      <c r="B939" s="496"/>
      <c r="C939" s="497"/>
      <c r="K939" s="533"/>
      <c r="L939" s="534"/>
      <c r="Q939" s="498"/>
      <c r="R939" s="498"/>
    </row>
    <row r="940" ht="15.75" customHeight="1">
      <c r="A940" s="496"/>
      <c r="B940" s="496"/>
      <c r="C940" s="497"/>
      <c r="K940" s="533"/>
      <c r="L940" s="534"/>
      <c r="Q940" s="498"/>
      <c r="R940" s="498"/>
    </row>
    <row r="941" ht="15.75" customHeight="1">
      <c r="A941" s="496"/>
      <c r="B941" s="496"/>
      <c r="C941" s="497"/>
      <c r="K941" s="533"/>
      <c r="L941" s="534"/>
      <c r="Q941" s="498"/>
      <c r="R941" s="498"/>
    </row>
    <row r="942" ht="15.75" customHeight="1">
      <c r="A942" s="496"/>
      <c r="B942" s="496"/>
      <c r="C942" s="497"/>
      <c r="K942" s="533"/>
      <c r="L942" s="534"/>
      <c r="Q942" s="498"/>
      <c r="R942" s="498"/>
    </row>
    <row r="943" ht="15.75" customHeight="1">
      <c r="A943" s="496"/>
      <c r="B943" s="496"/>
      <c r="C943" s="497"/>
      <c r="K943" s="533"/>
      <c r="L943" s="534"/>
      <c r="Q943" s="498"/>
      <c r="R943" s="498"/>
    </row>
    <row r="944" ht="15.75" customHeight="1">
      <c r="A944" s="496"/>
      <c r="B944" s="496"/>
      <c r="C944" s="497"/>
      <c r="K944" s="533"/>
      <c r="L944" s="534"/>
      <c r="Q944" s="498"/>
      <c r="R944" s="498"/>
    </row>
    <row r="945" ht="15.75" customHeight="1">
      <c r="A945" s="496"/>
      <c r="B945" s="496"/>
      <c r="C945" s="497"/>
      <c r="K945" s="533"/>
      <c r="L945" s="534"/>
      <c r="Q945" s="498"/>
      <c r="R945" s="498"/>
    </row>
    <row r="946" ht="15.75" customHeight="1">
      <c r="A946" s="496"/>
      <c r="B946" s="496"/>
      <c r="C946" s="497"/>
      <c r="K946" s="533"/>
      <c r="L946" s="534"/>
      <c r="Q946" s="498"/>
      <c r="R946" s="498"/>
    </row>
    <row r="947" ht="15.75" customHeight="1">
      <c r="A947" s="496"/>
      <c r="B947" s="496"/>
      <c r="C947" s="497"/>
      <c r="K947" s="533"/>
      <c r="L947" s="534"/>
      <c r="Q947" s="498"/>
      <c r="R947" s="498"/>
    </row>
    <row r="948" ht="15.75" customHeight="1">
      <c r="A948" s="496"/>
      <c r="B948" s="496"/>
      <c r="C948" s="497"/>
      <c r="K948" s="533"/>
      <c r="L948" s="534"/>
      <c r="Q948" s="498"/>
      <c r="R948" s="498"/>
    </row>
    <row r="949" ht="15.75" customHeight="1">
      <c r="A949" s="496"/>
      <c r="B949" s="496"/>
      <c r="C949" s="497"/>
      <c r="K949" s="533"/>
      <c r="L949" s="534"/>
      <c r="Q949" s="498"/>
      <c r="R949" s="498"/>
    </row>
    <row r="950" ht="15.75" customHeight="1">
      <c r="A950" s="496"/>
      <c r="B950" s="496"/>
      <c r="C950" s="497"/>
      <c r="K950" s="533"/>
      <c r="L950" s="534"/>
      <c r="Q950" s="498"/>
      <c r="R950" s="498"/>
    </row>
    <row r="951" ht="15.75" customHeight="1">
      <c r="A951" s="496"/>
      <c r="B951" s="496"/>
      <c r="C951" s="497"/>
      <c r="K951" s="533"/>
      <c r="L951" s="534"/>
      <c r="Q951" s="498"/>
      <c r="R951" s="498"/>
    </row>
    <row r="952" ht="15.75" customHeight="1">
      <c r="A952" s="496"/>
      <c r="B952" s="496"/>
      <c r="C952" s="497"/>
      <c r="K952" s="533"/>
      <c r="L952" s="534"/>
      <c r="Q952" s="498"/>
      <c r="R952" s="498"/>
    </row>
    <row r="953" ht="15.75" customHeight="1">
      <c r="A953" s="496"/>
      <c r="B953" s="496"/>
      <c r="C953" s="497"/>
      <c r="K953" s="533"/>
      <c r="L953" s="534"/>
      <c r="Q953" s="498"/>
      <c r="R953" s="498"/>
    </row>
    <row r="954" ht="15.75" customHeight="1">
      <c r="A954" s="496"/>
      <c r="B954" s="496"/>
      <c r="C954" s="497"/>
      <c r="K954" s="533"/>
      <c r="L954" s="534"/>
      <c r="Q954" s="498"/>
      <c r="R954" s="498"/>
    </row>
    <row r="955" ht="15.75" customHeight="1">
      <c r="A955" s="496"/>
      <c r="B955" s="496"/>
      <c r="C955" s="497"/>
      <c r="K955" s="533"/>
      <c r="L955" s="534"/>
      <c r="Q955" s="498"/>
      <c r="R955" s="498"/>
    </row>
    <row r="956" ht="15.75" customHeight="1">
      <c r="A956" s="496"/>
      <c r="B956" s="496"/>
      <c r="C956" s="497"/>
      <c r="K956" s="533"/>
      <c r="L956" s="534"/>
      <c r="Q956" s="498"/>
      <c r="R956" s="498"/>
    </row>
    <row r="957" ht="15.75" customHeight="1">
      <c r="A957" s="496"/>
      <c r="B957" s="496"/>
      <c r="C957" s="497"/>
      <c r="K957" s="533"/>
      <c r="L957" s="534"/>
      <c r="Q957" s="498"/>
      <c r="R957" s="498"/>
    </row>
    <row r="958" ht="15.75" customHeight="1">
      <c r="A958" s="496"/>
      <c r="B958" s="496"/>
      <c r="C958" s="497"/>
      <c r="K958" s="533"/>
      <c r="L958" s="534"/>
      <c r="Q958" s="498"/>
      <c r="R958" s="498"/>
    </row>
    <row r="959" ht="15.75" customHeight="1">
      <c r="A959" s="496"/>
      <c r="B959" s="496"/>
      <c r="C959" s="497"/>
      <c r="K959" s="533"/>
      <c r="L959" s="534"/>
      <c r="Q959" s="498"/>
      <c r="R959" s="498"/>
    </row>
    <row r="960" ht="15.75" customHeight="1">
      <c r="A960" s="496"/>
      <c r="B960" s="496"/>
      <c r="C960" s="497"/>
      <c r="K960" s="533"/>
      <c r="L960" s="534"/>
      <c r="Q960" s="498"/>
      <c r="R960" s="498"/>
    </row>
    <row r="961" ht="15.75" customHeight="1">
      <c r="A961" s="496"/>
      <c r="B961" s="496"/>
      <c r="C961" s="497"/>
      <c r="K961" s="533"/>
      <c r="L961" s="534"/>
      <c r="Q961" s="498"/>
      <c r="R961" s="498"/>
    </row>
    <row r="962" ht="15.75" customHeight="1">
      <c r="A962" s="496"/>
      <c r="B962" s="496"/>
      <c r="C962" s="497"/>
      <c r="K962" s="533"/>
      <c r="L962" s="534"/>
      <c r="Q962" s="498"/>
      <c r="R962" s="498"/>
    </row>
    <row r="963" ht="15.75" customHeight="1">
      <c r="A963" s="496"/>
      <c r="B963" s="496"/>
      <c r="C963" s="497"/>
      <c r="K963" s="533"/>
      <c r="L963" s="534"/>
      <c r="Q963" s="498"/>
      <c r="R963" s="498"/>
    </row>
    <row r="964" ht="15.75" customHeight="1">
      <c r="A964" s="496"/>
      <c r="B964" s="496"/>
      <c r="C964" s="497"/>
      <c r="K964" s="533"/>
      <c r="L964" s="534"/>
      <c r="Q964" s="498"/>
      <c r="R964" s="498"/>
    </row>
    <row r="965" ht="15.75" customHeight="1">
      <c r="A965" s="496"/>
      <c r="B965" s="496"/>
      <c r="C965" s="497"/>
      <c r="K965" s="533"/>
      <c r="L965" s="534"/>
      <c r="Q965" s="498"/>
      <c r="R965" s="498"/>
    </row>
    <row r="966" ht="15.75" customHeight="1">
      <c r="A966" s="496"/>
      <c r="B966" s="496"/>
      <c r="C966" s="497"/>
      <c r="K966" s="533"/>
      <c r="L966" s="534"/>
      <c r="Q966" s="498"/>
      <c r="R966" s="498"/>
    </row>
    <row r="967" ht="15.75" customHeight="1">
      <c r="A967" s="496"/>
      <c r="B967" s="496"/>
      <c r="C967" s="497"/>
      <c r="K967" s="533"/>
      <c r="L967" s="534"/>
      <c r="Q967" s="498"/>
      <c r="R967" s="498"/>
    </row>
    <row r="968" ht="15.75" customHeight="1">
      <c r="A968" s="496"/>
      <c r="B968" s="496"/>
      <c r="C968" s="497"/>
      <c r="K968" s="533"/>
      <c r="L968" s="534"/>
      <c r="Q968" s="498"/>
      <c r="R968" s="498"/>
    </row>
    <row r="969" ht="15.75" customHeight="1">
      <c r="A969" s="496"/>
      <c r="B969" s="496"/>
      <c r="C969" s="497"/>
      <c r="K969" s="533"/>
      <c r="L969" s="534"/>
      <c r="Q969" s="498"/>
      <c r="R969" s="498"/>
    </row>
    <row r="970" ht="15.75" customHeight="1">
      <c r="A970" s="496"/>
      <c r="B970" s="496"/>
      <c r="C970" s="497"/>
      <c r="K970" s="533"/>
      <c r="L970" s="534"/>
      <c r="Q970" s="498"/>
      <c r="R970" s="498"/>
    </row>
    <row r="971" ht="15.75" customHeight="1">
      <c r="A971" s="496"/>
      <c r="B971" s="496"/>
      <c r="C971" s="497"/>
      <c r="K971" s="533"/>
      <c r="L971" s="534"/>
      <c r="Q971" s="498"/>
      <c r="R971" s="498"/>
    </row>
    <row r="972" ht="15.75" customHeight="1">
      <c r="A972" s="496"/>
      <c r="B972" s="496"/>
      <c r="C972" s="497"/>
      <c r="K972" s="533"/>
      <c r="L972" s="534"/>
      <c r="Q972" s="498"/>
      <c r="R972" s="498"/>
    </row>
    <row r="973" ht="15.75" customHeight="1">
      <c r="A973" s="496"/>
      <c r="B973" s="496"/>
      <c r="C973" s="497"/>
      <c r="K973" s="533"/>
      <c r="L973" s="534"/>
      <c r="Q973" s="498"/>
      <c r="R973" s="498"/>
    </row>
    <row r="974" ht="15.75" customHeight="1">
      <c r="A974" s="496"/>
      <c r="B974" s="496"/>
      <c r="C974" s="497"/>
      <c r="K974" s="533"/>
      <c r="L974" s="534"/>
      <c r="Q974" s="498"/>
      <c r="R974" s="498"/>
    </row>
    <row r="975" ht="15.75" customHeight="1">
      <c r="A975" s="496"/>
      <c r="B975" s="496"/>
      <c r="C975" s="497"/>
      <c r="K975" s="533"/>
      <c r="L975" s="534"/>
      <c r="Q975" s="498"/>
      <c r="R975" s="498"/>
    </row>
    <row r="976" ht="15.75" customHeight="1">
      <c r="A976" s="496"/>
      <c r="B976" s="496"/>
      <c r="C976" s="497"/>
      <c r="K976" s="533"/>
      <c r="L976" s="534"/>
      <c r="Q976" s="498"/>
      <c r="R976" s="498"/>
    </row>
    <row r="977" ht="15.75" customHeight="1">
      <c r="A977" s="496"/>
      <c r="B977" s="496"/>
      <c r="C977" s="497"/>
      <c r="K977" s="533"/>
      <c r="L977" s="534"/>
      <c r="Q977" s="498"/>
      <c r="R977" s="498"/>
    </row>
    <row r="978" ht="15.75" customHeight="1">
      <c r="A978" s="496"/>
      <c r="B978" s="496"/>
      <c r="C978" s="497"/>
      <c r="K978" s="533"/>
      <c r="L978" s="534"/>
      <c r="Q978" s="498"/>
      <c r="R978" s="498"/>
    </row>
    <row r="979" ht="15.75" customHeight="1">
      <c r="A979" s="496"/>
      <c r="B979" s="496"/>
      <c r="C979" s="497"/>
      <c r="K979" s="533"/>
      <c r="L979" s="534"/>
      <c r="Q979" s="498"/>
      <c r="R979" s="498"/>
    </row>
    <row r="980" ht="15.75" customHeight="1">
      <c r="A980" s="496"/>
      <c r="B980" s="496"/>
      <c r="C980" s="497"/>
      <c r="K980" s="533"/>
      <c r="L980" s="534"/>
      <c r="Q980" s="498"/>
      <c r="R980" s="498"/>
    </row>
    <row r="981" ht="15.75" customHeight="1">
      <c r="A981" s="496"/>
      <c r="B981" s="496"/>
      <c r="C981" s="497"/>
      <c r="K981" s="533"/>
      <c r="L981" s="534"/>
      <c r="Q981" s="498"/>
      <c r="R981" s="498"/>
    </row>
    <row r="982" ht="15.75" customHeight="1">
      <c r="A982" s="496"/>
      <c r="B982" s="496"/>
      <c r="C982" s="497"/>
      <c r="K982" s="533"/>
      <c r="L982" s="534"/>
      <c r="Q982" s="498"/>
      <c r="R982" s="498"/>
    </row>
    <row r="983" ht="15.75" customHeight="1">
      <c r="A983" s="496"/>
      <c r="B983" s="496"/>
      <c r="C983" s="497"/>
      <c r="K983" s="533"/>
      <c r="L983" s="534"/>
      <c r="Q983" s="498"/>
      <c r="R983" s="498"/>
    </row>
    <row r="984" ht="15.75" customHeight="1">
      <c r="A984" s="496"/>
      <c r="B984" s="496"/>
      <c r="C984" s="497"/>
      <c r="K984" s="533"/>
      <c r="L984" s="534"/>
      <c r="Q984" s="498"/>
      <c r="R984" s="498"/>
    </row>
    <row r="985" ht="15.75" customHeight="1">
      <c r="A985" s="496"/>
      <c r="B985" s="496"/>
      <c r="C985" s="497"/>
      <c r="K985" s="533"/>
      <c r="L985" s="534"/>
      <c r="Q985" s="498"/>
      <c r="R985" s="498"/>
    </row>
    <row r="986" ht="15.75" customHeight="1">
      <c r="A986" s="496"/>
      <c r="B986" s="496"/>
      <c r="C986" s="497"/>
      <c r="K986" s="533"/>
      <c r="L986" s="534"/>
      <c r="Q986" s="498"/>
      <c r="R986" s="498"/>
    </row>
    <row r="987" ht="15.75" customHeight="1">
      <c r="A987" s="496"/>
      <c r="B987" s="496"/>
      <c r="C987" s="497"/>
      <c r="K987" s="533"/>
      <c r="L987" s="534"/>
      <c r="Q987" s="498"/>
      <c r="R987" s="498"/>
    </row>
    <row r="988" ht="15.75" customHeight="1">
      <c r="A988" s="496"/>
      <c r="B988" s="496"/>
      <c r="C988" s="497"/>
      <c r="K988" s="533"/>
      <c r="L988" s="534"/>
      <c r="Q988" s="498"/>
      <c r="R988" s="498"/>
    </row>
    <row r="989" ht="15.75" customHeight="1">
      <c r="A989" s="496"/>
      <c r="B989" s="496"/>
      <c r="C989" s="497"/>
      <c r="K989" s="533"/>
      <c r="L989" s="534"/>
      <c r="Q989" s="498"/>
      <c r="R989" s="498"/>
    </row>
    <row r="990" ht="15.75" customHeight="1">
      <c r="A990" s="496"/>
      <c r="B990" s="496"/>
      <c r="C990" s="497"/>
      <c r="K990" s="533"/>
      <c r="L990" s="534"/>
      <c r="Q990" s="498"/>
      <c r="R990" s="498"/>
    </row>
    <row r="991" ht="15.75" customHeight="1">
      <c r="A991" s="496"/>
      <c r="B991" s="496"/>
      <c r="C991" s="497"/>
      <c r="K991" s="533"/>
      <c r="L991" s="534"/>
      <c r="Q991" s="498"/>
      <c r="R991" s="498"/>
    </row>
    <row r="992" ht="15.75" customHeight="1">
      <c r="A992" s="496"/>
      <c r="B992" s="496"/>
      <c r="C992" s="497"/>
      <c r="K992" s="533"/>
      <c r="L992" s="534"/>
      <c r="Q992" s="498"/>
      <c r="R992" s="498"/>
    </row>
    <row r="993" ht="15.75" customHeight="1">
      <c r="A993" s="496"/>
      <c r="B993" s="496"/>
      <c r="C993" s="497"/>
      <c r="K993" s="533"/>
      <c r="L993" s="534"/>
      <c r="Q993" s="498"/>
      <c r="R993" s="498"/>
    </row>
    <row r="994" ht="15.75" customHeight="1">
      <c r="A994" s="496"/>
      <c r="B994" s="496"/>
      <c r="C994" s="497"/>
      <c r="K994" s="533"/>
      <c r="L994" s="534"/>
      <c r="Q994" s="498"/>
      <c r="R994" s="498"/>
    </row>
    <row r="995" ht="15.75" customHeight="1">
      <c r="A995" s="496"/>
      <c r="B995" s="496"/>
      <c r="C995" s="497"/>
      <c r="K995" s="533"/>
      <c r="L995" s="534"/>
      <c r="Q995" s="498"/>
      <c r="R995" s="498"/>
    </row>
    <row r="996" ht="15.75" customHeight="1">
      <c r="A996" s="496"/>
      <c r="B996" s="496"/>
      <c r="C996" s="497"/>
      <c r="K996" s="533"/>
      <c r="L996" s="534"/>
      <c r="Q996" s="498"/>
      <c r="R996" s="498"/>
    </row>
    <row r="997" ht="15.75" customHeight="1">
      <c r="A997" s="496"/>
      <c r="B997" s="496"/>
      <c r="C997" s="497"/>
      <c r="K997" s="533"/>
      <c r="L997" s="534"/>
      <c r="Q997" s="498"/>
      <c r="R997" s="498"/>
    </row>
    <row r="998" ht="15.75" customHeight="1">
      <c r="A998" s="496"/>
      <c r="B998" s="496"/>
      <c r="C998" s="497"/>
      <c r="K998" s="533"/>
      <c r="L998" s="534"/>
      <c r="Q998" s="498"/>
      <c r="R998" s="498"/>
    </row>
    <row r="999" ht="15.75" customHeight="1">
      <c r="A999" s="496"/>
      <c r="B999" s="496"/>
      <c r="C999" s="497"/>
      <c r="K999" s="533"/>
      <c r="L999" s="534"/>
      <c r="Q999" s="498"/>
      <c r="R999" s="498"/>
    </row>
    <row r="1000" ht="15.75" customHeight="1">
      <c r="A1000" s="496"/>
      <c r="B1000" s="496"/>
      <c r="C1000" s="497"/>
      <c r="K1000" s="533"/>
      <c r="L1000" s="534"/>
      <c r="Q1000" s="498"/>
      <c r="R1000" s="498"/>
    </row>
    <row r="1001" ht="15.75" customHeight="1">
      <c r="A1001" s="496"/>
      <c r="B1001" s="496"/>
      <c r="C1001" s="497"/>
      <c r="K1001" s="533"/>
      <c r="L1001" s="534"/>
      <c r="Q1001" s="498"/>
      <c r="R1001" s="498"/>
    </row>
    <row r="1002" ht="15.75" customHeight="1">
      <c r="A1002" s="496"/>
      <c r="B1002" s="496"/>
      <c r="C1002" s="497"/>
      <c r="K1002" s="533"/>
      <c r="L1002" s="534"/>
      <c r="Q1002" s="498"/>
      <c r="R1002" s="498"/>
    </row>
    <row r="1003" ht="15.75" customHeight="1">
      <c r="A1003" s="496"/>
      <c r="B1003" s="496"/>
      <c r="C1003" s="497"/>
      <c r="K1003" s="533"/>
      <c r="L1003" s="534"/>
      <c r="Q1003" s="498"/>
      <c r="R1003" s="498"/>
    </row>
    <row r="1004" ht="15.75" customHeight="1">
      <c r="A1004" s="496"/>
      <c r="B1004" s="496"/>
      <c r="C1004" s="497"/>
      <c r="K1004" s="533"/>
      <c r="L1004" s="534"/>
      <c r="Q1004" s="498"/>
      <c r="R1004" s="498"/>
    </row>
    <row r="1005" ht="15.75" customHeight="1">
      <c r="A1005" s="496"/>
      <c r="B1005" s="496"/>
      <c r="C1005" s="497"/>
      <c r="K1005" s="533"/>
      <c r="L1005" s="534"/>
      <c r="Q1005" s="498"/>
      <c r="R1005" s="498"/>
    </row>
    <row r="1006" ht="15.75" customHeight="1">
      <c r="A1006" s="496"/>
      <c r="B1006" s="496"/>
      <c r="C1006" s="497"/>
      <c r="K1006" s="533"/>
      <c r="L1006" s="534"/>
      <c r="Q1006" s="498"/>
      <c r="R1006" s="498"/>
    </row>
    <row r="1007" ht="15.75" customHeight="1">
      <c r="A1007" s="496"/>
      <c r="B1007" s="496"/>
      <c r="C1007" s="497"/>
      <c r="K1007" s="533"/>
      <c r="L1007" s="534"/>
      <c r="Q1007" s="498"/>
      <c r="R1007" s="498"/>
    </row>
    <row r="1008" ht="15.75" customHeight="1">
      <c r="A1008" s="496"/>
      <c r="B1008" s="496"/>
      <c r="C1008" s="497"/>
      <c r="K1008" s="533"/>
      <c r="L1008" s="534"/>
      <c r="Q1008" s="498"/>
      <c r="R1008" s="498"/>
    </row>
    <row r="1009" ht="15.75" customHeight="1">
      <c r="A1009" s="496"/>
      <c r="B1009" s="496"/>
      <c r="C1009" s="497"/>
      <c r="K1009" s="533"/>
      <c r="L1009" s="534"/>
      <c r="Q1009" s="498"/>
      <c r="R1009" s="498"/>
    </row>
    <row r="1010" ht="15.75" customHeight="1">
      <c r="A1010" s="496"/>
      <c r="B1010" s="496"/>
      <c r="C1010" s="497"/>
      <c r="K1010" s="533"/>
      <c r="L1010" s="534"/>
      <c r="Q1010" s="498"/>
      <c r="R1010" s="498"/>
    </row>
    <row r="1011" ht="15.75" customHeight="1">
      <c r="A1011" s="496"/>
      <c r="B1011" s="496"/>
      <c r="C1011" s="497"/>
      <c r="K1011" s="533"/>
      <c r="L1011" s="534"/>
      <c r="Q1011" s="498"/>
      <c r="R1011" s="498"/>
    </row>
    <row r="1012" ht="15.75" customHeight="1">
      <c r="A1012" s="496"/>
      <c r="B1012" s="496"/>
      <c r="C1012" s="497"/>
      <c r="K1012" s="533"/>
      <c r="L1012" s="534"/>
      <c r="Q1012" s="498"/>
      <c r="R1012" s="498"/>
    </row>
    <row r="1013" ht="15.75" customHeight="1">
      <c r="A1013" s="496"/>
      <c r="B1013" s="496"/>
      <c r="C1013" s="497"/>
      <c r="K1013" s="533"/>
      <c r="L1013" s="534"/>
      <c r="Q1013" s="498"/>
      <c r="R1013" s="498"/>
    </row>
    <row r="1014" ht="15.75" customHeight="1">
      <c r="A1014" s="496"/>
      <c r="B1014" s="496"/>
      <c r="C1014" s="497"/>
      <c r="K1014" s="533"/>
      <c r="L1014" s="534"/>
      <c r="Q1014" s="498"/>
      <c r="R1014" s="498"/>
    </row>
    <row r="1015" ht="15.75" customHeight="1">
      <c r="A1015" s="496"/>
      <c r="B1015" s="496"/>
      <c r="C1015" s="497"/>
      <c r="K1015" s="533"/>
      <c r="L1015" s="534"/>
      <c r="Q1015" s="498"/>
      <c r="R1015" s="498"/>
    </row>
    <row r="1016" ht="15.75" customHeight="1">
      <c r="A1016" s="496"/>
      <c r="B1016" s="496"/>
      <c r="C1016" s="497"/>
      <c r="K1016" s="533"/>
      <c r="L1016" s="534"/>
      <c r="Q1016" s="498"/>
      <c r="R1016" s="498"/>
    </row>
    <row r="1017" ht="15.75" customHeight="1">
      <c r="A1017" s="496"/>
      <c r="B1017" s="496"/>
      <c r="C1017" s="497"/>
      <c r="K1017" s="533"/>
      <c r="L1017" s="534"/>
      <c r="Q1017" s="498"/>
      <c r="R1017" s="498"/>
    </row>
    <row r="1018" ht="15.75" customHeight="1">
      <c r="A1018" s="496"/>
      <c r="B1018" s="496"/>
      <c r="C1018" s="497"/>
      <c r="K1018" s="533"/>
      <c r="L1018" s="534"/>
      <c r="Q1018" s="498"/>
      <c r="R1018" s="498"/>
    </row>
    <row r="1019" ht="15.75" customHeight="1">
      <c r="A1019" s="496"/>
      <c r="B1019" s="496"/>
      <c r="C1019" s="497"/>
      <c r="K1019" s="533"/>
      <c r="L1019" s="534"/>
      <c r="Q1019" s="498"/>
      <c r="R1019" s="498"/>
    </row>
    <row r="1020" ht="15.75" customHeight="1">
      <c r="A1020" s="496"/>
      <c r="B1020" s="496"/>
      <c r="C1020" s="497"/>
      <c r="K1020" s="533"/>
      <c r="L1020" s="534"/>
      <c r="Q1020" s="498"/>
      <c r="R1020" s="498"/>
    </row>
    <row r="1021" ht="15.75" customHeight="1">
      <c r="A1021" s="496"/>
      <c r="B1021" s="496"/>
      <c r="C1021" s="497"/>
      <c r="K1021" s="533"/>
      <c r="L1021" s="534"/>
      <c r="Q1021" s="498"/>
      <c r="R1021" s="498"/>
    </row>
    <row r="1022" ht="15.75" customHeight="1">
      <c r="A1022" s="496"/>
      <c r="B1022" s="496"/>
      <c r="C1022" s="497"/>
      <c r="K1022" s="533"/>
      <c r="L1022" s="534"/>
      <c r="Q1022" s="498"/>
      <c r="R1022" s="498"/>
    </row>
    <row r="1023" ht="15.75" customHeight="1">
      <c r="A1023" s="496"/>
      <c r="B1023" s="496"/>
      <c r="C1023" s="497"/>
      <c r="K1023" s="533"/>
      <c r="L1023" s="534"/>
      <c r="Q1023" s="498"/>
      <c r="R1023" s="498"/>
    </row>
    <row r="1024" ht="15.75" customHeight="1">
      <c r="A1024" s="496"/>
      <c r="B1024" s="496"/>
      <c r="C1024" s="497"/>
      <c r="K1024" s="533"/>
      <c r="L1024" s="534"/>
      <c r="Q1024" s="498"/>
      <c r="R1024" s="498"/>
    </row>
    <row r="1025" ht="15.75" customHeight="1">
      <c r="A1025" s="496"/>
      <c r="B1025" s="496"/>
      <c r="C1025" s="497"/>
      <c r="K1025" s="533"/>
      <c r="L1025" s="534"/>
      <c r="Q1025" s="498"/>
      <c r="R1025" s="498"/>
    </row>
    <row r="1026" ht="15.75" customHeight="1">
      <c r="A1026" s="496"/>
      <c r="B1026" s="496"/>
      <c r="C1026" s="497"/>
      <c r="K1026" s="533"/>
      <c r="L1026" s="534"/>
      <c r="Q1026" s="498"/>
      <c r="R1026" s="498"/>
    </row>
    <row r="1027" ht="15.75" customHeight="1">
      <c r="A1027" s="496"/>
      <c r="B1027" s="496"/>
      <c r="C1027" s="497"/>
      <c r="K1027" s="533"/>
      <c r="L1027" s="534"/>
      <c r="Q1027" s="498"/>
      <c r="R1027" s="498"/>
    </row>
    <row r="1028" ht="15.75" customHeight="1">
      <c r="A1028" s="496"/>
      <c r="B1028" s="496"/>
      <c r="C1028" s="497"/>
      <c r="K1028" s="533"/>
      <c r="L1028" s="534"/>
      <c r="Q1028" s="498"/>
      <c r="R1028" s="498"/>
    </row>
    <row r="1029" ht="15.75" customHeight="1">
      <c r="A1029" s="496"/>
      <c r="B1029" s="496"/>
      <c r="C1029" s="497"/>
      <c r="K1029" s="533"/>
      <c r="L1029" s="534"/>
      <c r="Q1029" s="498"/>
      <c r="R1029" s="498"/>
    </row>
    <row r="1030" ht="15.75" customHeight="1">
      <c r="A1030" s="496"/>
      <c r="B1030" s="496"/>
      <c r="C1030" s="497"/>
      <c r="K1030" s="533"/>
      <c r="L1030" s="534"/>
      <c r="Q1030" s="498"/>
      <c r="R1030" s="498"/>
    </row>
    <row r="1031" ht="15.75" customHeight="1">
      <c r="A1031" s="496"/>
      <c r="B1031" s="496"/>
      <c r="C1031" s="497"/>
      <c r="K1031" s="533"/>
      <c r="L1031" s="534"/>
      <c r="Q1031" s="498"/>
      <c r="R1031" s="498"/>
    </row>
    <row r="1032" ht="15.75" customHeight="1">
      <c r="A1032" s="496"/>
      <c r="B1032" s="496"/>
      <c r="C1032" s="497"/>
      <c r="K1032" s="533"/>
      <c r="L1032" s="534"/>
      <c r="Q1032" s="498"/>
      <c r="R1032" s="498"/>
    </row>
    <row r="1033" ht="15.75" customHeight="1">
      <c r="A1033" s="496"/>
      <c r="B1033" s="496"/>
      <c r="C1033" s="497"/>
      <c r="K1033" s="533"/>
      <c r="L1033" s="534"/>
      <c r="Q1033" s="498"/>
      <c r="R1033" s="498"/>
    </row>
    <row r="1034" ht="15.75" customHeight="1">
      <c r="A1034" s="496"/>
      <c r="B1034" s="496"/>
      <c r="C1034" s="497"/>
      <c r="K1034" s="533"/>
      <c r="L1034" s="534"/>
      <c r="Q1034" s="498"/>
      <c r="R1034" s="498"/>
    </row>
    <row r="1035" ht="15.75" customHeight="1">
      <c r="A1035" s="496"/>
      <c r="B1035" s="496"/>
      <c r="C1035" s="497"/>
      <c r="K1035" s="533"/>
      <c r="L1035" s="534"/>
      <c r="Q1035" s="498"/>
      <c r="R1035" s="498"/>
    </row>
    <row r="1036" ht="15.75" customHeight="1">
      <c r="A1036" s="496"/>
      <c r="B1036" s="496"/>
      <c r="C1036" s="497"/>
      <c r="K1036" s="533"/>
      <c r="L1036" s="534"/>
      <c r="Q1036" s="498"/>
      <c r="R1036" s="498"/>
    </row>
    <row r="1037" ht="15.75" customHeight="1">
      <c r="A1037" s="496"/>
      <c r="B1037" s="496"/>
      <c r="C1037" s="497"/>
      <c r="K1037" s="533"/>
      <c r="L1037" s="534"/>
      <c r="Q1037" s="498"/>
      <c r="R1037" s="498"/>
    </row>
    <row r="1038" ht="15.75" customHeight="1">
      <c r="A1038" s="496"/>
      <c r="B1038" s="496"/>
      <c r="C1038" s="497"/>
      <c r="K1038" s="533"/>
      <c r="L1038" s="534"/>
      <c r="Q1038" s="498"/>
      <c r="R1038" s="498"/>
    </row>
    <row r="1039" ht="15.75" customHeight="1">
      <c r="A1039" s="496"/>
      <c r="B1039" s="496"/>
      <c r="C1039" s="497"/>
      <c r="K1039" s="533"/>
      <c r="L1039" s="534"/>
      <c r="Q1039" s="498"/>
      <c r="R1039" s="498"/>
    </row>
    <row r="1040" ht="15.75" customHeight="1">
      <c r="A1040" s="496"/>
      <c r="B1040" s="496"/>
      <c r="C1040" s="497"/>
      <c r="K1040" s="533"/>
      <c r="L1040" s="534"/>
      <c r="Q1040" s="498"/>
      <c r="R1040" s="498"/>
    </row>
    <row r="1041" ht="15.75" customHeight="1">
      <c r="A1041" s="496"/>
      <c r="B1041" s="496"/>
      <c r="C1041" s="497"/>
      <c r="K1041" s="533"/>
      <c r="L1041" s="534"/>
      <c r="Q1041" s="498"/>
      <c r="R1041" s="498"/>
    </row>
    <row r="1042" ht="15.75" customHeight="1">
      <c r="A1042" s="496"/>
      <c r="B1042" s="496"/>
      <c r="C1042" s="497"/>
      <c r="K1042" s="533"/>
      <c r="L1042" s="534"/>
      <c r="Q1042" s="498"/>
      <c r="R1042" s="498"/>
    </row>
    <row r="1043" ht="15.75" customHeight="1">
      <c r="A1043" s="496"/>
      <c r="B1043" s="496"/>
      <c r="C1043" s="497"/>
      <c r="K1043" s="533"/>
      <c r="L1043" s="534"/>
      <c r="Q1043" s="498"/>
      <c r="R1043" s="498"/>
    </row>
    <row r="1044" ht="15.75" customHeight="1">
      <c r="A1044" s="496"/>
      <c r="B1044" s="496"/>
      <c r="C1044" s="497"/>
      <c r="K1044" s="533"/>
      <c r="L1044" s="534"/>
      <c r="Q1044" s="498"/>
      <c r="R1044" s="498"/>
    </row>
    <row r="1045" ht="15.75" customHeight="1">
      <c r="A1045" s="496"/>
      <c r="B1045" s="496"/>
      <c r="C1045" s="497"/>
      <c r="K1045" s="533"/>
      <c r="L1045" s="534"/>
      <c r="Q1045" s="498"/>
      <c r="R1045" s="498"/>
    </row>
    <row r="1046" ht="15.75" customHeight="1">
      <c r="A1046" s="496"/>
      <c r="B1046" s="496"/>
      <c r="C1046" s="497"/>
      <c r="K1046" s="533"/>
      <c r="L1046" s="534"/>
      <c r="Q1046" s="498"/>
      <c r="R1046" s="498"/>
    </row>
    <row r="1047" ht="15.75" customHeight="1">
      <c r="A1047" s="496"/>
      <c r="B1047" s="496"/>
      <c r="C1047" s="497"/>
      <c r="K1047" s="533"/>
      <c r="L1047" s="534"/>
      <c r="Q1047" s="498"/>
      <c r="R1047" s="498"/>
    </row>
    <row r="1048" ht="15.75" customHeight="1">
      <c r="A1048" s="496"/>
      <c r="B1048" s="496"/>
      <c r="C1048" s="497"/>
      <c r="K1048" s="533"/>
      <c r="L1048" s="534"/>
      <c r="Q1048" s="498"/>
      <c r="R1048" s="498"/>
    </row>
    <row r="1049" ht="15.75" customHeight="1">
      <c r="A1049" s="496"/>
      <c r="B1049" s="496"/>
      <c r="C1049" s="497"/>
      <c r="K1049" s="533"/>
      <c r="L1049" s="534"/>
      <c r="Q1049" s="498"/>
      <c r="R1049" s="498"/>
    </row>
    <row r="1050" ht="15.75" customHeight="1">
      <c r="A1050" s="496"/>
      <c r="B1050" s="496"/>
      <c r="C1050" s="497"/>
      <c r="K1050" s="533"/>
      <c r="L1050" s="534"/>
      <c r="Q1050" s="498"/>
      <c r="R1050" s="498"/>
    </row>
    <row r="1051" ht="15.75" customHeight="1">
      <c r="A1051" s="496"/>
      <c r="B1051" s="496"/>
      <c r="C1051" s="497"/>
      <c r="K1051" s="533"/>
      <c r="L1051" s="534"/>
      <c r="Q1051" s="498"/>
      <c r="R1051" s="498"/>
    </row>
    <row r="1052" ht="15.75" customHeight="1">
      <c r="A1052" s="496"/>
      <c r="B1052" s="496"/>
      <c r="C1052" s="497"/>
      <c r="K1052" s="533"/>
      <c r="L1052" s="534"/>
      <c r="Q1052" s="498"/>
      <c r="R1052" s="498"/>
    </row>
    <row r="1053" ht="15.75" customHeight="1">
      <c r="A1053" s="496"/>
      <c r="B1053" s="496"/>
      <c r="C1053" s="497"/>
      <c r="K1053" s="533"/>
      <c r="L1053" s="534"/>
      <c r="Q1053" s="498"/>
      <c r="R1053" s="498"/>
    </row>
    <row r="1054" ht="15.75" customHeight="1">
      <c r="A1054" s="496"/>
      <c r="B1054" s="496"/>
      <c r="C1054" s="497"/>
      <c r="K1054" s="533"/>
      <c r="L1054" s="534"/>
      <c r="Q1054" s="498"/>
      <c r="R1054" s="498"/>
    </row>
    <row r="1055" ht="15.75" customHeight="1">
      <c r="A1055" s="496"/>
      <c r="B1055" s="496"/>
      <c r="C1055" s="497"/>
      <c r="K1055" s="533"/>
      <c r="L1055" s="534"/>
      <c r="Q1055" s="498"/>
      <c r="R1055" s="498"/>
    </row>
    <row r="1056" ht="15.75" customHeight="1">
      <c r="A1056" s="496"/>
      <c r="B1056" s="496"/>
      <c r="C1056" s="497"/>
      <c r="K1056" s="533"/>
      <c r="L1056" s="534"/>
      <c r="Q1056" s="498"/>
      <c r="R1056" s="498"/>
    </row>
    <row r="1057" ht="15.75" customHeight="1">
      <c r="A1057" s="496"/>
      <c r="B1057" s="496"/>
      <c r="C1057" s="497"/>
      <c r="K1057" s="533"/>
      <c r="L1057" s="534"/>
      <c r="Q1057" s="498"/>
      <c r="R1057" s="498"/>
    </row>
    <row r="1058" ht="15.75" customHeight="1">
      <c r="A1058" s="496"/>
      <c r="B1058" s="496"/>
      <c r="C1058" s="497"/>
      <c r="K1058" s="533"/>
      <c r="L1058" s="534"/>
      <c r="Q1058" s="498"/>
      <c r="R1058" s="498"/>
    </row>
    <row r="1059" ht="15.75" customHeight="1">
      <c r="A1059" s="496"/>
      <c r="B1059" s="496"/>
      <c r="C1059" s="497"/>
      <c r="K1059" s="533"/>
      <c r="L1059" s="534"/>
      <c r="Q1059" s="498"/>
      <c r="R1059" s="498"/>
    </row>
    <row r="1060" ht="15.75" customHeight="1">
      <c r="A1060" s="496"/>
      <c r="B1060" s="496"/>
      <c r="C1060" s="497"/>
      <c r="K1060" s="533"/>
      <c r="L1060" s="534"/>
      <c r="Q1060" s="498"/>
      <c r="R1060" s="498"/>
    </row>
    <row r="1061" ht="15.75" customHeight="1">
      <c r="A1061" s="496"/>
      <c r="B1061" s="496"/>
      <c r="C1061" s="497"/>
      <c r="K1061" s="533"/>
      <c r="L1061" s="534"/>
      <c r="Q1061" s="498"/>
      <c r="R1061" s="498"/>
    </row>
    <row r="1062" ht="15.75" customHeight="1">
      <c r="A1062" s="496"/>
      <c r="B1062" s="496"/>
      <c r="C1062" s="497"/>
      <c r="K1062" s="533"/>
      <c r="L1062" s="534"/>
      <c r="Q1062" s="498"/>
      <c r="R1062" s="498"/>
    </row>
    <row r="1063" ht="15.75" customHeight="1">
      <c r="A1063" s="496"/>
      <c r="B1063" s="496"/>
      <c r="C1063" s="497"/>
      <c r="K1063" s="533"/>
      <c r="L1063" s="534"/>
      <c r="Q1063" s="498"/>
      <c r="R1063" s="498"/>
    </row>
    <row r="1064" ht="15.75" customHeight="1">
      <c r="A1064" s="496"/>
      <c r="B1064" s="496"/>
      <c r="C1064" s="497"/>
      <c r="K1064" s="533"/>
      <c r="L1064" s="534"/>
      <c r="Q1064" s="498"/>
      <c r="R1064" s="498"/>
    </row>
    <row r="1065" ht="15.75" customHeight="1">
      <c r="A1065" s="496"/>
      <c r="B1065" s="496"/>
      <c r="C1065" s="497"/>
      <c r="K1065" s="533"/>
      <c r="L1065" s="534"/>
      <c r="Q1065" s="498"/>
      <c r="R1065" s="498"/>
    </row>
    <row r="1066" ht="15.75" customHeight="1">
      <c r="A1066" s="496"/>
      <c r="B1066" s="496"/>
      <c r="C1066" s="497"/>
      <c r="K1066" s="533"/>
      <c r="L1066" s="534"/>
      <c r="Q1066" s="498"/>
      <c r="R1066" s="498"/>
    </row>
    <row r="1067" ht="15.75" customHeight="1">
      <c r="A1067" s="496"/>
      <c r="B1067" s="496"/>
      <c r="C1067" s="497"/>
      <c r="K1067" s="533"/>
      <c r="L1067" s="534"/>
      <c r="Q1067" s="498"/>
      <c r="R1067" s="498"/>
    </row>
    <row r="1068" ht="15.75" customHeight="1">
      <c r="A1068" s="496"/>
      <c r="B1068" s="496"/>
      <c r="C1068" s="497"/>
      <c r="K1068" s="533"/>
      <c r="L1068" s="534"/>
      <c r="Q1068" s="498"/>
      <c r="R1068" s="498"/>
    </row>
    <row r="1069" ht="15.75" customHeight="1">
      <c r="A1069" s="496"/>
      <c r="B1069" s="496"/>
      <c r="C1069" s="497"/>
      <c r="K1069" s="533"/>
      <c r="L1069" s="534"/>
      <c r="Q1069" s="498"/>
      <c r="R1069" s="498"/>
    </row>
    <row r="1070" ht="15.75" customHeight="1">
      <c r="A1070" s="496"/>
      <c r="B1070" s="496"/>
      <c r="C1070" s="497"/>
      <c r="K1070" s="533"/>
      <c r="L1070" s="534"/>
      <c r="Q1070" s="498"/>
      <c r="R1070" s="498"/>
    </row>
    <row r="1071" ht="15.75" customHeight="1">
      <c r="A1071" s="496"/>
      <c r="B1071" s="496"/>
      <c r="C1071" s="497"/>
      <c r="K1071" s="533"/>
      <c r="L1071" s="534"/>
      <c r="Q1071" s="498"/>
      <c r="R1071" s="498"/>
    </row>
    <row r="1072" ht="15.75" customHeight="1">
      <c r="A1072" s="496"/>
      <c r="B1072" s="496"/>
      <c r="C1072" s="497"/>
      <c r="K1072" s="533"/>
      <c r="L1072" s="534"/>
      <c r="Q1072" s="498"/>
      <c r="R1072" s="498"/>
    </row>
    <row r="1073" ht="15.75" customHeight="1">
      <c r="A1073" s="496"/>
      <c r="B1073" s="496"/>
      <c r="C1073" s="497"/>
      <c r="K1073" s="533"/>
      <c r="L1073" s="534"/>
      <c r="Q1073" s="498"/>
      <c r="R1073" s="498"/>
    </row>
    <row r="1074" ht="15.75" customHeight="1">
      <c r="A1074" s="496"/>
      <c r="B1074" s="496"/>
      <c r="C1074" s="497"/>
      <c r="K1074" s="533"/>
      <c r="L1074" s="534"/>
      <c r="Q1074" s="498"/>
      <c r="R1074" s="498"/>
    </row>
    <row r="1075" ht="15.75" customHeight="1">
      <c r="A1075" s="496"/>
      <c r="B1075" s="496"/>
      <c r="C1075" s="497"/>
      <c r="K1075" s="533"/>
      <c r="L1075" s="534"/>
      <c r="Q1075" s="498"/>
      <c r="R1075" s="498"/>
    </row>
    <row r="1076" ht="15.75" customHeight="1">
      <c r="A1076" s="496"/>
      <c r="B1076" s="496"/>
      <c r="C1076" s="497"/>
      <c r="K1076" s="533"/>
      <c r="L1076" s="534"/>
      <c r="Q1076" s="498"/>
      <c r="R1076" s="498"/>
    </row>
    <row r="1077" ht="15.75" customHeight="1">
      <c r="A1077" s="496"/>
      <c r="B1077" s="496"/>
      <c r="C1077" s="497"/>
      <c r="K1077" s="533"/>
      <c r="L1077" s="534"/>
      <c r="Q1077" s="498"/>
      <c r="R1077" s="498"/>
    </row>
    <row r="1078" ht="15.75" customHeight="1">
      <c r="A1078" s="496"/>
      <c r="B1078" s="496"/>
      <c r="C1078" s="497"/>
      <c r="K1078" s="533"/>
      <c r="L1078" s="534"/>
      <c r="Q1078" s="498"/>
      <c r="R1078" s="498"/>
    </row>
    <row r="1079" ht="15.75" customHeight="1">
      <c r="A1079" s="496"/>
      <c r="B1079" s="496"/>
      <c r="C1079" s="497"/>
      <c r="K1079" s="533"/>
      <c r="L1079" s="534"/>
      <c r="Q1079" s="498"/>
      <c r="R1079" s="498"/>
    </row>
    <row r="1080" ht="15.75" customHeight="1">
      <c r="A1080" s="496"/>
      <c r="B1080" s="496"/>
      <c r="C1080" s="497"/>
      <c r="K1080" s="533"/>
      <c r="L1080" s="534"/>
      <c r="Q1080" s="498"/>
      <c r="R1080" s="498"/>
    </row>
    <row r="1081" ht="15.75" customHeight="1">
      <c r="A1081" s="496"/>
      <c r="B1081" s="496"/>
      <c r="C1081" s="497"/>
      <c r="K1081" s="533"/>
      <c r="L1081" s="534"/>
      <c r="Q1081" s="498"/>
      <c r="R1081" s="498"/>
    </row>
    <row r="1082" ht="15.75" customHeight="1">
      <c r="A1082" s="496"/>
      <c r="B1082" s="496"/>
      <c r="C1082" s="497"/>
      <c r="K1082" s="533"/>
      <c r="L1082" s="534"/>
      <c r="Q1082" s="498"/>
      <c r="R1082" s="498"/>
    </row>
    <row r="1083" ht="15.75" customHeight="1">
      <c r="A1083" s="496"/>
      <c r="B1083" s="496"/>
      <c r="C1083" s="497"/>
      <c r="K1083" s="533"/>
      <c r="L1083" s="534"/>
      <c r="Q1083" s="498"/>
      <c r="R1083" s="498"/>
    </row>
    <row r="1084" ht="15.75" customHeight="1">
      <c r="A1084" s="496"/>
      <c r="B1084" s="496"/>
      <c r="C1084" s="497"/>
      <c r="K1084" s="533"/>
      <c r="L1084" s="534"/>
      <c r="Q1084" s="498"/>
      <c r="R1084" s="498"/>
    </row>
    <row r="1085" ht="15.75" customHeight="1">
      <c r="A1085" s="496"/>
      <c r="B1085" s="496"/>
      <c r="C1085" s="497"/>
      <c r="K1085" s="533"/>
      <c r="L1085" s="534"/>
      <c r="Q1085" s="498"/>
      <c r="R1085" s="498"/>
    </row>
    <row r="1086" ht="15.75" customHeight="1">
      <c r="A1086" s="496"/>
      <c r="B1086" s="496"/>
      <c r="C1086" s="497"/>
      <c r="K1086" s="533"/>
      <c r="L1086" s="534"/>
      <c r="Q1086" s="498"/>
      <c r="R1086" s="498"/>
    </row>
    <row r="1087" ht="15.75" customHeight="1">
      <c r="A1087" s="496"/>
      <c r="B1087" s="496"/>
      <c r="C1087" s="497"/>
      <c r="K1087" s="533"/>
      <c r="L1087" s="534"/>
      <c r="Q1087" s="498"/>
      <c r="R1087" s="498"/>
    </row>
    <row r="1088" ht="15.75" customHeight="1">
      <c r="A1088" s="496"/>
      <c r="B1088" s="496"/>
      <c r="C1088" s="497"/>
      <c r="K1088" s="533"/>
      <c r="L1088" s="534"/>
      <c r="Q1088" s="498"/>
      <c r="R1088" s="498"/>
    </row>
    <row r="1089" ht="15.75" customHeight="1">
      <c r="A1089" s="496"/>
      <c r="B1089" s="496"/>
      <c r="C1089" s="497"/>
      <c r="K1089" s="533"/>
      <c r="L1089" s="534"/>
      <c r="Q1089" s="498"/>
      <c r="R1089" s="498"/>
    </row>
    <row r="1090" ht="15.75" customHeight="1">
      <c r="A1090" s="496"/>
      <c r="B1090" s="496"/>
      <c r="C1090" s="497"/>
      <c r="K1090" s="533"/>
      <c r="L1090" s="534"/>
      <c r="Q1090" s="498"/>
      <c r="R1090" s="498"/>
    </row>
    <row r="1091" ht="15.75" customHeight="1">
      <c r="A1091" s="496"/>
      <c r="B1091" s="496"/>
      <c r="C1091" s="497"/>
      <c r="K1091" s="533"/>
      <c r="L1091" s="534"/>
      <c r="Q1091" s="498"/>
      <c r="R1091" s="498"/>
    </row>
    <row r="1092" ht="15.75" customHeight="1">
      <c r="A1092" s="496"/>
      <c r="B1092" s="496"/>
      <c r="C1092" s="497"/>
      <c r="K1092" s="533"/>
      <c r="L1092" s="534"/>
      <c r="Q1092" s="498"/>
      <c r="R1092" s="498"/>
    </row>
    <row r="1093" ht="15.75" customHeight="1">
      <c r="A1093" s="496"/>
      <c r="B1093" s="496"/>
      <c r="C1093" s="497"/>
      <c r="K1093" s="533"/>
      <c r="L1093" s="534"/>
      <c r="Q1093" s="498"/>
      <c r="R1093" s="498"/>
    </row>
    <row r="1094" ht="15.75" customHeight="1">
      <c r="A1094" s="496"/>
      <c r="B1094" s="496"/>
      <c r="C1094" s="497"/>
      <c r="K1094" s="533"/>
      <c r="L1094" s="534"/>
      <c r="Q1094" s="498"/>
      <c r="R1094" s="498"/>
    </row>
    <row r="1095" ht="15.75" customHeight="1">
      <c r="A1095" s="496"/>
      <c r="B1095" s="496"/>
      <c r="C1095" s="497"/>
      <c r="K1095" s="533"/>
      <c r="L1095" s="534"/>
      <c r="Q1095" s="498"/>
      <c r="R1095" s="498"/>
    </row>
    <row r="1096" ht="15.75" customHeight="1">
      <c r="A1096" s="496"/>
      <c r="B1096" s="496"/>
      <c r="C1096" s="497"/>
      <c r="K1096" s="533"/>
      <c r="L1096" s="534"/>
      <c r="Q1096" s="498"/>
      <c r="R1096" s="498"/>
    </row>
    <row r="1097" ht="15.75" customHeight="1">
      <c r="A1097" s="496"/>
      <c r="B1097" s="496"/>
      <c r="C1097" s="497"/>
      <c r="K1097" s="533"/>
      <c r="L1097" s="534"/>
      <c r="Q1097" s="498"/>
      <c r="R1097" s="498"/>
    </row>
    <row r="1098" ht="15.75" customHeight="1">
      <c r="A1098" s="496"/>
      <c r="B1098" s="496"/>
      <c r="C1098" s="497"/>
      <c r="K1098" s="533"/>
      <c r="L1098" s="534"/>
      <c r="Q1098" s="498"/>
      <c r="R1098" s="498"/>
    </row>
    <row r="1099" ht="15.75" customHeight="1">
      <c r="A1099" s="496"/>
      <c r="B1099" s="496"/>
      <c r="C1099" s="497"/>
      <c r="K1099" s="533"/>
      <c r="L1099" s="534"/>
      <c r="Q1099" s="498"/>
      <c r="R1099" s="498"/>
    </row>
    <row r="1100" ht="15.75" customHeight="1">
      <c r="A1100" s="496"/>
      <c r="B1100" s="496"/>
      <c r="C1100" s="497"/>
      <c r="K1100" s="533"/>
      <c r="L1100" s="534"/>
      <c r="Q1100" s="498"/>
      <c r="R1100" s="498"/>
    </row>
    <row r="1101" ht="15.75" customHeight="1">
      <c r="A1101" s="496"/>
      <c r="B1101" s="496"/>
      <c r="C1101" s="497"/>
      <c r="K1101" s="533"/>
      <c r="L1101" s="534"/>
      <c r="Q1101" s="498"/>
      <c r="R1101" s="498"/>
    </row>
    <row r="1102" ht="15.75" customHeight="1">
      <c r="A1102" s="496"/>
      <c r="B1102" s="496"/>
      <c r="C1102" s="497"/>
      <c r="K1102" s="533"/>
      <c r="L1102" s="534"/>
      <c r="Q1102" s="498"/>
      <c r="R1102" s="498"/>
    </row>
    <row r="1103" ht="15.75" customHeight="1">
      <c r="A1103" s="496"/>
      <c r="B1103" s="496"/>
      <c r="C1103" s="497"/>
      <c r="K1103" s="533"/>
      <c r="L1103" s="534"/>
      <c r="Q1103" s="498"/>
      <c r="R1103" s="498"/>
    </row>
    <row r="1104" ht="15.75" customHeight="1">
      <c r="A1104" s="496"/>
      <c r="B1104" s="496"/>
      <c r="C1104" s="497"/>
      <c r="K1104" s="533"/>
      <c r="L1104" s="534"/>
      <c r="Q1104" s="498"/>
      <c r="R1104" s="498"/>
    </row>
    <row r="1105" ht="15.75" customHeight="1">
      <c r="A1105" s="496"/>
      <c r="B1105" s="496"/>
      <c r="C1105" s="497"/>
      <c r="K1105" s="533"/>
      <c r="L1105" s="534"/>
      <c r="Q1105" s="498"/>
      <c r="R1105" s="498"/>
    </row>
    <row r="1106" ht="15.75" customHeight="1">
      <c r="A1106" s="496"/>
      <c r="B1106" s="496"/>
      <c r="C1106" s="497"/>
      <c r="K1106" s="533"/>
      <c r="L1106" s="534"/>
      <c r="Q1106" s="498"/>
      <c r="R1106" s="498"/>
    </row>
    <row r="1107" ht="15.75" customHeight="1">
      <c r="A1107" s="496"/>
      <c r="B1107" s="496"/>
      <c r="C1107" s="497"/>
      <c r="K1107" s="533"/>
      <c r="L1107" s="534"/>
      <c r="Q1107" s="498"/>
      <c r="R1107" s="498"/>
    </row>
    <row r="1108" ht="15.75" customHeight="1">
      <c r="A1108" s="496"/>
      <c r="B1108" s="496"/>
      <c r="C1108" s="497"/>
      <c r="K1108" s="533"/>
      <c r="L1108" s="534"/>
      <c r="Q1108" s="498"/>
      <c r="R1108" s="498"/>
    </row>
    <row r="1109" ht="15.75" customHeight="1">
      <c r="A1109" s="496"/>
      <c r="B1109" s="496"/>
      <c r="C1109" s="497"/>
      <c r="K1109" s="533"/>
      <c r="L1109" s="534"/>
      <c r="Q1109" s="498"/>
      <c r="R1109" s="498"/>
    </row>
    <row r="1110" ht="15.75" customHeight="1">
      <c r="A1110" s="496"/>
      <c r="B1110" s="496"/>
      <c r="C1110" s="497"/>
      <c r="K1110" s="533"/>
      <c r="L1110" s="534"/>
      <c r="Q1110" s="498"/>
      <c r="R1110" s="498"/>
    </row>
    <row r="1111" ht="15.75" customHeight="1">
      <c r="A1111" s="496"/>
      <c r="B1111" s="496"/>
      <c r="C1111" s="497"/>
      <c r="K1111" s="533"/>
      <c r="L1111" s="534"/>
      <c r="Q1111" s="498"/>
      <c r="R1111" s="498"/>
    </row>
    <row r="1112" ht="15.75" customHeight="1">
      <c r="A1112" s="496"/>
      <c r="B1112" s="496"/>
      <c r="C1112" s="497"/>
      <c r="K1112" s="533"/>
      <c r="L1112" s="534"/>
      <c r="Q1112" s="498"/>
      <c r="R1112" s="498"/>
    </row>
    <row r="1113" ht="15.75" customHeight="1">
      <c r="A1113" s="496"/>
      <c r="B1113" s="496"/>
      <c r="C1113" s="497"/>
      <c r="K1113" s="533"/>
      <c r="L1113" s="534"/>
      <c r="Q1113" s="498"/>
      <c r="R1113" s="498"/>
    </row>
    <row r="1114" ht="15.75" customHeight="1">
      <c r="A1114" s="496"/>
      <c r="B1114" s="496"/>
      <c r="C1114" s="497"/>
      <c r="K1114" s="533"/>
      <c r="L1114" s="534"/>
      <c r="Q1114" s="498"/>
      <c r="R1114" s="498"/>
    </row>
    <row r="1115" ht="15.75" customHeight="1">
      <c r="A1115" s="496"/>
      <c r="B1115" s="496"/>
      <c r="C1115" s="497"/>
      <c r="K1115" s="533"/>
      <c r="L1115" s="534"/>
      <c r="Q1115" s="498"/>
      <c r="R1115" s="498"/>
    </row>
    <row r="1116" ht="15.75" customHeight="1">
      <c r="A1116" s="496"/>
      <c r="B1116" s="496"/>
      <c r="C1116" s="497"/>
      <c r="K1116" s="533"/>
      <c r="L1116" s="534"/>
      <c r="Q1116" s="498"/>
      <c r="R1116" s="498"/>
    </row>
    <row r="1117" ht="15.75" customHeight="1">
      <c r="A1117" s="496"/>
      <c r="B1117" s="496"/>
      <c r="C1117" s="497"/>
      <c r="K1117" s="533"/>
      <c r="L1117" s="534"/>
      <c r="Q1117" s="498"/>
      <c r="R1117" s="498"/>
    </row>
    <row r="1118" ht="15.75" customHeight="1">
      <c r="A1118" s="496"/>
      <c r="B1118" s="496"/>
      <c r="C1118" s="497"/>
      <c r="K1118" s="533"/>
      <c r="L1118" s="534"/>
      <c r="Q1118" s="498"/>
      <c r="R1118" s="498"/>
    </row>
    <row r="1119" ht="15.75" customHeight="1">
      <c r="A1119" s="496"/>
      <c r="B1119" s="496"/>
      <c r="C1119" s="497"/>
      <c r="K1119" s="533"/>
      <c r="L1119" s="534"/>
      <c r="Q1119" s="498"/>
      <c r="R1119" s="498"/>
    </row>
    <row r="1120" ht="15.75" customHeight="1">
      <c r="A1120" s="496"/>
      <c r="B1120" s="496"/>
      <c r="C1120" s="497"/>
      <c r="K1120" s="533"/>
      <c r="L1120" s="534"/>
      <c r="Q1120" s="498"/>
      <c r="R1120" s="498"/>
    </row>
    <row r="1121" ht="15.75" customHeight="1">
      <c r="A1121" s="496"/>
      <c r="B1121" s="496"/>
      <c r="C1121" s="497"/>
      <c r="K1121" s="533"/>
      <c r="L1121" s="534"/>
      <c r="Q1121" s="498"/>
      <c r="R1121" s="498"/>
    </row>
    <row r="1122" ht="15.75" customHeight="1">
      <c r="A1122" s="496"/>
      <c r="B1122" s="496"/>
      <c r="C1122" s="497"/>
      <c r="K1122" s="533"/>
      <c r="L1122" s="534"/>
      <c r="Q1122" s="498"/>
      <c r="R1122" s="498"/>
    </row>
    <row r="1123" ht="15.75" customHeight="1">
      <c r="A1123" s="496"/>
      <c r="B1123" s="496"/>
      <c r="C1123" s="497"/>
      <c r="K1123" s="533"/>
      <c r="L1123" s="534"/>
      <c r="Q1123" s="498"/>
      <c r="R1123" s="498"/>
    </row>
    <row r="1124" ht="15.75" customHeight="1">
      <c r="A1124" s="496"/>
      <c r="B1124" s="496"/>
      <c r="C1124" s="497"/>
      <c r="K1124" s="533"/>
      <c r="L1124" s="534"/>
      <c r="Q1124" s="498"/>
      <c r="R1124" s="498"/>
    </row>
    <row r="1125" ht="15.75" customHeight="1">
      <c r="A1125" s="496"/>
      <c r="B1125" s="496"/>
      <c r="C1125" s="497"/>
      <c r="K1125" s="533"/>
      <c r="L1125" s="534"/>
      <c r="Q1125" s="498"/>
      <c r="R1125" s="498"/>
    </row>
    <row r="1126" ht="15.75" customHeight="1">
      <c r="A1126" s="496"/>
      <c r="B1126" s="496"/>
      <c r="C1126" s="497"/>
      <c r="K1126" s="533"/>
      <c r="L1126" s="534"/>
      <c r="Q1126" s="498"/>
      <c r="R1126" s="498"/>
    </row>
    <row r="1127" ht="15.75" customHeight="1">
      <c r="A1127" s="496"/>
      <c r="B1127" s="496"/>
      <c r="C1127" s="497"/>
      <c r="K1127" s="533"/>
      <c r="L1127" s="534"/>
      <c r="Q1127" s="498"/>
      <c r="R1127" s="498"/>
    </row>
    <row r="1128" ht="15.75" customHeight="1">
      <c r="A1128" s="496"/>
      <c r="B1128" s="496"/>
      <c r="C1128" s="497"/>
      <c r="K1128" s="533"/>
      <c r="L1128" s="534"/>
      <c r="Q1128" s="498"/>
      <c r="R1128" s="498"/>
    </row>
    <row r="1129" ht="15.75" customHeight="1">
      <c r="A1129" s="496"/>
      <c r="B1129" s="496"/>
      <c r="C1129" s="497"/>
      <c r="K1129" s="533"/>
      <c r="L1129" s="534"/>
      <c r="Q1129" s="498"/>
      <c r="R1129" s="498"/>
    </row>
    <row r="1130" ht="15.75" customHeight="1">
      <c r="A1130" s="496"/>
      <c r="B1130" s="496"/>
      <c r="C1130" s="497"/>
      <c r="K1130" s="533"/>
      <c r="L1130" s="534"/>
      <c r="Q1130" s="498"/>
      <c r="R1130" s="498"/>
    </row>
    <row r="1131" ht="15.75" customHeight="1">
      <c r="A1131" s="496"/>
      <c r="B1131" s="496"/>
      <c r="C1131" s="497"/>
      <c r="K1131" s="533"/>
      <c r="L1131" s="534"/>
      <c r="Q1131" s="498"/>
      <c r="R1131" s="498"/>
    </row>
    <row r="1132" ht="15.75" customHeight="1">
      <c r="A1132" s="496"/>
      <c r="B1132" s="496"/>
      <c r="C1132" s="497"/>
      <c r="K1132" s="533"/>
      <c r="L1132" s="534"/>
      <c r="Q1132" s="498"/>
      <c r="R1132" s="498"/>
    </row>
    <row r="1133" ht="15.75" customHeight="1">
      <c r="A1133" s="496"/>
      <c r="B1133" s="496"/>
      <c r="C1133" s="497"/>
      <c r="K1133" s="533"/>
      <c r="L1133" s="534"/>
      <c r="Q1133" s="498"/>
      <c r="R1133" s="498"/>
    </row>
    <row r="1134" ht="15.75" customHeight="1">
      <c r="A1134" s="496"/>
      <c r="B1134" s="496"/>
      <c r="C1134" s="497"/>
      <c r="K1134" s="533"/>
      <c r="L1134" s="534"/>
      <c r="Q1134" s="498"/>
      <c r="R1134" s="498"/>
    </row>
    <row r="1135" ht="15.75" customHeight="1">
      <c r="A1135" s="496"/>
      <c r="B1135" s="496"/>
      <c r="C1135" s="497"/>
      <c r="K1135" s="533"/>
      <c r="L1135" s="534"/>
      <c r="Q1135" s="498"/>
      <c r="R1135" s="498"/>
    </row>
    <row r="1136" ht="15.75" customHeight="1">
      <c r="A1136" s="496"/>
      <c r="B1136" s="496"/>
      <c r="C1136" s="497"/>
      <c r="K1136" s="533"/>
      <c r="L1136" s="534"/>
      <c r="Q1136" s="498"/>
      <c r="R1136" s="498"/>
    </row>
    <row r="1137" ht="15.75" customHeight="1">
      <c r="A1137" s="496"/>
      <c r="B1137" s="496"/>
      <c r="C1137" s="497"/>
      <c r="K1137" s="533"/>
      <c r="L1137" s="534"/>
      <c r="Q1137" s="498"/>
      <c r="R1137" s="498"/>
    </row>
    <row r="1138" ht="15.75" customHeight="1">
      <c r="A1138" s="496"/>
      <c r="B1138" s="496"/>
      <c r="C1138" s="497"/>
      <c r="K1138" s="533"/>
      <c r="L1138" s="534"/>
      <c r="Q1138" s="498"/>
      <c r="R1138" s="498"/>
    </row>
    <row r="1139" ht="15.75" customHeight="1">
      <c r="A1139" s="496"/>
      <c r="B1139" s="496"/>
      <c r="C1139" s="497"/>
      <c r="K1139" s="533"/>
      <c r="L1139" s="534"/>
      <c r="Q1139" s="498"/>
      <c r="R1139" s="498"/>
    </row>
    <row r="1140" ht="15.75" customHeight="1">
      <c r="A1140" s="496"/>
      <c r="B1140" s="496"/>
      <c r="C1140" s="497"/>
      <c r="K1140" s="533"/>
      <c r="L1140" s="534"/>
      <c r="Q1140" s="498"/>
      <c r="R1140" s="498"/>
    </row>
    <row r="1141" ht="15.75" customHeight="1">
      <c r="A1141" s="496"/>
      <c r="B1141" s="496"/>
      <c r="C1141" s="497"/>
      <c r="K1141" s="533"/>
      <c r="L1141" s="534"/>
      <c r="Q1141" s="498"/>
      <c r="R1141" s="498"/>
    </row>
    <row r="1142" ht="15.75" customHeight="1">
      <c r="A1142" s="496"/>
      <c r="B1142" s="496"/>
      <c r="C1142" s="497"/>
      <c r="K1142" s="533"/>
      <c r="L1142" s="534"/>
      <c r="Q1142" s="498"/>
      <c r="R1142" s="498"/>
    </row>
    <row r="1143" ht="15.75" customHeight="1">
      <c r="A1143" s="496"/>
      <c r="B1143" s="496"/>
      <c r="C1143" s="497"/>
      <c r="K1143" s="533"/>
      <c r="L1143" s="534"/>
      <c r="Q1143" s="498"/>
      <c r="R1143" s="498"/>
    </row>
    <row r="1144" ht="15.75" customHeight="1">
      <c r="A1144" s="496"/>
      <c r="B1144" s="496"/>
      <c r="C1144" s="497"/>
      <c r="K1144" s="533"/>
      <c r="L1144" s="534"/>
      <c r="Q1144" s="498"/>
      <c r="R1144" s="498"/>
    </row>
    <row r="1145" ht="15.75" customHeight="1">
      <c r="A1145" s="496"/>
      <c r="B1145" s="496"/>
      <c r="C1145" s="497"/>
      <c r="K1145" s="533"/>
      <c r="L1145" s="534"/>
      <c r="Q1145" s="498"/>
      <c r="R1145" s="498"/>
    </row>
    <row r="1146" ht="15.75" customHeight="1">
      <c r="A1146" s="496"/>
      <c r="B1146" s="496"/>
      <c r="C1146" s="497"/>
      <c r="K1146" s="533"/>
      <c r="L1146" s="534"/>
      <c r="Q1146" s="498"/>
      <c r="R1146" s="498"/>
    </row>
    <row r="1147" ht="15.75" customHeight="1">
      <c r="A1147" s="496"/>
      <c r="B1147" s="496"/>
      <c r="C1147" s="497"/>
      <c r="K1147" s="533"/>
      <c r="L1147" s="534"/>
      <c r="Q1147" s="498"/>
      <c r="R1147" s="498"/>
    </row>
    <row r="1148" ht="15.75" customHeight="1">
      <c r="A1148" s="496"/>
      <c r="B1148" s="496"/>
      <c r="C1148" s="497"/>
      <c r="K1148" s="533"/>
      <c r="L1148" s="534"/>
      <c r="Q1148" s="498"/>
      <c r="R1148" s="498"/>
    </row>
    <row r="1149" ht="15.75" customHeight="1">
      <c r="A1149" s="496"/>
      <c r="B1149" s="496"/>
      <c r="C1149" s="497"/>
      <c r="K1149" s="533"/>
      <c r="L1149" s="534"/>
      <c r="Q1149" s="498"/>
      <c r="R1149" s="498"/>
    </row>
    <row r="1150" ht="15.75" customHeight="1">
      <c r="A1150" s="496"/>
      <c r="B1150" s="496"/>
      <c r="C1150" s="497"/>
      <c r="K1150" s="533"/>
      <c r="L1150" s="534"/>
      <c r="Q1150" s="498"/>
      <c r="R1150" s="498"/>
    </row>
    <row r="1151" ht="15.75" customHeight="1">
      <c r="A1151" s="496"/>
      <c r="B1151" s="496"/>
      <c r="C1151" s="497"/>
      <c r="K1151" s="533"/>
      <c r="L1151" s="534"/>
      <c r="Q1151" s="498"/>
      <c r="R1151" s="498"/>
    </row>
    <row r="1152" ht="15.75" customHeight="1">
      <c r="A1152" s="496"/>
      <c r="B1152" s="496"/>
      <c r="C1152" s="497"/>
      <c r="K1152" s="533"/>
      <c r="L1152" s="534"/>
      <c r="Q1152" s="498"/>
      <c r="R1152" s="498"/>
    </row>
    <row r="1153" ht="15.75" customHeight="1">
      <c r="A1153" s="496"/>
      <c r="B1153" s="496"/>
      <c r="C1153" s="497"/>
      <c r="K1153" s="533"/>
      <c r="L1153" s="534"/>
      <c r="Q1153" s="498"/>
      <c r="R1153" s="498"/>
    </row>
    <row r="1154" ht="15.75" customHeight="1">
      <c r="A1154" s="496"/>
      <c r="B1154" s="496"/>
      <c r="C1154" s="497"/>
      <c r="K1154" s="533"/>
      <c r="L1154" s="534"/>
      <c r="Q1154" s="498"/>
      <c r="R1154" s="498"/>
    </row>
    <row r="1155" ht="15.75" customHeight="1">
      <c r="A1155" s="496"/>
      <c r="B1155" s="496"/>
      <c r="C1155" s="497"/>
      <c r="K1155" s="533"/>
      <c r="L1155" s="534"/>
      <c r="Q1155" s="498"/>
      <c r="R1155" s="498"/>
    </row>
    <row r="1156" ht="15.75" customHeight="1">
      <c r="A1156" s="496"/>
      <c r="B1156" s="496"/>
      <c r="C1156" s="497"/>
      <c r="K1156" s="533"/>
      <c r="L1156" s="534"/>
      <c r="Q1156" s="498"/>
      <c r="R1156" s="498"/>
    </row>
    <row r="1157" ht="15.75" customHeight="1">
      <c r="A1157" s="496"/>
      <c r="B1157" s="496"/>
      <c r="C1157" s="497"/>
      <c r="K1157" s="533"/>
      <c r="L1157" s="534"/>
      <c r="Q1157" s="498"/>
      <c r="R1157" s="498"/>
    </row>
    <row r="1158" ht="15.75" customHeight="1">
      <c r="A1158" s="496"/>
      <c r="B1158" s="496"/>
      <c r="C1158" s="497"/>
      <c r="K1158" s="533"/>
      <c r="L1158" s="534"/>
      <c r="Q1158" s="498"/>
      <c r="R1158" s="498"/>
    </row>
    <row r="1159" ht="15.75" customHeight="1">
      <c r="A1159" s="496"/>
      <c r="B1159" s="496"/>
      <c r="C1159" s="497"/>
      <c r="K1159" s="533"/>
      <c r="L1159" s="534"/>
      <c r="Q1159" s="498"/>
      <c r="R1159" s="498"/>
    </row>
    <row r="1160" ht="15.75" customHeight="1">
      <c r="A1160" s="496"/>
      <c r="B1160" s="496"/>
      <c r="C1160" s="497"/>
      <c r="K1160" s="533"/>
      <c r="L1160" s="534"/>
      <c r="Q1160" s="498"/>
      <c r="R1160" s="498"/>
    </row>
    <row r="1161" ht="15.75" customHeight="1">
      <c r="A1161" s="496"/>
      <c r="B1161" s="496"/>
      <c r="C1161" s="497"/>
      <c r="K1161" s="533"/>
      <c r="L1161" s="534"/>
      <c r="Q1161" s="498"/>
      <c r="R1161" s="498"/>
    </row>
    <row r="1162" ht="15.75" customHeight="1">
      <c r="A1162" s="496"/>
      <c r="B1162" s="496"/>
      <c r="C1162" s="497"/>
      <c r="K1162" s="533"/>
      <c r="L1162" s="534"/>
      <c r="Q1162" s="498"/>
      <c r="R1162" s="498"/>
    </row>
    <row r="1163" ht="15.75" customHeight="1">
      <c r="A1163" s="496"/>
      <c r="B1163" s="496"/>
      <c r="C1163" s="497"/>
      <c r="K1163" s="533"/>
      <c r="L1163" s="534"/>
      <c r="Q1163" s="498"/>
      <c r="R1163" s="498"/>
    </row>
    <row r="1164" ht="15.75" customHeight="1">
      <c r="A1164" s="496"/>
      <c r="B1164" s="496"/>
      <c r="C1164" s="497"/>
      <c r="K1164" s="533"/>
      <c r="L1164" s="534"/>
      <c r="Q1164" s="498"/>
      <c r="R1164" s="498"/>
    </row>
    <row r="1165" ht="15.75" customHeight="1">
      <c r="A1165" s="496"/>
      <c r="B1165" s="496"/>
      <c r="C1165" s="497"/>
      <c r="K1165" s="533"/>
      <c r="L1165" s="534"/>
      <c r="Q1165" s="498"/>
      <c r="R1165" s="498"/>
    </row>
    <row r="1166" ht="15.75" customHeight="1">
      <c r="A1166" s="496"/>
      <c r="B1166" s="496"/>
      <c r="C1166" s="497"/>
      <c r="K1166" s="533"/>
      <c r="L1166" s="534"/>
      <c r="Q1166" s="498"/>
      <c r="R1166" s="498"/>
    </row>
    <row r="1167" ht="15.75" customHeight="1">
      <c r="A1167" s="496"/>
      <c r="B1167" s="496"/>
      <c r="C1167" s="497"/>
      <c r="K1167" s="533"/>
      <c r="L1167" s="534"/>
      <c r="Q1167" s="498"/>
      <c r="R1167" s="498"/>
    </row>
    <row r="1168" ht="15.75" customHeight="1">
      <c r="A1168" s="496"/>
      <c r="B1168" s="496"/>
      <c r="C1168" s="497"/>
      <c r="K1168" s="533"/>
      <c r="L1168" s="534"/>
      <c r="Q1168" s="498"/>
      <c r="R1168" s="498"/>
    </row>
    <row r="1169" ht="15.75" customHeight="1">
      <c r="A1169" s="496"/>
      <c r="B1169" s="496"/>
      <c r="C1169" s="497"/>
      <c r="K1169" s="533"/>
      <c r="L1169" s="534"/>
      <c r="Q1169" s="498"/>
      <c r="R1169" s="498"/>
    </row>
    <row r="1170" ht="15.75" customHeight="1">
      <c r="A1170" s="496"/>
      <c r="B1170" s="496"/>
      <c r="C1170" s="497"/>
      <c r="K1170" s="533"/>
      <c r="L1170" s="534"/>
      <c r="Q1170" s="498"/>
      <c r="R1170" s="498"/>
    </row>
    <row r="1171" ht="15.75" customHeight="1">
      <c r="A1171" s="496"/>
      <c r="B1171" s="496"/>
      <c r="C1171" s="497"/>
      <c r="K1171" s="533"/>
      <c r="L1171" s="534"/>
      <c r="Q1171" s="498"/>
      <c r="R1171" s="498"/>
    </row>
    <row r="1172" ht="15.75" customHeight="1">
      <c r="A1172" s="496"/>
      <c r="B1172" s="496"/>
      <c r="C1172" s="497"/>
      <c r="K1172" s="533"/>
      <c r="L1172" s="534"/>
      <c r="Q1172" s="498"/>
      <c r="R1172" s="498"/>
    </row>
    <row r="1173" ht="15.75" customHeight="1">
      <c r="A1173" s="496"/>
      <c r="B1173" s="496"/>
      <c r="C1173" s="497"/>
      <c r="K1173" s="533"/>
      <c r="L1173" s="534"/>
      <c r="Q1173" s="498"/>
      <c r="R1173" s="498"/>
    </row>
    <row r="1174" ht="15.75" customHeight="1">
      <c r="A1174" s="496"/>
      <c r="B1174" s="496"/>
      <c r="C1174" s="497"/>
      <c r="K1174" s="533"/>
      <c r="L1174" s="534"/>
      <c r="Q1174" s="498"/>
      <c r="R1174" s="498"/>
    </row>
    <row r="1175" ht="15.75" customHeight="1">
      <c r="A1175" s="496"/>
      <c r="B1175" s="496"/>
      <c r="C1175" s="497"/>
      <c r="K1175" s="533"/>
      <c r="L1175" s="534"/>
      <c r="Q1175" s="498"/>
      <c r="R1175" s="498"/>
    </row>
    <row r="1176" ht="15.75" customHeight="1">
      <c r="A1176" s="496"/>
      <c r="B1176" s="496"/>
      <c r="C1176" s="497"/>
      <c r="K1176" s="533"/>
      <c r="L1176" s="534"/>
      <c r="Q1176" s="498"/>
      <c r="R1176" s="498"/>
    </row>
    <row r="1177" ht="15.75" customHeight="1">
      <c r="A1177" s="496"/>
      <c r="B1177" s="496"/>
      <c r="C1177" s="497"/>
      <c r="K1177" s="533"/>
      <c r="L1177" s="534"/>
      <c r="Q1177" s="498"/>
      <c r="R1177" s="498"/>
    </row>
    <row r="1178" ht="15.75" customHeight="1">
      <c r="A1178" s="496"/>
      <c r="B1178" s="496"/>
      <c r="C1178" s="497"/>
      <c r="K1178" s="533"/>
      <c r="L1178" s="534"/>
      <c r="Q1178" s="498"/>
      <c r="R1178" s="498"/>
    </row>
    <row r="1179" ht="15.75" customHeight="1">
      <c r="A1179" s="496"/>
      <c r="B1179" s="496"/>
      <c r="C1179" s="497"/>
      <c r="K1179" s="533"/>
      <c r="L1179" s="534"/>
      <c r="Q1179" s="498"/>
      <c r="R1179" s="498"/>
    </row>
    <row r="1180" ht="15.75" customHeight="1">
      <c r="A1180" s="496"/>
      <c r="B1180" s="496"/>
      <c r="C1180" s="497"/>
      <c r="K1180" s="533"/>
      <c r="L1180" s="534"/>
      <c r="Q1180" s="498"/>
      <c r="R1180" s="498"/>
    </row>
    <row r="1181" ht="15.75" customHeight="1">
      <c r="A1181" s="496"/>
      <c r="B1181" s="496"/>
      <c r="C1181" s="497"/>
      <c r="K1181" s="533"/>
      <c r="L1181" s="534"/>
      <c r="Q1181" s="498"/>
      <c r="R1181" s="498"/>
    </row>
    <row r="1182" ht="15.75" customHeight="1">
      <c r="A1182" s="496"/>
      <c r="B1182" s="496"/>
      <c r="C1182" s="497"/>
      <c r="K1182" s="533"/>
      <c r="L1182" s="534"/>
      <c r="Q1182" s="498"/>
      <c r="R1182" s="498"/>
    </row>
    <row r="1183" ht="15.75" customHeight="1">
      <c r="A1183" s="496"/>
      <c r="B1183" s="496"/>
      <c r="C1183" s="497"/>
      <c r="K1183" s="533"/>
      <c r="L1183" s="534"/>
      <c r="Q1183" s="498"/>
      <c r="R1183" s="498"/>
    </row>
    <row r="1184" ht="15.75" customHeight="1">
      <c r="A1184" s="496"/>
      <c r="B1184" s="496"/>
      <c r="C1184" s="497"/>
      <c r="K1184" s="533"/>
      <c r="L1184" s="534"/>
      <c r="Q1184" s="498"/>
      <c r="R1184" s="498"/>
    </row>
    <row r="1185" ht="15.75" customHeight="1">
      <c r="A1185" s="496"/>
      <c r="B1185" s="496"/>
      <c r="C1185" s="497"/>
      <c r="K1185" s="533"/>
      <c r="L1185" s="534"/>
      <c r="Q1185" s="498"/>
      <c r="R1185" s="498"/>
    </row>
    <row r="1186" ht="15.75" customHeight="1">
      <c r="A1186" s="496"/>
      <c r="B1186" s="496"/>
      <c r="C1186" s="497"/>
      <c r="K1186" s="533"/>
      <c r="L1186" s="534"/>
      <c r="Q1186" s="498"/>
      <c r="R1186" s="498"/>
    </row>
    <row r="1187" ht="15.75" customHeight="1">
      <c r="A1187" s="496"/>
      <c r="B1187" s="496"/>
      <c r="C1187" s="497"/>
      <c r="K1187" s="533"/>
      <c r="L1187" s="534"/>
      <c r="Q1187" s="498"/>
      <c r="R1187" s="498"/>
    </row>
    <row r="1188" ht="15.75" customHeight="1">
      <c r="A1188" s="496"/>
      <c r="B1188" s="496"/>
      <c r="C1188" s="497"/>
      <c r="K1188" s="533"/>
      <c r="L1188" s="534"/>
      <c r="Q1188" s="498"/>
      <c r="R1188" s="498"/>
    </row>
    <row r="1189" ht="15.75" customHeight="1">
      <c r="A1189" s="496"/>
      <c r="B1189" s="496"/>
      <c r="C1189" s="497"/>
      <c r="K1189" s="533"/>
      <c r="L1189" s="534"/>
      <c r="Q1189" s="498"/>
      <c r="R1189" s="498"/>
    </row>
    <row r="1190" ht="15.75" customHeight="1">
      <c r="A1190" s="496"/>
      <c r="B1190" s="496"/>
      <c r="C1190" s="497"/>
      <c r="K1190" s="533"/>
      <c r="L1190" s="534"/>
      <c r="Q1190" s="498"/>
      <c r="R1190" s="498"/>
    </row>
    <row r="1191" ht="15.75" customHeight="1">
      <c r="A1191" s="496"/>
      <c r="B1191" s="496"/>
      <c r="C1191" s="497"/>
      <c r="K1191" s="533"/>
      <c r="L1191" s="534"/>
      <c r="Q1191" s="498"/>
      <c r="R1191" s="498"/>
    </row>
    <row r="1192" ht="15.75" customHeight="1">
      <c r="A1192" s="496"/>
      <c r="B1192" s="496"/>
      <c r="C1192" s="497"/>
      <c r="K1192" s="533"/>
      <c r="L1192" s="534"/>
      <c r="Q1192" s="498"/>
      <c r="R1192" s="498"/>
    </row>
    <row r="1193" ht="15.75" customHeight="1">
      <c r="A1193" s="496"/>
      <c r="B1193" s="496"/>
      <c r="C1193" s="497"/>
      <c r="K1193" s="533"/>
      <c r="L1193" s="534"/>
      <c r="Q1193" s="498"/>
      <c r="R1193" s="498"/>
    </row>
    <row r="1194" ht="15.75" customHeight="1">
      <c r="A1194" s="496"/>
      <c r="B1194" s="496"/>
      <c r="C1194" s="497"/>
      <c r="K1194" s="533"/>
      <c r="L1194" s="534"/>
      <c r="Q1194" s="498"/>
      <c r="R1194" s="498"/>
    </row>
    <row r="1195" ht="15.75" customHeight="1">
      <c r="A1195" s="496"/>
      <c r="B1195" s="496"/>
      <c r="C1195" s="497"/>
      <c r="K1195" s="533"/>
      <c r="L1195" s="534"/>
      <c r="Q1195" s="498"/>
      <c r="R1195" s="498"/>
    </row>
    <row r="1196" ht="15.75" customHeight="1">
      <c r="A1196" s="496"/>
      <c r="B1196" s="496"/>
      <c r="C1196" s="497"/>
      <c r="K1196" s="533"/>
      <c r="L1196" s="534"/>
      <c r="Q1196" s="498"/>
      <c r="R1196" s="498"/>
    </row>
    <row r="1197" ht="15.75" customHeight="1">
      <c r="A1197" s="496"/>
      <c r="B1197" s="496"/>
      <c r="C1197" s="497"/>
      <c r="K1197" s="533"/>
      <c r="L1197" s="534"/>
      <c r="Q1197" s="498"/>
      <c r="R1197" s="498"/>
    </row>
    <row r="1198" ht="15.75" customHeight="1">
      <c r="A1198" s="496"/>
      <c r="B1198" s="496"/>
      <c r="C1198" s="497"/>
      <c r="K1198" s="533"/>
      <c r="L1198" s="534"/>
      <c r="Q1198" s="498"/>
      <c r="R1198" s="498"/>
    </row>
    <row r="1199" ht="15.75" customHeight="1">
      <c r="A1199" s="496"/>
      <c r="B1199" s="496"/>
      <c r="C1199" s="497"/>
      <c r="K1199" s="533"/>
      <c r="L1199" s="534"/>
      <c r="Q1199" s="498"/>
      <c r="R1199" s="498"/>
    </row>
    <row r="1200" ht="15.75" customHeight="1">
      <c r="A1200" s="496"/>
      <c r="B1200" s="496"/>
      <c r="C1200" s="497"/>
      <c r="K1200" s="533"/>
      <c r="L1200" s="534"/>
      <c r="Q1200" s="498"/>
      <c r="R1200" s="498"/>
    </row>
    <row r="1201" ht="15.75" customHeight="1">
      <c r="A1201" s="496"/>
      <c r="B1201" s="496"/>
      <c r="C1201" s="497"/>
      <c r="K1201" s="533"/>
      <c r="L1201" s="534"/>
      <c r="Q1201" s="498"/>
      <c r="R1201" s="498"/>
    </row>
    <row r="1202" ht="15.75" customHeight="1">
      <c r="A1202" s="496"/>
      <c r="B1202" s="496"/>
      <c r="C1202" s="497"/>
      <c r="K1202" s="533"/>
      <c r="L1202" s="534"/>
      <c r="Q1202" s="498"/>
      <c r="R1202" s="498"/>
    </row>
    <row r="1203" ht="15.75" customHeight="1">
      <c r="A1203" s="496"/>
      <c r="B1203" s="496"/>
      <c r="C1203" s="497"/>
      <c r="K1203" s="533"/>
      <c r="L1203" s="534"/>
      <c r="Q1203" s="498"/>
      <c r="R1203" s="498"/>
    </row>
    <row r="1204" ht="15.75" customHeight="1">
      <c r="A1204" s="496"/>
      <c r="B1204" s="496"/>
      <c r="C1204" s="497"/>
      <c r="K1204" s="533"/>
      <c r="L1204" s="534"/>
      <c r="Q1204" s="498"/>
      <c r="R1204" s="498"/>
    </row>
    <row r="1205" ht="15.75" customHeight="1">
      <c r="A1205" s="496"/>
      <c r="B1205" s="496"/>
      <c r="C1205" s="497"/>
      <c r="K1205" s="533"/>
      <c r="L1205" s="534"/>
      <c r="Q1205" s="498"/>
      <c r="R1205" s="498"/>
    </row>
    <row r="1206" ht="15.75" customHeight="1">
      <c r="A1206" s="496"/>
      <c r="B1206" s="496"/>
      <c r="C1206" s="497"/>
      <c r="K1206" s="533"/>
      <c r="L1206" s="534"/>
      <c r="Q1206" s="498"/>
      <c r="R1206" s="498"/>
    </row>
    <row r="1207" ht="15.75" customHeight="1">
      <c r="A1207" s="496"/>
      <c r="B1207" s="496"/>
      <c r="C1207" s="497"/>
      <c r="K1207" s="533"/>
      <c r="L1207" s="534"/>
      <c r="Q1207" s="498"/>
      <c r="R1207" s="498"/>
    </row>
    <row r="1208" ht="15.75" customHeight="1">
      <c r="A1208" s="496"/>
      <c r="B1208" s="496"/>
      <c r="C1208" s="497"/>
      <c r="K1208" s="533"/>
      <c r="L1208" s="534"/>
      <c r="Q1208" s="498"/>
      <c r="R1208" s="498"/>
    </row>
    <row r="1209" ht="15.75" customHeight="1">
      <c r="A1209" s="496"/>
      <c r="B1209" s="496"/>
      <c r="C1209" s="497"/>
      <c r="K1209" s="533"/>
      <c r="L1209" s="534"/>
      <c r="Q1209" s="498"/>
      <c r="R1209" s="498"/>
    </row>
    <row r="1210" ht="15.75" customHeight="1">
      <c r="A1210" s="496"/>
      <c r="B1210" s="496"/>
      <c r="C1210" s="497"/>
      <c r="K1210" s="533"/>
      <c r="L1210" s="534"/>
      <c r="Q1210" s="498"/>
      <c r="R1210" s="498"/>
    </row>
    <row r="1211" ht="15.75" customHeight="1">
      <c r="A1211" s="496"/>
      <c r="B1211" s="496"/>
      <c r="C1211" s="497"/>
      <c r="K1211" s="533"/>
      <c r="L1211" s="534"/>
      <c r="Q1211" s="498"/>
      <c r="R1211" s="498"/>
    </row>
    <row r="1212" ht="15.75" customHeight="1">
      <c r="A1212" s="496"/>
      <c r="B1212" s="496"/>
      <c r="C1212" s="497"/>
      <c r="K1212" s="533"/>
      <c r="L1212" s="534"/>
      <c r="Q1212" s="498"/>
      <c r="R1212" s="498"/>
    </row>
    <row r="1213" ht="15.75" customHeight="1">
      <c r="A1213" s="496"/>
      <c r="B1213" s="496"/>
      <c r="C1213" s="497"/>
      <c r="K1213" s="533"/>
      <c r="L1213" s="534"/>
      <c r="Q1213" s="498"/>
      <c r="R1213" s="498"/>
    </row>
    <row r="1214" ht="15.75" customHeight="1">
      <c r="A1214" s="496"/>
      <c r="B1214" s="496"/>
      <c r="C1214" s="497"/>
      <c r="K1214" s="533"/>
      <c r="L1214" s="534"/>
      <c r="Q1214" s="498"/>
      <c r="R1214" s="498"/>
    </row>
    <row r="1215" ht="15.75" customHeight="1">
      <c r="A1215" s="496"/>
      <c r="B1215" s="496"/>
      <c r="C1215" s="497"/>
      <c r="K1215" s="533"/>
      <c r="L1215" s="534"/>
      <c r="Q1215" s="498"/>
      <c r="R1215" s="498"/>
    </row>
    <row r="1216" ht="15.75" customHeight="1">
      <c r="A1216" s="496"/>
      <c r="B1216" s="496"/>
      <c r="C1216" s="497"/>
      <c r="K1216" s="533"/>
      <c r="L1216" s="534"/>
      <c r="Q1216" s="498"/>
      <c r="R1216" s="498"/>
    </row>
    <row r="1217" ht="15.75" customHeight="1">
      <c r="A1217" s="496"/>
      <c r="B1217" s="496"/>
      <c r="C1217" s="497"/>
      <c r="K1217" s="533"/>
      <c r="L1217" s="534"/>
      <c r="Q1217" s="498"/>
      <c r="R1217" s="498"/>
    </row>
    <row r="1218" ht="15.75" customHeight="1">
      <c r="A1218" s="496"/>
      <c r="B1218" s="496"/>
      <c r="C1218" s="497"/>
      <c r="K1218" s="533"/>
      <c r="L1218" s="534"/>
      <c r="Q1218" s="498"/>
      <c r="R1218" s="498"/>
    </row>
    <row r="1219" ht="15.75" customHeight="1">
      <c r="A1219" s="496"/>
      <c r="B1219" s="496"/>
      <c r="C1219" s="497"/>
      <c r="K1219" s="533"/>
      <c r="L1219" s="534"/>
      <c r="Q1219" s="498"/>
      <c r="R1219" s="498"/>
    </row>
    <row r="1220" ht="15.75" customHeight="1">
      <c r="A1220" s="496"/>
      <c r="B1220" s="496"/>
      <c r="C1220" s="497"/>
      <c r="K1220" s="533"/>
      <c r="L1220" s="534"/>
      <c r="Q1220" s="498"/>
      <c r="R1220" s="498"/>
    </row>
    <row r="1221" ht="15.75" customHeight="1">
      <c r="A1221" s="496"/>
      <c r="B1221" s="496"/>
      <c r="C1221" s="497"/>
      <c r="K1221" s="533"/>
      <c r="L1221" s="534"/>
      <c r="Q1221" s="498"/>
      <c r="R1221" s="498"/>
    </row>
    <row r="1222" ht="15.75" customHeight="1">
      <c r="A1222" s="496"/>
      <c r="B1222" s="496"/>
      <c r="C1222" s="497"/>
      <c r="K1222" s="533"/>
      <c r="L1222" s="534"/>
      <c r="Q1222" s="498"/>
      <c r="R1222" s="498"/>
    </row>
    <row r="1223" ht="15.75" customHeight="1">
      <c r="A1223" s="496"/>
      <c r="B1223" s="496"/>
      <c r="C1223" s="497"/>
      <c r="K1223" s="533"/>
      <c r="L1223" s="534"/>
      <c r="Q1223" s="498"/>
      <c r="R1223" s="498"/>
    </row>
    <row r="1224" ht="15.75" customHeight="1">
      <c r="A1224" s="496"/>
      <c r="B1224" s="496"/>
      <c r="C1224" s="497"/>
      <c r="K1224" s="533"/>
      <c r="L1224" s="534"/>
      <c r="Q1224" s="498"/>
      <c r="R1224" s="498"/>
    </row>
    <row r="1225" ht="15.75" customHeight="1">
      <c r="A1225" s="496"/>
      <c r="B1225" s="496"/>
      <c r="C1225" s="497"/>
      <c r="K1225" s="533"/>
      <c r="L1225" s="534"/>
      <c r="Q1225" s="498"/>
      <c r="R1225" s="498"/>
    </row>
    <row r="1226" ht="15.75" customHeight="1">
      <c r="A1226" s="496"/>
      <c r="B1226" s="496"/>
      <c r="C1226" s="497"/>
      <c r="K1226" s="533"/>
      <c r="L1226" s="534"/>
      <c r="Q1226" s="498"/>
      <c r="R1226" s="498"/>
    </row>
    <row r="1227" ht="15.75" customHeight="1">
      <c r="A1227" s="496"/>
      <c r="B1227" s="496"/>
      <c r="C1227" s="497"/>
      <c r="K1227" s="533"/>
      <c r="L1227" s="534"/>
      <c r="Q1227" s="498"/>
      <c r="R1227" s="498"/>
    </row>
    <row r="1228" ht="15.75" customHeight="1">
      <c r="A1228" s="496"/>
      <c r="B1228" s="496"/>
      <c r="C1228" s="497"/>
      <c r="K1228" s="533"/>
      <c r="L1228" s="534"/>
      <c r="Q1228" s="498"/>
      <c r="R1228" s="498"/>
    </row>
    <row r="1229" ht="15.75" customHeight="1">
      <c r="A1229" s="496"/>
      <c r="B1229" s="496"/>
      <c r="C1229" s="497"/>
      <c r="K1229" s="533"/>
      <c r="L1229" s="534"/>
      <c r="Q1229" s="498"/>
      <c r="R1229" s="498"/>
    </row>
    <row r="1230" ht="15.75" customHeight="1">
      <c r="A1230" s="496"/>
      <c r="B1230" s="496"/>
      <c r="C1230" s="497"/>
      <c r="K1230" s="533"/>
      <c r="L1230" s="534"/>
      <c r="Q1230" s="498"/>
      <c r="R1230" s="498"/>
    </row>
    <row r="1231" ht="15.75" customHeight="1">
      <c r="A1231" s="496"/>
      <c r="B1231" s="496"/>
      <c r="C1231" s="497"/>
      <c r="K1231" s="533"/>
      <c r="L1231" s="534"/>
      <c r="Q1231" s="498"/>
      <c r="R1231" s="498"/>
    </row>
    <row r="1232" ht="15.75" customHeight="1">
      <c r="A1232" s="496"/>
      <c r="B1232" s="496"/>
      <c r="C1232" s="497"/>
      <c r="K1232" s="533"/>
      <c r="L1232" s="534"/>
      <c r="Q1232" s="498"/>
      <c r="R1232" s="498"/>
    </row>
    <row r="1233" ht="15.75" customHeight="1">
      <c r="A1233" s="496"/>
      <c r="B1233" s="496"/>
      <c r="C1233" s="497"/>
      <c r="K1233" s="533"/>
      <c r="L1233" s="534"/>
      <c r="Q1233" s="498"/>
      <c r="R1233" s="498"/>
    </row>
    <row r="1234" ht="15.75" customHeight="1">
      <c r="A1234" s="496"/>
      <c r="B1234" s="496"/>
      <c r="C1234" s="497"/>
      <c r="K1234" s="533"/>
      <c r="L1234" s="534"/>
      <c r="Q1234" s="498"/>
      <c r="R1234" s="498"/>
    </row>
    <row r="1235" ht="15.75" customHeight="1">
      <c r="A1235" s="496"/>
      <c r="B1235" s="496"/>
      <c r="C1235" s="497"/>
      <c r="K1235" s="533"/>
      <c r="L1235" s="534"/>
      <c r="Q1235" s="498"/>
      <c r="R1235" s="498"/>
    </row>
    <row r="1236" ht="15.75" customHeight="1">
      <c r="A1236" s="496"/>
      <c r="B1236" s="496"/>
      <c r="C1236" s="497"/>
      <c r="K1236" s="533"/>
      <c r="L1236" s="534"/>
      <c r="Q1236" s="498"/>
      <c r="R1236" s="498"/>
    </row>
    <row r="1237" ht="15.75" customHeight="1">
      <c r="A1237" s="496"/>
      <c r="B1237" s="496"/>
      <c r="C1237" s="497"/>
      <c r="K1237" s="533"/>
      <c r="L1237" s="534"/>
      <c r="Q1237" s="498"/>
      <c r="R1237" s="498"/>
    </row>
    <row r="1238" ht="15.75" customHeight="1">
      <c r="A1238" s="496"/>
      <c r="B1238" s="496"/>
      <c r="C1238" s="497"/>
      <c r="K1238" s="533"/>
      <c r="L1238" s="534"/>
      <c r="Q1238" s="498"/>
      <c r="R1238" s="498"/>
    </row>
    <row r="1239" ht="15.75" customHeight="1">
      <c r="A1239" s="496"/>
      <c r="B1239" s="496"/>
      <c r="C1239" s="497"/>
      <c r="K1239" s="533"/>
      <c r="L1239" s="534"/>
      <c r="Q1239" s="498"/>
      <c r="R1239" s="498"/>
    </row>
    <row r="1240" ht="15.75" customHeight="1">
      <c r="A1240" s="496"/>
      <c r="B1240" s="496"/>
      <c r="C1240" s="497"/>
      <c r="K1240" s="533"/>
      <c r="L1240" s="534"/>
      <c r="Q1240" s="498"/>
      <c r="R1240" s="498"/>
    </row>
    <row r="1241" ht="15.75" customHeight="1">
      <c r="A1241" s="496"/>
      <c r="B1241" s="496"/>
      <c r="C1241" s="497"/>
      <c r="K1241" s="533"/>
      <c r="L1241" s="534"/>
      <c r="Q1241" s="498"/>
      <c r="R1241" s="498"/>
    </row>
    <row r="1242" ht="15.75" customHeight="1">
      <c r="A1242" s="496"/>
      <c r="B1242" s="496"/>
      <c r="C1242" s="497"/>
      <c r="K1242" s="533"/>
      <c r="L1242" s="534"/>
      <c r="Q1242" s="498"/>
      <c r="R1242" s="498"/>
    </row>
    <row r="1243" ht="15.75" customHeight="1">
      <c r="A1243" s="496"/>
      <c r="B1243" s="496"/>
      <c r="C1243" s="497"/>
      <c r="K1243" s="533"/>
      <c r="L1243" s="534"/>
      <c r="Q1243" s="498"/>
      <c r="R1243" s="498"/>
    </row>
    <row r="1244" ht="15.75" customHeight="1">
      <c r="A1244" s="496"/>
      <c r="B1244" s="496"/>
      <c r="C1244" s="497"/>
      <c r="K1244" s="533"/>
      <c r="L1244" s="534"/>
      <c r="Q1244" s="498"/>
      <c r="R1244" s="498"/>
    </row>
    <row r="1245" ht="15.75" customHeight="1">
      <c r="A1245" s="496"/>
      <c r="B1245" s="496"/>
      <c r="C1245" s="497"/>
      <c r="K1245" s="533"/>
      <c r="L1245" s="534"/>
      <c r="Q1245" s="498"/>
      <c r="R1245" s="498"/>
    </row>
    <row r="1246" ht="15.75" customHeight="1">
      <c r="A1246" s="496"/>
      <c r="B1246" s="496"/>
      <c r="C1246" s="497"/>
      <c r="K1246" s="533"/>
      <c r="L1246" s="534"/>
      <c r="Q1246" s="498"/>
      <c r="R1246" s="498"/>
    </row>
    <row r="1247" ht="15.75" customHeight="1">
      <c r="A1247" s="496"/>
      <c r="B1247" s="496"/>
      <c r="C1247" s="497"/>
      <c r="K1247" s="533"/>
      <c r="L1247" s="534"/>
      <c r="Q1247" s="498"/>
      <c r="R1247" s="498"/>
    </row>
    <row r="1248" ht="15.75" customHeight="1">
      <c r="A1248" s="496"/>
      <c r="B1248" s="496"/>
      <c r="C1248" s="497"/>
      <c r="K1248" s="533"/>
      <c r="L1248" s="534"/>
      <c r="Q1248" s="498"/>
      <c r="R1248" s="498"/>
    </row>
    <row r="1249" ht="15.75" customHeight="1">
      <c r="A1249" s="496"/>
      <c r="B1249" s="496"/>
      <c r="C1249" s="497"/>
      <c r="K1249" s="533"/>
      <c r="L1249" s="534"/>
      <c r="Q1249" s="498"/>
      <c r="R1249" s="498"/>
    </row>
    <row r="1250" ht="15.75" customHeight="1">
      <c r="A1250" s="496"/>
      <c r="B1250" s="496"/>
      <c r="C1250" s="497"/>
      <c r="K1250" s="533"/>
      <c r="L1250" s="534"/>
      <c r="Q1250" s="498"/>
      <c r="R1250" s="498"/>
    </row>
    <row r="1251" ht="15.75" customHeight="1">
      <c r="A1251" s="496"/>
      <c r="B1251" s="496"/>
      <c r="C1251" s="497"/>
      <c r="K1251" s="533"/>
      <c r="L1251" s="534"/>
      <c r="Q1251" s="498"/>
      <c r="R1251" s="498"/>
    </row>
    <row r="1252" ht="15.75" customHeight="1">
      <c r="A1252" s="496"/>
      <c r="B1252" s="496"/>
      <c r="C1252" s="497"/>
      <c r="K1252" s="533"/>
      <c r="L1252" s="534"/>
      <c r="Q1252" s="498"/>
      <c r="R1252" s="498"/>
    </row>
    <row r="1253" ht="15.75" customHeight="1">
      <c r="A1253" s="496"/>
      <c r="B1253" s="496"/>
      <c r="C1253" s="497"/>
      <c r="K1253" s="533"/>
      <c r="L1253" s="534"/>
      <c r="Q1253" s="498"/>
      <c r="R1253" s="498"/>
    </row>
    <row r="1254" ht="15.75" customHeight="1">
      <c r="A1254" s="496"/>
      <c r="B1254" s="496"/>
      <c r="C1254" s="497"/>
      <c r="K1254" s="533"/>
      <c r="L1254" s="534"/>
      <c r="Q1254" s="498"/>
      <c r="R1254" s="498"/>
    </row>
    <row r="1255" ht="15.75" customHeight="1">
      <c r="A1255" s="496"/>
      <c r="B1255" s="496"/>
      <c r="C1255" s="497"/>
      <c r="K1255" s="533"/>
      <c r="L1255" s="534"/>
      <c r="Q1255" s="498"/>
      <c r="R1255" s="498"/>
    </row>
    <row r="1256" ht="15.75" customHeight="1">
      <c r="A1256" s="496"/>
      <c r="B1256" s="496"/>
      <c r="C1256" s="497"/>
      <c r="K1256" s="533"/>
      <c r="L1256" s="534"/>
      <c r="Q1256" s="498"/>
      <c r="R1256" s="498"/>
    </row>
    <row r="1257" ht="15.75" customHeight="1">
      <c r="A1257" s="496"/>
      <c r="B1257" s="496"/>
      <c r="C1257" s="497"/>
      <c r="K1257" s="533"/>
      <c r="L1257" s="534"/>
      <c r="Q1257" s="498"/>
      <c r="R1257" s="498"/>
    </row>
    <row r="1258" ht="15.75" customHeight="1">
      <c r="A1258" s="496"/>
      <c r="B1258" s="496"/>
      <c r="C1258" s="497"/>
      <c r="K1258" s="533"/>
      <c r="L1258" s="534"/>
      <c r="Q1258" s="498"/>
      <c r="R1258" s="498"/>
    </row>
    <row r="1259" ht="15.75" customHeight="1">
      <c r="A1259" s="496"/>
      <c r="B1259" s="496"/>
      <c r="C1259" s="497"/>
      <c r="K1259" s="533"/>
      <c r="L1259" s="534"/>
      <c r="Q1259" s="498"/>
      <c r="R1259" s="498"/>
    </row>
    <row r="1260" ht="15.75" customHeight="1">
      <c r="A1260" s="496"/>
      <c r="B1260" s="496"/>
      <c r="C1260" s="497"/>
      <c r="K1260" s="533"/>
      <c r="L1260" s="534"/>
      <c r="Q1260" s="498"/>
      <c r="R1260" s="498"/>
    </row>
    <row r="1261" ht="15.75" customHeight="1">
      <c r="A1261" s="496"/>
      <c r="B1261" s="496"/>
      <c r="C1261" s="497"/>
      <c r="K1261" s="533"/>
      <c r="L1261" s="534"/>
      <c r="Q1261" s="498"/>
      <c r="R1261" s="498"/>
    </row>
    <row r="1262" ht="15.75" customHeight="1">
      <c r="A1262" s="496"/>
      <c r="B1262" s="496"/>
      <c r="C1262" s="497"/>
      <c r="K1262" s="533"/>
      <c r="L1262" s="534"/>
      <c r="Q1262" s="498"/>
      <c r="R1262" s="498"/>
    </row>
    <row r="1263" ht="15.75" customHeight="1">
      <c r="A1263" s="496"/>
      <c r="B1263" s="496"/>
      <c r="C1263" s="497"/>
      <c r="K1263" s="533"/>
      <c r="L1263" s="534"/>
      <c r="Q1263" s="498"/>
      <c r="R1263" s="498"/>
    </row>
    <row r="1264" ht="15.75" customHeight="1">
      <c r="A1264" s="496"/>
      <c r="B1264" s="496"/>
      <c r="C1264" s="497"/>
      <c r="K1264" s="533"/>
      <c r="L1264" s="534"/>
      <c r="Q1264" s="498"/>
      <c r="R1264" s="498"/>
    </row>
    <row r="1265" ht="15.75" customHeight="1">
      <c r="A1265" s="496"/>
      <c r="B1265" s="496"/>
      <c r="C1265" s="497"/>
      <c r="K1265" s="533"/>
      <c r="L1265" s="534"/>
      <c r="Q1265" s="498"/>
      <c r="R1265" s="498"/>
    </row>
    <row r="1266" ht="15.75" customHeight="1">
      <c r="A1266" s="496"/>
      <c r="B1266" s="496"/>
      <c r="C1266" s="497"/>
      <c r="K1266" s="533"/>
      <c r="L1266" s="534"/>
      <c r="Q1266" s="498"/>
      <c r="R1266" s="498"/>
    </row>
    <row r="1267" ht="15.75" customHeight="1">
      <c r="A1267" s="496"/>
      <c r="B1267" s="496"/>
      <c r="C1267" s="497"/>
      <c r="K1267" s="533"/>
      <c r="L1267" s="534"/>
      <c r="Q1267" s="498"/>
      <c r="R1267" s="498"/>
    </row>
    <row r="1268" ht="15.75" customHeight="1">
      <c r="A1268" s="496"/>
      <c r="B1268" s="496"/>
      <c r="C1268" s="497"/>
      <c r="K1268" s="533"/>
      <c r="L1268" s="534"/>
      <c r="Q1268" s="498"/>
      <c r="R1268" s="498"/>
    </row>
    <row r="1269" ht="15.75" customHeight="1">
      <c r="A1269" s="496"/>
      <c r="B1269" s="496"/>
      <c r="C1269" s="497"/>
      <c r="K1269" s="533"/>
      <c r="L1269" s="534"/>
      <c r="Q1269" s="498"/>
      <c r="R1269" s="498"/>
    </row>
    <row r="1270" ht="15.75" customHeight="1">
      <c r="A1270" s="496"/>
      <c r="B1270" s="496"/>
      <c r="C1270" s="497"/>
      <c r="K1270" s="533"/>
      <c r="L1270" s="534"/>
      <c r="Q1270" s="498"/>
      <c r="R1270" s="498"/>
    </row>
    <row r="1271" ht="15.75" customHeight="1">
      <c r="A1271" s="496"/>
      <c r="B1271" s="496"/>
      <c r="C1271" s="497"/>
      <c r="K1271" s="533"/>
      <c r="L1271" s="534"/>
      <c r="Q1271" s="498"/>
      <c r="R1271" s="498"/>
    </row>
    <row r="1272" ht="15.75" customHeight="1">
      <c r="A1272" s="496"/>
      <c r="B1272" s="496"/>
      <c r="C1272" s="497"/>
      <c r="K1272" s="533"/>
      <c r="L1272" s="534"/>
      <c r="Q1272" s="498"/>
      <c r="R1272" s="498"/>
    </row>
    <row r="1273" ht="15.75" customHeight="1">
      <c r="A1273" s="496"/>
      <c r="B1273" s="496"/>
      <c r="C1273" s="497"/>
      <c r="K1273" s="533"/>
      <c r="L1273" s="534"/>
      <c r="Q1273" s="498"/>
      <c r="R1273" s="498"/>
    </row>
    <row r="1274" ht="15.75" customHeight="1">
      <c r="A1274" s="496"/>
      <c r="B1274" s="496"/>
      <c r="C1274" s="497"/>
      <c r="K1274" s="533"/>
      <c r="L1274" s="534"/>
      <c r="Q1274" s="498"/>
      <c r="R1274" s="498"/>
    </row>
    <row r="1275" ht="15.75" customHeight="1">
      <c r="A1275" s="496"/>
      <c r="B1275" s="496"/>
      <c r="C1275" s="497"/>
      <c r="K1275" s="533"/>
      <c r="L1275" s="534"/>
      <c r="Q1275" s="498"/>
      <c r="R1275" s="498"/>
    </row>
    <row r="1276" ht="15.75" customHeight="1">
      <c r="A1276" s="496"/>
      <c r="B1276" s="496"/>
      <c r="C1276" s="497"/>
      <c r="K1276" s="533"/>
      <c r="L1276" s="534"/>
      <c r="Q1276" s="498"/>
      <c r="R1276" s="498"/>
    </row>
    <row r="1277" ht="15.75" customHeight="1">
      <c r="A1277" s="496"/>
      <c r="B1277" s="496"/>
      <c r="C1277" s="497"/>
      <c r="K1277" s="533"/>
      <c r="L1277" s="534"/>
      <c r="Q1277" s="498"/>
      <c r="R1277" s="498"/>
    </row>
    <row r="1278" ht="15.75" customHeight="1">
      <c r="A1278" s="496"/>
      <c r="B1278" s="496"/>
      <c r="C1278" s="497"/>
      <c r="K1278" s="533"/>
      <c r="L1278" s="534"/>
      <c r="Q1278" s="498"/>
      <c r="R1278" s="498"/>
    </row>
    <row r="1279" ht="15.75" customHeight="1">
      <c r="A1279" s="496"/>
      <c r="B1279" s="496"/>
      <c r="C1279" s="497"/>
      <c r="K1279" s="533"/>
      <c r="L1279" s="534"/>
      <c r="Q1279" s="498"/>
      <c r="R1279" s="498"/>
    </row>
    <row r="1280" ht="15.75" customHeight="1">
      <c r="A1280" s="496"/>
      <c r="B1280" s="496"/>
      <c r="C1280" s="497"/>
      <c r="K1280" s="533"/>
      <c r="L1280" s="534"/>
      <c r="Q1280" s="498"/>
      <c r="R1280" s="498"/>
    </row>
    <row r="1281" ht="15.75" customHeight="1">
      <c r="A1281" s="496"/>
      <c r="B1281" s="496"/>
      <c r="C1281" s="497"/>
      <c r="K1281" s="533"/>
      <c r="L1281" s="534"/>
      <c r="Q1281" s="498"/>
      <c r="R1281" s="498"/>
    </row>
    <row r="1282" ht="15.75" customHeight="1">
      <c r="A1282" s="496"/>
      <c r="B1282" s="496"/>
      <c r="C1282" s="497"/>
      <c r="K1282" s="533"/>
      <c r="L1282" s="534"/>
      <c r="Q1282" s="498"/>
      <c r="R1282" s="498"/>
    </row>
    <row r="1283" ht="15.75" customHeight="1">
      <c r="A1283" s="496"/>
      <c r="B1283" s="496"/>
      <c r="C1283" s="497"/>
      <c r="K1283" s="533"/>
      <c r="L1283" s="534"/>
      <c r="Q1283" s="498"/>
      <c r="R1283" s="498"/>
    </row>
    <row r="1284" ht="15.75" customHeight="1">
      <c r="A1284" s="496"/>
      <c r="B1284" s="496"/>
      <c r="C1284" s="497"/>
      <c r="K1284" s="533"/>
      <c r="L1284" s="534"/>
      <c r="Q1284" s="498"/>
      <c r="R1284" s="498"/>
    </row>
    <row r="1285" ht="15.75" customHeight="1">
      <c r="A1285" s="496"/>
      <c r="B1285" s="496"/>
      <c r="C1285" s="497"/>
      <c r="K1285" s="533"/>
      <c r="L1285" s="534"/>
      <c r="Q1285" s="498"/>
      <c r="R1285" s="498"/>
    </row>
    <row r="1286" ht="15.75" customHeight="1">
      <c r="A1286" s="496"/>
      <c r="B1286" s="496"/>
      <c r="C1286" s="497"/>
      <c r="K1286" s="533"/>
      <c r="L1286" s="534"/>
      <c r="Q1286" s="498"/>
      <c r="R1286" s="498"/>
    </row>
    <row r="1287" ht="15.75" customHeight="1">
      <c r="A1287" s="496"/>
      <c r="B1287" s="496"/>
      <c r="C1287" s="497"/>
      <c r="K1287" s="533"/>
      <c r="L1287" s="534"/>
      <c r="Q1287" s="498"/>
      <c r="R1287" s="498"/>
    </row>
    <row r="1288" ht="15.75" customHeight="1">
      <c r="A1288" s="496"/>
      <c r="B1288" s="496"/>
      <c r="C1288" s="497"/>
      <c r="K1288" s="533"/>
      <c r="L1288" s="534"/>
      <c r="Q1288" s="498"/>
      <c r="R1288" s="498"/>
    </row>
    <row r="1289" ht="15.75" customHeight="1">
      <c r="A1289" s="496"/>
      <c r="B1289" s="496"/>
      <c r="C1289" s="497"/>
      <c r="K1289" s="533"/>
      <c r="L1289" s="534"/>
      <c r="Q1289" s="498"/>
      <c r="R1289" s="498"/>
    </row>
    <row r="1290" ht="15.75" customHeight="1">
      <c r="A1290" s="496"/>
      <c r="B1290" s="496"/>
      <c r="C1290" s="497"/>
      <c r="K1290" s="533"/>
      <c r="L1290" s="534"/>
      <c r="Q1290" s="498"/>
      <c r="R1290" s="498"/>
    </row>
    <row r="1291" ht="15.75" customHeight="1">
      <c r="A1291" s="496"/>
      <c r="B1291" s="496"/>
      <c r="C1291" s="497"/>
      <c r="K1291" s="533"/>
      <c r="L1291" s="534"/>
      <c r="Q1291" s="498"/>
      <c r="R1291" s="498"/>
    </row>
    <row r="1292" ht="15.75" customHeight="1">
      <c r="A1292" s="496"/>
      <c r="B1292" s="496"/>
      <c r="C1292" s="497"/>
      <c r="K1292" s="533"/>
      <c r="L1292" s="534"/>
      <c r="Q1292" s="498"/>
      <c r="R1292" s="498"/>
    </row>
    <row r="1293" ht="15.75" customHeight="1">
      <c r="A1293" s="496"/>
      <c r="B1293" s="496"/>
      <c r="C1293" s="497"/>
      <c r="K1293" s="533"/>
      <c r="L1293" s="534"/>
      <c r="Q1293" s="498"/>
      <c r="R1293" s="498"/>
    </row>
    <row r="1294" ht="15.75" customHeight="1">
      <c r="A1294" s="496"/>
      <c r="B1294" s="496"/>
      <c r="C1294" s="497"/>
      <c r="K1294" s="533"/>
      <c r="L1294" s="534"/>
      <c r="Q1294" s="498"/>
      <c r="R1294" s="498"/>
    </row>
    <row r="1295" ht="15.75" customHeight="1">
      <c r="A1295" s="496"/>
      <c r="B1295" s="496"/>
      <c r="C1295" s="497"/>
      <c r="K1295" s="533"/>
      <c r="L1295" s="534"/>
      <c r="Q1295" s="498"/>
      <c r="R1295" s="498"/>
    </row>
    <row r="1296" ht="15.75" customHeight="1">
      <c r="A1296" s="496"/>
      <c r="B1296" s="496"/>
      <c r="C1296" s="497"/>
      <c r="K1296" s="533"/>
      <c r="L1296" s="534"/>
      <c r="Q1296" s="498"/>
      <c r="R1296" s="498"/>
    </row>
    <row r="1297" ht="15.75" customHeight="1">
      <c r="A1297" s="496"/>
      <c r="B1297" s="496"/>
      <c r="C1297" s="497"/>
      <c r="K1297" s="533"/>
      <c r="L1297" s="534"/>
      <c r="Q1297" s="498"/>
      <c r="R1297" s="498"/>
    </row>
    <row r="1298" ht="15.75" customHeight="1">
      <c r="A1298" s="496"/>
      <c r="B1298" s="496"/>
      <c r="C1298" s="497"/>
      <c r="K1298" s="533"/>
      <c r="L1298" s="534"/>
      <c r="Q1298" s="498"/>
      <c r="R1298" s="498"/>
    </row>
    <row r="1299" ht="15.75" customHeight="1">
      <c r="A1299" s="496"/>
      <c r="B1299" s="496"/>
      <c r="C1299" s="497"/>
      <c r="K1299" s="533"/>
      <c r="L1299" s="534"/>
      <c r="Q1299" s="498"/>
      <c r="R1299" s="498"/>
    </row>
    <row r="1300" ht="15.75" customHeight="1">
      <c r="A1300" s="496"/>
      <c r="B1300" s="496"/>
      <c r="C1300" s="497"/>
      <c r="K1300" s="533"/>
      <c r="L1300" s="534"/>
      <c r="Q1300" s="498"/>
      <c r="R1300" s="498"/>
    </row>
    <row r="1301" ht="15.75" customHeight="1">
      <c r="A1301" s="496"/>
      <c r="B1301" s="496"/>
      <c r="C1301" s="497"/>
      <c r="K1301" s="533"/>
      <c r="L1301" s="534"/>
      <c r="Q1301" s="498"/>
      <c r="R1301" s="498"/>
    </row>
    <row r="1302" ht="15.75" customHeight="1">
      <c r="A1302" s="496"/>
      <c r="B1302" s="496"/>
      <c r="C1302" s="497"/>
      <c r="K1302" s="533"/>
      <c r="L1302" s="534"/>
      <c r="Q1302" s="498"/>
      <c r="R1302" s="498"/>
    </row>
    <row r="1303" ht="15.75" customHeight="1">
      <c r="A1303" s="496"/>
      <c r="B1303" s="496"/>
      <c r="C1303" s="497"/>
      <c r="K1303" s="533"/>
      <c r="L1303" s="534"/>
      <c r="Q1303" s="498"/>
      <c r="R1303" s="498"/>
    </row>
    <row r="1304" ht="15.75" customHeight="1">
      <c r="A1304" s="496"/>
      <c r="B1304" s="496"/>
      <c r="C1304" s="497"/>
      <c r="K1304" s="533"/>
      <c r="L1304" s="534"/>
      <c r="Q1304" s="498"/>
      <c r="R1304" s="498"/>
    </row>
    <row r="1305" ht="15.75" customHeight="1">
      <c r="A1305" s="496"/>
      <c r="B1305" s="496"/>
      <c r="C1305" s="497"/>
      <c r="K1305" s="533"/>
      <c r="L1305" s="534"/>
      <c r="Q1305" s="498"/>
      <c r="R1305" s="498"/>
    </row>
    <row r="1306" ht="15.75" customHeight="1">
      <c r="A1306" s="496"/>
      <c r="B1306" s="496"/>
      <c r="C1306" s="497"/>
      <c r="K1306" s="533"/>
      <c r="L1306" s="534"/>
      <c r="Q1306" s="498"/>
      <c r="R1306" s="498"/>
    </row>
    <row r="1307" ht="15.75" customHeight="1">
      <c r="A1307" s="496"/>
      <c r="B1307" s="496"/>
      <c r="C1307" s="497"/>
      <c r="K1307" s="533"/>
      <c r="L1307" s="534"/>
      <c r="Q1307" s="498"/>
      <c r="R1307" s="498"/>
    </row>
    <row r="1308" ht="15.75" customHeight="1">
      <c r="A1308" s="496"/>
      <c r="B1308" s="496"/>
      <c r="C1308" s="497"/>
      <c r="K1308" s="533"/>
      <c r="L1308" s="534"/>
      <c r="Q1308" s="498"/>
      <c r="R1308" s="498"/>
    </row>
    <row r="1309" ht="15.75" customHeight="1">
      <c r="A1309" s="496"/>
      <c r="B1309" s="496"/>
      <c r="C1309" s="497"/>
      <c r="K1309" s="533"/>
      <c r="L1309" s="534"/>
      <c r="Q1309" s="498"/>
      <c r="R1309" s="498"/>
    </row>
    <row r="1310" ht="15.75" customHeight="1">
      <c r="A1310" s="496"/>
      <c r="B1310" s="496"/>
      <c r="C1310" s="497"/>
      <c r="K1310" s="533"/>
      <c r="L1310" s="534"/>
      <c r="Q1310" s="498"/>
      <c r="R1310" s="498"/>
    </row>
    <row r="1311" ht="15.75" customHeight="1">
      <c r="A1311" s="496"/>
      <c r="B1311" s="496"/>
      <c r="C1311" s="497"/>
      <c r="K1311" s="533"/>
      <c r="L1311" s="534"/>
      <c r="Q1311" s="498"/>
      <c r="R1311" s="498"/>
    </row>
    <row r="1312" ht="15.75" customHeight="1">
      <c r="A1312" s="496"/>
      <c r="B1312" s="496"/>
      <c r="C1312" s="497"/>
      <c r="K1312" s="533"/>
      <c r="L1312" s="534"/>
      <c r="Q1312" s="498"/>
      <c r="R1312" s="498"/>
    </row>
    <row r="1313" ht="15.75" customHeight="1">
      <c r="A1313" s="496"/>
      <c r="B1313" s="496"/>
      <c r="C1313" s="497"/>
      <c r="K1313" s="533"/>
      <c r="L1313" s="534"/>
      <c r="Q1313" s="498"/>
      <c r="R1313" s="498"/>
    </row>
    <row r="1314" ht="15.75" customHeight="1">
      <c r="A1314" s="496"/>
      <c r="B1314" s="496"/>
      <c r="C1314" s="497"/>
      <c r="K1314" s="533"/>
      <c r="L1314" s="534"/>
      <c r="Q1314" s="498"/>
      <c r="R1314" s="498"/>
    </row>
    <row r="1315" ht="15.75" customHeight="1">
      <c r="A1315" s="496"/>
      <c r="B1315" s="496"/>
      <c r="C1315" s="497"/>
      <c r="K1315" s="533"/>
      <c r="L1315" s="534"/>
      <c r="Q1315" s="498"/>
      <c r="R1315" s="498"/>
    </row>
    <row r="1316" ht="15.75" customHeight="1">
      <c r="A1316" s="496"/>
      <c r="B1316" s="496"/>
      <c r="C1316" s="497"/>
      <c r="K1316" s="533"/>
      <c r="L1316" s="534"/>
      <c r="Q1316" s="498"/>
      <c r="R1316" s="498"/>
    </row>
    <row r="1317" ht="15.75" customHeight="1">
      <c r="A1317" s="496"/>
      <c r="B1317" s="496"/>
      <c r="C1317" s="497"/>
      <c r="K1317" s="533"/>
      <c r="L1317" s="534"/>
      <c r="Q1317" s="498"/>
      <c r="R1317" s="498"/>
    </row>
    <row r="1318" ht="15.75" customHeight="1">
      <c r="A1318" s="496"/>
      <c r="B1318" s="496"/>
      <c r="C1318" s="497"/>
      <c r="K1318" s="533"/>
      <c r="L1318" s="534"/>
      <c r="Q1318" s="498"/>
      <c r="R1318" s="498"/>
    </row>
    <row r="1319" ht="15.75" customHeight="1">
      <c r="A1319" s="496"/>
      <c r="B1319" s="496"/>
      <c r="C1319" s="497"/>
      <c r="K1319" s="533"/>
      <c r="L1319" s="534"/>
      <c r="Q1319" s="498"/>
      <c r="R1319" s="498"/>
    </row>
    <row r="1320" ht="15.75" customHeight="1">
      <c r="A1320" s="496"/>
      <c r="B1320" s="496"/>
      <c r="C1320" s="497"/>
      <c r="K1320" s="533"/>
      <c r="L1320" s="534"/>
      <c r="Q1320" s="498"/>
      <c r="R1320" s="498"/>
    </row>
    <row r="1321" ht="15.75" customHeight="1">
      <c r="A1321" s="496"/>
      <c r="B1321" s="496"/>
      <c r="C1321" s="497"/>
      <c r="K1321" s="533"/>
      <c r="L1321" s="534"/>
      <c r="Q1321" s="498"/>
      <c r="R1321" s="498"/>
    </row>
    <row r="1322" ht="15.75" customHeight="1">
      <c r="A1322" s="496"/>
      <c r="B1322" s="496"/>
      <c r="C1322" s="497"/>
      <c r="K1322" s="533"/>
      <c r="L1322" s="534"/>
      <c r="Q1322" s="498"/>
      <c r="R1322" s="498"/>
    </row>
    <row r="1323" ht="15.75" customHeight="1">
      <c r="A1323" s="496"/>
      <c r="B1323" s="496"/>
      <c r="C1323" s="497"/>
      <c r="K1323" s="533"/>
      <c r="L1323" s="534"/>
      <c r="Q1323" s="498"/>
      <c r="R1323" s="498"/>
    </row>
    <row r="1324" ht="15.75" customHeight="1">
      <c r="A1324" s="496"/>
      <c r="B1324" s="496"/>
      <c r="C1324" s="497"/>
      <c r="K1324" s="533"/>
      <c r="L1324" s="534"/>
      <c r="Q1324" s="498"/>
      <c r="R1324" s="498"/>
    </row>
    <row r="1325" ht="15.75" customHeight="1">
      <c r="A1325" s="496"/>
      <c r="B1325" s="496"/>
      <c r="C1325" s="497"/>
      <c r="K1325" s="533"/>
      <c r="L1325" s="534"/>
      <c r="Q1325" s="498"/>
      <c r="R1325" s="498"/>
    </row>
    <row r="1326" ht="15.75" customHeight="1">
      <c r="A1326" s="496"/>
      <c r="B1326" s="496"/>
      <c r="C1326" s="497"/>
      <c r="K1326" s="533"/>
      <c r="L1326" s="534"/>
      <c r="Q1326" s="498"/>
      <c r="R1326" s="498"/>
    </row>
    <row r="1327" ht="15.75" customHeight="1">
      <c r="A1327" s="496"/>
      <c r="B1327" s="496"/>
      <c r="C1327" s="497"/>
      <c r="K1327" s="533"/>
      <c r="L1327" s="534"/>
      <c r="Q1327" s="498"/>
      <c r="R1327" s="498"/>
    </row>
    <row r="1328" ht="15.75" customHeight="1">
      <c r="A1328" s="496"/>
      <c r="B1328" s="496"/>
      <c r="C1328" s="497"/>
      <c r="K1328" s="533"/>
      <c r="L1328" s="534"/>
      <c r="Q1328" s="498"/>
      <c r="R1328" s="498"/>
    </row>
    <row r="1329" ht="15.75" customHeight="1">
      <c r="A1329" s="496"/>
      <c r="B1329" s="496"/>
      <c r="C1329" s="497"/>
      <c r="K1329" s="533"/>
      <c r="L1329" s="534"/>
      <c r="Q1329" s="498"/>
      <c r="R1329" s="498"/>
    </row>
    <row r="1330" ht="15.75" customHeight="1">
      <c r="A1330" s="496"/>
      <c r="B1330" s="496"/>
      <c r="C1330" s="497"/>
      <c r="K1330" s="533"/>
      <c r="L1330" s="534"/>
      <c r="Q1330" s="498"/>
      <c r="R1330" s="498"/>
    </row>
    <row r="1331" ht="15.75" customHeight="1">
      <c r="A1331" s="496"/>
      <c r="B1331" s="496"/>
      <c r="C1331" s="497"/>
      <c r="K1331" s="533"/>
      <c r="L1331" s="534"/>
      <c r="Q1331" s="498"/>
      <c r="R1331" s="498"/>
    </row>
    <row r="1332" ht="15.75" customHeight="1">
      <c r="A1332" s="496"/>
      <c r="B1332" s="496"/>
      <c r="C1332" s="497"/>
      <c r="K1332" s="533"/>
      <c r="L1332" s="534"/>
      <c r="Q1332" s="498"/>
      <c r="R1332" s="498"/>
    </row>
    <row r="1333" ht="15.75" customHeight="1">
      <c r="A1333" s="496"/>
      <c r="B1333" s="496"/>
      <c r="C1333" s="497"/>
      <c r="K1333" s="533"/>
      <c r="L1333" s="534"/>
      <c r="Q1333" s="498"/>
      <c r="R1333" s="498"/>
    </row>
    <row r="1334" ht="15.75" customHeight="1">
      <c r="A1334" s="496"/>
      <c r="B1334" s="496"/>
      <c r="C1334" s="497"/>
      <c r="K1334" s="533"/>
      <c r="L1334" s="534"/>
      <c r="Q1334" s="498"/>
      <c r="R1334" s="498"/>
    </row>
    <row r="1335" ht="15.75" customHeight="1">
      <c r="A1335" s="496"/>
      <c r="B1335" s="496"/>
      <c r="C1335" s="497"/>
      <c r="K1335" s="533"/>
      <c r="L1335" s="534"/>
      <c r="Q1335" s="498"/>
      <c r="R1335" s="498"/>
    </row>
    <row r="1336" ht="15.75" customHeight="1">
      <c r="A1336" s="496"/>
      <c r="B1336" s="496"/>
      <c r="C1336" s="497"/>
      <c r="K1336" s="533"/>
      <c r="L1336" s="534"/>
      <c r="Q1336" s="498"/>
      <c r="R1336" s="498"/>
    </row>
    <row r="1337" ht="15.75" customHeight="1">
      <c r="A1337" s="496"/>
      <c r="B1337" s="496"/>
      <c r="C1337" s="497"/>
      <c r="K1337" s="533"/>
      <c r="L1337" s="534"/>
      <c r="Q1337" s="498"/>
      <c r="R1337" s="498"/>
    </row>
    <row r="1338" ht="15.75" customHeight="1">
      <c r="A1338" s="496"/>
      <c r="B1338" s="496"/>
      <c r="C1338" s="497"/>
      <c r="K1338" s="533"/>
      <c r="L1338" s="534"/>
      <c r="Q1338" s="498"/>
      <c r="R1338" s="498"/>
    </row>
    <row r="1339" ht="15.75" customHeight="1">
      <c r="A1339" s="496"/>
      <c r="B1339" s="496"/>
      <c r="C1339" s="497"/>
      <c r="K1339" s="533"/>
      <c r="L1339" s="534"/>
      <c r="Q1339" s="498"/>
      <c r="R1339" s="498"/>
    </row>
    <row r="1340" ht="15.75" customHeight="1">
      <c r="A1340" s="496"/>
      <c r="B1340" s="496"/>
      <c r="C1340" s="497"/>
      <c r="K1340" s="533"/>
      <c r="L1340" s="534"/>
      <c r="Q1340" s="498"/>
      <c r="R1340" s="498"/>
    </row>
    <row r="1341" ht="15.75" customHeight="1">
      <c r="A1341" s="496"/>
      <c r="B1341" s="496"/>
      <c r="C1341" s="497"/>
      <c r="K1341" s="533"/>
      <c r="L1341" s="534"/>
      <c r="Q1341" s="498"/>
      <c r="R1341" s="498"/>
    </row>
    <row r="1342" ht="15.75" customHeight="1">
      <c r="A1342" s="496"/>
      <c r="B1342" s="496"/>
      <c r="C1342" s="497"/>
      <c r="K1342" s="533"/>
      <c r="L1342" s="534"/>
      <c r="Q1342" s="498"/>
      <c r="R1342" s="498"/>
    </row>
    <row r="1343" ht="15.75" customHeight="1">
      <c r="A1343" s="496"/>
      <c r="B1343" s="496"/>
      <c r="C1343" s="497"/>
      <c r="K1343" s="533"/>
      <c r="L1343" s="534"/>
      <c r="Q1343" s="498"/>
      <c r="R1343" s="498"/>
    </row>
    <row r="1344" ht="15.75" customHeight="1">
      <c r="A1344" s="496"/>
      <c r="B1344" s="496"/>
      <c r="C1344" s="497"/>
      <c r="K1344" s="533"/>
      <c r="L1344" s="534"/>
      <c r="Q1344" s="498"/>
      <c r="R1344" s="498"/>
    </row>
    <row r="1345" ht="15.75" customHeight="1">
      <c r="A1345" s="496"/>
      <c r="B1345" s="496"/>
      <c r="C1345" s="497"/>
      <c r="K1345" s="533"/>
      <c r="L1345" s="534"/>
      <c r="Q1345" s="498"/>
      <c r="R1345" s="498"/>
    </row>
    <row r="1346" ht="15.75" customHeight="1">
      <c r="A1346" s="496"/>
      <c r="B1346" s="496"/>
      <c r="C1346" s="497"/>
      <c r="K1346" s="533"/>
      <c r="L1346" s="534"/>
      <c r="Q1346" s="498"/>
      <c r="R1346" s="498"/>
    </row>
    <row r="1347" ht="15.75" customHeight="1">
      <c r="A1347" s="496"/>
      <c r="B1347" s="496"/>
      <c r="C1347" s="497"/>
      <c r="K1347" s="533"/>
      <c r="L1347" s="534"/>
      <c r="Q1347" s="498"/>
      <c r="R1347" s="498"/>
    </row>
    <row r="1348" ht="15.75" customHeight="1">
      <c r="A1348" s="496"/>
      <c r="B1348" s="496"/>
      <c r="C1348" s="497"/>
      <c r="K1348" s="533"/>
      <c r="L1348" s="534"/>
      <c r="Q1348" s="498"/>
      <c r="R1348" s="498"/>
    </row>
    <row r="1349" ht="15.75" customHeight="1">
      <c r="A1349" s="496"/>
      <c r="B1349" s="496"/>
      <c r="C1349" s="497"/>
      <c r="K1349" s="533"/>
      <c r="L1349" s="534"/>
      <c r="Q1349" s="498"/>
      <c r="R1349" s="498"/>
    </row>
    <row r="1350" ht="15.75" customHeight="1">
      <c r="A1350" s="496"/>
      <c r="B1350" s="496"/>
      <c r="C1350" s="497"/>
      <c r="K1350" s="533"/>
      <c r="L1350" s="534"/>
      <c r="Q1350" s="498"/>
      <c r="R1350" s="498"/>
    </row>
    <row r="1351" ht="15.75" customHeight="1">
      <c r="A1351" s="496"/>
      <c r="B1351" s="496"/>
      <c r="C1351" s="497"/>
      <c r="K1351" s="533"/>
      <c r="L1351" s="534"/>
      <c r="Q1351" s="498"/>
      <c r="R1351" s="498"/>
    </row>
    <row r="1352" ht="15.75" customHeight="1">
      <c r="A1352" s="496"/>
      <c r="B1352" s="496"/>
      <c r="C1352" s="497"/>
      <c r="K1352" s="533"/>
      <c r="L1352" s="534"/>
      <c r="Q1352" s="498"/>
      <c r="R1352" s="498"/>
    </row>
    <row r="1353" ht="15.75" customHeight="1">
      <c r="A1353" s="496"/>
      <c r="B1353" s="496"/>
      <c r="C1353" s="497"/>
      <c r="K1353" s="533"/>
      <c r="L1353" s="534"/>
      <c r="Q1353" s="498"/>
      <c r="R1353" s="498"/>
    </row>
    <row r="1354" ht="15.75" customHeight="1">
      <c r="A1354" s="496"/>
      <c r="B1354" s="496"/>
      <c r="C1354" s="497"/>
      <c r="K1354" s="533"/>
      <c r="L1354" s="534"/>
      <c r="Q1354" s="498"/>
      <c r="R1354" s="498"/>
    </row>
    <row r="1355" ht="15.75" customHeight="1">
      <c r="A1355" s="496"/>
      <c r="B1355" s="496"/>
      <c r="C1355" s="497"/>
      <c r="K1355" s="533"/>
      <c r="L1355" s="534"/>
      <c r="Q1355" s="498"/>
      <c r="R1355" s="498"/>
    </row>
    <row r="1356" ht="15.75" customHeight="1">
      <c r="A1356" s="496"/>
      <c r="B1356" s="496"/>
      <c r="C1356" s="497"/>
      <c r="K1356" s="533"/>
      <c r="L1356" s="534"/>
      <c r="Q1356" s="498"/>
      <c r="R1356" s="498"/>
    </row>
    <row r="1357" ht="15.75" customHeight="1">
      <c r="A1357" s="496"/>
      <c r="B1357" s="496"/>
      <c r="C1357" s="497"/>
      <c r="K1357" s="533"/>
      <c r="L1357" s="534"/>
      <c r="Q1357" s="498"/>
      <c r="R1357" s="498"/>
    </row>
    <row r="1358" ht="15.75" customHeight="1">
      <c r="A1358" s="496"/>
      <c r="B1358" s="496"/>
      <c r="C1358" s="497"/>
      <c r="K1358" s="533"/>
      <c r="L1358" s="534"/>
      <c r="Q1358" s="498"/>
      <c r="R1358" s="498"/>
    </row>
    <row r="1359" ht="15.75" customHeight="1">
      <c r="A1359" s="496"/>
      <c r="B1359" s="496"/>
      <c r="C1359" s="497"/>
      <c r="K1359" s="533"/>
      <c r="L1359" s="534"/>
      <c r="Q1359" s="498"/>
      <c r="R1359" s="498"/>
    </row>
    <row r="1360" ht="15.75" customHeight="1">
      <c r="A1360" s="496"/>
      <c r="B1360" s="496"/>
      <c r="C1360" s="497"/>
      <c r="K1360" s="533"/>
      <c r="L1360" s="534"/>
      <c r="Q1360" s="498"/>
      <c r="R1360" s="498"/>
    </row>
    <row r="1361" ht="15.75" customHeight="1">
      <c r="A1361" s="496"/>
      <c r="B1361" s="496"/>
      <c r="C1361" s="497"/>
      <c r="K1361" s="533"/>
      <c r="L1361" s="534"/>
      <c r="Q1361" s="498"/>
      <c r="R1361" s="498"/>
    </row>
    <row r="1362" ht="15.75" customHeight="1">
      <c r="A1362" s="496"/>
      <c r="B1362" s="496"/>
      <c r="C1362" s="497"/>
      <c r="K1362" s="533"/>
      <c r="L1362" s="534"/>
      <c r="Q1362" s="498"/>
      <c r="R1362" s="498"/>
    </row>
    <row r="1363" ht="15.75" customHeight="1">
      <c r="A1363" s="496"/>
      <c r="B1363" s="496"/>
      <c r="C1363" s="497"/>
      <c r="K1363" s="533"/>
      <c r="L1363" s="534"/>
      <c r="Q1363" s="498"/>
      <c r="R1363" s="498"/>
    </row>
    <row r="1364" ht="15.75" customHeight="1">
      <c r="A1364" s="496"/>
      <c r="B1364" s="496"/>
      <c r="C1364" s="497"/>
      <c r="K1364" s="533"/>
      <c r="L1364" s="534"/>
      <c r="Q1364" s="498"/>
      <c r="R1364" s="498"/>
    </row>
    <row r="1365" ht="15.75" customHeight="1">
      <c r="A1365" s="496"/>
      <c r="B1365" s="496"/>
      <c r="C1365" s="497"/>
      <c r="K1365" s="533"/>
      <c r="L1365" s="534"/>
      <c r="Q1365" s="498"/>
      <c r="R1365" s="498"/>
    </row>
    <row r="1366" ht="15.75" customHeight="1">
      <c r="A1366" s="496"/>
      <c r="B1366" s="496"/>
      <c r="C1366" s="497"/>
      <c r="K1366" s="533"/>
      <c r="L1366" s="534"/>
      <c r="Q1366" s="498"/>
      <c r="R1366" s="498"/>
    </row>
    <row r="1367" ht="15.75" customHeight="1">
      <c r="A1367" s="496"/>
      <c r="B1367" s="496"/>
      <c r="C1367" s="497"/>
      <c r="K1367" s="533"/>
      <c r="L1367" s="534"/>
      <c r="Q1367" s="498"/>
      <c r="R1367" s="498"/>
    </row>
    <row r="1368" ht="15.75" customHeight="1">
      <c r="A1368" s="496"/>
      <c r="B1368" s="496"/>
      <c r="C1368" s="497"/>
      <c r="K1368" s="533"/>
      <c r="L1368" s="534"/>
      <c r="Q1368" s="498"/>
      <c r="R1368" s="498"/>
    </row>
    <row r="1369" ht="15.75" customHeight="1">
      <c r="A1369" s="496"/>
      <c r="B1369" s="496"/>
      <c r="C1369" s="497"/>
      <c r="K1369" s="533"/>
      <c r="L1369" s="534"/>
      <c r="Q1369" s="498"/>
      <c r="R1369" s="498"/>
    </row>
    <row r="1370" ht="15.75" customHeight="1">
      <c r="A1370" s="496"/>
      <c r="B1370" s="496"/>
      <c r="C1370" s="497"/>
      <c r="K1370" s="533"/>
      <c r="L1370" s="534"/>
      <c r="Q1370" s="498"/>
      <c r="R1370" s="498"/>
    </row>
    <row r="1371" ht="15.75" customHeight="1">
      <c r="A1371" s="496"/>
      <c r="B1371" s="496"/>
      <c r="C1371" s="497"/>
      <c r="K1371" s="533"/>
      <c r="L1371" s="534"/>
      <c r="Q1371" s="498"/>
      <c r="R1371" s="498"/>
    </row>
    <row r="1372" ht="15.75" customHeight="1">
      <c r="A1372" s="496"/>
      <c r="B1372" s="496"/>
      <c r="C1372" s="497"/>
      <c r="K1372" s="533"/>
      <c r="L1372" s="534"/>
      <c r="Q1372" s="498"/>
      <c r="R1372" s="498"/>
    </row>
    <row r="1373" ht="15.75" customHeight="1">
      <c r="A1373" s="496"/>
      <c r="B1373" s="496"/>
      <c r="C1373" s="497"/>
      <c r="K1373" s="533"/>
      <c r="L1373" s="534"/>
      <c r="Q1373" s="498"/>
      <c r="R1373" s="498"/>
    </row>
    <row r="1374" ht="15.75" customHeight="1">
      <c r="A1374" s="496"/>
      <c r="B1374" s="496"/>
      <c r="C1374" s="497"/>
      <c r="K1374" s="533"/>
      <c r="L1374" s="534"/>
      <c r="Q1374" s="498"/>
      <c r="R1374" s="498"/>
    </row>
    <row r="1375" ht="15.75" customHeight="1">
      <c r="A1375" s="496"/>
      <c r="B1375" s="496"/>
      <c r="C1375" s="497"/>
      <c r="K1375" s="533"/>
      <c r="L1375" s="534"/>
      <c r="Q1375" s="498"/>
      <c r="R1375" s="498"/>
    </row>
    <row r="1376" ht="15.75" customHeight="1">
      <c r="A1376" s="496"/>
      <c r="B1376" s="496"/>
      <c r="C1376" s="497"/>
      <c r="K1376" s="533"/>
      <c r="L1376" s="534"/>
      <c r="Q1376" s="498"/>
      <c r="R1376" s="498"/>
    </row>
    <row r="1377" ht="15.75" customHeight="1">
      <c r="A1377" s="496"/>
      <c r="B1377" s="496"/>
      <c r="C1377" s="497"/>
      <c r="K1377" s="533"/>
      <c r="L1377" s="534"/>
      <c r="Q1377" s="498"/>
      <c r="R1377" s="498"/>
    </row>
    <row r="1378" ht="15.75" customHeight="1">
      <c r="A1378" s="496"/>
      <c r="B1378" s="496"/>
      <c r="C1378" s="497"/>
      <c r="K1378" s="533"/>
      <c r="L1378" s="534"/>
      <c r="Q1378" s="498"/>
      <c r="R1378" s="498"/>
    </row>
    <row r="1379" ht="15.75" customHeight="1">
      <c r="A1379" s="496"/>
      <c r="B1379" s="496"/>
      <c r="C1379" s="497"/>
      <c r="K1379" s="533"/>
      <c r="L1379" s="534"/>
      <c r="Q1379" s="498"/>
      <c r="R1379" s="498"/>
    </row>
    <row r="1380" ht="15.75" customHeight="1">
      <c r="A1380" s="496"/>
      <c r="B1380" s="496"/>
      <c r="C1380" s="497"/>
      <c r="K1380" s="533"/>
      <c r="L1380" s="534"/>
      <c r="Q1380" s="498"/>
      <c r="R1380" s="498"/>
    </row>
    <row r="1381" ht="15.75" customHeight="1">
      <c r="A1381" s="496"/>
      <c r="B1381" s="496"/>
      <c r="C1381" s="497"/>
      <c r="K1381" s="533"/>
      <c r="L1381" s="534"/>
      <c r="Q1381" s="498"/>
      <c r="R1381" s="498"/>
    </row>
    <row r="1382" ht="15.75" customHeight="1">
      <c r="A1382" s="496"/>
      <c r="B1382" s="496"/>
      <c r="C1382" s="497"/>
      <c r="K1382" s="533"/>
      <c r="L1382" s="534"/>
      <c r="Q1382" s="498"/>
      <c r="R1382" s="498"/>
    </row>
    <row r="1383" ht="15.75" customHeight="1">
      <c r="A1383" s="496"/>
      <c r="B1383" s="496"/>
      <c r="C1383" s="497"/>
      <c r="K1383" s="533"/>
      <c r="L1383" s="534"/>
      <c r="Q1383" s="498"/>
      <c r="R1383" s="498"/>
    </row>
    <row r="1384" ht="15.75" customHeight="1">
      <c r="A1384" s="496"/>
      <c r="B1384" s="496"/>
      <c r="C1384" s="497"/>
      <c r="K1384" s="533"/>
      <c r="L1384" s="534"/>
      <c r="Q1384" s="498"/>
      <c r="R1384" s="498"/>
    </row>
    <row r="1385" ht="15.75" customHeight="1">
      <c r="A1385" s="496"/>
      <c r="B1385" s="496"/>
      <c r="C1385" s="497"/>
      <c r="K1385" s="533"/>
      <c r="L1385" s="534"/>
      <c r="Q1385" s="498"/>
      <c r="R1385" s="498"/>
    </row>
    <row r="1386" ht="15.75" customHeight="1">
      <c r="A1386" s="496"/>
      <c r="B1386" s="496"/>
      <c r="C1386" s="497"/>
      <c r="K1386" s="533"/>
      <c r="L1386" s="534"/>
      <c r="Q1386" s="498"/>
      <c r="R1386" s="498"/>
    </row>
    <row r="1387" ht="15.75" customHeight="1">
      <c r="A1387" s="496"/>
      <c r="B1387" s="496"/>
      <c r="C1387" s="497"/>
      <c r="K1387" s="533"/>
      <c r="L1387" s="534"/>
      <c r="Q1387" s="498"/>
      <c r="R1387" s="498"/>
    </row>
    <row r="1388" ht="15.75" customHeight="1">
      <c r="A1388" s="496"/>
      <c r="B1388" s="496"/>
      <c r="C1388" s="497"/>
      <c r="K1388" s="533"/>
      <c r="L1388" s="534"/>
      <c r="Q1388" s="498"/>
      <c r="R1388" s="498"/>
    </row>
    <row r="1389" ht="15.75" customHeight="1">
      <c r="A1389" s="496"/>
      <c r="B1389" s="496"/>
      <c r="C1389" s="497"/>
      <c r="K1389" s="533"/>
      <c r="L1389" s="534"/>
      <c r="Q1389" s="498"/>
      <c r="R1389" s="498"/>
    </row>
    <row r="1390" ht="15.75" customHeight="1">
      <c r="A1390" s="496"/>
      <c r="B1390" s="496"/>
      <c r="C1390" s="497"/>
      <c r="K1390" s="533"/>
      <c r="L1390" s="534"/>
      <c r="Q1390" s="498"/>
      <c r="R1390" s="498"/>
    </row>
    <row r="1391" ht="15.75" customHeight="1">
      <c r="A1391" s="496"/>
      <c r="B1391" s="496"/>
      <c r="C1391" s="497"/>
      <c r="K1391" s="533"/>
      <c r="L1391" s="534"/>
      <c r="Q1391" s="498"/>
      <c r="R1391" s="498"/>
    </row>
    <row r="1392" ht="15.75" customHeight="1">
      <c r="A1392" s="496"/>
      <c r="B1392" s="496"/>
      <c r="C1392" s="497"/>
      <c r="K1392" s="533"/>
      <c r="L1392" s="534"/>
      <c r="Q1392" s="498"/>
      <c r="R1392" s="498"/>
    </row>
    <row r="1393" ht="15.75" customHeight="1">
      <c r="A1393" s="496"/>
      <c r="B1393" s="496"/>
      <c r="C1393" s="497"/>
      <c r="K1393" s="533"/>
      <c r="L1393" s="534"/>
      <c r="Q1393" s="498"/>
      <c r="R1393" s="498"/>
    </row>
    <row r="1394" ht="15.75" customHeight="1">
      <c r="A1394" s="496"/>
      <c r="B1394" s="496"/>
      <c r="C1394" s="497"/>
      <c r="K1394" s="533"/>
      <c r="L1394" s="534"/>
      <c r="Q1394" s="498"/>
      <c r="R1394" s="498"/>
    </row>
    <row r="1395" ht="15.75" customHeight="1">
      <c r="A1395" s="496"/>
      <c r="B1395" s="496"/>
      <c r="C1395" s="497"/>
      <c r="K1395" s="533"/>
      <c r="L1395" s="534"/>
      <c r="Q1395" s="498"/>
      <c r="R1395" s="498"/>
    </row>
    <row r="1396" ht="15.75" customHeight="1">
      <c r="A1396" s="496"/>
      <c r="B1396" s="496"/>
      <c r="C1396" s="497"/>
      <c r="K1396" s="533"/>
      <c r="L1396" s="534"/>
      <c r="Q1396" s="498"/>
      <c r="R1396" s="498"/>
    </row>
    <row r="1397" ht="15.75" customHeight="1">
      <c r="A1397" s="496"/>
      <c r="B1397" s="496"/>
      <c r="C1397" s="497"/>
      <c r="K1397" s="533"/>
      <c r="L1397" s="534"/>
      <c r="Q1397" s="498"/>
      <c r="R1397" s="498"/>
    </row>
    <row r="1398" ht="15.75" customHeight="1">
      <c r="A1398" s="496"/>
      <c r="B1398" s="496"/>
      <c r="C1398" s="497"/>
      <c r="K1398" s="533"/>
      <c r="L1398" s="534"/>
      <c r="Q1398" s="498"/>
      <c r="R1398" s="498"/>
    </row>
    <row r="1399" ht="15.75" customHeight="1">
      <c r="A1399" s="496"/>
      <c r="B1399" s="496"/>
      <c r="C1399" s="497"/>
      <c r="K1399" s="533"/>
      <c r="L1399" s="534"/>
      <c r="Q1399" s="498"/>
      <c r="R1399" s="498"/>
    </row>
    <row r="1400" ht="15.75" customHeight="1">
      <c r="A1400" s="496"/>
      <c r="B1400" s="496"/>
      <c r="C1400" s="497"/>
      <c r="K1400" s="533"/>
      <c r="L1400" s="534"/>
      <c r="Q1400" s="498"/>
      <c r="R1400" s="498"/>
    </row>
    <row r="1401" ht="15.75" customHeight="1">
      <c r="A1401" s="496"/>
      <c r="B1401" s="496"/>
      <c r="C1401" s="497"/>
      <c r="K1401" s="533"/>
      <c r="L1401" s="534"/>
      <c r="Q1401" s="498"/>
      <c r="R1401" s="498"/>
    </row>
    <row r="1402" ht="15.75" customHeight="1">
      <c r="A1402" s="496"/>
      <c r="B1402" s="496"/>
      <c r="C1402" s="497"/>
      <c r="K1402" s="533"/>
      <c r="L1402" s="534"/>
      <c r="Q1402" s="498"/>
      <c r="R1402" s="498"/>
    </row>
    <row r="1403" ht="15.75" customHeight="1">
      <c r="A1403" s="496"/>
      <c r="B1403" s="496"/>
      <c r="C1403" s="497"/>
      <c r="K1403" s="533"/>
      <c r="L1403" s="534"/>
      <c r="Q1403" s="498"/>
      <c r="R1403" s="498"/>
    </row>
    <row r="1404" ht="15.75" customHeight="1">
      <c r="A1404" s="496"/>
      <c r="B1404" s="496"/>
      <c r="C1404" s="497"/>
      <c r="K1404" s="533"/>
      <c r="L1404" s="534"/>
      <c r="Q1404" s="498"/>
      <c r="R1404" s="498"/>
    </row>
    <row r="1405" ht="15.75" customHeight="1">
      <c r="A1405" s="496"/>
      <c r="B1405" s="496"/>
      <c r="C1405" s="497"/>
      <c r="K1405" s="533"/>
      <c r="L1405" s="534"/>
      <c r="Q1405" s="498"/>
      <c r="R1405" s="498"/>
    </row>
    <row r="1406" ht="15.75" customHeight="1">
      <c r="A1406" s="496"/>
      <c r="B1406" s="496"/>
      <c r="C1406" s="497"/>
      <c r="K1406" s="533"/>
      <c r="L1406" s="534"/>
      <c r="Q1406" s="498"/>
      <c r="R1406" s="498"/>
    </row>
    <row r="1407" ht="15.75" customHeight="1">
      <c r="A1407" s="496"/>
      <c r="B1407" s="496"/>
      <c r="C1407" s="497"/>
      <c r="K1407" s="533"/>
      <c r="L1407" s="534"/>
      <c r="Q1407" s="498"/>
      <c r="R1407" s="498"/>
    </row>
    <row r="1408" ht="15.75" customHeight="1">
      <c r="A1408" s="496"/>
      <c r="B1408" s="496"/>
      <c r="C1408" s="497"/>
      <c r="K1408" s="533"/>
      <c r="L1408" s="534"/>
      <c r="Q1408" s="498"/>
      <c r="R1408" s="498"/>
    </row>
    <row r="1409" ht="15.75" customHeight="1">
      <c r="A1409" s="496"/>
      <c r="B1409" s="496"/>
      <c r="C1409" s="497"/>
      <c r="K1409" s="533"/>
      <c r="L1409" s="534"/>
      <c r="Q1409" s="498"/>
      <c r="R1409" s="498"/>
    </row>
    <row r="1410" ht="15.75" customHeight="1">
      <c r="A1410" s="496"/>
      <c r="B1410" s="496"/>
      <c r="C1410" s="497"/>
      <c r="K1410" s="533"/>
      <c r="L1410" s="534"/>
      <c r="Q1410" s="498"/>
      <c r="R1410" s="498"/>
    </row>
    <row r="1411" ht="15.75" customHeight="1">
      <c r="A1411" s="496"/>
      <c r="B1411" s="496"/>
      <c r="C1411" s="497"/>
      <c r="K1411" s="533"/>
      <c r="L1411" s="534"/>
      <c r="Q1411" s="498"/>
      <c r="R1411" s="498"/>
    </row>
    <row r="1412" ht="15.75" customHeight="1">
      <c r="A1412" s="496"/>
      <c r="B1412" s="496"/>
      <c r="C1412" s="497"/>
      <c r="K1412" s="533"/>
      <c r="L1412" s="534"/>
      <c r="Q1412" s="498"/>
      <c r="R1412" s="498"/>
    </row>
    <row r="1413" ht="15.75" customHeight="1">
      <c r="A1413" s="496"/>
      <c r="B1413" s="496"/>
      <c r="C1413" s="497"/>
      <c r="K1413" s="533"/>
      <c r="L1413" s="534"/>
      <c r="Q1413" s="498"/>
      <c r="R1413" s="498"/>
    </row>
    <row r="1414" ht="15.75" customHeight="1">
      <c r="A1414" s="496"/>
      <c r="B1414" s="496"/>
      <c r="C1414" s="497"/>
      <c r="K1414" s="533"/>
      <c r="L1414" s="534"/>
      <c r="Q1414" s="498"/>
      <c r="R1414" s="498"/>
    </row>
    <row r="1415" ht="15.75" customHeight="1">
      <c r="A1415" s="496"/>
      <c r="B1415" s="496"/>
      <c r="C1415" s="497"/>
      <c r="K1415" s="533"/>
      <c r="L1415" s="534"/>
      <c r="Q1415" s="498"/>
      <c r="R1415" s="498"/>
    </row>
    <row r="1416" ht="15.75" customHeight="1">
      <c r="A1416" s="496"/>
      <c r="B1416" s="496"/>
      <c r="C1416" s="497"/>
      <c r="K1416" s="533"/>
      <c r="L1416" s="534"/>
      <c r="Q1416" s="498"/>
      <c r="R1416" s="498"/>
    </row>
    <row r="1417" ht="15.75" customHeight="1">
      <c r="A1417" s="496"/>
      <c r="B1417" s="496"/>
      <c r="C1417" s="497"/>
      <c r="K1417" s="533"/>
      <c r="L1417" s="534"/>
      <c r="Q1417" s="498"/>
      <c r="R1417" s="498"/>
    </row>
    <row r="1418" ht="15.75" customHeight="1">
      <c r="A1418" s="496"/>
      <c r="B1418" s="496"/>
      <c r="C1418" s="497"/>
      <c r="K1418" s="533"/>
      <c r="L1418" s="534"/>
      <c r="Q1418" s="498"/>
      <c r="R1418" s="498"/>
    </row>
    <row r="1419" ht="15.75" customHeight="1">
      <c r="A1419" s="496"/>
      <c r="B1419" s="496"/>
      <c r="C1419" s="497"/>
      <c r="K1419" s="533"/>
      <c r="L1419" s="534"/>
      <c r="Q1419" s="498"/>
      <c r="R1419" s="498"/>
    </row>
    <row r="1420" ht="15.75" customHeight="1">
      <c r="A1420" s="496"/>
      <c r="B1420" s="496"/>
      <c r="C1420" s="497"/>
      <c r="K1420" s="533"/>
      <c r="L1420" s="534"/>
      <c r="Q1420" s="498"/>
      <c r="R1420" s="498"/>
    </row>
    <row r="1421" ht="15.75" customHeight="1">
      <c r="A1421" s="496"/>
      <c r="B1421" s="496"/>
      <c r="C1421" s="497"/>
      <c r="K1421" s="533"/>
      <c r="L1421" s="534"/>
      <c r="Q1421" s="498"/>
      <c r="R1421" s="498"/>
    </row>
    <row r="1422" ht="15.75" customHeight="1">
      <c r="A1422" s="496"/>
      <c r="B1422" s="496"/>
      <c r="C1422" s="497"/>
      <c r="K1422" s="533"/>
      <c r="L1422" s="534"/>
      <c r="Q1422" s="498"/>
      <c r="R1422" s="498"/>
    </row>
    <row r="1423" ht="15.75" customHeight="1">
      <c r="A1423" s="496"/>
      <c r="B1423" s="496"/>
      <c r="C1423" s="497"/>
      <c r="K1423" s="533"/>
      <c r="L1423" s="534"/>
      <c r="Q1423" s="498"/>
      <c r="R1423" s="498"/>
    </row>
    <row r="1424" ht="15.75" customHeight="1">
      <c r="A1424" s="496"/>
      <c r="B1424" s="496"/>
      <c r="C1424" s="497"/>
      <c r="K1424" s="533"/>
      <c r="L1424" s="534"/>
      <c r="Q1424" s="498"/>
      <c r="R1424" s="498"/>
    </row>
    <row r="1425" ht="15.75" customHeight="1">
      <c r="A1425" s="496"/>
      <c r="B1425" s="496"/>
      <c r="C1425" s="497"/>
      <c r="K1425" s="533"/>
      <c r="L1425" s="534"/>
      <c r="Q1425" s="498"/>
      <c r="R1425" s="498"/>
    </row>
    <row r="1426" ht="15.75" customHeight="1">
      <c r="A1426" s="496"/>
      <c r="B1426" s="496"/>
      <c r="C1426" s="497"/>
      <c r="K1426" s="533"/>
      <c r="L1426" s="534"/>
      <c r="Q1426" s="498"/>
      <c r="R1426" s="498"/>
    </row>
    <row r="1427" ht="15.75" customHeight="1">
      <c r="A1427" s="496"/>
      <c r="B1427" s="496"/>
      <c r="C1427" s="497"/>
      <c r="K1427" s="533"/>
      <c r="L1427" s="534"/>
      <c r="Q1427" s="498"/>
      <c r="R1427" s="498"/>
    </row>
    <row r="1428" ht="15.75" customHeight="1">
      <c r="A1428" s="496"/>
      <c r="B1428" s="496"/>
      <c r="C1428" s="497"/>
      <c r="K1428" s="533"/>
      <c r="L1428" s="534"/>
      <c r="Q1428" s="498"/>
      <c r="R1428" s="498"/>
    </row>
    <row r="1429" ht="15.75" customHeight="1">
      <c r="A1429" s="496"/>
      <c r="B1429" s="496"/>
      <c r="C1429" s="497"/>
      <c r="K1429" s="533"/>
      <c r="L1429" s="534"/>
      <c r="Q1429" s="498"/>
      <c r="R1429" s="498"/>
    </row>
    <row r="1430" ht="15.75" customHeight="1">
      <c r="A1430" s="496"/>
      <c r="B1430" s="496"/>
      <c r="C1430" s="497"/>
      <c r="K1430" s="533"/>
      <c r="L1430" s="534"/>
      <c r="Q1430" s="498"/>
      <c r="R1430" s="498"/>
    </row>
    <row r="1431" ht="15.75" customHeight="1">
      <c r="A1431" s="496"/>
      <c r="B1431" s="496"/>
      <c r="C1431" s="497"/>
      <c r="K1431" s="533"/>
      <c r="L1431" s="534"/>
      <c r="Q1431" s="498"/>
      <c r="R1431" s="498"/>
    </row>
    <row r="1432" ht="15.75" customHeight="1">
      <c r="A1432" s="496"/>
      <c r="B1432" s="496"/>
      <c r="C1432" s="497"/>
      <c r="K1432" s="533"/>
      <c r="L1432" s="534"/>
      <c r="Q1432" s="498"/>
      <c r="R1432" s="498"/>
    </row>
    <row r="1433" ht="15.75" customHeight="1">
      <c r="A1433" s="496"/>
      <c r="B1433" s="496"/>
      <c r="C1433" s="497"/>
      <c r="K1433" s="533"/>
      <c r="L1433" s="534"/>
      <c r="Q1433" s="498"/>
      <c r="R1433" s="498"/>
    </row>
    <row r="1434" ht="15.75" customHeight="1">
      <c r="A1434" s="496"/>
      <c r="B1434" s="496"/>
      <c r="C1434" s="497"/>
      <c r="K1434" s="533"/>
      <c r="L1434" s="534"/>
      <c r="Q1434" s="498"/>
      <c r="R1434" s="498"/>
    </row>
    <row r="1435" ht="15.75" customHeight="1">
      <c r="A1435" s="496"/>
      <c r="B1435" s="496"/>
      <c r="C1435" s="497"/>
      <c r="K1435" s="533"/>
      <c r="L1435" s="534"/>
      <c r="Q1435" s="498"/>
      <c r="R1435" s="498"/>
    </row>
    <row r="1436" ht="15.75" customHeight="1">
      <c r="A1436" s="496"/>
      <c r="B1436" s="496"/>
      <c r="C1436" s="497"/>
      <c r="K1436" s="533"/>
      <c r="L1436" s="534"/>
      <c r="Q1436" s="498"/>
      <c r="R1436" s="498"/>
    </row>
    <row r="1437" ht="15.75" customHeight="1">
      <c r="A1437" s="496"/>
      <c r="B1437" s="496"/>
      <c r="C1437" s="497"/>
      <c r="K1437" s="533"/>
      <c r="L1437" s="534"/>
      <c r="Q1437" s="498"/>
      <c r="R1437" s="498"/>
    </row>
    <row r="1438" ht="15.75" customHeight="1">
      <c r="A1438" s="496"/>
      <c r="B1438" s="496"/>
      <c r="C1438" s="497"/>
      <c r="K1438" s="533"/>
      <c r="L1438" s="534"/>
      <c r="Q1438" s="498"/>
      <c r="R1438" s="498"/>
    </row>
    <row r="1439" ht="15.75" customHeight="1">
      <c r="A1439" s="496"/>
      <c r="B1439" s="496"/>
      <c r="C1439" s="497"/>
      <c r="K1439" s="533"/>
      <c r="L1439" s="534"/>
      <c r="Q1439" s="498"/>
      <c r="R1439" s="498"/>
    </row>
    <row r="1440" ht="15.75" customHeight="1">
      <c r="A1440" s="496"/>
      <c r="B1440" s="496"/>
      <c r="C1440" s="497"/>
      <c r="K1440" s="533"/>
      <c r="L1440" s="534"/>
      <c r="Q1440" s="498"/>
      <c r="R1440" s="498"/>
    </row>
    <row r="1441" ht="15.75" customHeight="1">
      <c r="A1441" s="496"/>
      <c r="B1441" s="496"/>
      <c r="C1441" s="497"/>
      <c r="K1441" s="533"/>
      <c r="L1441" s="534"/>
      <c r="Q1441" s="498"/>
      <c r="R1441" s="498"/>
    </row>
    <row r="1442" ht="15.75" customHeight="1">
      <c r="A1442" s="496"/>
      <c r="B1442" s="496"/>
      <c r="C1442" s="497"/>
      <c r="K1442" s="533"/>
      <c r="L1442" s="534"/>
      <c r="Q1442" s="498"/>
      <c r="R1442" s="498"/>
    </row>
    <row r="1443" ht="15.75" customHeight="1">
      <c r="A1443" s="496"/>
      <c r="B1443" s="496"/>
      <c r="C1443" s="497"/>
      <c r="K1443" s="533"/>
      <c r="L1443" s="534"/>
      <c r="Q1443" s="498"/>
      <c r="R1443" s="498"/>
    </row>
    <row r="1444" ht="15.75" customHeight="1">
      <c r="A1444" s="496"/>
      <c r="B1444" s="496"/>
      <c r="C1444" s="497"/>
      <c r="K1444" s="533"/>
      <c r="L1444" s="534"/>
      <c r="Q1444" s="498"/>
      <c r="R1444" s="498"/>
    </row>
    <row r="1445" ht="15.75" customHeight="1">
      <c r="A1445" s="496"/>
      <c r="B1445" s="496"/>
      <c r="C1445" s="497"/>
      <c r="K1445" s="533"/>
      <c r="L1445" s="534"/>
      <c r="Q1445" s="498"/>
      <c r="R1445" s="498"/>
    </row>
    <row r="1446" ht="15.75" customHeight="1">
      <c r="A1446" s="496"/>
      <c r="B1446" s="496"/>
      <c r="C1446" s="497"/>
      <c r="K1446" s="533"/>
      <c r="L1446" s="534"/>
      <c r="Q1446" s="498"/>
      <c r="R1446" s="498"/>
    </row>
    <row r="1447" ht="15.75" customHeight="1">
      <c r="A1447" s="496"/>
      <c r="B1447" s="496"/>
      <c r="C1447" s="497"/>
      <c r="K1447" s="533"/>
      <c r="L1447" s="534"/>
      <c r="Q1447" s="498"/>
      <c r="R1447" s="498"/>
    </row>
    <row r="1448" ht="15.75" customHeight="1">
      <c r="A1448" s="496"/>
      <c r="B1448" s="496"/>
      <c r="C1448" s="497"/>
      <c r="K1448" s="533"/>
      <c r="L1448" s="534"/>
      <c r="Q1448" s="498"/>
      <c r="R1448" s="498"/>
    </row>
    <row r="1449" ht="15.75" customHeight="1">
      <c r="A1449" s="496"/>
      <c r="B1449" s="496"/>
      <c r="C1449" s="497"/>
      <c r="K1449" s="533"/>
      <c r="L1449" s="534"/>
      <c r="Q1449" s="498"/>
      <c r="R1449" s="498"/>
    </row>
    <row r="1450" ht="15.75" customHeight="1">
      <c r="A1450" s="496"/>
      <c r="B1450" s="496"/>
      <c r="C1450" s="497"/>
      <c r="K1450" s="533"/>
      <c r="L1450" s="534"/>
      <c r="Q1450" s="498"/>
      <c r="R1450" s="498"/>
    </row>
    <row r="1451" ht="15.75" customHeight="1">
      <c r="A1451" s="496"/>
      <c r="B1451" s="496"/>
      <c r="C1451" s="497"/>
      <c r="K1451" s="533"/>
      <c r="L1451" s="534"/>
      <c r="Q1451" s="498"/>
      <c r="R1451" s="498"/>
    </row>
    <row r="1452" ht="15.75" customHeight="1">
      <c r="A1452" s="496"/>
      <c r="B1452" s="496"/>
      <c r="C1452" s="497"/>
      <c r="K1452" s="533"/>
      <c r="L1452" s="534"/>
      <c r="Q1452" s="498"/>
      <c r="R1452" s="498"/>
    </row>
    <row r="1453" ht="15.75" customHeight="1">
      <c r="A1453" s="496"/>
      <c r="B1453" s="496"/>
      <c r="C1453" s="497"/>
      <c r="K1453" s="533"/>
      <c r="L1453" s="534"/>
      <c r="Q1453" s="498"/>
      <c r="R1453" s="498"/>
    </row>
    <row r="1454" ht="15.75" customHeight="1">
      <c r="A1454" s="496"/>
      <c r="B1454" s="496"/>
      <c r="C1454" s="497"/>
      <c r="K1454" s="533"/>
      <c r="L1454" s="534"/>
      <c r="Q1454" s="498"/>
      <c r="R1454" s="498"/>
    </row>
    <row r="1455" ht="15.75" customHeight="1">
      <c r="A1455" s="496"/>
      <c r="B1455" s="496"/>
      <c r="C1455" s="497"/>
      <c r="K1455" s="533"/>
      <c r="L1455" s="534"/>
      <c r="Q1455" s="498"/>
      <c r="R1455" s="498"/>
    </row>
    <row r="1456" ht="15.75" customHeight="1">
      <c r="A1456" s="496"/>
      <c r="B1456" s="496"/>
      <c r="C1456" s="497"/>
      <c r="K1456" s="533"/>
      <c r="L1456" s="534"/>
      <c r="Q1456" s="498"/>
      <c r="R1456" s="498"/>
    </row>
    <row r="1457" ht="15.75" customHeight="1">
      <c r="A1457" s="496"/>
      <c r="B1457" s="496"/>
      <c r="C1457" s="497"/>
      <c r="K1457" s="533"/>
      <c r="L1457" s="534"/>
      <c r="Q1457" s="498"/>
      <c r="R1457" s="498"/>
    </row>
    <row r="1458" ht="15.75" customHeight="1">
      <c r="A1458" s="496"/>
      <c r="B1458" s="496"/>
      <c r="C1458" s="497"/>
      <c r="K1458" s="533"/>
      <c r="L1458" s="534"/>
      <c r="Q1458" s="498"/>
      <c r="R1458" s="498"/>
    </row>
    <row r="1459" ht="15.75" customHeight="1">
      <c r="A1459" s="496"/>
      <c r="B1459" s="496"/>
      <c r="C1459" s="497"/>
      <c r="K1459" s="533"/>
      <c r="L1459" s="534"/>
      <c r="Q1459" s="498"/>
      <c r="R1459" s="498"/>
    </row>
    <row r="1460" ht="15.75" customHeight="1">
      <c r="A1460" s="496"/>
      <c r="B1460" s="496"/>
      <c r="C1460" s="497"/>
      <c r="K1460" s="533"/>
      <c r="L1460" s="534"/>
      <c r="Q1460" s="498"/>
      <c r="R1460" s="498"/>
    </row>
    <row r="1461" ht="15.75" customHeight="1">
      <c r="A1461" s="496"/>
      <c r="B1461" s="496"/>
      <c r="C1461" s="497"/>
      <c r="K1461" s="533"/>
      <c r="L1461" s="534"/>
      <c r="Q1461" s="498"/>
      <c r="R1461" s="498"/>
    </row>
    <row r="1462" ht="15.75" customHeight="1">
      <c r="A1462" s="496"/>
      <c r="B1462" s="496"/>
      <c r="C1462" s="497"/>
      <c r="K1462" s="533"/>
      <c r="L1462" s="534"/>
      <c r="Q1462" s="498"/>
      <c r="R1462" s="498"/>
    </row>
    <row r="1463" ht="15.75" customHeight="1">
      <c r="A1463" s="496"/>
      <c r="B1463" s="496"/>
      <c r="C1463" s="497"/>
      <c r="K1463" s="533"/>
      <c r="L1463" s="534"/>
      <c r="Q1463" s="498"/>
      <c r="R1463" s="498"/>
    </row>
    <row r="1464" ht="15.75" customHeight="1">
      <c r="A1464" s="496"/>
      <c r="B1464" s="496"/>
      <c r="C1464" s="497"/>
      <c r="K1464" s="533"/>
      <c r="L1464" s="534"/>
      <c r="Q1464" s="498"/>
      <c r="R1464" s="498"/>
    </row>
    <row r="1465" ht="15.75" customHeight="1">
      <c r="A1465" s="496"/>
      <c r="B1465" s="496"/>
      <c r="C1465" s="497"/>
      <c r="K1465" s="533"/>
      <c r="L1465" s="534"/>
      <c r="Q1465" s="498"/>
      <c r="R1465" s="498"/>
    </row>
    <row r="1466" ht="15.75" customHeight="1">
      <c r="A1466" s="496"/>
      <c r="B1466" s="496"/>
      <c r="C1466" s="497"/>
      <c r="K1466" s="533"/>
      <c r="L1466" s="534"/>
      <c r="Q1466" s="498"/>
      <c r="R1466" s="498"/>
    </row>
    <row r="1467" ht="15.75" customHeight="1">
      <c r="A1467" s="496"/>
      <c r="B1467" s="496"/>
      <c r="C1467" s="497"/>
      <c r="K1467" s="533"/>
      <c r="L1467" s="534"/>
      <c r="Q1467" s="498"/>
      <c r="R1467" s="498"/>
    </row>
    <row r="1468" ht="15.75" customHeight="1">
      <c r="A1468" s="496"/>
      <c r="B1468" s="496"/>
      <c r="C1468" s="497"/>
      <c r="K1468" s="533"/>
      <c r="L1468" s="534"/>
      <c r="Q1468" s="498"/>
      <c r="R1468" s="498"/>
    </row>
    <row r="1469" ht="15.75" customHeight="1">
      <c r="A1469" s="496"/>
      <c r="B1469" s="496"/>
      <c r="C1469" s="497"/>
      <c r="K1469" s="533"/>
      <c r="L1469" s="534"/>
      <c r="Q1469" s="498"/>
      <c r="R1469" s="498"/>
    </row>
    <row r="1470" ht="15.75" customHeight="1">
      <c r="A1470" s="496"/>
      <c r="B1470" s="496"/>
      <c r="C1470" s="497"/>
      <c r="K1470" s="533"/>
      <c r="L1470" s="534"/>
      <c r="Q1470" s="498"/>
      <c r="R1470" s="498"/>
    </row>
    <row r="1471" ht="15.75" customHeight="1">
      <c r="A1471" s="496"/>
      <c r="B1471" s="496"/>
      <c r="C1471" s="497"/>
      <c r="K1471" s="533"/>
      <c r="L1471" s="534"/>
      <c r="Q1471" s="498"/>
      <c r="R1471" s="498"/>
    </row>
    <row r="1472" ht="15.75" customHeight="1">
      <c r="A1472" s="496"/>
      <c r="B1472" s="496"/>
      <c r="C1472" s="497"/>
      <c r="K1472" s="533"/>
      <c r="L1472" s="534"/>
      <c r="Q1472" s="498"/>
      <c r="R1472" s="498"/>
    </row>
    <row r="1473" ht="15.75" customHeight="1">
      <c r="A1473" s="496"/>
      <c r="B1473" s="496"/>
      <c r="C1473" s="497"/>
      <c r="K1473" s="533"/>
      <c r="L1473" s="534"/>
      <c r="Q1473" s="498"/>
      <c r="R1473" s="498"/>
    </row>
    <row r="1474" ht="15.75" customHeight="1">
      <c r="A1474" s="496"/>
      <c r="B1474" s="496"/>
      <c r="C1474" s="497"/>
      <c r="K1474" s="533"/>
      <c r="L1474" s="534"/>
      <c r="Q1474" s="498"/>
      <c r="R1474" s="498"/>
    </row>
    <row r="1475" ht="15.75" customHeight="1">
      <c r="A1475" s="496"/>
      <c r="B1475" s="496"/>
      <c r="C1475" s="497"/>
      <c r="K1475" s="533"/>
      <c r="L1475" s="534"/>
      <c r="Q1475" s="498"/>
      <c r="R1475" s="498"/>
    </row>
    <row r="1476" ht="15.75" customHeight="1">
      <c r="A1476" s="496"/>
      <c r="B1476" s="496"/>
      <c r="C1476" s="497"/>
      <c r="K1476" s="533"/>
      <c r="L1476" s="534"/>
      <c r="Q1476" s="498"/>
      <c r="R1476" s="498"/>
    </row>
    <row r="1477" ht="15.75" customHeight="1">
      <c r="A1477" s="496"/>
      <c r="B1477" s="496"/>
      <c r="C1477" s="497"/>
      <c r="K1477" s="533"/>
      <c r="L1477" s="534"/>
      <c r="Q1477" s="498"/>
      <c r="R1477" s="498"/>
    </row>
    <row r="1478" ht="15.75" customHeight="1">
      <c r="A1478" s="496"/>
      <c r="B1478" s="496"/>
      <c r="C1478" s="497"/>
      <c r="K1478" s="533"/>
      <c r="L1478" s="534"/>
      <c r="Q1478" s="498"/>
      <c r="R1478" s="498"/>
    </row>
    <row r="1479" ht="15.75" customHeight="1">
      <c r="A1479" s="496"/>
      <c r="B1479" s="496"/>
      <c r="C1479" s="497"/>
      <c r="K1479" s="533"/>
      <c r="L1479" s="534"/>
      <c r="Q1479" s="498"/>
      <c r="R1479" s="498"/>
    </row>
    <row r="1480" ht="15.75" customHeight="1">
      <c r="A1480" s="496"/>
      <c r="B1480" s="496"/>
      <c r="C1480" s="497"/>
      <c r="K1480" s="533"/>
      <c r="L1480" s="534"/>
      <c r="Q1480" s="498"/>
      <c r="R1480" s="498"/>
    </row>
    <row r="1481" ht="15.75" customHeight="1">
      <c r="A1481" s="496"/>
      <c r="B1481" s="496"/>
      <c r="C1481" s="497"/>
      <c r="K1481" s="533"/>
      <c r="L1481" s="534"/>
      <c r="Q1481" s="498"/>
      <c r="R1481" s="498"/>
    </row>
    <row r="1482" ht="15.75" customHeight="1">
      <c r="A1482" s="496"/>
      <c r="B1482" s="496"/>
      <c r="C1482" s="497"/>
      <c r="K1482" s="533"/>
      <c r="L1482" s="534"/>
      <c r="Q1482" s="498"/>
      <c r="R1482" s="498"/>
    </row>
    <row r="1483" ht="15.75" customHeight="1">
      <c r="A1483" s="496"/>
      <c r="B1483" s="496"/>
      <c r="C1483" s="497"/>
      <c r="K1483" s="533"/>
      <c r="L1483" s="534"/>
      <c r="Q1483" s="498"/>
      <c r="R1483" s="498"/>
    </row>
    <row r="1484" ht="15.75" customHeight="1">
      <c r="A1484" s="496"/>
      <c r="B1484" s="496"/>
      <c r="C1484" s="497"/>
      <c r="K1484" s="533"/>
      <c r="L1484" s="534"/>
      <c r="Q1484" s="498"/>
      <c r="R1484" s="498"/>
    </row>
    <row r="1485" ht="15.75" customHeight="1">
      <c r="A1485" s="496"/>
      <c r="B1485" s="496"/>
      <c r="C1485" s="497"/>
      <c r="K1485" s="533"/>
      <c r="L1485" s="534"/>
      <c r="Q1485" s="498"/>
      <c r="R1485" s="498"/>
    </row>
    <row r="1486" ht="15.75" customHeight="1">
      <c r="A1486" s="496"/>
      <c r="B1486" s="496"/>
      <c r="C1486" s="497"/>
      <c r="K1486" s="533"/>
      <c r="L1486" s="534"/>
      <c r="Q1486" s="498"/>
      <c r="R1486" s="498"/>
    </row>
    <row r="1487" ht="15.75" customHeight="1">
      <c r="A1487" s="496"/>
      <c r="B1487" s="496"/>
      <c r="C1487" s="497"/>
      <c r="K1487" s="533"/>
      <c r="L1487" s="534"/>
      <c r="Q1487" s="498"/>
      <c r="R1487" s="498"/>
    </row>
    <row r="1488" ht="15.75" customHeight="1">
      <c r="A1488" s="496"/>
      <c r="B1488" s="496"/>
      <c r="C1488" s="497"/>
      <c r="K1488" s="533"/>
      <c r="L1488" s="534"/>
      <c r="Q1488" s="498"/>
      <c r="R1488" s="498"/>
    </row>
    <row r="1489" ht="15.75" customHeight="1">
      <c r="A1489" s="496"/>
      <c r="B1489" s="496"/>
      <c r="C1489" s="497"/>
      <c r="K1489" s="533"/>
      <c r="L1489" s="534"/>
      <c r="Q1489" s="498"/>
      <c r="R1489" s="498"/>
    </row>
    <row r="1490" ht="15.75" customHeight="1">
      <c r="A1490" s="496"/>
      <c r="B1490" s="496"/>
      <c r="C1490" s="497"/>
      <c r="K1490" s="533"/>
      <c r="L1490" s="534"/>
      <c r="Q1490" s="498"/>
      <c r="R1490" s="498"/>
    </row>
    <row r="1491" ht="15.75" customHeight="1">
      <c r="A1491" s="496"/>
      <c r="B1491" s="496"/>
      <c r="C1491" s="497"/>
      <c r="K1491" s="533"/>
      <c r="L1491" s="534"/>
      <c r="Q1491" s="498"/>
      <c r="R1491" s="498"/>
    </row>
    <row r="1492" ht="15.75" customHeight="1">
      <c r="A1492" s="496"/>
      <c r="B1492" s="496"/>
      <c r="C1492" s="497"/>
      <c r="K1492" s="533"/>
      <c r="L1492" s="534"/>
      <c r="Q1492" s="498"/>
      <c r="R1492" s="498"/>
    </row>
    <row r="1493" ht="15.75" customHeight="1">
      <c r="A1493" s="496"/>
      <c r="B1493" s="496"/>
      <c r="C1493" s="497"/>
      <c r="K1493" s="533"/>
      <c r="L1493" s="534"/>
      <c r="Q1493" s="498"/>
      <c r="R1493" s="498"/>
    </row>
    <row r="1494" ht="15.75" customHeight="1">
      <c r="A1494" s="496"/>
      <c r="B1494" s="496"/>
      <c r="C1494" s="497"/>
      <c r="K1494" s="533"/>
      <c r="L1494" s="534"/>
      <c r="Q1494" s="498"/>
      <c r="R1494" s="498"/>
    </row>
    <row r="1495" ht="15.75" customHeight="1">
      <c r="A1495" s="496"/>
      <c r="B1495" s="496"/>
      <c r="C1495" s="497"/>
      <c r="K1495" s="533"/>
      <c r="L1495" s="534"/>
      <c r="Q1495" s="498"/>
      <c r="R1495" s="498"/>
    </row>
    <row r="1496" ht="15.75" customHeight="1">
      <c r="A1496" s="496"/>
      <c r="B1496" s="496"/>
      <c r="C1496" s="497"/>
      <c r="K1496" s="533"/>
      <c r="L1496" s="534"/>
      <c r="Q1496" s="498"/>
      <c r="R1496" s="498"/>
    </row>
    <row r="1497" ht="15.75" customHeight="1">
      <c r="A1497" s="496"/>
      <c r="B1497" s="496"/>
      <c r="C1497" s="497"/>
      <c r="K1497" s="533"/>
      <c r="L1497" s="534"/>
      <c r="Q1497" s="498"/>
      <c r="R1497" s="498"/>
    </row>
    <row r="1498" ht="15.75" customHeight="1">
      <c r="A1498" s="496"/>
      <c r="B1498" s="496"/>
      <c r="C1498" s="497"/>
      <c r="K1498" s="533"/>
      <c r="L1498" s="534"/>
      <c r="Q1498" s="498"/>
      <c r="R1498" s="498"/>
    </row>
    <row r="1499" ht="15.75" customHeight="1">
      <c r="A1499" s="496"/>
      <c r="B1499" s="496"/>
      <c r="C1499" s="497"/>
      <c r="K1499" s="533"/>
      <c r="L1499" s="534"/>
      <c r="Q1499" s="498"/>
      <c r="R1499" s="498"/>
    </row>
    <row r="1500" ht="15.75" customHeight="1">
      <c r="A1500" s="496"/>
      <c r="B1500" s="496"/>
      <c r="C1500" s="497"/>
      <c r="K1500" s="533"/>
      <c r="L1500" s="534"/>
      <c r="Q1500" s="498"/>
      <c r="R1500" s="498"/>
    </row>
    <row r="1501" ht="15.75" customHeight="1">
      <c r="A1501" s="496"/>
      <c r="B1501" s="496"/>
      <c r="C1501" s="497"/>
      <c r="K1501" s="533"/>
      <c r="L1501" s="534"/>
      <c r="Q1501" s="498"/>
      <c r="R1501" s="498"/>
    </row>
    <row r="1502" ht="15.75" customHeight="1">
      <c r="A1502" s="496"/>
      <c r="B1502" s="496"/>
      <c r="C1502" s="497"/>
      <c r="K1502" s="533"/>
      <c r="L1502" s="534"/>
      <c r="Q1502" s="498"/>
      <c r="R1502" s="498"/>
    </row>
    <row r="1503" ht="15.75" customHeight="1">
      <c r="A1503" s="496"/>
      <c r="B1503" s="496"/>
      <c r="C1503" s="497"/>
      <c r="K1503" s="533"/>
      <c r="L1503" s="534"/>
      <c r="Q1503" s="498"/>
      <c r="R1503" s="498"/>
    </row>
    <row r="1504" ht="15.75" customHeight="1">
      <c r="A1504" s="496"/>
      <c r="B1504" s="496"/>
      <c r="C1504" s="497"/>
      <c r="K1504" s="533"/>
      <c r="L1504" s="534"/>
      <c r="Q1504" s="498"/>
      <c r="R1504" s="498"/>
    </row>
    <row r="1505" ht="15.75" customHeight="1">
      <c r="A1505" s="496"/>
      <c r="B1505" s="496"/>
      <c r="C1505" s="497"/>
      <c r="K1505" s="533"/>
      <c r="L1505" s="534"/>
      <c r="Q1505" s="498"/>
      <c r="R1505" s="498"/>
    </row>
    <row r="1506" ht="15.75" customHeight="1">
      <c r="A1506" s="496"/>
      <c r="B1506" s="496"/>
      <c r="C1506" s="497"/>
      <c r="K1506" s="533"/>
      <c r="L1506" s="534"/>
      <c r="Q1506" s="498"/>
      <c r="R1506" s="498"/>
    </row>
    <row r="1507" ht="15.75" customHeight="1">
      <c r="A1507" s="496"/>
      <c r="B1507" s="496"/>
      <c r="C1507" s="497"/>
      <c r="K1507" s="533"/>
      <c r="L1507" s="534"/>
      <c r="Q1507" s="498"/>
      <c r="R1507" s="498"/>
    </row>
    <row r="1508" ht="15.75" customHeight="1">
      <c r="A1508" s="496"/>
      <c r="B1508" s="496"/>
      <c r="C1508" s="497"/>
      <c r="K1508" s="533"/>
      <c r="L1508" s="534"/>
      <c r="Q1508" s="498"/>
      <c r="R1508" s="498"/>
    </row>
    <row r="1509" ht="15.75" customHeight="1">
      <c r="A1509" s="496"/>
      <c r="B1509" s="496"/>
      <c r="C1509" s="497"/>
      <c r="K1509" s="533"/>
      <c r="L1509" s="534"/>
      <c r="Q1509" s="498"/>
      <c r="R1509" s="498"/>
    </row>
    <row r="1510" ht="15.75" customHeight="1">
      <c r="A1510" s="496"/>
      <c r="B1510" s="496"/>
      <c r="C1510" s="497"/>
      <c r="K1510" s="533"/>
      <c r="L1510" s="534"/>
      <c r="Q1510" s="498"/>
      <c r="R1510" s="498"/>
    </row>
    <row r="1511" ht="15.75" customHeight="1">
      <c r="A1511" s="496"/>
      <c r="B1511" s="496"/>
      <c r="C1511" s="497"/>
      <c r="K1511" s="533"/>
      <c r="L1511" s="534"/>
      <c r="Q1511" s="498"/>
      <c r="R1511" s="498"/>
    </row>
    <row r="1512" ht="15.75" customHeight="1">
      <c r="A1512" s="496"/>
      <c r="B1512" s="496"/>
      <c r="C1512" s="497"/>
      <c r="K1512" s="533"/>
      <c r="L1512" s="534"/>
      <c r="Q1512" s="498"/>
      <c r="R1512" s="498"/>
    </row>
    <row r="1513" ht="15.75" customHeight="1">
      <c r="A1513" s="496"/>
      <c r="B1513" s="496"/>
      <c r="C1513" s="497"/>
      <c r="K1513" s="533"/>
      <c r="L1513" s="534"/>
      <c r="Q1513" s="498"/>
      <c r="R1513" s="498"/>
    </row>
    <row r="1514" ht="15.75" customHeight="1">
      <c r="A1514" s="496"/>
      <c r="B1514" s="496"/>
      <c r="C1514" s="497"/>
      <c r="K1514" s="533"/>
      <c r="L1514" s="534"/>
      <c r="Q1514" s="498"/>
      <c r="R1514" s="498"/>
    </row>
    <row r="1515" ht="15.75" customHeight="1">
      <c r="A1515" s="496"/>
      <c r="B1515" s="496"/>
      <c r="C1515" s="497"/>
      <c r="K1515" s="533"/>
      <c r="L1515" s="534"/>
      <c r="Q1515" s="498"/>
      <c r="R1515" s="498"/>
    </row>
    <row r="1516" ht="15.75" customHeight="1">
      <c r="A1516" s="496"/>
      <c r="B1516" s="496"/>
      <c r="C1516" s="497"/>
      <c r="K1516" s="533"/>
      <c r="L1516" s="534"/>
      <c r="Q1516" s="498"/>
      <c r="R1516" s="498"/>
    </row>
    <row r="1517" ht="15.75" customHeight="1">
      <c r="A1517" s="496"/>
      <c r="B1517" s="496"/>
      <c r="C1517" s="497"/>
      <c r="K1517" s="533"/>
      <c r="L1517" s="534"/>
      <c r="Q1517" s="498"/>
      <c r="R1517" s="498"/>
    </row>
    <row r="1518" ht="15.75" customHeight="1">
      <c r="A1518" s="496"/>
      <c r="B1518" s="496"/>
      <c r="C1518" s="497"/>
      <c r="K1518" s="533"/>
      <c r="L1518" s="534"/>
      <c r="Q1518" s="498"/>
      <c r="R1518" s="498"/>
    </row>
    <row r="1519" ht="15.75" customHeight="1">
      <c r="A1519" s="496"/>
      <c r="B1519" s="496"/>
      <c r="C1519" s="497"/>
      <c r="K1519" s="533"/>
      <c r="L1519" s="534"/>
      <c r="Q1519" s="498"/>
      <c r="R1519" s="498"/>
    </row>
    <row r="1520" ht="15.75" customHeight="1">
      <c r="A1520" s="496"/>
      <c r="B1520" s="496"/>
      <c r="C1520" s="497"/>
      <c r="K1520" s="533"/>
      <c r="L1520" s="534"/>
      <c r="Q1520" s="498"/>
      <c r="R1520" s="498"/>
    </row>
    <row r="1521" ht="15.75" customHeight="1">
      <c r="A1521" s="496"/>
      <c r="B1521" s="496"/>
      <c r="C1521" s="497"/>
      <c r="K1521" s="533"/>
      <c r="L1521" s="534"/>
      <c r="Q1521" s="498"/>
      <c r="R1521" s="498"/>
    </row>
    <row r="1522" ht="15.75" customHeight="1">
      <c r="A1522" s="496"/>
      <c r="B1522" s="496"/>
      <c r="C1522" s="497"/>
      <c r="K1522" s="533"/>
      <c r="L1522" s="534"/>
      <c r="Q1522" s="498"/>
      <c r="R1522" s="498"/>
    </row>
    <row r="1523" ht="15.75" customHeight="1">
      <c r="A1523" s="496"/>
      <c r="B1523" s="496"/>
      <c r="C1523" s="497"/>
      <c r="K1523" s="533"/>
      <c r="L1523" s="534"/>
      <c r="Q1523" s="498"/>
      <c r="R1523" s="498"/>
    </row>
    <row r="1524" ht="15.75" customHeight="1">
      <c r="A1524" s="496"/>
      <c r="B1524" s="496"/>
      <c r="C1524" s="497"/>
      <c r="K1524" s="533"/>
      <c r="L1524" s="534"/>
      <c r="Q1524" s="498"/>
      <c r="R1524" s="498"/>
    </row>
    <row r="1525" ht="15.75" customHeight="1">
      <c r="A1525" s="496"/>
      <c r="B1525" s="496"/>
      <c r="C1525" s="497"/>
      <c r="K1525" s="533"/>
      <c r="L1525" s="534"/>
      <c r="Q1525" s="498"/>
      <c r="R1525" s="498"/>
    </row>
    <row r="1526" ht="15.75" customHeight="1">
      <c r="A1526" s="496"/>
      <c r="B1526" s="496"/>
      <c r="C1526" s="497"/>
      <c r="K1526" s="533"/>
      <c r="L1526" s="534"/>
      <c r="Q1526" s="498"/>
      <c r="R1526" s="498"/>
    </row>
    <row r="1527" ht="15.75" customHeight="1">
      <c r="A1527" s="496"/>
      <c r="B1527" s="496"/>
      <c r="C1527" s="497"/>
      <c r="K1527" s="533"/>
      <c r="L1527" s="534"/>
      <c r="Q1527" s="498"/>
      <c r="R1527" s="498"/>
    </row>
    <row r="1528" ht="15.75" customHeight="1">
      <c r="A1528" s="496"/>
      <c r="B1528" s="496"/>
      <c r="C1528" s="497"/>
      <c r="K1528" s="533"/>
      <c r="L1528" s="534"/>
      <c r="Q1528" s="498"/>
      <c r="R1528" s="498"/>
    </row>
    <row r="1529" ht="15.75" customHeight="1">
      <c r="A1529" s="496"/>
      <c r="B1529" s="496"/>
      <c r="C1529" s="497"/>
      <c r="K1529" s="533"/>
      <c r="L1529" s="534"/>
      <c r="Q1529" s="498"/>
      <c r="R1529" s="498"/>
    </row>
    <row r="1530" ht="15.75" customHeight="1">
      <c r="A1530" s="496"/>
      <c r="B1530" s="496"/>
      <c r="C1530" s="497"/>
      <c r="K1530" s="533"/>
      <c r="L1530" s="534"/>
      <c r="Q1530" s="498"/>
      <c r="R1530" s="498"/>
    </row>
    <row r="1531" ht="15.75" customHeight="1">
      <c r="A1531" s="496"/>
      <c r="B1531" s="496"/>
      <c r="C1531" s="497"/>
      <c r="K1531" s="533"/>
      <c r="L1531" s="534"/>
      <c r="Q1531" s="498"/>
      <c r="R1531" s="498"/>
    </row>
    <row r="1532" ht="15.75" customHeight="1">
      <c r="A1532" s="496"/>
      <c r="B1532" s="496"/>
      <c r="C1532" s="497"/>
      <c r="K1532" s="533"/>
      <c r="L1532" s="534"/>
      <c r="Q1532" s="498"/>
      <c r="R1532" s="498"/>
    </row>
    <row r="1533" ht="15.75" customHeight="1">
      <c r="A1533" s="496"/>
      <c r="B1533" s="496"/>
      <c r="C1533" s="497"/>
      <c r="K1533" s="533"/>
      <c r="L1533" s="534"/>
      <c r="Q1533" s="498"/>
      <c r="R1533" s="498"/>
    </row>
    <row r="1534" ht="15.75" customHeight="1">
      <c r="A1534" s="496"/>
      <c r="B1534" s="496"/>
      <c r="C1534" s="497"/>
      <c r="K1534" s="533"/>
      <c r="L1534" s="534"/>
      <c r="Q1534" s="498"/>
      <c r="R1534" s="498"/>
    </row>
    <row r="1535" ht="15.75" customHeight="1">
      <c r="A1535" s="496"/>
      <c r="B1535" s="496"/>
      <c r="C1535" s="497"/>
      <c r="K1535" s="533"/>
      <c r="L1535" s="534"/>
      <c r="Q1535" s="498"/>
      <c r="R1535" s="498"/>
    </row>
    <row r="1536" ht="15.75" customHeight="1">
      <c r="A1536" s="496"/>
      <c r="B1536" s="496"/>
      <c r="C1536" s="497"/>
      <c r="K1536" s="533"/>
      <c r="L1536" s="534"/>
      <c r="Q1536" s="498"/>
      <c r="R1536" s="498"/>
    </row>
    <row r="1537" ht="15.75" customHeight="1">
      <c r="A1537" s="496"/>
      <c r="B1537" s="496"/>
      <c r="C1537" s="497"/>
      <c r="K1537" s="533"/>
      <c r="L1537" s="534"/>
      <c r="Q1537" s="498"/>
      <c r="R1537" s="498"/>
    </row>
    <row r="1538" ht="15.75" customHeight="1">
      <c r="A1538" s="496"/>
      <c r="B1538" s="496"/>
      <c r="C1538" s="497"/>
      <c r="K1538" s="533"/>
      <c r="L1538" s="534"/>
      <c r="Q1538" s="498"/>
      <c r="R1538" s="498"/>
    </row>
    <row r="1539" ht="15.75" customHeight="1">
      <c r="A1539" s="496"/>
      <c r="B1539" s="496"/>
      <c r="C1539" s="497"/>
      <c r="K1539" s="533"/>
      <c r="L1539" s="534"/>
      <c r="Q1539" s="498"/>
      <c r="R1539" s="498"/>
    </row>
    <row r="1540" ht="15.75" customHeight="1">
      <c r="A1540" s="496"/>
      <c r="B1540" s="496"/>
      <c r="C1540" s="497"/>
      <c r="K1540" s="533"/>
      <c r="L1540" s="534"/>
      <c r="Q1540" s="498"/>
      <c r="R1540" s="498"/>
    </row>
    <row r="1541" ht="15.75" customHeight="1">
      <c r="A1541" s="496"/>
      <c r="B1541" s="496"/>
      <c r="C1541" s="497"/>
      <c r="K1541" s="533"/>
      <c r="L1541" s="534"/>
      <c r="Q1541" s="498"/>
      <c r="R1541" s="498"/>
    </row>
    <row r="1542" ht="15.75" customHeight="1">
      <c r="A1542" s="496"/>
      <c r="B1542" s="496"/>
      <c r="C1542" s="497"/>
      <c r="K1542" s="533"/>
      <c r="L1542" s="534"/>
      <c r="Q1542" s="498"/>
      <c r="R1542" s="498"/>
    </row>
    <row r="1543" ht="15.75" customHeight="1">
      <c r="A1543" s="496"/>
      <c r="B1543" s="496"/>
      <c r="C1543" s="497"/>
      <c r="K1543" s="533"/>
      <c r="L1543" s="534"/>
      <c r="Q1543" s="498"/>
      <c r="R1543" s="498"/>
    </row>
    <row r="1544" ht="15.75" customHeight="1">
      <c r="A1544" s="496"/>
      <c r="B1544" s="496"/>
      <c r="C1544" s="497"/>
      <c r="K1544" s="533"/>
      <c r="L1544" s="534"/>
      <c r="Q1544" s="498"/>
      <c r="R1544" s="498"/>
    </row>
    <row r="1545" ht="15.75" customHeight="1">
      <c r="A1545" s="496"/>
      <c r="B1545" s="496"/>
      <c r="C1545" s="497"/>
      <c r="K1545" s="533"/>
      <c r="L1545" s="534"/>
      <c r="Q1545" s="498"/>
      <c r="R1545" s="498"/>
    </row>
    <row r="1546" ht="15.75" customHeight="1">
      <c r="A1546" s="496"/>
      <c r="B1546" s="496"/>
      <c r="C1546" s="497"/>
      <c r="K1546" s="533"/>
      <c r="L1546" s="534"/>
      <c r="Q1546" s="498"/>
      <c r="R1546" s="498"/>
    </row>
    <row r="1547" ht="15.75" customHeight="1">
      <c r="A1547" s="496"/>
      <c r="B1547" s="496"/>
      <c r="C1547" s="497"/>
      <c r="K1547" s="533"/>
      <c r="L1547" s="534"/>
      <c r="Q1547" s="498"/>
      <c r="R1547" s="498"/>
    </row>
    <row r="1548" ht="15.75" customHeight="1">
      <c r="A1548" s="496"/>
      <c r="B1548" s="496"/>
      <c r="C1548" s="497"/>
      <c r="K1548" s="533"/>
      <c r="L1548" s="534"/>
      <c r="Q1548" s="498"/>
      <c r="R1548" s="498"/>
    </row>
    <row r="1549" ht="15.75" customHeight="1">
      <c r="A1549" s="496"/>
      <c r="B1549" s="496"/>
      <c r="C1549" s="497"/>
      <c r="K1549" s="533"/>
      <c r="L1549" s="534"/>
      <c r="Q1549" s="498"/>
      <c r="R1549" s="498"/>
    </row>
    <row r="1550" ht="15.75" customHeight="1">
      <c r="A1550" s="496"/>
      <c r="B1550" s="496"/>
      <c r="C1550" s="497"/>
      <c r="K1550" s="533"/>
      <c r="L1550" s="534"/>
      <c r="Q1550" s="498"/>
      <c r="R1550" s="498"/>
    </row>
    <row r="1551" ht="15.75" customHeight="1">
      <c r="A1551" s="496"/>
      <c r="B1551" s="496"/>
      <c r="C1551" s="497"/>
      <c r="K1551" s="533"/>
      <c r="L1551" s="534"/>
      <c r="Q1551" s="498"/>
      <c r="R1551" s="498"/>
    </row>
    <row r="1552" ht="15.75" customHeight="1">
      <c r="A1552" s="496"/>
      <c r="B1552" s="496"/>
      <c r="C1552" s="497"/>
      <c r="K1552" s="533"/>
      <c r="L1552" s="534"/>
      <c r="Q1552" s="498"/>
      <c r="R1552" s="498"/>
    </row>
    <row r="1553" ht="15.75" customHeight="1">
      <c r="A1553" s="496"/>
      <c r="B1553" s="496"/>
      <c r="C1553" s="497"/>
      <c r="K1553" s="533"/>
      <c r="L1553" s="534"/>
      <c r="Q1553" s="498"/>
      <c r="R1553" s="498"/>
    </row>
    <row r="1554" ht="15.75" customHeight="1">
      <c r="A1554" s="496"/>
      <c r="B1554" s="496"/>
      <c r="C1554" s="497"/>
      <c r="K1554" s="533"/>
      <c r="L1554" s="534"/>
      <c r="Q1554" s="498"/>
      <c r="R1554" s="498"/>
    </row>
    <row r="1555" ht="15.75" customHeight="1">
      <c r="A1555" s="496"/>
      <c r="B1555" s="496"/>
      <c r="C1555" s="497"/>
      <c r="K1555" s="533"/>
      <c r="L1555" s="534"/>
      <c r="Q1555" s="498"/>
      <c r="R1555" s="498"/>
    </row>
    <row r="1556" ht="15.75" customHeight="1">
      <c r="A1556" s="496"/>
      <c r="B1556" s="496"/>
      <c r="C1556" s="497"/>
      <c r="K1556" s="533"/>
      <c r="L1556" s="534"/>
      <c r="Q1556" s="498"/>
      <c r="R1556" s="498"/>
    </row>
    <row r="1557" ht="15.75" customHeight="1">
      <c r="A1557" s="496"/>
      <c r="B1557" s="496"/>
      <c r="C1557" s="497"/>
      <c r="K1557" s="533"/>
      <c r="L1557" s="534"/>
      <c r="Q1557" s="498"/>
      <c r="R1557" s="498"/>
    </row>
    <row r="1558" ht="15.75" customHeight="1">
      <c r="A1558" s="496"/>
      <c r="B1558" s="496"/>
      <c r="C1558" s="497"/>
      <c r="K1558" s="533"/>
      <c r="L1558" s="534"/>
      <c r="Q1558" s="498"/>
      <c r="R1558" s="498"/>
    </row>
    <row r="1559" ht="15.75" customHeight="1">
      <c r="A1559" s="496"/>
      <c r="B1559" s="496"/>
      <c r="C1559" s="497"/>
      <c r="K1559" s="533"/>
      <c r="L1559" s="534"/>
      <c r="Q1559" s="498"/>
      <c r="R1559" s="498"/>
    </row>
    <row r="1560" ht="15.75" customHeight="1">
      <c r="A1560" s="496"/>
      <c r="B1560" s="496"/>
      <c r="C1560" s="497"/>
      <c r="K1560" s="533"/>
      <c r="L1560" s="534"/>
      <c r="Q1560" s="498"/>
      <c r="R1560" s="498"/>
    </row>
    <row r="1561" ht="15.75" customHeight="1">
      <c r="A1561" s="496"/>
      <c r="B1561" s="496"/>
      <c r="C1561" s="497"/>
      <c r="K1561" s="533"/>
      <c r="L1561" s="534"/>
      <c r="Q1561" s="498"/>
      <c r="R1561" s="498"/>
    </row>
    <row r="1562" ht="15.75" customHeight="1">
      <c r="A1562" s="496"/>
      <c r="B1562" s="496"/>
      <c r="C1562" s="497"/>
      <c r="K1562" s="533"/>
      <c r="L1562" s="534"/>
      <c r="Q1562" s="498"/>
      <c r="R1562" s="498"/>
    </row>
    <row r="1563" ht="15.75" customHeight="1">
      <c r="A1563" s="496"/>
      <c r="B1563" s="496"/>
      <c r="C1563" s="497"/>
      <c r="K1563" s="533"/>
      <c r="L1563" s="534"/>
      <c r="Q1563" s="498"/>
      <c r="R1563" s="498"/>
    </row>
    <row r="1564" ht="15.75" customHeight="1">
      <c r="A1564" s="496"/>
      <c r="B1564" s="496"/>
      <c r="C1564" s="497"/>
      <c r="K1564" s="533"/>
      <c r="L1564" s="534"/>
      <c r="Q1564" s="498"/>
      <c r="R1564" s="498"/>
    </row>
    <row r="1565" ht="15.75" customHeight="1">
      <c r="A1565" s="496"/>
      <c r="B1565" s="496"/>
      <c r="C1565" s="497"/>
      <c r="K1565" s="533"/>
      <c r="L1565" s="534"/>
      <c r="Q1565" s="498"/>
      <c r="R1565" s="498"/>
    </row>
    <row r="1566" ht="15.75" customHeight="1">
      <c r="A1566" s="496"/>
      <c r="B1566" s="496"/>
      <c r="C1566" s="497"/>
      <c r="K1566" s="533"/>
      <c r="L1566" s="534"/>
      <c r="Q1566" s="498"/>
      <c r="R1566" s="498"/>
    </row>
    <row r="1567" ht="15.75" customHeight="1">
      <c r="A1567" s="496"/>
      <c r="B1567" s="496"/>
      <c r="C1567" s="497"/>
      <c r="K1567" s="533"/>
      <c r="L1567" s="534"/>
      <c r="Q1567" s="498"/>
      <c r="R1567" s="498"/>
    </row>
    <row r="1568" ht="15.75" customHeight="1">
      <c r="A1568" s="496"/>
      <c r="B1568" s="496"/>
      <c r="C1568" s="497"/>
      <c r="K1568" s="533"/>
      <c r="L1568" s="534"/>
      <c r="Q1568" s="498"/>
      <c r="R1568" s="498"/>
    </row>
    <row r="1569" ht="15.75" customHeight="1">
      <c r="A1569" s="496"/>
      <c r="B1569" s="496"/>
      <c r="C1569" s="497"/>
      <c r="K1569" s="533"/>
      <c r="L1569" s="534"/>
      <c r="Q1569" s="498"/>
      <c r="R1569" s="498"/>
    </row>
    <row r="1570" ht="15.75" customHeight="1">
      <c r="A1570" s="496"/>
      <c r="B1570" s="496"/>
      <c r="C1570" s="497"/>
      <c r="K1570" s="533"/>
      <c r="L1570" s="534"/>
      <c r="Q1570" s="498"/>
      <c r="R1570" s="498"/>
    </row>
    <row r="1571" ht="15.75" customHeight="1">
      <c r="A1571" s="496"/>
      <c r="B1571" s="496"/>
      <c r="C1571" s="497"/>
      <c r="K1571" s="533"/>
      <c r="L1571" s="534"/>
      <c r="Q1571" s="498"/>
      <c r="R1571" s="498"/>
    </row>
    <row r="1572" ht="15.75" customHeight="1">
      <c r="A1572" s="496"/>
      <c r="B1572" s="496"/>
      <c r="C1572" s="497"/>
      <c r="K1572" s="533"/>
      <c r="L1572" s="534"/>
      <c r="Q1572" s="498"/>
      <c r="R1572" s="498"/>
    </row>
    <row r="1573" ht="15.75" customHeight="1">
      <c r="A1573" s="496"/>
      <c r="B1573" s="496"/>
      <c r="C1573" s="497"/>
      <c r="K1573" s="533"/>
      <c r="L1573" s="534"/>
      <c r="Q1573" s="498"/>
      <c r="R1573" s="498"/>
    </row>
    <row r="1574" ht="15.75" customHeight="1">
      <c r="A1574" s="496"/>
      <c r="B1574" s="496"/>
      <c r="C1574" s="497"/>
      <c r="K1574" s="533"/>
      <c r="L1574" s="534"/>
      <c r="Q1574" s="498"/>
      <c r="R1574" s="498"/>
    </row>
    <row r="1575" ht="15.75" customHeight="1">
      <c r="A1575" s="496"/>
      <c r="B1575" s="496"/>
      <c r="C1575" s="497"/>
      <c r="K1575" s="533"/>
      <c r="L1575" s="534"/>
      <c r="Q1575" s="498"/>
      <c r="R1575" s="498"/>
    </row>
    <row r="1576" ht="15.75" customHeight="1">
      <c r="A1576" s="496"/>
      <c r="B1576" s="496"/>
      <c r="C1576" s="497"/>
      <c r="K1576" s="533"/>
      <c r="L1576" s="534"/>
      <c r="Q1576" s="498"/>
      <c r="R1576" s="498"/>
    </row>
    <row r="1577" ht="15.75" customHeight="1">
      <c r="A1577" s="496"/>
      <c r="B1577" s="496"/>
      <c r="C1577" s="497"/>
      <c r="K1577" s="533"/>
      <c r="L1577" s="534"/>
      <c r="Q1577" s="498"/>
      <c r="R1577" s="498"/>
    </row>
    <row r="1578" ht="15.75" customHeight="1">
      <c r="A1578" s="496"/>
      <c r="B1578" s="496"/>
      <c r="C1578" s="497"/>
      <c r="K1578" s="533"/>
      <c r="L1578" s="534"/>
      <c r="Q1578" s="498"/>
      <c r="R1578" s="498"/>
    </row>
    <row r="1579" ht="15.75" customHeight="1">
      <c r="A1579" s="496"/>
      <c r="B1579" s="496"/>
      <c r="C1579" s="497"/>
      <c r="K1579" s="533"/>
      <c r="L1579" s="534"/>
      <c r="Q1579" s="498"/>
      <c r="R1579" s="498"/>
    </row>
    <row r="1580" ht="15.75" customHeight="1">
      <c r="A1580" s="496"/>
      <c r="B1580" s="496"/>
      <c r="C1580" s="497"/>
      <c r="K1580" s="533"/>
      <c r="L1580" s="534"/>
      <c r="Q1580" s="498"/>
      <c r="R1580" s="498"/>
    </row>
    <row r="1581" ht="15.75" customHeight="1">
      <c r="A1581" s="496"/>
      <c r="B1581" s="496"/>
      <c r="C1581" s="497"/>
      <c r="K1581" s="533"/>
      <c r="L1581" s="534"/>
      <c r="Q1581" s="498"/>
      <c r="R1581" s="498"/>
    </row>
    <row r="1582" ht="15.75" customHeight="1">
      <c r="A1582" s="496"/>
      <c r="B1582" s="496"/>
      <c r="C1582" s="497"/>
      <c r="K1582" s="533"/>
      <c r="L1582" s="534"/>
      <c r="Q1582" s="498"/>
      <c r="R1582" s="498"/>
    </row>
    <row r="1583" ht="15.75" customHeight="1">
      <c r="A1583" s="496"/>
      <c r="B1583" s="496"/>
      <c r="C1583" s="497"/>
      <c r="K1583" s="533"/>
      <c r="L1583" s="534"/>
      <c r="Q1583" s="498"/>
      <c r="R1583" s="498"/>
    </row>
    <row r="1584" ht="15.75" customHeight="1">
      <c r="A1584" s="496"/>
      <c r="B1584" s="496"/>
      <c r="C1584" s="497"/>
      <c r="K1584" s="533"/>
      <c r="L1584" s="534"/>
      <c r="Q1584" s="498"/>
      <c r="R1584" s="498"/>
    </row>
    <row r="1585" ht="15.75" customHeight="1">
      <c r="A1585" s="496"/>
      <c r="B1585" s="496"/>
      <c r="C1585" s="497"/>
      <c r="K1585" s="533"/>
      <c r="L1585" s="534"/>
      <c r="Q1585" s="498"/>
      <c r="R1585" s="498"/>
    </row>
    <row r="1586" ht="15.75" customHeight="1">
      <c r="A1586" s="496"/>
      <c r="B1586" s="496"/>
      <c r="C1586" s="497"/>
      <c r="K1586" s="533"/>
      <c r="L1586" s="534"/>
      <c r="Q1586" s="498"/>
      <c r="R1586" s="498"/>
    </row>
    <row r="1587" ht="15.75" customHeight="1">
      <c r="A1587" s="496"/>
      <c r="B1587" s="496"/>
      <c r="C1587" s="497"/>
      <c r="K1587" s="533"/>
      <c r="L1587" s="534"/>
      <c r="Q1587" s="498"/>
      <c r="R1587" s="498"/>
    </row>
    <row r="1588" ht="15.75" customHeight="1">
      <c r="A1588" s="496"/>
      <c r="B1588" s="496"/>
      <c r="C1588" s="497"/>
      <c r="K1588" s="533"/>
      <c r="L1588" s="534"/>
      <c r="Q1588" s="498"/>
      <c r="R1588" s="498"/>
    </row>
    <row r="1589" ht="15.75" customHeight="1">
      <c r="A1589" s="496"/>
      <c r="B1589" s="496"/>
      <c r="C1589" s="497"/>
      <c r="K1589" s="533"/>
      <c r="L1589" s="534"/>
      <c r="Q1589" s="498"/>
      <c r="R1589" s="498"/>
    </row>
    <row r="1590" ht="15.75" customHeight="1">
      <c r="A1590" s="496"/>
      <c r="B1590" s="496"/>
      <c r="C1590" s="497"/>
      <c r="K1590" s="533"/>
      <c r="L1590" s="534"/>
      <c r="Q1590" s="498"/>
      <c r="R1590" s="498"/>
    </row>
    <row r="1591" ht="15.75" customHeight="1">
      <c r="A1591" s="496"/>
      <c r="B1591" s="496"/>
      <c r="C1591" s="497"/>
      <c r="K1591" s="533"/>
      <c r="L1591" s="534"/>
      <c r="Q1591" s="498"/>
      <c r="R1591" s="498"/>
    </row>
    <row r="1592" ht="15.75" customHeight="1">
      <c r="A1592" s="496"/>
      <c r="B1592" s="496"/>
      <c r="C1592" s="497"/>
      <c r="K1592" s="533"/>
      <c r="L1592" s="534"/>
      <c r="Q1592" s="498"/>
      <c r="R1592" s="498"/>
    </row>
    <row r="1593" ht="15.75" customHeight="1">
      <c r="A1593" s="496"/>
      <c r="B1593" s="496"/>
      <c r="C1593" s="497"/>
      <c r="K1593" s="533"/>
      <c r="L1593" s="534"/>
      <c r="Q1593" s="498"/>
      <c r="R1593" s="498"/>
    </row>
    <row r="1594" ht="15.75" customHeight="1">
      <c r="A1594" s="496"/>
      <c r="B1594" s="496"/>
      <c r="C1594" s="497"/>
      <c r="K1594" s="533"/>
      <c r="L1594" s="534"/>
      <c r="Q1594" s="498"/>
      <c r="R1594" s="498"/>
    </row>
    <row r="1595" ht="15.75" customHeight="1">
      <c r="A1595" s="496"/>
      <c r="B1595" s="496"/>
      <c r="C1595" s="497"/>
      <c r="K1595" s="533"/>
      <c r="L1595" s="534"/>
      <c r="Q1595" s="498"/>
      <c r="R1595" s="498"/>
    </row>
    <row r="1596" ht="15.75" customHeight="1">
      <c r="A1596" s="496"/>
      <c r="B1596" s="496"/>
      <c r="C1596" s="497"/>
      <c r="K1596" s="533"/>
      <c r="L1596" s="534"/>
      <c r="Q1596" s="498"/>
      <c r="R1596" s="498"/>
    </row>
    <row r="1597" ht="15.75" customHeight="1">
      <c r="A1597" s="496"/>
      <c r="B1597" s="496"/>
      <c r="C1597" s="497"/>
      <c r="K1597" s="533"/>
      <c r="L1597" s="534"/>
      <c r="Q1597" s="498"/>
      <c r="R1597" s="498"/>
    </row>
    <row r="1598" ht="15.75" customHeight="1">
      <c r="A1598" s="496"/>
      <c r="B1598" s="496"/>
      <c r="C1598" s="497"/>
      <c r="K1598" s="533"/>
      <c r="L1598" s="534"/>
      <c r="Q1598" s="498"/>
      <c r="R1598" s="498"/>
    </row>
    <row r="1599" ht="15.75" customHeight="1">
      <c r="A1599" s="496"/>
      <c r="B1599" s="496"/>
      <c r="C1599" s="497"/>
      <c r="K1599" s="533"/>
      <c r="L1599" s="534"/>
      <c r="Q1599" s="498"/>
      <c r="R1599" s="498"/>
    </row>
    <row r="1600" ht="15.75" customHeight="1">
      <c r="A1600" s="496"/>
      <c r="B1600" s="496"/>
      <c r="C1600" s="497"/>
      <c r="K1600" s="533"/>
      <c r="L1600" s="534"/>
      <c r="Q1600" s="498"/>
      <c r="R1600" s="498"/>
    </row>
    <row r="1601" ht="15.75" customHeight="1">
      <c r="A1601" s="496"/>
      <c r="B1601" s="496"/>
      <c r="C1601" s="497"/>
      <c r="K1601" s="533"/>
      <c r="L1601" s="534"/>
      <c r="Q1601" s="498"/>
      <c r="R1601" s="498"/>
    </row>
    <row r="1602" ht="15.75" customHeight="1">
      <c r="A1602" s="496"/>
      <c r="B1602" s="496"/>
      <c r="C1602" s="497"/>
      <c r="K1602" s="533"/>
      <c r="L1602" s="534"/>
      <c r="Q1602" s="498"/>
      <c r="R1602" s="498"/>
    </row>
    <row r="1603" ht="15.75" customHeight="1">
      <c r="A1603" s="496"/>
      <c r="B1603" s="496"/>
      <c r="C1603" s="497"/>
      <c r="K1603" s="533"/>
      <c r="L1603" s="534"/>
      <c r="Q1603" s="498"/>
      <c r="R1603" s="498"/>
    </row>
    <row r="1604" ht="15.75" customHeight="1">
      <c r="A1604" s="496"/>
      <c r="B1604" s="496"/>
      <c r="C1604" s="497"/>
      <c r="K1604" s="533"/>
      <c r="L1604" s="534"/>
      <c r="Q1604" s="498"/>
      <c r="R1604" s="498"/>
    </row>
    <row r="1605" ht="15.75" customHeight="1">
      <c r="A1605" s="496"/>
      <c r="B1605" s="496"/>
      <c r="C1605" s="497"/>
      <c r="K1605" s="533"/>
      <c r="L1605" s="534"/>
      <c r="Q1605" s="498"/>
      <c r="R1605" s="498"/>
    </row>
    <row r="1606" ht="15.75" customHeight="1">
      <c r="A1606" s="496"/>
      <c r="B1606" s="496"/>
      <c r="C1606" s="497"/>
      <c r="K1606" s="533"/>
      <c r="L1606" s="534"/>
      <c r="Q1606" s="498"/>
      <c r="R1606" s="498"/>
    </row>
    <row r="1607" ht="15.75" customHeight="1">
      <c r="A1607" s="496"/>
      <c r="B1607" s="496"/>
      <c r="C1607" s="497"/>
      <c r="K1607" s="533"/>
      <c r="L1607" s="534"/>
      <c r="Q1607" s="498"/>
      <c r="R1607" s="498"/>
    </row>
    <row r="1608" ht="15.75" customHeight="1">
      <c r="A1608" s="496"/>
      <c r="B1608" s="496"/>
      <c r="C1608" s="497"/>
      <c r="K1608" s="533"/>
      <c r="L1608" s="534"/>
      <c r="Q1608" s="498"/>
      <c r="R1608" s="498"/>
    </row>
    <row r="1609" ht="15.75" customHeight="1">
      <c r="A1609" s="496"/>
      <c r="B1609" s="496"/>
      <c r="C1609" s="497"/>
      <c r="K1609" s="533"/>
      <c r="L1609" s="534"/>
      <c r="Q1609" s="498"/>
      <c r="R1609" s="498"/>
    </row>
    <row r="1610" ht="15.75" customHeight="1">
      <c r="A1610" s="496"/>
      <c r="B1610" s="496"/>
      <c r="C1610" s="497"/>
      <c r="K1610" s="533"/>
      <c r="L1610" s="534"/>
      <c r="Q1610" s="498"/>
      <c r="R1610" s="498"/>
    </row>
    <row r="1611" ht="15.75" customHeight="1">
      <c r="A1611" s="496"/>
      <c r="B1611" s="496"/>
      <c r="C1611" s="497"/>
      <c r="K1611" s="533"/>
      <c r="L1611" s="534"/>
      <c r="Q1611" s="498"/>
      <c r="R1611" s="498"/>
    </row>
    <row r="1612" ht="15.75" customHeight="1">
      <c r="A1612" s="496"/>
      <c r="B1612" s="496"/>
      <c r="C1612" s="497"/>
      <c r="K1612" s="533"/>
      <c r="L1612" s="534"/>
      <c r="Q1612" s="498"/>
      <c r="R1612" s="498"/>
    </row>
    <row r="1613" ht="15.75" customHeight="1">
      <c r="A1613" s="496"/>
      <c r="B1613" s="496"/>
      <c r="C1613" s="497"/>
      <c r="K1613" s="533"/>
      <c r="L1613" s="534"/>
      <c r="Q1613" s="498"/>
      <c r="R1613" s="498"/>
    </row>
    <row r="1614" ht="15.75" customHeight="1">
      <c r="A1614" s="496"/>
      <c r="B1614" s="496"/>
      <c r="C1614" s="497"/>
      <c r="K1614" s="533"/>
      <c r="L1614" s="534"/>
      <c r="Q1614" s="498"/>
      <c r="R1614" s="498"/>
    </row>
    <row r="1615" ht="15.75" customHeight="1">
      <c r="A1615" s="496"/>
      <c r="B1615" s="496"/>
      <c r="C1615" s="497"/>
      <c r="K1615" s="533"/>
      <c r="L1615" s="534"/>
      <c r="Q1615" s="498"/>
      <c r="R1615" s="498"/>
    </row>
    <row r="1616" ht="15.75" customHeight="1">
      <c r="A1616" s="496"/>
      <c r="B1616" s="496"/>
      <c r="C1616" s="497"/>
      <c r="K1616" s="533"/>
      <c r="L1616" s="534"/>
      <c r="Q1616" s="498"/>
      <c r="R1616" s="498"/>
    </row>
    <row r="1617" ht="15.75" customHeight="1">
      <c r="A1617" s="496"/>
      <c r="B1617" s="496"/>
      <c r="C1617" s="497"/>
      <c r="K1617" s="533"/>
      <c r="L1617" s="534"/>
      <c r="Q1617" s="498"/>
      <c r="R1617" s="498"/>
    </row>
    <row r="1618" ht="15.75" customHeight="1">
      <c r="A1618" s="496"/>
      <c r="B1618" s="496"/>
      <c r="C1618" s="497"/>
      <c r="K1618" s="533"/>
      <c r="L1618" s="534"/>
      <c r="Q1618" s="498"/>
      <c r="R1618" s="498"/>
    </row>
    <row r="1619" ht="15.75" customHeight="1">
      <c r="A1619" s="496"/>
      <c r="B1619" s="496"/>
      <c r="C1619" s="497"/>
      <c r="K1619" s="533"/>
      <c r="L1619" s="534"/>
      <c r="Q1619" s="498"/>
      <c r="R1619" s="498"/>
    </row>
    <row r="1620" ht="15.75" customHeight="1">
      <c r="A1620" s="496"/>
      <c r="B1620" s="496"/>
      <c r="C1620" s="497"/>
      <c r="K1620" s="533"/>
      <c r="L1620" s="534"/>
      <c r="Q1620" s="498"/>
      <c r="R1620" s="498"/>
    </row>
    <row r="1621" ht="15.75" customHeight="1">
      <c r="A1621" s="496"/>
      <c r="B1621" s="496"/>
      <c r="C1621" s="497"/>
      <c r="K1621" s="533"/>
      <c r="L1621" s="534"/>
      <c r="Q1621" s="498"/>
      <c r="R1621" s="498"/>
    </row>
    <row r="1622" ht="15.75" customHeight="1">
      <c r="A1622" s="496"/>
      <c r="B1622" s="496"/>
      <c r="C1622" s="497"/>
      <c r="K1622" s="533"/>
      <c r="L1622" s="534"/>
      <c r="Q1622" s="498"/>
      <c r="R1622" s="498"/>
    </row>
    <row r="1623" ht="15.75" customHeight="1">
      <c r="A1623" s="496"/>
      <c r="B1623" s="496"/>
      <c r="C1623" s="497"/>
      <c r="K1623" s="533"/>
      <c r="L1623" s="534"/>
      <c r="Q1623" s="498"/>
      <c r="R1623" s="498"/>
    </row>
    <row r="1624" ht="15.75" customHeight="1">
      <c r="A1624" s="496"/>
      <c r="B1624" s="496"/>
      <c r="C1624" s="497"/>
      <c r="K1624" s="533"/>
      <c r="L1624" s="534"/>
      <c r="Q1624" s="498"/>
      <c r="R1624" s="498"/>
    </row>
    <row r="1625" ht="15.75" customHeight="1">
      <c r="A1625" s="496"/>
      <c r="B1625" s="496"/>
      <c r="C1625" s="497"/>
      <c r="K1625" s="533"/>
      <c r="L1625" s="534"/>
      <c r="Q1625" s="498"/>
      <c r="R1625" s="498"/>
    </row>
    <row r="1626" ht="15.75" customHeight="1">
      <c r="A1626" s="496"/>
      <c r="B1626" s="496"/>
      <c r="C1626" s="497"/>
      <c r="K1626" s="533"/>
      <c r="L1626" s="534"/>
      <c r="Q1626" s="498"/>
      <c r="R1626" s="498"/>
    </row>
    <row r="1627" ht="15.75" customHeight="1">
      <c r="A1627" s="496"/>
      <c r="B1627" s="496"/>
      <c r="C1627" s="497"/>
      <c r="K1627" s="533"/>
      <c r="L1627" s="534"/>
      <c r="Q1627" s="498"/>
      <c r="R1627" s="498"/>
    </row>
    <row r="1628" ht="15.75" customHeight="1">
      <c r="A1628" s="496"/>
      <c r="B1628" s="496"/>
      <c r="C1628" s="497"/>
      <c r="K1628" s="533"/>
      <c r="L1628" s="534"/>
      <c r="Q1628" s="498"/>
      <c r="R1628" s="498"/>
    </row>
    <row r="1629" ht="15.75" customHeight="1">
      <c r="A1629" s="496"/>
      <c r="B1629" s="496"/>
      <c r="C1629" s="497"/>
      <c r="K1629" s="533"/>
      <c r="L1629" s="534"/>
      <c r="Q1629" s="498"/>
      <c r="R1629" s="498"/>
    </row>
    <row r="1630" ht="15.75" customHeight="1">
      <c r="A1630" s="496"/>
      <c r="B1630" s="496"/>
      <c r="C1630" s="497"/>
      <c r="K1630" s="533"/>
      <c r="L1630" s="534"/>
      <c r="Q1630" s="498"/>
      <c r="R1630" s="498"/>
    </row>
    <row r="1631" ht="15.75" customHeight="1">
      <c r="A1631" s="496"/>
      <c r="B1631" s="496"/>
      <c r="C1631" s="497"/>
      <c r="K1631" s="533"/>
      <c r="L1631" s="534"/>
      <c r="Q1631" s="498"/>
      <c r="R1631" s="498"/>
    </row>
    <row r="1632" ht="15.75" customHeight="1">
      <c r="A1632" s="496"/>
      <c r="B1632" s="496"/>
      <c r="C1632" s="497"/>
      <c r="K1632" s="533"/>
      <c r="L1632" s="534"/>
      <c r="Q1632" s="498"/>
      <c r="R1632" s="498"/>
    </row>
    <row r="1633" ht="15.75" customHeight="1">
      <c r="A1633" s="496"/>
      <c r="B1633" s="496"/>
      <c r="C1633" s="497"/>
      <c r="K1633" s="533"/>
      <c r="L1633" s="534"/>
      <c r="Q1633" s="498"/>
      <c r="R1633" s="498"/>
    </row>
  </sheetData>
  <mergeCells count="5">
    <mergeCell ref="A1:C1"/>
    <mergeCell ref="H1:I1"/>
    <mergeCell ref="K1:L1"/>
    <mergeCell ref="N1:O1"/>
    <mergeCell ref="Q1:R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13" width="15.13"/>
  </cols>
  <sheetData>
    <row r="1">
      <c r="A1" s="564" t="s">
        <v>3990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9"/>
    </row>
    <row r="2">
      <c r="A2" s="565" t="s">
        <v>31</v>
      </c>
      <c r="B2" s="565" t="s">
        <v>3992</v>
      </c>
      <c r="C2" s="565" t="s">
        <v>3993</v>
      </c>
      <c r="D2" s="565" t="s">
        <v>3995</v>
      </c>
      <c r="E2" s="565" t="s">
        <v>3998</v>
      </c>
      <c r="F2" s="565" t="s">
        <v>3999</v>
      </c>
      <c r="G2" s="565" t="s">
        <v>4000</v>
      </c>
      <c r="H2" s="565" t="s">
        <v>4001</v>
      </c>
      <c r="I2" s="565" t="s">
        <v>4002</v>
      </c>
      <c r="J2" s="565" t="s">
        <v>4003</v>
      </c>
      <c r="K2" s="565" t="s">
        <v>4004</v>
      </c>
      <c r="L2" s="565" t="s">
        <v>4005</v>
      </c>
      <c r="M2" s="565" t="s">
        <v>4006</v>
      </c>
    </row>
    <row r="3">
      <c r="A3" s="567" t="s">
        <v>24</v>
      </c>
      <c r="B3" s="568">
        <f>BTG!BG1283</f>
        <v>273026462.8</v>
      </c>
      <c r="C3" s="568">
        <f>BTG!BH1283</f>
        <v>277778596.4</v>
      </c>
      <c r="D3" s="568">
        <f>BTG!BI1283</f>
        <v>278737699.7</v>
      </c>
      <c r="E3" s="568">
        <f>BTG!BJ1283</f>
        <v>283388818.2</v>
      </c>
      <c r="F3" s="568">
        <f>BTG!BK1283</f>
        <v>286720686.1</v>
      </c>
      <c r="G3" s="568">
        <f>BTG!BL1283</f>
        <v>286291462</v>
      </c>
      <c r="H3" s="568">
        <f>BTG!BM1283</f>
        <v>269589990.3</v>
      </c>
      <c r="I3" s="568">
        <f>BTG!BN1283</f>
        <v>272397519.5</v>
      </c>
      <c r="J3" s="568">
        <f>BTG!BO1283</f>
        <v>275381406.3</v>
      </c>
      <c r="K3" s="568">
        <f>BTG!BP1283</f>
        <v>280359805.6</v>
      </c>
      <c r="L3" s="568">
        <f>BTG!BQ1283</f>
        <v>273232191.2</v>
      </c>
      <c r="M3" s="568">
        <f>BTG!BR1283</f>
        <v>281075569.9</v>
      </c>
    </row>
    <row r="4">
      <c r="A4" s="567" t="s">
        <v>207</v>
      </c>
      <c r="B4" s="568">
        <f>'Ágora'!BB20</f>
        <v>16742752.95</v>
      </c>
      <c r="C4" s="568">
        <f>'Ágora'!BC20</f>
        <v>16529548.8</v>
      </c>
      <c r="D4" s="568">
        <f>'Ágora'!BD20</f>
        <v>17321067.3</v>
      </c>
      <c r="E4" s="568">
        <f>'Ágora'!BE20</f>
        <v>17462609</v>
      </c>
      <c r="F4" s="568">
        <f>'Ágora'!BF20</f>
        <v>17895598.37</v>
      </c>
      <c r="G4" s="568">
        <f>'Ágora'!BG20</f>
        <v>18053667.8</v>
      </c>
      <c r="H4" s="568">
        <f>'Ágora'!BH20</f>
        <v>19961050.64</v>
      </c>
      <c r="I4" s="568">
        <f>'Ágora'!BI20</f>
        <v>20990803.73</v>
      </c>
      <c r="J4" s="568">
        <f>'Ágora'!BJ20</f>
        <v>21330969.67</v>
      </c>
      <c r="K4" s="568">
        <f>'Ágora'!BK20</f>
        <v>16477551.82</v>
      </c>
      <c r="L4" s="568">
        <f>'Ágora'!BL20</f>
        <v>16544691.66</v>
      </c>
      <c r="M4" s="568">
        <f>'Ágora'!BT20</f>
        <v>16433607.06</v>
      </c>
    </row>
    <row r="5">
      <c r="A5" s="567" t="s">
        <v>458</v>
      </c>
      <c r="B5" s="568">
        <f>Safra!AG98</f>
        <v>8445736.31</v>
      </c>
      <c r="C5" s="568">
        <f>Safra!AH98</f>
        <v>7634871.57</v>
      </c>
      <c r="D5" s="568">
        <f>Safra!AI98</f>
        <v>6850800.28</v>
      </c>
      <c r="E5" s="568">
        <f>Safra!AJ98</f>
        <v>6155678.34</v>
      </c>
      <c r="F5" s="568">
        <f>Safra!AK98</f>
        <v>5627115.97</v>
      </c>
      <c r="G5" s="568">
        <f>Safra!AL98</f>
        <v>5675183.36</v>
      </c>
      <c r="H5" s="568">
        <f>Safra!AM98</f>
        <v>6046697.32</v>
      </c>
      <c r="I5" s="568">
        <f>Safra!AN98</f>
        <v>6058605.82</v>
      </c>
      <c r="J5" s="568">
        <f>Safra!AO98</f>
        <v>6104188.58</v>
      </c>
      <c r="K5" s="568">
        <f>Safra!AP98</f>
        <v>5529267.39</v>
      </c>
      <c r="L5" s="568">
        <f>Safra!AQ98</f>
        <v>5600885.17</v>
      </c>
      <c r="M5" s="568">
        <f>Safra!AS98</f>
        <v>5826451.86</v>
      </c>
    </row>
    <row r="6">
      <c r="A6" s="567" t="s">
        <v>98</v>
      </c>
      <c r="B6" s="571">
        <f>XP!AH135</f>
        <v>15733286.06</v>
      </c>
      <c r="C6" s="571">
        <f>XP!AI135</f>
        <v>29722528.97</v>
      </c>
      <c r="D6" s="571">
        <f>XP!AJ135</f>
        <v>32414790.09</v>
      </c>
      <c r="E6" s="571">
        <f>XP!AK135</f>
        <v>34222285.26</v>
      </c>
      <c r="F6" s="571">
        <f>XP!AL135</f>
        <v>42780824.16</v>
      </c>
      <c r="G6" s="571">
        <f>XP!AM135</f>
        <v>45023459.49</v>
      </c>
      <c r="H6" s="571">
        <f>XP!AN135</f>
        <v>48684325.91</v>
      </c>
      <c r="I6" s="571">
        <f>XP!AO135</f>
        <v>48691667.37</v>
      </c>
      <c r="J6" s="571">
        <f>XP!AP135</f>
        <v>45504612.91</v>
      </c>
      <c r="K6" s="571">
        <f>XP!AQ135</f>
        <v>45977693.79</v>
      </c>
      <c r="L6" s="571">
        <f>XP!AR135</f>
        <v>44732686.79</v>
      </c>
      <c r="M6" s="571">
        <f>XP!AZ135</f>
        <v>49255617.1</v>
      </c>
    </row>
    <row r="7">
      <c r="A7" s="567" t="s">
        <v>202</v>
      </c>
      <c r="B7" s="568">
        <f>Genial!CR36</f>
        <v>788061.03</v>
      </c>
      <c r="C7" s="568">
        <f>Genial!CS36</f>
        <v>795134.8</v>
      </c>
      <c r="D7" s="568">
        <f>Genial!CT36</f>
        <v>807070.72</v>
      </c>
      <c r="E7" s="568">
        <f>Genial!CU36</f>
        <v>2276112.68</v>
      </c>
      <c r="F7" s="568">
        <f>Genial!CV36</f>
        <v>2089398.34</v>
      </c>
      <c r="G7" s="568">
        <f>Genial!CW36</f>
        <v>2182892.34</v>
      </c>
      <c r="H7" s="568">
        <f>Genial!CX36</f>
        <v>3094749.38</v>
      </c>
      <c r="I7" s="568">
        <f>Genial!CY36</f>
        <v>2867804.88</v>
      </c>
      <c r="J7" s="568">
        <f>Genial!CZ36</f>
        <v>3262624.41</v>
      </c>
      <c r="K7" s="568">
        <f>Genial!DA36</f>
        <v>3216778.76</v>
      </c>
      <c r="L7" s="568">
        <f>Genial!DB36</f>
        <v>3265114.51</v>
      </c>
      <c r="M7" s="568">
        <f>Genial!DD36</f>
        <v>3420913.75</v>
      </c>
    </row>
    <row r="8">
      <c r="A8" s="503" t="s">
        <v>4054</v>
      </c>
      <c r="B8" s="572">
        <f t="shared" ref="B8:M8" si="1">SUM(B3:B7)</f>
        <v>314736299.1</v>
      </c>
      <c r="C8" s="572">
        <f t="shared" si="1"/>
        <v>332460680.5</v>
      </c>
      <c r="D8" s="572">
        <f t="shared" si="1"/>
        <v>336131428.1</v>
      </c>
      <c r="E8" s="572">
        <f t="shared" si="1"/>
        <v>343505503.4</v>
      </c>
      <c r="F8" s="572">
        <f t="shared" si="1"/>
        <v>355113622.9</v>
      </c>
      <c r="G8" s="572">
        <f t="shared" si="1"/>
        <v>357226665</v>
      </c>
      <c r="H8" s="572">
        <f t="shared" si="1"/>
        <v>347376813.6</v>
      </c>
      <c r="I8" s="572">
        <f t="shared" si="1"/>
        <v>351006401.3</v>
      </c>
      <c r="J8" s="572">
        <f t="shared" si="1"/>
        <v>351583801.9</v>
      </c>
      <c r="K8" s="572">
        <f t="shared" si="1"/>
        <v>351561097.3</v>
      </c>
      <c r="L8" s="572">
        <f t="shared" si="1"/>
        <v>343375569.3</v>
      </c>
      <c r="M8" s="572">
        <f t="shared" si="1"/>
        <v>356012159.7</v>
      </c>
      <c r="X8" s="573"/>
    </row>
    <row r="9">
      <c r="C9" s="534"/>
      <c r="D9" s="534"/>
      <c r="E9" s="534"/>
      <c r="F9" s="534"/>
      <c r="G9" s="534"/>
      <c r="H9" s="534"/>
      <c r="I9" s="534"/>
      <c r="J9" s="534"/>
      <c r="K9" s="534"/>
      <c r="L9" s="534"/>
    </row>
    <row r="10">
      <c r="A10" s="574" t="s">
        <v>4060</v>
      </c>
      <c r="B10" s="575">
        <f>IFERROR(__xludf.DUMMYFUNCTION("GOOGLEFINANCE(""CURRENCY:USDBRL"")"),5.1566)</f>
        <v>5.1566</v>
      </c>
      <c r="L10" s="534"/>
      <c r="M10" s="534"/>
    </row>
    <row r="11">
      <c r="A11" s="564" t="s">
        <v>4065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9"/>
    </row>
    <row r="12">
      <c r="A12" s="565" t="s">
        <v>31</v>
      </c>
      <c r="B12" s="565" t="s">
        <v>3992</v>
      </c>
      <c r="C12" s="565" t="s">
        <v>3993</v>
      </c>
      <c r="D12" s="565" t="s">
        <v>3995</v>
      </c>
      <c r="E12" s="565" t="s">
        <v>3998</v>
      </c>
      <c r="F12" s="565" t="s">
        <v>3999</v>
      </c>
      <c r="G12" s="565" t="s">
        <v>4000</v>
      </c>
      <c r="H12" s="565" t="s">
        <v>4001</v>
      </c>
      <c r="I12" s="565" t="s">
        <v>4002</v>
      </c>
      <c r="J12" s="565" t="s">
        <v>4003</v>
      </c>
      <c r="K12" s="565" t="s">
        <v>4004</v>
      </c>
      <c r="L12" s="565" t="s">
        <v>4005</v>
      </c>
      <c r="M12" s="565" t="s">
        <v>4006</v>
      </c>
    </row>
    <row r="13">
      <c r="A13" s="567" t="s">
        <v>111</v>
      </c>
      <c r="B13" s="576">
        <f>Pershing!BD40</f>
        <v>1276575.54</v>
      </c>
      <c r="C13" s="576">
        <f>Pershing!BE40</f>
        <v>1272506.68</v>
      </c>
      <c r="D13" s="576">
        <f>Pershing!BF40</f>
        <v>1332780.75</v>
      </c>
      <c r="E13" s="576">
        <f>Pershing!BG40</f>
        <v>1331128.11</v>
      </c>
      <c r="F13" s="576">
        <f>Pershing!BH40</f>
        <v>1352599.11</v>
      </c>
      <c r="G13" s="576">
        <f>Pershing!BI40</f>
        <v>1368174.84</v>
      </c>
      <c r="H13" s="576">
        <f>Pershing!BJ40</f>
        <v>1353891.49</v>
      </c>
      <c r="I13" s="576">
        <f>Pershing!BK40</f>
        <v>1713877.6</v>
      </c>
      <c r="J13" s="576">
        <f>Pershing!BL40</f>
        <v>1778685.44</v>
      </c>
      <c r="K13" s="576">
        <f>Pershing!BM40</f>
        <v>1792464.56</v>
      </c>
      <c r="L13" s="576">
        <f>Pershing!BN40</f>
        <v>1797957.69</v>
      </c>
      <c r="M13" s="576">
        <f>Pershing!BP40</f>
        <v>1932765.79</v>
      </c>
    </row>
    <row r="14">
      <c r="A14" s="567" t="s">
        <v>229</v>
      </c>
      <c r="B14" s="576">
        <f>'Interactive Brokers'!AL24</f>
        <v>546865.65</v>
      </c>
      <c r="C14" s="576">
        <f>'Interactive Brokers'!AM24</f>
        <v>557397.83</v>
      </c>
      <c r="D14" s="576">
        <f>'Interactive Brokers'!AN24</f>
        <v>531849.38</v>
      </c>
      <c r="E14" s="576">
        <f>'Interactive Brokers'!AO24</f>
        <v>525491.63</v>
      </c>
      <c r="F14" s="576">
        <f>'Interactive Brokers'!AP24</f>
        <v>532328.32</v>
      </c>
      <c r="G14" s="576">
        <f>'Interactive Brokers'!AQ24</f>
        <v>537221.23</v>
      </c>
      <c r="H14" s="576">
        <f>'Interactive Brokers'!AR24</f>
        <v>534084.6</v>
      </c>
      <c r="I14" s="576">
        <f>'Interactive Brokers'!AS24</f>
        <v>798870.56</v>
      </c>
      <c r="J14" s="576">
        <f>'Interactive Brokers'!AT24</f>
        <v>806772</v>
      </c>
      <c r="K14" s="576">
        <f>'Interactive Brokers'!AU24</f>
        <v>804824.81</v>
      </c>
      <c r="L14" s="576">
        <f>'Interactive Brokers'!AV24</f>
        <v>817373.22</v>
      </c>
      <c r="M14" s="576">
        <f>'Interactive Brokers'!AX24</f>
        <v>1453165.06</v>
      </c>
    </row>
    <row r="15">
      <c r="A15" s="567" t="s">
        <v>4073</v>
      </c>
      <c r="B15" s="577">
        <v>0.0</v>
      </c>
      <c r="C15" s="577">
        <v>0.0</v>
      </c>
      <c r="D15" s="577">
        <v>0.0</v>
      </c>
      <c r="E15" s="577">
        <v>0.0</v>
      </c>
      <c r="F15" s="576">
        <f>'XP Internacional'!AF3</f>
        <v>107859.35</v>
      </c>
      <c r="G15" s="576">
        <f>'XP Internacional'!AG3</f>
        <v>110396.14</v>
      </c>
      <c r="H15" s="576">
        <f>'XP Internacional'!AH3</f>
        <v>111483.66</v>
      </c>
      <c r="I15" s="576">
        <f>'XP Internacional'!AI3</f>
        <v>108075.3</v>
      </c>
      <c r="J15" s="576">
        <f>'XP Internacional'!AJ3</f>
        <v>108551.75</v>
      </c>
      <c r="K15" s="576">
        <f>'XP Internacional'!AK3</f>
        <v>105871.01</v>
      </c>
      <c r="L15" s="576">
        <f>'XP Internacional'!AL3</f>
        <v>103980.62</v>
      </c>
      <c r="M15" s="576">
        <f>'XP Internacional'!AN3</f>
        <v>109680.95</v>
      </c>
    </row>
    <row r="16">
      <c r="A16" s="503" t="s">
        <v>4054</v>
      </c>
      <c r="B16" s="579">
        <f t="shared" ref="B16:M16" si="2">SUM(B13:B14)</f>
        <v>1823441.19</v>
      </c>
      <c r="C16" s="579">
        <f t="shared" si="2"/>
        <v>1829904.51</v>
      </c>
      <c r="D16" s="579">
        <f t="shared" si="2"/>
        <v>1864630.13</v>
      </c>
      <c r="E16" s="579">
        <f t="shared" si="2"/>
        <v>1856619.74</v>
      </c>
      <c r="F16" s="579">
        <f t="shared" si="2"/>
        <v>1884927.43</v>
      </c>
      <c r="G16" s="579">
        <f t="shared" si="2"/>
        <v>1905396.07</v>
      </c>
      <c r="H16" s="579">
        <f t="shared" si="2"/>
        <v>1887976.09</v>
      </c>
      <c r="I16" s="579">
        <f t="shared" si="2"/>
        <v>2512748.16</v>
      </c>
      <c r="J16" s="579">
        <f t="shared" si="2"/>
        <v>2585457.44</v>
      </c>
      <c r="K16" s="579">
        <f t="shared" si="2"/>
        <v>2597289.37</v>
      </c>
      <c r="L16" s="579">
        <f t="shared" si="2"/>
        <v>2615330.91</v>
      </c>
      <c r="M16" s="579">
        <f t="shared" si="2"/>
        <v>3385930.85</v>
      </c>
    </row>
    <row r="17">
      <c r="A17" s="503" t="s">
        <v>4084</v>
      </c>
      <c r="B17" s="504">
        <f t="shared" ref="B17:M17" si="3">B16*$B$10</f>
        <v>9402756.84</v>
      </c>
      <c r="C17" s="504">
        <f t="shared" si="3"/>
        <v>9436085.596</v>
      </c>
      <c r="D17" s="504">
        <f t="shared" si="3"/>
        <v>9615151.728</v>
      </c>
      <c r="E17" s="504">
        <f t="shared" si="3"/>
        <v>9573845.351</v>
      </c>
      <c r="F17" s="504">
        <f t="shared" si="3"/>
        <v>9719816.786</v>
      </c>
      <c r="G17" s="504">
        <f t="shared" si="3"/>
        <v>9825365.375</v>
      </c>
      <c r="H17" s="504">
        <f t="shared" si="3"/>
        <v>9735537.506</v>
      </c>
      <c r="I17" s="504">
        <f t="shared" si="3"/>
        <v>12957237.16</v>
      </c>
      <c r="J17" s="504">
        <f t="shared" si="3"/>
        <v>13332169.84</v>
      </c>
      <c r="K17" s="504">
        <f t="shared" si="3"/>
        <v>13393182.37</v>
      </c>
      <c r="L17" s="504">
        <f t="shared" si="3"/>
        <v>13486215.37</v>
      </c>
      <c r="M17" s="504">
        <f t="shared" si="3"/>
        <v>17459891.02</v>
      </c>
    </row>
    <row r="19">
      <c r="A19" s="564" t="s">
        <v>4089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9"/>
    </row>
    <row r="20">
      <c r="A20" s="565" t="s">
        <v>31</v>
      </c>
      <c r="B20" s="565" t="s">
        <v>3992</v>
      </c>
      <c r="C20" s="565" t="s">
        <v>3993</v>
      </c>
      <c r="D20" s="565" t="s">
        <v>3995</v>
      </c>
      <c r="E20" s="565" t="s">
        <v>3998</v>
      </c>
      <c r="F20" s="565" t="s">
        <v>3999</v>
      </c>
      <c r="G20" s="565" t="s">
        <v>4000</v>
      </c>
      <c r="H20" s="565" t="s">
        <v>4001</v>
      </c>
      <c r="I20" s="565" t="s">
        <v>4002</v>
      </c>
      <c r="J20" s="565" t="s">
        <v>4003</v>
      </c>
      <c r="K20" s="565" t="s">
        <v>4004</v>
      </c>
      <c r="L20" s="565" t="s">
        <v>4005</v>
      </c>
      <c r="M20" s="565" t="s">
        <v>4006</v>
      </c>
    </row>
    <row r="21">
      <c r="A21" s="567" t="s">
        <v>4093</v>
      </c>
      <c r="B21" s="581">
        <f t="shared" ref="B21:M21" si="4">B8+B17</f>
        <v>324139056</v>
      </c>
      <c r="C21" s="581">
        <f t="shared" si="4"/>
        <v>341896766.1</v>
      </c>
      <c r="D21" s="581">
        <f t="shared" si="4"/>
        <v>345746579.8</v>
      </c>
      <c r="E21" s="581">
        <f t="shared" si="4"/>
        <v>353079348.8</v>
      </c>
      <c r="F21" s="581">
        <f t="shared" si="4"/>
        <v>364833439.7</v>
      </c>
      <c r="G21" s="581">
        <f t="shared" si="4"/>
        <v>367052030.4</v>
      </c>
      <c r="H21" s="581">
        <f t="shared" si="4"/>
        <v>357112351.1</v>
      </c>
      <c r="I21" s="581">
        <f t="shared" si="4"/>
        <v>363963638.5</v>
      </c>
      <c r="J21" s="581">
        <f t="shared" si="4"/>
        <v>364915971.7</v>
      </c>
      <c r="K21" s="581">
        <f t="shared" si="4"/>
        <v>364954279.7</v>
      </c>
      <c r="L21" s="581">
        <f t="shared" si="4"/>
        <v>356861784.7</v>
      </c>
      <c r="M21" s="576">
        <f t="shared" si="4"/>
        <v>373472050.7</v>
      </c>
    </row>
    <row r="23">
      <c r="A23" s="564" t="s">
        <v>4097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9"/>
    </row>
    <row r="24">
      <c r="A24" s="565" t="s">
        <v>4098</v>
      </c>
      <c r="B24" s="565" t="s">
        <v>3992</v>
      </c>
      <c r="C24" s="565" t="s">
        <v>3993</v>
      </c>
      <c r="D24" s="565" t="s">
        <v>3995</v>
      </c>
      <c r="E24" s="565" t="s">
        <v>3998</v>
      </c>
      <c r="F24" s="565" t="s">
        <v>3999</v>
      </c>
      <c r="G24" s="565" t="s">
        <v>4000</v>
      </c>
      <c r="H24" s="565" t="s">
        <v>4001</v>
      </c>
      <c r="I24" s="565" t="s">
        <v>4002</v>
      </c>
      <c r="J24" s="565" t="s">
        <v>4003</v>
      </c>
      <c r="K24" s="565" t="s">
        <v>4004</v>
      </c>
      <c r="L24" s="565" t="s">
        <v>4102</v>
      </c>
      <c r="M24" s="565" t="s">
        <v>4103</v>
      </c>
    </row>
    <row r="25">
      <c r="A25" s="503" t="s">
        <v>4104</v>
      </c>
      <c r="B25" s="582">
        <v>4348295.69</v>
      </c>
      <c r="C25" s="582">
        <v>3959983.4</v>
      </c>
      <c r="D25" s="582">
        <v>3541069.97</v>
      </c>
      <c r="E25" s="582">
        <v>1.268666997E7</v>
      </c>
      <c r="F25" s="582">
        <v>2.328104873E7</v>
      </c>
      <c r="G25" s="582">
        <v>2.546048481E7</v>
      </c>
      <c r="H25" s="582">
        <v>2.535649011E7</v>
      </c>
      <c r="I25" s="582">
        <v>2.522425625E7</v>
      </c>
      <c r="J25" s="583">
        <v>2.12133744E7</v>
      </c>
      <c r="K25" s="583" t="s">
        <v>4108</v>
      </c>
      <c r="L25" s="583">
        <v>2.194044006E7</v>
      </c>
      <c r="M25" s="583">
        <v>1.817387122E7</v>
      </c>
    </row>
    <row r="27">
      <c r="A27" s="564" t="s">
        <v>4109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9"/>
    </row>
    <row r="28">
      <c r="A28" s="565" t="s">
        <v>4098</v>
      </c>
      <c r="B28" s="565" t="s">
        <v>3992</v>
      </c>
      <c r="C28" s="565" t="s">
        <v>3993</v>
      </c>
      <c r="D28" s="565" t="s">
        <v>3995</v>
      </c>
      <c r="E28" s="565" t="s">
        <v>3998</v>
      </c>
      <c r="F28" s="565" t="s">
        <v>3999</v>
      </c>
      <c r="G28" s="565" t="s">
        <v>4000</v>
      </c>
      <c r="H28" s="565" t="s">
        <v>4001</v>
      </c>
      <c r="I28" s="565" t="s">
        <v>4002</v>
      </c>
      <c r="J28" s="565" t="s">
        <v>4003</v>
      </c>
      <c r="K28" s="565" t="s">
        <v>4004</v>
      </c>
      <c r="L28" s="565" t="s">
        <v>4102</v>
      </c>
      <c r="M28" s="565" t="s">
        <v>4103</v>
      </c>
    </row>
    <row r="29">
      <c r="A29" s="503" t="s">
        <v>4104</v>
      </c>
      <c r="B29" s="583">
        <v>1.790981468E7</v>
      </c>
      <c r="C29" s="583">
        <v>1.7768853E7</v>
      </c>
      <c r="D29" s="583">
        <v>1.8948384E7</v>
      </c>
      <c r="E29" s="583">
        <v>1.939465294E7</v>
      </c>
      <c r="F29" s="583">
        <v>2.3506517E7</v>
      </c>
      <c r="G29" s="583">
        <v>2.45583238E7</v>
      </c>
      <c r="H29" s="583">
        <v>2.110209539E7</v>
      </c>
      <c r="I29" s="583">
        <v>2.2482369E7</v>
      </c>
      <c r="J29" s="583">
        <v>2.253678905E7</v>
      </c>
      <c r="K29" s="583">
        <v>2.134817518E7</v>
      </c>
      <c r="L29" s="583">
        <v>2.061065619E7</v>
      </c>
      <c r="M29" s="583">
        <v>2.136461446E7</v>
      </c>
    </row>
    <row r="30">
      <c r="A30" s="585"/>
      <c r="B30" s="586"/>
      <c r="C30" s="586"/>
      <c r="D30" s="586"/>
      <c r="E30" s="586"/>
      <c r="F30" s="586"/>
      <c r="G30" s="586"/>
      <c r="H30" s="586"/>
      <c r="I30" s="586"/>
      <c r="J30" s="586"/>
      <c r="K30" s="586"/>
      <c r="L30" s="586"/>
      <c r="M30" s="586"/>
    </row>
  </sheetData>
  <mergeCells count="5">
    <mergeCell ref="A1:M1"/>
    <mergeCell ref="A11:M11"/>
    <mergeCell ref="A19:M19"/>
    <mergeCell ref="A23:M23"/>
    <mergeCell ref="A27:M2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17.25"/>
    <col customWidth="1" min="3" max="3" width="16.13"/>
    <col customWidth="1" min="4" max="4" width="16.25"/>
    <col customWidth="1" min="5" max="6" width="16.75"/>
    <col customWidth="1" min="7" max="7" width="13.88"/>
    <col customWidth="1" min="10" max="10" width="15.25"/>
    <col customWidth="1" min="13" max="13" width="13.88"/>
    <col customWidth="1" min="14" max="14" width="10.63"/>
    <col customWidth="1" min="17" max="17" width="15.25"/>
  </cols>
  <sheetData>
    <row r="1" ht="15.75" customHeight="1">
      <c r="A1" s="587" t="s">
        <v>4117</v>
      </c>
      <c r="B1" s="587" t="s">
        <v>4118</v>
      </c>
      <c r="C1" s="587" t="s">
        <v>4119</v>
      </c>
      <c r="D1" s="587" t="s">
        <v>4120</v>
      </c>
      <c r="E1" s="587" t="s">
        <v>4121</v>
      </c>
      <c r="F1" s="587" t="s">
        <v>4122</v>
      </c>
      <c r="G1" s="587" t="s">
        <v>4123</v>
      </c>
    </row>
    <row r="2" ht="15.75" customHeight="1">
      <c r="A2" s="588" t="s">
        <v>4124</v>
      </c>
      <c r="B2" s="589" t="s">
        <v>4125</v>
      </c>
      <c r="C2" s="590">
        <v>30271.0</v>
      </c>
      <c r="D2" s="589">
        <f t="shared" ref="D2:D14" si="1">DATEDIF(C2,$C$121,"Y")</f>
        <v>37</v>
      </c>
      <c r="E2" s="589" t="s">
        <v>4126</v>
      </c>
      <c r="F2" s="589" t="s">
        <v>4127</v>
      </c>
      <c r="G2" s="591">
        <v>326844.0</v>
      </c>
      <c r="J2" s="592" t="s">
        <v>4118</v>
      </c>
      <c r="K2" s="589" t="s">
        <v>4054</v>
      </c>
      <c r="L2" s="589" t="s">
        <v>4128</v>
      </c>
      <c r="M2" s="589" t="s">
        <v>4129</v>
      </c>
      <c r="N2" s="589" t="s">
        <v>4128</v>
      </c>
      <c r="O2" s="589" t="s">
        <v>4131</v>
      </c>
    </row>
    <row r="3" ht="15.75" customHeight="1">
      <c r="A3" s="593" t="s">
        <v>4133</v>
      </c>
      <c r="B3" s="589" t="s">
        <v>3620</v>
      </c>
      <c r="C3" s="590">
        <v>20755.0</v>
      </c>
      <c r="D3" s="589">
        <f t="shared" si="1"/>
        <v>63</v>
      </c>
      <c r="E3" s="589" t="s">
        <v>4135</v>
      </c>
      <c r="F3" s="589" t="s">
        <v>4127</v>
      </c>
      <c r="G3" s="591">
        <v>100078.05</v>
      </c>
      <c r="J3" s="595" t="s">
        <v>4136</v>
      </c>
      <c r="K3" s="589">
        <f>COUNTIF(B2:B118,"M")</f>
        <v>71</v>
      </c>
      <c r="L3" s="596">
        <f>K3/K5</f>
        <v>0.6068376068</v>
      </c>
      <c r="M3" s="597">
        <f>SUMIFS(G2:G118,B2:B118,"M")</f>
        <v>22181805.45</v>
      </c>
      <c r="N3" s="598">
        <f>M3/M5</f>
        <v>0.6809008381</v>
      </c>
      <c r="O3" s="597">
        <f>M3/COUNTIFS(G2:G118,"&gt;0",B2:B118,"M")</f>
        <v>331071.7231</v>
      </c>
      <c r="P3" s="599">
        <f>COUNTIFS(G2:G118,"&gt;0",B2:B118,"M")</f>
        <v>67</v>
      </c>
      <c r="Q3" s="600"/>
    </row>
    <row r="4" ht="15.75" customHeight="1">
      <c r="A4" s="601" t="s">
        <v>4140</v>
      </c>
      <c r="B4" s="589" t="s">
        <v>4125</v>
      </c>
      <c r="C4" s="590">
        <v>28058.0</v>
      </c>
      <c r="D4" s="589">
        <f t="shared" si="1"/>
        <v>43</v>
      </c>
      <c r="E4" s="589" t="s">
        <v>4143</v>
      </c>
      <c r="F4" s="589" t="s">
        <v>4127</v>
      </c>
      <c r="G4" s="591">
        <v>49196.01</v>
      </c>
      <c r="J4" s="595" t="s">
        <v>4144</v>
      </c>
      <c r="K4" s="589">
        <f>COUNTIF(B2:B118,"F")</f>
        <v>46</v>
      </c>
      <c r="L4" s="596">
        <f>K4/K5</f>
        <v>0.3931623932</v>
      </c>
      <c r="M4" s="597">
        <f>SUMIFS(G2:G118,B2:B118,"F")</f>
        <v>10395339.72</v>
      </c>
      <c r="N4" s="598">
        <f>M4/M5</f>
        <v>0.3190991619</v>
      </c>
      <c r="O4" s="597">
        <f>M4/COUNTIFS(G2:G118,"&gt;0",B2:B118,"F")</f>
        <v>253544.8712</v>
      </c>
      <c r="P4" s="599">
        <f>COUNTIFS(G2:G118,"&gt;0",B2:B118,"F")</f>
        <v>41</v>
      </c>
      <c r="Q4" s="600"/>
    </row>
    <row r="5" ht="15.75" customHeight="1">
      <c r="A5" s="595" t="s">
        <v>4148</v>
      </c>
      <c r="B5" s="589" t="s">
        <v>4125</v>
      </c>
      <c r="C5" s="590">
        <v>29075.0</v>
      </c>
      <c r="D5" s="589">
        <f t="shared" si="1"/>
        <v>40</v>
      </c>
      <c r="E5" s="589" t="s">
        <v>4143</v>
      </c>
      <c r="F5" s="589" t="s">
        <v>4127</v>
      </c>
      <c r="G5" s="591">
        <v>100349.0</v>
      </c>
      <c r="J5" s="595" t="s">
        <v>4054</v>
      </c>
      <c r="K5" s="589">
        <f t="shared" ref="K5:N5" si="2">SUM(K3:K4)</f>
        <v>117</v>
      </c>
      <c r="L5" s="596">
        <f t="shared" si="2"/>
        <v>1</v>
      </c>
      <c r="M5" s="597">
        <f t="shared" si="2"/>
        <v>32577145.17</v>
      </c>
      <c r="N5" s="598">
        <f t="shared" si="2"/>
        <v>1</v>
      </c>
      <c r="O5" s="597" t="s">
        <v>3320</v>
      </c>
      <c r="P5" s="599">
        <f>SUM(P3:P4)</f>
        <v>108</v>
      </c>
    </row>
    <row r="6" ht="15.75" customHeight="1">
      <c r="A6" s="593" t="s">
        <v>4151</v>
      </c>
      <c r="B6" s="589" t="s">
        <v>4125</v>
      </c>
      <c r="C6" s="590">
        <v>26364.0</v>
      </c>
      <c r="D6" s="589">
        <f t="shared" si="1"/>
        <v>47</v>
      </c>
      <c r="E6" s="589" t="s">
        <v>4143</v>
      </c>
      <c r="F6" s="589" t="s">
        <v>4127</v>
      </c>
      <c r="G6" s="591">
        <v>254439.0</v>
      </c>
      <c r="P6" s="599"/>
    </row>
    <row r="7" ht="15.75" customHeight="1">
      <c r="A7" s="593" t="s">
        <v>4152</v>
      </c>
      <c r="B7" s="589" t="s">
        <v>4125</v>
      </c>
      <c r="C7" s="590">
        <v>30591.0</v>
      </c>
      <c r="D7" s="589">
        <f t="shared" si="1"/>
        <v>36</v>
      </c>
      <c r="E7" s="589" t="s">
        <v>4126</v>
      </c>
      <c r="F7" s="589" t="s">
        <v>4153</v>
      </c>
      <c r="G7" s="591">
        <v>105616.0</v>
      </c>
      <c r="J7" s="592" t="s">
        <v>4120</v>
      </c>
      <c r="K7" s="589" t="s">
        <v>4054</v>
      </c>
      <c r="L7" s="589" t="s">
        <v>4128</v>
      </c>
      <c r="M7" s="589" t="s">
        <v>4154</v>
      </c>
      <c r="N7" s="589" t="s">
        <v>4128</v>
      </c>
      <c r="O7" s="589" t="s">
        <v>4131</v>
      </c>
      <c r="P7" s="599"/>
    </row>
    <row r="8" ht="15.75" customHeight="1">
      <c r="A8" s="595" t="s">
        <v>4155</v>
      </c>
      <c r="B8" s="589" t="s">
        <v>4125</v>
      </c>
      <c r="C8" s="590">
        <v>28792.0</v>
      </c>
      <c r="D8" s="589">
        <f t="shared" si="1"/>
        <v>41</v>
      </c>
      <c r="E8" s="589" t="s">
        <v>4156</v>
      </c>
      <c r="F8" s="589" t="s">
        <v>4127</v>
      </c>
      <c r="G8" s="591">
        <v>1013833.0</v>
      </c>
      <c r="J8" s="595" t="s">
        <v>4157</v>
      </c>
      <c r="K8" s="589">
        <f>COUNTIFS(D2:D118,"&gt;=18",D2:D118,"&lt;30")</f>
        <v>5</v>
      </c>
      <c r="L8" s="596">
        <f t="shared" ref="L8:L15" si="3">K8/$K$15</f>
        <v>0.04504504505</v>
      </c>
      <c r="M8" s="597">
        <f>SUMIFS(G2:G118,D2:D118,"&gt;=18",D2:D118,"&lt;30")</f>
        <v>580732.41</v>
      </c>
      <c r="N8" s="598">
        <f t="shared" ref="N8:N15" si="4">M8/$M$15</f>
        <v>0.01812463325</v>
      </c>
      <c r="O8" s="597">
        <f>M8/COUNTIFS(D2:D118,"&gt;=18",D2:D118,"&lt;30",G2:G118,"&gt;0")</f>
        <v>116146.482</v>
      </c>
      <c r="P8" s="599">
        <f>COUNTIFS(D2:D118,"&gt;=18",D2:D118,"&lt;30",G2:G118,"&gt;0")</f>
        <v>5</v>
      </c>
    </row>
    <row r="9" ht="15.75" customHeight="1">
      <c r="A9" s="595" t="s">
        <v>4158</v>
      </c>
      <c r="B9" s="589" t="s">
        <v>4125</v>
      </c>
      <c r="C9" s="590">
        <v>33605.0</v>
      </c>
      <c r="D9" s="589">
        <f t="shared" si="1"/>
        <v>28</v>
      </c>
      <c r="E9" s="589" t="s">
        <v>4159</v>
      </c>
      <c r="F9" s="589" t="s">
        <v>4127</v>
      </c>
      <c r="G9" s="591">
        <v>5158.12</v>
      </c>
      <c r="J9" s="595" t="s">
        <v>4160</v>
      </c>
      <c r="K9" s="589">
        <f>COUNTIFS(D2:D118,"&gt;=30",D2:D118,"&lt;40")</f>
        <v>33</v>
      </c>
      <c r="L9" s="596">
        <f t="shared" si="3"/>
        <v>0.2972972973</v>
      </c>
      <c r="M9" s="597">
        <f>SUMIFS(G2:G118,D2:D118,"&gt;=30",D2:D118,"&lt;40")</f>
        <v>8235964.89</v>
      </c>
      <c r="N9" s="598">
        <f t="shared" si="4"/>
        <v>0.2570441058</v>
      </c>
      <c r="O9" s="597">
        <f>M9/COUNTIFS(D2:D118,"&gt;=30",D2:D118,"&lt;40",G2:G118,"&gt;0")</f>
        <v>265676.2868</v>
      </c>
      <c r="P9" s="599">
        <f>COUNTIFS(D2:D118,"&gt;=30",D2:D118,"&lt;40",G2:G118,"&gt;0")</f>
        <v>31</v>
      </c>
    </row>
    <row r="10" ht="15.75" customHeight="1">
      <c r="A10" s="593" t="s">
        <v>4163</v>
      </c>
      <c r="B10" s="589" t="s">
        <v>3620</v>
      </c>
      <c r="C10" s="590">
        <v>23623.0</v>
      </c>
      <c r="D10" s="589">
        <f t="shared" si="1"/>
        <v>55</v>
      </c>
      <c r="E10" s="589" t="s">
        <v>4165</v>
      </c>
      <c r="F10" s="589" t="s">
        <v>4127</v>
      </c>
      <c r="G10" s="591">
        <v>928015.0</v>
      </c>
      <c r="J10" s="595" t="s">
        <v>4166</v>
      </c>
      <c r="K10" s="589">
        <f>COUNTIFS(D2:D118,"&gt;=40",D2:D118,"&lt;50")</f>
        <v>30</v>
      </c>
      <c r="L10" s="596">
        <f t="shared" si="3"/>
        <v>0.2702702703</v>
      </c>
      <c r="M10" s="597">
        <f>SUMIFS(G2:G118,D2:D118,"&gt;=40",D2:D118,"&lt;50")</f>
        <v>10741488.87</v>
      </c>
      <c r="N10" s="598">
        <f t="shared" si="4"/>
        <v>0.3352414002</v>
      </c>
      <c r="O10" s="597">
        <f>M10/COUNTIFS(D2:D118,"&gt;=40",D2:D118,"&lt;50",G2:G118,"&gt;0")</f>
        <v>370396.1679</v>
      </c>
      <c r="P10" s="599">
        <f>COUNTIFS(D2:D118,"&gt;=40",D2:D118,"&lt;50",G2:G118,"&gt;0")</f>
        <v>29</v>
      </c>
    </row>
    <row r="11" ht="15.75" customHeight="1">
      <c r="A11" s="593" t="s">
        <v>4167</v>
      </c>
      <c r="B11" s="589" t="s">
        <v>3620</v>
      </c>
      <c r="C11" s="590">
        <v>31602.0</v>
      </c>
      <c r="D11" s="589">
        <f t="shared" si="1"/>
        <v>33</v>
      </c>
      <c r="E11" s="589" t="s">
        <v>4168</v>
      </c>
      <c r="F11" s="589" t="s">
        <v>4127</v>
      </c>
      <c r="G11" s="591">
        <v>449686.0</v>
      </c>
      <c r="J11" s="595" t="s">
        <v>4169</v>
      </c>
      <c r="K11" s="589">
        <f>COUNTIFS(D2:D118,"&gt;=50",D2:D118,"&lt;60")</f>
        <v>22</v>
      </c>
      <c r="L11" s="596">
        <f t="shared" si="3"/>
        <v>0.1981981982</v>
      </c>
      <c r="M11" s="597">
        <f>SUMIFS(G2:G118,D2:D118,"&gt;=50",D2:D118,"&lt;60")</f>
        <v>7064823.41</v>
      </c>
      <c r="N11" s="598">
        <f t="shared" si="4"/>
        <v>0.2204928312</v>
      </c>
      <c r="O11" s="597">
        <f>M11/COUNTIFS(D2:D118,"&gt;=50",D2:D118,"&lt;60",G2:G118,"&gt;0")</f>
        <v>336420.1624</v>
      </c>
      <c r="P11" s="603">
        <f>COUNTIFS(D2:D118,"&gt;=50",D2:D118,"&lt;60",G2:G118,"&gt;0")</f>
        <v>21</v>
      </c>
    </row>
    <row r="12" ht="15.75" customHeight="1">
      <c r="A12" s="593" t="s">
        <v>4173</v>
      </c>
      <c r="B12" s="589" t="s">
        <v>3620</v>
      </c>
      <c r="C12" s="590">
        <v>24295.0</v>
      </c>
      <c r="D12" s="589">
        <f t="shared" si="1"/>
        <v>53</v>
      </c>
      <c r="E12" s="589" t="s">
        <v>4176</v>
      </c>
      <c r="F12" s="589" t="s">
        <v>4127</v>
      </c>
      <c r="G12" s="591">
        <v>174816.0</v>
      </c>
      <c r="J12" s="595" t="s">
        <v>4178</v>
      </c>
      <c r="K12" s="589">
        <f>COUNTIFS(D2:D118,"&gt;=60",D2:D118,"&lt;70")</f>
        <v>16</v>
      </c>
      <c r="L12" s="596">
        <f t="shared" si="3"/>
        <v>0.1441441441</v>
      </c>
      <c r="M12" s="597">
        <f>SUMIFS(G2:G118,D2:D118,"&gt;=60",D2:D118,"&lt;70")</f>
        <v>3714393.58</v>
      </c>
      <c r="N12" s="598">
        <f t="shared" si="4"/>
        <v>0.115926062</v>
      </c>
      <c r="O12" s="597">
        <f>M12/COUNTIFS(D2:D118,"&gt;=60",D2:D118,"&lt;70",G2:G118,"&gt;0")</f>
        <v>247626.2387</v>
      </c>
      <c r="P12" s="603">
        <f>COUNTIFS(D2:D118,"&gt;=60",D2:D118,"&lt;70",G2:G118,"&gt;0")</f>
        <v>15</v>
      </c>
    </row>
    <row r="13" ht="15.75" customHeight="1">
      <c r="A13" s="593" t="s">
        <v>4180</v>
      </c>
      <c r="B13" s="589" t="s">
        <v>4125</v>
      </c>
      <c r="C13" s="590">
        <v>13520.0</v>
      </c>
      <c r="D13" s="589">
        <f t="shared" si="1"/>
        <v>82</v>
      </c>
      <c r="E13" s="589" t="s">
        <v>4181</v>
      </c>
      <c r="F13" s="589" t="s">
        <v>4183</v>
      </c>
      <c r="G13" s="591">
        <v>147417.0</v>
      </c>
      <c r="J13" s="595" t="s">
        <v>4184</v>
      </c>
      <c r="K13" s="589">
        <f>COUNTIFS(D2:D118,"&gt;70",D2:D118,"&lt;80")</f>
        <v>3</v>
      </c>
      <c r="L13" s="596">
        <f t="shared" si="3"/>
        <v>0.02702702703</v>
      </c>
      <c r="M13" s="597">
        <f>SUMIFS(G2:G118,D2:D118,"&gt;=70",D2:D118,"&lt;80")</f>
        <v>1436366.01</v>
      </c>
      <c r="N13" s="598">
        <f t="shared" si="4"/>
        <v>0.04482892067</v>
      </c>
      <c r="O13" s="597">
        <f>M13/COUNTIFS(D2:D118,"&gt;=70",D2:D118,"&lt;80",G2:G118,"&gt;0")</f>
        <v>478788.67</v>
      </c>
      <c r="P13" s="603">
        <f>COUNTIFS(D2:D118,"&gt;=70",D2:D118,"&lt;80",G2:G118,"&gt;0")</f>
        <v>3</v>
      </c>
    </row>
    <row r="14" ht="15.75" customHeight="1">
      <c r="A14" s="593" t="s">
        <v>4190</v>
      </c>
      <c r="B14" s="589" t="s">
        <v>4125</v>
      </c>
      <c r="C14" s="590">
        <v>23066.0</v>
      </c>
      <c r="D14" s="589">
        <f t="shared" si="1"/>
        <v>56</v>
      </c>
      <c r="E14" s="589" t="s">
        <v>4126</v>
      </c>
      <c r="F14" s="589" t="s">
        <v>4127</v>
      </c>
      <c r="G14" s="591">
        <v>31376.0</v>
      </c>
      <c r="J14" s="595" t="s">
        <v>4192</v>
      </c>
      <c r="K14" s="589">
        <f>COUNTIFS(D2:D118,"&gt;80",D2:D118,"&lt;90")</f>
        <v>2</v>
      </c>
      <c r="L14" s="596">
        <f t="shared" si="3"/>
        <v>0.01801801802</v>
      </c>
      <c r="M14" s="597">
        <f>SUMIFS(G2:G118,D2:D118,"&gt;=80",D2:D118,"&lt;90")</f>
        <v>267288</v>
      </c>
      <c r="N14" s="598">
        <f t="shared" si="4"/>
        <v>0.008342046849</v>
      </c>
      <c r="O14" s="597">
        <f>M14/COUNTIFS(D2:D118,"&gt;=80",D2:D118,"&lt;90",G2:G118,"&gt;0")</f>
        <v>133644</v>
      </c>
      <c r="P14" s="603">
        <f>COUNTIFS(D2:D118,"&gt;=80",D2:D118,"&lt;90",G2:G118,"&gt;0")</f>
        <v>2</v>
      </c>
      <c r="Q14" s="603" t="s">
        <v>315</v>
      </c>
    </row>
    <row r="15" ht="15.75" customHeight="1">
      <c r="A15" s="609" t="s">
        <v>4193</v>
      </c>
      <c r="B15" s="589" t="s">
        <v>4125</v>
      </c>
      <c r="C15" s="590"/>
      <c r="D15" s="589"/>
      <c r="E15" s="589" t="s">
        <v>4156</v>
      </c>
      <c r="F15" s="589"/>
      <c r="G15" s="591">
        <v>0.0</v>
      </c>
      <c r="J15" s="595" t="s">
        <v>4054</v>
      </c>
      <c r="K15" s="589">
        <f>SUM(K8:K14)</f>
        <v>111</v>
      </c>
      <c r="L15" s="596">
        <f t="shared" si="3"/>
        <v>1</v>
      </c>
      <c r="M15" s="597">
        <f>SUM(M8:M14)</f>
        <v>32041057.17</v>
      </c>
      <c r="N15" s="598">
        <f t="shared" si="4"/>
        <v>1</v>
      </c>
      <c r="O15" s="597">
        <f>M15/COUNTIFS(G2:G118,"&gt;0")</f>
        <v>296676.4553</v>
      </c>
      <c r="P15" s="603">
        <f>SUM(P8:P14)</f>
        <v>106</v>
      </c>
    </row>
    <row r="16" ht="15.75" customHeight="1">
      <c r="A16" s="595" t="s">
        <v>4197</v>
      </c>
      <c r="B16" s="589" t="s">
        <v>3620</v>
      </c>
      <c r="C16" s="590">
        <v>29816.0</v>
      </c>
      <c r="D16" s="589">
        <f t="shared" ref="D16:D53" si="5">DATEDIF(C16,$C$121,"Y")</f>
        <v>38</v>
      </c>
      <c r="E16" s="589" t="s">
        <v>4168</v>
      </c>
      <c r="F16" s="589" t="s">
        <v>4127</v>
      </c>
      <c r="G16" s="591">
        <v>101819.0</v>
      </c>
    </row>
    <row r="17" ht="15.75" customHeight="1">
      <c r="A17" s="593" t="s">
        <v>4200</v>
      </c>
      <c r="B17" s="589" t="s">
        <v>3620</v>
      </c>
      <c r="C17" s="590">
        <v>31091.0</v>
      </c>
      <c r="D17" s="589">
        <f t="shared" si="5"/>
        <v>34</v>
      </c>
      <c r="E17" s="589" t="s">
        <v>4168</v>
      </c>
      <c r="F17" s="589" t="s">
        <v>4127</v>
      </c>
      <c r="G17" s="591">
        <v>35841.42</v>
      </c>
      <c r="J17" s="587" t="s">
        <v>4121</v>
      </c>
      <c r="K17" s="589" t="s">
        <v>4054</v>
      </c>
      <c r="L17" s="589" t="s">
        <v>4128</v>
      </c>
      <c r="M17" s="589" t="s">
        <v>4201</v>
      </c>
      <c r="N17" s="589" t="s">
        <v>4128</v>
      </c>
      <c r="O17" s="589" t="s">
        <v>4131</v>
      </c>
      <c r="R17" s="603" t="s">
        <v>315</v>
      </c>
    </row>
    <row r="18" ht="15.75" customHeight="1">
      <c r="A18" s="593" t="s">
        <v>4202</v>
      </c>
      <c r="B18" s="589" t="s">
        <v>4125</v>
      </c>
      <c r="C18" s="590">
        <v>31386.0</v>
      </c>
      <c r="D18" s="589">
        <f t="shared" si="5"/>
        <v>34</v>
      </c>
      <c r="E18" s="589" t="s">
        <v>4203</v>
      </c>
      <c r="F18" s="589" t="s">
        <v>4127</v>
      </c>
      <c r="G18" s="591">
        <v>215750.0</v>
      </c>
      <c r="J18" s="595" t="s">
        <v>4126</v>
      </c>
      <c r="K18" s="589">
        <f>COUNTIF(E2:E118,"Funcionário Público")+COUNTIF(E2:E118,"Funcionária Pública")</f>
        <v>20</v>
      </c>
      <c r="L18" s="596">
        <f t="shared" ref="L18:L28" si="6">K18/$K$28</f>
        <v>0.2197802198</v>
      </c>
      <c r="M18" s="597">
        <f>SUMIFS(G2:G118,E2:E118,"Funcionária Pública")+SUMIFS(G2:G118,E2:E118,"Funcionário Público")</f>
        <v>4127437.47</v>
      </c>
      <c r="N18" s="598">
        <f t="shared" ref="N18:N28" si="7">M18/$M$28</f>
        <v>0.1295890306</v>
      </c>
      <c r="O18" s="597">
        <f>M18/(COUNTIFS(G2:G118,"&gt;0",E2:E118,"Funcionário Público")+COUNTIFS(G2:G118,"&gt;0",E2:E118,"Funcionária Pública"))</f>
        <v>206371.8735</v>
      </c>
      <c r="P18" s="603">
        <f>(COUNTIFS(G2:G118,"&gt;0",E2:E118,"Funcionário Público")+COUNTIFS(G2:G118,"&gt;0",E2:E118,"Funcionária Pública"))</f>
        <v>20</v>
      </c>
    </row>
    <row r="19" ht="15.75" customHeight="1">
      <c r="A19" s="593" t="s">
        <v>4209</v>
      </c>
      <c r="B19" s="589" t="s">
        <v>4125</v>
      </c>
      <c r="C19" s="590">
        <v>23072.0</v>
      </c>
      <c r="D19" s="589">
        <f t="shared" si="5"/>
        <v>56</v>
      </c>
      <c r="E19" s="589" t="s">
        <v>4213</v>
      </c>
      <c r="F19" s="589" t="s">
        <v>4127</v>
      </c>
      <c r="G19" s="591">
        <v>132923.0</v>
      </c>
      <c r="J19" s="595" t="s">
        <v>4156</v>
      </c>
      <c r="K19" s="589">
        <f>COUNTIF(E2:E118,"Empresário")+COUNTIF(E2:E118,"Empresária")</f>
        <v>0</v>
      </c>
      <c r="L19" s="596">
        <f t="shared" si="6"/>
        <v>0</v>
      </c>
      <c r="M19" s="597">
        <f>SUMIFS(G2:G118,E2:E118,"Empresária")+SUMIFS(G2:G118,E2:E118,"Empresário")</f>
        <v>0</v>
      </c>
      <c r="N19" s="598">
        <f t="shared" si="7"/>
        <v>0</v>
      </c>
      <c r="O19" s="597" t="str">
        <f>M19/(COUNTIFS(G2:G118,"&gt;0",E2:E118,"Empresário")+COUNTIFS(G2:G118,"&gt;0",E2:E118,"Empresária"))</f>
        <v>#DIV/0!</v>
      </c>
    </row>
    <row r="20" ht="15.75" customHeight="1">
      <c r="A20" s="593" t="s">
        <v>4215</v>
      </c>
      <c r="B20" s="589" t="s">
        <v>4125</v>
      </c>
      <c r="C20" s="590">
        <v>29186.0</v>
      </c>
      <c r="D20" s="589">
        <f t="shared" si="5"/>
        <v>40</v>
      </c>
      <c r="E20" s="589" t="s">
        <v>4159</v>
      </c>
      <c r="F20" s="589" t="s">
        <v>4127</v>
      </c>
      <c r="G20" s="591">
        <f>707418+847182</f>
        <v>1554600</v>
      </c>
      <c r="J20" s="595" t="s">
        <v>4159</v>
      </c>
      <c r="K20" s="589">
        <f>COUNTIF(E4:E120,"Advogado")+COUNTIF(E4:E120,"Advogada")</f>
        <v>12</v>
      </c>
      <c r="L20" s="596">
        <f t="shared" si="6"/>
        <v>0.1318681319</v>
      </c>
      <c r="M20" s="597">
        <f>SUMIFS(G2:G118,E2:E118,"Advogado")+SUMIFS(G2:G118,E2:E118,"Advogada")</f>
        <v>4618016.69</v>
      </c>
      <c r="N20" s="598">
        <f t="shared" si="7"/>
        <v>0.1449917316</v>
      </c>
      <c r="O20" s="597">
        <f>M20/(COUNTIFS(G2:G118,"&gt;0",E2:E118,"Advogada")+COUNTIFS(G2:G118,"&gt;0",E2:E118,"Advogado"))</f>
        <v>384834.7242</v>
      </c>
    </row>
    <row r="21" ht="15.75" customHeight="1">
      <c r="A21" s="595" t="s">
        <v>4223</v>
      </c>
      <c r="B21" s="589" t="s">
        <v>3620</v>
      </c>
      <c r="C21" s="590">
        <v>30936.0</v>
      </c>
      <c r="D21" s="589">
        <f t="shared" si="5"/>
        <v>35</v>
      </c>
      <c r="E21" s="589" t="s">
        <v>4224</v>
      </c>
      <c r="F21" s="589" t="s">
        <v>4127</v>
      </c>
      <c r="G21" s="591">
        <v>511766.0</v>
      </c>
      <c r="H21" s="603"/>
      <c r="I21" s="603"/>
      <c r="J21" s="595" t="s">
        <v>4143</v>
      </c>
      <c r="K21" s="589">
        <f>COUNTIF(E5:E121,"Dentista")</f>
        <v>8</v>
      </c>
      <c r="L21" s="596">
        <f t="shared" si="6"/>
        <v>0.08791208791</v>
      </c>
      <c r="M21" s="597">
        <f>SUMIFS(G2:G118,E2:E118,"Dentista")</f>
        <v>1244788.11</v>
      </c>
      <c r="N21" s="598">
        <f t="shared" si="7"/>
        <v>0.03908257498</v>
      </c>
      <c r="O21" s="597">
        <f>M21/(COUNTIFS(G2:G118,"&gt;0",E2:E118,"Dentista"))</f>
        <v>155598.5138</v>
      </c>
    </row>
    <row r="22" ht="15.75" customHeight="1">
      <c r="A22" s="593" t="s">
        <v>4230</v>
      </c>
      <c r="B22" s="589" t="s">
        <v>4125</v>
      </c>
      <c r="C22" s="590">
        <v>26191.0</v>
      </c>
      <c r="D22" s="589">
        <f t="shared" si="5"/>
        <v>48</v>
      </c>
      <c r="E22" s="589" t="s">
        <v>4232</v>
      </c>
      <c r="F22" s="589" t="s">
        <v>4127</v>
      </c>
      <c r="G22" s="591">
        <v>916562.0</v>
      </c>
      <c r="J22" s="595" t="s">
        <v>4203</v>
      </c>
      <c r="K22" s="589">
        <f>COUNTIF(E6:E122,"Médico")+COUNTIF(E6:E122,"Médica")</f>
        <v>13</v>
      </c>
      <c r="L22" s="596">
        <f t="shared" si="6"/>
        <v>0.1428571429</v>
      </c>
      <c r="M22" s="597">
        <f>SUMIFS(G2:G118,E2:E118,"Médico")+SUMIFS(G2:G118,E2:E118,"Médica")</f>
        <v>4432285.66</v>
      </c>
      <c r="N22" s="598">
        <f t="shared" si="7"/>
        <v>0.13916034</v>
      </c>
      <c r="O22" s="597">
        <f>M22/(COUNTIFS(G2:G118,"&gt;0",E2:E118,"Médico")+COUNTIFS(G2:G118,"&gt;0",E2:E118,"Médica"))</f>
        <v>369357.1383</v>
      </c>
    </row>
    <row r="23" ht="15.75" customHeight="1">
      <c r="A23" s="593" t="s">
        <v>4233</v>
      </c>
      <c r="B23" s="589" t="s">
        <v>4125</v>
      </c>
      <c r="C23" s="590">
        <v>32417.0</v>
      </c>
      <c r="D23" s="589">
        <f t="shared" si="5"/>
        <v>31</v>
      </c>
      <c r="E23" s="589" t="s">
        <v>4156</v>
      </c>
      <c r="F23" s="589" t="s">
        <v>4127</v>
      </c>
      <c r="G23" s="591">
        <v>332795.0</v>
      </c>
      <c r="J23" s="595" t="s">
        <v>4234</v>
      </c>
      <c r="K23" s="589">
        <f>COUNTIF(E7:E123,"Administrador")+COUNTIF(E7:E123,"Administradora")</f>
        <v>4</v>
      </c>
      <c r="L23" s="596">
        <f t="shared" si="6"/>
        <v>0.04395604396</v>
      </c>
      <c r="M23" s="597">
        <f>SUMIFS(G2:G118,E2:E118,"Administradora")+SUMIFS(G2:G118,E2:E118,"Administrador")</f>
        <v>1272485.17</v>
      </c>
      <c r="N23" s="598">
        <f t="shared" si="7"/>
        <v>0.03995217875</v>
      </c>
      <c r="O23" s="597">
        <f>M23/(COUNTIFS(G2:G118,"&gt;0",E2:E118,"Administrador")+COUNTIFS(G2:G118,"&gt;0",E2:E118,"Administradora"))</f>
        <v>318121.2925</v>
      </c>
      <c r="Q23" s="603" t="s">
        <v>315</v>
      </c>
    </row>
    <row r="24" ht="15.75" customHeight="1">
      <c r="A24" s="593" t="s">
        <v>4240</v>
      </c>
      <c r="B24" s="589" t="s">
        <v>3620</v>
      </c>
      <c r="C24" s="590">
        <v>26324.0</v>
      </c>
      <c r="D24" s="589">
        <f t="shared" si="5"/>
        <v>47</v>
      </c>
      <c r="E24" s="589" t="s">
        <v>4168</v>
      </c>
      <c r="F24" s="589" t="s">
        <v>4127</v>
      </c>
      <c r="G24" s="591">
        <v>191406.0</v>
      </c>
      <c r="J24" s="595" t="s">
        <v>4213</v>
      </c>
      <c r="K24" s="589">
        <f>COUNTIF(E8:E124,"Engenheiro")+COUNTIF(E8:E124,"Engenheira")</f>
        <v>6</v>
      </c>
      <c r="L24" s="596">
        <f t="shared" si="6"/>
        <v>0.06593406593</v>
      </c>
      <c r="M24" s="597">
        <f>SUMIFS(G2:G118,E2:E118,"Engenheira")+SUMIFS(G2:G118,E2:E118,"Engenheiro")</f>
        <v>1370551.77</v>
      </c>
      <c r="N24" s="598">
        <f t="shared" si="7"/>
        <v>0.04303117285</v>
      </c>
      <c r="O24" s="597">
        <f>M24/(COUNTIFS(G2:G118,"&gt;0",E2:E118,"Engenheiro")+COUNTIFS(G2:G118,"&gt;0",E2:E118,"Engenheira"))</f>
        <v>228425.295</v>
      </c>
      <c r="Q24" s="603" t="s">
        <v>315</v>
      </c>
    </row>
    <row r="25" ht="15.75" customHeight="1">
      <c r="A25" s="593" t="s">
        <v>4244</v>
      </c>
      <c r="B25" s="589" t="s">
        <v>3620</v>
      </c>
      <c r="C25" s="590">
        <v>24529.0</v>
      </c>
      <c r="D25" s="589">
        <f t="shared" si="5"/>
        <v>52</v>
      </c>
      <c r="E25" s="589" t="s">
        <v>4245</v>
      </c>
      <c r="F25" s="589" t="s">
        <v>4127</v>
      </c>
      <c r="G25" s="591">
        <v>91137.0</v>
      </c>
      <c r="J25" s="595" t="s">
        <v>4181</v>
      </c>
      <c r="K25" s="589">
        <f>COUNTIF(E9:E125,"Aposentado")+COUNTIF(E9:E125,"Aposentada")</f>
        <v>8</v>
      </c>
      <c r="L25" s="596">
        <f t="shared" si="6"/>
        <v>0.08791208791</v>
      </c>
      <c r="M25" s="597">
        <f>SUMIFS(G2:G118,E2:E118,"Aposentada")+SUMIFS(G2:G118,E2:E118,"Aposentado")</f>
        <v>2458722</v>
      </c>
      <c r="N25" s="598">
        <f t="shared" si="7"/>
        <v>0.07719642095</v>
      </c>
      <c r="O25" s="597">
        <f>M25/(COUNTIFS(G2:G118,"&gt;0",E2:E118,"Aposentado")+COUNTIFS(G2:G118,"&gt;0",E2:E118,"Aposentada"))</f>
        <v>351246</v>
      </c>
    </row>
    <row r="26" ht="15.75" customHeight="1">
      <c r="A26" s="601" t="s">
        <v>4247</v>
      </c>
      <c r="B26" s="589" t="s">
        <v>4125</v>
      </c>
      <c r="C26" s="590">
        <v>28883.0</v>
      </c>
      <c r="D26" s="589">
        <f t="shared" si="5"/>
        <v>40</v>
      </c>
      <c r="E26" s="589" t="s">
        <v>4203</v>
      </c>
      <c r="F26" s="589" t="s">
        <v>4127</v>
      </c>
      <c r="G26" s="591">
        <v>271013.45</v>
      </c>
      <c r="J26" s="595" t="s">
        <v>4251</v>
      </c>
      <c r="K26" s="589">
        <f>COUNTIF(E9:E125,"Autônomo")+COUNTIF(E9:E125,"Autônoma")</f>
        <v>4</v>
      </c>
      <c r="L26" s="596">
        <f t="shared" si="6"/>
        <v>0.04395604396</v>
      </c>
      <c r="M26" s="597">
        <f>SUMIFS(G2:G118,E2:E118,"Autônomo")+SUMIFS(G2:G118,E2:E118,"Autônoma")</f>
        <v>1175824.71</v>
      </c>
      <c r="N26" s="598">
        <f t="shared" si="7"/>
        <v>0.03691733318</v>
      </c>
      <c r="O26" s="597">
        <f>M26/(COUNTIFS(G2:G118,"&gt;0",E2:E118,"Autônomo")+COUNTIFS(G2:G118,"&gt;0",E2:E118,"Autônoma"))</f>
        <v>293956.1775</v>
      </c>
    </row>
    <row r="27" ht="15.75" customHeight="1">
      <c r="A27" s="593" t="s">
        <v>4254</v>
      </c>
      <c r="B27" s="589" t="s">
        <v>3620</v>
      </c>
      <c r="C27" s="590">
        <v>22919.0</v>
      </c>
      <c r="D27" s="589">
        <f t="shared" si="5"/>
        <v>57</v>
      </c>
      <c r="E27" s="589" t="s">
        <v>4168</v>
      </c>
      <c r="F27" s="589" t="s">
        <v>4127</v>
      </c>
      <c r="G27" s="591">
        <v>187575.0</v>
      </c>
      <c r="J27" s="595" t="s">
        <v>4255</v>
      </c>
      <c r="K27" s="589">
        <v>16.0</v>
      </c>
      <c r="L27" s="596">
        <f t="shared" si="6"/>
        <v>0.1758241758</v>
      </c>
      <c r="M27" s="597">
        <f>M28-SUM(M18:M26)</f>
        <v>11150095.59</v>
      </c>
      <c r="N27" s="598">
        <f t="shared" si="7"/>
        <v>0.3500792171</v>
      </c>
      <c r="O27" s="597">
        <f>M27/15</f>
        <v>743339.706</v>
      </c>
    </row>
    <row r="28" ht="15.75" customHeight="1">
      <c r="A28" s="609" t="s">
        <v>4256</v>
      </c>
      <c r="B28" s="589" t="s">
        <v>3620</v>
      </c>
      <c r="C28" s="590">
        <v>25781.0</v>
      </c>
      <c r="D28" s="589">
        <f t="shared" si="5"/>
        <v>49</v>
      </c>
      <c r="E28" s="589"/>
      <c r="F28" s="589" t="s">
        <v>4127</v>
      </c>
      <c r="G28" s="591">
        <v>0.0</v>
      </c>
      <c r="J28" s="595" t="s">
        <v>4054</v>
      </c>
      <c r="K28" s="589">
        <f>SUM(K18:K27)</f>
        <v>91</v>
      </c>
      <c r="L28" s="596">
        <f t="shared" si="6"/>
        <v>1</v>
      </c>
      <c r="M28" s="597">
        <f>SUMIFS(G2:G118,E2:E118,"&lt;&gt;")</f>
        <v>31850207.17</v>
      </c>
      <c r="N28" s="598">
        <f t="shared" si="7"/>
        <v>1</v>
      </c>
      <c r="O28" s="597">
        <f>M28/K28</f>
        <v>350002.2766</v>
      </c>
    </row>
    <row r="29" ht="15.75" customHeight="1">
      <c r="A29" s="595" t="s">
        <v>4262</v>
      </c>
      <c r="B29" s="589" t="s">
        <v>4125</v>
      </c>
      <c r="C29" s="590">
        <v>27513.0</v>
      </c>
      <c r="D29" s="589">
        <f t="shared" si="5"/>
        <v>44</v>
      </c>
      <c r="E29" s="589" t="s">
        <v>4159</v>
      </c>
      <c r="F29" s="589"/>
      <c r="G29" s="591">
        <v>57062.68</v>
      </c>
    </row>
    <row r="30" ht="15.75" customHeight="1">
      <c r="A30" s="595" t="s">
        <v>4263</v>
      </c>
      <c r="B30" s="589" t="s">
        <v>3620</v>
      </c>
      <c r="C30" s="590">
        <v>22401.0</v>
      </c>
      <c r="D30" s="589">
        <f t="shared" si="5"/>
        <v>58</v>
      </c>
      <c r="E30" s="589" t="s">
        <v>4168</v>
      </c>
      <c r="F30" s="589" t="s">
        <v>4127</v>
      </c>
      <c r="G30" s="591">
        <v>163478.0</v>
      </c>
    </row>
    <row r="31" ht="15.75" customHeight="1">
      <c r="A31" s="609" t="s">
        <v>4266</v>
      </c>
      <c r="B31" s="589" t="s">
        <v>3620</v>
      </c>
      <c r="C31" s="590">
        <v>19484.0</v>
      </c>
      <c r="D31" s="589">
        <f t="shared" si="5"/>
        <v>66</v>
      </c>
      <c r="E31" s="589" t="s">
        <v>4267</v>
      </c>
      <c r="F31" s="589" t="s">
        <v>4127</v>
      </c>
      <c r="G31" s="591">
        <v>0.0</v>
      </c>
      <c r="J31" s="587" t="s">
        <v>4123</v>
      </c>
    </row>
    <row r="32" ht="15.75" customHeight="1">
      <c r="A32" s="593" t="s">
        <v>4270</v>
      </c>
      <c r="B32" s="589" t="s">
        <v>4125</v>
      </c>
      <c r="C32" s="590">
        <v>25747.0</v>
      </c>
      <c r="D32" s="589">
        <f t="shared" si="5"/>
        <v>49</v>
      </c>
      <c r="E32" s="589" t="s">
        <v>4143</v>
      </c>
      <c r="F32" s="589" t="s">
        <v>4127</v>
      </c>
      <c r="G32" s="591">
        <f>205400+183458</f>
        <v>388858</v>
      </c>
    </row>
    <row r="33" ht="15.75" customHeight="1">
      <c r="A33" s="593" t="s">
        <v>4274</v>
      </c>
      <c r="B33" s="589" t="s">
        <v>4125</v>
      </c>
      <c r="C33" s="590">
        <v>28151.0</v>
      </c>
      <c r="D33" s="589">
        <f t="shared" si="5"/>
        <v>42</v>
      </c>
      <c r="E33" s="589" t="s">
        <v>4143</v>
      </c>
      <c r="F33" s="589" t="s">
        <v>4127</v>
      </c>
      <c r="G33" s="591">
        <v>56328.0</v>
      </c>
    </row>
    <row r="34" ht="15.75" customHeight="1">
      <c r="A34" s="595" t="s">
        <v>4278</v>
      </c>
      <c r="B34" s="589" t="s">
        <v>4125</v>
      </c>
      <c r="C34" s="590">
        <v>27906.0</v>
      </c>
      <c r="D34" s="589">
        <f t="shared" si="5"/>
        <v>43</v>
      </c>
      <c r="E34" s="589" t="s">
        <v>4251</v>
      </c>
      <c r="F34" s="589" t="s">
        <v>4127</v>
      </c>
      <c r="G34" s="591">
        <v>257451.0</v>
      </c>
    </row>
    <row r="35" ht="15.75" customHeight="1">
      <c r="A35" s="595" t="s">
        <v>4283</v>
      </c>
      <c r="B35" s="589" t="s">
        <v>4125</v>
      </c>
      <c r="C35" s="590">
        <v>28906.0</v>
      </c>
      <c r="D35" s="589">
        <f t="shared" si="5"/>
        <v>40</v>
      </c>
      <c r="E35" s="589" t="s">
        <v>4159</v>
      </c>
      <c r="F35" s="589" t="s">
        <v>4127</v>
      </c>
      <c r="G35" s="591">
        <v>402433.0</v>
      </c>
    </row>
    <row r="36" ht="15.75" customHeight="1">
      <c r="A36" s="593" t="s">
        <v>4284</v>
      </c>
      <c r="B36" s="589" t="s">
        <v>4125</v>
      </c>
      <c r="C36" s="590">
        <v>30587.0</v>
      </c>
      <c r="D36" s="589">
        <f t="shared" si="5"/>
        <v>36</v>
      </c>
      <c r="E36" s="589" t="s">
        <v>4203</v>
      </c>
      <c r="F36" s="589" t="s">
        <v>4127</v>
      </c>
      <c r="G36" s="591">
        <f>458323+1000228</f>
        <v>1458551</v>
      </c>
    </row>
    <row r="37" ht="15.75" customHeight="1">
      <c r="A37" s="593" t="s">
        <v>4285</v>
      </c>
      <c r="B37" s="589" t="s">
        <v>3620</v>
      </c>
      <c r="C37" s="590">
        <v>15096.0</v>
      </c>
      <c r="D37" s="589">
        <f t="shared" si="5"/>
        <v>78</v>
      </c>
      <c r="E37" s="589" t="s">
        <v>4267</v>
      </c>
      <c r="F37" s="589" t="s">
        <v>4127</v>
      </c>
      <c r="G37" s="591">
        <v>179256.0</v>
      </c>
    </row>
    <row r="38" ht="15.75" customHeight="1">
      <c r="A38" s="593" t="s">
        <v>4289</v>
      </c>
      <c r="B38" s="589" t="s">
        <v>4125</v>
      </c>
      <c r="C38" s="590">
        <v>27655.0</v>
      </c>
      <c r="D38" s="589">
        <f t="shared" si="5"/>
        <v>44</v>
      </c>
      <c r="E38" s="589" t="s">
        <v>4213</v>
      </c>
      <c r="F38" s="589" t="s">
        <v>4291</v>
      </c>
      <c r="G38" s="591">
        <v>769189.0</v>
      </c>
      <c r="J38" s="603" t="s">
        <v>315</v>
      </c>
    </row>
    <row r="39" ht="15.75" customHeight="1">
      <c r="A39" s="593" t="s">
        <v>4292</v>
      </c>
      <c r="B39" s="589" t="s">
        <v>4125</v>
      </c>
      <c r="C39" s="590">
        <v>31245.0</v>
      </c>
      <c r="D39" s="589">
        <f t="shared" si="5"/>
        <v>34</v>
      </c>
      <c r="E39" s="589" t="s">
        <v>4159</v>
      </c>
      <c r="F39" s="589" t="s">
        <v>4127</v>
      </c>
      <c r="G39" s="591">
        <v>166417.0</v>
      </c>
      <c r="J39" s="603" t="s">
        <v>315</v>
      </c>
      <c r="K39" s="603" t="s">
        <v>315</v>
      </c>
    </row>
    <row r="40" ht="15.75" customHeight="1">
      <c r="A40" s="595" t="s">
        <v>4293</v>
      </c>
      <c r="B40" s="589" t="s">
        <v>4125</v>
      </c>
      <c r="C40" s="590">
        <v>28270.0</v>
      </c>
      <c r="D40" s="589">
        <f t="shared" si="5"/>
        <v>42</v>
      </c>
      <c r="E40" s="589" t="s">
        <v>4203</v>
      </c>
      <c r="F40" s="589" t="s">
        <v>4127</v>
      </c>
      <c r="G40" s="591">
        <v>208601.0</v>
      </c>
    </row>
    <row r="41" ht="15.75" customHeight="1">
      <c r="A41" s="601" t="s">
        <v>4294</v>
      </c>
      <c r="B41" s="589" t="s">
        <v>4125</v>
      </c>
      <c r="C41" s="590">
        <v>23924.0</v>
      </c>
      <c r="D41" s="589">
        <f t="shared" si="5"/>
        <v>54</v>
      </c>
      <c r="E41" s="589" t="s">
        <v>4159</v>
      </c>
      <c r="F41" s="589"/>
      <c r="G41" s="591">
        <v>278844.53</v>
      </c>
      <c r="J41" s="603" t="s">
        <v>315</v>
      </c>
    </row>
    <row r="42" ht="15.75" customHeight="1">
      <c r="A42" s="601" t="s">
        <v>4297</v>
      </c>
      <c r="B42" s="589" t="s">
        <v>4125</v>
      </c>
      <c r="C42" s="590">
        <v>33469.0</v>
      </c>
      <c r="D42" s="589">
        <f t="shared" si="5"/>
        <v>28</v>
      </c>
      <c r="E42" s="589" t="s">
        <v>4126</v>
      </c>
      <c r="F42" s="589" t="s">
        <v>4299</v>
      </c>
      <c r="G42" s="591">
        <v>131927.0</v>
      </c>
      <c r="J42" s="603" t="s">
        <v>315</v>
      </c>
    </row>
    <row r="43" ht="15.75" customHeight="1">
      <c r="A43" s="593" t="s">
        <v>4300</v>
      </c>
      <c r="B43" s="589" t="s">
        <v>4125</v>
      </c>
      <c r="C43" s="590">
        <v>25643.0</v>
      </c>
      <c r="D43" s="589">
        <f t="shared" si="5"/>
        <v>49</v>
      </c>
      <c r="E43" s="589" t="s">
        <v>4203</v>
      </c>
      <c r="F43" s="589" t="s">
        <v>4127</v>
      </c>
      <c r="G43" s="591">
        <v>506417.0</v>
      </c>
      <c r="K43" s="603" t="s">
        <v>315</v>
      </c>
      <c r="L43" s="603" t="s">
        <v>315</v>
      </c>
    </row>
    <row r="44" ht="15.75" customHeight="1">
      <c r="A44" s="601" t="s">
        <v>4302</v>
      </c>
      <c r="B44" s="589" t="s">
        <v>4125</v>
      </c>
      <c r="C44" s="590">
        <v>32920.0</v>
      </c>
      <c r="D44" s="589">
        <f t="shared" si="5"/>
        <v>29</v>
      </c>
      <c r="E44" s="589" t="s">
        <v>4159</v>
      </c>
      <c r="F44" s="589" t="s">
        <v>4127</v>
      </c>
      <c r="G44" s="591">
        <v>123215.73</v>
      </c>
      <c r="K44" s="603" t="s">
        <v>315</v>
      </c>
    </row>
    <row r="45" ht="15.75" customHeight="1">
      <c r="A45" s="593" t="s">
        <v>4303</v>
      </c>
      <c r="B45" s="589" t="s">
        <v>4125</v>
      </c>
      <c r="C45" s="590">
        <v>30264.0</v>
      </c>
      <c r="D45" s="589">
        <f t="shared" si="5"/>
        <v>37</v>
      </c>
      <c r="E45" s="589" t="s">
        <v>4156</v>
      </c>
      <c r="F45" s="589" t="s">
        <v>4127</v>
      </c>
      <c r="G45" s="591">
        <v>141649.0</v>
      </c>
    </row>
    <row r="46" ht="15.75" customHeight="1">
      <c r="A46" s="593" t="s">
        <v>4306</v>
      </c>
      <c r="B46" s="589" t="s">
        <v>3620</v>
      </c>
      <c r="C46" s="590">
        <v>18097.0</v>
      </c>
      <c r="D46" s="589">
        <f t="shared" si="5"/>
        <v>70</v>
      </c>
      <c r="E46" s="589" t="s">
        <v>4267</v>
      </c>
      <c r="F46" s="589" t="s">
        <v>4127</v>
      </c>
      <c r="G46" s="591">
        <f>913577+225360</f>
        <v>1138937</v>
      </c>
    </row>
    <row r="47" ht="15.75" customHeight="1">
      <c r="A47" s="601" t="s">
        <v>4307</v>
      </c>
      <c r="B47" s="589" t="s">
        <v>4125</v>
      </c>
      <c r="C47" s="590">
        <v>24085.0</v>
      </c>
      <c r="D47" s="589">
        <f t="shared" si="5"/>
        <v>54</v>
      </c>
      <c r="E47" s="589" t="s">
        <v>4309</v>
      </c>
      <c r="F47" s="589"/>
      <c r="G47" s="591">
        <v>611765.67</v>
      </c>
      <c r="L47" s="603" t="s">
        <v>315</v>
      </c>
    </row>
    <row r="48" ht="15.75" customHeight="1">
      <c r="A48" s="612" t="s">
        <v>4313</v>
      </c>
      <c r="B48" s="589" t="s">
        <v>3620</v>
      </c>
      <c r="C48" s="590">
        <v>31943.0</v>
      </c>
      <c r="D48" s="589">
        <f t="shared" si="5"/>
        <v>32</v>
      </c>
      <c r="E48" s="589" t="s">
        <v>4316</v>
      </c>
      <c r="F48" s="589" t="s">
        <v>4127</v>
      </c>
      <c r="G48" s="591">
        <v>275126.0</v>
      </c>
    </row>
    <row r="49" ht="15.75" customHeight="1">
      <c r="A49" s="612" t="s">
        <v>4317</v>
      </c>
      <c r="B49" s="589" t="s">
        <v>4125</v>
      </c>
      <c r="C49" s="590">
        <v>26994.0</v>
      </c>
      <c r="D49" s="589">
        <f t="shared" si="5"/>
        <v>46</v>
      </c>
      <c r="E49" s="589" t="s">
        <v>4156</v>
      </c>
      <c r="F49" s="589" t="s">
        <v>4127</v>
      </c>
      <c r="G49" s="591">
        <v>395619.0</v>
      </c>
    </row>
    <row r="50" ht="15.75" customHeight="1">
      <c r="A50" s="612" t="s">
        <v>4319</v>
      </c>
      <c r="B50" s="589" t="s">
        <v>4125</v>
      </c>
      <c r="C50" s="590">
        <v>32175.0</v>
      </c>
      <c r="D50" s="589">
        <f t="shared" si="5"/>
        <v>31</v>
      </c>
      <c r="E50" s="589" t="s">
        <v>4156</v>
      </c>
      <c r="F50" s="589" t="s">
        <v>4127</v>
      </c>
      <c r="G50" s="591">
        <v>125506.0</v>
      </c>
      <c r="J50" s="603" t="s">
        <v>315</v>
      </c>
    </row>
    <row r="51" ht="15.75" customHeight="1">
      <c r="A51" s="613" t="s">
        <v>4321</v>
      </c>
      <c r="B51" s="589" t="s">
        <v>4125</v>
      </c>
      <c r="C51" s="590">
        <v>29879.0</v>
      </c>
      <c r="D51" s="589">
        <f t="shared" si="5"/>
        <v>38</v>
      </c>
      <c r="E51" s="589" t="s">
        <v>4203</v>
      </c>
      <c r="F51" s="589" t="s">
        <v>4127</v>
      </c>
      <c r="G51" s="591">
        <f>165123+165077</f>
        <v>330200</v>
      </c>
      <c r="J51" s="603" t="s">
        <v>315</v>
      </c>
    </row>
    <row r="52" ht="15.75" customHeight="1">
      <c r="A52" s="593" t="s">
        <v>4322</v>
      </c>
      <c r="B52" s="589" t="s">
        <v>4125</v>
      </c>
      <c r="C52" s="590">
        <v>22158.0</v>
      </c>
      <c r="D52" s="589">
        <f t="shared" si="5"/>
        <v>59</v>
      </c>
      <c r="E52" s="589" t="s">
        <v>4325</v>
      </c>
      <c r="F52" s="589" t="s">
        <v>4127</v>
      </c>
      <c r="G52" s="591">
        <v>167058.0</v>
      </c>
    </row>
    <row r="53" ht="15.75" customHeight="1">
      <c r="A53" s="612" t="s">
        <v>4326</v>
      </c>
      <c r="B53" s="589" t="s">
        <v>4125</v>
      </c>
      <c r="C53" s="590">
        <v>13343.0</v>
      </c>
      <c r="D53" s="589">
        <f t="shared" si="5"/>
        <v>83</v>
      </c>
      <c r="E53" s="589" t="s">
        <v>4181</v>
      </c>
      <c r="F53" s="589" t="s">
        <v>4127</v>
      </c>
      <c r="G53" s="591">
        <v>119871.0</v>
      </c>
      <c r="J53" s="603" t="s">
        <v>315</v>
      </c>
    </row>
    <row r="54" ht="15.75" customHeight="1">
      <c r="A54" s="614" t="s">
        <v>4330</v>
      </c>
      <c r="B54" s="589" t="s">
        <v>3620</v>
      </c>
      <c r="C54" s="590"/>
      <c r="D54" s="589"/>
      <c r="E54" s="589" t="s">
        <v>4331</v>
      </c>
      <c r="F54" s="589"/>
      <c r="G54" s="591">
        <v>0.0</v>
      </c>
    </row>
    <row r="55" ht="15.75" customHeight="1">
      <c r="A55" s="613" t="s">
        <v>4332</v>
      </c>
      <c r="B55" s="589" t="s">
        <v>4125</v>
      </c>
      <c r="C55" s="590">
        <v>23916.0</v>
      </c>
      <c r="D55" s="589">
        <f t="shared" ref="D55:D78" si="8">DATEDIF(C55,$C$121,"Y")</f>
        <v>54</v>
      </c>
      <c r="E55" s="589" t="s">
        <v>4156</v>
      </c>
      <c r="F55" s="589" t="s">
        <v>4127</v>
      </c>
      <c r="G55" s="591">
        <v>314725.0</v>
      </c>
    </row>
    <row r="56" ht="15.75" customHeight="1">
      <c r="A56" s="613" t="s">
        <v>4334</v>
      </c>
      <c r="B56" s="589" t="s">
        <v>4125</v>
      </c>
      <c r="C56" s="590">
        <v>29508.0</v>
      </c>
      <c r="D56" s="589">
        <f t="shared" si="8"/>
        <v>39</v>
      </c>
      <c r="E56" s="589" t="s">
        <v>4232</v>
      </c>
      <c r="F56" s="589" t="s">
        <v>4127</v>
      </c>
      <c r="G56" s="591">
        <v>105215.56</v>
      </c>
    </row>
    <row r="57" ht="15.75" customHeight="1">
      <c r="A57" s="612" t="s">
        <v>4337</v>
      </c>
      <c r="B57" s="589" t="s">
        <v>4125</v>
      </c>
      <c r="C57" s="590">
        <v>31417.0</v>
      </c>
      <c r="D57" s="589">
        <f t="shared" si="8"/>
        <v>33</v>
      </c>
      <c r="E57" s="589" t="s">
        <v>4156</v>
      </c>
      <c r="F57" s="589" t="s">
        <v>4127</v>
      </c>
      <c r="G57" s="591">
        <f>360253+251068</f>
        <v>611321</v>
      </c>
    </row>
    <row r="58" ht="15.75" customHeight="1">
      <c r="A58" s="612" t="s">
        <v>4340</v>
      </c>
      <c r="B58" s="589" t="s">
        <v>3620</v>
      </c>
      <c r="C58" s="590">
        <v>27619.0</v>
      </c>
      <c r="D58" s="589">
        <f t="shared" si="8"/>
        <v>44</v>
      </c>
      <c r="E58" s="589" t="s">
        <v>4168</v>
      </c>
      <c r="F58" s="589" t="s">
        <v>4127</v>
      </c>
      <c r="G58" s="591">
        <v>189120.0</v>
      </c>
    </row>
    <row r="59" ht="15.75" customHeight="1">
      <c r="A59" s="613" t="s">
        <v>4342</v>
      </c>
      <c r="B59" s="589" t="s">
        <v>3620</v>
      </c>
      <c r="C59" s="590">
        <v>21213.0</v>
      </c>
      <c r="D59" s="589">
        <f t="shared" si="8"/>
        <v>61</v>
      </c>
      <c r="E59" s="589" t="s">
        <v>4143</v>
      </c>
      <c r="F59" s="589" t="s">
        <v>4291</v>
      </c>
      <c r="G59" s="591">
        <v>16764.63</v>
      </c>
    </row>
    <row r="60" ht="15.75" customHeight="1">
      <c r="A60" s="612" t="s">
        <v>4345</v>
      </c>
      <c r="B60" s="589" t="s">
        <v>4125</v>
      </c>
      <c r="C60" s="590">
        <v>20736.0</v>
      </c>
      <c r="D60" s="589">
        <f t="shared" si="8"/>
        <v>63</v>
      </c>
      <c r="E60" s="589"/>
      <c r="F60" s="589" t="s">
        <v>4127</v>
      </c>
      <c r="G60" s="591">
        <v>129393.0</v>
      </c>
    </row>
    <row r="61" ht="15.75" customHeight="1">
      <c r="A61" s="615" t="s">
        <v>4347</v>
      </c>
      <c r="B61" s="589" t="s">
        <v>4125</v>
      </c>
      <c r="C61" s="590">
        <v>21535.0</v>
      </c>
      <c r="D61" s="589">
        <f t="shared" si="8"/>
        <v>61</v>
      </c>
      <c r="E61" s="589" t="s">
        <v>4126</v>
      </c>
      <c r="F61" s="589" t="s">
        <v>4127</v>
      </c>
      <c r="G61" s="591">
        <v>69611.0</v>
      </c>
      <c r="K61" s="603"/>
    </row>
    <row r="62" ht="15.75" customHeight="1">
      <c r="A62" s="593" t="s">
        <v>4348</v>
      </c>
      <c r="B62" s="589" t="s">
        <v>3620</v>
      </c>
      <c r="C62" s="590">
        <v>28071.0</v>
      </c>
      <c r="D62" s="589">
        <f t="shared" si="8"/>
        <v>43</v>
      </c>
      <c r="E62" s="589" t="s">
        <v>4349</v>
      </c>
      <c r="F62" s="589" t="s">
        <v>4127</v>
      </c>
      <c r="G62" s="591">
        <f>419503+311767</f>
        <v>731270</v>
      </c>
    </row>
    <row r="63" ht="15.75" customHeight="1">
      <c r="A63" s="601" t="s">
        <v>4350</v>
      </c>
      <c r="B63" s="589" t="s">
        <v>4125</v>
      </c>
      <c r="C63" s="590">
        <v>27745.0</v>
      </c>
      <c r="D63" s="589">
        <f t="shared" si="8"/>
        <v>44</v>
      </c>
      <c r="E63" s="589" t="s">
        <v>4159</v>
      </c>
      <c r="F63" s="589" t="s">
        <v>4127</v>
      </c>
      <c r="G63" s="591">
        <f>994319.81+157168</f>
        <v>1151487.81</v>
      </c>
      <c r="J63" s="603" t="s">
        <v>315</v>
      </c>
    </row>
    <row r="64" ht="15.75" customHeight="1">
      <c r="A64" s="593" t="s">
        <v>4354</v>
      </c>
      <c r="B64" s="589" t="s">
        <v>3620</v>
      </c>
      <c r="C64" s="590">
        <v>24999.0</v>
      </c>
      <c r="D64" s="589">
        <f t="shared" si="8"/>
        <v>51</v>
      </c>
      <c r="E64" s="589" t="s">
        <v>4357</v>
      </c>
      <c r="F64" s="589" t="s">
        <v>4127</v>
      </c>
      <c r="G64" s="591">
        <v>108326.0</v>
      </c>
      <c r="J64" s="603" t="s">
        <v>315</v>
      </c>
    </row>
    <row r="65" ht="15.75" customHeight="1">
      <c r="A65" s="593" t="s">
        <v>4358</v>
      </c>
      <c r="B65" s="589" t="s">
        <v>3620</v>
      </c>
      <c r="C65" s="590">
        <v>18771.0</v>
      </c>
      <c r="D65" s="589">
        <f t="shared" si="8"/>
        <v>68</v>
      </c>
      <c r="E65" s="589" t="s">
        <v>4267</v>
      </c>
      <c r="F65" s="589" t="s">
        <v>4127</v>
      </c>
      <c r="G65" s="591">
        <v>92609.0</v>
      </c>
    </row>
    <row r="66" ht="15.75" customHeight="1">
      <c r="A66" s="595" t="s">
        <v>4359</v>
      </c>
      <c r="B66" s="589" t="s">
        <v>3620</v>
      </c>
      <c r="C66" s="590">
        <v>27098.0</v>
      </c>
      <c r="D66" s="589">
        <f t="shared" si="8"/>
        <v>45</v>
      </c>
      <c r="E66" s="589" t="s">
        <v>4168</v>
      </c>
      <c r="F66" s="589" t="s">
        <v>4127</v>
      </c>
      <c r="G66" s="591">
        <v>44491.05</v>
      </c>
      <c r="L66" s="603" t="s">
        <v>315</v>
      </c>
    </row>
    <row r="67" ht="15.75" customHeight="1">
      <c r="A67" s="593" t="s">
        <v>4362</v>
      </c>
      <c r="B67" s="589" t="s">
        <v>3620</v>
      </c>
      <c r="C67" s="590">
        <v>21881.0</v>
      </c>
      <c r="D67" s="589">
        <f t="shared" si="8"/>
        <v>60</v>
      </c>
      <c r="E67" s="589" t="s">
        <v>4363</v>
      </c>
      <c r="F67" s="589" t="s">
        <v>4127</v>
      </c>
      <c r="G67" s="591">
        <v>253693.0</v>
      </c>
      <c r="J67" s="603" t="s">
        <v>315</v>
      </c>
    </row>
    <row r="68" ht="15.75" customHeight="1">
      <c r="A68" s="595" t="s">
        <v>4366</v>
      </c>
      <c r="B68" s="589" t="s">
        <v>3620</v>
      </c>
      <c r="C68" s="590">
        <v>20961.0</v>
      </c>
      <c r="D68" s="589">
        <f t="shared" si="8"/>
        <v>62</v>
      </c>
      <c r="E68" s="589" t="s">
        <v>4368</v>
      </c>
      <c r="F68" s="589" t="s">
        <v>4127</v>
      </c>
      <c r="G68" s="591">
        <v>268632.52</v>
      </c>
      <c r="J68" s="603" t="s">
        <v>315</v>
      </c>
    </row>
    <row r="69" ht="15.75" customHeight="1">
      <c r="A69" s="609" t="s">
        <v>4371</v>
      </c>
      <c r="B69" s="589" t="s">
        <v>3620</v>
      </c>
      <c r="C69" s="590">
        <v>16541.0</v>
      </c>
      <c r="D69" s="589">
        <f t="shared" si="8"/>
        <v>74</v>
      </c>
      <c r="E69" s="589" t="s">
        <v>4373</v>
      </c>
      <c r="F69" s="589" t="s">
        <v>4127</v>
      </c>
      <c r="G69" s="591">
        <v>0.0</v>
      </c>
      <c r="L69" s="603" t="s">
        <v>315</v>
      </c>
    </row>
    <row r="70" ht="15.75" customHeight="1">
      <c r="A70" s="595" t="s">
        <v>4374</v>
      </c>
      <c r="B70" s="589" t="s">
        <v>3620</v>
      </c>
      <c r="C70" s="590">
        <v>17371.0</v>
      </c>
      <c r="D70" s="589">
        <f t="shared" si="8"/>
        <v>72</v>
      </c>
      <c r="E70" s="589" t="s">
        <v>4331</v>
      </c>
      <c r="F70" s="589" t="s">
        <v>4291</v>
      </c>
      <c r="G70" s="591">
        <v>118173.01</v>
      </c>
    </row>
    <row r="71" ht="15.75" customHeight="1">
      <c r="A71" s="593" t="s">
        <v>4375</v>
      </c>
      <c r="B71" s="589" t="s">
        <v>3620</v>
      </c>
      <c r="C71" s="590">
        <v>22041.0</v>
      </c>
      <c r="D71" s="589">
        <f t="shared" si="8"/>
        <v>59</v>
      </c>
      <c r="E71" s="589" t="s">
        <v>4331</v>
      </c>
      <c r="F71" s="589" t="s">
        <v>4127</v>
      </c>
      <c r="G71" s="591">
        <v>177455.0</v>
      </c>
      <c r="K71" s="603" t="s">
        <v>315</v>
      </c>
    </row>
    <row r="72" ht="15.75" customHeight="1">
      <c r="A72" s="593" t="s">
        <v>4376</v>
      </c>
      <c r="B72" s="589" t="s">
        <v>4125</v>
      </c>
      <c r="C72" s="590">
        <v>28553.0</v>
      </c>
      <c r="D72" s="589">
        <f t="shared" si="8"/>
        <v>41</v>
      </c>
      <c r="E72" s="589" t="s">
        <v>4203</v>
      </c>
      <c r="F72" s="589" t="s">
        <v>4127</v>
      </c>
      <c r="G72" s="591">
        <v>115496.0</v>
      </c>
      <c r="J72" s="603" t="s">
        <v>315</v>
      </c>
    </row>
    <row r="73" ht="15.75" customHeight="1">
      <c r="A73" s="593" t="s">
        <v>4379</v>
      </c>
      <c r="B73" s="589" t="s">
        <v>4125</v>
      </c>
      <c r="C73" s="590">
        <v>28738.0</v>
      </c>
      <c r="D73" s="589">
        <f t="shared" si="8"/>
        <v>41</v>
      </c>
      <c r="E73" s="589" t="s">
        <v>4159</v>
      </c>
      <c r="F73" s="589" t="s">
        <v>4127</v>
      </c>
      <c r="G73" s="591">
        <v>261709.0</v>
      </c>
    </row>
    <row r="74" ht="15.75" customHeight="1">
      <c r="A74" s="595" t="s">
        <v>4381</v>
      </c>
      <c r="B74" s="589" t="s">
        <v>4125</v>
      </c>
      <c r="C74" s="590">
        <v>24095.0</v>
      </c>
      <c r="D74" s="589">
        <f t="shared" si="8"/>
        <v>54</v>
      </c>
      <c r="E74" s="589" t="s">
        <v>4156</v>
      </c>
      <c r="F74" s="589" t="s">
        <v>4127</v>
      </c>
      <c r="G74" s="591">
        <v>0.0</v>
      </c>
    </row>
    <row r="75" ht="15.75" customHeight="1">
      <c r="A75" s="601" t="s">
        <v>4382</v>
      </c>
      <c r="B75" s="589" t="s">
        <v>3620</v>
      </c>
      <c r="C75" s="590">
        <v>25216.0</v>
      </c>
      <c r="D75" s="589">
        <f t="shared" si="8"/>
        <v>50</v>
      </c>
      <c r="E75" s="589" t="s">
        <v>4385</v>
      </c>
      <c r="F75" s="589"/>
      <c r="G75" s="591">
        <v>695297.71</v>
      </c>
      <c r="J75" s="603" t="s">
        <v>315</v>
      </c>
    </row>
    <row r="76" ht="15.75" customHeight="1">
      <c r="A76" s="595" t="s">
        <v>4386</v>
      </c>
      <c r="B76" s="589" t="s">
        <v>4125</v>
      </c>
      <c r="C76" s="590">
        <v>32329.0</v>
      </c>
      <c r="D76" s="589">
        <f t="shared" si="8"/>
        <v>31</v>
      </c>
      <c r="E76" s="589" t="s">
        <v>4156</v>
      </c>
      <c r="F76" s="589" t="s">
        <v>4127</v>
      </c>
      <c r="G76" s="591">
        <v>184409.0</v>
      </c>
      <c r="J76" s="603" t="s">
        <v>315</v>
      </c>
    </row>
    <row r="77" ht="15.75" customHeight="1">
      <c r="A77" s="593" t="s">
        <v>4395</v>
      </c>
      <c r="B77" s="589" t="s">
        <v>3620</v>
      </c>
      <c r="C77" s="590">
        <v>30849.0</v>
      </c>
      <c r="D77" s="589">
        <f t="shared" si="8"/>
        <v>35</v>
      </c>
      <c r="E77" s="589" t="s">
        <v>4168</v>
      </c>
      <c r="F77" s="589" t="s">
        <v>4127</v>
      </c>
      <c r="G77" s="591">
        <v>117498.0</v>
      </c>
      <c r="K77" s="603" t="s">
        <v>315</v>
      </c>
    </row>
    <row r="78" ht="15.75" customHeight="1">
      <c r="A78" s="593" t="s">
        <v>4402</v>
      </c>
      <c r="B78" s="589" t="s">
        <v>3620</v>
      </c>
      <c r="C78" s="590">
        <v>31945.0</v>
      </c>
      <c r="D78" s="589">
        <f t="shared" si="8"/>
        <v>32</v>
      </c>
      <c r="E78" s="589" t="s">
        <v>4168</v>
      </c>
      <c r="F78" s="589" t="s">
        <v>4127</v>
      </c>
      <c r="G78" s="591">
        <f>286683+108380</f>
        <v>395063</v>
      </c>
      <c r="J78" s="603" t="s">
        <v>315</v>
      </c>
    </row>
    <row r="79" ht="15.75" customHeight="1">
      <c r="A79" s="593" t="s">
        <v>4403</v>
      </c>
      <c r="B79" s="589" t="s">
        <v>3620</v>
      </c>
      <c r="C79" s="590"/>
      <c r="D79" s="589"/>
      <c r="E79" s="589"/>
      <c r="F79" s="589" t="s">
        <v>4127</v>
      </c>
      <c r="G79" s="591">
        <v>422200.0</v>
      </c>
    </row>
    <row r="80" ht="15.75" customHeight="1">
      <c r="A80" s="601" t="s">
        <v>4404</v>
      </c>
      <c r="B80" s="589" t="s">
        <v>4125</v>
      </c>
      <c r="C80" s="590">
        <v>34492.0</v>
      </c>
      <c r="D80" s="589">
        <f t="shared" ref="D80:D83" si="9">DATEDIF(C80,$C$121,"Y")</f>
        <v>25</v>
      </c>
      <c r="E80" s="589" t="s">
        <v>4203</v>
      </c>
      <c r="F80" s="589" t="s">
        <v>4407</v>
      </c>
      <c r="G80" s="591">
        <v>82175.56</v>
      </c>
      <c r="K80" s="603" t="s">
        <v>315</v>
      </c>
    </row>
    <row r="81" ht="15.75" customHeight="1">
      <c r="A81" s="595" t="s">
        <v>4408</v>
      </c>
      <c r="B81" s="589" t="s">
        <v>4125</v>
      </c>
      <c r="C81" s="590">
        <v>20947.0</v>
      </c>
      <c r="D81" s="589">
        <f t="shared" si="9"/>
        <v>62</v>
      </c>
      <c r="E81" s="589" t="s">
        <v>4156</v>
      </c>
      <c r="F81" s="589" t="s">
        <v>4409</v>
      </c>
      <c r="G81" s="591">
        <v>100737.25</v>
      </c>
    </row>
    <row r="82" ht="15.75" customHeight="1">
      <c r="A82" s="601" t="s">
        <v>1734</v>
      </c>
      <c r="B82" s="589" t="s">
        <v>4125</v>
      </c>
      <c r="C82" s="590">
        <v>29139.0</v>
      </c>
      <c r="D82" s="589">
        <f t="shared" si="9"/>
        <v>40</v>
      </c>
      <c r="E82" s="589" t="s">
        <v>4159</v>
      </c>
      <c r="F82" s="589"/>
      <c r="G82" s="591">
        <v>310286.32</v>
      </c>
    </row>
    <row r="83" ht="15.75" customHeight="1">
      <c r="A83" s="593" t="s">
        <v>4412</v>
      </c>
      <c r="B83" s="589" t="s">
        <v>4125</v>
      </c>
      <c r="C83" s="590">
        <v>31630.0</v>
      </c>
      <c r="D83" s="589">
        <f t="shared" si="9"/>
        <v>33</v>
      </c>
      <c r="E83" s="589" t="s">
        <v>4203</v>
      </c>
      <c r="F83" s="589" t="s">
        <v>4127</v>
      </c>
      <c r="G83" s="591">
        <v>0.0</v>
      </c>
      <c r="J83" s="603" t="s">
        <v>315</v>
      </c>
    </row>
    <row r="84" ht="15.75" customHeight="1">
      <c r="A84" s="593" t="s">
        <v>4413</v>
      </c>
      <c r="B84" s="589" t="s">
        <v>4125</v>
      </c>
      <c r="C84" s="590"/>
      <c r="D84" s="589"/>
      <c r="E84" s="589"/>
      <c r="F84" s="589" t="s">
        <v>4127</v>
      </c>
      <c r="G84" s="591">
        <v>113888.0</v>
      </c>
      <c r="K84" s="603" t="s">
        <v>315</v>
      </c>
    </row>
    <row r="85" ht="15.75" customHeight="1">
      <c r="A85" s="593" t="s">
        <v>4414</v>
      </c>
      <c r="B85" s="589" t="s">
        <v>4125</v>
      </c>
      <c r="C85" s="590">
        <v>28975.0</v>
      </c>
      <c r="D85" s="589">
        <f t="shared" ref="D85:D89" si="10">DATEDIF(C85,$C$121,"Y")</f>
        <v>40</v>
      </c>
      <c r="E85" s="589" t="s">
        <v>4213</v>
      </c>
      <c r="F85" s="589" t="s">
        <v>4127</v>
      </c>
      <c r="G85" s="591">
        <v>126001.0</v>
      </c>
    </row>
    <row r="86" ht="15.75" customHeight="1">
      <c r="A86" s="593" t="s">
        <v>4415</v>
      </c>
      <c r="B86" s="589" t="s">
        <v>4125</v>
      </c>
      <c r="C86" s="590">
        <v>23401.0</v>
      </c>
      <c r="D86" s="589">
        <f t="shared" si="10"/>
        <v>55</v>
      </c>
      <c r="E86" s="589" t="s">
        <v>4156</v>
      </c>
      <c r="F86" s="589" t="s">
        <v>4127</v>
      </c>
      <c r="G86" s="591">
        <f>532885+733156+661796</f>
        <v>1927837</v>
      </c>
      <c r="J86" s="603" t="s">
        <v>315</v>
      </c>
    </row>
    <row r="87" ht="15.75" customHeight="1">
      <c r="A87" s="593" t="s">
        <v>4418</v>
      </c>
      <c r="B87" s="589" t="s">
        <v>4125</v>
      </c>
      <c r="C87" s="590">
        <v>31878.0</v>
      </c>
      <c r="D87" s="589">
        <f t="shared" si="10"/>
        <v>32</v>
      </c>
      <c r="E87" s="589" t="s">
        <v>4419</v>
      </c>
      <c r="F87" s="589" t="s">
        <v>4127</v>
      </c>
      <c r="G87" s="591">
        <v>377504.0</v>
      </c>
      <c r="K87" s="603" t="s">
        <v>315</v>
      </c>
    </row>
    <row r="88" ht="15.75" customHeight="1">
      <c r="A88" s="609" t="s">
        <v>4421</v>
      </c>
      <c r="B88" s="589" t="s">
        <v>4125</v>
      </c>
      <c r="C88" s="590">
        <v>31643.0</v>
      </c>
      <c r="D88" s="589">
        <f t="shared" si="10"/>
        <v>33</v>
      </c>
      <c r="E88" s="589" t="s">
        <v>4143</v>
      </c>
      <c r="F88" s="589" t="s">
        <v>3320</v>
      </c>
      <c r="G88" s="591">
        <v>0.0</v>
      </c>
      <c r="J88" s="603" t="s">
        <v>315</v>
      </c>
    </row>
    <row r="89" ht="15.75" customHeight="1">
      <c r="A89" s="595" t="s">
        <v>4422</v>
      </c>
      <c r="B89" s="589" t="s">
        <v>4125</v>
      </c>
      <c r="C89" s="590">
        <v>32438.0</v>
      </c>
      <c r="D89" s="589">
        <f t="shared" si="10"/>
        <v>31</v>
      </c>
      <c r="E89" s="589" t="s">
        <v>4251</v>
      </c>
      <c r="F89" s="589" t="s">
        <v>4127</v>
      </c>
      <c r="G89" s="591">
        <v>119890.0</v>
      </c>
      <c r="J89" s="603" t="s">
        <v>315</v>
      </c>
    </row>
    <row r="90" ht="15.75" customHeight="1">
      <c r="A90" s="595" t="s">
        <v>4423</v>
      </c>
      <c r="B90" s="589" t="s">
        <v>3620</v>
      </c>
      <c r="C90" s="590"/>
      <c r="D90" s="589"/>
      <c r="E90" s="589" t="s">
        <v>4135</v>
      </c>
      <c r="F90" s="589"/>
      <c r="G90" s="591"/>
      <c r="J90" s="603"/>
    </row>
    <row r="91" ht="15.75" customHeight="1">
      <c r="A91" s="601" t="s">
        <v>4424</v>
      </c>
      <c r="B91" s="589" t="s">
        <v>4125</v>
      </c>
      <c r="C91" s="590">
        <v>31537.0</v>
      </c>
      <c r="D91" s="589">
        <f t="shared" ref="D91:D118" si="11">DATEDIF(C91,$C$121,"Y")</f>
        <v>33</v>
      </c>
      <c r="E91" s="589" t="s">
        <v>4156</v>
      </c>
      <c r="F91" s="589"/>
      <c r="G91" s="591">
        <v>403425.55</v>
      </c>
      <c r="J91" s="603" t="s">
        <v>315</v>
      </c>
    </row>
    <row r="92" ht="15.75" customHeight="1">
      <c r="A92" s="593" t="s">
        <v>4427</v>
      </c>
      <c r="B92" s="589" t="s">
        <v>4125</v>
      </c>
      <c r="C92" s="590">
        <v>32791.0</v>
      </c>
      <c r="D92" s="589">
        <f t="shared" si="11"/>
        <v>30</v>
      </c>
      <c r="E92" s="589" t="s">
        <v>4203</v>
      </c>
      <c r="F92" s="589" t="s">
        <v>4127</v>
      </c>
      <c r="G92" s="591">
        <v>153385.0</v>
      </c>
      <c r="J92" s="603" t="s">
        <v>315</v>
      </c>
    </row>
    <row r="93" ht="15.75" customHeight="1">
      <c r="A93" s="595" t="s">
        <v>4430</v>
      </c>
      <c r="B93" s="589" t="s">
        <v>3620</v>
      </c>
      <c r="C93" s="590">
        <v>32384.0</v>
      </c>
      <c r="D93" s="589">
        <f t="shared" si="11"/>
        <v>31</v>
      </c>
      <c r="E93" s="589" t="s">
        <v>4176</v>
      </c>
      <c r="F93" s="589" t="s">
        <v>4127</v>
      </c>
      <c r="G93" s="591">
        <v>96201.29</v>
      </c>
      <c r="J93" s="603" t="s">
        <v>315</v>
      </c>
      <c r="K93" s="603" t="s">
        <v>315</v>
      </c>
    </row>
    <row r="94" ht="15.75" customHeight="1">
      <c r="A94" s="593" t="s">
        <v>4431</v>
      </c>
      <c r="B94" s="589" t="s">
        <v>3620</v>
      </c>
      <c r="C94" s="590">
        <v>25391.0</v>
      </c>
      <c r="D94" s="589">
        <f t="shared" si="11"/>
        <v>50</v>
      </c>
      <c r="E94" s="589" t="s">
        <v>4168</v>
      </c>
      <c r="F94" s="589" t="s">
        <v>4127</v>
      </c>
      <c r="G94" s="591">
        <v>59844.0</v>
      </c>
      <c r="J94" s="603" t="s">
        <v>315</v>
      </c>
    </row>
    <row r="95" ht="15.75" customHeight="1">
      <c r="A95" s="593" t="s">
        <v>4434</v>
      </c>
      <c r="B95" s="589" t="s">
        <v>4125</v>
      </c>
      <c r="C95" s="590">
        <v>24203.0</v>
      </c>
      <c r="D95" s="589">
        <f t="shared" si="11"/>
        <v>53</v>
      </c>
      <c r="E95" s="589" t="s">
        <v>4156</v>
      </c>
      <c r="F95" s="589" t="s">
        <v>4127</v>
      </c>
      <c r="G95" s="591">
        <v>308040.0</v>
      </c>
    </row>
    <row r="96" ht="15.75" customHeight="1">
      <c r="A96" s="593" t="s">
        <v>4435</v>
      </c>
      <c r="B96" s="589" t="s">
        <v>4125</v>
      </c>
      <c r="C96" s="590">
        <v>20888.0</v>
      </c>
      <c r="D96" s="589">
        <f t="shared" si="11"/>
        <v>62</v>
      </c>
      <c r="E96" s="589" t="s">
        <v>4126</v>
      </c>
      <c r="F96" s="589" t="s">
        <v>4127</v>
      </c>
      <c r="G96" s="591">
        <v>1017197.0</v>
      </c>
      <c r="J96" s="603" t="s">
        <v>315</v>
      </c>
      <c r="K96" s="603" t="s">
        <v>315</v>
      </c>
    </row>
    <row r="97" ht="15.75" customHeight="1">
      <c r="A97" s="595" t="s">
        <v>4436</v>
      </c>
      <c r="B97" s="589" t="s">
        <v>4125</v>
      </c>
      <c r="C97" s="590">
        <v>21799.0</v>
      </c>
      <c r="D97" s="589">
        <f t="shared" si="11"/>
        <v>60</v>
      </c>
      <c r="E97" s="589" t="s">
        <v>4213</v>
      </c>
      <c r="F97" s="589" t="s">
        <v>4127</v>
      </c>
      <c r="G97" s="591">
        <v>71421.48</v>
      </c>
    </row>
    <row r="98" ht="15.75" customHeight="1">
      <c r="A98" s="593" t="s">
        <v>4437</v>
      </c>
      <c r="B98" s="589" t="s">
        <v>3620</v>
      </c>
      <c r="C98" s="590">
        <v>21043.0</v>
      </c>
      <c r="D98" s="589">
        <f t="shared" si="11"/>
        <v>62</v>
      </c>
      <c r="E98" s="589" t="s">
        <v>4331</v>
      </c>
      <c r="F98" s="589" t="s">
        <v>4127</v>
      </c>
      <c r="G98" s="591">
        <v>67969.0</v>
      </c>
      <c r="J98" s="603" t="s">
        <v>315</v>
      </c>
    </row>
    <row r="99" ht="15.75" customHeight="1">
      <c r="A99" s="593" t="s">
        <v>4441</v>
      </c>
      <c r="B99" s="589" t="s">
        <v>4125</v>
      </c>
      <c r="C99" s="590">
        <v>29136.0</v>
      </c>
      <c r="D99" s="589">
        <f t="shared" si="11"/>
        <v>40</v>
      </c>
      <c r="E99" s="589" t="s">
        <v>4126</v>
      </c>
      <c r="F99" s="589" t="s">
        <v>4127</v>
      </c>
      <c r="G99" s="591">
        <v>62757.0</v>
      </c>
    </row>
    <row r="100" ht="15.75" customHeight="1">
      <c r="A100" s="593" t="s">
        <v>4442</v>
      </c>
      <c r="B100" s="589" t="s">
        <v>4125</v>
      </c>
      <c r="C100" s="590">
        <v>32029.0</v>
      </c>
      <c r="D100" s="589">
        <f t="shared" si="11"/>
        <v>32</v>
      </c>
      <c r="E100" s="589" t="s">
        <v>4126</v>
      </c>
      <c r="F100" s="589" t="s">
        <v>4127</v>
      </c>
      <c r="G100" s="591">
        <f>133946+176866</f>
        <v>310812</v>
      </c>
      <c r="J100" s="603" t="s">
        <v>315</v>
      </c>
    </row>
    <row r="101" ht="15.75" customHeight="1">
      <c r="A101" s="593" t="s">
        <v>4446</v>
      </c>
      <c r="B101" s="589" t="s">
        <v>4125</v>
      </c>
      <c r="C101" s="590">
        <v>24485.0</v>
      </c>
      <c r="D101" s="589">
        <f t="shared" si="11"/>
        <v>52</v>
      </c>
      <c r="E101" s="589" t="s">
        <v>4203</v>
      </c>
      <c r="F101" s="589" t="s">
        <v>4127</v>
      </c>
      <c r="G101" s="591">
        <v>60784.0</v>
      </c>
    </row>
    <row r="102" ht="15.75" customHeight="1">
      <c r="A102" s="601" t="s">
        <v>4447</v>
      </c>
      <c r="B102" s="589" t="s">
        <v>3620</v>
      </c>
      <c r="C102" s="590">
        <v>21939.0</v>
      </c>
      <c r="D102" s="589">
        <f t="shared" si="11"/>
        <v>59</v>
      </c>
      <c r="E102" s="589" t="s">
        <v>4357</v>
      </c>
      <c r="F102" s="589"/>
      <c r="G102" s="591">
        <v>198476.5</v>
      </c>
    </row>
    <row r="103" ht="15.75" customHeight="1">
      <c r="A103" s="601" t="s">
        <v>4448</v>
      </c>
      <c r="B103" s="589" t="s">
        <v>4125</v>
      </c>
      <c r="C103" s="590">
        <v>27955.0</v>
      </c>
      <c r="D103" s="589">
        <f t="shared" si="11"/>
        <v>43</v>
      </c>
      <c r="E103" s="589" t="s">
        <v>4232</v>
      </c>
      <c r="F103" s="589" t="s">
        <v>4127</v>
      </c>
      <c r="G103" s="591">
        <v>150629.56</v>
      </c>
      <c r="M103" s="603" t="s">
        <v>315</v>
      </c>
    </row>
    <row r="104" ht="15.75" customHeight="1">
      <c r="A104" s="593" t="s">
        <v>4451</v>
      </c>
      <c r="B104" s="589" t="s">
        <v>3620</v>
      </c>
      <c r="C104" s="590">
        <v>28704.0</v>
      </c>
      <c r="D104" s="589">
        <f t="shared" si="11"/>
        <v>41</v>
      </c>
      <c r="E104" s="589" t="s">
        <v>4143</v>
      </c>
      <c r="F104" s="589" t="s">
        <v>4291</v>
      </c>
      <c r="G104" s="591">
        <v>100118.47</v>
      </c>
      <c r="H104" s="603"/>
      <c r="I104" s="603"/>
    </row>
    <row r="105" ht="15.75" customHeight="1">
      <c r="A105" s="601" t="s">
        <v>4454</v>
      </c>
      <c r="B105" s="589" t="s">
        <v>3620</v>
      </c>
      <c r="C105" s="590">
        <v>29520.0</v>
      </c>
      <c r="D105" s="589">
        <f t="shared" si="11"/>
        <v>39</v>
      </c>
      <c r="E105" s="589" t="s">
        <v>4455</v>
      </c>
      <c r="F105" s="589"/>
      <c r="G105" s="591">
        <v>354808.07</v>
      </c>
      <c r="L105" s="603" t="s">
        <v>315</v>
      </c>
    </row>
    <row r="106" ht="15.75" customHeight="1">
      <c r="A106" s="595" t="s">
        <v>4456</v>
      </c>
      <c r="B106" s="589" t="s">
        <v>3620</v>
      </c>
      <c r="C106" s="590">
        <v>29544.0</v>
      </c>
      <c r="D106" s="589">
        <f t="shared" si="11"/>
        <v>39</v>
      </c>
      <c r="E106" s="589" t="s">
        <v>4385</v>
      </c>
      <c r="F106" s="589" t="s">
        <v>4127</v>
      </c>
      <c r="G106" s="591">
        <v>103186.0</v>
      </c>
      <c r="K106" s="603" t="s">
        <v>315</v>
      </c>
    </row>
    <row r="107" ht="15.75" customHeight="1">
      <c r="A107" s="593" t="s">
        <v>4457</v>
      </c>
      <c r="B107" s="589" t="s">
        <v>3620</v>
      </c>
      <c r="C107" s="590">
        <v>21261.0</v>
      </c>
      <c r="D107" s="589">
        <f t="shared" si="11"/>
        <v>61</v>
      </c>
      <c r="E107" s="589" t="s">
        <v>4458</v>
      </c>
      <c r="F107" s="589" t="s">
        <v>4183</v>
      </c>
      <c r="G107" s="591">
        <v>210352.0</v>
      </c>
      <c r="J107" s="603" t="s">
        <v>315</v>
      </c>
    </row>
    <row r="108" ht="15.75" customHeight="1">
      <c r="A108" s="601" t="s">
        <v>4459</v>
      </c>
      <c r="B108" s="589" t="s">
        <v>4125</v>
      </c>
      <c r="C108" s="590">
        <v>21704.0</v>
      </c>
      <c r="D108" s="589">
        <f t="shared" si="11"/>
        <v>60</v>
      </c>
      <c r="E108" s="589" t="s">
        <v>4203</v>
      </c>
      <c r="F108" s="589"/>
      <c r="G108" s="591">
        <v>518146.65</v>
      </c>
      <c r="K108" s="603" t="s">
        <v>315</v>
      </c>
    </row>
    <row r="109" ht="15.75" customHeight="1">
      <c r="A109" s="595" t="s">
        <v>4460</v>
      </c>
      <c r="B109" s="589" t="s">
        <v>3620</v>
      </c>
      <c r="C109" s="590">
        <v>21926.0</v>
      </c>
      <c r="D109" s="589">
        <f t="shared" si="11"/>
        <v>59</v>
      </c>
      <c r="E109" s="589" t="s">
        <v>4267</v>
      </c>
      <c r="F109" s="589" t="s">
        <v>4127</v>
      </c>
      <c r="G109" s="591">
        <v>168315.0</v>
      </c>
    </row>
    <row r="110" ht="15.75" customHeight="1">
      <c r="A110" s="593" t="s">
        <v>4464</v>
      </c>
      <c r="B110" s="589" t="s">
        <v>3620</v>
      </c>
      <c r="C110" s="590">
        <v>31805.0</v>
      </c>
      <c r="D110" s="589">
        <f t="shared" si="11"/>
        <v>32</v>
      </c>
      <c r="E110" s="589" t="s">
        <v>4467</v>
      </c>
      <c r="F110" s="589" t="s">
        <v>4127</v>
      </c>
      <c r="G110" s="591">
        <v>123497.0</v>
      </c>
    </row>
    <row r="111" ht="15.75" customHeight="1">
      <c r="A111" s="593" t="s">
        <v>4469</v>
      </c>
      <c r="B111" s="589" t="s">
        <v>3620</v>
      </c>
      <c r="C111" s="590">
        <v>32080.0</v>
      </c>
      <c r="D111" s="589">
        <f t="shared" si="11"/>
        <v>32</v>
      </c>
      <c r="E111" s="589" t="s">
        <v>4168</v>
      </c>
      <c r="F111" s="589" t="s">
        <v>4127</v>
      </c>
      <c r="G111" s="591">
        <v>135476.0</v>
      </c>
    </row>
    <row r="112" ht="15.75" customHeight="1">
      <c r="A112" s="593" t="s">
        <v>4473</v>
      </c>
      <c r="B112" s="589" t="s">
        <v>3620</v>
      </c>
      <c r="C112" s="590">
        <v>32700.0</v>
      </c>
      <c r="D112" s="589">
        <f t="shared" si="11"/>
        <v>30</v>
      </c>
      <c r="E112" s="589" t="s">
        <v>4474</v>
      </c>
      <c r="F112" s="589" t="s">
        <v>4127</v>
      </c>
      <c r="G112" s="591">
        <v>5250.0</v>
      </c>
      <c r="J112" s="603" t="s">
        <v>315</v>
      </c>
    </row>
    <row r="113" ht="15.75" customHeight="1">
      <c r="A113" s="593" t="s">
        <v>4475</v>
      </c>
      <c r="B113" s="589" t="s">
        <v>4125</v>
      </c>
      <c r="C113" s="590">
        <v>29491.0</v>
      </c>
      <c r="D113" s="589">
        <f t="shared" si="11"/>
        <v>39</v>
      </c>
      <c r="E113" s="589"/>
      <c r="F113" s="589" t="s">
        <v>4127</v>
      </c>
      <c r="G113" s="591">
        <v>61457.0</v>
      </c>
      <c r="J113" s="603" t="s">
        <v>315</v>
      </c>
    </row>
    <row r="114" ht="15.75" customHeight="1">
      <c r="A114" s="609" t="s">
        <v>4477</v>
      </c>
      <c r="B114" s="589" t="s">
        <v>4125</v>
      </c>
      <c r="C114" s="590">
        <v>20383.0</v>
      </c>
      <c r="D114" s="589">
        <f t="shared" si="11"/>
        <v>64</v>
      </c>
      <c r="E114" s="589" t="s">
        <v>4478</v>
      </c>
      <c r="F114" s="589" t="s">
        <v>4127</v>
      </c>
      <c r="G114" s="591">
        <v>185472.0</v>
      </c>
      <c r="J114" s="603" t="s">
        <v>315</v>
      </c>
      <c r="K114" s="603" t="s">
        <v>315</v>
      </c>
    </row>
    <row r="115" ht="15.75" customHeight="1">
      <c r="A115" s="595" t="s">
        <v>4479</v>
      </c>
      <c r="B115" s="589" t="s">
        <v>4125</v>
      </c>
      <c r="C115" s="590">
        <v>36924.0</v>
      </c>
      <c r="D115" s="589">
        <f t="shared" si="11"/>
        <v>18</v>
      </c>
      <c r="E115" s="589" t="s">
        <v>4156</v>
      </c>
      <c r="F115" s="589" t="s">
        <v>4127</v>
      </c>
      <c r="G115" s="591">
        <v>238256.0</v>
      </c>
      <c r="L115" s="603" t="s">
        <v>315</v>
      </c>
    </row>
    <row r="116" ht="15.75" customHeight="1">
      <c r="A116" s="593" t="s">
        <v>4482</v>
      </c>
      <c r="B116" s="589" t="s">
        <v>3620</v>
      </c>
      <c r="C116" s="590">
        <v>21111.0</v>
      </c>
      <c r="D116" s="589">
        <f t="shared" si="11"/>
        <v>62</v>
      </c>
      <c r="E116" s="589" t="s">
        <v>4267</v>
      </c>
      <c r="F116" s="589" t="s">
        <v>4127</v>
      </c>
      <c r="G116" s="591">
        <v>612317.0</v>
      </c>
    </row>
    <row r="117" ht="15.75" customHeight="1">
      <c r="A117" s="593" t="s">
        <v>4488</v>
      </c>
      <c r="B117" s="589" t="s">
        <v>4125</v>
      </c>
      <c r="C117" s="590">
        <v>24865.0</v>
      </c>
      <c r="D117" s="589">
        <f t="shared" si="11"/>
        <v>51</v>
      </c>
      <c r="E117" s="589" t="s">
        <v>4143</v>
      </c>
      <c r="F117" s="589" t="s">
        <v>4127</v>
      </c>
      <c r="G117" s="591">
        <v>278735.0</v>
      </c>
    </row>
    <row r="118" ht="15.75" customHeight="1">
      <c r="A118" s="601" t="s">
        <v>4489</v>
      </c>
      <c r="B118" s="589" t="s">
        <v>4125</v>
      </c>
      <c r="C118" s="590">
        <v>28041.0</v>
      </c>
      <c r="D118" s="589">
        <f t="shared" si="11"/>
        <v>43</v>
      </c>
      <c r="E118" s="589" t="s">
        <v>4490</v>
      </c>
      <c r="F118" s="589"/>
      <c r="G118" s="591">
        <v>104765.52</v>
      </c>
    </row>
    <row r="119" ht="15.75" customHeight="1">
      <c r="B119" s="617"/>
      <c r="C119" s="617" t="s">
        <v>4491</v>
      </c>
      <c r="D119" s="617"/>
      <c r="E119" s="617" t="s">
        <v>4491</v>
      </c>
      <c r="F119" s="617"/>
      <c r="G119" s="617" t="s">
        <v>4054</v>
      </c>
    </row>
    <row r="120" ht="15.75" customHeight="1">
      <c r="B120" s="617"/>
      <c r="C120" s="617">
        <f>COUNTIF(C2:C118,"")</f>
        <v>5</v>
      </c>
      <c r="D120" s="617"/>
      <c r="E120" s="617">
        <f>COUNTIF(E2:E118,"")</f>
        <v>5</v>
      </c>
      <c r="F120" s="617"/>
      <c r="G120" s="618">
        <f>SUM(G2:G119)</f>
        <v>32577145.17</v>
      </c>
      <c r="J120" s="603" t="s">
        <v>315</v>
      </c>
    </row>
    <row r="121" ht="15.75" customHeight="1">
      <c r="B121" s="617"/>
      <c r="C121" s="619">
        <v>43833.0</v>
      </c>
      <c r="D121" s="617"/>
      <c r="E121" s="617"/>
      <c r="F121" s="617"/>
    </row>
    <row r="122" ht="15.75" customHeight="1">
      <c r="B122" s="617"/>
      <c r="C122" s="617"/>
      <c r="D122" s="617"/>
      <c r="E122" s="617"/>
      <c r="F122" s="617"/>
    </row>
    <row r="123" ht="15.75" customHeight="1">
      <c r="B123" s="617"/>
      <c r="C123" s="617"/>
      <c r="D123" s="617"/>
      <c r="E123" s="617"/>
      <c r="F123" s="617"/>
    </row>
    <row r="124" ht="15.75" customHeight="1">
      <c r="B124" s="617"/>
      <c r="C124" s="617"/>
      <c r="D124" s="617"/>
      <c r="E124" s="617"/>
      <c r="F124" s="617"/>
    </row>
    <row r="125" ht="15.75" customHeight="1">
      <c r="A125" s="595" t="s">
        <v>4500</v>
      </c>
      <c r="B125" s="597">
        <v>3.262206002E7</v>
      </c>
      <c r="C125" s="597">
        <v>799508.4</v>
      </c>
      <c r="D125" s="597">
        <v>7162789.72</v>
      </c>
      <c r="E125" s="620">
        <f t="shared" ref="E125:E127" si="12">SUM(B125:D125)</f>
        <v>40584358.14</v>
      </c>
      <c r="F125" s="617"/>
    </row>
    <row r="126" ht="15.75" customHeight="1">
      <c r="A126" s="595" t="s">
        <v>4501</v>
      </c>
      <c r="B126" s="597">
        <v>3.50797521E7</v>
      </c>
      <c r="C126" s="597">
        <v>1206943.15</v>
      </c>
      <c r="D126" s="597">
        <v>7539307.39</v>
      </c>
      <c r="E126" s="620">
        <f t="shared" si="12"/>
        <v>43826002.64</v>
      </c>
      <c r="F126" s="617"/>
    </row>
    <row r="127" ht="15.75" customHeight="1">
      <c r="A127" s="595" t="s">
        <v>4503</v>
      </c>
      <c r="B127" s="597">
        <v>3.236243678E7</v>
      </c>
      <c r="C127" s="597">
        <v>1197314.59</v>
      </c>
      <c r="D127" s="597">
        <v>6426195.59</v>
      </c>
      <c r="E127" s="620">
        <f t="shared" si="12"/>
        <v>39985946.96</v>
      </c>
      <c r="F127" s="617"/>
    </row>
    <row r="128" ht="15.75" customHeight="1">
      <c r="B128" s="617"/>
      <c r="C128" s="617"/>
      <c r="D128" s="617"/>
      <c r="E128" s="617"/>
      <c r="F128" s="617"/>
    </row>
    <row r="129" ht="15.75" customHeight="1">
      <c r="B129" s="617"/>
      <c r="C129" s="617"/>
      <c r="D129" s="617"/>
      <c r="E129" s="617"/>
      <c r="F129" s="617"/>
    </row>
    <row r="130" ht="15.75" customHeight="1">
      <c r="B130" s="617"/>
      <c r="C130" s="617"/>
      <c r="D130" s="617"/>
      <c r="E130" s="617"/>
      <c r="F130" s="617"/>
    </row>
    <row r="131" ht="15.75" customHeight="1">
      <c r="B131" s="617"/>
      <c r="C131" s="617"/>
      <c r="D131" s="617"/>
      <c r="E131" s="617"/>
      <c r="F131" s="617"/>
    </row>
    <row r="132" ht="15.75" customHeight="1">
      <c r="B132" s="617"/>
      <c r="C132" s="617"/>
      <c r="D132" s="617"/>
      <c r="E132" s="617"/>
      <c r="F132" s="617"/>
    </row>
    <row r="133" ht="15.75" customHeight="1">
      <c r="B133" s="617"/>
      <c r="C133" s="617"/>
      <c r="D133" s="617"/>
      <c r="E133" s="617"/>
      <c r="F133" s="617"/>
    </row>
    <row r="134" ht="15.75" customHeight="1">
      <c r="B134" s="617"/>
      <c r="C134" s="617"/>
      <c r="D134" s="617"/>
      <c r="E134" s="617"/>
      <c r="F134" s="617"/>
    </row>
    <row r="135" ht="15.75" customHeight="1">
      <c r="B135" s="617"/>
      <c r="C135" s="617"/>
      <c r="D135" s="617"/>
      <c r="E135" s="617"/>
      <c r="F135" s="617"/>
    </row>
    <row r="136" ht="15.75" customHeight="1">
      <c r="B136" s="617"/>
      <c r="C136" s="617"/>
      <c r="D136" s="617"/>
      <c r="E136" s="617"/>
      <c r="F136" s="617"/>
    </row>
    <row r="137" ht="15.75" customHeight="1">
      <c r="B137" s="617"/>
      <c r="C137" s="617"/>
      <c r="D137" s="617"/>
      <c r="E137" s="617"/>
      <c r="F137" s="617"/>
    </row>
    <row r="138" ht="15.75" customHeight="1">
      <c r="B138" s="617"/>
      <c r="C138" s="617"/>
      <c r="D138" s="617"/>
      <c r="E138" s="617"/>
      <c r="F138" s="617"/>
    </row>
    <row r="139" ht="15.75" customHeight="1">
      <c r="B139" s="617"/>
      <c r="C139" s="617"/>
      <c r="D139" s="617"/>
      <c r="E139" s="617"/>
      <c r="F139" s="617"/>
    </row>
    <row r="140" ht="15.75" customHeight="1">
      <c r="B140" s="617"/>
      <c r="C140" s="617"/>
      <c r="D140" s="617"/>
      <c r="E140" s="617"/>
      <c r="F140" s="617"/>
    </row>
    <row r="141" ht="15.75" customHeight="1">
      <c r="B141" s="617"/>
      <c r="C141" s="617"/>
      <c r="D141" s="617"/>
      <c r="E141" s="617"/>
      <c r="F141" s="617"/>
    </row>
    <row r="142" ht="15.75" customHeight="1">
      <c r="B142" s="617"/>
      <c r="C142" s="617"/>
      <c r="D142" s="617"/>
      <c r="E142" s="617"/>
      <c r="F142" s="617"/>
    </row>
    <row r="143" ht="15.75" customHeight="1">
      <c r="B143" s="617"/>
      <c r="C143" s="617"/>
      <c r="D143" s="617"/>
      <c r="E143" s="617"/>
      <c r="F143" s="617"/>
    </row>
    <row r="144" ht="15.75" customHeight="1">
      <c r="B144" s="617"/>
      <c r="C144" s="617"/>
      <c r="D144" s="617"/>
      <c r="E144" s="617"/>
      <c r="F144" s="617"/>
    </row>
    <row r="145" ht="15.75" customHeight="1">
      <c r="B145" s="617"/>
      <c r="C145" s="617"/>
      <c r="D145" s="617"/>
      <c r="E145" s="617"/>
      <c r="F145" s="617"/>
    </row>
    <row r="146" ht="15.75" customHeight="1">
      <c r="B146" s="617"/>
      <c r="C146" s="617"/>
      <c r="D146" s="617"/>
      <c r="E146" s="617"/>
      <c r="F146" s="617"/>
    </row>
    <row r="147" ht="15.75" customHeight="1">
      <c r="B147" s="617"/>
      <c r="C147" s="617"/>
      <c r="D147" s="617"/>
      <c r="E147" s="617"/>
      <c r="F147" s="617"/>
    </row>
    <row r="148" ht="15.75" customHeight="1">
      <c r="B148" s="617"/>
      <c r="C148" s="617"/>
      <c r="D148" s="617"/>
      <c r="E148" s="617"/>
      <c r="F148" s="617"/>
    </row>
    <row r="149" ht="15.75" customHeight="1">
      <c r="B149" s="617"/>
      <c r="C149" s="617"/>
      <c r="D149" s="617"/>
      <c r="E149" s="617"/>
      <c r="F149" s="617"/>
    </row>
    <row r="150" ht="15.75" customHeight="1">
      <c r="B150" s="617"/>
      <c r="C150" s="617"/>
      <c r="D150" s="617"/>
      <c r="E150" s="617"/>
      <c r="F150" s="617"/>
    </row>
    <row r="151" ht="15.75" customHeight="1">
      <c r="B151" s="617"/>
      <c r="C151" s="617"/>
      <c r="D151" s="617"/>
      <c r="E151" s="617"/>
      <c r="F151" s="617"/>
    </row>
    <row r="152" ht="15.75" customHeight="1">
      <c r="B152" s="617"/>
      <c r="C152" s="617"/>
      <c r="D152" s="617"/>
      <c r="E152" s="617"/>
      <c r="F152" s="617"/>
    </row>
    <row r="153" ht="15.75" customHeight="1">
      <c r="B153" s="617"/>
      <c r="C153" s="617"/>
      <c r="D153" s="617"/>
      <c r="E153" s="617"/>
      <c r="F153" s="617"/>
    </row>
    <row r="154" ht="15.75" customHeight="1">
      <c r="B154" s="617"/>
      <c r="C154" s="617"/>
      <c r="D154" s="617"/>
      <c r="E154" s="617"/>
      <c r="F154" s="617"/>
    </row>
    <row r="155" ht="15.75" customHeight="1">
      <c r="B155" s="617"/>
      <c r="C155" s="617"/>
      <c r="D155" s="617"/>
      <c r="E155" s="617"/>
      <c r="F155" s="617"/>
    </row>
    <row r="156" ht="15.75" customHeight="1">
      <c r="B156" s="617"/>
      <c r="C156" s="617"/>
      <c r="D156" s="617"/>
      <c r="E156" s="617"/>
      <c r="F156" s="617"/>
    </row>
    <row r="157" ht="15.75" customHeight="1">
      <c r="B157" s="617"/>
      <c r="C157" s="617"/>
      <c r="D157" s="617"/>
      <c r="E157" s="617"/>
      <c r="F157" s="617"/>
    </row>
    <row r="158" ht="15.75" customHeight="1">
      <c r="B158" s="617"/>
      <c r="C158" s="617"/>
      <c r="D158" s="617"/>
      <c r="E158" s="617"/>
      <c r="F158" s="617"/>
    </row>
    <row r="159" ht="15.75" customHeight="1">
      <c r="B159" s="617"/>
      <c r="C159" s="617"/>
      <c r="D159" s="617"/>
      <c r="E159" s="617"/>
      <c r="F159" s="617"/>
    </row>
    <row r="160" ht="15.75" customHeight="1">
      <c r="B160" s="617"/>
      <c r="C160" s="617"/>
      <c r="D160" s="617"/>
      <c r="E160" s="617"/>
      <c r="F160" s="617"/>
    </row>
    <row r="161" ht="15.75" customHeight="1">
      <c r="B161" s="617"/>
      <c r="C161" s="617"/>
      <c r="D161" s="617"/>
      <c r="E161" s="617"/>
      <c r="F161" s="617"/>
    </row>
    <row r="162" ht="15.75" customHeight="1">
      <c r="B162" s="617"/>
      <c r="C162" s="617"/>
      <c r="D162" s="617"/>
      <c r="E162" s="617"/>
      <c r="F162" s="617"/>
    </row>
    <row r="163" ht="15.75" customHeight="1">
      <c r="B163" s="617"/>
      <c r="C163" s="617"/>
      <c r="D163" s="617"/>
      <c r="E163" s="617"/>
      <c r="F163" s="617"/>
    </row>
    <row r="164" ht="15.75" customHeight="1">
      <c r="B164" s="617"/>
      <c r="C164" s="617"/>
      <c r="D164" s="617"/>
      <c r="E164" s="617"/>
      <c r="F164" s="617"/>
    </row>
    <row r="165" ht="15.75" customHeight="1">
      <c r="B165" s="617"/>
      <c r="C165" s="617"/>
      <c r="D165" s="617"/>
      <c r="E165" s="617"/>
      <c r="F165" s="617"/>
    </row>
    <row r="166" ht="15.75" customHeight="1">
      <c r="B166" s="617"/>
      <c r="C166" s="617"/>
      <c r="D166" s="617"/>
      <c r="E166" s="617"/>
      <c r="F166" s="617"/>
    </row>
    <row r="167" ht="15.75" customHeight="1">
      <c r="B167" s="617"/>
      <c r="C167" s="617"/>
      <c r="D167" s="617"/>
      <c r="E167" s="617"/>
      <c r="F167" s="617"/>
    </row>
    <row r="168" ht="15.75" customHeight="1">
      <c r="B168" s="617"/>
      <c r="C168" s="617"/>
      <c r="D168" s="617"/>
      <c r="E168" s="617"/>
      <c r="F168" s="617"/>
    </row>
    <row r="169" ht="15.75" customHeight="1">
      <c r="B169" s="617"/>
      <c r="C169" s="617"/>
      <c r="D169" s="617"/>
      <c r="E169" s="617"/>
      <c r="F169" s="617"/>
    </row>
    <row r="170" ht="15.75" customHeight="1">
      <c r="B170" s="617"/>
      <c r="C170" s="617"/>
      <c r="D170" s="617"/>
      <c r="E170" s="617"/>
      <c r="F170" s="617"/>
    </row>
    <row r="171" ht="15.75" customHeight="1">
      <c r="B171" s="617"/>
      <c r="C171" s="617"/>
      <c r="D171" s="617"/>
      <c r="E171" s="617"/>
      <c r="F171" s="617"/>
    </row>
    <row r="172" ht="15.75" customHeight="1">
      <c r="B172" s="617"/>
      <c r="C172" s="617"/>
      <c r="D172" s="617"/>
      <c r="E172" s="617"/>
      <c r="F172" s="617"/>
    </row>
    <row r="173" ht="15.75" customHeight="1">
      <c r="B173" s="617"/>
      <c r="C173" s="617"/>
      <c r="D173" s="617"/>
      <c r="E173" s="617"/>
      <c r="F173" s="617"/>
    </row>
    <row r="174" ht="15.75" customHeight="1">
      <c r="B174" s="617"/>
      <c r="C174" s="617"/>
      <c r="D174" s="617"/>
      <c r="E174" s="617"/>
      <c r="F174" s="617"/>
    </row>
    <row r="175" ht="15.75" customHeight="1">
      <c r="B175" s="617"/>
      <c r="C175" s="617"/>
      <c r="D175" s="617"/>
      <c r="E175" s="617"/>
      <c r="F175" s="617"/>
    </row>
    <row r="176" ht="15.75" customHeight="1">
      <c r="B176" s="617"/>
      <c r="C176" s="617"/>
      <c r="D176" s="617"/>
      <c r="E176" s="617"/>
      <c r="F176" s="617"/>
    </row>
    <row r="177" ht="15.75" customHeight="1">
      <c r="B177" s="617"/>
      <c r="C177" s="617"/>
      <c r="D177" s="617"/>
      <c r="E177" s="617"/>
      <c r="F177" s="617"/>
    </row>
    <row r="178" ht="15.75" customHeight="1">
      <c r="B178" s="617"/>
      <c r="C178" s="617"/>
      <c r="D178" s="617"/>
      <c r="E178" s="617"/>
      <c r="F178" s="617"/>
    </row>
    <row r="179" ht="15.75" customHeight="1">
      <c r="B179" s="617"/>
      <c r="C179" s="617"/>
      <c r="D179" s="617"/>
      <c r="E179" s="617"/>
      <c r="F179" s="617"/>
    </row>
    <row r="180" ht="15.75" customHeight="1">
      <c r="B180" s="617"/>
      <c r="C180" s="617"/>
      <c r="D180" s="617"/>
      <c r="E180" s="617"/>
      <c r="F180" s="617"/>
    </row>
    <row r="181" ht="15.75" customHeight="1">
      <c r="B181" s="617"/>
      <c r="C181" s="617"/>
      <c r="D181" s="617"/>
      <c r="E181" s="617"/>
      <c r="F181" s="617"/>
    </row>
    <row r="182" ht="15.75" customHeight="1">
      <c r="B182" s="617"/>
      <c r="C182" s="617"/>
      <c r="D182" s="617"/>
      <c r="E182" s="617"/>
      <c r="F182" s="617"/>
    </row>
    <row r="183" ht="15.75" customHeight="1">
      <c r="B183" s="617"/>
      <c r="C183" s="617"/>
      <c r="D183" s="617"/>
      <c r="E183" s="617"/>
      <c r="F183" s="617"/>
    </row>
    <row r="184" ht="15.75" customHeight="1">
      <c r="B184" s="617"/>
      <c r="C184" s="617"/>
      <c r="D184" s="617"/>
      <c r="E184" s="617"/>
      <c r="F184" s="617"/>
    </row>
    <row r="185" ht="15.75" customHeight="1">
      <c r="B185" s="617"/>
      <c r="C185" s="617"/>
      <c r="D185" s="617"/>
      <c r="E185" s="617"/>
      <c r="F185" s="617"/>
    </row>
    <row r="186" ht="15.75" customHeight="1">
      <c r="B186" s="617"/>
      <c r="C186" s="617"/>
      <c r="D186" s="617"/>
      <c r="E186" s="617"/>
      <c r="F186" s="617"/>
    </row>
    <row r="187" ht="15.75" customHeight="1">
      <c r="B187" s="617"/>
      <c r="C187" s="617"/>
      <c r="D187" s="617"/>
      <c r="E187" s="617"/>
      <c r="F187" s="617"/>
    </row>
    <row r="188" ht="15.75" customHeight="1">
      <c r="B188" s="617"/>
      <c r="C188" s="617"/>
      <c r="D188" s="617"/>
      <c r="E188" s="617"/>
      <c r="F188" s="617"/>
    </row>
    <row r="189" ht="15.75" customHeight="1">
      <c r="B189" s="617"/>
      <c r="C189" s="617"/>
      <c r="D189" s="617"/>
      <c r="E189" s="617"/>
      <c r="F189" s="617"/>
    </row>
    <row r="190" ht="15.75" customHeight="1">
      <c r="B190" s="617"/>
      <c r="C190" s="617"/>
      <c r="D190" s="617"/>
      <c r="E190" s="617"/>
      <c r="F190" s="617"/>
    </row>
    <row r="191" ht="15.75" customHeight="1">
      <c r="B191" s="617"/>
      <c r="C191" s="617"/>
      <c r="D191" s="617"/>
      <c r="E191" s="617"/>
      <c r="F191" s="617"/>
    </row>
    <row r="192" ht="15.75" customHeight="1">
      <c r="B192" s="617"/>
      <c r="C192" s="617"/>
      <c r="D192" s="617"/>
      <c r="E192" s="617"/>
      <c r="F192" s="617"/>
    </row>
    <row r="193" ht="15.75" customHeight="1">
      <c r="B193" s="617"/>
      <c r="C193" s="617"/>
      <c r="D193" s="617"/>
      <c r="E193" s="617"/>
      <c r="F193" s="617"/>
    </row>
    <row r="194" ht="15.75" customHeight="1">
      <c r="B194" s="617"/>
      <c r="C194" s="617"/>
      <c r="D194" s="617"/>
      <c r="E194" s="617"/>
      <c r="F194" s="617"/>
    </row>
    <row r="195" ht="15.75" customHeight="1">
      <c r="B195" s="617"/>
      <c r="C195" s="617"/>
      <c r="D195" s="617"/>
      <c r="E195" s="617"/>
      <c r="F195" s="617"/>
    </row>
    <row r="196" ht="15.75" customHeight="1">
      <c r="B196" s="617"/>
      <c r="C196" s="617"/>
      <c r="D196" s="617"/>
      <c r="E196" s="617"/>
      <c r="F196" s="617"/>
    </row>
    <row r="197" ht="15.75" customHeight="1">
      <c r="B197" s="617"/>
      <c r="C197" s="617"/>
      <c r="D197" s="617"/>
      <c r="E197" s="617"/>
      <c r="F197" s="617"/>
    </row>
    <row r="198" ht="15.75" customHeight="1">
      <c r="B198" s="617"/>
      <c r="C198" s="617"/>
      <c r="D198" s="617"/>
      <c r="E198" s="617"/>
      <c r="F198" s="617"/>
    </row>
    <row r="199" ht="15.75" customHeight="1">
      <c r="B199" s="617"/>
      <c r="C199" s="617"/>
      <c r="D199" s="617"/>
      <c r="E199" s="617"/>
      <c r="F199" s="617"/>
    </row>
    <row r="200" ht="15.75" customHeight="1">
      <c r="B200" s="617"/>
      <c r="C200" s="617"/>
      <c r="D200" s="617"/>
      <c r="E200" s="617"/>
      <c r="F200" s="617"/>
    </row>
    <row r="201" ht="15.75" customHeight="1">
      <c r="B201" s="617"/>
      <c r="C201" s="617"/>
      <c r="D201" s="617"/>
      <c r="E201" s="617"/>
      <c r="F201" s="617"/>
    </row>
    <row r="202" ht="15.75" customHeight="1">
      <c r="B202" s="617"/>
      <c r="C202" s="617"/>
      <c r="D202" s="617"/>
      <c r="E202" s="617"/>
      <c r="F202" s="617"/>
    </row>
    <row r="203" ht="15.75" customHeight="1">
      <c r="B203" s="617"/>
      <c r="C203" s="617"/>
      <c r="D203" s="617"/>
      <c r="E203" s="617"/>
      <c r="F203" s="617"/>
    </row>
    <row r="204" ht="15.75" customHeight="1">
      <c r="B204" s="617"/>
      <c r="C204" s="617"/>
      <c r="D204" s="617"/>
      <c r="E204" s="617"/>
      <c r="F204" s="617"/>
    </row>
    <row r="205" ht="15.75" customHeight="1">
      <c r="B205" s="617"/>
      <c r="C205" s="617"/>
      <c r="D205" s="617"/>
      <c r="E205" s="617"/>
      <c r="F205" s="617"/>
    </row>
    <row r="206" ht="15.75" customHeight="1">
      <c r="B206" s="617"/>
      <c r="C206" s="617"/>
      <c r="D206" s="617"/>
      <c r="E206" s="617"/>
      <c r="F206" s="617"/>
    </row>
    <row r="207" ht="15.75" customHeight="1">
      <c r="B207" s="617"/>
      <c r="C207" s="617"/>
      <c r="D207" s="617"/>
      <c r="E207" s="617"/>
      <c r="F207" s="617"/>
    </row>
    <row r="208" ht="15.75" customHeight="1">
      <c r="B208" s="617"/>
      <c r="C208" s="617"/>
      <c r="D208" s="617"/>
      <c r="E208" s="617"/>
      <c r="F208" s="617"/>
    </row>
    <row r="209" ht="15.75" customHeight="1">
      <c r="B209" s="617"/>
      <c r="C209" s="617"/>
      <c r="D209" s="617"/>
      <c r="E209" s="617"/>
      <c r="F209" s="617"/>
    </row>
    <row r="210" ht="15.75" customHeight="1">
      <c r="B210" s="617"/>
      <c r="C210" s="617"/>
      <c r="D210" s="617"/>
      <c r="E210" s="617"/>
      <c r="F210" s="617"/>
    </row>
    <row r="211" ht="15.75" customHeight="1">
      <c r="B211" s="617"/>
      <c r="C211" s="617"/>
      <c r="D211" s="617"/>
      <c r="E211" s="617"/>
      <c r="F211" s="617"/>
    </row>
    <row r="212" ht="15.75" customHeight="1">
      <c r="B212" s="617"/>
      <c r="C212" s="617"/>
      <c r="D212" s="617"/>
      <c r="E212" s="617"/>
      <c r="F212" s="617"/>
    </row>
    <row r="213" ht="15.75" customHeight="1">
      <c r="B213" s="617"/>
      <c r="C213" s="617"/>
      <c r="D213" s="617"/>
      <c r="E213" s="617"/>
      <c r="F213" s="617"/>
    </row>
    <row r="214" ht="15.75" customHeight="1">
      <c r="B214" s="617"/>
      <c r="C214" s="617"/>
      <c r="D214" s="617"/>
      <c r="E214" s="617"/>
      <c r="F214" s="617"/>
    </row>
    <row r="215" ht="15.75" customHeight="1">
      <c r="B215" s="617"/>
      <c r="C215" s="617"/>
      <c r="D215" s="617"/>
      <c r="E215" s="617"/>
      <c r="F215" s="617"/>
    </row>
    <row r="216" ht="15.75" customHeight="1">
      <c r="B216" s="617"/>
      <c r="C216" s="617"/>
      <c r="D216" s="617"/>
      <c r="E216" s="617"/>
      <c r="F216" s="617"/>
    </row>
    <row r="217" ht="15.75" customHeight="1">
      <c r="B217" s="617"/>
      <c r="C217" s="617"/>
      <c r="D217" s="617"/>
      <c r="E217" s="617"/>
      <c r="F217" s="617"/>
    </row>
    <row r="218" ht="15.75" customHeight="1">
      <c r="B218" s="617"/>
      <c r="C218" s="617"/>
      <c r="D218" s="617"/>
      <c r="E218" s="617"/>
      <c r="F218" s="617"/>
    </row>
    <row r="219" ht="15.75" customHeight="1">
      <c r="B219" s="617"/>
      <c r="C219" s="617"/>
      <c r="D219" s="617"/>
      <c r="E219" s="617"/>
      <c r="F219" s="617"/>
    </row>
    <row r="220" ht="15.75" customHeight="1">
      <c r="B220" s="617"/>
      <c r="C220" s="617"/>
      <c r="D220" s="617"/>
      <c r="E220" s="617"/>
      <c r="F220" s="617"/>
    </row>
    <row r="221" ht="15.75" customHeight="1">
      <c r="B221" s="617"/>
      <c r="C221" s="617"/>
      <c r="D221" s="617"/>
      <c r="E221" s="617"/>
      <c r="F221" s="617"/>
    </row>
    <row r="222" ht="15.75" customHeight="1">
      <c r="B222" s="617"/>
      <c r="C222" s="617"/>
      <c r="D222" s="617"/>
      <c r="E222" s="617"/>
      <c r="F222" s="617"/>
    </row>
    <row r="223" ht="15.75" customHeight="1">
      <c r="B223" s="617"/>
      <c r="C223" s="617"/>
      <c r="D223" s="617"/>
      <c r="E223" s="617"/>
      <c r="F223" s="617"/>
    </row>
    <row r="224" ht="15.75" customHeight="1">
      <c r="B224" s="617"/>
      <c r="C224" s="617"/>
      <c r="D224" s="617"/>
      <c r="E224" s="617"/>
      <c r="F224" s="617"/>
    </row>
    <row r="225" ht="15.75" customHeight="1">
      <c r="B225" s="617"/>
      <c r="C225" s="617"/>
      <c r="D225" s="617"/>
      <c r="E225" s="617"/>
      <c r="F225" s="617"/>
    </row>
    <row r="226" ht="15.75" customHeight="1">
      <c r="B226" s="617"/>
      <c r="C226" s="617"/>
      <c r="D226" s="617"/>
      <c r="E226" s="617"/>
      <c r="F226" s="617"/>
    </row>
    <row r="227" ht="15.75" customHeight="1">
      <c r="B227" s="617"/>
      <c r="C227" s="617"/>
      <c r="D227" s="617"/>
      <c r="E227" s="617"/>
      <c r="F227" s="617"/>
    </row>
    <row r="228" ht="15.75" customHeight="1">
      <c r="B228" s="617"/>
      <c r="C228" s="617"/>
      <c r="D228" s="617"/>
      <c r="E228" s="617"/>
      <c r="F228" s="617"/>
    </row>
    <row r="229" ht="15.75" customHeight="1">
      <c r="B229" s="617"/>
      <c r="C229" s="617"/>
      <c r="D229" s="617"/>
      <c r="E229" s="617"/>
      <c r="F229" s="617"/>
    </row>
    <row r="230" ht="15.75" customHeight="1">
      <c r="B230" s="617"/>
      <c r="C230" s="617"/>
      <c r="D230" s="617"/>
      <c r="E230" s="617"/>
      <c r="F230" s="617"/>
    </row>
    <row r="231" ht="15.75" customHeight="1">
      <c r="B231" s="617"/>
      <c r="C231" s="617"/>
      <c r="D231" s="617"/>
      <c r="E231" s="617"/>
      <c r="F231" s="617"/>
    </row>
    <row r="232" ht="15.75" customHeight="1">
      <c r="B232" s="617"/>
      <c r="C232" s="617"/>
      <c r="D232" s="617"/>
      <c r="E232" s="617"/>
      <c r="F232" s="617"/>
    </row>
    <row r="233" ht="15.75" customHeight="1">
      <c r="B233" s="617"/>
      <c r="C233" s="617"/>
      <c r="D233" s="617"/>
      <c r="E233" s="617"/>
      <c r="F233" s="617"/>
    </row>
    <row r="234" ht="15.75" customHeight="1">
      <c r="B234" s="617"/>
      <c r="C234" s="617"/>
      <c r="D234" s="617"/>
      <c r="E234" s="617"/>
      <c r="F234" s="617"/>
    </row>
    <row r="235" ht="15.75" customHeight="1">
      <c r="B235" s="617"/>
      <c r="C235" s="617"/>
      <c r="D235" s="617"/>
      <c r="E235" s="617"/>
      <c r="F235" s="617"/>
    </row>
    <row r="236" ht="15.75" customHeight="1">
      <c r="B236" s="617"/>
      <c r="C236" s="617"/>
      <c r="D236" s="617"/>
      <c r="E236" s="617"/>
      <c r="F236" s="617"/>
    </row>
    <row r="237" ht="15.75" customHeight="1">
      <c r="B237" s="617"/>
      <c r="C237" s="617"/>
      <c r="D237" s="617"/>
      <c r="E237" s="617"/>
      <c r="F237" s="617"/>
    </row>
    <row r="238" ht="15.75" customHeight="1">
      <c r="B238" s="617"/>
      <c r="C238" s="617"/>
      <c r="D238" s="617"/>
      <c r="E238" s="617"/>
      <c r="F238" s="617"/>
    </row>
    <row r="239" ht="15.75" customHeight="1">
      <c r="B239" s="617"/>
      <c r="C239" s="617"/>
      <c r="D239" s="617"/>
      <c r="E239" s="617"/>
      <c r="F239" s="617"/>
    </row>
    <row r="240" ht="15.75" customHeight="1">
      <c r="B240" s="617"/>
      <c r="C240" s="617"/>
      <c r="D240" s="617"/>
      <c r="E240" s="617"/>
      <c r="F240" s="617"/>
    </row>
    <row r="241" ht="15.75" customHeight="1">
      <c r="B241" s="617"/>
      <c r="C241" s="617"/>
      <c r="D241" s="617"/>
      <c r="E241" s="617"/>
      <c r="F241" s="617"/>
    </row>
    <row r="242" ht="15.75" customHeight="1">
      <c r="B242" s="617"/>
      <c r="C242" s="617"/>
      <c r="D242" s="617"/>
      <c r="E242" s="617"/>
      <c r="F242" s="617"/>
    </row>
    <row r="243" ht="15.75" customHeight="1">
      <c r="B243" s="617"/>
      <c r="C243" s="617"/>
      <c r="D243" s="617"/>
      <c r="E243" s="617"/>
      <c r="F243" s="617"/>
    </row>
    <row r="244" ht="15.75" customHeight="1">
      <c r="B244" s="617"/>
      <c r="C244" s="617"/>
      <c r="D244" s="617"/>
      <c r="E244" s="617"/>
      <c r="F244" s="617"/>
    </row>
    <row r="245" ht="15.75" customHeight="1">
      <c r="B245" s="617"/>
      <c r="C245" s="617"/>
      <c r="D245" s="617"/>
      <c r="E245" s="617"/>
      <c r="F245" s="617"/>
    </row>
    <row r="246" ht="15.75" customHeight="1">
      <c r="B246" s="617"/>
      <c r="C246" s="617"/>
      <c r="D246" s="617"/>
      <c r="E246" s="617"/>
      <c r="F246" s="617"/>
    </row>
    <row r="247" ht="15.75" customHeight="1">
      <c r="B247" s="617"/>
      <c r="C247" s="617"/>
      <c r="D247" s="617"/>
      <c r="E247" s="617"/>
      <c r="F247" s="617"/>
    </row>
    <row r="248" ht="15.75" customHeight="1">
      <c r="B248" s="617"/>
      <c r="C248" s="617"/>
      <c r="D248" s="617"/>
      <c r="E248" s="617"/>
      <c r="F248" s="617"/>
    </row>
    <row r="249" ht="15.75" customHeight="1">
      <c r="B249" s="617"/>
      <c r="C249" s="617"/>
      <c r="D249" s="617"/>
      <c r="E249" s="617"/>
      <c r="F249" s="617"/>
    </row>
    <row r="250" ht="15.75" customHeight="1">
      <c r="B250" s="617"/>
      <c r="C250" s="617"/>
      <c r="D250" s="617"/>
      <c r="E250" s="617"/>
      <c r="F250" s="617"/>
    </row>
    <row r="251" ht="15.75" customHeight="1">
      <c r="B251" s="617"/>
      <c r="C251" s="617"/>
      <c r="D251" s="617"/>
      <c r="E251" s="617"/>
      <c r="F251" s="617"/>
    </row>
    <row r="252" ht="15.75" customHeight="1">
      <c r="B252" s="617"/>
      <c r="C252" s="617"/>
      <c r="D252" s="617"/>
      <c r="E252" s="617"/>
      <c r="F252" s="617"/>
    </row>
    <row r="253" ht="15.75" customHeight="1">
      <c r="B253" s="617"/>
      <c r="C253" s="617"/>
      <c r="D253" s="617"/>
      <c r="E253" s="617"/>
      <c r="F253" s="617"/>
    </row>
    <row r="254" ht="15.75" customHeight="1">
      <c r="B254" s="617"/>
      <c r="C254" s="617"/>
      <c r="D254" s="617"/>
      <c r="E254" s="617"/>
      <c r="F254" s="617"/>
    </row>
    <row r="255" ht="15.75" customHeight="1">
      <c r="B255" s="617"/>
      <c r="C255" s="617"/>
      <c r="D255" s="617"/>
      <c r="E255" s="617"/>
      <c r="F255" s="617"/>
    </row>
    <row r="256" ht="15.75" customHeight="1">
      <c r="B256" s="617"/>
      <c r="C256" s="617"/>
      <c r="D256" s="617"/>
      <c r="E256" s="617"/>
      <c r="F256" s="617"/>
    </row>
    <row r="257" ht="15.75" customHeight="1">
      <c r="B257" s="617"/>
      <c r="C257" s="617"/>
      <c r="D257" s="617"/>
      <c r="E257" s="617"/>
      <c r="F257" s="617"/>
    </row>
    <row r="258" ht="15.75" customHeight="1">
      <c r="B258" s="617"/>
      <c r="C258" s="617"/>
      <c r="D258" s="617"/>
      <c r="E258" s="617"/>
      <c r="F258" s="617"/>
    </row>
    <row r="259" ht="15.75" customHeight="1">
      <c r="B259" s="617"/>
      <c r="C259" s="617"/>
      <c r="D259" s="617"/>
      <c r="E259" s="617"/>
      <c r="F259" s="617"/>
    </row>
    <row r="260" ht="15.75" customHeight="1">
      <c r="B260" s="617"/>
      <c r="C260" s="617"/>
      <c r="D260" s="617"/>
      <c r="E260" s="617"/>
      <c r="F260" s="617"/>
    </row>
    <row r="261" ht="15.75" customHeight="1">
      <c r="B261" s="617"/>
      <c r="C261" s="617"/>
      <c r="D261" s="617"/>
      <c r="E261" s="617"/>
      <c r="F261" s="617"/>
    </row>
    <row r="262" ht="15.75" customHeight="1">
      <c r="B262" s="617"/>
      <c r="C262" s="617"/>
      <c r="D262" s="617"/>
      <c r="E262" s="617"/>
      <c r="F262" s="617"/>
    </row>
    <row r="263" ht="15.75" customHeight="1">
      <c r="B263" s="617"/>
      <c r="C263" s="617"/>
      <c r="D263" s="617"/>
      <c r="E263" s="617"/>
      <c r="F263" s="617"/>
    </row>
    <row r="264" ht="15.75" customHeight="1">
      <c r="B264" s="617"/>
      <c r="C264" s="617"/>
      <c r="D264" s="617"/>
      <c r="E264" s="617"/>
      <c r="F264" s="617"/>
    </row>
    <row r="265" ht="15.75" customHeight="1">
      <c r="B265" s="617"/>
      <c r="C265" s="617"/>
      <c r="D265" s="617"/>
      <c r="E265" s="617"/>
      <c r="F265" s="617"/>
    </row>
    <row r="266" ht="15.75" customHeight="1">
      <c r="B266" s="617"/>
      <c r="C266" s="617"/>
      <c r="D266" s="617"/>
      <c r="E266" s="617"/>
      <c r="F266" s="617"/>
    </row>
    <row r="267" ht="15.75" customHeight="1">
      <c r="B267" s="617"/>
      <c r="C267" s="617"/>
      <c r="D267" s="617"/>
      <c r="E267" s="617"/>
      <c r="F267" s="617"/>
    </row>
    <row r="268" ht="15.75" customHeight="1">
      <c r="B268" s="617"/>
      <c r="C268" s="617"/>
      <c r="D268" s="617"/>
      <c r="E268" s="617"/>
      <c r="F268" s="617"/>
    </row>
    <row r="269" ht="15.75" customHeight="1">
      <c r="B269" s="617"/>
      <c r="C269" s="617"/>
      <c r="D269" s="617"/>
      <c r="E269" s="617"/>
      <c r="F269" s="617"/>
    </row>
    <row r="270" ht="15.75" customHeight="1">
      <c r="B270" s="617"/>
      <c r="C270" s="617"/>
      <c r="D270" s="617"/>
      <c r="E270" s="617"/>
      <c r="F270" s="617"/>
    </row>
    <row r="271" ht="15.75" customHeight="1">
      <c r="B271" s="617"/>
      <c r="C271" s="617"/>
      <c r="D271" s="617"/>
      <c r="E271" s="617"/>
      <c r="F271" s="617"/>
    </row>
    <row r="272" ht="15.75" customHeight="1">
      <c r="B272" s="617"/>
      <c r="C272" s="617"/>
      <c r="D272" s="617"/>
      <c r="E272" s="617"/>
      <c r="F272" s="617"/>
    </row>
    <row r="273" ht="15.75" customHeight="1">
      <c r="B273" s="617"/>
      <c r="C273" s="617"/>
      <c r="D273" s="617"/>
      <c r="E273" s="617"/>
      <c r="F273" s="617"/>
    </row>
    <row r="274" ht="15.75" customHeight="1">
      <c r="B274" s="617"/>
      <c r="C274" s="617"/>
      <c r="D274" s="617"/>
      <c r="E274" s="617"/>
      <c r="F274" s="617"/>
    </row>
    <row r="275" ht="15.75" customHeight="1">
      <c r="B275" s="617"/>
      <c r="C275" s="617"/>
      <c r="D275" s="617"/>
      <c r="E275" s="617"/>
      <c r="F275" s="617"/>
    </row>
    <row r="276" ht="15.75" customHeight="1">
      <c r="B276" s="617"/>
      <c r="C276" s="617"/>
      <c r="D276" s="617"/>
      <c r="E276" s="617"/>
      <c r="F276" s="617"/>
    </row>
    <row r="277" ht="15.75" customHeight="1">
      <c r="B277" s="617"/>
      <c r="C277" s="617"/>
      <c r="D277" s="617"/>
      <c r="E277" s="617"/>
      <c r="F277" s="617"/>
    </row>
    <row r="278" ht="15.75" customHeight="1">
      <c r="B278" s="617"/>
      <c r="C278" s="617"/>
      <c r="D278" s="617"/>
      <c r="E278" s="617"/>
      <c r="F278" s="617"/>
    </row>
    <row r="279" ht="15.75" customHeight="1">
      <c r="B279" s="617"/>
      <c r="C279" s="617"/>
      <c r="D279" s="617"/>
      <c r="E279" s="617"/>
      <c r="F279" s="617"/>
    </row>
    <row r="280" ht="15.75" customHeight="1">
      <c r="B280" s="617"/>
      <c r="C280" s="617"/>
      <c r="D280" s="617"/>
      <c r="E280" s="617"/>
      <c r="F280" s="617"/>
    </row>
    <row r="281" ht="15.75" customHeight="1">
      <c r="B281" s="617"/>
      <c r="C281" s="617"/>
      <c r="D281" s="617"/>
      <c r="E281" s="617"/>
      <c r="F281" s="617"/>
    </row>
    <row r="282" ht="15.75" customHeight="1">
      <c r="B282" s="617"/>
      <c r="C282" s="617"/>
      <c r="D282" s="617"/>
      <c r="E282" s="617"/>
      <c r="F282" s="617"/>
    </row>
    <row r="283" ht="15.75" customHeight="1">
      <c r="B283" s="617"/>
      <c r="C283" s="617"/>
      <c r="D283" s="617"/>
      <c r="E283" s="617"/>
      <c r="F283" s="617"/>
    </row>
    <row r="284" ht="15.75" customHeight="1">
      <c r="B284" s="617"/>
      <c r="C284" s="617"/>
      <c r="D284" s="617"/>
      <c r="E284" s="617"/>
      <c r="F284" s="617"/>
    </row>
    <row r="285" ht="15.75" customHeight="1">
      <c r="B285" s="617"/>
      <c r="C285" s="617"/>
      <c r="D285" s="617"/>
      <c r="E285" s="617"/>
      <c r="F285" s="617"/>
    </row>
    <row r="286" ht="15.75" customHeight="1">
      <c r="B286" s="617"/>
      <c r="C286" s="617"/>
      <c r="D286" s="617"/>
      <c r="E286" s="617"/>
      <c r="F286" s="617"/>
    </row>
    <row r="287" ht="15.75" customHeight="1">
      <c r="B287" s="617"/>
      <c r="C287" s="617"/>
      <c r="D287" s="617"/>
      <c r="E287" s="617"/>
      <c r="F287" s="617"/>
    </row>
    <row r="288" ht="15.75" customHeight="1">
      <c r="B288" s="617"/>
      <c r="C288" s="617"/>
      <c r="D288" s="617"/>
      <c r="E288" s="617"/>
      <c r="F288" s="617"/>
    </row>
    <row r="289" ht="15.75" customHeight="1">
      <c r="B289" s="617"/>
      <c r="C289" s="617"/>
      <c r="D289" s="617"/>
      <c r="E289" s="617"/>
      <c r="F289" s="617"/>
    </row>
    <row r="290" ht="15.75" customHeight="1">
      <c r="B290" s="617"/>
      <c r="C290" s="617"/>
      <c r="D290" s="617"/>
      <c r="E290" s="617"/>
      <c r="F290" s="617"/>
    </row>
    <row r="291" ht="15.75" customHeight="1">
      <c r="B291" s="617"/>
      <c r="C291" s="617"/>
      <c r="D291" s="617"/>
      <c r="E291" s="617"/>
      <c r="F291" s="617"/>
    </row>
    <row r="292" ht="15.75" customHeight="1">
      <c r="B292" s="617"/>
      <c r="C292" s="617"/>
      <c r="D292" s="617"/>
      <c r="E292" s="617"/>
      <c r="F292" s="617"/>
    </row>
    <row r="293" ht="15.75" customHeight="1">
      <c r="B293" s="617"/>
      <c r="C293" s="617"/>
      <c r="D293" s="617"/>
      <c r="E293" s="617"/>
      <c r="F293" s="617"/>
    </row>
    <row r="294" ht="15.75" customHeight="1">
      <c r="B294" s="617"/>
      <c r="C294" s="617"/>
      <c r="D294" s="617"/>
      <c r="E294" s="617"/>
      <c r="F294" s="617"/>
    </row>
    <row r="295" ht="15.75" customHeight="1">
      <c r="B295" s="617"/>
      <c r="C295" s="617"/>
      <c r="D295" s="617"/>
      <c r="E295" s="617"/>
      <c r="F295" s="617"/>
    </row>
    <row r="296" ht="15.75" customHeight="1">
      <c r="B296" s="617"/>
      <c r="C296" s="617"/>
      <c r="D296" s="617"/>
      <c r="E296" s="617"/>
      <c r="F296" s="617"/>
    </row>
    <row r="297" ht="15.75" customHeight="1">
      <c r="B297" s="617"/>
      <c r="C297" s="617"/>
      <c r="D297" s="617"/>
      <c r="E297" s="617"/>
      <c r="F297" s="617"/>
    </row>
    <row r="298" ht="15.75" customHeight="1">
      <c r="B298" s="617"/>
      <c r="C298" s="617"/>
      <c r="D298" s="617"/>
      <c r="E298" s="617"/>
      <c r="F298" s="617"/>
    </row>
    <row r="299" ht="15.75" customHeight="1">
      <c r="B299" s="617"/>
      <c r="C299" s="617"/>
      <c r="D299" s="617"/>
      <c r="E299" s="617"/>
      <c r="F299" s="617"/>
    </row>
    <row r="300" ht="15.75" customHeight="1">
      <c r="B300" s="617"/>
      <c r="C300" s="617"/>
      <c r="D300" s="617"/>
      <c r="E300" s="617"/>
      <c r="F300" s="617"/>
    </row>
    <row r="301" ht="15.75" customHeight="1">
      <c r="B301" s="617"/>
      <c r="C301" s="617"/>
      <c r="D301" s="617"/>
      <c r="E301" s="617"/>
      <c r="F301" s="617"/>
    </row>
    <row r="302" ht="15.75" customHeight="1">
      <c r="B302" s="617"/>
      <c r="C302" s="617"/>
      <c r="D302" s="617"/>
      <c r="E302" s="617"/>
      <c r="F302" s="617"/>
    </row>
    <row r="303" ht="15.75" customHeight="1">
      <c r="B303" s="617"/>
      <c r="C303" s="617"/>
      <c r="D303" s="617"/>
      <c r="E303" s="617"/>
      <c r="F303" s="617"/>
    </row>
    <row r="304" ht="15.75" customHeight="1">
      <c r="B304" s="617"/>
      <c r="C304" s="617"/>
      <c r="D304" s="617"/>
      <c r="E304" s="617"/>
      <c r="F304" s="617"/>
    </row>
    <row r="305" ht="15.75" customHeight="1">
      <c r="B305" s="617"/>
      <c r="C305" s="617"/>
      <c r="D305" s="617"/>
      <c r="E305" s="617"/>
      <c r="F305" s="617"/>
    </row>
    <row r="306" ht="15.75" customHeight="1">
      <c r="B306" s="617"/>
      <c r="C306" s="617"/>
      <c r="D306" s="617"/>
      <c r="E306" s="617"/>
      <c r="F306" s="617"/>
    </row>
    <row r="307" ht="15.75" customHeight="1">
      <c r="B307" s="617"/>
      <c r="C307" s="617"/>
      <c r="D307" s="617"/>
      <c r="E307" s="617"/>
      <c r="F307" s="617"/>
    </row>
    <row r="308" ht="15.75" customHeight="1">
      <c r="B308" s="617"/>
      <c r="C308" s="617"/>
      <c r="D308" s="617"/>
      <c r="E308" s="617"/>
      <c r="F308" s="617"/>
    </row>
    <row r="309" ht="15.75" customHeight="1">
      <c r="B309" s="617"/>
      <c r="C309" s="617"/>
      <c r="D309" s="617"/>
      <c r="E309" s="617"/>
      <c r="F309" s="617"/>
    </row>
    <row r="310" ht="15.75" customHeight="1">
      <c r="B310" s="617"/>
      <c r="C310" s="617"/>
      <c r="D310" s="617"/>
      <c r="E310" s="617"/>
      <c r="F310" s="617"/>
    </row>
    <row r="311" ht="15.75" customHeight="1">
      <c r="B311" s="617"/>
      <c r="C311" s="617"/>
      <c r="D311" s="617"/>
      <c r="E311" s="617"/>
      <c r="F311" s="617"/>
    </row>
    <row r="312" ht="15.75" customHeight="1">
      <c r="B312" s="617"/>
      <c r="C312" s="617"/>
      <c r="D312" s="617"/>
      <c r="E312" s="617"/>
      <c r="F312" s="617"/>
    </row>
    <row r="313" ht="15.75" customHeight="1">
      <c r="B313" s="617"/>
      <c r="C313" s="617"/>
      <c r="D313" s="617"/>
      <c r="E313" s="617"/>
      <c r="F313" s="617"/>
    </row>
    <row r="314" ht="15.75" customHeight="1">
      <c r="B314" s="617"/>
      <c r="C314" s="617"/>
      <c r="D314" s="617"/>
      <c r="E314" s="617"/>
      <c r="F314" s="617"/>
    </row>
    <row r="315" ht="15.75" customHeight="1">
      <c r="B315" s="617"/>
      <c r="C315" s="617"/>
      <c r="D315" s="617"/>
      <c r="E315" s="617"/>
      <c r="F315" s="617"/>
    </row>
    <row r="316" ht="15.75" customHeight="1">
      <c r="B316" s="617"/>
      <c r="C316" s="617"/>
      <c r="D316" s="617"/>
      <c r="E316" s="617"/>
      <c r="F316" s="617"/>
    </row>
    <row r="317" ht="15.75" customHeight="1">
      <c r="B317" s="617"/>
      <c r="C317" s="617"/>
      <c r="D317" s="617"/>
      <c r="E317" s="617"/>
      <c r="F317" s="617"/>
    </row>
    <row r="318" ht="15.75" customHeight="1">
      <c r="B318" s="617"/>
      <c r="C318" s="617"/>
      <c r="D318" s="617"/>
      <c r="E318" s="617"/>
      <c r="F318" s="617"/>
    </row>
    <row r="319" ht="15.75" customHeight="1">
      <c r="B319" s="617"/>
      <c r="C319" s="617"/>
      <c r="D319" s="617"/>
      <c r="E319" s="617"/>
      <c r="F319" s="617"/>
    </row>
    <row r="320" ht="15.75" customHeight="1">
      <c r="B320" s="617"/>
      <c r="C320" s="617"/>
      <c r="D320" s="617"/>
      <c r="E320" s="617"/>
      <c r="F320" s="617"/>
    </row>
    <row r="321" ht="15.75" customHeight="1">
      <c r="B321" s="617"/>
      <c r="C321" s="617"/>
      <c r="D321" s="617"/>
      <c r="E321" s="617"/>
      <c r="F321" s="617"/>
    </row>
    <row r="322" ht="15.75" customHeight="1">
      <c r="B322" s="617"/>
      <c r="C322" s="617"/>
      <c r="D322" s="617"/>
      <c r="E322" s="617"/>
      <c r="F322" s="617"/>
    </row>
    <row r="323" ht="15.75" customHeight="1">
      <c r="B323" s="617"/>
      <c r="C323" s="617"/>
      <c r="D323" s="617"/>
      <c r="E323" s="617"/>
      <c r="F323" s="617"/>
    </row>
    <row r="324" ht="15.75" customHeight="1">
      <c r="B324" s="617"/>
      <c r="C324" s="617"/>
      <c r="D324" s="617"/>
      <c r="E324" s="617"/>
      <c r="F324" s="617"/>
    </row>
    <row r="325" ht="15.75" customHeight="1">
      <c r="B325" s="617"/>
      <c r="C325" s="617"/>
      <c r="D325" s="617"/>
      <c r="E325" s="617"/>
      <c r="F325" s="617"/>
    </row>
    <row r="326" ht="15.75" customHeight="1">
      <c r="B326" s="617"/>
      <c r="C326" s="617"/>
      <c r="D326" s="617"/>
      <c r="E326" s="617"/>
      <c r="F326" s="617"/>
    </row>
    <row r="327" ht="15.75" customHeight="1">
      <c r="B327" s="617"/>
      <c r="C327" s="617"/>
      <c r="D327" s="617"/>
      <c r="E327" s="617"/>
      <c r="F327" s="617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12.63"/>
    <col customWidth="1" min="3" max="3" width="12.75"/>
    <col customWidth="1" min="4" max="4" width="13.0"/>
    <col customWidth="1" min="5" max="6" width="12.63"/>
    <col customWidth="1" min="11" max="11" width="18.5"/>
  </cols>
  <sheetData>
    <row r="1" ht="15.75" customHeight="1">
      <c r="A1" s="623" t="s">
        <v>4117</v>
      </c>
      <c r="B1" s="624" t="s">
        <v>4583</v>
      </c>
      <c r="C1" s="623" t="s">
        <v>4</v>
      </c>
      <c r="D1" s="623" t="s">
        <v>7</v>
      </c>
      <c r="E1" s="625"/>
      <c r="F1" s="625" t="s">
        <v>37</v>
      </c>
      <c r="G1" s="625" t="s">
        <v>4585</v>
      </c>
      <c r="H1" s="625" t="s">
        <v>41</v>
      </c>
      <c r="I1" s="625" t="s">
        <v>4586</v>
      </c>
      <c r="J1" s="625" t="s">
        <v>45</v>
      </c>
      <c r="K1" s="625" t="s">
        <v>2306</v>
      </c>
      <c r="L1" s="625"/>
      <c r="M1" s="625" t="s">
        <v>139</v>
      </c>
      <c r="N1" s="625" t="s">
        <v>141</v>
      </c>
      <c r="O1" s="625" t="s">
        <v>145</v>
      </c>
      <c r="P1" s="625" t="s">
        <v>150</v>
      </c>
      <c r="Q1" s="625" t="s">
        <v>4587</v>
      </c>
      <c r="R1" s="625" t="s">
        <v>2331</v>
      </c>
    </row>
    <row r="2" ht="15.75" customHeight="1">
      <c r="A2" s="595" t="s">
        <v>3948</v>
      </c>
      <c r="B2" s="589">
        <v>5490529.0</v>
      </c>
      <c r="C2" s="589" t="s">
        <v>669</v>
      </c>
      <c r="D2" s="589" t="s">
        <v>669</v>
      </c>
      <c r="E2" s="589" t="str">
        <f>IFERROR(VLOOKUP(D2,'Cadastro de assessores'!A:B,2,FALSE),"Não Cadastrado")</f>
        <v>18986</v>
      </c>
      <c r="F2" s="626" t="s">
        <v>183</v>
      </c>
      <c r="G2" s="626" t="s">
        <v>4588</v>
      </c>
      <c r="H2" s="627">
        <v>44222.0</v>
      </c>
      <c r="I2" s="589" t="s">
        <v>4589</v>
      </c>
      <c r="J2" s="596">
        <v>0.02</v>
      </c>
      <c r="K2" s="628" t="s">
        <v>3350</v>
      </c>
      <c r="L2" s="629" t="s">
        <v>199</v>
      </c>
      <c r="M2" s="629">
        <v>124054.43</v>
      </c>
      <c r="N2" s="629">
        <v>115021.75</v>
      </c>
      <c r="O2" s="629">
        <v>124854.25</v>
      </c>
      <c r="P2" s="629">
        <v>124900.58</v>
      </c>
      <c r="Q2" s="629">
        <v>129858.96</v>
      </c>
      <c r="R2" s="630">
        <v>131958.1</v>
      </c>
    </row>
    <row r="3" ht="15.75" customHeight="1">
      <c r="A3" s="595" t="s">
        <v>4590</v>
      </c>
      <c r="B3" s="589">
        <v>1759765.0</v>
      </c>
      <c r="C3" s="589" t="s">
        <v>120</v>
      </c>
      <c r="D3" s="589" t="s">
        <v>628</v>
      </c>
      <c r="E3" s="589" t="str">
        <f>IFERROR(VLOOKUP(D3,'Cadastro de assessores'!A:B,2,FALSE),"Não Cadastrado")</f>
        <v>14739</v>
      </c>
      <c r="F3" s="626" t="s">
        <v>183</v>
      </c>
      <c r="G3" s="626" t="s">
        <v>4588</v>
      </c>
      <c r="H3" s="627">
        <v>44321.0</v>
      </c>
      <c r="I3" s="589" t="s">
        <v>107</v>
      </c>
      <c r="J3" s="596">
        <v>0.012</v>
      </c>
      <c r="K3" s="628" t="s">
        <v>2571</v>
      </c>
      <c r="L3" s="629" t="s">
        <v>199</v>
      </c>
      <c r="M3" s="629"/>
      <c r="N3" s="629"/>
      <c r="O3" s="629"/>
      <c r="P3" s="629"/>
      <c r="Q3" s="629">
        <v>271738.86</v>
      </c>
      <c r="R3" s="629">
        <v>279151.86</v>
      </c>
    </row>
    <row r="4" ht="15.75" customHeight="1">
      <c r="B4" s="617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8.75"/>
    <col customWidth="1" min="3" max="3" width="6.88"/>
    <col customWidth="1" min="4" max="6" width="12.63"/>
  </cols>
  <sheetData>
    <row r="1" ht="15.75" customHeight="1">
      <c r="A1" s="631" t="s">
        <v>7</v>
      </c>
      <c r="B1" s="632" t="s">
        <v>4611</v>
      </c>
      <c r="C1" s="631" t="s">
        <v>37</v>
      </c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/>
      <c r="W1" s="633"/>
    </row>
    <row r="2" ht="15.75" customHeight="1">
      <c r="A2" s="634" t="s">
        <v>2339</v>
      </c>
      <c r="B2" s="632" t="s">
        <v>4615</v>
      </c>
      <c r="C2" s="631" t="str">
        <f>IFERROR(__xludf.DUMMYFUNCTION("IF(COUNTA(filter(B:B,B:B=B2))=1,""Regular"",""Conta Repetida"")"),"Regular")</f>
        <v>Regular</v>
      </c>
      <c r="D2" s="633"/>
      <c r="E2" s="633"/>
      <c r="F2" s="599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</row>
    <row r="3" ht="15.75" customHeight="1">
      <c r="A3" s="631" t="s">
        <v>4617</v>
      </c>
      <c r="B3" s="632" t="s">
        <v>4618</v>
      </c>
      <c r="C3" s="631" t="str">
        <f>IFERROR(__xludf.DUMMYFUNCTION("IF(COUNTA(filter(B:B,B:B=B3))=1,""Regular"",""Conta Repetida"")"),"Regular")</f>
        <v>Regular</v>
      </c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</row>
    <row r="4" ht="15.75" customHeight="1">
      <c r="A4" s="631" t="s">
        <v>4044</v>
      </c>
      <c r="B4" s="632" t="s">
        <v>4620</v>
      </c>
      <c r="C4" s="631" t="str">
        <f>IFERROR(__xludf.DUMMYFUNCTION("IF(COUNTA(filter(B:B,B:B=B4))=1,""Regular"",""Conta Repetida"")"),"Regular")</f>
        <v>Regular</v>
      </c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</row>
    <row r="5" ht="15.75" customHeight="1">
      <c r="A5" s="631" t="s">
        <v>841</v>
      </c>
      <c r="B5" s="632" t="s">
        <v>4622</v>
      </c>
      <c r="C5" s="631" t="str">
        <f>IFERROR(__xludf.DUMMYFUNCTION("IF(COUNTA(filter(B:B,B:B=B5))=1,""Regular"",""Conta Repetida"")"),"Regular")</f>
        <v>Regular</v>
      </c>
      <c r="D5" s="633"/>
      <c r="E5" s="633"/>
      <c r="F5" s="633"/>
      <c r="G5" s="633"/>
      <c r="H5" s="633"/>
      <c r="I5" s="633"/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</row>
    <row r="6" ht="15.75" customHeight="1">
      <c r="A6" s="631" t="s">
        <v>1174</v>
      </c>
      <c r="B6" s="632" t="s">
        <v>4627</v>
      </c>
      <c r="C6" s="631" t="str">
        <f>IFERROR(__xludf.DUMMYFUNCTION("IF(COUNTA(filter(B:B,B:B=B6))=1,""Regular"",""Conta Repetida"")"),"Regular")</f>
        <v>Regular</v>
      </c>
      <c r="D6" s="633"/>
      <c r="E6" s="633"/>
      <c r="F6" s="633"/>
      <c r="G6" s="633"/>
      <c r="H6" s="633"/>
      <c r="I6" s="633"/>
      <c r="J6" s="633"/>
      <c r="K6" s="633"/>
      <c r="L6" s="633"/>
      <c r="M6" s="633"/>
      <c r="N6" s="633"/>
      <c r="O6" s="633"/>
      <c r="P6" s="633"/>
      <c r="Q6" s="633"/>
      <c r="R6" s="633"/>
      <c r="S6" s="633"/>
      <c r="T6" s="633"/>
      <c r="U6" s="633"/>
      <c r="V6" s="633"/>
      <c r="W6" s="633"/>
    </row>
    <row r="7" ht="15.75" customHeight="1">
      <c r="A7" s="631" t="s">
        <v>548</v>
      </c>
      <c r="B7" s="632" t="s">
        <v>4631</v>
      </c>
      <c r="C7" s="631" t="str">
        <f>IFERROR(__xludf.DUMMYFUNCTION("IF(COUNTA(filter(B:B,B:B=B7))=1,""Regular"",""Conta Repetida"")"),"Regular")</f>
        <v>Regular</v>
      </c>
      <c r="D7" s="633"/>
      <c r="E7" s="633"/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3"/>
      <c r="R7" s="633"/>
      <c r="S7" s="633"/>
      <c r="T7" s="633"/>
      <c r="U7" s="633"/>
      <c r="V7" s="633"/>
      <c r="W7" s="633"/>
    </row>
    <row r="8" ht="15.75" customHeight="1">
      <c r="A8" s="631" t="s">
        <v>4632</v>
      </c>
      <c r="B8" s="632" t="s">
        <v>4633</v>
      </c>
      <c r="C8" s="631" t="str">
        <f>IFERROR(__xludf.DUMMYFUNCTION("IF(COUNTA(filter(B:B,B:B=B8))=1,""Regular"",""Conta Repetida"")"),"Regular")</f>
        <v>Regular</v>
      </c>
      <c r="D8" s="633"/>
      <c r="E8" s="633"/>
      <c r="F8" s="633"/>
      <c r="G8" s="633"/>
      <c r="H8" s="633"/>
      <c r="I8" s="633"/>
      <c r="J8" s="633"/>
      <c r="K8" s="633"/>
      <c r="L8" s="633"/>
      <c r="M8" s="633"/>
      <c r="N8" s="633"/>
      <c r="O8" s="633"/>
      <c r="P8" s="633"/>
      <c r="Q8" s="633"/>
      <c r="R8" s="633"/>
      <c r="S8" s="633"/>
      <c r="T8" s="633"/>
      <c r="U8" s="633"/>
      <c r="V8" s="633"/>
      <c r="W8" s="633"/>
    </row>
    <row r="9" ht="15.75" customHeight="1">
      <c r="A9" s="631" t="s">
        <v>2489</v>
      </c>
      <c r="B9" s="632" t="s">
        <v>4634</v>
      </c>
      <c r="C9" s="631" t="str">
        <f>IFERROR(__xludf.DUMMYFUNCTION("IF(COUNTA(filter(B:B,B:B=B9))=1,""Regular"",""Conta Repetida"")"),"Regular")</f>
        <v>Regular</v>
      </c>
      <c r="D9" s="633"/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633"/>
      <c r="S9" s="633"/>
      <c r="T9" s="633"/>
      <c r="U9" s="633"/>
      <c r="V9" s="633"/>
      <c r="W9" s="633"/>
    </row>
    <row r="10" ht="15.75" customHeight="1">
      <c r="A10" s="631" t="s">
        <v>2531</v>
      </c>
      <c r="B10" s="632" t="s">
        <v>4635</v>
      </c>
      <c r="C10" s="631" t="str">
        <f>IFERROR(__xludf.DUMMYFUNCTION("IF(COUNTA(filter(B:B,B:B=B10))=1,""Regular"",""Conta Repetida"")"),"Regular")</f>
        <v>Regular</v>
      </c>
      <c r="D10" s="633"/>
      <c r="E10" s="633"/>
      <c r="F10" s="633"/>
      <c r="G10" s="633"/>
      <c r="H10" s="633"/>
      <c r="I10" s="633"/>
      <c r="J10" s="633"/>
      <c r="K10" s="633"/>
      <c r="L10" s="633"/>
      <c r="M10" s="633"/>
      <c r="N10" s="633"/>
      <c r="O10" s="633"/>
      <c r="P10" s="633"/>
      <c r="Q10" s="633"/>
      <c r="R10" s="633"/>
      <c r="S10" s="633"/>
      <c r="T10" s="633"/>
      <c r="U10" s="633"/>
      <c r="V10" s="633"/>
      <c r="W10" s="633"/>
    </row>
    <row r="11" ht="15.75" customHeight="1">
      <c r="A11" s="631" t="s">
        <v>669</v>
      </c>
      <c r="B11" s="632" t="s">
        <v>4640</v>
      </c>
      <c r="C11" s="631" t="str">
        <f>IFERROR(__xludf.DUMMYFUNCTION("IF(COUNTA(filter(B:B,B:B=B11))=1,""Regular"",""Conta Repetida"")"),"Regular")</f>
        <v>Regular</v>
      </c>
      <c r="D11" s="633"/>
      <c r="E11" s="633"/>
      <c r="F11" s="633"/>
      <c r="G11" s="633"/>
      <c r="H11" s="633"/>
      <c r="I11" s="633"/>
      <c r="J11" s="633"/>
      <c r="K11" s="633"/>
      <c r="L11" s="633"/>
      <c r="M11" s="633"/>
      <c r="N11" s="633"/>
      <c r="O11" s="633"/>
      <c r="P11" s="633"/>
      <c r="Q11" s="633"/>
      <c r="R11" s="633"/>
      <c r="S11" s="633"/>
      <c r="T11" s="633"/>
      <c r="U11" s="633"/>
      <c r="V11" s="633"/>
      <c r="W11" s="633"/>
    </row>
    <row r="12" ht="15.75" customHeight="1">
      <c r="A12" s="631" t="s">
        <v>4641</v>
      </c>
      <c r="B12" s="632" t="s">
        <v>4642</v>
      </c>
      <c r="C12" s="631" t="str">
        <f>IFERROR(__xludf.DUMMYFUNCTION("IF(COUNTA(filter(B:B,B:B=B12))=1,""Regular"",""Conta Repetida"")"),"Regular")</f>
        <v>Regular</v>
      </c>
      <c r="D12" s="633"/>
      <c r="E12" s="633"/>
      <c r="F12" s="633"/>
      <c r="G12" s="633"/>
      <c r="H12" s="633"/>
      <c r="I12" s="633"/>
      <c r="J12" s="633"/>
      <c r="K12" s="633"/>
      <c r="L12" s="633"/>
      <c r="M12" s="633"/>
      <c r="N12" s="633"/>
      <c r="O12" s="633"/>
      <c r="P12" s="633"/>
      <c r="Q12" s="633"/>
      <c r="R12" s="633"/>
      <c r="S12" s="633"/>
      <c r="T12" s="633"/>
      <c r="U12" s="633"/>
      <c r="V12" s="633"/>
      <c r="W12" s="633"/>
    </row>
    <row r="13" ht="15.75" customHeight="1">
      <c r="A13" s="631" t="s">
        <v>2676</v>
      </c>
      <c r="B13" s="632" t="s">
        <v>4646</v>
      </c>
      <c r="C13" s="631" t="str">
        <f>IFERROR(__xludf.DUMMYFUNCTION("IF(COUNTA(filter(B:B,B:B=B13))=1,""Regular"",""Conta Repetida"")"),"Regular")</f>
        <v>Regular</v>
      </c>
      <c r="D13" s="633"/>
      <c r="E13" s="633"/>
      <c r="F13" s="633"/>
      <c r="G13" s="633"/>
      <c r="H13" s="633"/>
      <c r="I13" s="633"/>
      <c r="J13" s="633"/>
      <c r="K13" s="633"/>
      <c r="L13" s="633"/>
      <c r="M13" s="633"/>
      <c r="N13" s="633"/>
      <c r="O13" s="633"/>
      <c r="P13" s="633"/>
      <c r="Q13" s="633"/>
      <c r="R13" s="633"/>
      <c r="S13" s="633"/>
      <c r="T13" s="633"/>
      <c r="U13" s="633"/>
      <c r="V13" s="633"/>
      <c r="W13" s="633"/>
    </row>
    <row r="14" ht="15.75" customHeight="1">
      <c r="A14" s="631" t="s">
        <v>4650</v>
      </c>
      <c r="B14" s="632" t="s">
        <v>4652</v>
      </c>
      <c r="C14" s="631" t="str">
        <f>IFERROR(__xludf.DUMMYFUNCTION("IF(COUNTA(filter(B:B,B:B=B14))=1,""Regular"",""Conta Repetida"")"),"Regular")</f>
        <v>Regular</v>
      </c>
      <c r="D14" s="633"/>
      <c r="E14" s="633"/>
      <c r="F14" s="633"/>
      <c r="G14" s="633"/>
      <c r="H14" s="633"/>
      <c r="I14" s="633"/>
      <c r="J14" s="633"/>
      <c r="K14" s="633"/>
      <c r="L14" s="633"/>
      <c r="M14" s="633"/>
      <c r="N14" s="633"/>
      <c r="O14" s="633"/>
      <c r="P14" s="633"/>
      <c r="Q14" s="633"/>
      <c r="R14" s="633"/>
      <c r="S14" s="633"/>
      <c r="T14" s="633"/>
      <c r="U14" s="633"/>
      <c r="V14" s="633"/>
      <c r="W14" s="633"/>
    </row>
    <row r="15" ht="15.75" customHeight="1">
      <c r="A15" s="631" t="s">
        <v>388</v>
      </c>
      <c r="B15" s="632" t="s">
        <v>4653</v>
      </c>
      <c r="C15" s="631" t="str">
        <f>IFERROR(__xludf.DUMMYFUNCTION("IF(COUNTA(filter(B:B,B:B=B15))=1,""Regular"",""Conta Repetida"")"),"Regular")</f>
        <v>Regular</v>
      </c>
      <c r="D15" s="633"/>
      <c r="E15" s="633"/>
      <c r="F15" s="633"/>
      <c r="G15" s="633"/>
      <c r="H15" s="633"/>
      <c r="I15" s="633"/>
      <c r="J15" s="633"/>
      <c r="K15" s="633"/>
      <c r="L15" s="633"/>
      <c r="M15" s="633"/>
      <c r="N15" s="633"/>
      <c r="O15" s="633"/>
      <c r="P15" s="633"/>
      <c r="Q15" s="633"/>
      <c r="R15" s="633"/>
      <c r="S15" s="633"/>
      <c r="T15" s="633"/>
      <c r="U15" s="633"/>
      <c r="V15" s="633"/>
      <c r="W15" s="633"/>
    </row>
    <row r="16" ht="15.75" customHeight="1">
      <c r="A16" s="631" t="s">
        <v>4654</v>
      </c>
      <c r="B16" s="632" t="s">
        <v>4655</v>
      </c>
      <c r="C16" s="631" t="str">
        <f>IFERROR(__xludf.DUMMYFUNCTION("IF(COUNTA(filter(B:B,B:B=B16))=1,""Regular"",""Conta Repetida"")"),"Regular")</f>
        <v>Regular</v>
      </c>
      <c r="D16" s="633"/>
      <c r="E16" s="633"/>
      <c r="F16" s="633"/>
      <c r="G16" s="633"/>
      <c r="H16" s="633"/>
      <c r="I16" s="633"/>
      <c r="J16" s="633"/>
      <c r="K16" s="633"/>
      <c r="L16" s="633"/>
      <c r="M16" s="633"/>
      <c r="N16" s="633"/>
      <c r="O16" s="633"/>
      <c r="P16" s="633"/>
      <c r="Q16" s="633"/>
      <c r="R16" s="633"/>
      <c r="S16" s="633"/>
      <c r="T16" s="633"/>
      <c r="U16" s="633"/>
      <c r="V16" s="633"/>
      <c r="W16" s="633"/>
    </row>
    <row r="17" ht="15.75" customHeight="1">
      <c r="A17" s="631" t="s">
        <v>2907</v>
      </c>
      <c r="B17" s="632" t="s">
        <v>4661</v>
      </c>
      <c r="C17" s="631" t="str">
        <f>IFERROR(__xludf.DUMMYFUNCTION("IF(COUNTA(filter(B:B,B:B=B17))=1,""Regular"",""Conta Repetida"")"),"Regular")</f>
        <v>Regular</v>
      </c>
      <c r="D17" s="633"/>
      <c r="E17" s="633"/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3"/>
      <c r="R17" s="633"/>
      <c r="S17" s="633"/>
      <c r="T17" s="633"/>
      <c r="U17" s="633"/>
      <c r="V17" s="633"/>
      <c r="W17" s="633"/>
    </row>
    <row r="18" ht="15.75" customHeight="1">
      <c r="A18" s="631" t="s">
        <v>1393</v>
      </c>
      <c r="B18" s="632" t="s">
        <v>4665</v>
      </c>
      <c r="C18" s="631" t="str">
        <f>IFERROR(__xludf.DUMMYFUNCTION("IF(COUNTA(filter(B:B,B:B=B18))=1,""Regular"",""Conta Repetida"")"),"Regular")</f>
        <v>Regular</v>
      </c>
      <c r="D18" s="633"/>
      <c r="E18" s="633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33"/>
      <c r="Q18" s="633"/>
      <c r="R18" s="633"/>
      <c r="S18" s="633"/>
      <c r="T18" s="633"/>
      <c r="U18" s="633"/>
      <c r="V18" s="633"/>
      <c r="W18" s="633"/>
    </row>
    <row r="19" ht="15.75" customHeight="1">
      <c r="A19" s="631" t="s">
        <v>803</v>
      </c>
      <c r="B19" s="632" t="s">
        <v>4666</v>
      </c>
      <c r="C19" s="631" t="str">
        <f>IFERROR(__xludf.DUMMYFUNCTION("IF(COUNTA(filter(B:B,B:B=B19))=1,""Regular"",""Conta Repetida"")"),"Regular")</f>
        <v>Regular</v>
      </c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</row>
    <row r="20" ht="15.75" customHeight="1">
      <c r="A20" s="631" t="s">
        <v>4668</v>
      </c>
      <c r="B20" s="632" t="s">
        <v>4669</v>
      </c>
      <c r="C20" s="631" t="str">
        <f>IFERROR(__xludf.DUMMYFUNCTION("IF(COUNTA(filter(B:B,B:B=B20))=1,""Regular"",""Conta Repetida"")"),"Regular")</f>
        <v>Regular</v>
      </c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</row>
    <row r="21" ht="15.75" customHeight="1">
      <c r="A21" s="631" t="s">
        <v>3521</v>
      </c>
      <c r="B21" s="632" t="s">
        <v>4672</v>
      </c>
      <c r="C21" s="631" t="str">
        <f>IFERROR(__xludf.DUMMYFUNCTION("IF(COUNTA(filter(B:B,B:B=B21))=1,""Regular"",""Conta Repetida"")"),"Regular")</f>
        <v>Regular</v>
      </c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</row>
    <row r="22" ht="15.75" customHeight="1">
      <c r="A22" s="631" t="s">
        <v>1228</v>
      </c>
      <c r="B22" s="632" t="s">
        <v>4676</v>
      </c>
      <c r="C22" s="631" t="str">
        <f>IFERROR(__xludf.DUMMYFUNCTION("IF(COUNTA(filter(B:B,B:B=B22))=1,""Regular"",""Conta Repetida"")"),"Regular")</f>
        <v>Regular</v>
      </c>
      <c r="D22" s="633"/>
      <c r="E22" s="633"/>
      <c r="F22" s="633"/>
      <c r="G22" s="633"/>
      <c r="H22" s="633"/>
      <c r="I22" s="633"/>
      <c r="J22" s="633"/>
      <c r="K22" s="633"/>
      <c r="L22" s="633"/>
      <c r="M22" s="633"/>
      <c r="N22" s="633"/>
      <c r="O22" s="633"/>
      <c r="P22" s="633"/>
      <c r="Q22" s="633"/>
      <c r="R22" s="633"/>
      <c r="S22" s="633"/>
      <c r="T22" s="633"/>
      <c r="U22" s="633"/>
      <c r="V22" s="633"/>
      <c r="W22" s="633"/>
    </row>
    <row r="23" ht="15.75" customHeight="1">
      <c r="A23" s="631" t="s">
        <v>3606</v>
      </c>
      <c r="B23" s="632" t="s">
        <v>4679</v>
      </c>
      <c r="C23" s="631" t="str">
        <f>IFERROR(__xludf.DUMMYFUNCTION("IF(COUNTA(filter(B:B,B:B=B23))=1,""Regular"",""Conta Repetida"")"),"Regular")</f>
        <v>Regular</v>
      </c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3"/>
      <c r="P23" s="633"/>
      <c r="Q23" s="633"/>
      <c r="R23" s="633"/>
      <c r="S23" s="633"/>
      <c r="T23" s="633"/>
      <c r="U23" s="633"/>
      <c r="V23" s="633"/>
      <c r="W23" s="633"/>
    </row>
    <row r="24" ht="15.75" customHeight="1">
      <c r="A24" s="631" t="s">
        <v>368</v>
      </c>
      <c r="B24" s="632" t="s">
        <v>4682</v>
      </c>
      <c r="C24" s="631" t="str">
        <f>IFERROR(__xludf.DUMMYFUNCTION("IF(COUNTA(filter(B:B,B:B=B24))=1,""Regular"",""Conta Repetida"")"),"Regular")</f>
        <v>Regular</v>
      </c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3"/>
      <c r="P24" s="633"/>
      <c r="Q24" s="633"/>
      <c r="R24" s="633"/>
      <c r="S24" s="633"/>
      <c r="T24" s="633"/>
      <c r="U24" s="633"/>
      <c r="V24" s="633"/>
      <c r="W24" s="633"/>
    </row>
    <row r="25" ht="15.75" customHeight="1">
      <c r="A25" s="631" t="s">
        <v>1340</v>
      </c>
      <c r="B25" s="632" t="s">
        <v>4685</v>
      </c>
      <c r="C25" s="631" t="str">
        <f>IFERROR(__xludf.DUMMYFUNCTION("IF(COUNTA(filter(B:B,B:B=B25))=1,""Regular"",""Conta Repetida"")"),"Regular")</f>
        <v>Regular</v>
      </c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</row>
    <row r="26" ht="15.75" customHeight="1">
      <c r="A26" s="631" t="s">
        <v>379</v>
      </c>
      <c r="B26" s="632" t="s">
        <v>4687</v>
      </c>
      <c r="C26" s="631" t="str">
        <f>IFERROR(__xludf.DUMMYFUNCTION("IF(COUNTA(filter(B:B,B:B=B26))=1,""Regular"",""Conta Repetida"")"),"Regular")</f>
        <v>Regular</v>
      </c>
      <c r="D26" s="633"/>
      <c r="E26" s="633"/>
      <c r="F26" s="633"/>
      <c r="G26" s="633"/>
      <c r="H26" s="633"/>
      <c r="I26" s="633"/>
      <c r="J26" s="633"/>
      <c r="K26" s="633"/>
      <c r="L26" s="633"/>
      <c r="M26" s="633"/>
      <c r="N26" s="633"/>
      <c r="O26" s="633"/>
      <c r="P26" s="633"/>
      <c r="Q26" s="633"/>
      <c r="R26" s="633"/>
      <c r="S26" s="633"/>
      <c r="T26" s="633"/>
      <c r="U26" s="633"/>
      <c r="V26" s="633"/>
      <c r="W26" s="633"/>
    </row>
    <row r="27" ht="15.75" customHeight="1">
      <c r="A27" s="631" t="s">
        <v>4689</v>
      </c>
      <c r="B27" s="632" t="s">
        <v>4690</v>
      </c>
      <c r="C27" s="631" t="str">
        <f>IFERROR(__xludf.DUMMYFUNCTION("IF(COUNTA(filter(B:B,B:B=B27))=1,""Regular"",""Conta Repetida"")"),"Regular")</f>
        <v>Regular</v>
      </c>
      <c r="D27" s="633"/>
      <c r="E27" s="633"/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3"/>
      <c r="R27" s="633"/>
      <c r="S27" s="633"/>
      <c r="T27" s="633"/>
      <c r="U27" s="633"/>
      <c r="V27" s="633"/>
      <c r="W27" s="633"/>
    </row>
    <row r="28" ht="15.75" customHeight="1">
      <c r="A28" s="631" t="s">
        <v>3855</v>
      </c>
      <c r="B28" s="632" t="s">
        <v>4691</v>
      </c>
      <c r="C28" s="631" t="str">
        <f>IFERROR(__xludf.DUMMYFUNCTION("IF(COUNTA(filter(B:B,B:B=B28))=1,""Regular"",""Conta Repetida"")"),"Regular")</f>
        <v>Regular</v>
      </c>
      <c r="D28" s="633"/>
      <c r="E28" s="633"/>
      <c r="F28" s="633"/>
      <c r="G28" s="633"/>
      <c r="H28" s="633"/>
      <c r="I28" s="633"/>
      <c r="J28" s="633"/>
      <c r="K28" s="633"/>
      <c r="L28" s="633"/>
      <c r="M28" s="633"/>
      <c r="N28" s="633"/>
      <c r="O28" s="633"/>
      <c r="P28" s="633"/>
      <c r="Q28" s="633"/>
      <c r="R28" s="633"/>
      <c r="S28" s="633"/>
      <c r="T28" s="633"/>
      <c r="U28" s="633"/>
      <c r="V28" s="633"/>
      <c r="W28" s="633"/>
    </row>
    <row r="29" ht="15.75" customHeight="1">
      <c r="A29" s="631" t="s">
        <v>3877</v>
      </c>
      <c r="B29" s="632" t="s">
        <v>4694</v>
      </c>
      <c r="C29" s="631" t="str">
        <f>IFERROR(__xludf.DUMMYFUNCTION("IF(COUNTA(filter(B:B,B:B=B29))=1,""Regular"",""Conta Repetida"")"),"Regular")</f>
        <v>Regular</v>
      </c>
      <c r="D29" s="633"/>
      <c r="E29" s="633"/>
      <c r="F29" s="633"/>
      <c r="G29" s="633"/>
      <c r="H29" s="633"/>
      <c r="I29" s="633"/>
      <c r="J29" s="633"/>
      <c r="K29" s="633"/>
      <c r="L29" s="633"/>
      <c r="M29" s="633"/>
      <c r="N29" s="633"/>
      <c r="O29" s="633"/>
      <c r="P29" s="633"/>
      <c r="Q29" s="633"/>
      <c r="R29" s="633"/>
      <c r="S29" s="633"/>
      <c r="T29" s="633"/>
      <c r="U29" s="633"/>
      <c r="V29" s="633"/>
      <c r="W29" s="633"/>
    </row>
    <row r="30" ht="15.75" customHeight="1">
      <c r="A30" s="631" t="s">
        <v>3885</v>
      </c>
      <c r="B30" s="632" t="s">
        <v>4695</v>
      </c>
      <c r="C30" s="631" t="str">
        <f>IFERROR(__xludf.DUMMYFUNCTION("IF(COUNTA(filter(B:B,B:B=B30))=1,""Regular"",""Conta Repetida"")"),"Regular")</f>
        <v>Regular</v>
      </c>
      <c r="D30" s="633"/>
      <c r="E30" s="633"/>
      <c r="F30" s="633"/>
      <c r="G30" s="633"/>
      <c r="H30" s="633"/>
      <c r="I30" s="633"/>
      <c r="J30" s="633"/>
      <c r="K30" s="633"/>
      <c r="L30" s="633"/>
      <c r="M30" s="633"/>
      <c r="N30" s="633"/>
      <c r="O30" s="633"/>
      <c r="P30" s="633"/>
      <c r="Q30" s="633"/>
      <c r="R30" s="633"/>
      <c r="S30" s="633"/>
      <c r="T30" s="633"/>
      <c r="U30" s="633"/>
      <c r="V30" s="633"/>
      <c r="W30" s="633"/>
    </row>
    <row r="31" ht="15.75" customHeight="1">
      <c r="A31" s="631" t="s">
        <v>4699</v>
      </c>
      <c r="B31" s="632" t="s">
        <v>4700</v>
      </c>
      <c r="C31" s="631" t="str">
        <f>IFERROR(__xludf.DUMMYFUNCTION("IF(COUNTA(filter(B:B,B:B=B31))=1,""Regular"",""Conta Repetida"")"),"Regular")</f>
        <v>Regular</v>
      </c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3"/>
      <c r="P31" s="633"/>
      <c r="Q31" s="633"/>
      <c r="R31" s="633"/>
      <c r="S31" s="633"/>
      <c r="T31" s="633"/>
      <c r="U31" s="633"/>
      <c r="V31" s="633"/>
      <c r="W31" s="633"/>
    </row>
    <row r="32" ht="15.75" customHeight="1">
      <c r="A32" s="631" t="s">
        <v>4701</v>
      </c>
      <c r="B32" s="632" t="s">
        <v>4702</v>
      </c>
      <c r="C32" s="631" t="str">
        <f>IFERROR(__xludf.DUMMYFUNCTION("IF(COUNTA(filter(B:B,B:B=B32))=1,""Regular"",""Conta Repetida"")"),"Regular")</f>
        <v>Regular</v>
      </c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3"/>
      <c r="P32" s="633"/>
      <c r="Q32" s="633"/>
      <c r="R32" s="633"/>
      <c r="S32" s="633"/>
      <c r="T32" s="633"/>
      <c r="U32" s="633"/>
      <c r="V32" s="633"/>
      <c r="W32" s="633"/>
    </row>
    <row r="33" ht="15.75" customHeight="1">
      <c r="A33" s="631" t="s">
        <v>4705</v>
      </c>
      <c r="B33" s="632" t="s">
        <v>4706</v>
      </c>
      <c r="C33" s="631" t="str">
        <f>IFERROR(__xludf.DUMMYFUNCTION("IF(COUNTA(filter(B:B,B:B=B33))=1,""Regular"",""Conta Repetida"")"),"Regular")</f>
        <v>Regular</v>
      </c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3"/>
      <c r="P33" s="633"/>
      <c r="Q33" s="633"/>
      <c r="R33" s="633"/>
      <c r="S33" s="633"/>
      <c r="T33" s="633"/>
      <c r="U33" s="633"/>
      <c r="V33" s="633"/>
      <c r="W33" s="633"/>
    </row>
    <row r="34" ht="15.75" customHeight="1">
      <c r="A34" s="631" t="s">
        <v>3979</v>
      </c>
      <c r="B34" s="632" t="s">
        <v>4709</v>
      </c>
      <c r="C34" s="631" t="str">
        <f>IFERROR(__xludf.DUMMYFUNCTION("IF(COUNTA(filter(B:B,B:B=B34))=1,""Regular"",""Conta Repetida"")"),"Regular")</f>
        <v>Regular</v>
      </c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</row>
    <row r="35" ht="15.75" customHeight="1">
      <c r="A35" s="631" t="s">
        <v>255</v>
      </c>
      <c r="B35" s="632" t="s">
        <v>4711</v>
      </c>
      <c r="C35" s="631" t="str">
        <f>IFERROR(__xludf.DUMMYFUNCTION("IF(COUNTA(filter(B:B,B:B=B35))=1,""Regular"",""Conta Repetida"")"),"Regular")</f>
        <v>Regular</v>
      </c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</row>
    <row r="36" ht="15.75" customHeight="1">
      <c r="A36" s="631" t="s">
        <v>4057</v>
      </c>
      <c r="B36" s="632" t="s">
        <v>4714</v>
      </c>
      <c r="C36" s="631" t="str">
        <f>IFERROR(__xludf.DUMMYFUNCTION("IF(COUNTA(filter(B:B,B:B=B36))=1,""Regular"",""Conta Repetida"")"),"Regular")</f>
        <v>Regular</v>
      </c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3"/>
      <c r="P36" s="633"/>
      <c r="Q36" s="633"/>
      <c r="R36" s="633"/>
      <c r="S36" s="633"/>
      <c r="T36" s="633"/>
      <c r="U36" s="633"/>
      <c r="V36" s="633"/>
      <c r="W36" s="633"/>
    </row>
    <row r="37" ht="15.75" customHeight="1">
      <c r="A37" s="631" t="s">
        <v>1074</v>
      </c>
      <c r="B37" s="632" t="s">
        <v>4719</v>
      </c>
      <c r="C37" s="631" t="str">
        <f>IFERROR(__xludf.DUMMYFUNCTION("IF(COUNTA(filter(B:B,B:B=B37))=1,""Regular"",""Conta Repetida"")"),"Regular")</f>
        <v>Regular</v>
      </c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</row>
    <row r="38" ht="15.75" customHeight="1">
      <c r="A38" s="631" t="s">
        <v>4721</v>
      </c>
      <c r="B38" s="632" t="s">
        <v>4722</v>
      </c>
      <c r="C38" s="631" t="str">
        <f>IFERROR(__xludf.DUMMYFUNCTION("IF(COUNTA(filter(B:B,B:B=B38))=1,""Regular"",""Conta Repetida"")"),"Regular")</f>
        <v>Regular</v>
      </c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3"/>
      <c r="P38" s="633"/>
      <c r="Q38" s="633"/>
      <c r="R38" s="633"/>
      <c r="S38" s="633"/>
      <c r="T38" s="633"/>
      <c r="U38" s="633"/>
      <c r="V38" s="633"/>
      <c r="W38" s="633"/>
    </row>
    <row r="39" ht="15.75" customHeight="1">
      <c r="A39" s="631" t="s">
        <v>2587</v>
      </c>
      <c r="B39" s="632" t="s">
        <v>4723</v>
      </c>
      <c r="C39" s="631" t="str">
        <f>IFERROR(__xludf.DUMMYFUNCTION("IF(COUNTA(filter(B:B,B:B=B39))=1,""Regular"",""Conta Repetida"")"),"Regular")</f>
        <v>Regular</v>
      </c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</row>
    <row r="40" ht="15.75" customHeight="1">
      <c r="A40" s="631" t="s">
        <v>4179</v>
      </c>
      <c r="B40" s="632" t="s">
        <v>4728</v>
      </c>
      <c r="C40" s="631" t="str">
        <f>IFERROR(__xludf.DUMMYFUNCTION("IF(COUNTA(filter(B:B,B:B=B40))=1,""Regular"",""Conta Repetida"")"),"Regular")</f>
        <v>Regular</v>
      </c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633"/>
      <c r="P40" s="633"/>
      <c r="Q40" s="633"/>
      <c r="R40" s="633"/>
      <c r="S40" s="633"/>
      <c r="T40" s="633"/>
      <c r="U40" s="633"/>
      <c r="V40" s="633"/>
      <c r="W40" s="633"/>
    </row>
    <row r="41" ht="15.75" customHeight="1">
      <c r="A41" s="631" t="s">
        <v>4238</v>
      </c>
      <c r="B41" s="632" t="s">
        <v>4736</v>
      </c>
      <c r="C41" s="631" t="str">
        <f>IFERROR(__xludf.DUMMYFUNCTION("IF(COUNTA(filter(B:B,B:B=B41))=1,""Regular"",""Conta Repetida"")"),"Regular")</f>
        <v>Regular</v>
      </c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3"/>
      <c r="P41" s="633"/>
      <c r="Q41" s="633"/>
      <c r="R41" s="633"/>
      <c r="S41" s="633"/>
      <c r="T41" s="633"/>
      <c r="U41" s="633"/>
      <c r="V41" s="633"/>
      <c r="W41" s="633"/>
    </row>
    <row r="42" ht="15.75" customHeight="1">
      <c r="A42" s="631" t="s">
        <v>4737</v>
      </c>
      <c r="B42" s="632" t="s">
        <v>4738</v>
      </c>
      <c r="C42" s="631" t="str">
        <f>IFERROR(__xludf.DUMMYFUNCTION("IF(COUNTA(filter(B:B,B:B=B42))=1,""Regular"",""Conta Repetida"")"),"Regular")</f>
        <v>Regular</v>
      </c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3"/>
      <c r="P42" s="633"/>
      <c r="Q42" s="633"/>
      <c r="R42" s="633"/>
      <c r="S42" s="633"/>
      <c r="T42" s="633"/>
      <c r="U42" s="633"/>
      <c r="V42" s="633"/>
      <c r="W42" s="633"/>
    </row>
    <row r="43" ht="15.75" customHeight="1">
      <c r="A43" s="631" t="s">
        <v>439</v>
      </c>
      <c r="B43" s="632" t="s">
        <v>4741</v>
      </c>
      <c r="C43" s="631" t="str">
        <f>IFERROR(__xludf.DUMMYFUNCTION("IF(COUNTA(filter(B:B,B:B=B43))=1,""Regular"",""Conta Repetida"")"),"Regular")</f>
        <v>Regular</v>
      </c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33"/>
      <c r="V43" s="633"/>
      <c r="W43" s="633"/>
    </row>
    <row r="44" ht="15.75" customHeight="1">
      <c r="A44" s="631" t="s">
        <v>4742</v>
      </c>
      <c r="B44" s="632" t="s">
        <v>4743</v>
      </c>
      <c r="C44" s="631" t="str">
        <f>IFERROR(__xludf.DUMMYFUNCTION("IF(COUNTA(filter(B:B,B:B=B44))=1,""Regular"",""Conta Repetida"")"),"Regular")</f>
        <v>Regular</v>
      </c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</row>
    <row r="45" ht="15.75" customHeight="1">
      <c r="A45" s="631" t="s">
        <v>4744</v>
      </c>
      <c r="B45" s="632" t="s">
        <v>4745</v>
      </c>
      <c r="C45" s="631" t="str">
        <f>IFERROR(__xludf.DUMMYFUNCTION("IF(COUNTA(filter(B:B,B:B=B45))=1,""Regular"",""Conta Repetida"")"),"Regular")</f>
        <v>Regular</v>
      </c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</row>
    <row r="46" ht="15.75" customHeight="1">
      <c r="A46" s="631" t="s">
        <v>628</v>
      </c>
      <c r="B46" s="632" t="s">
        <v>4746</v>
      </c>
      <c r="C46" s="631" t="str">
        <f>IFERROR(__xludf.DUMMYFUNCTION("IF(COUNTA(filter(B:B,B:B=B46))=1,""Regular"",""Conta Repetida"")"),"Regular")</f>
        <v>Regular</v>
      </c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  <c r="S46" s="633"/>
      <c r="T46" s="633"/>
      <c r="U46" s="633"/>
      <c r="V46" s="633"/>
      <c r="W46" s="633"/>
    </row>
    <row r="47" ht="15.75" customHeight="1">
      <c r="A47" s="631" t="s">
        <v>4747</v>
      </c>
      <c r="B47" s="632" t="s">
        <v>4748</v>
      </c>
      <c r="C47" s="631" t="str">
        <f>IFERROR(__xludf.DUMMYFUNCTION("IF(COUNTA(filter(B:B,B:B=B47))=1,""Regular"",""Conta Repetida"")"),"Regular")</f>
        <v>Regular</v>
      </c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  <c r="S47" s="633"/>
      <c r="T47" s="633"/>
      <c r="U47" s="633"/>
      <c r="V47" s="633"/>
      <c r="W47" s="633"/>
    </row>
    <row r="48" ht="15.75" customHeight="1">
      <c r="A48" s="631" t="s">
        <v>4752</v>
      </c>
      <c r="B48" s="632" t="s">
        <v>4753</v>
      </c>
      <c r="C48" s="631" t="str">
        <f>IFERROR(__xludf.DUMMYFUNCTION("IF(COUNTA(filter(B:B,B:B=B48))=1,""Regular"",""Conta Repetida"")"),"Regular")</f>
        <v>Regular</v>
      </c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</row>
    <row r="49" ht="15.75" customHeight="1">
      <c r="A49" s="631" t="s">
        <v>4755</v>
      </c>
      <c r="B49" s="632" t="s">
        <v>4756</v>
      </c>
      <c r="C49" s="631" t="str">
        <f>IFERROR(__xludf.DUMMYFUNCTION("IF(COUNTA(filter(B:B,B:B=B49))=1,""Regular"",""Conta Repetida"")"),"Regular")</f>
        <v>Regular</v>
      </c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  <c r="R49" s="633"/>
      <c r="S49" s="633"/>
      <c r="T49" s="633"/>
      <c r="U49" s="633"/>
      <c r="V49" s="633"/>
      <c r="W49" s="633"/>
    </row>
    <row r="50" ht="15.75" customHeight="1">
      <c r="A50" s="631" t="s">
        <v>4758</v>
      </c>
      <c r="B50" s="632" t="s">
        <v>4759</v>
      </c>
      <c r="C50" s="631" t="str">
        <f>IFERROR(__xludf.DUMMYFUNCTION("IF(COUNTA(filter(B:B,B:B=B50))=1,""Regular"",""Conta Repetida"")"),"Regular")</f>
        <v>Regular</v>
      </c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</row>
    <row r="51" ht="15.75" customHeight="1">
      <c r="A51" s="631" t="s">
        <v>4761</v>
      </c>
      <c r="B51" s="632" t="s">
        <v>4762</v>
      </c>
      <c r="C51" s="631" t="str">
        <f>IFERROR(__xludf.DUMMYFUNCTION("IF(COUNTA(filter(B:B,B:B=B51))=1,""Regular"",""Conta Repetida"")"),"Regular")</f>
        <v>Regular</v>
      </c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3"/>
      <c r="P51" s="633"/>
      <c r="Q51" s="633"/>
      <c r="R51" s="633"/>
      <c r="S51" s="633"/>
      <c r="T51" s="633"/>
      <c r="U51" s="633"/>
      <c r="V51" s="633"/>
      <c r="W51" s="633"/>
    </row>
    <row r="52" ht="15.75" customHeight="1">
      <c r="A52" s="631" t="s">
        <v>1140</v>
      </c>
      <c r="B52" s="632" t="s">
        <v>4763</v>
      </c>
      <c r="C52" s="631" t="str">
        <f>IFERROR(__xludf.DUMMYFUNCTION("IF(COUNTA(filter(B:B,B:B=B52))=1,""Regular"",""Conta Repetida"")"),"Regular")</f>
        <v>Regular</v>
      </c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</row>
    <row r="53" ht="15.75" customHeight="1">
      <c r="A53" s="631" t="s">
        <v>1108</v>
      </c>
      <c r="B53" s="632" t="s">
        <v>4766</v>
      </c>
      <c r="C53" s="631" t="str">
        <f>IFERROR(__xludf.DUMMYFUNCTION("IF(COUNTA(filter(B:B,B:B=B53))=1,""Regular"",""Conta Repetida"")"),"Regular")</f>
        <v>Regular</v>
      </c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</row>
    <row r="54" ht="15.75" customHeight="1">
      <c r="A54" s="631" t="s">
        <v>4769</v>
      </c>
      <c r="B54" s="632" t="s">
        <v>4770</v>
      </c>
      <c r="C54" s="631" t="str">
        <f>IFERROR(__xludf.DUMMYFUNCTION("IF(COUNTA(filter(B:B,B:B=B54))=1,""Regular"",""Conta Repetida"")"),"Regular")</f>
        <v>Regular</v>
      </c>
      <c r="D54" s="633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633"/>
      <c r="P54" s="633"/>
      <c r="Q54" s="633"/>
      <c r="R54" s="633"/>
      <c r="S54" s="633"/>
      <c r="T54" s="633"/>
      <c r="U54" s="633"/>
      <c r="V54" s="633"/>
      <c r="W54" s="633"/>
    </row>
    <row r="55" ht="15.75" customHeight="1">
      <c r="A55" s="631" t="s">
        <v>4771</v>
      </c>
      <c r="B55" s="632" t="s">
        <v>4772</v>
      </c>
      <c r="C55" s="631" t="str">
        <f>IFERROR(__xludf.DUMMYFUNCTION("IF(COUNTA(filter(B:B,B:B=B55))=1,""Regular"",""Conta Repetida"")"),"Regular")</f>
        <v>Regular</v>
      </c>
      <c r="D55" s="633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633"/>
      <c r="P55" s="633"/>
      <c r="Q55" s="633"/>
      <c r="R55" s="633"/>
      <c r="S55" s="633"/>
      <c r="T55" s="633"/>
      <c r="U55" s="633"/>
      <c r="V55" s="633"/>
      <c r="W55" s="633"/>
    </row>
    <row r="56" ht="15.75" customHeight="1">
      <c r="A56" s="631" t="s">
        <v>4773</v>
      </c>
      <c r="B56" s="632" t="s">
        <v>4774</v>
      </c>
      <c r="C56" s="631" t="str">
        <f>IFERROR(__xludf.DUMMYFUNCTION("IF(COUNTA(filter(B:B,B:B=B56))=1,""Regular"",""Conta Repetida"")"),"Regular")</f>
        <v>Regular</v>
      </c>
      <c r="D56" s="633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633"/>
      <c r="P56" s="633"/>
      <c r="Q56" s="633"/>
      <c r="R56" s="633"/>
      <c r="S56" s="633"/>
      <c r="T56" s="633"/>
      <c r="U56" s="633"/>
      <c r="V56" s="633"/>
      <c r="W56" s="633"/>
    </row>
    <row r="57" ht="15.75" customHeight="1">
      <c r="A57" s="631" t="s">
        <v>4777</v>
      </c>
      <c r="B57" s="632" t="s">
        <v>4778</v>
      </c>
      <c r="C57" s="631" t="str">
        <f>IFERROR(__xludf.DUMMYFUNCTION("IF(COUNTA(filter(B:B,B:B=B57))=1,""Regular"",""Conta Repetida"")"),"Regular")</f>
        <v>Regular</v>
      </c>
      <c r="D57" s="633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3"/>
      <c r="R57" s="633"/>
      <c r="S57" s="633"/>
      <c r="T57" s="633"/>
      <c r="U57" s="633"/>
      <c r="V57" s="633"/>
      <c r="W57" s="633"/>
    </row>
    <row r="58" ht="15.75" customHeight="1">
      <c r="A58" s="631" t="s">
        <v>4782</v>
      </c>
      <c r="B58" s="632" t="s">
        <v>4783</v>
      </c>
      <c r="C58" s="631" t="str">
        <f>IFERROR(__xludf.DUMMYFUNCTION("IF(COUNTA(filter(B:B,B:B=B58))=1,""Regular"",""Conta Repetida"")"),"Regular")</f>
        <v>Regular</v>
      </c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3"/>
      <c r="P58" s="633"/>
      <c r="Q58" s="633"/>
      <c r="R58" s="633"/>
      <c r="S58" s="633"/>
      <c r="T58" s="633"/>
      <c r="U58" s="633"/>
      <c r="V58" s="633"/>
      <c r="W58" s="633"/>
    </row>
    <row r="59" ht="15.75" customHeight="1">
      <c r="A59" s="631" t="s">
        <v>4786</v>
      </c>
      <c r="B59" s="632" t="s">
        <v>4787</v>
      </c>
      <c r="C59" s="631" t="str">
        <f>IFERROR(__xludf.DUMMYFUNCTION("IF(COUNTA(filter(B:B,B:B=B59))=1,""Regular"",""Conta Repetida"")"),"Regular")</f>
        <v>Regular</v>
      </c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633"/>
      <c r="Q59" s="633"/>
      <c r="R59" s="633"/>
      <c r="S59" s="633"/>
      <c r="T59" s="633"/>
      <c r="U59" s="633"/>
      <c r="V59" s="633"/>
      <c r="W59" s="633"/>
    </row>
    <row r="60" ht="15.75" customHeight="1">
      <c r="A60" s="631" t="s">
        <v>4789</v>
      </c>
      <c r="B60" s="632" t="s">
        <v>4791</v>
      </c>
      <c r="C60" s="631" t="str">
        <f>IFERROR(__xludf.DUMMYFUNCTION("IF(COUNTA(filter(B:B,B:B=B60))=1,""Regular"",""Conta Repetida"")"),"Regular")</f>
        <v>Regular</v>
      </c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3"/>
      <c r="P60" s="633"/>
      <c r="Q60" s="633"/>
      <c r="R60" s="633"/>
      <c r="S60" s="633"/>
      <c r="T60" s="633"/>
      <c r="U60" s="633"/>
      <c r="V60" s="633"/>
      <c r="W60" s="633"/>
    </row>
    <row r="61" ht="15.75" customHeight="1">
      <c r="A61" s="631" t="s">
        <v>4793</v>
      </c>
      <c r="B61" s="632" t="s">
        <v>4794</v>
      </c>
      <c r="C61" s="631" t="str">
        <f>IFERROR(__xludf.DUMMYFUNCTION("IF(COUNTA(filter(B:B,B:B=B61))=1,""Regular"",""Conta Repetida"")"),"Regular")</f>
        <v>Regular</v>
      </c>
      <c r="D61" s="633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633"/>
      <c r="P61" s="633"/>
      <c r="Q61" s="633"/>
      <c r="R61" s="633"/>
      <c r="S61" s="633"/>
      <c r="T61" s="633"/>
      <c r="U61" s="633"/>
      <c r="V61" s="633"/>
      <c r="W61" s="633"/>
    </row>
    <row r="62" ht="15.75" customHeight="1">
      <c r="A62" s="631" t="s">
        <v>4797</v>
      </c>
      <c r="B62" s="632" t="s">
        <v>4798</v>
      </c>
      <c r="C62" s="631" t="str">
        <f>IFERROR(__xludf.DUMMYFUNCTION("IF(COUNTA(filter(B:B,B:B=B62))=1,""Regular"",""Conta Repetida"")"),"Regular")</f>
        <v>Regular</v>
      </c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3"/>
      <c r="P62" s="633"/>
      <c r="Q62" s="633"/>
      <c r="R62" s="633"/>
      <c r="S62" s="633"/>
      <c r="T62" s="633"/>
      <c r="U62" s="633"/>
      <c r="V62" s="633"/>
      <c r="W62" s="633"/>
    </row>
    <row r="63" ht="15.75" customHeight="1">
      <c r="A63" s="631" t="s">
        <v>4800</v>
      </c>
      <c r="B63" s="632" t="s">
        <v>4801</v>
      </c>
      <c r="C63" s="631" t="str">
        <f>IFERROR(__xludf.DUMMYFUNCTION("IF(COUNTA(filter(B:B,B:B=B63))=1,""Regular"",""Conta Repetida"")"),"Regular")</f>
        <v>Regular</v>
      </c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3"/>
      <c r="P63" s="633"/>
      <c r="Q63" s="633"/>
      <c r="R63" s="633"/>
      <c r="S63" s="633"/>
      <c r="T63" s="633"/>
      <c r="U63" s="633"/>
      <c r="V63" s="633"/>
      <c r="W63" s="633"/>
    </row>
    <row r="64" ht="15.75" customHeight="1">
      <c r="A64" s="631" t="s">
        <v>4802</v>
      </c>
      <c r="B64" s="632" t="s">
        <v>4803</v>
      </c>
      <c r="C64" s="631" t="str">
        <f>IFERROR(__xludf.DUMMYFUNCTION("IF(COUNTA(filter(B:B,B:B=B64))=1,""Regular"",""Conta Repetida"")"),"Regular")</f>
        <v>Regular</v>
      </c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</row>
    <row r="65" ht="15.75" customHeight="1">
      <c r="A65" s="631" t="s">
        <v>125</v>
      </c>
      <c r="B65" s="632" t="s">
        <v>3141</v>
      </c>
      <c r="C65" s="631" t="str">
        <f>IFERROR(__xludf.DUMMYFUNCTION("IF(COUNTA(filter(B:B,B:B=B65))=1,""Regular"",""Conta Repetida"")"),"Regular")</f>
        <v>Regular</v>
      </c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3"/>
      <c r="Q65" s="633"/>
      <c r="R65" s="633"/>
      <c r="S65" s="633"/>
      <c r="T65" s="633"/>
      <c r="U65" s="633"/>
      <c r="V65" s="633"/>
      <c r="W65" s="633"/>
    </row>
    <row r="66" ht="15.75" customHeight="1">
      <c r="A66" s="631" t="s">
        <v>4809</v>
      </c>
      <c r="B66" s="632" t="s">
        <v>4810</v>
      </c>
      <c r="C66" s="631" t="str">
        <f>IFERROR(__xludf.DUMMYFUNCTION("IF(COUNTA(filter(B:B,B:B=B66))=1,""Regular"",""Conta Repetida"")"),"Regular")</f>
        <v>Regular</v>
      </c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633"/>
      <c r="Q66" s="633"/>
      <c r="R66" s="633"/>
      <c r="S66" s="633"/>
      <c r="T66" s="633"/>
      <c r="U66" s="633"/>
      <c r="V66" s="633"/>
      <c r="W66" s="633"/>
    </row>
    <row r="67" ht="15.75" customHeight="1">
      <c r="A67" s="631" t="s">
        <v>4815</v>
      </c>
      <c r="B67" s="632" t="s">
        <v>4816</v>
      </c>
      <c r="C67" s="631" t="str">
        <f>IFERROR(__xludf.DUMMYFUNCTION("IF(COUNTA(filter(B:B,B:B=B67))=1,""Regular"",""Conta Repetida"")"),"Regular")</f>
        <v>Regular</v>
      </c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3"/>
      <c r="R67" s="633"/>
      <c r="S67" s="633"/>
      <c r="T67" s="633"/>
      <c r="U67" s="633"/>
      <c r="V67" s="633"/>
      <c r="W67" s="633"/>
    </row>
    <row r="68" ht="15.75" customHeight="1">
      <c r="A68" s="631" t="s">
        <v>2388</v>
      </c>
      <c r="B68" s="632" t="s">
        <v>4819</v>
      </c>
      <c r="C68" s="631" t="str">
        <f>IFERROR(__xludf.DUMMYFUNCTION("IF(COUNTA(filter(B:B,B:B=B68))=1,""Regular"",""Conta Repetida"")"),"Regular")</f>
        <v>Regular</v>
      </c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3"/>
      <c r="Q68" s="633"/>
      <c r="R68" s="633"/>
      <c r="S68" s="633"/>
      <c r="T68" s="633"/>
      <c r="U68" s="633"/>
      <c r="V68" s="633"/>
      <c r="W68" s="633"/>
    </row>
    <row r="69" ht="15.75" customHeight="1">
      <c r="A69" s="631" t="s">
        <v>193</v>
      </c>
      <c r="B69" s="632" t="s">
        <v>4821</v>
      </c>
      <c r="C69" s="631" t="str">
        <f>IFERROR(__xludf.DUMMYFUNCTION("IF(COUNTA(filter(B:B,B:B=B69))=1,""Regular"",""Conta Repetida"")"),"Regular")</f>
        <v>Regular</v>
      </c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3"/>
      <c r="R69" s="633"/>
      <c r="S69" s="633"/>
      <c r="T69" s="633"/>
      <c r="U69" s="633"/>
      <c r="V69" s="633"/>
      <c r="W69" s="633"/>
    </row>
    <row r="70" ht="15.75" customHeight="1">
      <c r="A70" s="631" t="s">
        <v>521</v>
      </c>
      <c r="B70" s="632" t="s">
        <v>4825</v>
      </c>
      <c r="C70" s="631" t="str">
        <f>IFERROR(__xludf.DUMMYFUNCTION("IF(COUNTA(filter(B:B,B:B=B70))=1,""Regular"",""Conta Repetida"")"),"Regular")</f>
        <v>Regular</v>
      </c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3"/>
      <c r="Q70" s="633"/>
      <c r="R70" s="633"/>
      <c r="S70" s="633"/>
      <c r="T70" s="633"/>
      <c r="U70" s="633"/>
      <c r="V70" s="633"/>
      <c r="W70" s="633"/>
    </row>
    <row r="71" ht="15.75" customHeight="1">
      <c r="A71" s="631" t="s">
        <v>699</v>
      </c>
      <c r="B71" s="632" t="s">
        <v>4827</v>
      </c>
      <c r="C71" s="631" t="str">
        <f>IFERROR(__xludf.DUMMYFUNCTION("IF(COUNTA(filter(B:B,B:B=B71))=1,""Regular"",""Conta Repetida"")"),"Regular")</f>
        <v>Regular</v>
      </c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</row>
    <row r="72" ht="15.75" customHeight="1">
      <c r="A72" s="631" t="s">
        <v>1096</v>
      </c>
      <c r="B72" s="632" t="s">
        <v>4828</v>
      </c>
      <c r="C72" s="631" t="str">
        <f>IFERROR(__xludf.DUMMYFUNCTION("IF(COUNTA(filter(B:B,B:B=B72))=1,""Regular"",""Conta Repetida"")"),"Regular")</f>
        <v>Regular</v>
      </c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3"/>
      <c r="Q72" s="633"/>
      <c r="R72" s="633"/>
      <c r="S72" s="633"/>
      <c r="T72" s="633"/>
      <c r="U72" s="633"/>
      <c r="V72" s="633"/>
      <c r="W72" s="633"/>
    </row>
    <row r="73" ht="15.75" customHeight="1">
      <c r="A73" s="631" t="s">
        <v>4829</v>
      </c>
      <c r="B73" s="632" t="s">
        <v>4830</v>
      </c>
      <c r="C73" s="631" t="str">
        <f>IFERROR(__xludf.DUMMYFUNCTION("IF(COUNTA(filter(B:B,B:B=B73))=1,""Regular"",""Conta Repetida"")"),"Regular")</f>
        <v>Regular</v>
      </c>
      <c r="D73" s="633"/>
      <c r="E73" s="633"/>
      <c r="F73" s="633"/>
      <c r="G73" s="633"/>
      <c r="H73" s="633"/>
      <c r="I73" s="633"/>
      <c r="J73" s="633"/>
      <c r="K73" s="633"/>
      <c r="L73" s="633"/>
      <c r="M73" s="633"/>
      <c r="N73" s="633"/>
      <c r="O73" s="633"/>
      <c r="P73" s="633"/>
      <c r="Q73" s="633"/>
      <c r="R73" s="633"/>
      <c r="S73" s="633"/>
      <c r="T73" s="633"/>
      <c r="U73" s="633"/>
      <c r="V73" s="633"/>
      <c r="W73" s="633"/>
    </row>
    <row r="74" ht="15.75" customHeight="1">
      <c r="A74" s="631" t="s">
        <v>357</v>
      </c>
      <c r="B74" s="632" t="s">
        <v>4834</v>
      </c>
      <c r="C74" s="631" t="str">
        <f>IFERROR(__xludf.DUMMYFUNCTION("IF(COUNTA(filter(B:B,B:B=B74))=1,""Regular"",""Conta Repetida"")"),"Regular")</f>
        <v>Regular</v>
      </c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3"/>
      <c r="Q74" s="633"/>
      <c r="R74" s="633"/>
      <c r="S74" s="633"/>
      <c r="T74" s="633"/>
      <c r="U74" s="633"/>
      <c r="V74" s="633"/>
      <c r="W74" s="633"/>
    </row>
    <row r="75" ht="15.75" customHeight="1">
      <c r="A75" s="631" t="s">
        <v>778</v>
      </c>
      <c r="B75" s="632" t="s">
        <v>4838</v>
      </c>
      <c r="C75" s="631" t="str">
        <f>IFERROR(__xludf.DUMMYFUNCTION("IF(COUNTA(filter(B:B,B:B=B75))=1,""Regular"",""Conta Repetida"")"),"Regular")</f>
        <v>Regular</v>
      </c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3"/>
      <c r="P75" s="633"/>
      <c r="Q75" s="633"/>
      <c r="R75" s="633"/>
      <c r="S75" s="633"/>
      <c r="T75" s="633"/>
      <c r="U75" s="633"/>
      <c r="V75" s="633"/>
      <c r="W75" s="633"/>
    </row>
    <row r="76" ht="15.75" customHeight="1">
      <c r="A76" s="631" t="s">
        <v>905</v>
      </c>
      <c r="B76" s="632" t="s">
        <v>4841</v>
      </c>
      <c r="C76" s="631" t="str">
        <f>IFERROR(__xludf.DUMMYFUNCTION("IF(COUNTA(filter(B:B,B:B=B76))=1,""Regular"",""Conta Repetida"")"),"Regular")</f>
        <v>Regular</v>
      </c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</row>
    <row r="77" ht="15.75" customHeight="1">
      <c r="A77" s="631" t="s">
        <v>4842</v>
      </c>
      <c r="B77" s="632">
        <v>15678.0</v>
      </c>
      <c r="C77" s="631" t="str">
        <f>IFERROR(__xludf.DUMMYFUNCTION("IF(COUNTA(filter(B:B,B:B=B77))=1,""Regular"",""Conta Repetida"")"),"Regular")</f>
        <v>Regular</v>
      </c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633"/>
      <c r="Q77" s="633"/>
      <c r="R77" s="633"/>
      <c r="S77" s="633"/>
      <c r="T77" s="633"/>
      <c r="U77" s="633"/>
      <c r="V77" s="633"/>
      <c r="W77" s="633"/>
    </row>
    <row r="78" ht="15.75" customHeight="1">
      <c r="A78" s="631" t="s">
        <v>623</v>
      </c>
      <c r="B78" s="632">
        <v>26542.0</v>
      </c>
      <c r="C78" s="631" t="str">
        <f>IFERROR(__xludf.DUMMYFUNCTION("IF(COUNTA(filter(B:B,B:B=B78))=1,""Regular"",""Conta Repetida"")"),"Regular")</f>
        <v>Regular</v>
      </c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3"/>
      <c r="P78" s="633"/>
      <c r="Q78" s="633"/>
      <c r="R78" s="633"/>
      <c r="S78" s="633"/>
      <c r="T78" s="633"/>
      <c r="U78" s="633"/>
      <c r="V78" s="633"/>
      <c r="W78" s="633"/>
    </row>
    <row r="79" ht="15.75" customHeight="1">
      <c r="A79" s="636" t="s">
        <v>4846</v>
      </c>
      <c r="B79" s="632">
        <v>12345.0</v>
      </c>
      <c r="C79" s="631" t="str">
        <f>IFERROR(__xludf.DUMMYFUNCTION("IF(COUNTA(filter(B:B,B:B=B79))=1,""Regular"",""Conta Repetida"")"),"Regular")</f>
        <v>Regular</v>
      </c>
      <c r="D79" s="633"/>
      <c r="E79" s="633"/>
      <c r="F79" s="633"/>
      <c r="G79" s="633"/>
      <c r="H79" s="633"/>
      <c r="I79" s="633"/>
      <c r="J79" s="633"/>
      <c r="K79" s="633"/>
      <c r="L79" s="633"/>
      <c r="M79" s="633"/>
      <c r="N79" s="633"/>
      <c r="O79" s="633"/>
      <c r="P79" s="633"/>
      <c r="Q79" s="633"/>
      <c r="R79" s="633"/>
      <c r="S79" s="633"/>
      <c r="T79" s="633"/>
      <c r="U79" s="633"/>
      <c r="V79" s="633"/>
      <c r="W79" s="633"/>
    </row>
    <row r="80" ht="15.75" customHeight="1">
      <c r="A80" s="636" t="s">
        <v>212</v>
      </c>
      <c r="B80" s="632">
        <v>12344.0</v>
      </c>
      <c r="C80" s="631" t="str">
        <f>IFERROR(__xludf.DUMMYFUNCTION("IF(COUNTA(filter(B:B,B:B=B80))=1,""Regular"",""Conta Repetida"")"),"Regular")</f>
        <v>Regular</v>
      </c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3"/>
      <c r="P80" s="633"/>
      <c r="Q80" s="633"/>
      <c r="R80" s="633"/>
      <c r="S80" s="633"/>
      <c r="T80" s="633"/>
      <c r="U80" s="633"/>
      <c r="V80" s="633"/>
      <c r="W80" s="633"/>
    </row>
    <row r="81" ht="15.75" customHeight="1">
      <c r="A81" s="631" t="s">
        <v>4849</v>
      </c>
      <c r="B81" s="632">
        <v>12343.0</v>
      </c>
      <c r="C81" s="631" t="str">
        <f>IFERROR(__xludf.DUMMYFUNCTION("IF(COUNTA(filter(B:B,B:B=B81))=1,""Regular"",""Conta Repetida"")"),"Regular")</f>
        <v>Regular</v>
      </c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3"/>
      <c r="P81" s="633"/>
      <c r="Q81" s="633"/>
      <c r="R81" s="633"/>
      <c r="S81" s="633"/>
      <c r="T81" s="633"/>
      <c r="U81" s="633"/>
      <c r="V81" s="633"/>
      <c r="W81" s="633"/>
    </row>
    <row r="82" ht="15.75" customHeight="1">
      <c r="A82" s="631" t="s">
        <v>4715</v>
      </c>
      <c r="B82" s="632">
        <v>12342.0</v>
      </c>
      <c r="C82" s="631" t="str">
        <f>IFERROR(__xludf.DUMMYFUNCTION("IF(COUNTA(filter(B:B,B:B=B82))=1,""Regular"",""Conta Repetida"")"),"Regular")</f>
        <v>Regular</v>
      </c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</row>
    <row r="83" ht="15.75" customHeight="1">
      <c r="A83" s="593" t="s">
        <v>4851</v>
      </c>
      <c r="B83" s="632">
        <v>12341.0</v>
      </c>
      <c r="C83" s="631" t="str">
        <f>IFERROR(__xludf.DUMMYFUNCTION("IF(COUNTA(filter(B:B,B:B=B83))=1,""Regular"",""Conta Repetida"")"),"Regular")</f>
        <v>Regular</v>
      </c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</row>
    <row r="84" ht="15.75" customHeight="1">
      <c r="A84" s="593" t="s">
        <v>4852</v>
      </c>
      <c r="B84" s="632">
        <v>12340.0</v>
      </c>
      <c r="C84" s="631" t="str">
        <f>IFERROR(__xludf.DUMMYFUNCTION("IF(COUNTA(filter(B:B,B:B=B84))=1,""Regular"",""Conta Repetida"")"),"Regular")</f>
        <v>Regular</v>
      </c>
      <c r="D84" s="633"/>
      <c r="E84" s="633"/>
      <c r="F84" s="633"/>
      <c r="G84" s="633"/>
      <c r="H84" s="633"/>
      <c r="I84" s="633"/>
      <c r="J84" s="633"/>
      <c r="K84" s="633"/>
      <c r="L84" s="633"/>
      <c r="M84" s="633"/>
      <c r="N84" s="633"/>
      <c r="O84" s="633"/>
      <c r="P84" s="633"/>
      <c r="Q84" s="633"/>
      <c r="R84" s="633"/>
      <c r="S84" s="633"/>
      <c r="T84" s="633"/>
      <c r="U84" s="633"/>
      <c r="V84" s="633"/>
      <c r="W84" s="633"/>
    </row>
    <row r="85" ht="15.75" customHeight="1">
      <c r="A85" s="593" t="s">
        <v>3959</v>
      </c>
      <c r="B85" s="632">
        <v>12339.0</v>
      </c>
      <c r="C85" s="631" t="str">
        <f>IFERROR(__xludf.DUMMYFUNCTION("IF(COUNTA(filter(B:B,B:B=B85))=1,""Regular"",""Conta Repetida"")"),"Regular")</f>
        <v>Regular</v>
      </c>
      <c r="D85" s="633"/>
      <c r="E85" s="633"/>
      <c r="F85" s="633"/>
      <c r="G85" s="633"/>
      <c r="H85" s="633"/>
      <c r="I85" s="633"/>
      <c r="J85" s="633"/>
      <c r="K85" s="633"/>
      <c r="L85" s="633"/>
      <c r="M85" s="633"/>
      <c r="N85" s="633"/>
      <c r="O85" s="633"/>
      <c r="P85" s="633"/>
      <c r="Q85" s="633"/>
      <c r="R85" s="633"/>
      <c r="S85" s="633"/>
      <c r="T85" s="633"/>
      <c r="U85" s="633"/>
      <c r="V85" s="633"/>
      <c r="W85" s="633"/>
    </row>
    <row r="86" ht="15.75" customHeight="1">
      <c r="A86" s="639" t="s">
        <v>4857</v>
      </c>
      <c r="B86" s="632">
        <v>12338.0</v>
      </c>
      <c r="C86" s="631" t="str">
        <f>IFERROR(__xludf.DUMMYFUNCTION("IF(COUNTA(filter(B:B,B:B=B86))=1,""Regular"",""Conta Repetida"")"),"Regular")</f>
        <v>Regular</v>
      </c>
      <c r="D86" s="633"/>
      <c r="E86" s="633"/>
      <c r="F86" s="633"/>
      <c r="G86" s="633"/>
      <c r="H86" s="633"/>
      <c r="I86" s="633"/>
      <c r="J86" s="633"/>
      <c r="K86" s="633"/>
      <c r="L86" s="633"/>
      <c r="M86" s="633"/>
      <c r="N86" s="633"/>
      <c r="O86" s="633"/>
      <c r="P86" s="633"/>
      <c r="Q86" s="633"/>
      <c r="R86" s="633"/>
      <c r="S86" s="633"/>
      <c r="T86" s="633"/>
      <c r="U86" s="633"/>
      <c r="V86" s="633"/>
      <c r="W86" s="633"/>
    </row>
    <row r="87" ht="15.75" customHeight="1">
      <c r="A87" s="593" t="s">
        <v>4081</v>
      </c>
      <c r="B87" s="632">
        <v>12337.0</v>
      </c>
      <c r="C87" s="631" t="str">
        <f>IFERROR(__xludf.DUMMYFUNCTION("IF(COUNTA(filter(B:B,B:B=B87))=1,""Regular"",""Conta Repetida"")"),"Regular")</f>
        <v>Regular</v>
      </c>
      <c r="D87" s="633"/>
      <c r="E87" s="633"/>
      <c r="F87" s="633"/>
      <c r="G87" s="633"/>
      <c r="H87" s="633"/>
      <c r="I87" s="633"/>
      <c r="J87" s="633"/>
      <c r="K87" s="633"/>
      <c r="L87" s="633"/>
      <c r="M87" s="633"/>
      <c r="N87" s="633"/>
      <c r="O87" s="633"/>
      <c r="P87" s="633"/>
      <c r="Q87" s="633"/>
      <c r="R87" s="633"/>
      <c r="S87" s="633"/>
      <c r="T87" s="633"/>
      <c r="U87" s="633"/>
      <c r="V87" s="633"/>
      <c r="W87" s="633"/>
    </row>
    <row r="88" ht="15.75" customHeight="1">
      <c r="A88" s="593" t="s">
        <v>2355</v>
      </c>
      <c r="B88" s="632">
        <v>12336.0</v>
      </c>
      <c r="C88" s="631" t="str">
        <f>IFERROR(__xludf.DUMMYFUNCTION("IF(COUNTA(filter(B:B,B:B=B88))=1,""Regular"",""Conta Repetida"")"),"Regular")</f>
        <v>Regular</v>
      </c>
      <c r="D88" s="633"/>
      <c r="E88" s="633"/>
      <c r="F88" s="633"/>
      <c r="G88" s="633"/>
      <c r="H88" s="633"/>
      <c r="I88" s="633"/>
      <c r="J88" s="633"/>
      <c r="K88" s="633"/>
      <c r="L88" s="633"/>
      <c r="M88" s="633"/>
      <c r="N88" s="633"/>
      <c r="O88" s="633"/>
      <c r="P88" s="633"/>
      <c r="Q88" s="633"/>
      <c r="R88" s="633"/>
      <c r="S88" s="633"/>
      <c r="T88" s="633"/>
      <c r="U88" s="633"/>
      <c r="V88" s="633"/>
      <c r="W88" s="633"/>
    </row>
    <row r="89" ht="15.75" customHeight="1">
      <c r="A89" s="593" t="s">
        <v>4498</v>
      </c>
      <c r="B89" s="632">
        <v>12335.0</v>
      </c>
      <c r="C89" s="631" t="str">
        <f>IFERROR(__xludf.DUMMYFUNCTION("IF(COUNTA(filter(B:B,B:B=B89))=1,""Regular"",""Conta Repetida"")"),"Regular")</f>
        <v>Regular</v>
      </c>
      <c r="D89" s="633"/>
      <c r="E89" s="633"/>
      <c r="F89" s="633"/>
      <c r="G89" s="633"/>
      <c r="H89" s="633"/>
      <c r="I89" s="633"/>
      <c r="J89" s="633"/>
      <c r="K89" s="633"/>
      <c r="L89" s="633"/>
      <c r="M89" s="633"/>
      <c r="N89" s="633"/>
      <c r="O89" s="633"/>
      <c r="P89" s="633"/>
      <c r="Q89" s="633"/>
      <c r="R89" s="633"/>
      <c r="S89" s="633"/>
      <c r="T89" s="633"/>
      <c r="U89" s="633"/>
      <c r="V89" s="633"/>
      <c r="W89" s="633"/>
    </row>
    <row r="90" ht="15.75" customHeight="1">
      <c r="A90" s="593" t="s">
        <v>4866</v>
      </c>
      <c r="B90" s="632">
        <v>12334.0</v>
      </c>
      <c r="C90" s="631" t="str">
        <f>IFERROR(__xludf.DUMMYFUNCTION("IF(COUNTA(filter(B:B,B:B=B90))=1,""Regular"",""Conta Repetida"")"),"Regular")</f>
        <v>Regular</v>
      </c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3"/>
      <c r="P90" s="633"/>
      <c r="Q90" s="633"/>
      <c r="R90" s="633"/>
      <c r="S90" s="633"/>
      <c r="T90" s="633"/>
      <c r="U90" s="633"/>
      <c r="V90" s="633"/>
      <c r="W90" s="633"/>
    </row>
    <row r="91" ht="15.75" customHeight="1">
      <c r="A91" s="636" t="s">
        <v>4632</v>
      </c>
      <c r="B91" s="632">
        <v>12333.0</v>
      </c>
      <c r="C91" s="631" t="str">
        <f>IFERROR(__xludf.DUMMYFUNCTION("IF(COUNTA(filter(B:B,B:B=B91))=1,""Regular"",""Conta Repetida"")"),"Regular")</f>
        <v>Regular</v>
      </c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3"/>
      <c r="P91" s="633"/>
      <c r="Q91" s="633"/>
      <c r="R91" s="633"/>
      <c r="S91" s="633"/>
      <c r="T91" s="633"/>
      <c r="U91" s="633"/>
      <c r="V91" s="633"/>
      <c r="W91" s="633"/>
    </row>
    <row r="92" ht="15.75" customHeight="1">
      <c r="A92" s="636" t="s">
        <v>290</v>
      </c>
      <c r="B92" s="632">
        <v>12332.0</v>
      </c>
      <c r="C92" s="631" t="str">
        <f>IFERROR(__xludf.DUMMYFUNCTION("IF(COUNTA(filter(B:B,B:B=B92))=1,""Regular"",""Conta Repetida"")"),"Regular")</f>
        <v>Regular</v>
      </c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</row>
    <row r="93" ht="15.75" customHeight="1">
      <c r="A93" s="636" t="s">
        <v>348</v>
      </c>
      <c r="B93" s="632">
        <v>12331.0</v>
      </c>
      <c r="C93" s="631" t="str">
        <f>IFERROR(__xludf.DUMMYFUNCTION("IF(COUNTA(filter(B:B,B:B=B93))=1,""Regular"",""Conta Repetida"")"),"Regular")</f>
        <v>Regular</v>
      </c>
      <c r="D93" s="633"/>
      <c r="E93" s="633"/>
      <c r="F93" s="633"/>
      <c r="G93" s="633"/>
      <c r="H93" s="633"/>
      <c r="I93" s="633"/>
      <c r="J93" s="633"/>
      <c r="K93" s="633"/>
      <c r="L93" s="633"/>
      <c r="M93" s="633"/>
      <c r="N93" s="633"/>
      <c r="O93" s="633"/>
      <c r="P93" s="633"/>
      <c r="Q93" s="633"/>
      <c r="R93" s="633"/>
      <c r="S93" s="633"/>
      <c r="T93" s="633"/>
      <c r="U93" s="633"/>
      <c r="V93" s="633"/>
      <c r="W93" s="633"/>
    </row>
    <row r="94" ht="15.75" customHeight="1">
      <c r="A94" s="636" t="s">
        <v>4660</v>
      </c>
      <c r="B94" s="632">
        <v>12330.0</v>
      </c>
      <c r="C94" s="631" t="str">
        <f>IFERROR(__xludf.DUMMYFUNCTION("IF(COUNTA(filter(B:B,B:B=B94))=1,""Regular"",""Conta Repetida"")"),"Regular")</f>
        <v>Regular</v>
      </c>
      <c r="D94" s="633"/>
      <c r="E94" s="633"/>
      <c r="F94" s="633"/>
      <c r="G94" s="633"/>
      <c r="H94" s="633"/>
      <c r="I94" s="633"/>
      <c r="J94" s="633"/>
      <c r="K94" s="633"/>
      <c r="L94" s="633"/>
      <c r="M94" s="633"/>
      <c r="N94" s="633"/>
      <c r="O94" s="633"/>
      <c r="P94" s="633"/>
      <c r="Q94" s="633"/>
      <c r="R94" s="633"/>
      <c r="S94" s="633"/>
      <c r="T94" s="633"/>
      <c r="U94" s="633"/>
      <c r="V94" s="633"/>
      <c r="W94" s="633"/>
    </row>
    <row r="95" ht="15.75" customHeight="1">
      <c r="A95" s="636" t="s">
        <v>4338</v>
      </c>
      <c r="B95" s="632">
        <v>12347.0</v>
      </c>
      <c r="C95" s="631" t="str">
        <f>IFERROR(__xludf.DUMMYFUNCTION("IF(COUNTA(filter(B:B,B:B=B95))=1,""Regular"",""Conta Repetida"")"),"Regular")</f>
        <v>Regular</v>
      </c>
      <c r="D95" s="633"/>
      <c r="E95" s="633"/>
      <c r="F95" s="633"/>
      <c r="G95" s="633"/>
      <c r="H95" s="633"/>
      <c r="I95" s="633"/>
      <c r="J95" s="633"/>
      <c r="K95" s="633"/>
      <c r="L95" s="633"/>
      <c r="M95" s="633"/>
      <c r="N95" s="633"/>
      <c r="O95" s="633"/>
      <c r="P95" s="633"/>
      <c r="Q95" s="633"/>
      <c r="R95" s="633"/>
      <c r="S95" s="633"/>
      <c r="T95" s="633"/>
      <c r="U95" s="633"/>
      <c r="V95" s="633"/>
      <c r="W95" s="633"/>
    </row>
    <row r="96" ht="15.75" customHeight="1">
      <c r="A96" s="636" t="s">
        <v>4877</v>
      </c>
      <c r="B96" s="632">
        <v>12348.0</v>
      </c>
      <c r="C96" s="631" t="str">
        <f>IFERROR(__xludf.DUMMYFUNCTION("IF(COUNTA(filter(B:B,B:B=B96))=1,""Regular"",""Conta Repetida"")"),"Regular")</f>
        <v>Regular</v>
      </c>
      <c r="D96" s="633"/>
      <c r="E96" s="633"/>
      <c r="F96" s="633"/>
      <c r="G96" s="633"/>
      <c r="H96" s="633"/>
      <c r="I96" s="633"/>
      <c r="J96" s="633"/>
      <c r="K96" s="633"/>
      <c r="L96" s="633"/>
      <c r="M96" s="633"/>
      <c r="N96" s="633"/>
      <c r="O96" s="633"/>
      <c r="P96" s="633"/>
      <c r="Q96" s="633"/>
      <c r="R96" s="633"/>
      <c r="S96" s="633"/>
      <c r="T96" s="633"/>
      <c r="U96" s="633"/>
      <c r="V96" s="633"/>
      <c r="W96" s="633"/>
    </row>
    <row r="97" ht="15.75" customHeight="1">
      <c r="A97" s="636" t="s">
        <v>4880</v>
      </c>
      <c r="B97" s="632">
        <v>12349.0</v>
      </c>
      <c r="C97" s="631" t="str">
        <f>IFERROR(__xludf.DUMMYFUNCTION("IF(COUNTA(filter(B:B,B:B=B97))=1,""Regular"",""Conta Repetida"")"),"Regular")</f>
        <v>Regular</v>
      </c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3"/>
      <c r="P97" s="633"/>
      <c r="Q97" s="633"/>
      <c r="R97" s="633"/>
      <c r="S97" s="633"/>
      <c r="T97" s="633"/>
      <c r="U97" s="633"/>
      <c r="V97" s="633"/>
      <c r="W97" s="633"/>
    </row>
    <row r="98" ht="15.75" customHeight="1">
      <c r="A98" s="636" t="s">
        <v>2393</v>
      </c>
      <c r="B98" s="632">
        <v>12350.0</v>
      </c>
      <c r="C98" s="631" t="str">
        <f>IFERROR(__xludf.DUMMYFUNCTION("IF(COUNTA(filter(B:B,B:B=B98))=1,""Regular"",""Conta Repetida"")"),"Regular")</f>
        <v>Regular</v>
      </c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3"/>
      <c r="V98" s="633"/>
      <c r="W98" s="633"/>
    </row>
    <row r="99" ht="15.75" customHeight="1">
      <c r="A99" s="636" t="s">
        <v>3655</v>
      </c>
      <c r="B99" s="632">
        <v>12351.0</v>
      </c>
      <c r="C99" s="631" t="str">
        <f>IFERROR(__xludf.DUMMYFUNCTION("IF(COUNTA(filter(B:B,B:B=B99))=1,""Regular"",""Conta Repetida"")"),"Regular")</f>
        <v>Regular</v>
      </c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</row>
    <row r="100" ht="15.75" customHeight="1">
      <c r="A100" s="636" t="s">
        <v>4139</v>
      </c>
      <c r="B100" s="632">
        <v>12352.0</v>
      </c>
      <c r="C100" s="631" t="str">
        <f>IFERROR(__xludf.DUMMYFUNCTION("IF(COUNTA(filter(B:B,B:B=B100))=1,""Regular"",""Conta Repetida"")"),"Regular")</f>
        <v>Regular</v>
      </c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</row>
    <row r="101" ht="15.75" customHeight="1">
      <c r="A101" s="636" t="s">
        <v>2920</v>
      </c>
      <c r="B101" s="632">
        <v>12353.0</v>
      </c>
      <c r="C101" s="631" t="str">
        <f>IFERROR(__xludf.DUMMYFUNCTION("IF(COUNTA(filter(B:B,B:B=B101))=1,""Regular"",""Conta Repetida"")"),"Regular")</f>
        <v>Regular</v>
      </c>
      <c r="D101" s="633"/>
      <c r="E101" s="633"/>
      <c r="F101" s="633"/>
      <c r="G101" s="633"/>
      <c r="H101" s="633"/>
      <c r="I101" s="633"/>
      <c r="J101" s="633"/>
      <c r="K101" s="633"/>
      <c r="L101" s="633"/>
      <c r="M101" s="633"/>
      <c r="N101" s="633"/>
      <c r="O101" s="633"/>
      <c r="P101" s="633"/>
      <c r="Q101" s="633"/>
      <c r="R101" s="633"/>
      <c r="S101" s="633"/>
      <c r="T101" s="633"/>
      <c r="U101" s="633"/>
      <c r="V101" s="633"/>
      <c r="W101" s="633"/>
    </row>
    <row r="102" ht="15.75" customHeight="1">
      <c r="A102" s="632" t="s">
        <v>4889</v>
      </c>
      <c r="B102" s="632">
        <v>12354.0</v>
      </c>
      <c r="C102" s="631" t="str">
        <f>IFERROR(__xludf.DUMMYFUNCTION("IF(COUNTA(filter(B:B,B:B=B102))=1,""Regular"",""Conta Repetida"")"),"Regular")</f>
        <v>Regular</v>
      </c>
      <c r="D102" s="633"/>
      <c r="E102" s="633"/>
      <c r="F102" s="633"/>
      <c r="G102" s="633"/>
      <c r="H102" s="633"/>
      <c r="I102" s="633"/>
      <c r="J102" s="633"/>
      <c r="K102" s="633"/>
      <c r="L102" s="633"/>
      <c r="M102" s="633"/>
      <c r="N102" s="633"/>
      <c r="O102" s="633"/>
      <c r="P102" s="633"/>
      <c r="Q102" s="633"/>
      <c r="R102" s="633"/>
      <c r="S102" s="633"/>
      <c r="T102" s="633"/>
      <c r="U102" s="633"/>
      <c r="V102" s="633"/>
      <c r="W102" s="633"/>
    </row>
    <row r="103" ht="15.75" customHeight="1">
      <c r="A103" s="636" t="s">
        <v>4891</v>
      </c>
      <c r="B103" s="632">
        <v>12355.0</v>
      </c>
      <c r="C103" s="631" t="str">
        <f>IFERROR(__xludf.DUMMYFUNCTION("IF(COUNTA(filter(B:B,B:B=B103))=1,""Regular"",""Conta Repetida"")"),"Regular")</f>
        <v>Regular</v>
      </c>
      <c r="D103" s="633"/>
      <c r="E103" s="633"/>
      <c r="F103" s="633"/>
      <c r="G103" s="633"/>
      <c r="H103" s="633"/>
      <c r="I103" s="633"/>
      <c r="J103" s="633"/>
      <c r="K103" s="633"/>
      <c r="L103" s="633"/>
      <c r="M103" s="633"/>
      <c r="N103" s="633"/>
      <c r="O103" s="633"/>
      <c r="P103" s="633"/>
      <c r="Q103" s="633"/>
      <c r="R103" s="633"/>
      <c r="S103" s="633"/>
      <c r="T103" s="633"/>
      <c r="U103" s="633"/>
      <c r="V103" s="633"/>
      <c r="W103" s="633"/>
    </row>
    <row r="104" ht="15.75" customHeight="1">
      <c r="A104" s="641" t="s">
        <v>2729</v>
      </c>
      <c r="B104" s="642">
        <v>12356.0</v>
      </c>
      <c r="C104" s="633" t="s">
        <v>4892</v>
      </c>
      <c r="D104" s="633"/>
      <c r="E104" s="633"/>
      <c r="F104" s="633"/>
      <c r="G104" s="633"/>
      <c r="H104" s="633"/>
      <c r="I104" s="633"/>
      <c r="J104" s="633"/>
      <c r="K104" s="633"/>
      <c r="L104" s="633"/>
      <c r="M104" s="633"/>
      <c r="N104" s="633"/>
      <c r="O104" s="633"/>
      <c r="P104" s="633"/>
      <c r="Q104" s="633"/>
      <c r="R104" s="633"/>
      <c r="S104" s="633"/>
      <c r="T104" s="633"/>
      <c r="U104" s="633"/>
      <c r="V104" s="633"/>
      <c r="W104" s="633"/>
    </row>
    <row r="105" ht="15.75" customHeight="1">
      <c r="A105" s="643" t="s">
        <v>3085</v>
      </c>
      <c r="B105" s="642">
        <v>12357.0</v>
      </c>
      <c r="C105" s="633" t="s">
        <v>4892</v>
      </c>
      <c r="D105" s="633"/>
      <c r="E105" s="633"/>
      <c r="F105" s="633"/>
      <c r="G105" s="633"/>
      <c r="H105" s="633"/>
      <c r="I105" s="633"/>
      <c r="J105" s="633"/>
      <c r="K105" s="633"/>
      <c r="L105" s="633"/>
      <c r="M105" s="633"/>
      <c r="N105" s="633"/>
      <c r="O105" s="633"/>
      <c r="P105" s="633"/>
      <c r="Q105" s="633"/>
      <c r="R105" s="633"/>
      <c r="S105" s="633"/>
      <c r="T105" s="633"/>
      <c r="U105" s="633"/>
      <c r="V105" s="633"/>
      <c r="W105" s="633"/>
    </row>
    <row r="106" ht="15.75" customHeight="1">
      <c r="A106" s="643" t="s">
        <v>4897</v>
      </c>
      <c r="B106" s="642">
        <v>12358.0</v>
      </c>
      <c r="C106" s="633" t="s">
        <v>4892</v>
      </c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3"/>
      <c r="P106" s="633"/>
      <c r="Q106" s="633"/>
      <c r="R106" s="633"/>
      <c r="S106" s="633"/>
      <c r="T106" s="633"/>
      <c r="U106" s="633"/>
      <c r="V106" s="633"/>
      <c r="W106" s="633"/>
    </row>
    <row r="107" ht="15.75" customHeight="1">
      <c r="A107" s="641" t="s">
        <v>1914</v>
      </c>
      <c r="B107" s="642">
        <v>12359.0</v>
      </c>
      <c r="C107" s="633" t="s">
        <v>4892</v>
      </c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3"/>
      <c r="P107" s="633"/>
      <c r="Q107" s="633"/>
      <c r="R107" s="633"/>
      <c r="S107" s="633"/>
      <c r="T107" s="633"/>
      <c r="U107" s="633"/>
      <c r="V107" s="633"/>
      <c r="W107" s="633"/>
    </row>
    <row r="108" ht="15.75" customHeight="1">
      <c r="A108" s="641" t="s">
        <v>4902</v>
      </c>
      <c r="B108" s="642">
        <v>12360.0</v>
      </c>
      <c r="C108" s="633" t="s">
        <v>4892</v>
      </c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3"/>
      <c r="P108" s="633"/>
      <c r="Q108" s="633"/>
      <c r="R108" s="633"/>
      <c r="S108" s="633"/>
      <c r="T108" s="633"/>
      <c r="U108" s="633"/>
      <c r="V108" s="633"/>
      <c r="W108" s="633"/>
    </row>
    <row r="109" ht="15.75" customHeight="1">
      <c r="A109" s="643" t="s">
        <v>4903</v>
      </c>
      <c r="B109" s="642">
        <v>12361.0</v>
      </c>
      <c r="C109" s="633" t="s">
        <v>4892</v>
      </c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3"/>
      <c r="P109" s="633"/>
      <c r="Q109" s="633"/>
      <c r="R109" s="633"/>
      <c r="S109" s="633"/>
      <c r="T109" s="633"/>
      <c r="U109" s="633"/>
      <c r="V109" s="633"/>
      <c r="W109" s="633"/>
    </row>
    <row r="110" ht="15.75" customHeight="1">
      <c r="A110" s="644" t="s">
        <v>884</v>
      </c>
      <c r="B110" s="642">
        <v>12362.0</v>
      </c>
      <c r="C110" s="633" t="s">
        <v>4892</v>
      </c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</row>
    <row r="111" ht="15.75" customHeight="1">
      <c r="A111" s="645" t="s">
        <v>3564</v>
      </c>
      <c r="B111" s="642">
        <v>12363.0</v>
      </c>
      <c r="C111" s="633" t="s">
        <v>4892</v>
      </c>
      <c r="D111" s="633"/>
      <c r="E111" s="633"/>
      <c r="F111" s="633"/>
      <c r="G111" s="633"/>
      <c r="H111" s="633"/>
      <c r="I111" s="633"/>
      <c r="J111" s="633"/>
      <c r="K111" s="633"/>
      <c r="L111" s="633"/>
      <c r="M111" s="633"/>
      <c r="N111" s="633"/>
      <c r="O111" s="633"/>
      <c r="P111" s="633"/>
      <c r="Q111" s="633"/>
      <c r="R111" s="633"/>
      <c r="S111" s="633"/>
      <c r="T111" s="633"/>
      <c r="U111" s="633"/>
      <c r="V111" s="633"/>
      <c r="W111" s="633"/>
    </row>
    <row r="112" ht="15.75" customHeight="1">
      <c r="A112" s="633"/>
      <c r="B112" s="642"/>
      <c r="C112" s="633"/>
      <c r="D112" s="633"/>
      <c r="E112" s="633"/>
      <c r="F112" s="633"/>
      <c r="G112" s="633"/>
      <c r="H112" s="633"/>
      <c r="I112" s="633"/>
      <c r="J112" s="633"/>
      <c r="K112" s="633"/>
      <c r="L112" s="633"/>
      <c r="M112" s="633"/>
      <c r="N112" s="633"/>
      <c r="O112" s="633"/>
      <c r="P112" s="633"/>
      <c r="Q112" s="633"/>
      <c r="R112" s="633"/>
      <c r="S112" s="633"/>
      <c r="T112" s="633"/>
      <c r="U112" s="633"/>
      <c r="V112" s="633"/>
      <c r="W112" s="633"/>
    </row>
    <row r="113" ht="15.75" customHeight="1">
      <c r="A113" s="633"/>
      <c r="B113" s="642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3"/>
      <c r="P113" s="633"/>
      <c r="Q113" s="633"/>
      <c r="R113" s="633"/>
      <c r="S113" s="633"/>
      <c r="T113" s="633"/>
      <c r="U113" s="633"/>
      <c r="V113" s="633"/>
      <c r="W113" s="633"/>
    </row>
    <row r="114" ht="15.75" customHeight="1">
      <c r="A114" s="633"/>
      <c r="B114" s="642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3"/>
      <c r="P114" s="633"/>
      <c r="Q114" s="633"/>
      <c r="R114" s="633"/>
      <c r="S114" s="633"/>
      <c r="T114" s="633"/>
      <c r="U114" s="633"/>
      <c r="V114" s="633"/>
      <c r="W114" s="633"/>
    </row>
    <row r="115" ht="15.75" customHeight="1">
      <c r="A115" s="633"/>
      <c r="B115" s="642"/>
      <c r="C115" s="633"/>
      <c r="D115" s="633"/>
      <c r="E115" s="633"/>
      <c r="F115" s="633"/>
      <c r="G115" s="633"/>
      <c r="H115" s="633"/>
      <c r="I115" s="633"/>
      <c r="J115" s="633"/>
      <c r="K115" s="633"/>
      <c r="L115" s="633"/>
      <c r="M115" s="633"/>
      <c r="N115" s="633"/>
      <c r="O115" s="633"/>
      <c r="P115" s="633"/>
      <c r="Q115" s="633"/>
      <c r="R115" s="633"/>
      <c r="S115" s="633"/>
      <c r="T115" s="633"/>
      <c r="U115" s="633"/>
      <c r="V115" s="633"/>
      <c r="W115" s="633"/>
    </row>
    <row r="116" ht="15.75" customHeight="1">
      <c r="A116" s="633"/>
      <c r="B116" s="642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3"/>
      <c r="P116" s="633"/>
      <c r="Q116" s="633"/>
      <c r="R116" s="633"/>
      <c r="S116" s="633"/>
      <c r="T116" s="633"/>
      <c r="U116" s="633"/>
      <c r="V116" s="633"/>
      <c r="W116" s="633"/>
    </row>
    <row r="117" ht="15.75" customHeight="1">
      <c r="A117" s="633"/>
      <c r="B117" s="642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3"/>
      <c r="P117" s="633"/>
      <c r="Q117" s="633"/>
      <c r="R117" s="633"/>
      <c r="S117" s="633"/>
      <c r="T117" s="633"/>
      <c r="U117" s="633"/>
      <c r="V117" s="633"/>
      <c r="W117" s="633"/>
    </row>
    <row r="118" ht="15.75" customHeight="1">
      <c r="A118" s="633"/>
      <c r="B118" s="642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</row>
    <row r="119" ht="15.75" customHeight="1">
      <c r="A119" s="633"/>
      <c r="B119" s="642"/>
      <c r="C119" s="633"/>
      <c r="D119" s="633"/>
      <c r="E119" s="633"/>
      <c r="F119" s="633"/>
      <c r="G119" s="633"/>
      <c r="H119" s="633"/>
      <c r="I119" s="633"/>
      <c r="J119" s="633"/>
      <c r="K119" s="633"/>
      <c r="L119" s="633"/>
      <c r="M119" s="633"/>
      <c r="N119" s="633"/>
      <c r="O119" s="633"/>
      <c r="P119" s="633"/>
      <c r="Q119" s="633"/>
      <c r="R119" s="633"/>
      <c r="S119" s="633"/>
      <c r="T119" s="633"/>
      <c r="U119" s="633"/>
      <c r="V119" s="633"/>
      <c r="W119" s="633"/>
    </row>
    <row r="120" ht="15.75" customHeight="1">
      <c r="A120" s="633"/>
      <c r="B120" s="642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3"/>
      <c r="P120" s="633"/>
      <c r="Q120" s="633"/>
      <c r="R120" s="633"/>
      <c r="S120" s="633"/>
      <c r="T120" s="633"/>
      <c r="U120" s="633"/>
      <c r="V120" s="633"/>
      <c r="W120" s="633"/>
    </row>
    <row r="121" ht="15.75" customHeight="1">
      <c r="A121" s="633"/>
      <c r="B121" s="642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3"/>
      <c r="P121" s="633"/>
      <c r="Q121" s="633"/>
      <c r="R121" s="633"/>
      <c r="S121" s="633"/>
      <c r="T121" s="633"/>
      <c r="U121" s="633"/>
      <c r="V121" s="633"/>
      <c r="W121" s="633"/>
    </row>
    <row r="122" ht="15.75" customHeight="1">
      <c r="A122" s="633"/>
      <c r="B122" s="642"/>
      <c r="C122" s="633"/>
      <c r="D122" s="633"/>
      <c r="E122" s="633"/>
      <c r="F122" s="633"/>
      <c r="G122" s="633"/>
      <c r="H122" s="633"/>
      <c r="I122" s="633"/>
      <c r="J122" s="633"/>
      <c r="K122" s="633"/>
      <c r="L122" s="633"/>
      <c r="M122" s="633"/>
      <c r="N122" s="633"/>
      <c r="O122" s="633"/>
      <c r="P122" s="633"/>
      <c r="Q122" s="633"/>
      <c r="R122" s="633"/>
      <c r="S122" s="633"/>
      <c r="T122" s="633"/>
      <c r="U122" s="633"/>
      <c r="V122" s="633"/>
      <c r="W122" s="633"/>
    </row>
    <row r="123" ht="15.75" customHeight="1">
      <c r="A123" s="633"/>
      <c r="B123" s="642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3"/>
      <c r="P123" s="633"/>
      <c r="Q123" s="633"/>
      <c r="R123" s="633"/>
      <c r="S123" s="633"/>
      <c r="T123" s="633"/>
      <c r="U123" s="633"/>
      <c r="V123" s="633"/>
      <c r="W123" s="633"/>
    </row>
    <row r="124" ht="15.75" customHeight="1">
      <c r="A124" s="633"/>
      <c r="B124" s="642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3"/>
      <c r="P124" s="633"/>
      <c r="Q124" s="633"/>
      <c r="R124" s="633"/>
      <c r="S124" s="633"/>
      <c r="T124" s="633"/>
      <c r="U124" s="633"/>
      <c r="V124" s="633"/>
      <c r="W124" s="633"/>
    </row>
    <row r="125" ht="15.75" customHeight="1">
      <c r="A125" s="633"/>
      <c r="B125" s="642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</row>
    <row r="126" ht="15.75" customHeight="1">
      <c r="A126" s="633"/>
      <c r="B126" s="642"/>
      <c r="C126" s="633"/>
      <c r="D126" s="633"/>
      <c r="E126" s="633"/>
      <c r="F126" s="633"/>
      <c r="G126" s="633"/>
      <c r="H126" s="633"/>
      <c r="I126" s="633"/>
      <c r="J126" s="633"/>
      <c r="K126" s="633"/>
      <c r="L126" s="633"/>
      <c r="M126" s="633"/>
      <c r="N126" s="633"/>
      <c r="O126" s="633"/>
      <c r="P126" s="633"/>
      <c r="Q126" s="633"/>
      <c r="R126" s="633"/>
      <c r="S126" s="633"/>
      <c r="T126" s="633"/>
      <c r="U126" s="633"/>
      <c r="V126" s="633"/>
      <c r="W126" s="633"/>
    </row>
    <row r="127" ht="15.75" customHeight="1">
      <c r="A127" s="633"/>
      <c r="B127" s="642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3"/>
      <c r="P127" s="633"/>
      <c r="Q127" s="633"/>
      <c r="R127" s="633"/>
      <c r="S127" s="633"/>
      <c r="T127" s="633"/>
      <c r="U127" s="633"/>
      <c r="V127" s="633"/>
      <c r="W127" s="633"/>
    </row>
    <row r="128" ht="15.75" customHeight="1">
      <c r="A128" s="633"/>
      <c r="B128" s="642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3"/>
      <c r="P128" s="633"/>
      <c r="Q128" s="633"/>
      <c r="R128" s="633"/>
      <c r="S128" s="633"/>
      <c r="T128" s="633"/>
      <c r="U128" s="633"/>
      <c r="V128" s="633"/>
      <c r="W128" s="633"/>
    </row>
    <row r="129" ht="15.75" customHeight="1">
      <c r="A129" s="633"/>
      <c r="B129" s="642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</row>
    <row r="130" ht="15.75" customHeight="1">
      <c r="A130" s="633"/>
      <c r="B130" s="642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</row>
    <row r="131" ht="15.75" customHeight="1">
      <c r="A131" s="633"/>
      <c r="B131" s="642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3"/>
      <c r="P131" s="633"/>
      <c r="Q131" s="633"/>
      <c r="R131" s="633"/>
      <c r="S131" s="633"/>
      <c r="T131" s="633"/>
      <c r="U131" s="633"/>
      <c r="V131" s="633"/>
      <c r="W131" s="633"/>
    </row>
    <row r="132" ht="15.75" customHeight="1">
      <c r="A132" s="633"/>
      <c r="B132" s="642"/>
      <c r="C132" s="633"/>
      <c r="D132" s="633"/>
      <c r="E132" s="633"/>
      <c r="F132" s="633"/>
      <c r="G132" s="633"/>
      <c r="H132" s="633"/>
      <c r="I132" s="633"/>
      <c r="J132" s="633"/>
      <c r="K132" s="633"/>
      <c r="L132" s="633"/>
      <c r="M132" s="633"/>
      <c r="N132" s="633"/>
      <c r="O132" s="633"/>
      <c r="P132" s="633"/>
      <c r="Q132" s="633"/>
      <c r="R132" s="633"/>
      <c r="S132" s="633"/>
      <c r="T132" s="633"/>
      <c r="U132" s="633"/>
      <c r="V132" s="633"/>
      <c r="W132" s="633"/>
    </row>
    <row r="133" ht="15.75" customHeight="1">
      <c r="A133" s="633"/>
      <c r="B133" s="642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3"/>
      <c r="P133" s="633"/>
      <c r="Q133" s="633"/>
      <c r="R133" s="633"/>
      <c r="S133" s="633"/>
      <c r="T133" s="633"/>
      <c r="U133" s="633"/>
      <c r="V133" s="633"/>
      <c r="W133" s="633"/>
    </row>
    <row r="134" ht="15.75" customHeight="1">
      <c r="A134" s="633"/>
      <c r="B134" s="642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3"/>
      <c r="P134" s="633"/>
      <c r="Q134" s="633"/>
      <c r="R134" s="633"/>
      <c r="S134" s="633"/>
      <c r="T134" s="633"/>
      <c r="U134" s="633"/>
      <c r="V134" s="633"/>
      <c r="W134" s="633"/>
    </row>
    <row r="135" ht="15.75" customHeight="1">
      <c r="A135" s="633"/>
      <c r="B135" s="642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</row>
    <row r="136" ht="15.75" customHeight="1">
      <c r="A136" s="633"/>
      <c r="B136" s="642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3"/>
      <c r="P136" s="633"/>
      <c r="Q136" s="633"/>
      <c r="R136" s="633"/>
      <c r="S136" s="633"/>
      <c r="T136" s="633"/>
      <c r="U136" s="633"/>
      <c r="V136" s="633"/>
      <c r="W136" s="633"/>
    </row>
    <row r="137" ht="15.75" customHeight="1">
      <c r="A137" s="633"/>
      <c r="B137" s="642"/>
      <c r="C137" s="633"/>
      <c r="D137" s="633"/>
      <c r="E137" s="633"/>
      <c r="F137" s="633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3"/>
      <c r="R137" s="633"/>
      <c r="S137" s="633"/>
      <c r="T137" s="633"/>
      <c r="U137" s="633"/>
      <c r="V137" s="633"/>
      <c r="W137" s="633"/>
    </row>
    <row r="138" ht="15.75" customHeight="1">
      <c r="A138" s="633"/>
      <c r="B138" s="642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3"/>
      <c r="P138" s="633"/>
      <c r="Q138" s="633"/>
      <c r="R138" s="633"/>
      <c r="S138" s="633"/>
      <c r="T138" s="633"/>
      <c r="U138" s="633"/>
      <c r="V138" s="633"/>
      <c r="W138" s="633"/>
    </row>
    <row r="139" ht="15.75" customHeight="1">
      <c r="A139" s="633"/>
      <c r="B139" s="642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3"/>
      <c r="P139" s="633"/>
      <c r="Q139" s="633"/>
      <c r="R139" s="633"/>
      <c r="S139" s="633"/>
      <c r="T139" s="633"/>
      <c r="U139" s="633"/>
      <c r="V139" s="633"/>
      <c r="W139" s="633"/>
    </row>
    <row r="140" ht="15.75" customHeight="1">
      <c r="A140" s="633"/>
      <c r="B140" s="642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</row>
    <row r="141" ht="15.75" customHeight="1">
      <c r="A141" s="633"/>
      <c r="B141" s="642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3"/>
      <c r="R141" s="633"/>
      <c r="S141" s="633"/>
      <c r="T141" s="633"/>
      <c r="U141" s="633"/>
      <c r="V141" s="633"/>
      <c r="W141" s="633"/>
    </row>
    <row r="142" ht="15.75" customHeight="1">
      <c r="A142" s="633"/>
      <c r="B142" s="642"/>
      <c r="C142" s="633"/>
      <c r="D142" s="633"/>
      <c r="E142" s="633"/>
      <c r="F142" s="633"/>
      <c r="G142" s="633"/>
      <c r="H142" s="633"/>
      <c r="I142" s="633"/>
      <c r="J142" s="633"/>
      <c r="K142" s="633"/>
      <c r="L142" s="633"/>
      <c r="M142" s="633"/>
      <c r="N142" s="633"/>
      <c r="O142" s="633"/>
      <c r="P142" s="633"/>
      <c r="Q142" s="633"/>
      <c r="R142" s="633"/>
      <c r="S142" s="633"/>
      <c r="T142" s="633"/>
      <c r="U142" s="633"/>
      <c r="V142" s="633"/>
      <c r="W142" s="633"/>
    </row>
    <row r="143" ht="15.75" customHeight="1">
      <c r="A143" s="633"/>
      <c r="B143" s="642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3"/>
      <c r="P143" s="633"/>
      <c r="Q143" s="633"/>
      <c r="R143" s="633"/>
      <c r="S143" s="633"/>
      <c r="T143" s="633"/>
      <c r="U143" s="633"/>
      <c r="V143" s="633"/>
      <c r="W143" s="633"/>
    </row>
    <row r="144" ht="15.75" customHeight="1">
      <c r="A144" s="633"/>
      <c r="B144" s="642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3"/>
      <c r="P144" s="633"/>
      <c r="Q144" s="633"/>
      <c r="R144" s="633"/>
      <c r="S144" s="633"/>
      <c r="T144" s="633"/>
      <c r="U144" s="633"/>
      <c r="V144" s="633"/>
      <c r="W144" s="633"/>
    </row>
    <row r="145" ht="15.75" customHeight="1">
      <c r="A145" s="633"/>
      <c r="B145" s="642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</row>
    <row r="146" ht="15.75" customHeight="1">
      <c r="A146" s="633"/>
      <c r="B146" s="642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</row>
    <row r="147" ht="15.75" customHeight="1">
      <c r="A147" s="633"/>
      <c r="B147" s="642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3"/>
      <c r="P147" s="633"/>
      <c r="Q147" s="633"/>
      <c r="R147" s="633"/>
      <c r="S147" s="633"/>
      <c r="T147" s="633"/>
      <c r="U147" s="633"/>
      <c r="V147" s="633"/>
      <c r="W147" s="633"/>
    </row>
    <row r="148" ht="15.75" customHeight="1">
      <c r="A148" s="633"/>
      <c r="B148" s="642"/>
      <c r="C148" s="633"/>
      <c r="D148" s="633"/>
      <c r="E148" s="633"/>
      <c r="F148" s="633"/>
      <c r="G148" s="633"/>
      <c r="H148" s="633"/>
      <c r="I148" s="633"/>
      <c r="J148" s="633"/>
      <c r="K148" s="633"/>
      <c r="L148" s="633"/>
      <c r="M148" s="633"/>
      <c r="N148" s="633"/>
      <c r="O148" s="633"/>
      <c r="P148" s="633"/>
      <c r="Q148" s="633"/>
      <c r="R148" s="633"/>
      <c r="S148" s="633"/>
      <c r="T148" s="633"/>
      <c r="U148" s="633"/>
      <c r="V148" s="633"/>
      <c r="W148" s="633"/>
    </row>
    <row r="149" ht="15.75" customHeight="1">
      <c r="A149" s="633"/>
      <c r="B149" s="642"/>
      <c r="C149" s="633"/>
      <c r="D149" s="633"/>
      <c r="E149" s="633"/>
      <c r="F149" s="633"/>
      <c r="G149" s="633"/>
      <c r="H149" s="633"/>
      <c r="I149" s="633"/>
      <c r="J149" s="633"/>
      <c r="K149" s="633"/>
      <c r="L149" s="633"/>
      <c r="M149" s="633"/>
      <c r="N149" s="633"/>
      <c r="O149" s="633"/>
      <c r="P149" s="633"/>
      <c r="Q149" s="633"/>
      <c r="R149" s="633"/>
      <c r="S149" s="633"/>
      <c r="T149" s="633"/>
      <c r="U149" s="633"/>
      <c r="V149" s="633"/>
      <c r="W149" s="633"/>
    </row>
    <row r="150" ht="15.75" customHeight="1">
      <c r="A150" s="633"/>
      <c r="B150" s="642"/>
      <c r="C150" s="633"/>
      <c r="D150" s="633"/>
      <c r="E150" s="633"/>
      <c r="F150" s="633"/>
      <c r="G150" s="633"/>
      <c r="H150" s="633"/>
      <c r="I150" s="633"/>
      <c r="J150" s="633"/>
      <c r="K150" s="633"/>
      <c r="L150" s="633"/>
      <c r="M150" s="633"/>
      <c r="N150" s="633"/>
      <c r="O150" s="633"/>
      <c r="P150" s="633"/>
      <c r="Q150" s="633"/>
      <c r="R150" s="633"/>
      <c r="S150" s="633"/>
      <c r="T150" s="633"/>
      <c r="U150" s="633"/>
      <c r="V150" s="633"/>
      <c r="W150" s="633"/>
    </row>
    <row r="151" ht="15.75" customHeight="1">
      <c r="A151" s="633"/>
      <c r="B151" s="642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3"/>
      <c r="P151" s="633"/>
      <c r="Q151" s="633"/>
      <c r="R151" s="633"/>
      <c r="S151" s="633"/>
      <c r="T151" s="633"/>
      <c r="U151" s="633"/>
      <c r="V151" s="633"/>
      <c r="W151" s="633"/>
    </row>
    <row r="152" ht="15.75" customHeight="1">
      <c r="A152" s="633"/>
      <c r="B152" s="642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3"/>
      <c r="P152" s="633"/>
      <c r="Q152" s="633"/>
      <c r="R152" s="633"/>
      <c r="S152" s="633"/>
      <c r="T152" s="633"/>
      <c r="U152" s="633"/>
      <c r="V152" s="633"/>
      <c r="W152" s="633"/>
    </row>
    <row r="153" ht="15.75" customHeight="1">
      <c r="A153" s="633"/>
      <c r="B153" s="642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</row>
    <row r="154" ht="15.75" customHeight="1">
      <c r="A154" s="633"/>
      <c r="B154" s="642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</row>
    <row r="155" ht="15.75" customHeight="1">
      <c r="A155" s="633"/>
      <c r="B155" s="642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3"/>
      <c r="P155" s="633"/>
      <c r="Q155" s="633"/>
      <c r="R155" s="633"/>
      <c r="S155" s="633"/>
      <c r="T155" s="633"/>
      <c r="U155" s="633"/>
      <c r="V155" s="633"/>
      <c r="W155" s="633"/>
    </row>
    <row r="156" ht="15.75" customHeight="1">
      <c r="A156" s="633"/>
      <c r="B156" s="642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3"/>
      <c r="P156" s="633"/>
      <c r="Q156" s="633"/>
      <c r="R156" s="633"/>
      <c r="S156" s="633"/>
      <c r="T156" s="633"/>
      <c r="U156" s="633"/>
      <c r="V156" s="633"/>
      <c r="W156" s="633"/>
    </row>
    <row r="157" ht="15.75" customHeight="1">
      <c r="A157" s="633"/>
      <c r="B157" s="642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</row>
    <row r="158" ht="15.75" customHeight="1">
      <c r="A158" s="633"/>
      <c r="B158" s="642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</row>
    <row r="159" ht="15.75" customHeight="1">
      <c r="A159" s="633"/>
      <c r="B159" s="642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3"/>
      <c r="P159" s="633"/>
      <c r="Q159" s="633"/>
      <c r="R159" s="633"/>
      <c r="S159" s="633"/>
      <c r="T159" s="633"/>
      <c r="U159" s="633"/>
      <c r="V159" s="633"/>
      <c r="W159" s="633"/>
    </row>
    <row r="160" ht="15.75" customHeight="1">
      <c r="A160" s="633"/>
      <c r="B160" s="642"/>
      <c r="C160" s="633"/>
      <c r="D160" s="633"/>
      <c r="E160" s="633"/>
      <c r="F160" s="633"/>
      <c r="G160" s="633"/>
      <c r="H160" s="633"/>
      <c r="I160" s="633"/>
      <c r="J160" s="633"/>
      <c r="K160" s="633"/>
      <c r="L160" s="633"/>
      <c r="M160" s="633"/>
      <c r="N160" s="633"/>
      <c r="O160" s="633"/>
      <c r="P160" s="633"/>
      <c r="Q160" s="633"/>
      <c r="R160" s="633"/>
      <c r="S160" s="633"/>
      <c r="T160" s="633"/>
      <c r="U160" s="633"/>
      <c r="V160" s="633"/>
      <c r="W160" s="633"/>
    </row>
    <row r="161" ht="15.75" customHeight="1">
      <c r="A161" s="633"/>
      <c r="B161" s="642"/>
      <c r="C161" s="633"/>
      <c r="D161" s="633"/>
      <c r="E161" s="633"/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3"/>
      <c r="R161" s="633"/>
      <c r="S161" s="633"/>
      <c r="T161" s="633"/>
      <c r="U161" s="633"/>
      <c r="V161" s="633"/>
      <c r="W161" s="633"/>
    </row>
    <row r="162" ht="15.75" customHeight="1">
      <c r="A162" s="633"/>
      <c r="B162" s="642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3"/>
      <c r="P162" s="633"/>
      <c r="Q162" s="633"/>
      <c r="R162" s="633"/>
      <c r="S162" s="633"/>
      <c r="T162" s="633"/>
      <c r="U162" s="633"/>
      <c r="V162" s="633"/>
      <c r="W162" s="633"/>
    </row>
    <row r="163" ht="15.75" customHeight="1">
      <c r="A163" s="633"/>
      <c r="B163" s="642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3"/>
      <c r="P163" s="633"/>
      <c r="Q163" s="633"/>
      <c r="R163" s="633"/>
      <c r="S163" s="633"/>
      <c r="T163" s="633"/>
      <c r="U163" s="633"/>
      <c r="V163" s="633"/>
      <c r="W163" s="633"/>
    </row>
    <row r="164" ht="15.75" customHeight="1">
      <c r="A164" s="633"/>
      <c r="B164" s="642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3"/>
      <c r="P164" s="633"/>
      <c r="Q164" s="633"/>
      <c r="R164" s="633"/>
      <c r="S164" s="633"/>
      <c r="T164" s="633"/>
      <c r="U164" s="633"/>
      <c r="V164" s="633"/>
      <c r="W164" s="633"/>
    </row>
    <row r="165" ht="15.75" customHeight="1">
      <c r="A165" s="633"/>
      <c r="B165" s="642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</row>
    <row r="166" ht="15.75" customHeight="1">
      <c r="A166" s="633"/>
      <c r="B166" s="642"/>
      <c r="C166" s="633"/>
      <c r="D166" s="633"/>
      <c r="E166" s="633"/>
      <c r="F166" s="633"/>
      <c r="G166" s="633"/>
      <c r="H166" s="633"/>
      <c r="I166" s="633"/>
      <c r="J166" s="633"/>
      <c r="K166" s="633"/>
      <c r="L166" s="633"/>
      <c r="M166" s="633"/>
      <c r="N166" s="633"/>
      <c r="O166" s="633"/>
      <c r="P166" s="633"/>
      <c r="Q166" s="633"/>
      <c r="R166" s="633"/>
      <c r="S166" s="633"/>
      <c r="T166" s="633"/>
      <c r="U166" s="633"/>
      <c r="V166" s="633"/>
      <c r="W166" s="633"/>
    </row>
    <row r="167" ht="15.75" customHeight="1">
      <c r="A167" s="633"/>
      <c r="B167" s="642"/>
      <c r="C167" s="633"/>
      <c r="D167" s="633"/>
      <c r="E167" s="633"/>
      <c r="F167" s="633"/>
      <c r="G167" s="633"/>
      <c r="H167" s="633"/>
      <c r="I167" s="633"/>
      <c r="J167" s="633"/>
      <c r="K167" s="633"/>
      <c r="L167" s="633"/>
      <c r="M167" s="633"/>
      <c r="N167" s="633"/>
      <c r="O167" s="633"/>
      <c r="P167" s="633"/>
      <c r="Q167" s="633"/>
      <c r="R167" s="633"/>
      <c r="S167" s="633"/>
      <c r="T167" s="633"/>
      <c r="U167" s="633"/>
      <c r="V167" s="633"/>
      <c r="W167" s="633"/>
    </row>
    <row r="168" ht="15.75" customHeight="1">
      <c r="A168" s="633"/>
      <c r="B168" s="642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3"/>
      <c r="P168" s="633"/>
      <c r="Q168" s="633"/>
      <c r="R168" s="633"/>
      <c r="S168" s="633"/>
      <c r="T168" s="633"/>
      <c r="U168" s="633"/>
      <c r="V168" s="633"/>
      <c r="W168" s="633"/>
    </row>
    <row r="169" ht="15.75" customHeight="1">
      <c r="A169" s="633"/>
      <c r="B169" s="642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3"/>
      <c r="P169" s="633"/>
      <c r="Q169" s="633"/>
      <c r="R169" s="633"/>
      <c r="S169" s="633"/>
      <c r="T169" s="633"/>
      <c r="U169" s="633"/>
      <c r="V169" s="633"/>
      <c r="W169" s="633"/>
    </row>
    <row r="170" ht="15.75" customHeight="1">
      <c r="A170" s="633"/>
      <c r="B170" s="642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</row>
    <row r="171" ht="15.75" customHeight="1">
      <c r="A171" s="633"/>
      <c r="B171" s="642"/>
      <c r="C171" s="633"/>
      <c r="D171" s="633"/>
      <c r="E171" s="633"/>
      <c r="F171" s="633"/>
      <c r="G171" s="633"/>
      <c r="H171" s="633"/>
      <c r="I171" s="633"/>
      <c r="J171" s="633"/>
      <c r="K171" s="633"/>
      <c r="L171" s="633"/>
      <c r="M171" s="633"/>
      <c r="N171" s="633"/>
      <c r="O171" s="633"/>
      <c r="P171" s="633"/>
      <c r="Q171" s="633"/>
      <c r="R171" s="633"/>
      <c r="S171" s="633"/>
      <c r="T171" s="633"/>
      <c r="U171" s="633"/>
      <c r="V171" s="633"/>
      <c r="W171" s="633"/>
    </row>
    <row r="172" ht="15.75" customHeight="1">
      <c r="A172" s="633"/>
      <c r="B172" s="642"/>
      <c r="C172" s="633"/>
      <c r="D172" s="633"/>
      <c r="E172" s="633"/>
      <c r="F172" s="633"/>
      <c r="G172" s="633"/>
      <c r="H172" s="633"/>
      <c r="I172" s="633"/>
      <c r="J172" s="633"/>
      <c r="K172" s="633"/>
      <c r="L172" s="633"/>
      <c r="M172" s="633"/>
      <c r="N172" s="633"/>
      <c r="O172" s="633"/>
      <c r="P172" s="633"/>
      <c r="Q172" s="633"/>
      <c r="R172" s="633"/>
      <c r="S172" s="633"/>
      <c r="T172" s="633"/>
      <c r="U172" s="633"/>
      <c r="V172" s="633"/>
      <c r="W172" s="633"/>
    </row>
    <row r="173" ht="15.75" customHeight="1">
      <c r="A173" s="633"/>
      <c r="B173" s="642"/>
      <c r="C173" s="633"/>
      <c r="D173" s="633"/>
      <c r="E173" s="633"/>
      <c r="F173" s="633"/>
      <c r="G173" s="633"/>
      <c r="H173" s="633"/>
      <c r="I173" s="633"/>
      <c r="J173" s="633"/>
      <c r="K173" s="633"/>
      <c r="L173" s="633"/>
      <c r="M173" s="633"/>
      <c r="N173" s="633"/>
      <c r="O173" s="633"/>
      <c r="P173" s="633"/>
      <c r="Q173" s="633"/>
      <c r="R173" s="633"/>
      <c r="S173" s="633"/>
      <c r="T173" s="633"/>
      <c r="U173" s="633"/>
      <c r="V173" s="633"/>
      <c r="W173" s="633"/>
    </row>
    <row r="174" ht="15.75" customHeight="1">
      <c r="A174" s="633"/>
      <c r="B174" s="642"/>
      <c r="C174" s="633"/>
      <c r="D174" s="633"/>
      <c r="E174" s="633"/>
      <c r="F174" s="633"/>
      <c r="G174" s="633"/>
      <c r="H174" s="633"/>
      <c r="I174" s="633"/>
      <c r="J174" s="633"/>
      <c r="K174" s="633"/>
      <c r="L174" s="633"/>
      <c r="M174" s="633"/>
      <c r="N174" s="633"/>
      <c r="O174" s="633"/>
      <c r="P174" s="633"/>
      <c r="Q174" s="633"/>
      <c r="R174" s="633"/>
      <c r="S174" s="633"/>
      <c r="T174" s="633"/>
      <c r="U174" s="633"/>
      <c r="V174" s="633"/>
      <c r="W174" s="633"/>
    </row>
    <row r="175" ht="15.75" customHeight="1">
      <c r="A175" s="633"/>
      <c r="B175" s="642"/>
      <c r="C175" s="633"/>
      <c r="D175" s="633"/>
      <c r="E175" s="633"/>
      <c r="F175" s="633"/>
      <c r="G175" s="633"/>
      <c r="H175" s="633"/>
      <c r="I175" s="633"/>
      <c r="J175" s="633"/>
      <c r="K175" s="633"/>
      <c r="L175" s="633"/>
      <c r="M175" s="633"/>
      <c r="N175" s="633"/>
      <c r="O175" s="633"/>
      <c r="P175" s="633"/>
      <c r="Q175" s="633"/>
      <c r="R175" s="633"/>
      <c r="S175" s="633"/>
      <c r="T175" s="633"/>
      <c r="U175" s="633"/>
      <c r="V175" s="633"/>
      <c r="W175" s="633"/>
    </row>
    <row r="176" ht="15.75" customHeight="1">
      <c r="A176" s="633"/>
      <c r="B176" s="642"/>
      <c r="C176" s="633"/>
      <c r="D176" s="633"/>
      <c r="E176" s="633"/>
      <c r="F176" s="633"/>
      <c r="G176" s="633"/>
      <c r="H176" s="633"/>
      <c r="I176" s="633"/>
      <c r="J176" s="633"/>
      <c r="K176" s="633"/>
      <c r="L176" s="633"/>
      <c r="M176" s="633"/>
      <c r="N176" s="633"/>
      <c r="O176" s="633"/>
      <c r="P176" s="633"/>
      <c r="Q176" s="633"/>
      <c r="R176" s="633"/>
      <c r="S176" s="633"/>
      <c r="T176" s="633"/>
      <c r="U176" s="633"/>
      <c r="V176" s="633"/>
      <c r="W176" s="633"/>
    </row>
    <row r="177" ht="15.75" customHeight="1">
      <c r="A177" s="633"/>
      <c r="B177" s="642"/>
      <c r="C177" s="633"/>
      <c r="D177" s="633"/>
      <c r="E177" s="633"/>
      <c r="F177" s="633"/>
      <c r="G177" s="633"/>
      <c r="H177" s="633"/>
      <c r="I177" s="633"/>
      <c r="J177" s="633"/>
      <c r="K177" s="633"/>
      <c r="L177" s="633"/>
      <c r="M177" s="633"/>
      <c r="N177" s="633"/>
      <c r="O177" s="633"/>
      <c r="P177" s="633"/>
      <c r="Q177" s="633"/>
      <c r="R177" s="633"/>
      <c r="S177" s="633"/>
      <c r="T177" s="633"/>
      <c r="U177" s="633"/>
      <c r="V177" s="633"/>
      <c r="W177" s="633"/>
    </row>
    <row r="178" ht="15.75" customHeight="1">
      <c r="A178" s="633"/>
      <c r="B178" s="642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3"/>
      <c r="P178" s="633"/>
      <c r="Q178" s="633"/>
      <c r="R178" s="633"/>
      <c r="S178" s="633"/>
      <c r="T178" s="633"/>
      <c r="U178" s="633"/>
      <c r="V178" s="633"/>
      <c r="W178" s="633"/>
    </row>
    <row r="179" ht="15.75" customHeight="1">
      <c r="A179" s="633"/>
      <c r="B179" s="642"/>
      <c r="C179" s="633"/>
      <c r="D179" s="633"/>
      <c r="E179" s="633"/>
      <c r="F179" s="633"/>
      <c r="G179" s="633"/>
      <c r="H179" s="633"/>
      <c r="I179" s="633"/>
      <c r="J179" s="633"/>
      <c r="K179" s="633"/>
      <c r="L179" s="633"/>
      <c r="M179" s="633"/>
      <c r="N179" s="633"/>
      <c r="O179" s="633"/>
      <c r="P179" s="633"/>
      <c r="Q179" s="633"/>
      <c r="R179" s="633"/>
      <c r="S179" s="633"/>
      <c r="T179" s="633"/>
      <c r="U179" s="633"/>
      <c r="V179" s="633"/>
      <c r="W179" s="633"/>
    </row>
    <row r="180" ht="15.75" customHeight="1">
      <c r="A180" s="633"/>
      <c r="B180" s="642"/>
      <c r="C180" s="633"/>
      <c r="D180" s="633"/>
      <c r="E180" s="633"/>
      <c r="F180" s="633"/>
      <c r="G180" s="633"/>
      <c r="H180" s="633"/>
      <c r="I180" s="633"/>
      <c r="J180" s="633"/>
      <c r="K180" s="633"/>
      <c r="L180" s="633"/>
      <c r="M180" s="633"/>
      <c r="N180" s="633"/>
      <c r="O180" s="633"/>
      <c r="P180" s="633"/>
      <c r="Q180" s="633"/>
      <c r="R180" s="633"/>
      <c r="S180" s="633"/>
      <c r="T180" s="633"/>
      <c r="U180" s="633"/>
      <c r="V180" s="633"/>
      <c r="W180" s="633"/>
    </row>
    <row r="181" ht="15.75" customHeight="1">
      <c r="A181" s="633"/>
      <c r="B181" s="642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3"/>
      <c r="P181" s="633"/>
      <c r="Q181" s="633"/>
      <c r="R181" s="633"/>
      <c r="S181" s="633"/>
      <c r="T181" s="633"/>
      <c r="U181" s="633"/>
      <c r="V181" s="633"/>
      <c r="W181" s="633"/>
    </row>
    <row r="182" ht="15.75" customHeight="1">
      <c r="A182" s="633"/>
      <c r="B182" s="642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3"/>
      <c r="P182" s="633"/>
      <c r="Q182" s="633"/>
      <c r="R182" s="633"/>
      <c r="S182" s="633"/>
      <c r="T182" s="633"/>
      <c r="U182" s="633"/>
      <c r="V182" s="633"/>
      <c r="W182" s="633"/>
    </row>
    <row r="183" ht="15.75" customHeight="1">
      <c r="A183" s="633"/>
      <c r="B183" s="642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</row>
    <row r="184" ht="15.75" customHeight="1">
      <c r="A184" s="633"/>
      <c r="B184" s="642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3"/>
      <c r="P184" s="633"/>
      <c r="Q184" s="633"/>
      <c r="R184" s="633"/>
      <c r="S184" s="633"/>
      <c r="T184" s="633"/>
      <c r="U184" s="633"/>
      <c r="V184" s="633"/>
      <c r="W184" s="633"/>
    </row>
    <row r="185" ht="15.75" customHeight="1">
      <c r="A185" s="633"/>
      <c r="B185" s="642"/>
      <c r="C185" s="633"/>
      <c r="D185" s="633"/>
      <c r="E185" s="633"/>
      <c r="F185" s="633"/>
      <c r="G185" s="633"/>
      <c r="H185" s="633"/>
      <c r="I185" s="633"/>
      <c r="J185" s="633"/>
      <c r="K185" s="633"/>
      <c r="L185" s="633"/>
      <c r="M185" s="633"/>
      <c r="N185" s="633"/>
      <c r="O185" s="633"/>
      <c r="P185" s="633"/>
      <c r="Q185" s="633"/>
      <c r="R185" s="633"/>
      <c r="S185" s="633"/>
      <c r="T185" s="633"/>
      <c r="U185" s="633"/>
      <c r="V185" s="633"/>
      <c r="W185" s="633"/>
    </row>
    <row r="186" ht="15.75" customHeight="1">
      <c r="A186" s="633"/>
      <c r="B186" s="642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3"/>
      <c r="P186" s="633"/>
      <c r="Q186" s="633"/>
      <c r="R186" s="633"/>
      <c r="S186" s="633"/>
      <c r="T186" s="633"/>
      <c r="U186" s="633"/>
      <c r="V186" s="633"/>
      <c r="W186" s="633"/>
    </row>
    <row r="187" ht="15.75" customHeight="1">
      <c r="A187" s="633"/>
      <c r="B187" s="642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3"/>
      <c r="P187" s="633"/>
      <c r="Q187" s="633"/>
      <c r="R187" s="633"/>
      <c r="S187" s="633"/>
      <c r="T187" s="633"/>
      <c r="U187" s="633"/>
      <c r="V187" s="633"/>
      <c r="W187" s="633"/>
    </row>
    <row r="188" ht="15.75" customHeight="1">
      <c r="A188" s="633"/>
      <c r="B188" s="642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</row>
    <row r="189" ht="15.75" customHeight="1">
      <c r="A189" s="633"/>
      <c r="B189" s="642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3"/>
      <c r="P189" s="633"/>
      <c r="Q189" s="633"/>
      <c r="R189" s="633"/>
      <c r="S189" s="633"/>
      <c r="T189" s="633"/>
      <c r="U189" s="633"/>
      <c r="V189" s="633"/>
      <c r="W189" s="633"/>
    </row>
    <row r="190" ht="15.75" customHeight="1">
      <c r="A190" s="633"/>
      <c r="B190" s="642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3"/>
      <c r="P190" s="633"/>
      <c r="Q190" s="633"/>
      <c r="R190" s="633"/>
      <c r="S190" s="633"/>
      <c r="T190" s="633"/>
      <c r="U190" s="633"/>
      <c r="V190" s="633"/>
      <c r="W190" s="633"/>
    </row>
    <row r="191" ht="15.75" customHeight="1">
      <c r="A191" s="633"/>
      <c r="B191" s="642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3"/>
      <c r="P191" s="633"/>
      <c r="Q191" s="633"/>
      <c r="R191" s="633"/>
      <c r="S191" s="633"/>
      <c r="T191" s="633"/>
      <c r="U191" s="633"/>
      <c r="V191" s="633"/>
      <c r="W191" s="633"/>
    </row>
    <row r="192" ht="15.75" customHeight="1">
      <c r="A192" s="633"/>
      <c r="B192" s="642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</row>
    <row r="193" ht="15.75" customHeight="1">
      <c r="A193" s="633"/>
      <c r="B193" s="642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3"/>
      <c r="P193" s="633"/>
      <c r="Q193" s="633"/>
      <c r="R193" s="633"/>
      <c r="S193" s="633"/>
      <c r="T193" s="633"/>
      <c r="U193" s="633"/>
      <c r="V193" s="633"/>
      <c r="W193" s="633"/>
    </row>
    <row r="194" ht="15.75" customHeight="1">
      <c r="A194" s="633"/>
      <c r="B194" s="642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3"/>
      <c r="P194" s="633"/>
      <c r="Q194" s="633"/>
      <c r="R194" s="633"/>
      <c r="S194" s="633"/>
      <c r="T194" s="633"/>
      <c r="U194" s="633"/>
      <c r="V194" s="633"/>
      <c r="W194" s="633"/>
    </row>
    <row r="195" ht="15.75" customHeight="1">
      <c r="A195" s="633"/>
      <c r="B195" s="642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3"/>
      <c r="P195" s="633"/>
      <c r="Q195" s="633"/>
      <c r="R195" s="633"/>
      <c r="S195" s="633"/>
      <c r="T195" s="633"/>
      <c r="U195" s="633"/>
      <c r="V195" s="633"/>
      <c r="W195" s="633"/>
    </row>
    <row r="196" ht="15.75" customHeight="1">
      <c r="A196" s="633"/>
      <c r="B196" s="642"/>
      <c r="C196" s="633"/>
      <c r="D196" s="633"/>
      <c r="E196" s="633"/>
      <c r="F196" s="633"/>
      <c r="G196" s="633"/>
      <c r="H196" s="633"/>
      <c r="I196" s="633"/>
      <c r="J196" s="633"/>
      <c r="K196" s="633"/>
      <c r="L196" s="633"/>
      <c r="M196" s="633"/>
      <c r="N196" s="633"/>
      <c r="O196" s="633"/>
      <c r="P196" s="633"/>
      <c r="Q196" s="633"/>
      <c r="R196" s="633"/>
      <c r="S196" s="633"/>
      <c r="T196" s="633"/>
      <c r="U196" s="633"/>
      <c r="V196" s="633"/>
      <c r="W196" s="633"/>
    </row>
    <row r="197" ht="15.75" customHeight="1">
      <c r="A197" s="633"/>
      <c r="B197" s="642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</row>
    <row r="198" ht="15.75" customHeight="1">
      <c r="A198" s="633"/>
      <c r="B198" s="642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</row>
    <row r="199" ht="15.75" customHeight="1">
      <c r="A199" s="633"/>
      <c r="B199" s="642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3"/>
      <c r="P199" s="633"/>
      <c r="Q199" s="633"/>
      <c r="R199" s="633"/>
      <c r="S199" s="633"/>
      <c r="T199" s="633"/>
      <c r="U199" s="633"/>
      <c r="V199" s="633"/>
      <c r="W199" s="633"/>
    </row>
    <row r="200" ht="15.75" customHeight="1">
      <c r="A200" s="633"/>
      <c r="B200" s="642"/>
      <c r="C200" s="633"/>
      <c r="D200" s="633"/>
      <c r="E200" s="633"/>
      <c r="F200" s="633"/>
      <c r="G200" s="633"/>
      <c r="H200" s="633"/>
      <c r="I200" s="633"/>
      <c r="J200" s="633"/>
      <c r="K200" s="633"/>
      <c r="L200" s="633"/>
      <c r="M200" s="633"/>
      <c r="N200" s="633"/>
      <c r="O200" s="633"/>
      <c r="P200" s="633"/>
      <c r="Q200" s="633"/>
      <c r="R200" s="633"/>
      <c r="S200" s="633"/>
      <c r="T200" s="633"/>
      <c r="U200" s="633"/>
      <c r="V200" s="633"/>
      <c r="W200" s="63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1.0"/>
    <col customWidth="1" min="3" max="3" width="11.13"/>
    <col customWidth="1" min="4" max="4" width="16.38"/>
    <col customWidth="1" min="5" max="5" width="16.0"/>
    <col customWidth="1" min="6" max="6" width="62.25"/>
    <col customWidth="1" min="7" max="7" width="12.38"/>
    <col customWidth="1" min="8" max="8" width="5.75"/>
    <col customWidth="1" min="9" max="9" width="15.88"/>
    <col customWidth="1" min="10" max="10" width="16.38"/>
    <col customWidth="1" min="11" max="11" width="16.0"/>
  </cols>
  <sheetData>
    <row r="1" ht="15.75" customHeight="1">
      <c r="A1" s="662" t="s">
        <v>5012</v>
      </c>
      <c r="B1" s="663" t="s">
        <v>2</v>
      </c>
      <c r="C1" s="662" t="s">
        <v>31</v>
      </c>
      <c r="D1" s="662" t="s">
        <v>5013</v>
      </c>
      <c r="E1" s="664" t="s">
        <v>2435</v>
      </c>
      <c r="F1" s="662" t="s">
        <v>4117</v>
      </c>
      <c r="G1" s="662" t="s">
        <v>4</v>
      </c>
      <c r="H1" s="662" t="s">
        <v>5</v>
      </c>
      <c r="I1" s="662" t="s">
        <v>7</v>
      </c>
      <c r="J1" s="665" t="s">
        <v>41</v>
      </c>
      <c r="K1" s="662" t="s">
        <v>12</v>
      </c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  <c r="AA1" s="666"/>
      <c r="AB1" s="666"/>
      <c r="AC1" s="666"/>
      <c r="AD1" s="666"/>
      <c r="AE1" s="666"/>
    </row>
    <row r="2" ht="15.75" customHeight="1">
      <c r="A2" s="667">
        <v>43768.0</v>
      </c>
      <c r="B2" s="668" t="s">
        <v>5018</v>
      </c>
      <c r="C2" s="641" t="s">
        <v>2346</v>
      </c>
      <c r="D2" s="641" t="s">
        <v>694</v>
      </c>
      <c r="E2" s="669">
        <v>0.0</v>
      </c>
      <c r="F2" s="641" t="s">
        <v>3687</v>
      </c>
      <c r="G2" s="667" t="s">
        <v>669</v>
      </c>
      <c r="H2" s="667" t="s">
        <v>199</v>
      </c>
      <c r="I2" s="667" t="s">
        <v>1228</v>
      </c>
      <c r="J2" s="667">
        <v>43567.0</v>
      </c>
      <c r="K2" s="670" t="s">
        <v>2372</v>
      </c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</row>
    <row r="3" ht="15.75" customHeight="1">
      <c r="A3" s="667">
        <v>43782.0</v>
      </c>
      <c r="B3" s="668" t="s">
        <v>5026</v>
      </c>
      <c r="C3" s="641" t="s">
        <v>2346</v>
      </c>
      <c r="D3" s="641" t="s">
        <v>694</v>
      </c>
      <c r="E3" s="669">
        <v>0.0</v>
      </c>
      <c r="F3" s="641" t="s">
        <v>5027</v>
      </c>
      <c r="G3" s="667" t="s">
        <v>669</v>
      </c>
      <c r="H3" s="667" t="s">
        <v>199</v>
      </c>
      <c r="I3" s="667" t="s">
        <v>2388</v>
      </c>
      <c r="J3" s="667">
        <v>43567.0</v>
      </c>
      <c r="K3" s="670" t="s">
        <v>4383</v>
      </c>
      <c r="L3" s="666"/>
      <c r="M3" s="666"/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666"/>
      <c r="Y3" s="666"/>
      <c r="Z3" s="666"/>
      <c r="AA3" s="666"/>
      <c r="AB3" s="666"/>
      <c r="AC3" s="666"/>
      <c r="AD3" s="666"/>
      <c r="AE3" s="666"/>
    </row>
    <row r="4" ht="15.75" customHeight="1">
      <c r="A4" s="667">
        <v>43862.0</v>
      </c>
      <c r="B4" s="668" t="s">
        <v>5030</v>
      </c>
      <c r="C4" s="641" t="s">
        <v>2346</v>
      </c>
      <c r="D4" s="641" t="s">
        <v>694</v>
      </c>
      <c r="E4" s="669">
        <v>0.0</v>
      </c>
      <c r="F4" s="641" t="s">
        <v>5033</v>
      </c>
      <c r="G4" s="667" t="s">
        <v>120</v>
      </c>
      <c r="H4" s="667" t="s">
        <v>199</v>
      </c>
      <c r="I4" s="667" t="s">
        <v>439</v>
      </c>
      <c r="J4" s="667">
        <v>43461.0</v>
      </c>
      <c r="K4" s="670" t="s">
        <v>4383</v>
      </c>
      <c r="L4" s="666"/>
      <c r="M4" s="666"/>
      <c r="N4" s="666"/>
      <c r="O4" s="666"/>
      <c r="P4" s="666"/>
      <c r="Q4" s="666"/>
      <c r="R4" s="666"/>
      <c r="S4" s="666"/>
      <c r="T4" s="666"/>
      <c r="U4" s="666"/>
      <c r="V4" s="666"/>
      <c r="W4" s="666"/>
      <c r="X4" s="666"/>
      <c r="Y4" s="666"/>
      <c r="Z4" s="666"/>
      <c r="AA4" s="666"/>
      <c r="AB4" s="666"/>
      <c r="AC4" s="666"/>
      <c r="AD4" s="666"/>
      <c r="AE4" s="666"/>
    </row>
    <row r="5" ht="15.75" customHeight="1">
      <c r="A5" s="671">
        <v>43893.0</v>
      </c>
      <c r="B5" s="672" t="s">
        <v>5037</v>
      </c>
      <c r="C5" s="673" t="s">
        <v>2346</v>
      </c>
      <c r="D5" s="641" t="s">
        <v>5038</v>
      </c>
      <c r="E5" s="669">
        <v>25000.0</v>
      </c>
      <c r="F5" s="641" t="s">
        <v>5039</v>
      </c>
      <c r="G5" s="667" t="s">
        <v>669</v>
      </c>
      <c r="H5" s="667" t="s">
        <v>199</v>
      </c>
      <c r="I5" s="667" t="s">
        <v>1228</v>
      </c>
      <c r="J5" s="667">
        <v>43675.0</v>
      </c>
      <c r="K5" s="670" t="s">
        <v>4383</v>
      </c>
      <c r="L5" s="666"/>
      <c r="M5" s="666"/>
      <c r="N5" s="666"/>
      <c r="O5" s="666"/>
      <c r="P5" s="666"/>
      <c r="Q5" s="666"/>
      <c r="R5" s="666"/>
      <c r="S5" s="666"/>
      <c r="T5" s="666"/>
      <c r="U5" s="666"/>
      <c r="V5" s="666"/>
      <c r="W5" s="666"/>
      <c r="X5" s="666"/>
      <c r="Y5" s="666"/>
      <c r="Z5" s="666"/>
      <c r="AA5" s="666"/>
      <c r="AB5" s="666"/>
      <c r="AC5" s="666"/>
      <c r="AD5" s="666"/>
      <c r="AE5" s="666"/>
    </row>
    <row r="6" ht="15.75" customHeight="1">
      <c r="A6" s="671">
        <v>43893.0</v>
      </c>
      <c r="B6" s="672" t="s">
        <v>5043</v>
      </c>
      <c r="C6" s="673" t="s">
        <v>2346</v>
      </c>
      <c r="D6" s="641" t="s">
        <v>5038</v>
      </c>
      <c r="E6" s="669">
        <v>6000.0</v>
      </c>
      <c r="F6" s="641" t="s">
        <v>1398</v>
      </c>
      <c r="G6" s="667" t="s">
        <v>669</v>
      </c>
      <c r="H6" s="667" t="s">
        <v>199</v>
      </c>
      <c r="I6" s="667" t="s">
        <v>2388</v>
      </c>
      <c r="J6" s="667">
        <v>43620.0</v>
      </c>
      <c r="K6" s="670" t="s">
        <v>2341</v>
      </c>
      <c r="L6" s="666"/>
      <c r="M6" s="666"/>
      <c r="N6" s="666"/>
      <c r="O6" s="666"/>
      <c r="P6" s="666"/>
      <c r="Q6" s="666"/>
      <c r="R6" s="666"/>
      <c r="S6" s="666"/>
      <c r="T6" s="666"/>
      <c r="U6" s="666"/>
      <c r="V6" s="666"/>
      <c r="W6" s="666"/>
      <c r="X6" s="666"/>
      <c r="Y6" s="666"/>
      <c r="Z6" s="666"/>
      <c r="AA6" s="666"/>
      <c r="AB6" s="666"/>
      <c r="AC6" s="666"/>
      <c r="AD6" s="666"/>
      <c r="AE6" s="666"/>
    </row>
    <row r="7" ht="15.75" customHeight="1">
      <c r="A7" s="671">
        <v>43894.0</v>
      </c>
      <c r="B7" s="672" t="s">
        <v>5046</v>
      </c>
      <c r="C7" s="673" t="s">
        <v>98</v>
      </c>
      <c r="D7" s="641" t="s">
        <v>5038</v>
      </c>
      <c r="E7" s="669">
        <v>50000.0</v>
      </c>
      <c r="F7" s="641" t="s">
        <v>4424</v>
      </c>
      <c r="G7" s="641" t="s">
        <v>669</v>
      </c>
      <c r="H7" s="641" t="s">
        <v>199</v>
      </c>
      <c r="I7" s="641" t="s">
        <v>669</v>
      </c>
      <c r="J7" s="667">
        <v>43749.0</v>
      </c>
      <c r="K7" s="674" t="s">
        <v>4383</v>
      </c>
      <c r="L7" s="666"/>
      <c r="M7" s="666"/>
      <c r="N7" s="666"/>
      <c r="O7" s="666"/>
      <c r="P7" s="666"/>
      <c r="Q7" s="666"/>
      <c r="R7" s="666"/>
      <c r="S7" s="666"/>
      <c r="T7" s="666"/>
      <c r="U7" s="666"/>
      <c r="V7" s="666"/>
      <c r="W7" s="666"/>
      <c r="X7" s="666"/>
      <c r="Y7" s="666"/>
      <c r="Z7" s="666"/>
      <c r="AA7" s="666"/>
      <c r="AB7" s="666"/>
      <c r="AC7" s="666"/>
      <c r="AD7" s="666"/>
      <c r="AE7" s="666"/>
    </row>
    <row r="8" ht="15.75" customHeight="1">
      <c r="A8" s="671">
        <v>43894.0</v>
      </c>
      <c r="B8" s="672" t="s">
        <v>5037</v>
      </c>
      <c r="C8" s="673" t="s">
        <v>2346</v>
      </c>
      <c r="D8" s="641" t="s">
        <v>5038</v>
      </c>
      <c r="E8" s="669">
        <v>9500.0</v>
      </c>
      <c r="F8" s="641" t="s">
        <v>5039</v>
      </c>
      <c r="G8" s="667" t="s">
        <v>669</v>
      </c>
      <c r="H8" s="667" t="s">
        <v>199</v>
      </c>
      <c r="I8" s="667" t="s">
        <v>1228</v>
      </c>
      <c r="J8" s="667">
        <v>43675.0</v>
      </c>
      <c r="K8" s="670" t="s">
        <v>4383</v>
      </c>
      <c r="L8" s="666"/>
      <c r="M8" s="666"/>
      <c r="N8" s="666"/>
      <c r="O8" s="666"/>
      <c r="P8" s="666"/>
      <c r="Q8" s="666"/>
      <c r="R8" s="666"/>
      <c r="S8" s="666"/>
      <c r="T8" s="666"/>
      <c r="U8" s="666"/>
      <c r="V8" s="666"/>
      <c r="W8" s="666"/>
      <c r="X8" s="666"/>
      <c r="Y8" s="666"/>
      <c r="Z8" s="666"/>
      <c r="AA8" s="666"/>
      <c r="AB8" s="666"/>
      <c r="AC8" s="666"/>
      <c r="AD8" s="666"/>
      <c r="AE8" s="666"/>
    </row>
    <row r="9" ht="15.75" customHeight="1">
      <c r="A9" s="671">
        <v>43894.0</v>
      </c>
      <c r="B9" s="672" t="s">
        <v>5053</v>
      </c>
      <c r="C9" s="673" t="s">
        <v>2346</v>
      </c>
      <c r="D9" s="641" t="s">
        <v>5038</v>
      </c>
      <c r="E9" s="669">
        <v>5000.0</v>
      </c>
      <c r="F9" s="641" t="s">
        <v>5054</v>
      </c>
      <c r="G9" s="667" t="s">
        <v>669</v>
      </c>
      <c r="H9" s="667" t="s">
        <v>199</v>
      </c>
      <c r="I9" s="667" t="s">
        <v>1228</v>
      </c>
      <c r="J9" s="667">
        <v>43700.0</v>
      </c>
      <c r="K9" s="670" t="s">
        <v>4383</v>
      </c>
      <c r="L9" s="666"/>
      <c r="M9" s="666"/>
      <c r="N9" s="666"/>
      <c r="O9" s="666"/>
      <c r="P9" s="666"/>
      <c r="Q9" s="666"/>
      <c r="R9" s="666"/>
      <c r="S9" s="666"/>
      <c r="T9" s="666"/>
      <c r="U9" s="666"/>
      <c r="V9" s="666"/>
      <c r="W9" s="666"/>
      <c r="X9" s="666"/>
      <c r="Y9" s="666"/>
      <c r="Z9" s="666"/>
      <c r="AA9" s="666"/>
      <c r="AB9" s="666"/>
      <c r="AC9" s="666"/>
      <c r="AD9" s="666"/>
      <c r="AE9" s="666"/>
    </row>
    <row r="10" ht="15.75" customHeight="1">
      <c r="A10" s="671">
        <v>43894.0</v>
      </c>
      <c r="B10" s="672" t="s">
        <v>5059</v>
      </c>
      <c r="C10" s="673" t="s">
        <v>2346</v>
      </c>
      <c r="D10" s="641" t="s">
        <v>5038</v>
      </c>
      <c r="E10" s="669">
        <v>3700.0</v>
      </c>
      <c r="F10" s="641" t="s">
        <v>5061</v>
      </c>
      <c r="G10" s="667" t="s">
        <v>120</v>
      </c>
      <c r="H10" s="667" t="s">
        <v>199</v>
      </c>
      <c r="I10" s="667" t="s">
        <v>439</v>
      </c>
      <c r="J10" s="667">
        <v>43510.0</v>
      </c>
      <c r="K10" s="670" t="s">
        <v>5062</v>
      </c>
      <c r="L10" s="666"/>
      <c r="M10" s="666"/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</row>
    <row r="11" ht="15.75" customHeight="1">
      <c r="A11" s="671">
        <v>43895.0</v>
      </c>
      <c r="B11" s="672" t="s">
        <v>5065</v>
      </c>
      <c r="C11" s="673" t="s">
        <v>2346</v>
      </c>
      <c r="D11" s="641" t="s">
        <v>5038</v>
      </c>
      <c r="E11" s="669">
        <v>14000.0</v>
      </c>
      <c r="F11" s="641" t="s">
        <v>5066</v>
      </c>
      <c r="G11" s="667" t="s">
        <v>669</v>
      </c>
      <c r="H11" s="667" t="s">
        <v>199</v>
      </c>
      <c r="I11" s="667" t="s">
        <v>1228</v>
      </c>
      <c r="J11" s="667">
        <v>43703.0</v>
      </c>
      <c r="K11" s="670" t="s">
        <v>4383</v>
      </c>
      <c r="L11" s="666"/>
      <c r="M11" s="666"/>
      <c r="N11" s="666"/>
      <c r="O11" s="666"/>
      <c r="P11" s="666"/>
      <c r="Q11" s="666"/>
      <c r="R11" s="666"/>
      <c r="S11" s="666"/>
      <c r="T11" s="666"/>
      <c r="U11" s="666"/>
      <c r="V11" s="666"/>
      <c r="W11" s="666"/>
      <c r="X11" s="666"/>
      <c r="Y11" s="666"/>
      <c r="Z11" s="666"/>
      <c r="AA11" s="666"/>
      <c r="AB11" s="666"/>
      <c r="AC11" s="666"/>
      <c r="AD11" s="666"/>
      <c r="AE11" s="666"/>
    </row>
    <row r="12" ht="15.75" customHeight="1">
      <c r="A12" s="671">
        <v>43902.0</v>
      </c>
      <c r="B12" s="672" t="s">
        <v>5069</v>
      </c>
      <c r="C12" s="673" t="s">
        <v>2346</v>
      </c>
      <c r="D12" s="641" t="s">
        <v>5038</v>
      </c>
      <c r="E12" s="669">
        <v>10000.0</v>
      </c>
      <c r="F12" s="641" t="s">
        <v>5071</v>
      </c>
      <c r="G12" s="667" t="s">
        <v>669</v>
      </c>
      <c r="H12" s="667" t="s">
        <v>199</v>
      </c>
      <c r="I12" s="667" t="s">
        <v>1228</v>
      </c>
      <c r="J12" s="667">
        <v>43567.0</v>
      </c>
      <c r="K12" s="670" t="s">
        <v>2341</v>
      </c>
      <c r="L12" s="666"/>
      <c r="M12" s="666"/>
      <c r="N12" s="666"/>
      <c r="O12" s="666"/>
      <c r="P12" s="666"/>
      <c r="Q12" s="666"/>
      <c r="R12" s="666"/>
      <c r="S12" s="666"/>
      <c r="T12" s="666"/>
      <c r="U12" s="666"/>
      <c r="V12" s="666"/>
      <c r="W12" s="666"/>
      <c r="X12" s="666"/>
      <c r="Y12" s="666"/>
      <c r="Z12" s="666"/>
      <c r="AA12" s="666"/>
      <c r="AB12" s="666"/>
      <c r="AC12" s="666"/>
      <c r="AD12" s="666"/>
      <c r="AE12" s="666"/>
    </row>
    <row r="13" ht="15.75" customHeight="1">
      <c r="A13" s="671">
        <v>43906.0</v>
      </c>
      <c r="B13" s="672" t="s">
        <v>5075</v>
      </c>
      <c r="C13" s="673" t="s">
        <v>2346</v>
      </c>
      <c r="D13" s="641" t="s">
        <v>5038</v>
      </c>
      <c r="E13" s="669">
        <v>193205.23</v>
      </c>
      <c r="F13" s="641" t="s">
        <v>956</v>
      </c>
      <c r="G13" s="667" t="s">
        <v>669</v>
      </c>
      <c r="H13" s="667" t="s">
        <v>199</v>
      </c>
      <c r="I13" s="667" t="s">
        <v>1228</v>
      </c>
      <c r="J13" s="667">
        <v>43605.0</v>
      </c>
      <c r="K13" s="670" t="s">
        <v>2365</v>
      </c>
      <c r="L13" s="666"/>
      <c r="M13" s="666"/>
      <c r="N13" s="666"/>
      <c r="O13" s="666"/>
      <c r="P13" s="666"/>
      <c r="Q13" s="666"/>
      <c r="R13" s="666"/>
      <c r="S13" s="666"/>
      <c r="T13" s="666"/>
      <c r="U13" s="666"/>
      <c r="V13" s="666"/>
      <c r="W13" s="666"/>
      <c r="X13" s="666"/>
      <c r="Y13" s="666"/>
      <c r="Z13" s="666"/>
      <c r="AA13" s="666"/>
      <c r="AB13" s="666"/>
      <c r="AC13" s="666"/>
      <c r="AD13" s="666"/>
      <c r="AE13" s="666"/>
    </row>
    <row r="14" ht="15.75" customHeight="1">
      <c r="A14" s="671">
        <v>43906.0</v>
      </c>
      <c r="B14" s="676" t="s">
        <v>5077</v>
      </c>
      <c r="C14" s="673" t="s">
        <v>98</v>
      </c>
      <c r="D14" s="641" t="s">
        <v>5038</v>
      </c>
      <c r="E14" s="669">
        <v>10000.0</v>
      </c>
      <c r="F14" s="641" t="s">
        <v>4447</v>
      </c>
      <c r="G14" s="641" t="s">
        <v>669</v>
      </c>
      <c r="H14" s="641" t="s">
        <v>199</v>
      </c>
      <c r="I14" s="641" t="s">
        <v>669</v>
      </c>
      <c r="J14" s="667">
        <v>43924.0</v>
      </c>
      <c r="K14" s="674" t="s">
        <v>2341</v>
      </c>
      <c r="L14" s="666"/>
      <c r="M14" s="666"/>
      <c r="N14" s="666"/>
      <c r="O14" s="666"/>
      <c r="P14" s="666"/>
      <c r="Q14" s="666"/>
      <c r="R14" s="666"/>
      <c r="S14" s="666"/>
      <c r="T14" s="666"/>
      <c r="U14" s="666"/>
      <c r="V14" s="666"/>
      <c r="W14" s="666"/>
      <c r="X14" s="666"/>
      <c r="Y14" s="666"/>
      <c r="Z14" s="666"/>
      <c r="AA14" s="666"/>
      <c r="AB14" s="666"/>
      <c r="AC14" s="666"/>
      <c r="AD14" s="666"/>
      <c r="AE14" s="666"/>
    </row>
    <row r="15" ht="15.75" customHeight="1">
      <c r="A15" s="671">
        <v>43907.0</v>
      </c>
      <c r="B15" s="672" t="s">
        <v>5081</v>
      </c>
      <c r="C15" s="673" t="s">
        <v>2346</v>
      </c>
      <c r="D15" s="641" t="s">
        <v>5038</v>
      </c>
      <c r="E15" s="669">
        <v>25000.0</v>
      </c>
      <c r="F15" s="641" t="s">
        <v>4091</v>
      </c>
      <c r="G15" s="667" t="s">
        <v>669</v>
      </c>
      <c r="H15" s="667" t="s">
        <v>199</v>
      </c>
      <c r="I15" s="667" t="s">
        <v>1228</v>
      </c>
      <c r="J15" s="667">
        <v>43822.0</v>
      </c>
      <c r="K15" s="670" t="s">
        <v>2365</v>
      </c>
      <c r="L15" s="666"/>
      <c r="M15" s="666"/>
      <c r="N15" s="666"/>
      <c r="O15" s="666"/>
      <c r="P15" s="666"/>
      <c r="Q15" s="666"/>
      <c r="R15" s="666"/>
      <c r="S15" s="666"/>
      <c r="T15" s="666"/>
      <c r="U15" s="666"/>
      <c r="V15" s="666"/>
      <c r="W15" s="666"/>
      <c r="X15" s="666"/>
      <c r="Y15" s="666"/>
      <c r="Z15" s="666"/>
      <c r="AA15" s="666"/>
      <c r="AB15" s="666"/>
      <c r="AC15" s="666"/>
      <c r="AD15" s="666"/>
      <c r="AE15" s="666"/>
    </row>
    <row r="16" ht="15.75" customHeight="1">
      <c r="A16" s="671">
        <v>43907.0</v>
      </c>
      <c r="B16" s="672" t="s">
        <v>5065</v>
      </c>
      <c r="C16" s="673" t="s">
        <v>2346</v>
      </c>
      <c r="D16" s="641" t="s">
        <v>5038</v>
      </c>
      <c r="E16" s="669">
        <v>7000.0</v>
      </c>
      <c r="F16" s="641" t="s">
        <v>5066</v>
      </c>
      <c r="G16" s="667" t="s">
        <v>669</v>
      </c>
      <c r="H16" s="667" t="s">
        <v>199</v>
      </c>
      <c r="I16" s="667" t="s">
        <v>1228</v>
      </c>
      <c r="J16" s="667">
        <v>43703.0</v>
      </c>
      <c r="K16" s="670" t="s">
        <v>4383</v>
      </c>
      <c r="L16" s="666"/>
      <c r="M16" s="666"/>
      <c r="N16" s="666"/>
      <c r="O16" s="666"/>
      <c r="P16" s="666"/>
      <c r="Q16" s="666"/>
      <c r="R16" s="666"/>
      <c r="S16" s="666"/>
      <c r="T16" s="666"/>
      <c r="U16" s="666"/>
      <c r="V16" s="666"/>
      <c r="W16" s="666"/>
      <c r="X16" s="666"/>
      <c r="Y16" s="666"/>
      <c r="Z16" s="666"/>
      <c r="AA16" s="666"/>
      <c r="AB16" s="666"/>
      <c r="AC16" s="666"/>
      <c r="AD16" s="666"/>
      <c r="AE16" s="666"/>
    </row>
    <row r="17" ht="15.75" customHeight="1">
      <c r="A17" s="671">
        <v>43907.0</v>
      </c>
      <c r="B17" s="672" t="s">
        <v>5085</v>
      </c>
      <c r="C17" s="673" t="s">
        <v>98</v>
      </c>
      <c r="D17" s="641" t="s">
        <v>5038</v>
      </c>
      <c r="E17" s="669">
        <v>95799.8</v>
      </c>
      <c r="F17" s="641" t="s">
        <v>5088</v>
      </c>
      <c r="G17" s="641" t="s">
        <v>669</v>
      </c>
      <c r="H17" s="641" t="s">
        <v>199</v>
      </c>
      <c r="I17" s="641" t="s">
        <v>669</v>
      </c>
      <c r="J17" s="667">
        <v>44252.0</v>
      </c>
      <c r="K17" s="674" t="s">
        <v>2365</v>
      </c>
      <c r="L17" s="666"/>
      <c r="M17" s="666"/>
      <c r="N17" s="666"/>
      <c r="O17" s="666"/>
      <c r="P17" s="666"/>
      <c r="Q17" s="666"/>
      <c r="R17" s="666"/>
      <c r="S17" s="666"/>
      <c r="T17" s="666"/>
      <c r="U17" s="666"/>
      <c r="V17" s="666"/>
      <c r="W17" s="666"/>
      <c r="X17" s="666"/>
      <c r="Y17" s="666"/>
      <c r="Z17" s="666"/>
      <c r="AA17" s="666"/>
      <c r="AB17" s="666"/>
      <c r="AC17" s="666"/>
      <c r="AD17" s="666"/>
      <c r="AE17" s="666"/>
    </row>
    <row r="18" ht="15.75" customHeight="1">
      <c r="A18" s="667">
        <v>43910.0</v>
      </c>
      <c r="B18" s="668" t="s">
        <v>5092</v>
      </c>
      <c r="C18" s="641" t="s">
        <v>2346</v>
      </c>
      <c r="D18" s="641" t="s">
        <v>694</v>
      </c>
      <c r="E18" s="669">
        <v>0.0</v>
      </c>
      <c r="F18" s="641" t="s">
        <v>4664</v>
      </c>
      <c r="G18" s="667" t="s">
        <v>669</v>
      </c>
      <c r="H18" s="667" t="s">
        <v>199</v>
      </c>
      <c r="I18" s="667" t="s">
        <v>2388</v>
      </c>
      <c r="J18" s="667">
        <v>43699.0</v>
      </c>
      <c r="K18" s="670" t="s">
        <v>4383</v>
      </c>
      <c r="L18" s="666"/>
      <c r="M18" s="666"/>
      <c r="N18" s="666"/>
      <c r="O18" s="666"/>
      <c r="P18" s="666"/>
      <c r="Q18" s="666"/>
      <c r="R18" s="666"/>
      <c r="S18" s="666"/>
      <c r="T18" s="666"/>
      <c r="U18" s="666"/>
      <c r="V18" s="666"/>
      <c r="W18" s="666"/>
      <c r="X18" s="666"/>
      <c r="Y18" s="666"/>
      <c r="Z18" s="666"/>
      <c r="AA18" s="666"/>
      <c r="AB18" s="666"/>
      <c r="AC18" s="666"/>
      <c r="AD18" s="666"/>
      <c r="AE18" s="666"/>
    </row>
    <row r="19" ht="15.75" customHeight="1">
      <c r="A19" s="671">
        <v>43915.0</v>
      </c>
      <c r="B19" s="672" t="s">
        <v>5075</v>
      </c>
      <c r="C19" s="673" t="s">
        <v>2346</v>
      </c>
      <c r="D19" s="641" t="s">
        <v>5038</v>
      </c>
      <c r="E19" s="669">
        <v>0.0</v>
      </c>
      <c r="F19" s="641" t="s">
        <v>956</v>
      </c>
      <c r="G19" s="667" t="s">
        <v>669</v>
      </c>
      <c r="H19" s="667" t="s">
        <v>199</v>
      </c>
      <c r="I19" s="667" t="s">
        <v>1228</v>
      </c>
      <c r="J19" s="667">
        <v>43605.0</v>
      </c>
      <c r="K19" s="670" t="s">
        <v>2365</v>
      </c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666"/>
      <c r="AB19" s="666"/>
      <c r="AC19" s="666"/>
      <c r="AD19" s="666"/>
      <c r="AE19" s="666"/>
    </row>
    <row r="20" ht="15.75" customHeight="1">
      <c r="A20" s="671">
        <v>43915.0</v>
      </c>
      <c r="B20" s="672" t="s">
        <v>5065</v>
      </c>
      <c r="C20" s="673" t="s">
        <v>2346</v>
      </c>
      <c r="D20" s="641" t="s">
        <v>5038</v>
      </c>
      <c r="E20" s="669">
        <v>80000.0</v>
      </c>
      <c r="F20" s="641" t="s">
        <v>5066</v>
      </c>
      <c r="G20" s="667" t="s">
        <v>669</v>
      </c>
      <c r="H20" s="667" t="s">
        <v>199</v>
      </c>
      <c r="I20" s="667" t="s">
        <v>1228</v>
      </c>
      <c r="J20" s="667">
        <v>43703.0</v>
      </c>
      <c r="K20" s="670" t="s">
        <v>4383</v>
      </c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66"/>
      <c r="AB20" s="666"/>
      <c r="AC20" s="666"/>
      <c r="AD20" s="666"/>
      <c r="AE20" s="666"/>
    </row>
    <row r="21" ht="15.75" customHeight="1">
      <c r="A21" s="671">
        <v>43915.0</v>
      </c>
      <c r="B21" s="672" t="s">
        <v>5077</v>
      </c>
      <c r="C21" s="673" t="s">
        <v>98</v>
      </c>
      <c r="D21" s="641" t="s">
        <v>427</v>
      </c>
      <c r="E21" s="669">
        <v>10000.0</v>
      </c>
      <c r="F21" s="641" t="s">
        <v>4447</v>
      </c>
      <c r="G21" s="641" t="s">
        <v>669</v>
      </c>
      <c r="H21" s="641" t="s">
        <v>199</v>
      </c>
      <c r="I21" s="641" t="s">
        <v>669</v>
      </c>
      <c r="J21" s="667">
        <v>43924.0</v>
      </c>
      <c r="K21" s="674" t="s">
        <v>2341</v>
      </c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6"/>
      <c r="AB21" s="666"/>
      <c r="AC21" s="666"/>
      <c r="AD21" s="666"/>
      <c r="AE21" s="666"/>
    </row>
    <row r="22" ht="15.75" customHeight="1">
      <c r="A22" s="671">
        <v>43917.0</v>
      </c>
      <c r="B22" s="672" t="s">
        <v>5105</v>
      </c>
      <c r="C22" s="673" t="s">
        <v>2346</v>
      </c>
      <c r="D22" s="641" t="s">
        <v>5038</v>
      </c>
      <c r="E22" s="669">
        <v>80000.0</v>
      </c>
      <c r="F22" s="641" t="s">
        <v>5108</v>
      </c>
      <c r="G22" s="667" t="s">
        <v>669</v>
      </c>
      <c r="H22" s="667" t="s">
        <v>199</v>
      </c>
      <c r="I22" s="667" t="s">
        <v>2388</v>
      </c>
      <c r="J22" s="667">
        <v>43664.0</v>
      </c>
      <c r="K22" s="670" t="s">
        <v>4383</v>
      </c>
      <c r="L22" s="666"/>
      <c r="M22" s="666"/>
      <c r="N22" s="666"/>
      <c r="O22" s="666"/>
      <c r="P22" s="666"/>
      <c r="Q22" s="666"/>
      <c r="R22" s="666"/>
      <c r="S22" s="666"/>
      <c r="T22" s="666"/>
      <c r="U22" s="666"/>
      <c r="V22" s="666"/>
      <c r="W22" s="666"/>
      <c r="X22" s="666"/>
      <c r="Y22" s="666"/>
      <c r="Z22" s="666"/>
      <c r="AA22" s="666"/>
      <c r="AB22" s="666"/>
      <c r="AC22" s="666"/>
      <c r="AD22" s="666"/>
      <c r="AE22" s="666"/>
    </row>
    <row r="23" ht="15.75" customHeight="1">
      <c r="A23" s="671">
        <v>43917.0</v>
      </c>
      <c r="B23" s="672" t="s">
        <v>5046</v>
      </c>
      <c r="C23" s="673" t="s">
        <v>98</v>
      </c>
      <c r="D23" s="641" t="s">
        <v>5038</v>
      </c>
      <c r="E23" s="669">
        <v>25000.0</v>
      </c>
      <c r="F23" s="641" t="s">
        <v>4424</v>
      </c>
      <c r="G23" s="641" t="s">
        <v>669</v>
      </c>
      <c r="H23" s="641" t="s">
        <v>199</v>
      </c>
      <c r="I23" s="641" t="s">
        <v>669</v>
      </c>
      <c r="J23" s="667">
        <v>43749.0</v>
      </c>
      <c r="K23" s="674" t="s">
        <v>4383</v>
      </c>
      <c r="L23" s="666"/>
      <c r="M23" s="666"/>
      <c r="N23" s="666"/>
      <c r="O23" s="666"/>
      <c r="P23" s="666"/>
      <c r="Q23" s="666"/>
      <c r="R23" s="666"/>
      <c r="S23" s="666"/>
      <c r="T23" s="666"/>
      <c r="U23" s="666"/>
      <c r="V23" s="666"/>
      <c r="W23" s="666"/>
      <c r="X23" s="666"/>
      <c r="Y23" s="666"/>
      <c r="Z23" s="666"/>
      <c r="AA23" s="666"/>
      <c r="AB23" s="666"/>
      <c r="AC23" s="666"/>
      <c r="AD23" s="666"/>
      <c r="AE23" s="666"/>
    </row>
    <row r="24" ht="15.75" customHeight="1">
      <c r="A24" s="671">
        <v>43920.0</v>
      </c>
      <c r="B24" s="672" t="s">
        <v>5116</v>
      </c>
      <c r="C24" s="673" t="s">
        <v>2346</v>
      </c>
      <c r="D24" s="641" t="s">
        <v>5038</v>
      </c>
      <c r="E24" s="669">
        <v>20000.0</v>
      </c>
      <c r="F24" s="641" t="s">
        <v>5117</v>
      </c>
      <c r="G24" s="667" t="s">
        <v>669</v>
      </c>
      <c r="H24" s="667" t="s">
        <v>199</v>
      </c>
      <c r="I24" s="667" t="s">
        <v>2388</v>
      </c>
      <c r="J24" s="667">
        <v>43559.0</v>
      </c>
      <c r="K24" s="670" t="s">
        <v>4383</v>
      </c>
      <c r="L24" s="666"/>
      <c r="M24" s="666"/>
      <c r="N24" s="666"/>
      <c r="O24" s="666"/>
      <c r="P24" s="666"/>
      <c r="Q24" s="666"/>
      <c r="R24" s="666"/>
      <c r="S24" s="666"/>
      <c r="T24" s="666"/>
      <c r="U24" s="666"/>
      <c r="V24" s="666"/>
      <c r="W24" s="666"/>
      <c r="X24" s="666"/>
      <c r="Y24" s="666"/>
      <c r="Z24" s="666"/>
      <c r="AA24" s="666"/>
      <c r="AB24" s="666"/>
      <c r="AC24" s="666"/>
      <c r="AD24" s="666"/>
      <c r="AE24" s="666"/>
    </row>
    <row r="25" ht="15.75" customHeight="1">
      <c r="A25" s="667">
        <v>43922.0</v>
      </c>
      <c r="B25" s="668" t="s">
        <v>5119</v>
      </c>
      <c r="C25" s="641" t="s">
        <v>2346</v>
      </c>
      <c r="D25" s="641" t="s">
        <v>694</v>
      </c>
      <c r="E25" s="669">
        <v>95799.8</v>
      </c>
      <c r="F25" s="641" t="s">
        <v>5120</v>
      </c>
      <c r="G25" s="667" t="s">
        <v>669</v>
      </c>
      <c r="H25" s="667" t="s">
        <v>199</v>
      </c>
      <c r="I25" s="667" t="s">
        <v>1228</v>
      </c>
      <c r="J25" s="667">
        <v>43563.0</v>
      </c>
      <c r="K25" s="670" t="s">
        <v>2372</v>
      </c>
      <c r="L25" s="666"/>
      <c r="M25" s="666"/>
      <c r="N25" s="666"/>
      <c r="O25" s="666"/>
      <c r="P25" s="666"/>
      <c r="Q25" s="666"/>
      <c r="R25" s="666"/>
      <c r="S25" s="666"/>
      <c r="T25" s="666"/>
      <c r="U25" s="666"/>
      <c r="V25" s="666"/>
      <c r="W25" s="666"/>
      <c r="X25" s="666"/>
      <c r="Y25" s="666"/>
      <c r="Z25" s="666"/>
      <c r="AA25" s="666"/>
      <c r="AB25" s="666"/>
      <c r="AC25" s="666"/>
      <c r="AD25" s="666"/>
      <c r="AE25" s="666"/>
    </row>
    <row r="26" ht="15.75" customHeight="1">
      <c r="A26" s="671">
        <v>43922.0</v>
      </c>
      <c r="B26" s="672" t="s">
        <v>5119</v>
      </c>
      <c r="C26" s="673" t="s">
        <v>2346</v>
      </c>
      <c r="D26" s="641" t="s">
        <v>427</v>
      </c>
      <c r="E26" s="669">
        <v>50000.0</v>
      </c>
      <c r="F26" s="641" t="s">
        <v>5120</v>
      </c>
      <c r="G26" s="667" t="s">
        <v>669</v>
      </c>
      <c r="H26" s="667" t="s">
        <v>199</v>
      </c>
      <c r="I26" s="667" t="s">
        <v>1228</v>
      </c>
      <c r="J26" s="667">
        <v>43563.0</v>
      </c>
      <c r="K26" s="670" t="s">
        <v>2372</v>
      </c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6"/>
      <c r="AB26" s="666"/>
      <c r="AC26" s="666"/>
      <c r="AD26" s="666"/>
      <c r="AE26" s="666"/>
    </row>
    <row r="27" ht="15.75" customHeight="1">
      <c r="A27" s="671">
        <v>43922.0</v>
      </c>
      <c r="B27" s="672" t="s">
        <v>5126</v>
      </c>
      <c r="C27" s="673" t="s">
        <v>2346</v>
      </c>
      <c r="D27" s="641" t="s">
        <v>427</v>
      </c>
      <c r="E27" s="669">
        <v>30000.0</v>
      </c>
      <c r="F27" s="641" t="s">
        <v>4048</v>
      </c>
      <c r="G27" s="667" t="s">
        <v>669</v>
      </c>
      <c r="H27" s="667" t="s">
        <v>199</v>
      </c>
      <c r="I27" s="667" t="s">
        <v>1228</v>
      </c>
      <c r="J27" s="667">
        <v>43453.0</v>
      </c>
      <c r="K27" s="670" t="s">
        <v>2372</v>
      </c>
      <c r="L27" s="666"/>
      <c r="M27" s="666"/>
      <c r="N27" s="666"/>
      <c r="O27" s="666"/>
      <c r="P27" s="666"/>
      <c r="Q27" s="666"/>
      <c r="R27" s="666"/>
      <c r="S27" s="666"/>
      <c r="T27" s="666"/>
      <c r="U27" s="666"/>
      <c r="V27" s="666"/>
      <c r="W27" s="666"/>
      <c r="X27" s="666"/>
      <c r="Y27" s="666"/>
      <c r="Z27" s="666"/>
      <c r="AA27" s="666"/>
      <c r="AB27" s="666"/>
      <c r="AC27" s="666"/>
      <c r="AD27" s="666"/>
      <c r="AE27" s="666"/>
    </row>
    <row r="28" ht="15.75" customHeight="1">
      <c r="A28" s="671">
        <v>43923.0</v>
      </c>
      <c r="B28" s="672" t="s">
        <v>5065</v>
      </c>
      <c r="C28" s="673" t="s">
        <v>2346</v>
      </c>
      <c r="D28" s="641" t="s">
        <v>5038</v>
      </c>
      <c r="E28" s="669">
        <v>14000.0</v>
      </c>
      <c r="F28" s="641" t="s">
        <v>5066</v>
      </c>
      <c r="G28" s="667" t="s">
        <v>669</v>
      </c>
      <c r="H28" s="667" t="s">
        <v>199</v>
      </c>
      <c r="I28" s="667" t="s">
        <v>1228</v>
      </c>
      <c r="J28" s="667">
        <v>43703.0</v>
      </c>
      <c r="K28" s="670" t="s">
        <v>4383</v>
      </c>
      <c r="L28" s="666"/>
      <c r="M28" s="666"/>
      <c r="N28" s="666"/>
      <c r="O28" s="666"/>
      <c r="P28" s="666"/>
      <c r="Q28" s="666"/>
      <c r="R28" s="666"/>
      <c r="S28" s="666"/>
      <c r="T28" s="666"/>
      <c r="U28" s="666"/>
      <c r="V28" s="666"/>
      <c r="W28" s="666"/>
      <c r="X28" s="666"/>
      <c r="Y28" s="666"/>
      <c r="Z28" s="666"/>
      <c r="AA28" s="666"/>
      <c r="AB28" s="666"/>
      <c r="AC28" s="666"/>
      <c r="AD28" s="666"/>
      <c r="AE28" s="666"/>
    </row>
    <row r="29" ht="15.75" customHeight="1">
      <c r="A29" s="667">
        <v>43924.0</v>
      </c>
      <c r="B29" s="668" t="s">
        <v>5077</v>
      </c>
      <c r="C29" s="641" t="s">
        <v>98</v>
      </c>
      <c r="D29" s="641" t="s">
        <v>694</v>
      </c>
      <c r="E29" s="669">
        <v>0.0</v>
      </c>
      <c r="F29" s="641" t="s">
        <v>4447</v>
      </c>
      <c r="G29" s="641" t="s">
        <v>669</v>
      </c>
      <c r="H29" s="641" t="s">
        <v>199</v>
      </c>
      <c r="I29" s="641" t="s">
        <v>669</v>
      </c>
      <c r="J29" s="667">
        <v>43684.0</v>
      </c>
      <c r="K29" s="674" t="s">
        <v>2341</v>
      </c>
      <c r="L29" s="666"/>
      <c r="M29" s="666"/>
      <c r="N29" s="666"/>
      <c r="O29" s="666"/>
      <c r="P29" s="666"/>
      <c r="Q29" s="666"/>
      <c r="R29" s="666"/>
      <c r="S29" s="666"/>
      <c r="T29" s="666"/>
      <c r="U29" s="666"/>
      <c r="V29" s="666"/>
      <c r="W29" s="666"/>
      <c r="X29" s="666"/>
      <c r="Y29" s="666"/>
      <c r="Z29" s="666"/>
      <c r="AA29" s="666"/>
      <c r="AB29" s="666"/>
      <c r="AC29" s="666"/>
      <c r="AD29" s="666"/>
      <c r="AE29" s="666"/>
    </row>
    <row r="30" ht="15.75" customHeight="1">
      <c r="A30" s="671">
        <v>43928.0</v>
      </c>
      <c r="B30" s="672" t="s">
        <v>5136</v>
      </c>
      <c r="C30" s="673" t="s">
        <v>98</v>
      </c>
      <c r="D30" s="641" t="s">
        <v>5038</v>
      </c>
      <c r="E30" s="669">
        <v>20000.0</v>
      </c>
      <c r="F30" s="641" t="s">
        <v>5139</v>
      </c>
      <c r="G30" s="641" t="s">
        <v>669</v>
      </c>
      <c r="H30" s="641" t="s">
        <v>199</v>
      </c>
      <c r="I30" s="641" t="s">
        <v>669</v>
      </c>
      <c r="J30" s="667">
        <v>43872.0</v>
      </c>
      <c r="K30" s="674" t="s">
        <v>2341</v>
      </c>
      <c r="L30" s="666"/>
      <c r="M30" s="666"/>
      <c r="N30" s="666"/>
      <c r="O30" s="666"/>
      <c r="P30" s="666"/>
      <c r="Q30" s="666"/>
      <c r="R30" s="666"/>
      <c r="S30" s="666"/>
      <c r="T30" s="666"/>
      <c r="U30" s="666"/>
      <c r="V30" s="666"/>
      <c r="W30" s="666"/>
      <c r="X30" s="666"/>
      <c r="Y30" s="666"/>
      <c r="Z30" s="666"/>
      <c r="AA30" s="666"/>
      <c r="AB30" s="666"/>
      <c r="AC30" s="666"/>
      <c r="AD30" s="666"/>
      <c r="AE30" s="666"/>
    </row>
    <row r="31" ht="15.75" customHeight="1">
      <c r="A31" s="671">
        <v>43929.0</v>
      </c>
      <c r="B31" s="672" t="s">
        <v>5146</v>
      </c>
      <c r="C31" s="673" t="s">
        <v>2346</v>
      </c>
      <c r="D31" s="641" t="s">
        <v>5038</v>
      </c>
      <c r="E31" s="669">
        <v>8000.0</v>
      </c>
      <c r="F31" s="641" t="s">
        <v>5147</v>
      </c>
      <c r="G31" s="667" t="s">
        <v>669</v>
      </c>
      <c r="H31" s="667" t="s">
        <v>199</v>
      </c>
      <c r="I31" s="667" t="s">
        <v>1228</v>
      </c>
      <c r="J31" s="667">
        <v>43738.0</v>
      </c>
      <c r="K31" s="670" t="s">
        <v>2372</v>
      </c>
      <c r="L31" s="666"/>
      <c r="M31" s="666"/>
      <c r="N31" s="666"/>
      <c r="O31" s="666"/>
      <c r="P31" s="666"/>
      <c r="Q31" s="666"/>
      <c r="R31" s="666"/>
      <c r="S31" s="666"/>
      <c r="T31" s="666"/>
      <c r="U31" s="666"/>
      <c r="V31" s="666"/>
      <c r="W31" s="666"/>
      <c r="X31" s="666"/>
      <c r="Y31" s="666"/>
      <c r="Z31" s="666"/>
      <c r="AA31" s="666"/>
      <c r="AB31" s="666"/>
      <c r="AC31" s="666"/>
      <c r="AD31" s="666"/>
      <c r="AE31" s="666"/>
    </row>
    <row r="32" ht="15.75" customHeight="1">
      <c r="A32" s="671">
        <v>43930.0</v>
      </c>
      <c r="B32" s="672" t="s">
        <v>1280</v>
      </c>
      <c r="C32" s="673" t="s">
        <v>202</v>
      </c>
      <c r="D32" s="641" t="s">
        <v>5038</v>
      </c>
      <c r="E32" s="669">
        <v>5000.0</v>
      </c>
      <c r="F32" s="641" t="s">
        <v>1279</v>
      </c>
      <c r="G32" s="667" t="s">
        <v>120</v>
      </c>
      <c r="H32" s="667" t="s">
        <v>199</v>
      </c>
      <c r="I32" s="667" t="s">
        <v>841</v>
      </c>
      <c r="J32" s="667">
        <v>43797.0</v>
      </c>
      <c r="K32" s="670" t="s">
        <v>2365</v>
      </c>
      <c r="L32" s="666"/>
      <c r="M32" s="666"/>
      <c r="N32" s="666"/>
      <c r="O32" s="666"/>
      <c r="P32" s="666"/>
      <c r="Q32" s="666"/>
      <c r="R32" s="666"/>
      <c r="S32" s="666"/>
      <c r="T32" s="666"/>
      <c r="U32" s="666"/>
      <c r="V32" s="666"/>
      <c r="W32" s="666"/>
      <c r="X32" s="666"/>
      <c r="Y32" s="666"/>
      <c r="Z32" s="666"/>
      <c r="AA32" s="666"/>
      <c r="AB32" s="666"/>
      <c r="AC32" s="666"/>
      <c r="AD32" s="666"/>
      <c r="AE32" s="666"/>
    </row>
    <row r="33" ht="15.75" customHeight="1">
      <c r="A33" s="671">
        <v>43935.0</v>
      </c>
      <c r="B33" s="672" t="s">
        <v>5153</v>
      </c>
      <c r="C33" s="673" t="s">
        <v>98</v>
      </c>
      <c r="D33" s="641" t="s">
        <v>5038</v>
      </c>
      <c r="E33" s="669">
        <v>2000.0</v>
      </c>
      <c r="F33" s="641" t="s">
        <v>5154</v>
      </c>
      <c r="G33" s="641" t="s">
        <v>669</v>
      </c>
      <c r="H33" s="641" t="s">
        <v>199</v>
      </c>
      <c r="I33" s="641" t="s">
        <v>669</v>
      </c>
      <c r="J33" s="667">
        <v>44225.0</v>
      </c>
      <c r="K33" s="674" t="s">
        <v>2341</v>
      </c>
      <c r="L33" s="666"/>
      <c r="M33" s="666"/>
      <c r="N33" s="666"/>
      <c r="O33" s="666"/>
      <c r="P33" s="666"/>
      <c r="Q33" s="666"/>
      <c r="R33" s="666"/>
      <c r="S33" s="666"/>
      <c r="T33" s="666"/>
      <c r="U33" s="666"/>
      <c r="V33" s="666"/>
      <c r="W33" s="666"/>
      <c r="X33" s="666"/>
      <c r="Y33" s="666"/>
      <c r="Z33" s="666"/>
      <c r="AA33" s="666"/>
      <c r="AB33" s="666"/>
      <c r="AC33" s="666"/>
      <c r="AD33" s="666"/>
      <c r="AE33" s="666"/>
    </row>
    <row r="34" ht="15.75" customHeight="1">
      <c r="A34" s="671">
        <v>43938.0</v>
      </c>
      <c r="B34" s="672" t="s">
        <v>5075</v>
      </c>
      <c r="C34" s="673" t="s">
        <v>2346</v>
      </c>
      <c r="D34" s="641" t="s">
        <v>5038</v>
      </c>
      <c r="E34" s="669">
        <v>3000.0</v>
      </c>
      <c r="F34" s="641" t="s">
        <v>956</v>
      </c>
      <c r="G34" s="667" t="s">
        <v>669</v>
      </c>
      <c r="H34" s="667" t="s">
        <v>199</v>
      </c>
      <c r="I34" s="667" t="s">
        <v>1228</v>
      </c>
      <c r="J34" s="667">
        <v>43605.0</v>
      </c>
      <c r="K34" s="670" t="s">
        <v>2365</v>
      </c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666"/>
      <c r="AB34" s="666"/>
      <c r="AC34" s="666"/>
      <c r="AD34" s="666"/>
      <c r="AE34" s="666"/>
    </row>
    <row r="35" ht="15.75" customHeight="1">
      <c r="A35" s="671">
        <v>43948.0</v>
      </c>
      <c r="B35" s="672" t="s">
        <v>5065</v>
      </c>
      <c r="C35" s="673" t="s">
        <v>2346</v>
      </c>
      <c r="D35" s="641" t="s">
        <v>5038</v>
      </c>
      <c r="E35" s="669">
        <v>10000.0</v>
      </c>
      <c r="F35" s="641" t="s">
        <v>5066</v>
      </c>
      <c r="G35" s="667" t="s">
        <v>669</v>
      </c>
      <c r="H35" s="667" t="s">
        <v>199</v>
      </c>
      <c r="I35" s="667" t="s">
        <v>1228</v>
      </c>
      <c r="J35" s="667">
        <v>43703.0</v>
      </c>
      <c r="K35" s="670" t="s">
        <v>4383</v>
      </c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66"/>
      <c r="AB35" s="666"/>
      <c r="AC35" s="666"/>
      <c r="AD35" s="666"/>
      <c r="AE35" s="666"/>
    </row>
    <row r="36" ht="15.75" customHeight="1">
      <c r="A36" s="671">
        <v>43948.0</v>
      </c>
      <c r="B36" s="672" t="s">
        <v>5075</v>
      </c>
      <c r="C36" s="673" t="s">
        <v>2346</v>
      </c>
      <c r="D36" s="641" t="s">
        <v>5038</v>
      </c>
      <c r="E36" s="669">
        <v>2000.0</v>
      </c>
      <c r="F36" s="641" t="s">
        <v>956</v>
      </c>
      <c r="G36" s="667" t="s">
        <v>669</v>
      </c>
      <c r="H36" s="667" t="s">
        <v>199</v>
      </c>
      <c r="I36" s="667" t="s">
        <v>1228</v>
      </c>
      <c r="J36" s="667">
        <v>43605.0</v>
      </c>
      <c r="K36" s="670" t="s">
        <v>2365</v>
      </c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6"/>
      <c r="AB36" s="666"/>
      <c r="AC36" s="666"/>
      <c r="AD36" s="666"/>
      <c r="AE36" s="666"/>
    </row>
    <row r="37" ht="15.75" customHeight="1">
      <c r="A37" s="671">
        <v>43949.0</v>
      </c>
      <c r="B37" s="672" t="s">
        <v>5046</v>
      </c>
      <c r="C37" s="673" t="s">
        <v>98</v>
      </c>
      <c r="D37" s="641" t="s">
        <v>5038</v>
      </c>
      <c r="E37" s="669">
        <v>15000.0</v>
      </c>
      <c r="F37" s="641" t="s">
        <v>4424</v>
      </c>
      <c r="G37" s="641" t="s">
        <v>669</v>
      </c>
      <c r="H37" s="641" t="s">
        <v>199</v>
      </c>
      <c r="I37" s="641" t="s">
        <v>669</v>
      </c>
      <c r="J37" s="667">
        <v>43749.0</v>
      </c>
      <c r="K37" s="674" t="s">
        <v>4383</v>
      </c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Y37" s="666"/>
      <c r="Z37" s="666"/>
      <c r="AA37" s="666"/>
      <c r="AB37" s="666"/>
      <c r="AC37" s="666"/>
      <c r="AD37" s="666"/>
      <c r="AE37" s="666"/>
    </row>
    <row r="38" ht="15.75" customHeight="1">
      <c r="A38" s="671">
        <v>43950.0</v>
      </c>
      <c r="B38" s="672" t="s">
        <v>5105</v>
      </c>
      <c r="C38" s="673" t="s">
        <v>2346</v>
      </c>
      <c r="D38" s="641" t="s">
        <v>5038</v>
      </c>
      <c r="E38" s="669">
        <v>100000.0</v>
      </c>
      <c r="F38" s="641" t="s">
        <v>5108</v>
      </c>
      <c r="G38" s="667" t="s">
        <v>669</v>
      </c>
      <c r="H38" s="667" t="s">
        <v>199</v>
      </c>
      <c r="I38" s="667" t="s">
        <v>2388</v>
      </c>
      <c r="J38" s="667">
        <v>43664.0</v>
      </c>
      <c r="K38" s="670" t="s">
        <v>4383</v>
      </c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</row>
    <row r="39" ht="15.75" customHeight="1">
      <c r="A39" s="671">
        <v>43951.0</v>
      </c>
      <c r="B39" s="672" t="s">
        <v>5116</v>
      </c>
      <c r="C39" s="673" t="s">
        <v>2346</v>
      </c>
      <c r="D39" s="641" t="s">
        <v>5038</v>
      </c>
      <c r="E39" s="669">
        <v>20000.0</v>
      </c>
      <c r="F39" s="641" t="s">
        <v>5117</v>
      </c>
      <c r="G39" s="667" t="s">
        <v>669</v>
      </c>
      <c r="H39" s="667" t="s">
        <v>199</v>
      </c>
      <c r="I39" s="667" t="s">
        <v>2388</v>
      </c>
      <c r="J39" s="667">
        <v>43559.0</v>
      </c>
      <c r="K39" s="670" t="s">
        <v>4383</v>
      </c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</row>
    <row r="40" ht="15.75" customHeight="1">
      <c r="A40" s="671">
        <v>43956.0</v>
      </c>
      <c r="B40" s="672" t="s">
        <v>5172</v>
      </c>
      <c r="C40" s="673" t="s">
        <v>2346</v>
      </c>
      <c r="D40" s="641" t="s">
        <v>5038</v>
      </c>
      <c r="E40" s="669">
        <v>75000.0</v>
      </c>
      <c r="F40" s="641" t="s">
        <v>5173</v>
      </c>
      <c r="G40" s="667" t="s">
        <v>669</v>
      </c>
      <c r="H40" s="667" t="s">
        <v>199</v>
      </c>
      <c r="I40" s="667" t="s">
        <v>1228</v>
      </c>
      <c r="J40" s="667">
        <v>43699.0</v>
      </c>
      <c r="K40" s="670" t="s">
        <v>4383</v>
      </c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</row>
    <row r="41" ht="15.75" customHeight="1">
      <c r="A41" s="671">
        <v>43958.0</v>
      </c>
      <c r="B41" s="672" t="s">
        <v>5116</v>
      </c>
      <c r="C41" s="673" t="s">
        <v>2346</v>
      </c>
      <c r="D41" s="641" t="s">
        <v>5038</v>
      </c>
      <c r="E41" s="669">
        <v>2000.0</v>
      </c>
      <c r="F41" s="641" t="s">
        <v>5117</v>
      </c>
      <c r="G41" s="667" t="s">
        <v>669</v>
      </c>
      <c r="H41" s="667" t="s">
        <v>199</v>
      </c>
      <c r="I41" s="667" t="s">
        <v>2388</v>
      </c>
      <c r="J41" s="667">
        <v>43559.0</v>
      </c>
      <c r="K41" s="670" t="s">
        <v>4383</v>
      </c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</row>
    <row r="42" ht="15.75" customHeight="1">
      <c r="A42" s="671">
        <v>43958.0</v>
      </c>
      <c r="B42" s="672" t="s">
        <v>5178</v>
      </c>
      <c r="C42" s="673" t="s">
        <v>2346</v>
      </c>
      <c r="D42" s="641" t="s">
        <v>5038</v>
      </c>
      <c r="E42" s="669">
        <v>2000.0</v>
      </c>
      <c r="F42" s="641" t="s">
        <v>5180</v>
      </c>
      <c r="G42" s="667" t="s">
        <v>669</v>
      </c>
      <c r="H42" s="667" t="s">
        <v>199</v>
      </c>
      <c r="I42" s="667" t="s">
        <v>1228</v>
      </c>
      <c r="J42" s="667">
        <v>43717.0</v>
      </c>
      <c r="K42" s="670" t="s">
        <v>4383</v>
      </c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</row>
    <row r="43" ht="15.75" customHeight="1">
      <c r="A43" s="671">
        <v>43959.0</v>
      </c>
      <c r="B43" s="676" t="s">
        <v>5183</v>
      </c>
      <c r="C43" s="673" t="s">
        <v>2346</v>
      </c>
      <c r="D43" s="641" t="s">
        <v>5038</v>
      </c>
      <c r="E43" s="679">
        <v>1000.0</v>
      </c>
      <c r="F43" s="641" t="s">
        <v>1460</v>
      </c>
      <c r="G43" s="667" t="s">
        <v>669</v>
      </c>
      <c r="H43" s="667" t="s">
        <v>199</v>
      </c>
      <c r="I43" s="667" t="s">
        <v>1228</v>
      </c>
      <c r="J43" s="667">
        <v>43894.0</v>
      </c>
      <c r="K43" s="670" t="s">
        <v>2365</v>
      </c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</row>
    <row r="44" ht="15.75" customHeight="1">
      <c r="A44" s="671">
        <v>43964.0</v>
      </c>
      <c r="B44" s="672" t="s">
        <v>5146</v>
      </c>
      <c r="C44" s="673" t="s">
        <v>2346</v>
      </c>
      <c r="D44" s="641" t="s">
        <v>5038</v>
      </c>
      <c r="E44" s="669">
        <v>60000.0</v>
      </c>
      <c r="F44" s="641" t="s">
        <v>5147</v>
      </c>
      <c r="G44" s="667" t="s">
        <v>669</v>
      </c>
      <c r="H44" s="667" t="s">
        <v>199</v>
      </c>
      <c r="I44" s="667" t="s">
        <v>1228</v>
      </c>
      <c r="J44" s="667">
        <v>43738.0</v>
      </c>
      <c r="K44" s="670" t="s">
        <v>2372</v>
      </c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</row>
    <row r="45" ht="15.75" customHeight="1">
      <c r="A45" s="671">
        <v>43965.0</v>
      </c>
      <c r="B45" s="676" t="s">
        <v>5189</v>
      </c>
      <c r="C45" s="673" t="s">
        <v>2346</v>
      </c>
      <c r="D45" s="641" t="s">
        <v>5038</v>
      </c>
      <c r="E45" s="669">
        <v>20000.0</v>
      </c>
      <c r="F45" s="641" t="s">
        <v>4333</v>
      </c>
      <c r="G45" s="667" t="s">
        <v>669</v>
      </c>
      <c r="H45" s="667" t="s">
        <v>199</v>
      </c>
      <c r="I45" s="667" t="s">
        <v>2388</v>
      </c>
      <c r="J45" s="667">
        <v>43913.0</v>
      </c>
      <c r="K45" s="670" t="s">
        <v>2341</v>
      </c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</row>
    <row r="46" ht="15.75" customHeight="1">
      <c r="A46" s="671">
        <v>43965.0</v>
      </c>
      <c r="B46" s="672" t="s">
        <v>5153</v>
      </c>
      <c r="C46" s="673" t="s">
        <v>98</v>
      </c>
      <c r="D46" s="641" t="s">
        <v>5038</v>
      </c>
      <c r="E46" s="669">
        <v>20000.0</v>
      </c>
      <c r="F46" s="641" t="s">
        <v>5154</v>
      </c>
      <c r="G46" s="641" t="s">
        <v>669</v>
      </c>
      <c r="H46" s="641" t="s">
        <v>199</v>
      </c>
      <c r="I46" s="641" t="s">
        <v>669</v>
      </c>
      <c r="J46" s="667">
        <v>44225.0</v>
      </c>
      <c r="K46" s="674" t="s">
        <v>2341</v>
      </c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</row>
    <row r="47" ht="15.75" customHeight="1">
      <c r="A47" s="671">
        <v>43965.0</v>
      </c>
      <c r="B47" s="672" t="s">
        <v>5146</v>
      </c>
      <c r="C47" s="673" t="s">
        <v>2346</v>
      </c>
      <c r="D47" s="641" t="s">
        <v>5038</v>
      </c>
      <c r="E47" s="669">
        <v>6000.0</v>
      </c>
      <c r="F47" s="641" t="s">
        <v>5147</v>
      </c>
      <c r="G47" s="667" t="s">
        <v>669</v>
      </c>
      <c r="H47" s="667" t="s">
        <v>199</v>
      </c>
      <c r="I47" s="667" t="s">
        <v>1228</v>
      </c>
      <c r="J47" s="667">
        <v>43738.0</v>
      </c>
      <c r="K47" s="670" t="s">
        <v>2372</v>
      </c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</row>
    <row r="48" ht="15.75" customHeight="1">
      <c r="A48" s="671">
        <v>43966.0</v>
      </c>
      <c r="B48" s="672" t="s">
        <v>5065</v>
      </c>
      <c r="C48" s="673" t="s">
        <v>2346</v>
      </c>
      <c r="D48" s="641" t="s">
        <v>5038</v>
      </c>
      <c r="E48" s="669">
        <v>10000.0</v>
      </c>
      <c r="F48" s="641" t="s">
        <v>5066</v>
      </c>
      <c r="G48" s="667" t="s">
        <v>669</v>
      </c>
      <c r="H48" s="667" t="s">
        <v>199</v>
      </c>
      <c r="I48" s="667" t="s">
        <v>1228</v>
      </c>
      <c r="J48" s="667">
        <v>43703.0</v>
      </c>
      <c r="K48" s="670" t="s">
        <v>4383</v>
      </c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</row>
    <row r="49" ht="15.75" customHeight="1">
      <c r="A49" s="671">
        <v>43969.0</v>
      </c>
      <c r="B49" s="672" t="s">
        <v>5183</v>
      </c>
      <c r="C49" s="673" t="s">
        <v>2346</v>
      </c>
      <c r="D49" s="641" t="s">
        <v>5038</v>
      </c>
      <c r="E49" s="669">
        <v>7000.0</v>
      </c>
      <c r="F49" s="641" t="s">
        <v>1460</v>
      </c>
      <c r="G49" s="667" t="s">
        <v>669</v>
      </c>
      <c r="H49" s="667" t="s">
        <v>199</v>
      </c>
      <c r="I49" s="667" t="s">
        <v>1228</v>
      </c>
      <c r="J49" s="667">
        <v>43894.0</v>
      </c>
      <c r="K49" s="670" t="s">
        <v>2365</v>
      </c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</row>
    <row r="50" ht="15.75" customHeight="1">
      <c r="A50" s="671">
        <v>43969.0</v>
      </c>
      <c r="B50" s="672" t="s">
        <v>5183</v>
      </c>
      <c r="C50" s="673" t="s">
        <v>2346</v>
      </c>
      <c r="D50" s="641" t="s">
        <v>5038</v>
      </c>
      <c r="E50" s="669">
        <v>10000.0</v>
      </c>
      <c r="F50" s="641" t="s">
        <v>1460</v>
      </c>
      <c r="G50" s="667" t="s">
        <v>669</v>
      </c>
      <c r="H50" s="667" t="s">
        <v>199</v>
      </c>
      <c r="I50" s="667" t="s">
        <v>1228</v>
      </c>
      <c r="J50" s="667">
        <v>43894.0</v>
      </c>
      <c r="K50" s="670" t="s">
        <v>2365</v>
      </c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</row>
    <row r="51" ht="15.75" customHeight="1">
      <c r="A51" s="671">
        <v>43969.0</v>
      </c>
      <c r="B51" s="672" t="s">
        <v>5215</v>
      </c>
      <c r="C51" s="673" t="s">
        <v>2346</v>
      </c>
      <c r="D51" s="641" t="s">
        <v>5038</v>
      </c>
      <c r="E51" s="669">
        <v>1000.0</v>
      </c>
      <c r="F51" s="641" t="s">
        <v>3394</v>
      </c>
      <c r="G51" s="667" t="s">
        <v>669</v>
      </c>
      <c r="H51" s="667" t="s">
        <v>199</v>
      </c>
      <c r="I51" s="667" t="s">
        <v>1228</v>
      </c>
      <c r="J51" s="667">
        <v>43867.0</v>
      </c>
      <c r="K51" s="670" t="s">
        <v>2341</v>
      </c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</row>
    <row r="52" ht="15.75" customHeight="1">
      <c r="A52" s="671">
        <v>43971.0</v>
      </c>
      <c r="B52" s="676" t="s">
        <v>5046</v>
      </c>
      <c r="C52" s="673" t="s">
        <v>98</v>
      </c>
      <c r="D52" s="641" t="s">
        <v>5038</v>
      </c>
      <c r="E52" s="669">
        <v>7500.0</v>
      </c>
      <c r="F52" s="641" t="s">
        <v>4424</v>
      </c>
      <c r="G52" s="641" t="s">
        <v>669</v>
      </c>
      <c r="H52" s="641" t="s">
        <v>199</v>
      </c>
      <c r="I52" s="641" t="s">
        <v>669</v>
      </c>
      <c r="J52" s="667">
        <v>43749.0</v>
      </c>
      <c r="K52" s="674" t="s">
        <v>4383</v>
      </c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</row>
    <row r="53" ht="15.75" customHeight="1">
      <c r="A53" s="671">
        <v>43972.0</v>
      </c>
      <c r="B53" s="672" t="s">
        <v>5172</v>
      </c>
      <c r="C53" s="673" t="s">
        <v>2346</v>
      </c>
      <c r="D53" s="641" t="s">
        <v>5038</v>
      </c>
      <c r="E53" s="669">
        <v>50000.0</v>
      </c>
      <c r="F53" s="641" t="s">
        <v>5173</v>
      </c>
      <c r="G53" s="667" t="s">
        <v>669</v>
      </c>
      <c r="H53" s="667" t="s">
        <v>199</v>
      </c>
      <c r="I53" s="667" t="s">
        <v>1228</v>
      </c>
      <c r="J53" s="667">
        <v>43699.0</v>
      </c>
      <c r="K53" s="670" t="s">
        <v>4383</v>
      </c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</row>
    <row r="54" ht="15.75" customHeight="1">
      <c r="A54" s="671">
        <v>43973.0</v>
      </c>
      <c r="B54" s="676" t="s">
        <v>5085</v>
      </c>
      <c r="C54" s="673" t="s">
        <v>98</v>
      </c>
      <c r="D54" s="641" t="s">
        <v>5038</v>
      </c>
      <c r="E54" s="669">
        <v>20000.0</v>
      </c>
      <c r="F54" s="641" t="s">
        <v>5088</v>
      </c>
      <c r="G54" s="641" t="s">
        <v>669</v>
      </c>
      <c r="H54" s="641" t="s">
        <v>199</v>
      </c>
      <c r="I54" s="641" t="s">
        <v>669</v>
      </c>
      <c r="J54" s="667">
        <v>44252.0</v>
      </c>
      <c r="K54" s="674" t="s">
        <v>2365</v>
      </c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</row>
    <row r="55" ht="15.75" customHeight="1">
      <c r="A55" s="671">
        <v>43973.0</v>
      </c>
      <c r="B55" s="672" t="s">
        <v>1280</v>
      </c>
      <c r="C55" s="673" t="s">
        <v>5229</v>
      </c>
      <c r="D55" s="641" t="s">
        <v>5038</v>
      </c>
      <c r="E55" s="669">
        <v>10000.0</v>
      </c>
      <c r="F55" s="641" t="s">
        <v>1279</v>
      </c>
      <c r="G55" s="641" t="s">
        <v>120</v>
      </c>
      <c r="H55" s="641" t="s">
        <v>199</v>
      </c>
      <c r="I55" s="641" t="s">
        <v>841</v>
      </c>
      <c r="J55" s="667">
        <v>43797.0</v>
      </c>
      <c r="K55" s="670" t="s">
        <v>2365</v>
      </c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</row>
    <row r="56" ht="15.75" customHeight="1">
      <c r="A56" s="671">
        <v>43976.0</v>
      </c>
      <c r="B56" s="672" t="s">
        <v>5116</v>
      </c>
      <c r="C56" s="673" t="s">
        <v>2346</v>
      </c>
      <c r="D56" s="641" t="s">
        <v>5038</v>
      </c>
      <c r="E56" s="669">
        <v>973440.75</v>
      </c>
      <c r="F56" s="641" t="s">
        <v>5117</v>
      </c>
      <c r="G56" s="667" t="s">
        <v>669</v>
      </c>
      <c r="H56" s="667" t="s">
        <v>199</v>
      </c>
      <c r="I56" s="667" t="s">
        <v>2388</v>
      </c>
      <c r="J56" s="667">
        <v>43559.0</v>
      </c>
      <c r="K56" s="670" t="s">
        <v>4383</v>
      </c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</row>
    <row r="57" ht="15.75" customHeight="1">
      <c r="A57" s="671">
        <v>43977.0</v>
      </c>
      <c r="B57" s="672" t="s">
        <v>5065</v>
      </c>
      <c r="C57" s="673" t="s">
        <v>2346</v>
      </c>
      <c r="D57" s="641" t="s">
        <v>5038</v>
      </c>
      <c r="E57" s="669">
        <v>7000.0</v>
      </c>
      <c r="F57" s="641" t="s">
        <v>5066</v>
      </c>
      <c r="G57" s="667" t="s">
        <v>669</v>
      </c>
      <c r="H57" s="667" t="s">
        <v>199</v>
      </c>
      <c r="I57" s="667" t="s">
        <v>1228</v>
      </c>
      <c r="J57" s="667">
        <v>43703.0</v>
      </c>
      <c r="K57" s="670" t="s">
        <v>4383</v>
      </c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</row>
    <row r="58" ht="15.75" customHeight="1">
      <c r="A58" s="671">
        <v>43978.0</v>
      </c>
      <c r="B58" s="672" t="s">
        <v>5183</v>
      </c>
      <c r="C58" s="673" t="s">
        <v>2346</v>
      </c>
      <c r="D58" s="641" t="s">
        <v>5038</v>
      </c>
      <c r="E58" s="669">
        <v>180000.0</v>
      </c>
      <c r="F58" s="641" t="s">
        <v>1460</v>
      </c>
      <c r="G58" s="667" t="s">
        <v>669</v>
      </c>
      <c r="H58" s="667" t="s">
        <v>199</v>
      </c>
      <c r="I58" s="667" t="s">
        <v>1228</v>
      </c>
      <c r="J58" s="667">
        <v>43894.0</v>
      </c>
      <c r="K58" s="670" t="s">
        <v>2365</v>
      </c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</row>
    <row r="59" ht="15.75" customHeight="1">
      <c r="A59" s="671">
        <v>43980.0</v>
      </c>
      <c r="B59" s="676" t="s">
        <v>5105</v>
      </c>
      <c r="C59" s="673" t="s">
        <v>2346</v>
      </c>
      <c r="D59" s="641" t="s">
        <v>5038</v>
      </c>
      <c r="E59" s="669">
        <v>10701.0</v>
      </c>
      <c r="F59" s="641" t="s">
        <v>5108</v>
      </c>
      <c r="G59" s="667" t="s">
        <v>669</v>
      </c>
      <c r="H59" s="667" t="s">
        <v>199</v>
      </c>
      <c r="I59" s="667" t="s">
        <v>2388</v>
      </c>
      <c r="J59" s="667">
        <v>43664.0</v>
      </c>
      <c r="K59" s="670" t="s">
        <v>4383</v>
      </c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</row>
    <row r="60" ht="15.75" customHeight="1">
      <c r="A60" s="671">
        <v>43984.0</v>
      </c>
      <c r="B60" s="672" t="s">
        <v>5215</v>
      </c>
      <c r="C60" s="673" t="s">
        <v>2346</v>
      </c>
      <c r="D60" s="641" t="s">
        <v>5038</v>
      </c>
      <c r="E60" s="669">
        <v>2000.0</v>
      </c>
      <c r="F60" s="641" t="s">
        <v>3394</v>
      </c>
      <c r="G60" s="667" t="s">
        <v>669</v>
      </c>
      <c r="H60" s="667" t="s">
        <v>199</v>
      </c>
      <c r="I60" s="667" t="s">
        <v>1228</v>
      </c>
      <c r="J60" s="667">
        <v>43867.0</v>
      </c>
      <c r="K60" s="670" t="s">
        <v>2341</v>
      </c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</row>
    <row r="61" ht="15.75" customHeight="1">
      <c r="A61" s="671">
        <v>43984.0</v>
      </c>
      <c r="B61" s="672" t="s">
        <v>5172</v>
      </c>
      <c r="C61" s="673" t="s">
        <v>2346</v>
      </c>
      <c r="D61" s="641" t="s">
        <v>5038</v>
      </c>
      <c r="E61" s="669">
        <v>200000.0</v>
      </c>
      <c r="F61" s="641" t="s">
        <v>5173</v>
      </c>
      <c r="G61" s="667" t="s">
        <v>669</v>
      </c>
      <c r="H61" s="667" t="s">
        <v>199</v>
      </c>
      <c r="I61" s="667" t="s">
        <v>1228</v>
      </c>
      <c r="J61" s="667">
        <v>43699.0</v>
      </c>
      <c r="K61" s="670" t="s">
        <v>4383</v>
      </c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</row>
    <row r="62" ht="15.75" customHeight="1">
      <c r="A62" s="671">
        <v>43985.0</v>
      </c>
      <c r="B62" s="672" t="s">
        <v>5065</v>
      </c>
      <c r="C62" s="673" t="s">
        <v>2346</v>
      </c>
      <c r="D62" s="641" t="s">
        <v>5038</v>
      </c>
      <c r="E62" s="669">
        <v>6000.0</v>
      </c>
      <c r="F62" s="641" t="s">
        <v>5066</v>
      </c>
      <c r="G62" s="667" t="s">
        <v>669</v>
      </c>
      <c r="H62" s="667" t="s">
        <v>199</v>
      </c>
      <c r="I62" s="667" t="s">
        <v>1228</v>
      </c>
      <c r="J62" s="667">
        <v>43703.0</v>
      </c>
      <c r="K62" s="670" t="s">
        <v>4383</v>
      </c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</row>
    <row r="63" ht="15.75" customHeight="1">
      <c r="A63" s="671">
        <v>43987.0</v>
      </c>
      <c r="B63" s="676" t="s">
        <v>5116</v>
      </c>
      <c r="C63" s="673" t="s">
        <v>2346</v>
      </c>
      <c r="D63" s="641" t="s">
        <v>5038</v>
      </c>
      <c r="E63" s="669">
        <v>10000.0</v>
      </c>
      <c r="F63" s="641" t="s">
        <v>5117</v>
      </c>
      <c r="G63" s="667" t="s">
        <v>669</v>
      </c>
      <c r="H63" s="667" t="s">
        <v>199</v>
      </c>
      <c r="I63" s="667" t="s">
        <v>2388</v>
      </c>
      <c r="J63" s="667">
        <v>43559.0</v>
      </c>
      <c r="K63" s="670" t="s">
        <v>4383</v>
      </c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</row>
    <row r="64" ht="15.75" customHeight="1">
      <c r="A64" s="671">
        <v>43990.0</v>
      </c>
      <c r="B64" s="672" t="s">
        <v>5265</v>
      </c>
      <c r="C64" s="673" t="s">
        <v>2346</v>
      </c>
      <c r="D64" s="641" t="s">
        <v>5038</v>
      </c>
      <c r="E64" s="669">
        <v>20000.0</v>
      </c>
      <c r="F64" s="641" t="s">
        <v>5268</v>
      </c>
      <c r="G64" s="667" t="s">
        <v>669</v>
      </c>
      <c r="H64" s="667" t="s">
        <v>199</v>
      </c>
      <c r="I64" s="667" t="s">
        <v>2388</v>
      </c>
      <c r="J64" s="667">
        <v>43607.0</v>
      </c>
      <c r="K64" s="670" t="s">
        <v>4383</v>
      </c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</row>
    <row r="65" ht="15.75" customHeight="1">
      <c r="A65" s="671">
        <v>43991.0</v>
      </c>
      <c r="B65" s="672" t="s">
        <v>5270</v>
      </c>
      <c r="C65" s="673" t="s">
        <v>2346</v>
      </c>
      <c r="D65" s="641" t="s">
        <v>5038</v>
      </c>
      <c r="E65" s="669">
        <v>6000.0</v>
      </c>
      <c r="F65" s="641" t="s">
        <v>1227</v>
      </c>
      <c r="G65" s="667" t="s">
        <v>669</v>
      </c>
      <c r="H65" s="667" t="s">
        <v>199</v>
      </c>
      <c r="I65" s="667" t="s">
        <v>1228</v>
      </c>
      <c r="J65" s="667">
        <v>43564.0</v>
      </c>
      <c r="K65" s="670" t="s">
        <v>2372</v>
      </c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</row>
    <row r="66" ht="15.75" customHeight="1">
      <c r="A66" s="671">
        <v>43991.0</v>
      </c>
      <c r="B66" s="676" t="s">
        <v>5183</v>
      </c>
      <c r="C66" s="673" t="s">
        <v>2346</v>
      </c>
      <c r="D66" s="641" t="s">
        <v>5038</v>
      </c>
      <c r="E66" s="669">
        <v>3000.0</v>
      </c>
      <c r="F66" s="641" t="s">
        <v>1460</v>
      </c>
      <c r="G66" s="667" t="s">
        <v>669</v>
      </c>
      <c r="H66" s="667" t="s">
        <v>199</v>
      </c>
      <c r="I66" s="667" t="s">
        <v>1228</v>
      </c>
      <c r="J66" s="667">
        <v>43894.0</v>
      </c>
      <c r="K66" s="670" t="s">
        <v>2365</v>
      </c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</row>
    <row r="67" ht="15.75" customHeight="1">
      <c r="A67" s="671">
        <v>43994.0</v>
      </c>
      <c r="B67" s="672" t="s">
        <v>5284</v>
      </c>
      <c r="C67" s="673" t="s">
        <v>98</v>
      </c>
      <c r="D67" s="641" t="s">
        <v>5038</v>
      </c>
      <c r="E67" s="669">
        <v>14000.0</v>
      </c>
      <c r="F67" s="641" t="s">
        <v>5285</v>
      </c>
      <c r="G67" s="641" t="s">
        <v>669</v>
      </c>
      <c r="H67" s="641" t="s">
        <v>199</v>
      </c>
      <c r="I67" s="641" t="s">
        <v>669</v>
      </c>
      <c r="J67" s="667">
        <v>44216.0</v>
      </c>
      <c r="K67" s="674" t="s">
        <v>2341</v>
      </c>
      <c r="L67" s="666"/>
      <c r="M67" s="666"/>
      <c r="N67" s="666"/>
      <c r="O67" s="666"/>
      <c r="P67" s="666"/>
      <c r="Q67" s="666"/>
      <c r="R67" s="666"/>
      <c r="S67" s="666"/>
      <c r="T67" s="666"/>
      <c r="U67" s="666"/>
      <c r="V67" s="666"/>
      <c r="W67" s="666"/>
      <c r="X67" s="666"/>
      <c r="Y67" s="666"/>
      <c r="Z67" s="666"/>
      <c r="AA67" s="666"/>
      <c r="AB67" s="666"/>
      <c r="AC67" s="666"/>
      <c r="AD67" s="666"/>
      <c r="AE67" s="666"/>
    </row>
    <row r="68" ht="15.75" customHeight="1">
      <c r="A68" s="667">
        <v>43997.0</v>
      </c>
      <c r="B68" s="668" t="s">
        <v>5126</v>
      </c>
      <c r="C68" s="641" t="s">
        <v>2346</v>
      </c>
      <c r="D68" s="641" t="s">
        <v>694</v>
      </c>
      <c r="E68" s="669">
        <v>0.0</v>
      </c>
      <c r="F68" s="641" t="s">
        <v>4048</v>
      </c>
      <c r="G68" s="667" t="s">
        <v>669</v>
      </c>
      <c r="H68" s="667" t="s">
        <v>199</v>
      </c>
      <c r="I68" s="667" t="s">
        <v>1228</v>
      </c>
      <c r="J68" s="667">
        <v>43453.0</v>
      </c>
      <c r="K68" s="670" t="s">
        <v>2372</v>
      </c>
      <c r="L68" s="666"/>
      <c r="M68" s="666"/>
      <c r="N68" s="666"/>
      <c r="O68" s="666"/>
      <c r="P68" s="666"/>
      <c r="Q68" s="666"/>
      <c r="R68" s="666"/>
      <c r="S68" s="666"/>
      <c r="T68" s="666"/>
      <c r="U68" s="666"/>
      <c r="V68" s="666"/>
      <c r="W68" s="666"/>
      <c r="X68" s="666"/>
      <c r="Y68" s="666"/>
      <c r="Z68" s="666"/>
      <c r="AA68" s="666"/>
      <c r="AB68" s="666"/>
      <c r="AC68" s="666"/>
      <c r="AD68" s="666"/>
      <c r="AE68" s="666"/>
    </row>
    <row r="69" ht="15.75" customHeight="1">
      <c r="A69" s="667">
        <v>43997.0</v>
      </c>
      <c r="B69" s="668" t="s">
        <v>5291</v>
      </c>
      <c r="C69" s="641" t="s">
        <v>2346</v>
      </c>
      <c r="D69" s="641" t="s">
        <v>694</v>
      </c>
      <c r="E69" s="669">
        <v>76468.36</v>
      </c>
      <c r="F69" s="641" t="s">
        <v>5293</v>
      </c>
      <c r="G69" s="667" t="s">
        <v>669</v>
      </c>
      <c r="H69" s="667" t="s">
        <v>199</v>
      </c>
      <c r="I69" s="667" t="s">
        <v>2388</v>
      </c>
      <c r="J69" s="667">
        <v>43853.0</v>
      </c>
      <c r="K69" s="670" t="s">
        <v>2365</v>
      </c>
      <c r="L69" s="666"/>
      <c r="M69" s="666"/>
      <c r="N69" s="666"/>
      <c r="O69" s="666"/>
      <c r="P69" s="666"/>
      <c r="Q69" s="666"/>
      <c r="R69" s="666"/>
      <c r="S69" s="666"/>
      <c r="T69" s="666"/>
      <c r="U69" s="666"/>
      <c r="V69" s="666"/>
      <c r="W69" s="666"/>
      <c r="X69" s="666"/>
      <c r="Y69" s="666"/>
      <c r="Z69" s="666"/>
      <c r="AA69" s="666"/>
      <c r="AB69" s="666"/>
      <c r="AC69" s="666"/>
      <c r="AD69" s="666"/>
      <c r="AE69" s="666"/>
    </row>
    <row r="70" ht="15.75" customHeight="1">
      <c r="A70" s="667">
        <v>43998.0</v>
      </c>
      <c r="B70" s="668" t="s">
        <v>5297</v>
      </c>
      <c r="C70" s="641" t="s">
        <v>2346</v>
      </c>
      <c r="D70" s="641" t="s">
        <v>694</v>
      </c>
      <c r="E70" s="669">
        <v>36013.41</v>
      </c>
      <c r="F70" s="641" t="s">
        <v>4048</v>
      </c>
      <c r="G70" s="667" t="s">
        <v>669</v>
      </c>
      <c r="H70" s="667" t="s">
        <v>199</v>
      </c>
      <c r="I70" s="667" t="s">
        <v>1228</v>
      </c>
      <c r="J70" s="667">
        <v>43997.0</v>
      </c>
      <c r="K70" s="670" t="s">
        <v>2341</v>
      </c>
      <c r="L70" s="666"/>
      <c r="M70" s="666"/>
      <c r="N70" s="666"/>
      <c r="O70" s="666"/>
      <c r="P70" s="666"/>
      <c r="Q70" s="666"/>
      <c r="R70" s="666"/>
      <c r="S70" s="666"/>
      <c r="T70" s="666"/>
      <c r="U70" s="666"/>
      <c r="V70" s="666"/>
      <c r="W70" s="666"/>
      <c r="X70" s="666"/>
      <c r="Y70" s="666"/>
      <c r="Z70" s="666"/>
      <c r="AA70" s="666"/>
      <c r="AB70" s="666"/>
      <c r="AC70" s="666"/>
      <c r="AD70" s="666"/>
      <c r="AE70" s="666"/>
    </row>
    <row r="71" ht="15.75" customHeight="1">
      <c r="A71" s="671">
        <v>43999.0</v>
      </c>
      <c r="B71" s="672" t="s">
        <v>5178</v>
      </c>
      <c r="C71" s="673" t="s">
        <v>2346</v>
      </c>
      <c r="D71" s="641" t="s">
        <v>5038</v>
      </c>
      <c r="E71" s="669">
        <v>100000.0</v>
      </c>
      <c r="F71" s="641" t="s">
        <v>5180</v>
      </c>
      <c r="G71" s="667" t="s">
        <v>669</v>
      </c>
      <c r="H71" s="667" t="s">
        <v>199</v>
      </c>
      <c r="I71" s="667" t="s">
        <v>1228</v>
      </c>
      <c r="J71" s="667">
        <v>43717.0</v>
      </c>
      <c r="K71" s="670" t="s">
        <v>4383</v>
      </c>
      <c r="L71" s="666"/>
      <c r="M71" s="666"/>
      <c r="N71" s="666"/>
      <c r="O71" s="666"/>
      <c r="P71" s="666"/>
      <c r="Q71" s="666"/>
      <c r="R71" s="666"/>
      <c r="S71" s="666"/>
      <c r="T71" s="666"/>
      <c r="U71" s="666"/>
      <c r="V71" s="666"/>
      <c r="W71" s="666"/>
      <c r="X71" s="666"/>
      <c r="Y71" s="666"/>
      <c r="Z71" s="666"/>
      <c r="AA71" s="666"/>
      <c r="AB71" s="666"/>
      <c r="AC71" s="666"/>
      <c r="AD71" s="666"/>
      <c r="AE71" s="666"/>
    </row>
    <row r="72" ht="15.75" customHeight="1">
      <c r="A72" s="671">
        <v>43999.0</v>
      </c>
      <c r="B72" s="672" t="s">
        <v>5172</v>
      </c>
      <c r="C72" s="673" t="s">
        <v>2346</v>
      </c>
      <c r="D72" s="641" t="s">
        <v>5038</v>
      </c>
      <c r="E72" s="669">
        <v>10000.0</v>
      </c>
      <c r="F72" s="641" t="s">
        <v>5173</v>
      </c>
      <c r="G72" s="667" t="s">
        <v>669</v>
      </c>
      <c r="H72" s="667" t="s">
        <v>199</v>
      </c>
      <c r="I72" s="667" t="s">
        <v>1228</v>
      </c>
      <c r="J72" s="667">
        <v>43699.0</v>
      </c>
      <c r="K72" s="670" t="s">
        <v>4383</v>
      </c>
      <c r="L72" s="666"/>
      <c r="M72" s="666"/>
      <c r="N72" s="666"/>
      <c r="O72" s="666"/>
      <c r="P72" s="666"/>
      <c r="Q72" s="666"/>
      <c r="R72" s="666"/>
      <c r="S72" s="666"/>
      <c r="T72" s="666"/>
      <c r="U72" s="666"/>
      <c r="V72" s="666"/>
      <c r="W72" s="666"/>
      <c r="X72" s="666"/>
      <c r="Y72" s="666"/>
      <c r="Z72" s="666"/>
      <c r="AA72" s="666"/>
      <c r="AB72" s="666"/>
      <c r="AC72" s="666"/>
      <c r="AD72" s="666"/>
      <c r="AE72" s="666"/>
    </row>
    <row r="73" ht="15.75" customHeight="1">
      <c r="A73" s="671">
        <v>43999.0</v>
      </c>
      <c r="B73" s="676" t="s">
        <v>5270</v>
      </c>
      <c r="C73" s="673" t="s">
        <v>2346</v>
      </c>
      <c r="D73" s="641" t="s">
        <v>5038</v>
      </c>
      <c r="E73" s="669">
        <v>7000.0</v>
      </c>
      <c r="F73" s="641" t="s">
        <v>1227</v>
      </c>
      <c r="G73" s="667" t="s">
        <v>669</v>
      </c>
      <c r="H73" s="667" t="s">
        <v>199</v>
      </c>
      <c r="I73" s="667" t="s">
        <v>1228</v>
      </c>
      <c r="J73" s="667">
        <v>43564.0</v>
      </c>
      <c r="K73" s="670" t="s">
        <v>2372</v>
      </c>
      <c r="L73" s="666"/>
      <c r="M73" s="666"/>
      <c r="N73" s="666"/>
      <c r="O73" s="666"/>
      <c r="P73" s="666"/>
      <c r="Q73" s="666"/>
      <c r="R73" s="666"/>
      <c r="S73" s="666"/>
      <c r="T73" s="666"/>
      <c r="U73" s="666"/>
      <c r="V73" s="666"/>
      <c r="W73" s="666"/>
      <c r="X73" s="666"/>
      <c r="Y73" s="666"/>
      <c r="Z73" s="666"/>
      <c r="AA73" s="666"/>
      <c r="AB73" s="666"/>
      <c r="AC73" s="666"/>
      <c r="AD73" s="666"/>
      <c r="AE73" s="666"/>
    </row>
    <row r="74" ht="15.75" customHeight="1">
      <c r="A74" s="671">
        <v>44004.0</v>
      </c>
      <c r="B74" s="672" t="s">
        <v>5270</v>
      </c>
      <c r="C74" s="673" t="s">
        <v>2346</v>
      </c>
      <c r="D74" s="641" t="s">
        <v>5038</v>
      </c>
      <c r="E74" s="669">
        <v>9000.0</v>
      </c>
      <c r="F74" s="641" t="s">
        <v>1227</v>
      </c>
      <c r="G74" s="667" t="s">
        <v>669</v>
      </c>
      <c r="H74" s="667" t="s">
        <v>199</v>
      </c>
      <c r="I74" s="667" t="s">
        <v>1228</v>
      </c>
      <c r="J74" s="667">
        <v>43564.0</v>
      </c>
      <c r="K74" s="670" t="s">
        <v>2372</v>
      </c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6"/>
      <c r="AB74" s="666"/>
      <c r="AC74" s="666"/>
      <c r="AD74" s="666"/>
      <c r="AE74" s="666"/>
    </row>
    <row r="75" ht="15.75" customHeight="1">
      <c r="A75" s="671">
        <v>44004.0</v>
      </c>
      <c r="B75" s="676" t="s">
        <v>5116</v>
      </c>
      <c r="C75" s="673" t="s">
        <v>2346</v>
      </c>
      <c r="D75" s="641" t="s">
        <v>5038</v>
      </c>
      <c r="E75" s="669">
        <v>10000.0</v>
      </c>
      <c r="F75" s="641" t="s">
        <v>5117</v>
      </c>
      <c r="G75" s="667" t="s">
        <v>669</v>
      </c>
      <c r="H75" s="667" t="s">
        <v>199</v>
      </c>
      <c r="I75" s="667" t="s">
        <v>2388</v>
      </c>
      <c r="J75" s="667">
        <v>43559.0</v>
      </c>
      <c r="K75" s="670" t="s">
        <v>4383</v>
      </c>
      <c r="L75" s="666"/>
      <c r="M75" s="666"/>
      <c r="N75" s="666"/>
      <c r="O75" s="666"/>
      <c r="P75" s="666"/>
      <c r="Q75" s="666"/>
      <c r="R75" s="666"/>
      <c r="S75" s="666"/>
      <c r="T75" s="666"/>
      <c r="U75" s="666"/>
      <c r="V75" s="666"/>
      <c r="W75" s="666"/>
      <c r="X75" s="666"/>
      <c r="Y75" s="666"/>
      <c r="Z75" s="666"/>
      <c r="AA75" s="666"/>
      <c r="AB75" s="666"/>
      <c r="AC75" s="666"/>
      <c r="AD75" s="666"/>
      <c r="AE75" s="666"/>
    </row>
    <row r="76" ht="15.75" customHeight="1">
      <c r="A76" s="667">
        <v>44007.0</v>
      </c>
      <c r="B76" s="668" t="s">
        <v>5311</v>
      </c>
      <c r="C76" s="641" t="s">
        <v>2346</v>
      </c>
      <c r="D76" s="641" t="s">
        <v>694</v>
      </c>
      <c r="E76" s="669">
        <v>120144.24</v>
      </c>
      <c r="F76" s="641" t="s">
        <v>5312</v>
      </c>
      <c r="G76" s="667" t="s">
        <v>669</v>
      </c>
      <c r="H76" s="667" t="s">
        <v>199</v>
      </c>
      <c r="I76" s="667" t="s">
        <v>2388</v>
      </c>
      <c r="J76" s="667">
        <v>43822.0</v>
      </c>
      <c r="K76" s="670" t="s">
        <v>2341</v>
      </c>
      <c r="L76" s="666"/>
      <c r="M76" s="666"/>
      <c r="N76" s="666"/>
      <c r="O76" s="666"/>
      <c r="P76" s="666"/>
      <c r="Q76" s="666"/>
      <c r="R76" s="666"/>
      <c r="S76" s="666"/>
      <c r="T76" s="666"/>
      <c r="U76" s="666"/>
      <c r="V76" s="666"/>
      <c r="W76" s="666"/>
      <c r="X76" s="666"/>
      <c r="Y76" s="666"/>
      <c r="Z76" s="666"/>
      <c r="AA76" s="666"/>
      <c r="AB76" s="666"/>
      <c r="AC76" s="666"/>
      <c r="AD76" s="666"/>
      <c r="AE76" s="666"/>
    </row>
    <row r="77" ht="15.75" customHeight="1">
      <c r="A77" s="671">
        <v>44007.0</v>
      </c>
      <c r="B77" s="672" t="s">
        <v>5183</v>
      </c>
      <c r="C77" s="673" t="s">
        <v>2346</v>
      </c>
      <c r="D77" s="641" t="s">
        <v>5038</v>
      </c>
      <c r="E77" s="669">
        <v>160000.0</v>
      </c>
      <c r="F77" s="641" t="s">
        <v>1460</v>
      </c>
      <c r="G77" s="667" t="s">
        <v>669</v>
      </c>
      <c r="H77" s="667" t="s">
        <v>199</v>
      </c>
      <c r="I77" s="667" t="s">
        <v>1228</v>
      </c>
      <c r="J77" s="667">
        <v>43894.0</v>
      </c>
      <c r="K77" s="670" t="s">
        <v>2365</v>
      </c>
      <c r="L77" s="666"/>
      <c r="M77" s="666"/>
      <c r="N77" s="666"/>
      <c r="O77" s="666"/>
      <c r="P77" s="666"/>
      <c r="Q77" s="666"/>
      <c r="R77" s="666"/>
      <c r="S77" s="666"/>
      <c r="T77" s="666"/>
      <c r="U77" s="666"/>
      <c r="V77" s="666"/>
      <c r="W77" s="666"/>
      <c r="X77" s="666"/>
      <c r="Y77" s="666"/>
      <c r="Z77" s="666"/>
      <c r="AA77" s="666"/>
      <c r="AB77" s="666"/>
      <c r="AC77" s="666"/>
      <c r="AD77" s="666"/>
      <c r="AE77" s="666"/>
    </row>
    <row r="78" ht="15.75" customHeight="1">
      <c r="A78" s="671">
        <v>44007.0</v>
      </c>
      <c r="B78" s="672" t="s">
        <v>5075</v>
      </c>
      <c r="C78" s="673" t="s">
        <v>2346</v>
      </c>
      <c r="D78" s="641" t="s">
        <v>5038</v>
      </c>
      <c r="E78" s="669">
        <v>2500.0</v>
      </c>
      <c r="F78" s="641" t="s">
        <v>956</v>
      </c>
      <c r="G78" s="667" t="s">
        <v>669</v>
      </c>
      <c r="H78" s="667" t="s">
        <v>199</v>
      </c>
      <c r="I78" s="667" t="s">
        <v>1228</v>
      </c>
      <c r="J78" s="667">
        <v>43605.0</v>
      </c>
      <c r="K78" s="670" t="s">
        <v>2365</v>
      </c>
      <c r="L78" s="666"/>
      <c r="M78" s="666"/>
      <c r="N78" s="666"/>
      <c r="O78" s="666"/>
      <c r="P78" s="666"/>
      <c r="Q78" s="666"/>
      <c r="R78" s="666"/>
      <c r="S78" s="666"/>
      <c r="T78" s="666"/>
      <c r="U78" s="666"/>
      <c r="V78" s="666"/>
      <c r="W78" s="666"/>
      <c r="X78" s="666"/>
      <c r="Y78" s="666"/>
      <c r="Z78" s="666"/>
      <c r="AA78" s="666"/>
      <c r="AB78" s="666"/>
      <c r="AC78" s="666"/>
      <c r="AD78" s="666"/>
      <c r="AE78" s="666"/>
    </row>
    <row r="79" ht="15.75" customHeight="1">
      <c r="A79" s="671">
        <v>44008.0</v>
      </c>
      <c r="B79" s="672" t="s">
        <v>5065</v>
      </c>
      <c r="C79" s="673" t="s">
        <v>2346</v>
      </c>
      <c r="D79" s="641" t="s">
        <v>5038</v>
      </c>
      <c r="E79" s="669">
        <v>11000.0</v>
      </c>
      <c r="F79" s="641" t="s">
        <v>5066</v>
      </c>
      <c r="G79" s="667" t="s">
        <v>669</v>
      </c>
      <c r="H79" s="667" t="s">
        <v>199</v>
      </c>
      <c r="I79" s="667" t="s">
        <v>1228</v>
      </c>
      <c r="J79" s="667">
        <v>43703.0</v>
      </c>
      <c r="K79" s="670" t="s">
        <v>4383</v>
      </c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6"/>
      <c r="AB79" s="666"/>
      <c r="AC79" s="666"/>
      <c r="AD79" s="666"/>
      <c r="AE79" s="666"/>
    </row>
    <row r="80" ht="15.75" customHeight="1">
      <c r="A80" s="667">
        <v>44011.0</v>
      </c>
      <c r="B80" s="668" t="s">
        <v>5284</v>
      </c>
      <c r="C80" s="641" t="s">
        <v>98</v>
      </c>
      <c r="D80" s="641" t="s">
        <v>694</v>
      </c>
      <c r="E80" s="669">
        <v>0.0</v>
      </c>
      <c r="F80" s="641" t="s">
        <v>5285</v>
      </c>
      <c r="G80" s="641" t="s">
        <v>669</v>
      </c>
      <c r="H80" s="641" t="s">
        <v>199</v>
      </c>
      <c r="I80" s="641" t="s">
        <v>669</v>
      </c>
      <c r="J80" s="667">
        <v>44216.0</v>
      </c>
      <c r="K80" s="674" t="s">
        <v>2341</v>
      </c>
      <c r="L80" s="666"/>
      <c r="M80" s="666"/>
      <c r="N80" s="666"/>
      <c r="O80" s="666"/>
      <c r="P80" s="666"/>
      <c r="Q80" s="666"/>
      <c r="R80" s="666"/>
      <c r="S80" s="666"/>
      <c r="T80" s="666"/>
      <c r="U80" s="666"/>
      <c r="V80" s="666"/>
      <c r="W80" s="666"/>
      <c r="X80" s="666"/>
      <c r="Y80" s="666"/>
      <c r="Z80" s="666"/>
      <c r="AA80" s="666"/>
      <c r="AB80" s="666"/>
      <c r="AC80" s="666"/>
      <c r="AD80" s="666"/>
      <c r="AE80" s="666"/>
    </row>
    <row r="81" ht="15.75" customHeight="1">
      <c r="A81" s="671">
        <v>44012.0</v>
      </c>
      <c r="B81" s="672" t="s">
        <v>5336</v>
      </c>
      <c r="C81" s="673" t="s">
        <v>2346</v>
      </c>
      <c r="D81" s="641" t="s">
        <v>5038</v>
      </c>
      <c r="E81" s="669">
        <v>36000.0</v>
      </c>
      <c r="F81" s="641" t="s">
        <v>5002</v>
      </c>
      <c r="G81" s="667" t="s">
        <v>669</v>
      </c>
      <c r="H81" s="667" t="s">
        <v>199</v>
      </c>
      <c r="I81" s="667" t="s">
        <v>1228</v>
      </c>
      <c r="J81" s="667">
        <v>43888.0</v>
      </c>
      <c r="K81" s="670" t="s">
        <v>2341</v>
      </c>
      <c r="L81" s="666"/>
      <c r="M81" s="666"/>
      <c r="N81" s="666"/>
      <c r="O81" s="666"/>
      <c r="P81" s="666"/>
      <c r="Q81" s="666"/>
      <c r="R81" s="666"/>
      <c r="S81" s="666"/>
      <c r="T81" s="666"/>
      <c r="U81" s="666"/>
      <c r="V81" s="666"/>
      <c r="W81" s="666"/>
      <c r="X81" s="666"/>
      <c r="Y81" s="666"/>
      <c r="Z81" s="666"/>
      <c r="AA81" s="666"/>
      <c r="AB81" s="666"/>
      <c r="AC81" s="666"/>
      <c r="AD81" s="666"/>
      <c r="AE81" s="666"/>
    </row>
    <row r="82" ht="15.75" customHeight="1">
      <c r="A82" s="671">
        <v>44014.0</v>
      </c>
      <c r="B82" s="672" t="s">
        <v>5116</v>
      </c>
      <c r="C82" s="673" t="s">
        <v>2346</v>
      </c>
      <c r="D82" s="641" t="s">
        <v>5038</v>
      </c>
      <c r="E82" s="669">
        <v>100000.0</v>
      </c>
      <c r="F82" s="641" t="s">
        <v>5117</v>
      </c>
      <c r="G82" s="667" t="s">
        <v>669</v>
      </c>
      <c r="H82" s="667" t="s">
        <v>199</v>
      </c>
      <c r="I82" s="667" t="s">
        <v>2388</v>
      </c>
      <c r="J82" s="667">
        <v>43559.0</v>
      </c>
      <c r="K82" s="670" t="s">
        <v>4383</v>
      </c>
      <c r="L82" s="666"/>
      <c r="M82" s="666"/>
      <c r="N82" s="666"/>
      <c r="O82" s="666"/>
      <c r="P82" s="666"/>
      <c r="Q82" s="666"/>
      <c r="R82" s="666"/>
      <c r="S82" s="666"/>
      <c r="T82" s="666"/>
      <c r="U82" s="666"/>
      <c r="V82" s="666"/>
      <c r="W82" s="666"/>
      <c r="X82" s="666"/>
      <c r="Y82" s="666"/>
      <c r="Z82" s="666"/>
      <c r="AA82" s="666"/>
      <c r="AB82" s="666"/>
      <c r="AC82" s="666"/>
      <c r="AD82" s="666"/>
      <c r="AE82" s="666"/>
    </row>
    <row r="83" ht="15.75" customHeight="1">
      <c r="A83" s="671">
        <v>44022.0</v>
      </c>
      <c r="B83" s="672" t="s">
        <v>1280</v>
      </c>
      <c r="C83" s="673" t="s">
        <v>202</v>
      </c>
      <c r="D83" s="641" t="s">
        <v>5038</v>
      </c>
      <c r="E83" s="669">
        <v>100000.0</v>
      </c>
      <c r="F83" s="641" t="s">
        <v>1279</v>
      </c>
      <c r="G83" s="667" t="s">
        <v>120</v>
      </c>
      <c r="H83" s="667" t="s">
        <v>199</v>
      </c>
      <c r="I83" s="667" t="s">
        <v>841</v>
      </c>
      <c r="J83" s="667">
        <v>43797.0</v>
      </c>
      <c r="K83" s="670" t="s">
        <v>2365</v>
      </c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66"/>
      <c r="AB83" s="666"/>
      <c r="AC83" s="666"/>
      <c r="AD83" s="666"/>
      <c r="AE83" s="666"/>
    </row>
    <row r="84" ht="15.75" customHeight="1">
      <c r="A84" s="671">
        <v>44022.0</v>
      </c>
      <c r="B84" s="672" t="s">
        <v>5347</v>
      </c>
      <c r="C84" s="673" t="s">
        <v>2346</v>
      </c>
      <c r="D84" s="641" t="s">
        <v>5038</v>
      </c>
      <c r="E84" s="669">
        <v>40078.02</v>
      </c>
      <c r="F84" s="641" t="s">
        <v>5350</v>
      </c>
      <c r="G84" s="667" t="s">
        <v>669</v>
      </c>
      <c r="H84" s="667" t="s">
        <v>199</v>
      </c>
      <c r="I84" s="667" t="s">
        <v>1228</v>
      </c>
      <c r="J84" s="667">
        <v>43840.0</v>
      </c>
      <c r="K84" s="670" t="s">
        <v>2365</v>
      </c>
      <c r="L84" s="666"/>
      <c r="M84" s="666"/>
      <c r="N84" s="666"/>
      <c r="O84" s="666"/>
      <c r="P84" s="666"/>
      <c r="Q84" s="666"/>
      <c r="R84" s="666"/>
      <c r="S84" s="666"/>
      <c r="T84" s="666"/>
      <c r="U84" s="666"/>
      <c r="V84" s="666"/>
      <c r="W84" s="666"/>
      <c r="X84" s="666"/>
      <c r="Y84" s="666"/>
      <c r="Z84" s="666"/>
      <c r="AA84" s="666"/>
      <c r="AB84" s="666"/>
      <c r="AC84" s="666"/>
      <c r="AD84" s="666"/>
      <c r="AE84" s="666"/>
    </row>
    <row r="85" ht="15.75" customHeight="1">
      <c r="A85" s="671">
        <v>44023.0</v>
      </c>
      <c r="B85" s="672" t="s">
        <v>5351</v>
      </c>
      <c r="C85" s="673" t="s">
        <v>2346</v>
      </c>
      <c r="D85" s="641" t="s">
        <v>5038</v>
      </c>
      <c r="E85" s="669">
        <v>46758.86</v>
      </c>
      <c r="F85" s="641" t="s">
        <v>5352</v>
      </c>
      <c r="G85" s="667" t="s">
        <v>669</v>
      </c>
      <c r="H85" s="667" t="s">
        <v>199</v>
      </c>
      <c r="I85" s="667" t="s">
        <v>1228</v>
      </c>
      <c r="J85" s="667">
        <v>43620.0</v>
      </c>
      <c r="K85" s="670" t="s">
        <v>2372</v>
      </c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66"/>
      <c r="AB85" s="666"/>
      <c r="AC85" s="666"/>
      <c r="AD85" s="666"/>
      <c r="AE85" s="666"/>
    </row>
    <row r="86" ht="15.75" customHeight="1">
      <c r="A86" s="667">
        <v>44025.0</v>
      </c>
      <c r="B86" s="668" t="s">
        <v>5354</v>
      </c>
      <c r="C86" s="641" t="s">
        <v>2346</v>
      </c>
      <c r="D86" s="641" t="s">
        <v>694</v>
      </c>
      <c r="E86" s="669">
        <v>0.0</v>
      </c>
      <c r="F86" s="641" t="s">
        <v>5357</v>
      </c>
      <c r="G86" s="667" t="s">
        <v>669</v>
      </c>
      <c r="H86" s="667" t="s">
        <v>199</v>
      </c>
      <c r="I86" s="667" t="s">
        <v>1228</v>
      </c>
      <c r="J86" s="667">
        <v>43538.0</v>
      </c>
      <c r="K86" s="670" t="s">
        <v>4383</v>
      </c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6"/>
      <c r="AB86" s="666"/>
      <c r="AC86" s="666"/>
      <c r="AD86" s="666"/>
      <c r="AE86" s="666"/>
    </row>
    <row r="87" ht="15.75" customHeight="1">
      <c r="A87" s="667">
        <v>44025.0</v>
      </c>
      <c r="B87" s="668" t="s">
        <v>5362</v>
      </c>
      <c r="C87" s="641" t="s">
        <v>2346</v>
      </c>
      <c r="D87" s="641" t="s">
        <v>694</v>
      </c>
      <c r="E87" s="669">
        <v>0.0</v>
      </c>
      <c r="F87" s="641" t="s">
        <v>5357</v>
      </c>
      <c r="G87" s="667" t="s">
        <v>669</v>
      </c>
      <c r="H87" s="667" t="s">
        <v>199</v>
      </c>
      <c r="I87" s="667" t="s">
        <v>1228</v>
      </c>
      <c r="J87" s="667">
        <v>43538.0</v>
      </c>
      <c r="K87" s="670" t="s">
        <v>2372</v>
      </c>
      <c r="L87" s="666"/>
      <c r="M87" s="666"/>
      <c r="N87" s="666"/>
      <c r="O87" s="666"/>
      <c r="P87" s="666"/>
      <c r="Q87" s="666"/>
      <c r="R87" s="666"/>
      <c r="S87" s="666"/>
      <c r="T87" s="666"/>
      <c r="U87" s="666"/>
      <c r="V87" s="666"/>
      <c r="W87" s="666"/>
      <c r="X87" s="666"/>
      <c r="Y87" s="666"/>
      <c r="Z87" s="666"/>
      <c r="AA87" s="666"/>
      <c r="AB87" s="666"/>
      <c r="AC87" s="666"/>
      <c r="AD87" s="666"/>
      <c r="AE87" s="666"/>
    </row>
    <row r="88" ht="15.75" customHeight="1">
      <c r="A88" s="671">
        <v>44029.0</v>
      </c>
      <c r="B88" s="672" t="s">
        <v>5183</v>
      </c>
      <c r="C88" s="673" t="s">
        <v>2346</v>
      </c>
      <c r="D88" s="641" t="s">
        <v>5038</v>
      </c>
      <c r="E88" s="669">
        <v>60000.0</v>
      </c>
      <c r="F88" s="641" t="s">
        <v>1460</v>
      </c>
      <c r="G88" s="667" t="s">
        <v>669</v>
      </c>
      <c r="H88" s="667" t="s">
        <v>199</v>
      </c>
      <c r="I88" s="667" t="s">
        <v>1228</v>
      </c>
      <c r="J88" s="667">
        <v>43894.0</v>
      </c>
      <c r="K88" s="670" t="s">
        <v>2365</v>
      </c>
      <c r="L88" s="666"/>
      <c r="M88" s="666"/>
      <c r="N88" s="666"/>
      <c r="O88" s="666"/>
      <c r="P88" s="666"/>
      <c r="Q88" s="666"/>
      <c r="R88" s="666"/>
      <c r="S88" s="666"/>
      <c r="T88" s="666"/>
      <c r="U88" s="666"/>
      <c r="V88" s="666"/>
      <c r="W88" s="666"/>
      <c r="X88" s="666"/>
      <c r="Y88" s="666"/>
      <c r="Z88" s="666"/>
      <c r="AA88" s="666"/>
      <c r="AB88" s="666"/>
      <c r="AC88" s="666"/>
      <c r="AD88" s="666"/>
      <c r="AE88" s="666"/>
    </row>
    <row r="89" ht="15.75" customHeight="1">
      <c r="A89" s="671">
        <v>44032.0</v>
      </c>
      <c r="B89" s="672" t="s">
        <v>5075</v>
      </c>
      <c r="C89" s="673" t="s">
        <v>2346</v>
      </c>
      <c r="D89" s="641" t="s">
        <v>5038</v>
      </c>
      <c r="E89" s="669">
        <v>211079.19</v>
      </c>
      <c r="F89" s="641" t="s">
        <v>956</v>
      </c>
      <c r="G89" s="667" t="s">
        <v>669</v>
      </c>
      <c r="H89" s="667" t="s">
        <v>199</v>
      </c>
      <c r="I89" s="667" t="s">
        <v>1228</v>
      </c>
      <c r="J89" s="667">
        <v>43605.0</v>
      </c>
      <c r="K89" s="670" t="s">
        <v>2365</v>
      </c>
      <c r="L89" s="666"/>
      <c r="M89" s="666"/>
      <c r="N89" s="666"/>
      <c r="O89" s="666"/>
      <c r="P89" s="666"/>
      <c r="Q89" s="666"/>
      <c r="R89" s="666"/>
      <c r="S89" s="666"/>
      <c r="T89" s="666"/>
      <c r="U89" s="666"/>
      <c r="V89" s="666"/>
      <c r="W89" s="666"/>
      <c r="X89" s="666"/>
      <c r="Y89" s="666"/>
      <c r="Z89" s="666"/>
      <c r="AA89" s="666"/>
      <c r="AB89" s="666"/>
      <c r="AC89" s="666"/>
      <c r="AD89" s="666"/>
      <c r="AE89" s="666"/>
    </row>
    <row r="90" ht="15.75" customHeight="1">
      <c r="A90" s="671">
        <v>44032.0</v>
      </c>
      <c r="B90" s="672" t="s">
        <v>5372</v>
      </c>
      <c r="C90" s="673" t="s">
        <v>2346</v>
      </c>
      <c r="D90" s="641" t="s">
        <v>5038</v>
      </c>
      <c r="E90" s="669">
        <v>7000.0</v>
      </c>
      <c r="F90" s="641" t="s">
        <v>5373</v>
      </c>
      <c r="G90" s="667" t="s">
        <v>669</v>
      </c>
      <c r="H90" s="667" t="s">
        <v>199</v>
      </c>
      <c r="I90" s="667" t="s">
        <v>1228</v>
      </c>
      <c r="J90" s="667">
        <v>43732.0</v>
      </c>
      <c r="K90" s="670" t="s">
        <v>4383</v>
      </c>
      <c r="L90" s="666"/>
      <c r="M90" s="666"/>
      <c r="N90" s="666"/>
      <c r="O90" s="666"/>
      <c r="P90" s="666"/>
      <c r="Q90" s="666"/>
      <c r="R90" s="666"/>
      <c r="S90" s="666"/>
      <c r="T90" s="666"/>
      <c r="U90" s="666"/>
      <c r="V90" s="666"/>
      <c r="W90" s="666"/>
      <c r="X90" s="666"/>
      <c r="Y90" s="666"/>
      <c r="Z90" s="666"/>
      <c r="AA90" s="666"/>
      <c r="AB90" s="666"/>
      <c r="AC90" s="666"/>
      <c r="AD90" s="666"/>
      <c r="AE90" s="666"/>
    </row>
    <row r="91" ht="15.75" customHeight="1">
      <c r="A91" s="671">
        <v>44032.0</v>
      </c>
      <c r="B91" s="672" t="s">
        <v>5376</v>
      </c>
      <c r="C91" s="673" t="s">
        <v>2346</v>
      </c>
      <c r="D91" s="641" t="s">
        <v>5038</v>
      </c>
      <c r="E91" s="669">
        <v>14000.0</v>
      </c>
      <c r="F91" s="641" t="s">
        <v>5379</v>
      </c>
      <c r="G91" s="667" t="s">
        <v>669</v>
      </c>
      <c r="H91" s="667" t="s">
        <v>199</v>
      </c>
      <c r="I91" s="667" t="s">
        <v>1228</v>
      </c>
      <c r="J91" s="667">
        <v>43620.0</v>
      </c>
      <c r="K91" s="670" t="s">
        <v>2341</v>
      </c>
      <c r="L91" s="666"/>
      <c r="M91" s="666"/>
      <c r="N91" s="666"/>
      <c r="O91" s="666"/>
      <c r="P91" s="666"/>
      <c r="Q91" s="666"/>
      <c r="R91" s="666"/>
      <c r="S91" s="666"/>
      <c r="T91" s="666"/>
      <c r="U91" s="666"/>
      <c r="V91" s="666"/>
      <c r="W91" s="666"/>
      <c r="X91" s="666"/>
      <c r="Y91" s="666"/>
      <c r="Z91" s="666"/>
      <c r="AA91" s="666"/>
      <c r="AB91" s="666"/>
      <c r="AC91" s="666"/>
      <c r="AD91" s="666"/>
      <c r="AE91" s="666"/>
    </row>
    <row r="92" ht="15.75" customHeight="1">
      <c r="A92" s="671">
        <v>44032.0</v>
      </c>
      <c r="B92" s="672" t="s">
        <v>5385</v>
      </c>
      <c r="C92" s="673" t="s">
        <v>98</v>
      </c>
      <c r="D92" s="641" t="s">
        <v>5038</v>
      </c>
      <c r="E92" s="669">
        <v>10000.0</v>
      </c>
      <c r="F92" s="641" t="s">
        <v>5379</v>
      </c>
      <c r="G92" s="641" t="s">
        <v>669</v>
      </c>
      <c r="H92" s="641" t="s">
        <v>199</v>
      </c>
      <c r="I92" s="641" t="s">
        <v>669</v>
      </c>
      <c r="J92" s="667">
        <v>43700.0</v>
      </c>
      <c r="K92" s="674" t="s">
        <v>2341</v>
      </c>
      <c r="L92" s="666"/>
      <c r="M92" s="666"/>
      <c r="N92" s="666"/>
      <c r="O92" s="666"/>
      <c r="P92" s="666"/>
      <c r="Q92" s="666"/>
      <c r="R92" s="666"/>
      <c r="S92" s="666"/>
      <c r="T92" s="666"/>
      <c r="U92" s="666"/>
      <c r="V92" s="666"/>
      <c r="W92" s="666"/>
      <c r="X92" s="666"/>
      <c r="Y92" s="666"/>
      <c r="Z92" s="666"/>
      <c r="AA92" s="666"/>
      <c r="AB92" s="666"/>
      <c r="AC92" s="666"/>
      <c r="AD92" s="666"/>
      <c r="AE92" s="666"/>
    </row>
    <row r="93" ht="15.75" customHeight="1">
      <c r="A93" s="671">
        <v>44033.0</v>
      </c>
      <c r="B93" s="676" t="s">
        <v>5189</v>
      </c>
      <c r="C93" s="673" t="s">
        <v>2346</v>
      </c>
      <c r="D93" s="641" t="s">
        <v>427</v>
      </c>
      <c r="E93" s="669">
        <v>30000.0</v>
      </c>
      <c r="F93" s="641" t="s">
        <v>4333</v>
      </c>
      <c r="G93" s="667" t="s">
        <v>669</v>
      </c>
      <c r="H93" s="667" t="s">
        <v>199</v>
      </c>
      <c r="I93" s="667" t="s">
        <v>2388</v>
      </c>
      <c r="J93" s="667">
        <v>43913.0</v>
      </c>
      <c r="K93" s="670" t="s">
        <v>2341</v>
      </c>
      <c r="L93" s="666"/>
      <c r="M93" s="666"/>
      <c r="N93" s="666"/>
      <c r="O93" s="666"/>
      <c r="P93" s="666"/>
      <c r="Q93" s="666"/>
      <c r="R93" s="666"/>
      <c r="S93" s="666"/>
      <c r="T93" s="666"/>
      <c r="U93" s="666"/>
      <c r="V93" s="666"/>
      <c r="W93" s="666"/>
      <c r="X93" s="666"/>
      <c r="Y93" s="666"/>
      <c r="Z93" s="666"/>
      <c r="AA93" s="666"/>
      <c r="AB93" s="666"/>
      <c r="AC93" s="666"/>
      <c r="AD93" s="666"/>
      <c r="AE93" s="666"/>
    </row>
    <row r="94" ht="15.75" customHeight="1">
      <c r="A94" s="671">
        <v>44034.0</v>
      </c>
      <c r="B94" s="672" t="s">
        <v>5389</v>
      </c>
      <c r="C94" s="673" t="s">
        <v>2346</v>
      </c>
      <c r="D94" s="641" t="s">
        <v>427</v>
      </c>
      <c r="E94" s="669">
        <v>20000.0</v>
      </c>
      <c r="F94" s="641" t="s">
        <v>5390</v>
      </c>
      <c r="G94" s="667" t="s">
        <v>1096</v>
      </c>
      <c r="H94" s="667" t="s">
        <v>199</v>
      </c>
      <c r="I94" s="667" t="s">
        <v>1096</v>
      </c>
      <c r="J94" s="667">
        <v>43441.0</v>
      </c>
      <c r="K94" s="670" t="s">
        <v>2372</v>
      </c>
      <c r="L94" s="666"/>
      <c r="M94" s="666"/>
      <c r="N94" s="666"/>
      <c r="O94" s="666"/>
      <c r="P94" s="666"/>
      <c r="Q94" s="666"/>
      <c r="R94" s="666"/>
      <c r="S94" s="666"/>
      <c r="T94" s="666"/>
      <c r="U94" s="666"/>
      <c r="V94" s="666"/>
      <c r="W94" s="666"/>
      <c r="X94" s="666"/>
      <c r="Y94" s="666"/>
      <c r="Z94" s="666"/>
      <c r="AA94" s="666"/>
      <c r="AB94" s="666"/>
      <c r="AC94" s="666"/>
      <c r="AD94" s="666"/>
      <c r="AE94" s="666"/>
    </row>
    <row r="95" ht="15.75" customHeight="1">
      <c r="A95" s="671">
        <v>44036.0</v>
      </c>
      <c r="B95" s="672" t="s">
        <v>5376</v>
      </c>
      <c r="C95" s="673" t="s">
        <v>2346</v>
      </c>
      <c r="D95" s="641" t="s">
        <v>5038</v>
      </c>
      <c r="E95" s="669">
        <v>3500.0</v>
      </c>
      <c r="F95" s="641" t="s">
        <v>5379</v>
      </c>
      <c r="G95" s="667" t="s">
        <v>669</v>
      </c>
      <c r="H95" s="667" t="s">
        <v>199</v>
      </c>
      <c r="I95" s="667" t="s">
        <v>1228</v>
      </c>
      <c r="J95" s="667">
        <v>43620.0</v>
      </c>
      <c r="K95" s="670" t="s">
        <v>2341</v>
      </c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6"/>
      <c r="AB95" s="666"/>
      <c r="AC95" s="666"/>
      <c r="AD95" s="666"/>
      <c r="AE95" s="666"/>
    </row>
    <row r="96" ht="15.75" customHeight="1">
      <c r="A96" s="671">
        <v>44036.0</v>
      </c>
      <c r="B96" s="676" t="s">
        <v>5351</v>
      </c>
      <c r="C96" s="673" t="s">
        <v>2346</v>
      </c>
      <c r="D96" s="641" t="s">
        <v>427</v>
      </c>
      <c r="E96" s="669">
        <v>7000.0</v>
      </c>
      <c r="F96" s="641" t="s">
        <v>5352</v>
      </c>
      <c r="G96" s="667" t="s">
        <v>669</v>
      </c>
      <c r="H96" s="667" t="s">
        <v>199</v>
      </c>
      <c r="I96" s="667" t="s">
        <v>1228</v>
      </c>
      <c r="J96" s="667">
        <v>43620.0</v>
      </c>
      <c r="K96" s="670" t="s">
        <v>2372</v>
      </c>
      <c r="L96" s="666"/>
      <c r="M96" s="666"/>
      <c r="N96" s="666"/>
      <c r="O96" s="666"/>
      <c r="P96" s="666"/>
      <c r="Q96" s="666"/>
      <c r="R96" s="666"/>
      <c r="S96" s="666"/>
      <c r="T96" s="666"/>
      <c r="U96" s="666"/>
      <c r="V96" s="666"/>
      <c r="W96" s="666"/>
      <c r="X96" s="666"/>
      <c r="Y96" s="666"/>
      <c r="Z96" s="666"/>
      <c r="AA96" s="666"/>
      <c r="AB96" s="666"/>
      <c r="AC96" s="666"/>
      <c r="AD96" s="666"/>
      <c r="AE96" s="666"/>
    </row>
    <row r="97" ht="15.75" customHeight="1">
      <c r="A97" s="671">
        <v>44039.0</v>
      </c>
      <c r="B97" s="672" t="s">
        <v>5347</v>
      </c>
      <c r="C97" s="673" t="s">
        <v>2346</v>
      </c>
      <c r="D97" s="641" t="s">
        <v>5038</v>
      </c>
      <c r="E97" s="669">
        <v>20000.0</v>
      </c>
      <c r="F97" s="641" t="s">
        <v>5350</v>
      </c>
      <c r="G97" s="667" t="s">
        <v>669</v>
      </c>
      <c r="H97" s="667" t="s">
        <v>199</v>
      </c>
      <c r="I97" s="667" t="s">
        <v>1228</v>
      </c>
      <c r="J97" s="667">
        <v>43840.0</v>
      </c>
      <c r="K97" s="670" t="s">
        <v>2365</v>
      </c>
      <c r="L97" s="666"/>
      <c r="M97" s="666"/>
      <c r="N97" s="666"/>
      <c r="O97" s="666"/>
      <c r="P97" s="666"/>
      <c r="Q97" s="666"/>
      <c r="R97" s="666"/>
      <c r="S97" s="666"/>
      <c r="T97" s="666"/>
      <c r="U97" s="666"/>
      <c r="V97" s="666"/>
      <c r="W97" s="666"/>
      <c r="X97" s="666"/>
      <c r="Y97" s="666"/>
      <c r="Z97" s="666"/>
      <c r="AA97" s="666"/>
      <c r="AB97" s="666"/>
      <c r="AC97" s="666"/>
      <c r="AD97" s="666"/>
      <c r="AE97" s="666"/>
    </row>
    <row r="98" ht="15.75" customHeight="1">
      <c r="A98" s="671">
        <v>44039.0</v>
      </c>
      <c r="B98" s="676" t="s">
        <v>5075</v>
      </c>
      <c r="C98" s="673" t="s">
        <v>2346</v>
      </c>
      <c r="D98" s="641" t="s">
        <v>5038</v>
      </c>
      <c r="E98" s="669">
        <v>5000.0</v>
      </c>
      <c r="F98" s="641" t="s">
        <v>956</v>
      </c>
      <c r="G98" s="667" t="s">
        <v>669</v>
      </c>
      <c r="H98" s="667" t="s">
        <v>199</v>
      </c>
      <c r="I98" s="667" t="s">
        <v>1228</v>
      </c>
      <c r="J98" s="667">
        <v>43605.0</v>
      </c>
      <c r="K98" s="670" t="s">
        <v>2365</v>
      </c>
      <c r="L98" s="666"/>
      <c r="M98" s="666"/>
      <c r="N98" s="666"/>
      <c r="O98" s="666"/>
      <c r="P98" s="666"/>
      <c r="Q98" s="666"/>
      <c r="R98" s="666"/>
      <c r="S98" s="666"/>
      <c r="T98" s="666"/>
      <c r="U98" s="666"/>
      <c r="V98" s="666"/>
      <c r="W98" s="666"/>
      <c r="X98" s="666"/>
      <c r="Y98" s="666"/>
      <c r="Z98" s="666"/>
      <c r="AA98" s="666"/>
      <c r="AB98" s="666"/>
      <c r="AC98" s="666"/>
      <c r="AD98" s="666"/>
      <c r="AE98" s="666"/>
    </row>
    <row r="99" ht="15.75" customHeight="1">
      <c r="A99" s="671">
        <v>44040.0</v>
      </c>
      <c r="B99" s="672" t="s">
        <v>5065</v>
      </c>
      <c r="C99" s="673" t="s">
        <v>2346</v>
      </c>
      <c r="D99" s="641" t="s">
        <v>5038</v>
      </c>
      <c r="E99" s="669">
        <v>10000.0</v>
      </c>
      <c r="F99" s="641" t="s">
        <v>5066</v>
      </c>
      <c r="G99" s="667" t="s">
        <v>669</v>
      </c>
      <c r="H99" s="667" t="s">
        <v>199</v>
      </c>
      <c r="I99" s="667" t="s">
        <v>1228</v>
      </c>
      <c r="J99" s="667">
        <v>43703.0</v>
      </c>
      <c r="K99" s="670" t="s">
        <v>4383</v>
      </c>
      <c r="L99" s="666"/>
      <c r="M99" s="666"/>
      <c r="N99" s="666"/>
      <c r="O99" s="666"/>
      <c r="P99" s="666"/>
      <c r="Q99" s="666"/>
      <c r="R99" s="666"/>
      <c r="S99" s="666"/>
      <c r="T99" s="666"/>
      <c r="U99" s="666"/>
      <c r="V99" s="666"/>
      <c r="W99" s="666"/>
      <c r="X99" s="666"/>
      <c r="Y99" s="666"/>
      <c r="Z99" s="666"/>
      <c r="AA99" s="666"/>
      <c r="AB99" s="666"/>
      <c r="AC99" s="666"/>
      <c r="AD99" s="666"/>
      <c r="AE99" s="666"/>
    </row>
    <row r="100" ht="15.75" customHeight="1">
      <c r="A100" s="667">
        <v>44041.0</v>
      </c>
      <c r="B100" s="668" t="s">
        <v>5408</v>
      </c>
      <c r="C100" s="641" t="s">
        <v>2346</v>
      </c>
      <c r="D100" s="641" t="s">
        <v>694</v>
      </c>
      <c r="E100" s="669">
        <v>0.0</v>
      </c>
      <c r="F100" s="641" t="s">
        <v>5409</v>
      </c>
      <c r="G100" s="667"/>
      <c r="H100" s="667"/>
      <c r="I100" s="667"/>
      <c r="J100" s="667"/>
      <c r="K100" s="670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66"/>
      <c r="AB100" s="666"/>
      <c r="AC100" s="666"/>
      <c r="AD100" s="666"/>
      <c r="AE100" s="666"/>
    </row>
    <row r="101" ht="15.75" customHeight="1">
      <c r="A101" s="671">
        <v>44041.0</v>
      </c>
      <c r="B101" s="676" t="s">
        <v>5336</v>
      </c>
      <c r="C101" s="673" t="s">
        <v>2346</v>
      </c>
      <c r="D101" s="641" t="s">
        <v>5038</v>
      </c>
      <c r="E101" s="669">
        <v>151239.98</v>
      </c>
      <c r="F101" s="641" t="s">
        <v>5002</v>
      </c>
      <c r="G101" s="667" t="s">
        <v>669</v>
      </c>
      <c r="H101" s="667" t="s">
        <v>199</v>
      </c>
      <c r="I101" s="667" t="s">
        <v>1228</v>
      </c>
      <c r="J101" s="667">
        <v>43888.0</v>
      </c>
      <c r="K101" s="670" t="s">
        <v>2341</v>
      </c>
      <c r="L101" s="666"/>
      <c r="M101" s="666"/>
      <c r="N101" s="666"/>
      <c r="O101" s="666"/>
      <c r="P101" s="666"/>
      <c r="Q101" s="666"/>
      <c r="R101" s="666"/>
      <c r="S101" s="666"/>
      <c r="T101" s="666"/>
      <c r="U101" s="666"/>
      <c r="V101" s="666"/>
      <c r="W101" s="666"/>
      <c r="X101" s="666"/>
      <c r="Y101" s="666"/>
      <c r="Z101" s="666"/>
      <c r="AA101" s="666"/>
      <c r="AB101" s="666"/>
      <c r="AC101" s="666"/>
      <c r="AD101" s="666"/>
      <c r="AE101" s="666"/>
    </row>
    <row r="102" ht="15.75" customHeight="1">
      <c r="A102" s="671">
        <v>44041.0</v>
      </c>
      <c r="B102" s="672" t="s">
        <v>410</v>
      </c>
      <c r="C102" s="673" t="s">
        <v>202</v>
      </c>
      <c r="D102" s="641" t="s">
        <v>5038</v>
      </c>
      <c r="E102" s="669">
        <v>10000.0</v>
      </c>
      <c r="F102" s="641" t="s">
        <v>409</v>
      </c>
      <c r="G102" s="667" t="s">
        <v>120</v>
      </c>
      <c r="H102" s="667" t="s">
        <v>199</v>
      </c>
      <c r="I102" s="667" t="s">
        <v>439</v>
      </c>
      <c r="J102" s="667">
        <v>43934.0</v>
      </c>
      <c r="K102" s="670" t="s">
        <v>2319</v>
      </c>
      <c r="L102" s="666"/>
      <c r="M102" s="666"/>
      <c r="N102" s="666"/>
      <c r="O102" s="666"/>
      <c r="P102" s="666"/>
      <c r="Q102" s="666"/>
      <c r="R102" s="666"/>
      <c r="S102" s="666"/>
      <c r="T102" s="666"/>
      <c r="U102" s="666"/>
      <c r="V102" s="666"/>
      <c r="W102" s="666"/>
      <c r="X102" s="666"/>
      <c r="Y102" s="666"/>
      <c r="Z102" s="666"/>
      <c r="AA102" s="666"/>
      <c r="AB102" s="666"/>
      <c r="AC102" s="666"/>
      <c r="AD102" s="666"/>
      <c r="AE102" s="666"/>
    </row>
    <row r="103" ht="15.75" customHeight="1">
      <c r="A103" s="667">
        <v>44042.0</v>
      </c>
      <c r="B103" s="688" t="s">
        <v>5419</v>
      </c>
      <c r="C103" s="641" t="s">
        <v>98</v>
      </c>
      <c r="D103" s="641" t="s">
        <v>694</v>
      </c>
      <c r="E103" s="669">
        <v>0.0</v>
      </c>
      <c r="F103" s="641" t="s">
        <v>3465</v>
      </c>
      <c r="G103" s="641" t="s">
        <v>669</v>
      </c>
      <c r="H103" s="641" t="s">
        <v>199</v>
      </c>
      <c r="I103" s="641" t="s">
        <v>669</v>
      </c>
      <c r="J103" s="667">
        <v>43838.0</v>
      </c>
      <c r="K103" s="674" t="s">
        <v>3470</v>
      </c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6"/>
      <c r="AB103" s="666"/>
      <c r="AC103" s="666"/>
      <c r="AD103" s="666"/>
      <c r="AE103" s="666"/>
    </row>
    <row r="104" ht="15.75" customHeight="1">
      <c r="A104" s="671">
        <v>44042.0</v>
      </c>
      <c r="B104" s="672" t="s">
        <v>1221</v>
      </c>
      <c r="C104" s="673" t="s">
        <v>202</v>
      </c>
      <c r="D104" s="641" t="s">
        <v>5038</v>
      </c>
      <c r="E104" s="669">
        <v>10000.0</v>
      </c>
      <c r="F104" s="641" t="s">
        <v>1220</v>
      </c>
      <c r="G104" s="667" t="s">
        <v>120</v>
      </c>
      <c r="H104" s="667" t="s">
        <v>199</v>
      </c>
      <c r="I104" s="667" t="s">
        <v>439</v>
      </c>
      <c r="J104" s="667">
        <v>43635.0</v>
      </c>
      <c r="K104" s="670" t="s">
        <v>4383</v>
      </c>
      <c r="L104" s="666"/>
      <c r="M104" s="666"/>
      <c r="N104" s="666"/>
      <c r="O104" s="666"/>
      <c r="P104" s="666"/>
      <c r="Q104" s="666"/>
      <c r="R104" s="666"/>
      <c r="S104" s="666"/>
      <c r="T104" s="666"/>
      <c r="U104" s="666"/>
      <c r="V104" s="666"/>
      <c r="W104" s="666"/>
      <c r="X104" s="666"/>
      <c r="Y104" s="666"/>
      <c r="Z104" s="666"/>
      <c r="AA104" s="666"/>
      <c r="AB104" s="666"/>
      <c r="AC104" s="666"/>
      <c r="AD104" s="666"/>
      <c r="AE104" s="666"/>
    </row>
    <row r="105" ht="15.75" customHeight="1">
      <c r="A105" s="667">
        <v>44044.0</v>
      </c>
      <c r="B105" s="668" t="s">
        <v>5428</v>
      </c>
      <c r="C105" s="641" t="s">
        <v>2346</v>
      </c>
      <c r="D105" s="641" t="s">
        <v>694</v>
      </c>
      <c r="E105" s="669">
        <v>151239.98</v>
      </c>
      <c r="F105" s="641" t="s">
        <v>5429</v>
      </c>
      <c r="G105" s="667" t="s">
        <v>669</v>
      </c>
      <c r="H105" s="667" t="s">
        <v>199</v>
      </c>
      <c r="I105" s="667" t="s">
        <v>1228</v>
      </c>
      <c r="J105" s="667">
        <v>43668.0</v>
      </c>
      <c r="K105" s="670" t="s">
        <v>4383</v>
      </c>
      <c r="L105" s="666"/>
      <c r="M105" s="666"/>
      <c r="N105" s="666"/>
      <c r="O105" s="666"/>
      <c r="P105" s="666"/>
      <c r="Q105" s="666"/>
      <c r="R105" s="666"/>
      <c r="S105" s="666"/>
      <c r="T105" s="666"/>
      <c r="U105" s="666"/>
      <c r="V105" s="666"/>
      <c r="W105" s="666"/>
      <c r="X105" s="666"/>
      <c r="Y105" s="666"/>
      <c r="Z105" s="666"/>
      <c r="AA105" s="666"/>
      <c r="AB105" s="666"/>
      <c r="AC105" s="666"/>
      <c r="AD105" s="666"/>
      <c r="AE105" s="666"/>
    </row>
    <row r="106" ht="15.75" customHeight="1">
      <c r="A106" s="671">
        <v>44046.0</v>
      </c>
      <c r="B106" s="672" t="s">
        <v>5116</v>
      </c>
      <c r="C106" s="673" t="s">
        <v>2346</v>
      </c>
      <c r="D106" s="641" t="s">
        <v>5038</v>
      </c>
      <c r="E106" s="669">
        <v>3000.0</v>
      </c>
      <c r="F106" s="641" t="s">
        <v>5117</v>
      </c>
      <c r="G106" s="667" t="s">
        <v>669</v>
      </c>
      <c r="H106" s="667" t="s">
        <v>199</v>
      </c>
      <c r="I106" s="667" t="s">
        <v>2388</v>
      </c>
      <c r="J106" s="667">
        <v>43559.0</v>
      </c>
      <c r="K106" s="670" t="s">
        <v>4383</v>
      </c>
      <c r="L106" s="666"/>
      <c r="M106" s="666"/>
      <c r="N106" s="666"/>
      <c r="O106" s="666"/>
      <c r="P106" s="666"/>
      <c r="Q106" s="666"/>
      <c r="R106" s="666"/>
      <c r="S106" s="666"/>
      <c r="T106" s="666"/>
      <c r="U106" s="666"/>
      <c r="V106" s="666"/>
      <c r="W106" s="666"/>
      <c r="X106" s="666"/>
      <c r="Y106" s="666"/>
      <c r="Z106" s="666"/>
      <c r="AA106" s="666"/>
      <c r="AB106" s="666"/>
      <c r="AC106" s="666"/>
      <c r="AD106" s="666"/>
      <c r="AE106" s="666"/>
    </row>
    <row r="107" ht="15.75" customHeight="1">
      <c r="A107" s="671">
        <v>44046.0</v>
      </c>
      <c r="B107" s="672" t="s">
        <v>5037</v>
      </c>
      <c r="C107" s="673" t="s">
        <v>2346</v>
      </c>
      <c r="D107" s="641" t="s">
        <v>5038</v>
      </c>
      <c r="E107" s="669">
        <v>6500.0</v>
      </c>
      <c r="F107" s="641" t="s">
        <v>5039</v>
      </c>
      <c r="G107" s="667" t="s">
        <v>669</v>
      </c>
      <c r="H107" s="667" t="s">
        <v>199</v>
      </c>
      <c r="I107" s="667" t="s">
        <v>1228</v>
      </c>
      <c r="J107" s="667">
        <v>43675.0</v>
      </c>
      <c r="K107" s="670" t="s">
        <v>4383</v>
      </c>
      <c r="L107" s="666"/>
      <c r="M107" s="666"/>
      <c r="N107" s="666"/>
      <c r="O107" s="666"/>
      <c r="P107" s="666"/>
      <c r="Q107" s="666"/>
      <c r="R107" s="666"/>
      <c r="S107" s="666"/>
      <c r="T107" s="666"/>
      <c r="U107" s="666"/>
      <c r="V107" s="666"/>
      <c r="W107" s="666"/>
      <c r="X107" s="666"/>
      <c r="Y107" s="666"/>
      <c r="Z107" s="666"/>
      <c r="AA107" s="666"/>
      <c r="AB107" s="666"/>
      <c r="AC107" s="666"/>
      <c r="AD107" s="666"/>
      <c r="AE107" s="666"/>
    </row>
    <row r="108" ht="15.75" customHeight="1">
      <c r="A108" s="671">
        <v>44048.0</v>
      </c>
      <c r="B108" s="676" t="s">
        <v>5085</v>
      </c>
      <c r="C108" s="673" t="s">
        <v>98</v>
      </c>
      <c r="D108" s="641" t="s">
        <v>5038</v>
      </c>
      <c r="E108" s="669">
        <v>10000.0</v>
      </c>
      <c r="F108" s="641" t="s">
        <v>5088</v>
      </c>
      <c r="G108" s="641" t="s">
        <v>669</v>
      </c>
      <c r="H108" s="641" t="s">
        <v>199</v>
      </c>
      <c r="I108" s="641" t="s">
        <v>669</v>
      </c>
      <c r="J108" s="667">
        <v>44252.0</v>
      </c>
      <c r="K108" s="674" t="s">
        <v>2365</v>
      </c>
      <c r="L108" s="666"/>
      <c r="M108" s="666"/>
      <c r="N108" s="666"/>
      <c r="O108" s="666"/>
      <c r="P108" s="666"/>
      <c r="Q108" s="666"/>
      <c r="R108" s="666"/>
      <c r="S108" s="666"/>
      <c r="T108" s="666"/>
      <c r="U108" s="666"/>
      <c r="V108" s="666"/>
      <c r="W108" s="666"/>
      <c r="X108" s="666"/>
      <c r="Y108" s="666"/>
      <c r="Z108" s="666"/>
      <c r="AA108" s="666"/>
      <c r="AB108" s="666"/>
      <c r="AC108" s="666"/>
      <c r="AD108" s="666"/>
      <c r="AE108" s="666"/>
    </row>
    <row r="109" ht="15.75" customHeight="1">
      <c r="A109" s="671">
        <v>44048.0</v>
      </c>
      <c r="B109" s="672" t="s">
        <v>5172</v>
      </c>
      <c r="C109" s="673" t="s">
        <v>2346</v>
      </c>
      <c r="D109" s="641" t="s">
        <v>5038</v>
      </c>
      <c r="E109" s="669">
        <v>33000.0</v>
      </c>
      <c r="F109" s="641" t="s">
        <v>5173</v>
      </c>
      <c r="G109" s="667" t="s">
        <v>669</v>
      </c>
      <c r="H109" s="667" t="s">
        <v>199</v>
      </c>
      <c r="I109" s="667" t="s">
        <v>1228</v>
      </c>
      <c r="J109" s="667">
        <v>43699.0</v>
      </c>
      <c r="K109" s="670" t="s">
        <v>4383</v>
      </c>
      <c r="L109" s="666"/>
      <c r="M109" s="666"/>
      <c r="N109" s="666"/>
      <c r="O109" s="666"/>
      <c r="P109" s="666"/>
      <c r="Q109" s="666"/>
      <c r="R109" s="666"/>
      <c r="S109" s="666"/>
      <c r="T109" s="666"/>
      <c r="U109" s="666"/>
      <c r="V109" s="666"/>
      <c r="W109" s="666"/>
      <c r="X109" s="666"/>
      <c r="Y109" s="666"/>
      <c r="Z109" s="666"/>
      <c r="AA109" s="666"/>
      <c r="AB109" s="666"/>
      <c r="AC109" s="666"/>
      <c r="AD109" s="666"/>
      <c r="AE109" s="666"/>
    </row>
    <row r="110" ht="15.75" customHeight="1">
      <c r="A110" s="671">
        <v>44049.0</v>
      </c>
      <c r="B110" s="672" t="s">
        <v>5428</v>
      </c>
      <c r="C110" s="673" t="s">
        <v>2346</v>
      </c>
      <c r="D110" s="641" t="s">
        <v>427</v>
      </c>
      <c r="E110" s="669">
        <v>5000.0</v>
      </c>
      <c r="F110" s="641" t="s">
        <v>5429</v>
      </c>
      <c r="G110" s="667" t="s">
        <v>669</v>
      </c>
      <c r="H110" s="667" t="s">
        <v>199</v>
      </c>
      <c r="I110" s="667" t="s">
        <v>1228</v>
      </c>
      <c r="J110" s="667">
        <v>43668.0</v>
      </c>
      <c r="K110" s="670" t="s">
        <v>4383</v>
      </c>
      <c r="L110" s="666"/>
      <c r="M110" s="666"/>
      <c r="N110" s="666"/>
      <c r="O110" s="666"/>
      <c r="P110" s="666"/>
      <c r="Q110" s="666"/>
      <c r="R110" s="666"/>
      <c r="S110" s="666"/>
      <c r="T110" s="666"/>
      <c r="U110" s="666"/>
      <c r="V110" s="666"/>
      <c r="W110" s="666"/>
      <c r="X110" s="666"/>
      <c r="Y110" s="666"/>
      <c r="Z110" s="666"/>
      <c r="AA110" s="666"/>
      <c r="AB110" s="666"/>
      <c r="AC110" s="666"/>
      <c r="AD110" s="666"/>
      <c r="AE110" s="666"/>
    </row>
    <row r="111" ht="15.75" customHeight="1">
      <c r="A111" s="671">
        <v>44049.0</v>
      </c>
      <c r="B111" s="672" t="s">
        <v>5336</v>
      </c>
      <c r="C111" s="673" t="s">
        <v>2346</v>
      </c>
      <c r="D111" s="641" t="s">
        <v>5038</v>
      </c>
      <c r="E111" s="669">
        <v>99216.1</v>
      </c>
      <c r="F111" s="641" t="s">
        <v>5002</v>
      </c>
      <c r="G111" s="667" t="s">
        <v>669</v>
      </c>
      <c r="H111" s="667" t="s">
        <v>199</v>
      </c>
      <c r="I111" s="667" t="s">
        <v>1228</v>
      </c>
      <c r="J111" s="667">
        <v>43888.0</v>
      </c>
      <c r="K111" s="670" t="s">
        <v>2341</v>
      </c>
      <c r="L111" s="666"/>
      <c r="M111" s="666"/>
      <c r="N111" s="666"/>
      <c r="O111" s="666"/>
      <c r="P111" s="666"/>
      <c r="Q111" s="666"/>
      <c r="R111" s="666"/>
      <c r="S111" s="666"/>
      <c r="T111" s="666"/>
      <c r="U111" s="666"/>
      <c r="V111" s="666"/>
      <c r="W111" s="666"/>
      <c r="X111" s="666"/>
      <c r="Y111" s="666"/>
      <c r="Z111" s="666"/>
      <c r="AA111" s="666"/>
      <c r="AB111" s="666"/>
      <c r="AC111" s="666"/>
      <c r="AD111" s="666"/>
      <c r="AE111" s="666"/>
    </row>
    <row r="112" ht="15.75" customHeight="1">
      <c r="A112" s="671">
        <v>44050.0</v>
      </c>
      <c r="B112" s="672" t="s">
        <v>5065</v>
      </c>
      <c r="C112" s="673" t="s">
        <v>2346</v>
      </c>
      <c r="D112" s="641" t="s">
        <v>5038</v>
      </c>
      <c r="E112" s="669">
        <v>14000.0</v>
      </c>
      <c r="F112" s="641" t="s">
        <v>5066</v>
      </c>
      <c r="G112" s="667" t="s">
        <v>669</v>
      </c>
      <c r="H112" s="667" t="s">
        <v>199</v>
      </c>
      <c r="I112" s="667" t="s">
        <v>1228</v>
      </c>
      <c r="J112" s="667">
        <v>43703.0</v>
      </c>
      <c r="K112" s="670" t="s">
        <v>4383</v>
      </c>
      <c r="L112" s="666"/>
      <c r="M112" s="666"/>
      <c r="N112" s="666"/>
      <c r="O112" s="666"/>
      <c r="P112" s="666"/>
      <c r="Q112" s="666"/>
      <c r="R112" s="666"/>
      <c r="S112" s="666"/>
      <c r="T112" s="666"/>
      <c r="U112" s="666"/>
      <c r="V112" s="666"/>
      <c r="W112" s="666"/>
      <c r="X112" s="666"/>
      <c r="Y112" s="666"/>
      <c r="Z112" s="666"/>
      <c r="AA112" s="666"/>
      <c r="AB112" s="666"/>
      <c r="AC112" s="666"/>
      <c r="AD112" s="666"/>
      <c r="AE112" s="666"/>
    </row>
    <row r="113" ht="15.75" customHeight="1">
      <c r="A113" s="671">
        <v>44050.0</v>
      </c>
      <c r="B113" s="672" t="s">
        <v>5183</v>
      </c>
      <c r="C113" s="673" t="s">
        <v>2346</v>
      </c>
      <c r="D113" s="641" t="s">
        <v>5038</v>
      </c>
      <c r="E113" s="669">
        <v>9000.0</v>
      </c>
      <c r="F113" s="641" t="s">
        <v>1460</v>
      </c>
      <c r="G113" s="667" t="s">
        <v>669</v>
      </c>
      <c r="H113" s="667" t="s">
        <v>199</v>
      </c>
      <c r="I113" s="667" t="s">
        <v>1228</v>
      </c>
      <c r="J113" s="667">
        <v>43894.0</v>
      </c>
      <c r="K113" s="670" t="s">
        <v>2365</v>
      </c>
      <c r="L113" s="666"/>
      <c r="M113" s="666"/>
      <c r="N113" s="666"/>
      <c r="O113" s="666"/>
      <c r="P113" s="666"/>
      <c r="Q113" s="666"/>
      <c r="R113" s="666"/>
      <c r="S113" s="666"/>
      <c r="T113" s="666"/>
      <c r="U113" s="666"/>
      <c r="V113" s="666"/>
      <c r="W113" s="666"/>
      <c r="X113" s="666"/>
      <c r="Y113" s="666"/>
      <c r="Z113" s="666"/>
      <c r="AA113" s="666"/>
      <c r="AB113" s="666"/>
      <c r="AC113" s="666"/>
      <c r="AD113" s="666"/>
      <c r="AE113" s="666"/>
    </row>
    <row r="114" ht="15.75" customHeight="1">
      <c r="A114" s="671">
        <v>44050.0</v>
      </c>
      <c r="B114" s="676" t="s">
        <v>5105</v>
      </c>
      <c r="C114" s="673" t="s">
        <v>2346</v>
      </c>
      <c r="D114" s="641" t="s">
        <v>5038</v>
      </c>
      <c r="E114" s="669">
        <v>20000.0</v>
      </c>
      <c r="F114" s="641" t="s">
        <v>5108</v>
      </c>
      <c r="G114" s="667" t="s">
        <v>669</v>
      </c>
      <c r="H114" s="667" t="s">
        <v>199</v>
      </c>
      <c r="I114" s="667" t="s">
        <v>2388</v>
      </c>
      <c r="J114" s="667">
        <v>43664.0</v>
      </c>
      <c r="K114" s="670" t="s">
        <v>4383</v>
      </c>
      <c r="L114" s="666"/>
      <c r="M114" s="666"/>
      <c r="N114" s="666"/>
      <c r="O114" s="666"/>
      <c r="P114" s="666"/>
      <c r="Q114" s="666"/>
      <c r="R114" s="666"/>
      <c r="S114" s="666"/>
      <c r="T114" s="666"/>
      <c r="U114" s="666"/>
      <c r="V114" s="666"/>
      <c r="W114" s="666"/>
      <c r="X114" s="666"/>
      <c r="Y114" s="666"/>
      <c r="Z114" s="666"/>
      <c r="AA114" s="666"/>
      <c r="AB114" s="666"/>
      <c r="AC114" s="666"/>
      <c r="AD114" s="666"/>
      <c r="AE114" s="666"/>
    </row>
    <row r="115" ht="15.75" customHeight="1">
      <c r="A115" s="667">
        <v>44053.0</v>
      </c>
      <c r="B115" s="668" t="s">
        <v>5146</v>
      </c>
      <c r="C115" s="641" t="s">
        <v>2346</v>
      </c>
      <c r="D115" s="641" t="s">
        <v>694</v>
      </c>
      <c r="E115" s="669">
        <v>0.0</v>
      </c>
      <c r="F115" s="641" t="s">
        <v>5147</v>
      </c>
      <c r="G115" s="667" t="s">
        <v>669</v>
      </c>
      <c r="H115" s="667" t="s">
        <v>199</v>
      </c>
      <c r="I115" s="667" t="s">
        <v>1228</v>
      </c>
      <c r="J115" s="667">
        <v>43738.0</v>
      </c>
      <c r="K115" s="670" t="s">
        <v>2372</v>
      </c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6"/>
      <c r="AB115" s="666"/>
      <c r="AC115" s="666"/>
      <c r="AD115" s="666"/>
      <c r="AE115" s="666"/>
    </row>
    <row r="116" ht="15.75" customHeight="1">
      <c r="A116" s="671">
        <v>44057.0</v>
      </c>
      <c r="B116" s="676" t="s">
        <v>5178</v>
      </c>
      <c r="C116" s="673" t="s">
        <v>2346</v>
      </c>
      <c r="D116" s="641" t="s">
        <v>5038</v>
      </c>
      <c r="E116" s="669">
        <v>200000.0</v>
      </c>
      <c r="F116" s="641" t="s">
        <v>5180</v>
      </c>
      <c r="G116" s="667" t="s">
        <v>669</v>
      </c>
      <c r="H116" s="667" t="s">
        <v>199</v>
      </c>
      <c r="I116" s="667" t="s">
        <v>1228</v>
      </c>
      <c r="J116" s="667">
        <v>43717.0</v>
      </c>
      <c r="K116" s="670" t="s">
        <v>4383</v>
      </c>
      <c r="L116" s="666"/>
      <c r="M116" s="666"/>
      <c r="N116" s="666"/>
      <c r="O116" s="666"/>
      <c r="P116" s="666"/>
      <c r="Q116" s="666"/>
      <c r="R116" s="666"/>
      <c r="S116" s="666"/>
      <c r="T116" s="666"/>
      <c r="U116" s="666"/>
      <c r="V116" s="666"/>
      <c r="W116" s="666"/>
      <c r="X116" s="666"/>
      <c r="Y116" s="666"/>
      <c r="Z116" s="666"/>
      <c r="AA116" s="666"/>
      <c r="AB116" s="666"/>
      <c r="AC116" s="666"/>
      <c r="AD116" s="666"/>
      <c r="AE116" s="666"/>
    </row>
    <row r="117" ht="15.75" customHeight="1">
      <c r="A117" s="671">
        <v>44060.0</v>
      </c>
      <c r="B117" s="672" t="s">
        <v>5270</v>
      </c>
      <c r="C117" s="673" t="s">
        <v>2346</v>
      </c>
      <c r="D117" s="641" t="s">
        <v>5038</v>
      </c>
      <c r="E117" s="669">
        <v>6300.0</v>
      </c>
      <c r="F117" s="641" t="s">
        <v>1227</v>
      </c>
      <c r="G117" s="667" t="s">
        <v>669</v>
      </c>
      <c r="H117" s="667" t="s">
        <v>199</v>
      </c>
      <c r="I117" s="667" t="s">
        <v>1228</v>
      </c>
      <c r="J117" s="667">
        <v>43564.0</v>
      </c>
      <c r="K117" s="670" t="s">
        <v>2372</v>
      </c>
      <c r="L117" s="666"/>
      <c r="M117" s="666"/>
      <c r="N117" s="666"/>
      <c r="O117" s="666"/>
      <c r="P117" s="666"/>
      <c r="Q117" s="666"/>
      <c r="R117" s="666"/>
      <c r="S117" s="666"/>
      <c r="T117" s="666"/>
      <c r="U117" s="666"/>
      <c r="V117" s="666"/>
      <c r="W117" s="666"/>
      <c r="X117" s="666"/>
      <c r="Y117" s="666"/>
      <c r="Z117" s="666"/>
      <c r="AA117" s="666"/>
      <c r="AB117" s="666"/>
      <c r="AC117" s="666"/>
      <c r="AD117" s="666"/>
      <c r="AE117" s="666"/>
    </row>
    <row r="118" ht="15.75" customHeight="1">
      <c r="A118" s="667">
        <v>44061.0</v>
      </c>
      <c r="B118" s="668" t="s">
        <v>5053</v>
      </c>
      <c r="C118" s="641" t="s">
        <v>2346</v>
      </c>
      <c r="D118" s="641" t="s">
        <v>694</v>
      </c>
      <c r="E118" s="669">
        <v>394570.05</v>
      </c>
      <c r="F118" s="641" t="s">
        <v>5054</v>
      </c>
      <c r="G118" s="667" t="s">
        <v>669</v>
      </c>
      <c r="H118" s="667" t="s">
        <v>199</v>
      </c>
      <c r="I118" s="667" t="s">
        <v>1228</v>
      </c>
      <c r="J118" s="667">
        <v>43700.0</v>
      </c>
      <c r="K118" s="670" t="s">
        <v>4383</v>
      </c>
      <c r="L118" s="666"/>
      <c r="M118" s="666"/>
      <c r="N118" s="666"/>
      <c r="O118" s="666"/>
      <c r="P118" s="666"/>
      <c r="Q118" s="666"/>
      <c r="R118" s="666"/>
      <c r="S118" s="666"/>
      <c r="T118" s="666"/>
      <c r="U118" s="666"/>
      <c r="V118" s="666"/>
      <c r="W118" s="666"/>
      <c r="X118" s="666"/>
      <c r="Y118" s="666"/>
      <c r="Z118" s="666"/>
      <c r="AA118" s="666"/>
      <c r="AB118" s="666"/>
      <c r="AC118" s="666"/>
      <c r="AD118" s="666"/>
      <c r="AE118" s="666"/>
    </row>
    <row r="119" ht="15.75" customHeight="1">
      <c r="A119" s="671">
        <v>44061.0</v>
      </c>
      <c r="B119" s="672" t="s">
        <v>5347</v>
      </c>
      <c r="C119" s="673" t="s">
        <v>2346</v>
      </c>
      <c r="D119" s="641" t="s">
        <v>5038</v>
      </c>
      <c r="E119" s="669">
        <v>7000.0</v>
      </c>
      <c r="F119" s="641" t="s">
        <v>5350</v>
      </c>
      <c r="G119" s="667" t="s">
        <v>669</v>
      </c>
      <c r="H119" s="667" t="s">
        <v>199</v>
      </c>
      <c r="I119" s="667" t="s">
        <v>1228</v>
      </c>
      <c r="J119" s="667">
        <v>43840.0</v>
      </c>
      <c r="K119" s="670" t="s">
        <v>2365</v>
      </c>
      <c r="L119" s="666"/>
      <c r="M119" s="666"/>
      <c r="N119" s="666"/>
      <c r="O119" s="666"/>
      <c r="P119" s="666"/>
      <c r="Q119" s="666"/>
      <c r="R119" s="666"/>
      <c r="S119" s="666"/>
      <c r="T119" s="666"/>
      <c r="U119" s="666"/>
      <c r="V119" s="666"/>
      <c r="W119" s="666"/>
      <c r="X119" s="666"/>
      <c r="Y119" s="666"/>
      <c r="Z119" s="666"/>
      <c r="AA119" s="666"/>
      <c r="AB119" s="666"/>
      <c r="AC119" s="666"/>
      <c r="AD119" s="666"/>
      <c r="AE119" s="666"/>
    </row>
    <row r="120" ht="15.75" customHeight="1">
      <c r="A120" s="667">
        <v>44063.0</v>
      </c>
      <c r="B120" s="668" t="s">
        <v>5470</v>
      </c>
      <c r="C120" s="641" t="s">
        <v>2346</v>
      </c>
      <c r="D120" s="641" t="s">
        <v>694</v>
      </c>
      <c r="E120" s="669">
        <v>99216.1</v>
      </c>
      <c r="F120" s="641" t="s">
        <v>4606</v>
      </c>
      <c r="G120" s="667" t="s">
        <v>669</v>
      </c>
      <c r="H120" s="667" t="s">
        <v>199</v>
      </c>
      <c r="I120" s="667" t="s">
        <v>1228</v>
      </c>
      <c r="J120" s="667">
        <v>43675.0</v>
      </c>
      <c r="K120" s="670" t="s">
        <v>4383</v>
      </c>
      <c r="L120" s="666"/>
      <c r="M120" s="666"/>
      <c r="N120" s="666"/>
      <c r="O120" s="666"/>
      <c r="P120" s="666"/>
      <c r="Q120" s="666"/>
      <c r="R120" s="666"/>
      <c r="S120" s="666"/>
      <c r="T120" s="666"/>
      <c r="U120" s="666"/>
      <c r="V120" s="666"/>
      <c r="W120" s="666"/>
      <c r="X120" s="666"/>
      <c r="Y120" s="666"/>
      <c r="Z120" s="666"/>
      <c r="AA120" s="666"/>
      <c r="AB120" s="666"/>
      <c r="AC120" s="666"/>
      <c r="AD120" s="666"/>
      <c r="AE120" s="666"/>
    </row>
    <row r="121" ht="15.75" customHeight="1">
      <c r="A121" s="671">
        <v>44068.0</v>
      </c>
      <c r="B121" s="672" t="s">
        <v>5075</v>
      </c>
      <c r="C121" s="673" t="s">
        <v>2346</v>
      </c>
      <c r="D121" s="641" t="s">
        <v>5038</v>
      </c>
      <c r="E121" s="669">
        <v>130000.0</v>
      </c>
      <c r="F121" s="641" t="s">
        <v>956</v>
      </c>
      <c r="G121" s="667" t="s">
        <v>669</v>
      </c>
      <c r="H121" s="667" t="s">
        <v>199</v>
      </c>
      <c r="I121" s="667" t="s">
        <v>1228</v>
      </c>
      <c r="J121" s="667">
        <v>43605.0</v>
      </c>
      <c r="K121" s="670" t="s">
        <v>2365</v>
      </c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6"/>
      <c r="AB121" s="666"/>
      <c r="AC121" s="666"/>
      <c r="AD121" s="666"/>
      <c r="AE121" s="666"/>
    </row>
    <row r="122" ht="15.75" customHeight="1">
      <c r="A122" s="671">
        <v>44068.0</v>
      </c>
      <c r="B122" s="676" t="s">
        <v>5116</v>
      </c>
      <c r="C122" s="673" t="s">
        <v>2346</v>
      </c>
      <c r="D122" s="641" t="s">
        <v>5038</v>
      </c>
      <c r="E122" s="669">
        <v>5000.0</v>
      </c>
      <c r="F122" s="641" t="s">
        <v>5117</v>
      </c>
      <c r="G122" s="667" t="s">
        <v>669</v>
      </c>
      <c r="H122" s="667" t="s">
        <v>199</v>
      </c>
      <c r="I122" s="667" t="s">
        <v>2388</v>
      </c>
      <c r="J122" s="667">
        <v>43559.0</v>
      </c>
      <c r="K122" s="670" t="s">
        <v>4383</v>
      </c>
      <c r="L122" s="666"/>
      <c r="M122" s="666"/>
      <c r="N122" s="666"/>
      <c r="O122" s="666"/>
      <c r="P122" s="666"/>
      <c r="Q122" s="666"/>
      <c r="R122" s="666"/>
      <c r="S122" s="666"/>
      <c r="T122" s="666"/>
      <c r="U122" s="666"/>
      <c r="V122" s="666"/>
      <c r="W122" s="666"/>
      <c r="X122" s="666"/>
      <c r="Y122" s="666"/>
      <c r="Z122" s="666"/>
      <c r="AA122" s="666"/>
      <c r="AB122" s="666"/>
      <c r="AC122" s="666"/>
      <c r="AD122" s="666"/>
      <c r="AE122" s="666"/>
    </row>
    <row r="123" ht="15.75" customHeight="1">
      <c r="A123" s="671">
        <v>44069.0</v>
      </c>
      <c r="B123" s="672" t="s">
        <v>5046</v>
      </c>
      <c r="C123" s="673" t="s">
        <v>98</v>
      </c>
      <c r="D123" s="641" t="s">
        <v>5038</v>
      </c>
      <c r="E123" s="669">
        <v>1800.0</v>
      </c>
      <c r="F123" s="641" t="s">
        <v>4424</v>
      </c>
      <c r="G123" s="641" t="s">
        <v>669</v>
      </c>
      <c r="H123" s="641" t="s">
        <v>199</v>
      </c>
      <c r="I123" s="641" t="s">
        <v>669</v>
      </c>
      <c r="J123" s="667">
        <v>43749.0</v>
      </c>
      <c r="K123" s="674" t="s">
        <v>4383</v>
      </c>
      <c r="L123" s="666"/>
      <c r="M123" s="666"/>
      <c r="N123" s="666"/>
      <c r="O123" s="666"/>
      <c r="P123" s="666"/>
      <c r="Q123" s="666"/>
      <c r="R123" s="666"/>
      <c r="S123" s="666"/>
      <c r="T123" s="666"/>
      <c r="U123" s="666"/>
      <c r="V123" s="666"/>
      <c r="W123" s="666"/>
      <c r="X123" s="666"/>
      <c r="Y123" s="666"/>
      <c r="Z123" s="666"/>
      <c r="AA123" s="666"/>
      <c r="AB123" s="666"/>
      <c r="AC123" s="666"/>
      <c r="AD123" s="666"/>
      <c r="AE123" s="666"/>
    </row>
    <row r="124" ht="15.75" customHeight="1">
      <c r="A124" s="671">
        <v>44069.0</v>
      </c>
      <c r="B124" s="672" t="s">
        <v>5065</v>
      </c>
      <c r="C124" s="673" t="s">
        <v>2346</v>
      </c>
      <c r="D124" s="641" t="s">
        <v>5038</v>
      </c>
      <c r="E124" s="669">
        <v>20000.0</v>
      </c>
      <c r="F124" s="641" t="s">
        <v>5066</v>
      </c>
      <c r="G124" s="667" t="s">
        <v>669</v>
      </c>
      <c r="H124" s="667" t="s">
        <v>199</v>
      </c>
      <c r="I124" s="667" t="s">
        <v>1228</v>
      </c>
      <c r="J124" s="667">
        <v>43703.0</v>
      </c>
      <c r="K124" s="670" t="s">
        <v>4383</v>
      </c>
      <c r="L124" s="666"/>
      <c r="M124" s="666"/>
      <c r="N124" s="666"/>
      <c r="O124" s="666"/>
      <c r="P124" s="666"/>
      <c r="Q124" s="666"/>
      <c r="R124" s="666"/>
      <c r="S124" s="666"/>
      <c r="T124" s="666"/>
      <c r="U124" s="666"/>
      <c r="V124" s="666"/>
      <c r="W124" s="666"/>
      <c r="X124" s="666"/>
      <c r="Y124" s="666"/>
      <c r="Z124" s="666"/>
      <c r="AA124" s="666"/>
      <c r="AB124" s="666"/>
      <c r="AC124" s="666"/>
      <c r="AD124" s="666"/>
      <c r="AE124" s="666"/>
    </row>
    <row r="125" ht="15.75" customHeight="1">
      <c r="A125" s="671">
        <v>44074.0</v>
      </c>
      <c r="B125" s="672" t="s">
        <v>5105</v>
      </c>
      <c r="C125" s="673" t="s">
        <v>2346</v>
      </c>
      <c r="D125" s="641" t="s">
        <v>5038</v>
      </c>
      <c r="E125" s="679">
        <v>150000.0</v>
      </c>
      <c r="F125" s="641" t="s">
        <v>5108</v>
      </c>
      <c r="G125" s="667" t="s">
        <v>669</v>
      </c>
      <c r="H125" s="667" t="s">
        <v>199</v>
      </c>
      <c r="I125" s="667" t="s">
        <v>2388</v>
      </c>
      <c r="J125" s="667">
        <v>43664.0</v>
      </c>
      <c r="K125" s="670" t="s">
        <v>4383</v>
      </c>
      <c r="L125" s="666"/>
      <c r="M125" s="666"/>
      <c r="N125" s="666"/>
      <c r="O125" s="666"/>
      <c r="P125" s="666"/>
      <c r="Q125" s="666"/>
      <c r="R125" s="666"/>
      <c r="S125" s="666"/>
      <c r="T125" s="666"/>
      <c r="U125" s="666"/>
      <c r="V125" s="666"/>
      <c r="W125" s="666"/>
      <c r="X125" s="666"/>
      <c r="Y125" s="666"/>
      <c r="Z125" s="666"/>
      <c r="AA125" s="666"/>
      <c r="AB125" s="666"/>
      <c r="AC125" s="666"/>
      <c r="AD125" s="666"/>
      <c r="AE125" s="666"/>
    </row>
    <row r="126" ht="15.75" customHeight="1">
      <c r="A126" s="671">
        <v>44074.0</v>
      </c>
      <c r="B126" s="672" t="s">
        <v>5075</v>
      </c>
      <c r="C126" s="673" t="s">
        <v>2346</v>
      </c>
      <c r="D126" s="641" t="s">
        <v>5038</v>
      </c>
      <c r="E126" s="669">
        <v>20000.0</v>
      </c>
      <c r="F126" s="641" t="s">
        <v>956</v>
      </c>
      <c r="G126" s="667" t="s">
        <v>669</v>
      </c>
      <c r="H126" s="667" t="s">
        <v>199</v>
      </c>
      <c r="I126" s="667" t="s">
        <v>1228</v>
      </c>
      <c r="J126" s="667">
        <v>43605.0</v>
      </c>
      <c r="K126" s="670" t="s">
        <v>2365</v>
      </c>
      <c r="L126" s="666"/>
      <c r="M126" s="666"/>
      <c r="N126" s="666"/>
      <c r="O126" s="666"/>
      <c r="P126" s="666"/>
      <c r="Q126" s="666"/>
      <c r="R126" s="666"/>
      <c r="S126" s="666"/>
      <c r="T126" s="666"/>
      <c r="U126" s="666"/>
      <c r="V126" s="666"/>
      <c r="W126" s="666"/>
      <c r="X126" s="666"/>
      <c r="Y126" s="666"/>
      <c r="Z126" s="666"/>
      <c r="AA126" s="666"/>
      <c r="AB126" s="666"/>
      <c r="AC126" s="666"/>
      <c r="AD126" s="666"/>
      <c r="AE126" s="666"/>
    </row>
    <row r="127" ht="15.75" customHeight="1">
      <c r="A127" s="671">
        <v>44075.0</v>
      </c>
      <c r="B127" s="672" t="s">
        <v>5347</v>
      </c>
      <c r="C127" s="673" t="s">
        <v>2346</v>
      </c>
      <c r="D127" s="641" t="s">
        <v>5038</v>
      </c>
      <c r="E127" s="669">
        <v>194670.06</v>
      </c>
      <c r="F127" s="641" t="s">
        <v>5350</v>
      </c>
      <c r="G127" s="667" t="s">
        <v>669</v>
      </c>
      <c r="H127" s="667" t="s">
        <v>199</v>
      </c>
      <c r="I127" s="667" t="s">
        <v>1228</v>
      </c>
      <c r="J127" s="667">
        <v>43840.0</v>
      </c>
      <c r="K127" s="670" t="s">
        <v>2365</v>
      </c>
      <c r="L127" s="666"/>
      <c r="M127" s="666"/>
      <c r="N127" s="666"/>
      <c r="O127" s="666"/>
      <c r="P127" s="666"/>
      <c r="Q127" s="666"/>
      <c r="R127" s="666"/>
      <c r="S127" s="666"/>
      <c r="T127" s="666"/>
      <c r="U127" s="666"/>
      <c r="V127" s="666"/>
      <c r="W127" s="666"/>
      <c r="X127" s="666"/>
      <c r="Y127" s="666"/>
      <c r="Z127" s="666"/>
      <c r="AA127" s="666"/>
      <c r="AB127" s="666"/>
      <c r="AC127" s="666"/>
      <c r="AD127" s="666"/>
      <c r="AE127" s="666"/>
    </row>
    <row r="128" ht="15.75" customHeight="1">
      <c r="A128" s="671">
        <v>44078.0</v>
      </c>
      <c r="B128" s="676" t="s">
        <v>5486</v>
      </c>
      <c r="C128" s="673" t="s">
        <v>2346</v>
      </c>
      <c r="D128" s="641" t="s">
        <v>5038</v>
      </c>
      <c r="E128" s="679">
        <v>5000.0</v>
      </c>
      <c r="F128" s="641" t="s">
        <v>1451</v>
      </c>
      <c r="G128" s="667" t="s">
        <v>669</v>
      </c>
      <c r="H128" s="667" t="s">
        <v>199</v>
      </c>
      <c r="I128" s="667" t="s">
        <v>2388</v>
      </c>
      <c r="J128" s="667">
        <v>43564.0</v>
      </c>
      <c r="K128" s="670" t="s">
        <v>2319</v>
      </c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6"/>
      <c r="AB128" s="666"/>
      <c r="AC128" s="666"/>
      <c r="AD128" s="666"/>
      <c r="AE128" s="666"/>
    </row>
    <row r="129" ht="15.75" customHeight="1">
      <c r="A129" s="671">
        <v>44082.0</v>
      </c>
      <c r="B129" s="672" t="s">
        <v>5116</v>
      </c>
      <c r="C129" s="673" t="s">
        <v>2346</v>
      </c>
      <c r="D129" s="641" t="s">
        <v>5038</v>
      </c>
      <c r="E129" s="669">
        <v>14000.0</v>
      </c>
      <c r="F129" s="641" t="s">
        <v>5117</v>
      </c>
      <c r="G129" s="667" t="s">
        <v>669</v>
      </c>
      <c r="H129" s="667" t="s">
        <v>199</v>
      </c>
      <c r="I129" s="667" t="s">
        <v>2388</v>
      </c>
      <c r="J129" s="667">
        <v>43559.0</v>
      </c>
      <c r="K129" s="670" t="s">
        <v>4383</v>
      </c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66"/>
      <c r="AB129" s="666"/>
      <c r="AC129" s="666"/>
      <c r="AD129" s="666"/>
      <c r="AE129" s="666"/>
    </row>
    <row r="130" ht="15.75" customHeight="1">
      <c r="A130" s="671">
        <v>44082.0</v>
      </c>
      <c r="B130" s="672" t="s">
        <v>5085</v>
      </c>
      <c r="C130" s="673" t="s">
        <v>98</v>
      </c>
      <c r="D130" s="641" t="s">
        <v>5038</v>
      </c>
      <c r="E130" s="669">
        <v>20000.0</v>
      </c>
      <c r="F130" s="641" t="s">
        <v>5088</v>
      </c>
      <c r="G130" s="641" t="s">
        <v>669</v>
      </c>
      <c r="H130" s="641" t="s">
        <v>199</v>
      </c>
      <c r="I130" s="641" t="s">
        <v>669</v>
      </c>
      <c r="J130" s="667">
        <v>44252.0</v>
      </c>
      <c r="K130" s="674" t="s">
        <v>2365</v>
      </c>
      <c r="L130" s="666"/>
      <c r="M130" s="666"/>
      <c r="N130" s="666"/>
      <c r="O130" s="666"/>
      <c r="P130" s="666"/>
      <c r="Q130" s="666"/>
      <c r="R130" s="666"/>
      <c r="S130" s="666"/>
      <c r="T130" s="666"/>
      <c r="U130" s="666"/>
      <c r="V130" s="666"/>
      <c r="W130" s="666"/>
      <c r="X130" s="666"/>
      <c r="Y130" s="666"/>
      <c r="Z130" s="666"/>
      <c r="AA130" s="666"/>
      <c r="AB130" s="666"/>
      <c r="AC130" s="666"/>
      <c r="AD130" s="666"/>
      <c r="AE130" s="666"/>
    </row>
    <row r="131" ht="15.75" customHeight="1">
      <c r="A131" s="671">
        <v>44083.0</v>
      </c>
      <c r="B131" s="676" t="s">
        <v>5336</v>
      </c>
      <c r="C131" s="673" t="s">
        <v>2346</v>
      </c>
      <c r="D131" s="641" t="s">
        <v>5038</v>
      </c>
      <c r="E131" s="669">
        <v>85486.0</v>
      </c>
      <c r="F131" s="641" t="s">
        <v>5002</v>
      </c>
      <c r="G131" s="667" t="s">
        <v>669</v>
      </c>
      <c r="H131" s="667" t="s">
        <v>199</v>
      </c>
      <c r="I131" s="667" t="s">
        <v>1228</v>
      </c>
      <c r="J131" s="667">
        <v>43888.0</v>
      </c>
      <c r="K131" s="670" t="s">
        <v>2341</v>
      </c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66"/>
      <c r="AB131" s="666"/>
      <c r="AC131" s="666"/>
      <c r="AD131" s="666"/>
      <c r="AE131" s="666"/>
    </row>
    <row r="132" ht="15.75" customHeight="1">
      <c r="A132" s="671">
        <v>44084.0</v>
      </c>
      <c r="B132" s="672" t="s">
        <v>5491</v>
      </c>
      <c r="C132" s="673" t="s">
        <v>2346</v>
      </c>
      <c r="D132" s="641" t="s">
        <v>5038</v>
      </c>
      <c r="E132" s="679">
        <v>3350000.0</v>
      </c>
      <c r="F132" s="641" t="s">
        <v>641</v>
      </c>
      <c r="G132" s="667" t="s">
        <v>669</v>
      </c>
      <c r="H132" s="667" t="s">
        <v>199</v>
      </c>
      <c r="I132" s="667" t="s">
        <v>2388</v>
      </c>
      <c r="J132" s="667">
        <v>43903.0</v>
      </c>
      <c r="K132" s="670" t="s">
        <v>2341</v>
      </c>
      <c r="L132" s="666"/>
      <c r="M132" s="666"/>
      <c r="N132" s="666"/>
      <c r="O132" s="666"/>
      <c r="P132" s="666"/>
      <c r="Q132" s="666"/>
      <c r="R132" s="666"/>
      <c r="S132" s="666"/>
      <c r="T132" s="666"/>
      <c r="U132" s="666"/>
      <c r="V132" s="666"/>
      <c r="W132" s="666"/>
      <c r="X132" s="666"/>
      <c r="Y132" s="666"/>
      <c r="Z132" s="666"/>
      <c r="AA132" s="666"/>
      <c r="AB132" s="666"/>
      <c r="AC132" s="666"/>
      <c r="AD132" s="666"/>
      <c r="AE132" s="666"/>
    </row>
    <row r="133" ht="15.75" customHeight="1">
      <c r="A133" s="667">
        <v>44085.0</v>
      </c>
      <c r="B133" s="688" t="s">
        <v>5493</v>
      </c>
      <c r="C133" s="641" t="s">
        <v>98</v>
      </c>
      <c r="D133" s="641" t="s">
        <v>694</v>
      </c>
      <c r="E133" s="669">
        <v>0.0</v>
      </c>
      <c r="F133" s="641" t="s">
        <v>4333</v>
      </c>
      <c r="G133" s="641" t="s">
        <v>669</v>
      </c>
      <c r="H133" s="641" t="s">
        <v>199</v>
      </c>
      <c r="I133" s="641" t="s">
        <v>669</v>
      </c>
      <c r="J133" s="667">
        <v>44043.0</v>
      </c>
      <c r="K133" s="674" t="s">
        <v>2341</v>
      </c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6"/>
      <c r="AB133" s="666"/>
      <c r="AC133" s="666"/>
      <c r="AD133" s="666"/>
      <c r="AE133" s="666"/>
    </row>
    <row r="134" ht="15.75" customHeight="1">
      <c r="A134" s="671">
        <v>44085.0</v>
      </c>
      <c r="B134" s="672" t="s">
        <v>5494</v>
      </c>
      <c r="C134" s="673" t="s">
        <v>98</v>
      </c>
      <c r="D134" s="641" t="s">
        <v>5038</v>
      </c>
      <c r="E134" s="669">
        <v>277581.55</v>
      </c>
      <c r="F134" s="641" t="s">
        <v>5495</v>
      </c>
      <c r="G134" s="641" t="s">
        <v>669</v>
      </c>
      <c r="H134" s="641" t="s">
        <v>199</v>
      </c>
      <c r="I134" s="641" t="s">
        <v>669</v>
      </c>
      <c r="J134" s="667">
        <v>44068.0</v>
      </c>
      <c r="K134" s="674" t="s">
        <v>2341</v>
      </c>
      <c r="L134" s="666"/>
      <c r="M134" s="666"/>
      <c r="N134" s="666"/>
      <c r="O134" s="666"/>
      <c r="P134" s="666"/>
      <c r="Q134" s="666"/>
      <c r="R134" s="666"/>
      <c r="S134" s="666"/>
      <c r="T134" s="666"/>
      <c r="U134" s="666"/>
      <c r="V134" s="666"/>
      <c r="W134" s="666"/>
      <c r="X134" s="666"/>
      <c r="Y134" s="666"/>
      <c r="Z134" s="666"/>
      <c r="AA134" s="666"/>
      <c r="AB134" s="666"/>
      <c r="AC134" s="666"/>
      <c r="AD134" s="666"/>
      <c r="AE134" s="666"/>
    </row>
    <row r="135" ht="15.75" customHeight="1">
      <c r="A135" s="671">
        <v>44085.0</v>
      </c>
      <c r="B135" s="672" t="s">
        <v>5493</v>
      </c>
      <c r="C135" s="673" t="s">
        <v>98</v>
      </c>
      <c r="D135" s="641" t="s">
        <v>427</v>
      </c>
      <c r="E135" s="669">
        <v>110000.0</v>
      </c>
      <c r="F135" s="641" t="s">
        <v>4333</v>
      </c>
      <c r="G135" s="641" t="s">
        <v>669</v>
      </c>
      <c r="H135" s="641" t="s">
        <v>199</v>
      </c>
      <c r="I135" s="641" t="s">
        <v>669</v>
      </c>
      <c r="J135" s="667">
        <v>44043.0</v>
      </c>
      <c r="K135" s="674" t="s">
        <v>2341</v>
      </c>
      <c r="L135" s="666"/>
      <c r="M135" s="666"/>
      <c r="N135" s="666"/>
      <c r="O135" s="666"/>
      <c r="P135" s="666"/>
      <c r="Q135" s="666"/>
      <c r="R135" s="666"/>
      <c r="S135" s="666"/>
      <c r="T135" s="666"/>
      <c r="U135" s="666"/>
      <c r="V135" s="666"/>
      <c r="W135" s="666"/>
      <c r="X135" s="666"/>
      <c r="Y135" s="666"/>
      <c r="Z135" s="666"/>
      <c r="AA135" s="666"/>
      <c r="AB135" s="666"/>
      <c r="AC135" s="666"/>
      <c r="AD135" s="666"/>
      <c r="AE135" s="666"/>
    </row>
    <row r="136" ht="15.75" customHeight="1">
      <c r="A136" s="667">
        <v>44086.0</v>
      </c>
      <c r="B136" s="668" t="s">
        <v>5189</v>
      </c>
      <c r="C136" s="641" t="s">
        <v>2346</v>
      </c>
      <c r="D136" s="641" t="s">
        <v>694</v>
      </c>
      <c r="E136" s="669">
        <v>0.0</v>
      </c>
      <c r="F136" s="641" t="s">
        <v>4333</v>
      </c>
      <c r="G136" s="667" t="s">
        <v>669</v>
      </c>
      <c r="H136" s="667" t="s">
        <v>199</v>
      </c>
      <c r="I136" s="667" t="s">
        <v>2388</v>
      </c>
      <c r="J136" s="667">
        <v>43913.0</v>
      </c>
      <c r="K136" s="670" t="s">
        <v>2341</v>
      </c>
      <c r="L136" s="666"/>
      <c r="M136" s="666"/>
      <c r="N136" s="666"/>
      <c r="O136" s="666"/>
      <c r="P136" s="666"/>
      <c r="Q136" s="666"/>
      <c r="R136" s="666"/>
      <c r="S136" s="666"/>
      <c r="T136" s="666"/>
      <c r="U136" s="666"/>
      <c r="V136" s="666"/>
      <c r="W136" s="666"/>
      <c r="X136" s="666"/>
      <c r="Y136" s="666"/>
      <c r="Z136" s="666"/>
      <c r="AA136" s="666"/>
      <c r="AB136" s="666"/>
      <c r="AC136" s="666"/>
      <c r="AD136" s="666"/>
      <c r="AE136" s="666"/>
    </row>
    <row r="137" ht="15.75" customHeight="1">
      <c r="A137" s="671">
        <v>44088.0</v>
      </c>
      <c r="B137" s="676" t="s">
        <v>5085</v>
      </c>
      <c r="C137" s="673" t="s">
        <v>98</v>
      </c>
      <c r="D137" s="641" t="s">
        <v>5038</v>
      </c>
      <c r="E137" s="669">
        <v>27000.0</v>
      </c>
      <c r="F137" s="641" t="s">
        <v>5088</v>
      </c>
      <c r="G137" s="641" t="s">
        <v>669</v>
      </c>
      <c r="H137" s="641" t="s">
        <v>199</v>
      </c>
      <c r="I137" s="641" t="s">
        <v>669</v>
      </c>
      <c r="J137" s="667">
        <v>44252.0</v>
      </c>
      <c r="K137" s="674" t="s">
        <v>2365</v>
      </c>
      <c r="L137" s="666"/>
      <c r="M137" s="666"/>
      <c r="N137" s="666"/>
      <c r="O137" s="666"/>
      <c r="P137" s="666"/>
      <c r="Q137" s="666"/>
      <c r="R137" s="666"/>
      <c r="S137" s="666"/>
      <c r="T137" s="666"/>
      <c r="U137" s="666"/>
      <c r="V137" s="666"/>
      <c r="W137" s="666"/>
      <c r="X137" s="666"/>
      <c r="Y137" s="666"/>
      <c r="Z137" s="666"/>
      <c r="AA137" s="666"/>
      <c r="AB137" s="666"/>
      <c r="AC137" s="666"/>
      <c r="AD137" s="666"/>
      <c r="AE137" s="666"/>
    </row>
    <row r="138" ht="15.75" customHeight="1">
      <c r="A138" s="671">
        <v>44088.0</v>
      </c>
      <c r="B138" s="672" t="s">
        <v>5069</v>
      </c>
      <c r="C138" s="673" t="s">
        <v>2346</v>
      </c>
      <c r="D138" s="641" t="s">
        <v>5038</v>
      </c>
      <c r="E138" s="669">
        <v>50000.0</v>
      </c>
      <c r="F138" s="641" t="s">
        <v>5071</v>
      </c>
      <c r="G138" s="667" t="s">
        <v>669</v>
      </c>
      <c r="H138" s="667" t="s">
        <v>199</v>
      </c>
      <c r="I138" s="667" t="s">
        <v>1228</v>
      </c>
      <c r="J138" s="667">
        <v>43567.0</v>
      </c>
      <c r="K138" s="670" t="s">
        <v>2341</v>
      </c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6"/>
      <c r="AB138" s="666"/>
      <c r="AC138" s="666"/>
      <c r="AD138" s="666"/>
      <c r="AE138" s="666"/>
    </row>
    <row r="139" ht="15.75" customHeight="1">
      <c r="A139" s="671">
        <v>44089.0</v>
      </c>
      <c r="B139" s="672" t="s">
        <v>5172</v>
      </c>
      <c r="C139" s="673" t="s">
        <v>2346</v>
      </c>
      <c r="D139" s="641" t="s">
        <v>5038</v>
      </c>
      <c r="E139" s="669">
        <v>7000.0</v>
      </c>
      <c r="F139" s="641" t="s">
        <v>5173</v>
      </c>
      <c r="G139" s="667" t="s">
        <v>669</v>
      </c>
      <c r="H139" s="667" t="s">
        <v>199</v>
      </c>
      <c r="I139" s="667" t="s">
        <v>1228</v>
      </c>
      <c r="J139" s="667">
        <v>43699.0</v>
      </c>
      <c r="K139" s="670" t="s">
        <v>4383</v>
      </c>
      <c r="L139" s="666"/>
      <c r="M139" s="666"/>
      <c r="N139" s="666"/>
      <c r="O139" s="666"/>
      <c r="P139" s="666"/>
      <c r="Q139" s="666"/>
      <c r="R139" s="666"/>
      <c r="S139" s="666"/>
      <c r="T139" s="666"/>
      <c r="U139" s="666"/>
      <c r="V139" s="666"/>
      <c r="W139" s="666"/>
      <c r="X139" s="666"/>
      <c r="Y139" s="666"/>
      <c r="Z139" s="666"/>
      <c r="AA139" s="666"/>
      <c r="AB139" s="666"/>
      <c r="AC139" s="666"/>
      <c r="AD139" s="666"/>
      <c r="AE139" s="666"/>
    </row>
    <row r="140" ht="15.75" customHeight="1">
      <c r="A140" s="671">
        <v>44089.0</v>
      </c>
      <c r="B140" s="672" t="s">
        <v>5270</v>
      </c>
      <c r="C140" s="673" t="s">
        <v>2346</v>
      </c>
      <c r="D140" s="641" t="s">
        <v>5038</v>
      </c>
      <c r="E140" s="669">
        <v>14000.0</v>
      </c>
      <c r="F140" s="641" t="s">
        <v>1227</v>
      </c>
      <c r="G140" s="667" t="s">
        <v>669</v>
      </c>
      <c r="H140" s="667" t="s">
        <v>199</v>
      </c>
      <c r="I140" s="667" t="s">
        <v>1228</v>
      </c>
      <c r="J140" s="667">
        <v>43564.0</v>
      </c>
      <c r="K140" s="670" t="s">
        <v>2372</v>
      </c>
      <c r="L140" s="666"/>
      <c r="M140" s="666"/>
      <c r="N140" s="666"/>
      <c r="O140" s="666"/>
      <c r="P140" s="666"/>
      <c r="Q140" s="666"/>
      <c r="R140" s="666"/>
      <c r="S140" s="666"/>
      <c r="T140" s="666"/>
      <c r="U140" s="666"/>
      <c r="V140" s="666"/>
      <c r="W140" s="666"/>
      <c r="X140" s="666"/>
      <c r="Y140" s="666"/>
      <c r="Z140" s="666"/>
      <c r="AA140" s="666"/>
      <c r="AB140" s="666"/>
      <c r="AC140" s="666"/>
      <c r="AD140" s="666"/>
      <c r="AE140" s="666"/>
    </row>
    <row r="141" ht="15.75" customHeight="1">
      <c r="A141" s="671">
        <v>44089.0</v>
      </c>
      <c r="B141" s="676" t="s">
        <v>5503</v>
      </c>
      <c r="C141" s="673" t="s">
        <v>2346</v>
      </c>
      <c r="D141" s="641" t="s">
        <v>5038</v>
      </c>
      <c r="E141" s="669">
        <v>50000.0</v>
      </c>
      <c r="F141" s="641" t="s">
        <v>5505</v>
      </c>
      <c r="G141" s="667" t="s">
        <v>669</v>
      </c>
      <c r="H141" s="667" t="s">
        <v>199</v>
      </c>
      <c r="I141" s="667" t="s">
        <v>1228</v>
      </c>
      <c r="J141" s="667">
        <v>44041.0</v>
      </c>
      <c r="K141" s="670" t="s">
        <v>2341</v>
      </c>
      <c r="L141" s="666"/>
      <c r="M141" s="666"/>
      <c r="N141" s="666"/>
      <c r="O141" s="666"/>
      <c r="P141" s="666"/>
      <c r="Q141" s="666"/>
      <c r="R141" s="666"/>
      <c r="S141" s="666"/>
      <c r="T141" s="666"/>
      <c r="U141" s="666"/>
      <c r="V141" s="666"/>
      <c r="W141" s="666"/>
      <c r="X141" s="666"/>
      <c r="Y141" s="666"/>
      <c r="Z141" s="666"/>
      <c r="AA141" s="666"/>
      <c r="AB141" s="666"/>
      <c r="AC141" s="666"/>
      <c r="AD141" s="666"/>
      <c r="AE141" s="666"/>
    </row>
    <row r="142" ht="15.75" customHeight="1">
      <c r="A142" s="667">
        <v>44091.0</v>
      </c>
      <c r="B142" s="668" t="s">
        <v>5508</v>
      </c>
      <c r="C142" s="641" t="s">
        <v>98</v>
      </c>
      <c r="D142" s="641" t="s">
        <v>694</v>
      </c>
      <c r="E142" s="669">
        <v>0.0</v>
      </c>
      <c r="F142" s="641" t="s">
        <v>4294</v>
      </c>
      <c r="G142" s="641" t="s">
        <v>669</v>
      </c>
      <c r="H142" s="641" t="s">
        <v>199</v>
      </c>
      <c r="I142" s="641" t="s">
        <v>669</v>
      </c>
      <c r="J142" s="667">
        <v>43696.0</v>
      </c>
      <c r="K142" s="674" t="s">
        <v>2341</v>
      </c>
      <c r="L142" s="666"/>
      <c r="M142" s="666"/>
      <c r="N142" s="666"/>
      <c r="O142" s="666"/>
      <c r="P142" s="666"/>
      <c r="Q142" s="666"/>
      <c r="R142" s="666"/>
      <c r="S142" s="666"/>
      <c r="T142" s="666"/>
      <c r="U142" s="666"/>
      <c r="V142" s="666"/>
      <c r="W142" s="666"/>
      <c r="X142" s="666"/>
      <c r="Y142" s="666"/>
      <c r="Z142" s="666"/>
      <c r="AA142" s="666"/>
      <c r="AB142" s="666"/>
      <c r="AC142" s="666"/>
      <c r="AD142" s="666"/>
      <c r="AE142" s="666"/>
    </row>
    <row r="143" ht="15.75" customHeight="1">
      <c r="A143" s="671">
        <v>44091.0</v>
      </c>
      <c r="B143" s="672" t="s">
        <v>5508</v>
      </c>
      <c r="C143" s="673" t="s">
        <v>98</v>
      </c>
      <c r="D143" s="641" t="s">
        <v>427</v>
      </c>
      <c r="E143" s="669">
        <v>6400.0</v>
      </c>
      <c r="F143" s="641" t="s">
        <v>4294</v>
      </c>
      <c r="G143" s="641" t="s">
        <v>669</v>
      </c>
      <c r="H143" s="641" t="s">
        <v>199</v>
      </c>
      <c r="I143" s="641" t="s">
        <v>669</v>
      </c>
      <c r="J143" s="667">
        <v>43696.0</v>
      </c>
      <c r="K143" s="674" t="s">
        <v>2341</v>
      </c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6"/>
      <c r="AB143" s="666"/>
      <c r="AC143" s="666"/>
      <c r="AD143" s="666"/>
      <c r="AE143" s="666"/>
    </row>
    <row r="144" ht="15.75" customHeight="1">
      <c r="A144" s="671">
        <v>44096.0</v>
      </c>
      <c r="B144" s="676" t="s">
        <v>5494</v>
      </c>
      <c r="C144" s="673" t="s">
        <v>98</v>
      </c>
      <c r="D144" s="641" t="s">
        <v>5038</v>
      </c>
      <c r="E144" s="669">
        <v>0.0</v>
      </c>
      <c r="F144" s="641" t="s">
        <v>5495</v>
      </c>
      <c r="G144" s="641" t="s">
        <v>669</v>
      </c>
      <c r="H144" s="641" t="s">
        <v>199</v>
      </c>
      <c r="I144" s="641" t="s">
        <v>669</v>
      </c>
      <c r="J144" s="667">
        <v>44068.0</v>
      </c>
      <c r="K144" s="674" t="s">
        <v>2341</v>
      </c>
      <c r="L144" s="666"/>
      <c r="M144" s="666"/>
      <c r="N144" s="666"/>
      <c r="O144" s="666"/>
      <c r="P144" s="666"/>
      <c r="Q144" s="666"/>
      <c r="R144" s="666"/>
      <c r="S144" s="666"/>
      <c r="T144" s="666"/>
      <c r="U144" s="666"/>
      <c r="V144" s="666"/>
      <c r="W144" s="666"/>
      <c r="X144" s="666"/>
      <c r="Y144" s="666"/>
      <c r="Z144" s="666"/>
      <c r="AA144" s="666"/>
      <c r="AB144" s="666"/>
      <c r="AC144" s="666"/>
      <c r="AD144" s="666"/>
      <c r="AE144" s="666"/>
    </row>
    <row r="145" ht="15.75" customHeight="1">
      <c r="A145" s="671">
        <v>44096.0</v>
      </c>
      <c r="B145" s="672" t="s">
        <v>5512</v>
      </c>
      <c r="C145" s="673" t="s">
        <v>2346</v>
      </c>
      <c r="D145" s="641" t="s">
        <v>5038</v>
      </c>
      <c r="E145" s="669">
        <v>27000.0</v>
      </c>
      <c r="F145" s="641" t="s">
        <v>5513</v>
      </c>
      <c r="G145" s="667" t="s">
        <v>669</v>
      </c>
      <c r="H145" s="667" t="s">
        <v>199</v>
      </c>
      <c r="I145" s="667" t="s">
        <v>1228</v>
      </c>
      <c r="J145" s="667">
        <v>43711.0</v>
      </c>
      <c r="K145" s="670" t="s">
        <v>4383</v>
      </c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66"/>
      <c r="AB145" s="666"/>
      <c r="AC145" s="666"/>
      <c r="AD145" s="666"/>
      <c r="AE145" s="666"/>
    </row>
    <row r="146" ht="15.75" customHeight="1">
      <c r="A146" s="671">
        <v>44097.0</v>
      </c>
      <c r="B146" s="672" t="s">
        <v>5514</v>
      </c>
      <c r="C146" s="673" t="s">
        <v>98</v>
      </c>
      <c r="D146" s="641" t="s">
        <v>5038</v>
      </c>
      <c r="E146" s="669">
        <v>9000.0</v>
      </c>
      <c r="F146" s="641" t="s">
        <v>5515</v>
      </c>
      <c r="G146" s="641" t="s">
        <v>669</v>
      </c>
      <c r="H146" s="641" t="s">
        <v>199</v>
      </c>
      <c r="I146" s="641" t="s">
        <v>669</v>
      </c>
      <c r="J146" s="667">
        <v>44043.0</v>
      </c>
      <c r="K146" s="674" t="s">
        <v>2341</v>
      </c>
      <c r="L146" s="666"/>
      <c r="M146" s="666"/>
      <c r="N146" s="666"/>
      <c r="O146" s="666"/>
      <c r="P146" s="666"/>
      <c r="Q146" s="666"/>
      <c r="R146" s="666"/>
      <c r="S146" s="666"/>
      <c r="T146" s="666"/>
      <c r="U146" s="666"/>
      <c r="V146" s="666"/>
      <c r="W146" s="666"/>
      <c r="X146" s="666"/>
      <c r="Y146" s="666"/>
      <c r="Z146" s="666"/>
      <c r="AA146" s="666"/>
      <c r="AB146" s="666"/>
      <c r="AC146" s="666"/>
      <c r="AD146" s="666"/>
      <c r="AE146" s="666"/>
    </row>
    <row r="147" ht="15.75" customHeight="1">
      <c r="A147" s="671">
        <v>44099.0</v>
      </c>
      <c r="B147" s="676" t="s">
        <v>5116</v>
      </c>
      <c r="C147" s="673" t="s">
        <v>2346</v>
      </c>
      <c r="D147" s="641" t="s">
        <v>5038</v>
      </c>
      <c r="E147" s="669">
        <v>20000.0</v>
      </c>
      <c r="F147" s="641" t="s">
        <v>5117</v>
      </c>
      <c r="G147" s="667" t="s">
        <v>669</v>
      </c>
      <c r="H147" s="667" t="s">
        <v>199</v>
      </c>
      <c r="I147" s="667" t="s">
        <v>2388</v>
      </c>
      <c r="J147" s="667">
        <v>43559.0</v>
      </c>
      <c r="K147" s="670" t="s">
        <v>4383</v>
      </c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66"/>
      <c r="AB147" s="666"/>
      <c r="AC147" s="666"/>
      <c r="AD147" s="666"/>
      <c r="AE147" s="666"/>
    </row>
    <row r="148" ht="15.75" customHeight="1">
      <c r="A148" s="671">
        <v>44099.0</v>
      </c>
      <c r="B148" s="672" t="s">
        <v>5075</v>
      </c>
      <c r="C148" s="673" t="s">
        <v>2346</v>
      </c>
      <c r="D148" s="641" t="s">
        <v>5038</v>
      </c>
      <c r="E148" s="669">
        <v>25000.0</v>
      </c>
      <c r="F148" s="641" t="s">
        <v>956</v>
      </c>
      <c r="G148" s="667" t="s">
        <v>669</v>
      </c>
      <c r="H148" s="667" t="s">
        <v>199</v>
      </c>
      <c r="I148" s="667" t="s">
        <v>1228</v>
      </c>
      <c r="J148" s="667">
        <v>43605.0</v>
      </c>
      <c r="K148" s="670" t="s">
        <v>2365</v>
      </c>
      <c r="L148" s="666"/>
      <c r="M148" s="666"/>
      <c r="N148" s="666"/>
      <c r="O148" s="666"/>
      <c r="P148" s="666"/>
      <c r="Q148" s="666"/>
      <c r="R148" s="666"/>
      <c r="S148" s="666"/>
      <c r="T148" s="666"/>
      <c r="U148" s="666"/>
      <c r="V148" s="666"/>
      <c r="W148" s="666"/>
      <c r="X148" s="666"/>
      <c r="Y148" s="666"/>
      <c r="Z148" s="666"/>
      <c r="AA148" s="666"/>
      <c r="AB148" s="666"/>
      <c r="AC148" s="666"/>
      <c r="AD148" s="666"/>
      <c r="AE148" s="666"/>
    </row>
    <row r="149" ht="15.75" customHeight="1">
      <c r="A149" s="671">
        <v>44102.0</v>
      </c>
      <c r="B149" s="676" t="s">
        <v>5046</v>
      </c>
      <c r="C149" s="673" t="s">
        <v>98</v>
      </c>
      <c r="D149" s="641" t="s">
        <v>5038</v>
      </c>
      <c r="E149" s="669">
        <v>10000.0</v>
      </c>
      <c r="F149" s="641" t="s">
        <v>4424</v>
      </c>
      <c r="G149" s="641" t="s">
        <v>669</v>
      </c>
      <c r="H149" s="641" t="s">
        <v>199</v>
      </c>
      <c r="I149" s="641" t="s">
        <v>669</v>
      </c>
      <c r="J149" s="667">
        <v>43749.0</v>
      </c>
      <c r="K149" s="674" t="s">
        <v>4383</v>
      </c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6"/>
      <c r="AB149" s="666"/>
      <c r="AC149" s="666"/>
      <c r="AD149" s="666"/>
      <c r="AE149" s="666"/>
    </row>
    <row r="150" ht="15.75" customHeight="1">
      <c r="A150" s="671">
        <v>44103.0</v>
      </c>
      <c r="B150" s="672" t="s">
        <v>5105</v>
      </c>
      <c r="C150" s="673" t="s">
        <v>2346</v>
      </c>
      <c r="D150" s="641" t="s">
        <v>5038</v>
      </c>
      <c r="E150" s="669">
        <v>10000.0</v>
      </c>
      <c r="F150" s="641" t="s">
        <v>5108</v>
      </c>
      <c r="G150" s="667" t="s">
        <v>669</v>
      </c>
      <c r="H150" s="667" t="s">
        <v>199</v>
      </c>
      <c r="I150" s="667" t="s">
        <v>2388</v>
      </c>
      <c r="J150" s="667">
        <v>43664.0</v>
      </c>
      <c r="K150" s="670" t="s">
        <v>4383</v>
      </c>
      <c r="L150" s="666"/>
      <c r="M150" s="666"/>
      <c r="N150" s="666"/>
      <c r="O150" s="666"/>
      <c r="P150" s="666"/>
      <c r="Q150" s="666"/>
      <c r="R150" s="666"/>
      <c r="S150" s="666"/>
      <c r="T150" s="666"/>
      <c r="U150" s="666"/>
      <c r="V150" s="666"/>
      <c r="W150" s="666"/>
      <c r="X150" s="666"/>
      <c r="Y150" s="666"/>
      <c r="Z150" s="666"/>
      <c r="AA150" s="666"/>
      <c r="AB150" s="666"/>
      <c r="AC150" s="666"/>
      <c r="AD150" s="666"/>
      <c r="AE150" s="666"/>
    </row>
    <row r="151" ht="15.75" customHeight="1">
      <c r="A151" s="671">
        <v>44103.0</v>
      </c>
      <c r="B151" s="676" t="s">
        <v>1138</v>
      </c>
      <c r="C151" s="673" t="s">
        <v>202</v>
      </c>
      <c r="D151" s="641" t="s">
        <v>427</v>
      </c>
      <c r="E151" s="669">
        <v>7000.0</v>
      </c>
      <c r="F151" s="641" t="s">
        <v>5526</v>
      </c>
      <c r="G151" s="667" t="s">
        <v>120</v>
      </c>
      <c r="H151" s="667" t="s">
        <v>199</v>
      </c>
      <c r="I151" s="667" t="s">
        <v>1140</v>
      </c>
      <c r="J151" s="667">
        <v>43742.0</v>
      </c>
      <c r="K151" s="670" t="s">
        <v>4383</v>
      </c>
      <c r="L151" s="666"/>
      <c r="M151" s="666"/>
      <c r="N151" s="666"/>
      <c r="O151" s="666"/>
      <c r="P151" s="666"/>
      <c r="Q151" s="666"/>
      <c r="R151" s="666"/>
      <c r="S151" s="666"/>
      <c r="T151" s="666"/>
      <c r="U151" s="666"/>
      <c r="V151" s="666"/>
      <c r="W151" s="666"/>
      <c r="X151" s="666"/>
      <c r="Y151" s="666"/>
      <c r="Z151" s="666"/>
      <c r="AA151" s="666"/>
      <c r="AB151" s="666"/>
      <c r="AC151" s="666"/>
      <c r="AD151" s="666"/>
      <c r="AE151" s="666"/>
    </row>
    <row r="152" ht="15.75" customHeight="1">
      <c r="A152" s="671">
        <v>44103.0</v>
      </c>
      <c r="B152" s="672" t="s">
        <v>5527</v>
      </c>
      <c r="C152" s="673" t="s">
        <v>2346</v>
      </c>
      <c r="D152" s="641" t="s">
        <v>5038</v>
      </c>
      <c r="E152" s="669">
        <v>10000.0</v>
      </c>
      <c r="F152" s="641" t="s">
        <v>3868</v>
      </c>
      <c r="G152" s="667" t="s">
        <v>669</v>
      </c>
      <c r="H152" s="667" t="s">
        <v>199</v>
      </c>
      <c r="I152" s="667" t="s">
        <v>1228</v>
      </c>
      <c r="J152" s="667">
        <v>43707.0</v>
      </c>
      <c r="K152" s="670" t="s">
        <v>2372</v>
      </c>
      <c r="L152" s="666"/>
      <c r="M152" s="666"/>
      <c r="N152" s="666"/>
      <c r="O152" s="666"/>
      <c r="P152" s="666"/>
      <c r="Q152" s="666"/>
      <c r="R152" s="666"/>
      <c r="S152" s="666"/>
      <c r="T152" s="666"/>
      <c r="U152" s="666"/>
      <c r="V152" s="666"/>
      <c r="W152" s="666"/>
      <c r="X152" s="666"/>
      <c r="Y152" s="666"/>
      <c r="Z152" s="666"/>
      <c r="AA152" s="666"/>
      <c r="AB152" s="666"/>
      <c r="AC152" s="666"/>
      <c r="AD152" s="666"/>
      <c r="AE152" s="666"/>
    </row>
    <row r="153" ht="15.75" customHeight="1">
      <c r="A153" s="671">
        <v>44103.0</v>
      </c>
      <c r="B153" s="672" t="s">
        <v>5529</v>
      </c>
      <c r="C153" s="673" t="s">
        <v>98</v>
      </c>
      <c r="D153" s="641" t="s">
        <v>5038</v>
      </c>
      <c r="E153" s="669">
        <v>4000.0</v>
      </c>
      <c r="F153" s="641" t="s">
        <v>5321</v>
      </c>
      <c r="G153" s="641" t="s">
        <v>669</v>
      </c>
      <c r="H153" s="641" t="s">
        <v>199</v>
      </c>
      <c r="I153" s="641" t="s">
        <v>669</v>
      </c>
      <c r="J153" s="667">
        <v>43901.0</v>
      </c>
      <c r="K153" s="674" t="s">
        <v>2319</v>
      </c>
      <c r="L153" s="666"/>
      <c r="M153" s="666"/>
      <c r="N153" s="666"/>
      <c r="O153" s="666"/>
      <c r="P153" s="666"/>
      <c r="Q153" s="666"/>
      <c r="R153" s="666"/>
      <c r="S153" s="666"/>
      <c r="T153" s="666"/>
      <c r="U153" s="666"/>
      <c r="V153" s="666"/>
      <c r="W153" s="666"/>
      <c r="X153" s="666"/>
      <c r="Y153" s="666"/>
      <c r="Z153" s="666"/>
      <c r="AA153" s="666"/>
      <c r="AB153" s="666"/>
      <c r="AC153" s="666"/>
      <c r="AD153" s="666"/>
      <c r="AE153" s="666"/>
    </row>
    <row r="154" ht="15.75" customHeight="1">
      <c r="A154" s="671">
        <v>44103.0</v>
      </c>
      <c r="B154" s="672" t="s">
        <v>5065</v>
      </c>
      <c r="C154" s="673" t="s">
        <v>2346</v>
      </c>
      <c r="D154" s="641" t="s">
        <v>5038</v>
      </c>
      <c r="E154" s="669">
        <v>6000.0</v>
      </c>
      <c r="F154" s="641" t="s">
        <v>5066</v>
      </c>
      <c r="G154" s="667" t="s">
        <v>669</v>
      </c>
      <c r="H154" s="667" t="s">
        <v>199</v>
      </c>
      <c r="I154" s="667" t="s">
        <v>1228</v>
      </c>
      <c r="J154" s="667">
        <v>43703.0</v>
      </c>
      <c r="K154" s="670" t="s">
        <v>4383</v>
      </c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</row>
    <row r="155" ht="15.75" customHeight="1">
      <c r="A155" s="671">
        <v>44103.0</v>
      </c>
      <c r="B155" s="676" t="s">
        <v>5037</v>
      </c>
      <c r="C155" s="673" t="s">
        <v>2346</v>
      </c>
      <c r="D155" s="641" t="s">
        <v>5038</v>
      </c>
      <c r="E155" s="669">
        <v>1500.0</v>
      </c>
      <c r="F155" s="641" t="s">
        <v>5039</v>
      </c>
      <c r="G155" s="667" t="s">
        <v>669</v>
      </c>
      <c r="H155" s="667" t="s">
        <v>199</v>
      </c>
      <c r="I155" s="667" t="s">
        <v>1228</v>
      </c>
      <c r="J155" s="667">
        <v>43675.0</v>
      </c>
      <c r="K155" s="670" t="s">
        <v>4383</v>
      </c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</row>
    <row r="156" ht="15.75" customHeight="1">
      <c r="A156" s="667">
        <v>44105.0</v>
      </c>
      <c r="B156" s="668" t="s">
        <v>5172</v>
      </c>
      <c r="C156" s="641" t="s">
        <v>2346</v>
      </c>
      <c r="D156" s="641" t="s">
        <v>694</v>
      </c>
      <c r="E156" s="669">
        <v>17805.25</v>
      </c>
      <c r="F156" s="641" t="s">
        <v>5173</v>
      </c>
      <c r="G156" s="667" t="s">
        <v>669</v>
      </c>
      <c r="H156" s="667" t="s">
        <v>199</v>
      </c>
      <c r="I156" s="667" t="s">
        <v>1228</v>
      </c>
      <c r="J156" s="667">
        <v>43699.0</v>
      </c>
      <c r="K156" s="670" t="s">
        <v>4383</v>
      </c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</row>
    <row r="157" ht="15.75" customHeight="1">
      <c r="A157" s="667">
        <v>44105.0</v>
      </c>
      <c r="B157" s="688" t="s">
        <v>5385</v>
      </c>
      <c r="C157" s="641" t="s">
        <v>98</v>
      </c>
      <c r="D157" s="641" t="s">
        <v>694</v>
      </c>
      <c r="E157" s="669">
        <v>0.0</v>
      </c>
      <c r="F157" s="641" t="s">
        <v>5379</v>
      </c>
      <c r="G157" s="641" t="s">
        <v>669</v>
      </c>
      <c r="H157" s="641" t="s">
        <v>199</v>
      </c>
      <c r="I157" s="641" t="s">
        <v>669</v>
      </c>
      <c r="J157" s="667">
        <v>43700.0</v>
      </c>
      <c r="K157" s="674" t="s">
        <v>2341</v>
      </c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</row>
    <row r="158" ht="15.75" customHeight="1">
      <c r="A158" s="667">
        <v>44105.0</v>
      </c>
      <c r="B158" s="668" t="s">
        <v>5538</v>
      </c>
      <c r="C158" s="641" t="s">
        <v>98</v>
      </c>
      <c r="D158" s="641" t="s">
        <v>694</v>
      </c>
      <c r="E158" s="669">
        <v>0.0</v>
      </c>
      <c r="F158" s="641" t="s">
        <v>4454</v>
      </c>
      <c r="G158" s="641" t="s">
        <v>120</v>
      </c>
      <c r="H158" s="641" t="s">
        <v>199</v>
      </c>
      <c r="I158" s="641" t="s">
        <v>4689</v>
      </c>
      <c r="J158" s="667">
        <v>43777.0</v>
      </c>
      <c r="K158" s="674" t="s">
        <v>5539</v>
      </c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</row>
    <row r="159" ht="15.75" customHeight="1">
      <c r="A159" s="671">
        <v>44105.0</v>
      </c>
      <c r="B159" s="672" t="s">
        <v>5347</v>
      </c>
      <c r="C159" s="673" t="s">
        <v>2346</v>
      </c>
      <c r="D159" s="641" t="s">
        <v>5038</v>
      </c>
      <c r="E159" s="669">
        <v>20000.0</v>
      </c>
      <c r="F159" s="641" t="s">
        <v>5350</v>
      </c>
      <c r="G159" s="667" t="s">
        <v>669</v>
      </c>
      <c r="H159" s="667" t="s">
        <v>199</v>
      </c>
      <c r="I159" s="667" t="s">
        <v>1228</v>
      </c>
      <c r="J159" s="667">
        <v>43840.0</v>
      </c>
      <c r="K159" s="670" t="s">
        <v>2365</v>
      </c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</row>
    <row r="160" ht="15.75" customHeight="1">
      <c r="A160" s="667">
        <v>44109.0</v>
      </c>
      <c r="B160" s="688" t="s">
        <v>5543</v>
      </c>
      <c r="C160" s="641" t="s">
        <v>2346</v>
      </c>
      <c r="D160" s="641" t="s">
        <v>694</v>
      </c>
      <c r="E160" s="669">
        <v>379116.63</v>
      </c>
      <c r="F160" s="641" t="s">
        <v>5544</v>
      </c>
      <c r="G160" s="667" t="s">
        <v>1096</v>
      </c>
      <c r="H160" s="667" t="s">
        <v>199</v>
      </c>
      <c r="I160" s="667" t="s">
        <v>1096</v>
      </c>
      <c r="J160" s="667">
        <v>43426.0</v>
      </c>
      <c r="K160" s="670" t="s">
        <v>2372</v>
      </c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</row>
    <row r="161" ht="15.75" customHeight="1">
      <c r="A161" s="671">
        <v>44109.0</v>
      </c>
      <c r="B161" s="672" t="s">
        <v>5494</v>
      </c>
      <c r="C161" s="673" t="s">
        <v>98</v>
      </c>
      <c r="D161" s="641" t="s">
        <v>5038</v>
      </c>
      <c r="E161" s="669">
        <v>10000.0</v>
      </c>
      <c r="F161" s="641" t="s">
        <v>5495</v>
      </c>
      <c r="G161" s="641" t="s">
        <v>669</v>
      </c>
      <c r="H161" s="641" t="s">
        <v>199</v>
      </c>
      <c r="I161" s="641" t="s">
        <v>669</v>
      </c>
      <c r="J161" s="667">
        <v>44068.0</v>
      </c>
      <c r="K161" s="674" t="s">
        <v>2341</v>
      </c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</row>
    <row r="162" ht="15.75" customHeight="1">
      <c r="A162" s="671">
        <v>44109.0</v>
      </c>
      <c r="B162" s="672" t="s">
        <v>5075</v>
      </c>
      <c r="C162" s="673" t="s">
        <v>2346</v>
      </c>
      <c r="D162" s="641" t="s">
        <v>5038</v>
      </c>
      <c r="E162" s="669">
        <v>10000.0</v>
      </c>
      <c r="F162" s="641" t="s">
        <v>956</v>
      </c>
      <c r="G162" s="667" t="s">
        <v>669</v>
      </c>
      <c r="H162" s="667" t="s">
        <v>199</v>
      </c>
      <c r="I162" s="667" t="s">
        <v>1228</v>
      </c>
      <c r="J162" s="667">
        <v>43605.0</v>
      </c>
      <c r="K162" s="670" t="s">
        <v>2365</v>
      </c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</row>
    <row r="163" ht="15.75" customHeight="1">
      <c r="A163" s="671">
        <v>44109.0</v>
      </c>
      <c r="B163" s="672" t="s">
        <v>5270</v>
      </c>
      <c r="C163" s="673" t="s">
        <v>2346</v>
      </c>
      <c r="D163" s="641" t="s">
        <v>5038</v>
      </c>
      <c r="E163" s="669">
        <v>14000.0</v>
      </c>
      <c r="F163" s="641" t="s">
        <v>1227</v>
      </c>
      <c r="G163" s="667" t="s">
        <v>669</v>
      </c>
      <c r="H163" s="667" t="s">
        <v>199</v>
      </c>
      <c r="I163" s="667" t="s">
        <v>1228</v>
      </c>
      <c r="J163" s="667">
        <v>43564.0</v>
      </c>
      <c r="K163" s="670" t="s">
        <v>2372</v>
      </c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</row>
    <row r="164" ht="15.75" customHeight="1">
      <c r="A164" s="671">
        <v>44119.0</v>
      </c>
      <c r="B164" s="672" t="s">
        <v>5178</v>
      </c>
      <c r="C164" s="673" t="s">
        <v>2346</v>
      </c>
      <c r="D164" s="641" t="s">
        <v>5038</v>
      </c>
      <c r="E164" s="669">
        <v>7000.0</v>
      </c>
      <c r="F164" s="641" t="s">
        <v>5180</v>
      </c>
      <c r="G164" s="667" t="s">
        <v>669</v>
      </c>
      <c r="H164" s="667" t="s">
        <v>199</v>
      </c>
      <c r="I164" s="667" t="s">
        <v>1228</v>
      </c>
      <c r="J164" s="667">
        <v>43717.0</v>
      </c>
      <c r="K164" s="670" t="s">
        <v>4383</v>
      </c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</row>
    <row r="165" ht="15.75" customHeight="1">
      <c r="A165" s="671">
        <v>44120.0</v>
      </c>
      <c r="B165" s="676" t="s">
        <v>5494</v>
      </c>
      <c r="C165" s="673" t="s">
        <v>98</v>
      </c>
      <c r="D165" s="641" t="s">
        <v>5038</v>
      </c>
      <c r="E165" s="669">
        <v>8000.0</v>
      </c>
      <c r="F165" s="641" t="s">
        <v>5495</v>
      </c>
      <c r="G165" s="641" t="s">
        <v>669</v>
      </c>
      <c r="H165" s="641" t="s">
        <v>199</v>
      </c>
      <c r="I165" s="641" t="s">
        <v>669</v>
      </c>
      <c r="J165" s="667">
        <v>44068.0</v>
      </c>
      <c r="K165" s="674" t="s">
        <v>2341</v>
      </c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</row>
    <row r="166" ht="15.75" customHeight="1">
      <c r="A166" s="671">
        <v>44124.0</v>
      </c>
      <c r="B166" s="672" t="s">
        <v>5183</v>
      </c>
      <c r="C166" s="673" t="s">
        <v>2346</v>
      </c>
      <c r="D166" s="641" t="s">
        <v>5038</v>
      </c>
      <c r="E166" s="669">
        <v>140000.0</v>
      </c>
      <c r="F166" s="641" t="s">
        <v>1460</v>
      </c>
      <c r="G166" s="667" t="s">
        <v>669</v>
      </c>
      <c r="H166" s="667" t="s">
        <v>199</v>
      </c>
      <c r="I166" s="667" t="s">
        <v>1228</v>
      </c>
      <c r="J166" s="667">
        <v>43894.0</v>
      </c>
      <c r="K166" s="670" t="s">
        <v>2365</v>
      </c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</row>
    <row r="167" ht="15.75" customHeight="1">
      <c r="A167" s="671">
        <v>44124.0</v>
      </c>
      <c r="B167" s="672" t="s">
        <v>5555</v>
      </c>
      <c r="C167" s="673" t="s">
        <v>2346</v>
      </c>
      <c r="D167" s="641" t="s">
        <v>5038</v>
      </c>
      <c r="E167" s="669">
        <v>10000.0</v>
      </c>
      <c r="F167" s="641" t="s">
        <v>5556</v>
      </c>
      <c r="G167" s="667" t="s">
        <v>669</v>
      </c>
      <c r="H167" s="667" t="s">
        <v>199</v>
      </c>
      <c r="I167" s="667" t="s">
        <v>2388</v>
      </c>
      <c r="J167" s="667">
        <v>43622.0</v>
      </c>
      <c r="K167" s="670" t="s">
        <v>2365</v>
      </c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</row>
    <row r="168" ht="15.75" customHeight="1">
      <c r="A168" s="671">
        <v>44125.0</v>
      </c>
      <c r="B168" s="672" t="s">
        <v>5085</v>
      </c>
      <c r="C168" s="673" t="s">
        <v>98</v>
      </c>
      <c r="D168" s="641" t="s">
        <v>5038</v>
      </c>
      <c r="E168" s="669">
        <v>130000.0</v>
      </c>
      <c r="F168" s="641" t="s">
        <v>5088</v>
      </c>
      <c r="G168" s="641" t="s">
        <v>669</v>
      </c>
      <c r="H168" s="641" t="s">
        <v>199</v>
      </c>
      <c r="I168" s="641" t="s">
        <v>669</v>
      </c>
      <c r="J168" s="667">
        <v>44252.0</v>
      </c>
      <c r="K168" s="674" t="s">
        <v>2365</v>
      </c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</row>
    <row r="169" ht="15.75" customHeight="1">
      <c r="A169" s="671">
        <v>44127.0</v>
      </c>
      <c r="B169" s="672" t="s">
        <v>5270</v>
      </c>
      <c r="C169" s="673" t="s">
        <v>2346</v>
      </c>
      <c r="D169" s="641" t="s">
        <v>5038</v>
      </c>
      <c r="E169" s="669">
        <v>12000.0</v>
      </c>
      <c r="F169" s="641" t="s">
        <v>1227</v>
      </c>
      <c r="G169" s="667" t="s">
        <v>669</v>
      </c>
      <c r="H169" s="667" t="s">
        <v>199</v>
      </c>
      <c r="I169" s="667" t="s">
        <v>1228</v>
      </c>
      <c r="J169" s="667">
        <v>43564.0</v>
      </c>
      <c r="K169" s="670" t="s">
        <v>2372</v>
      </c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</row>
    <row r="170" ht="15.75" customHeight="1">
      <c r="A170" s="671">
        <v>44130.0</v>
      </c>
      <c r="B170" s="672" t="s">
        <v>5075</v>
      </c>
      <c r="C170" s="673" t="s">
        <v>2346</v>
      </c>
      <c r="D170" s="641" t="s">
        <v>5038</v>
      </c>
      <c r="E170" s="669">
        <v>34182.0</v>
      </c>
      <c r="F170" s="641" t="s">
        <v>956</v>
      </c>
      <c r="G170" s="667" t="s">
        <v>669</v>
      </c>
      <c r="H170" s="667" t="s">
        <v>199</v>
      </c>
      <c r="I170" s="667" t="s">
        <v>1228</v>
      </c>
      <c r="J170" s="667">
        <v>43605.0</v>
      </c>
      <c r="K170" s="670" t="s">
        <v>2365</v>
      </c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</row>
    <row r="171" ht="15.75" customHeight="1">
      <c r="A171" s="671">
        <v>44131.0</v>
      </c>
      <c r="B171" s="672" t="s">
        <v>5494</v>
      </c>
      <c r="C171" s="673" t="s">
        <v>98</v>
      </c>
      <c r="D171" s="641" t="s">
        <v>5038</v>
      </c>
      <c r="E171" s="669">
        <v>20000.0</v>
      </c>
      <c r="F171" s="641" t="s">
        <v>5495</v>
      </c>
      <c r="G171" s="641" t="s">
        <v>669</v>
      </c>
      <c r="H171" s="641" t="s">
        <v>199</v>
      </c>
      <c r="I171" s="641" t="s">
        <v>669</v>
      </c>
      <c r="J171" s="667">
        <v>44068.0</v>
      </c>
      <c r="K171" s="674" t="s">
        <v>2341</v>
      </c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</row>
    <row r="172" ht="15.75" customHeight="1">
      <c r="A172" s="671">
        <v>44131.0</v>
      </c>
      <c r="B172" s="672" t="s">
        <v>5347</v>
      </c>
      <c r="C172" s="673" t="s">
        <v>2346</v>
      </c>
      <c r="D172" s="641" t="s">
        <v>5038</v>
      </c>
      <c r="E172" s="669">
        <v>20000.0</v>
      </c>
      <c r="F172" s="641" t="s">
        <v>5350</v>
      </c>
      <c r="G172" s="667" t="s">
        <v>669</v>
      </c>
      <c r="H172" s="667" t="s">
        <v>199</v>
      </c>
      <c r="I172" s="667" t="s">
        <v>1228</v>
      </c>
      <c r="J172" s="667">
        <v>43840.0</v>
      </c>
      <c r="K172" s="670" t="s">
        <v>2365</v>
      </c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</row>
    <row r="173" ht="15.75" customHeight="1">
      <c r="A173" s="671">
        <v>44131.0</v>
      </c>
      <c r="B173" s="672" t="s">
        <v>5215</v>
      </c>
      <c r="C173" s="673" t="s">
        <v>2346</v>
      </c>
      <c r="D173" s="641" t="s">
        <v>5038</v>
      </c>
      <c r="E173" s="669">
        <v>3000.0</v>
      </c>
      <c r="F173" s="641" t="s">
        <v>3394</v>
      </c>
      <c r="G173" s="667" t="s">
        <v>669</v>
      </c>
      <c r="H173" s="667" t="s">
        <v>199</v>
      </c>
      <c r="I173" s="667" t="s">
        <v>1228</v>
      </c>
      <c r="J173" s="667">
        <v>43867.0</v>
      </c>
      <c r="K173" s="670" t="s">
        <v>2341</v>
      </c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</row>
    <row r="174" ht="15.75" customHeight="1">
      <c r="A174" s="671">
        <v>44131.0</v>
      </c>
      <c r="B174" s="672" t="s">
        <v>5065</v>
      </c>
      <c r="C174" s="673" t="s">
        <v>2346</v>
      </c>
      <c r="D174" s="641" t="s">
        <v>5038</v>
      </c>
      <c r="E174" s="669">
        <v>7000.0</v>
      </c>
      <c r="F174" s="641" t="s">
        <v>5066</v>
      </c>
      <c r="G174" s="667" t="s">
        <v>669</v>
      </c>
      <c r="H174" s="667" t="s">
        <v>199</v>
      </c>
      <c r="I174" s="667" t="s">
        <v>1228</v>
      </c>
      <c r="J174" s="667">
        <v>43703.0</v>
      </c>
      <c r="K174" s="670" t="s">
        <v>4383</v>
      </c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</row>
    <row r="175" ht="15.75" customHeight="1">
      <c r="A175" s="671">
        <v>44131.0</v>
      </c>
      <c r="B175" s="672" t="s">
        <v>5372</v>
      </c>
      <c r="C175" s="673" t="s">
        <v>2346</v>
      </c>
      <c r="D175" s="641" t="s">
        <v>5038</v>
      </c>
      <c r="E175" s="669">
        <v>10000.0</v>
      </c>
      <c r="F175" s="641" t="s">
        <v>5373</v>
      </c>
      <c r="G175" s="667" t="s">
        <v>669</v>
      </c>
      <c r="H175" s="667" t="s">
        <v>199</v>
      </c>
      <c r="I175" s="667" t="s">
        <v>1228</v>
      </c>
      <c r="J175" s="667">
        <v>43732.0</v>
      </c>
      <c r="K175" s="670" t="s">
        <v>4383</v>
      </c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</row>
    <row r="176" ht="15.75" customHeight="1">
      <c r="A176" s="667">
        <v>44132.0</v>
      </c>
      <c r="B176" s="668" t="s">
        <v>5579</v>
      </c>
      <c r="C176" s="641" t="s">
        <v>2346</v>
      </c>
      <c r="D176" s="641" t="s">
        <v>694</v>
      </c>
      <c r="E176" s="669">
        <v>191544.71</v>
      </c>
      <c r="F176" s="641" t="s">
        <v>5580</v>
      </c>
      <c r="G176" s="667" t="s">
        <v>1096</v>
      </c>
      <c r="H176" s="667" t="s">
        <v>199</v>
      </c>
      <c r="I176" s="667" t="s">
        <v>1096</v>
      </c>
      <c r="J176" s="667">
        <v>43494.0</v>
      </c>
      <c r="K176" s="670" t="s">
        <v>2372</v>
      </c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</row>
    <row r="177" ht="15.75" customHeight="1">
      <c r="A177" s="671">
        <v>44133.0</v>
      </c>
      <c r="B177" s="672" t="s">
        <v>5583</v>
      </c>
      <c r="C177" s="673" t="s">
        <v>2346</v>
      </c>
      <c r="D177" s="641" t="s">
        <v>5038</v>
      </c>
      <c r="E177" s="669">
        <v>9600.0</v>
      </c>
      <c r="F177" s="641" t="s">
        <v>5588</v>
      </c>
      <c r="G177" s="667" t="s">
        <v>669</v>
      </c>
      <c r="H177" s="667" t="s">
        <v>199</v>
      </c>
      <c r="I177" s="667" t="s">
        <v>1228</v>
      </c>
      <c r="J177" s="667">
        <v>43873.0</v>
      </c>
      <c r="K177" s="670" t="s">
        <v>2341</v>
      </c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</row>
    <row r="178" ht="15.75" customHeight="1">
      <c r="A178" s="671">
        <v>44133.0</v>
      </c>
      <c r="B178" s="672" t="s">
        <v>5075</v>
      </c>
      <c r="C178" s="673" t="s">
        <v>2346</v>
      </c>
      <c r="D178" s="641" t="s">
        <v>5038</v>
      </c>
      <c r="E178" s="669">
        <v>8000.0</v>
      </c>
      <c r="F178" s="641" t="s">
        <v>956</v>
      </c>
      <c r="G178" s="667" t="s">
        <v>669</v>
      </c>
      <c r="H178" s="667" t="s">
        <v>199</v>
      </c>
      <c r="I178" s="667" t="s">
        <v>1228</v>
      </c>
      <c r="J178" s="667">
        <v>43605.0</v>
      </c>
      <c r="K178" s="670" t="s">
        <v>2365</v>
      </c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</row>
    <row r="179" ht="15.75" customHeight="1">
      <c r="A179" s="671">
        <v>44138.0</v>
      </c>
      <c r="B179" s="672" t="s">
        <v>5037</v>
      </c>
      <c r="C179" s="673" t="s">
        <v>2346</v>
      </c>
      <c r="D179" s="641" t="s">
        <v>5038</v>
      </c>
      <c r="E179" s="669">
        <v>100000.0</v>
      </c>
      <c r="F179" s="641" t="s">
        <v>5039</v>
      </c>
      <c r="G179" s="667" t="s">
        <v>669</v>
      </c>
      <c r="H179" s="667" t="s">
        <v>199</v>
      </c>
      <c r="I179" s="667" t="s">
        <v>1228</v>
      </c>
      <c r="J179" s="667">
        <v>43675.0</v>
      </c>
      <c r="K179" s="670" t="s">
        <v>4383</v>
      </c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</row>
    <row r="180" ht="15.75" customHeight="1">
      <c r="A180" s="671">
        <v>44138.0</v>
      </c>
      <c r="B180" s="676" t="s">
        <v>5336</v>
      </c>
      <c r="C180" s="673" t="s">
        <v>2346</v>
      </c>
      <c r="D180" s="641" t="s">
        <v>5038</v>
      </c>
      <c r="E180" s="669">
        <v>30000.0</v>
      </c>
      <c r="F180" s="641" t="s">
        <v>5002</v>
      </c>
      <c r="G180" s="667" t="s">
        <v>669</v>
      </c>
      <c r="H180" s="667" t="s">
        <v>199</v>
      </c>
      <c r="I180" s="667" t="s">
        <v>1228</v>
      </c>
      <c r="J180" s="667">
        <v>43888.0</v>
      </c>
      <c r="K180" s="670" t="s">
        <v>2341</v>
      </c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</row>
    <row r="181" ht="15.75" customHeight="1">
      <c r="A181" s="671">
        <v>44138.0</v>
      </c>
      <c r="B181" s="672" t="s">
        <v>5075</v>
      </c>
      <c r="C181" s="673" t="s">
        <v>2346</v>
      </c>
      <c r="D181" s="641" t="s">
        <v>5038</v>
      </c>
      <c r="E181" s="669">
        <v>6000.0</v>
      </c>
      <c r="F181" s="641" t="s">
        <v>956</v>
      </c>
      <c r="G181" s="667" t="s">
        <v>669</v>
      </c>
      <c r="H181" s="667" t="s">
        <v>199</v>
      </c>
      <c r="I181" s="667" t="s">
        <v>1228</v>
      </c>
      <c r="J181" s="667">
        <v>43605.0</v>
      </c>
      <c r="K181" s="670" t="s">
        <v>2365</v>
      </c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</row>
    <row r="182" ht="15.75" customHeight="1">
      <c r="A182" s="671">
        <v>44138.0</v>
      </c>
      <c r="B182" s="672" t="s">
        <v>5116</v>
      </c>
      <c r="C182" s="673" t="s">
        <v>2346</v>
      </c>
      <c r="D182" s="641" t="s">
        <v>5038</v>
      </c>
      <c r="E182" s="669">
        <v>6000.0</v>
      </c>
      <c r="F182" s="641" t="s">
        <v>5117</v>
      </c>
      <c r="G182" s="667" t="s">
        <v>669</v>
      </c>
      <c r="H182" s="667" t="s">
        <v>199</v>
      </c>
      <c r="I182" s="667" t="s">
        <v>2388</v>
      </c>
      <c r="J182" s="667">
        <v>43559.0</v>
      </c>
      <c r="K182" s="670" t="s">
        <v>4383</v>
      </c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</row>
    <row r="183" ht="15.75" customHeight="1">
      <c r="A183" s="671">
        <v>44138.0</v>
      </c>
      <c r="B183" s="672" t="s">
        <v>5065</v>
      </c>
      <c r="C183" s="673" t="s">
        <v>2346</v>
      </c>
      <c r="D183" s="641" t="s">
        <v>5038</v>
      </c>
      <c r="E183" s="669">
        <v>6300.0</v>
      </c>
      <c r="F183" s="641" t="s">
        <v>5066</v>
      </c>
      <c r="G183" s="667" t="s">
        <v>669</v>
      </c>
      <c r="H183" s="667" t="s">
        <v>199</v>
      </c>
      <c r="I183" s="667" t="s">
        <v>1228</v>
      </c>
      <c r="J183" s="667">
        <v>43703.0</v>
      </c>
      <c r="K183" s="670" t="s">
        <v>4383</v>
      </c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</row>
    <row r="184" ht="15.75" customHeight="1">
      <c r="A184" s="671">
        <v>44138.0</v>
      </c>
      <c r="B184" s="672" t="s">
        <v>5065</v>
      </c>
      <c r="C184" s="673" t="s">
        <v>2346</v>
      </c>
      <c r="D184" s="641" t="s">
        <v>5038</v>
      </c>
      <c r="E184" s="669">
        <v>10000.0</v>
      </c>
      <c r="F184" s="641" t="s">
        <v>5066</v>
      </c>
      <c r="G184" s="667" t="s">
        <v>669</v>
      </c>
      <c r="H184" s="667" t="s">
        <v>199</v>
      </c>
      <c r="I184" s="667" t="s">
        <v>1228</v>
      </c>
      <c r="J184" s="667">
        <v>43703.0</v>
      </c>
      <c r="K184" s="670" t="s">
        <v>4383</v>
      </c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</row>
    <row r="185" ht="15.75" customHeight="1">
      <c r="A185" s="671">
        <v>44138.0</v>
      </c>
      <c r="B185" s="672" t="s">
        <v>5494</v>
      </c>
      <c r="C185" s="673" t="s">
        <v>98</v>
      </c>
      <c r="D185" s="641" t="s">
        <v>5038</v>
      </c>
      <c r="E185" s="669">
        <v>5000.0</v>
      </c>
      <c r="F185" s="641" t="s">
        <v>5495</v>
      </c>
      <c r="G185" s="641" t="s">
        <v>669</v>
      </c>
      <c r="H185" s="641" t="s">
        <v>199</v>
      </c>
      <c r="I185" s="641" t="s">
        <v>669</v>
      </c>
      <c r="J185" s="667">
        <v>44068.0</v>
      </c>
      <c r="K185" s="674" t="s">
        <v>2341</v>
      </c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</row>
    <row r="186" ht="15.75" customHeight="1">
      <c r="A186" s="671">
        <v>44139.0</v>
      </c>
      <c r="B186" s="672" t="s">
        <v>5605</v>
      </c>
      <c r="C186" s="673" t="s">
        <v>2346</v>
      </c>
      <c r="D186" s="641" t="s">
        <v>5038</v>
      </c>
      <c r="E186" s="669">
        <v>10000.0</v>
      </c>
      <c r="F186" s="641" t="s">
        <v>5380</v>
      </c>
      <c r="G186" s="667" t="s">
        <v>669</v>
      </c>
      <c r="H186" s="667" t="s">
        <v>199</v>
      </c>
      <c r="I186" s="667" t="s">
        <v>1228</v>
      </c>
      <c r="J186" s="667">
        <v>43875.0</v>
      </c>
      <c r="K186" s="670" t="s">
        <v>2365</v>
      </c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</row>
    <row r="187" ht="15.75" customHeight="1">
      <c r="A187" s="671">
        <v>44139.0</v>
      </c>
      <c r="B187" s="672" t="s">
        <v>5555</v>
      </c>
      <c r="C187" s="673" t="s">
        <v>2346</v>
      </c>
      <c r="D187" s="641" t="s">
        <v>5038</v>
      </c>
      <c r="E187" s="669">
        <v>20000.0</v>
      </c>
      <c r="F187" s="641" t="s">
        <v>5556</v>
      </c>
      <c r="G187" s="667" t="s">
        <v>669</v>
      </c>
      <c r="H187" s="667" t="s">
        <v>199</v>
      </c>
      <c r="I187" s="667" t="s">
        <v>2388</v>
      </c>
      <c r="J187" s="667">
        <v>43622.0</v>
      </c>
      <c r="K187" s="670" t="s">
        <v>2365</v>
      </c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</row>
    <row r="188" ht="15.75" customHeight="1">
      <c r="A188" s="671">
        <v>44139.0</v>
      </c>
      <c r="B188" s="672" t="s">
        <v>510</v>
      </c>
      <c r="C188" s="673" t="s">
        <v>202</v>
      </c>
      <c r="D188" s="641" t="s">
        <v>5038</v>
      </c>
      <c r="E188" s="669">
        <v>30000.0</v>
      </c>
      <c r="F188" s="641" t="s">
        <v>508</v>
      </c>
      <c r="G188" s="667" t="s">
        <v>120</v>
      </c>
      <c r="H188" s="667" t="s">
        <v>199</v>
      </c>
      <c r="I188" s="667" t="s">
        <v>120</v>
      </c>
      <c r="J188" s="667">
        <v>44062.0</v>
      </c>
      <c r="K188" s="670" t="s">
        <v>2341</v>
      </c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</row>
    <row r="189" ht="15.75" customHeight="1">
      <c r="A189" s="671">
        <v>44139.0</v>
      </c>
      <c r="B189" s="672" t="s">
        <v>1221</v>
      </c>
      <c r="C189" s="673" t="s">
        <v>202</v>
      </c>
      <c r="D189" s="641" t="s">
        <v>5038</v>
      </c>
      <c r="E189" s="669">
        <v>28000.0</v>
      </c>
      <c r="F189" s="641" t="s">
        <v>1220</v>
      </c>
      <c r="G189" s="667" t="s">
        <v>120</v>
      </c>
      <c r="H189" s="667" t="s">
        <v>199</v>
      </c>
      <c r="I189" s="667" t="s">
        <v>439</v>
      </c>
      <c r="J189" s="667">
        <v>43635.0</v>
      </c>
      <c r="K189" s="670" t="s">
        <v>4383</v>
      </c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</row>
    <row r="190" ht="15.75" customHeight="1">
      <c r="A190" s="671">
        <v>44141.0</v>
      </c>
      <c r="B190" s="672" t="s">
        <v>5105</v>
      </c>
      <c r="C190" s="673" t="s">
        <v>2346</v>
      </c>
      <c r="D190" s="641" t="s">
        <v>5038</v>
      </c>
      <c r="E190" s="669">
        <v>1800000.0</v>
      </c>
      <c r="F190" s="641" t="s">
        <v>5108</v>
      </c>
      <c r="G190" s="667" t="s">
        <v>669</v>
      </c>
      <c r="H190" s="667" t="s">
        <v>199</v>
      </c>
      <c r="I190" s="667" t="s">
        <v>2388</v>
      </c>
      <c r="J190" s="667">
        <v>43664.0</v>
      </c>
      <c r="K190" s="670" t="s">
        <v>4383</v>
      </c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</row>
    <row r="191" ht="15.75" customHeight="1">
      <c r="A191" s="671">
        <v>44144.0</v>
      </c>
      <c r="B191" s="672" t="s">
        <v>5075</v>
      </c>
      <c r="C191" s="673" t="s">
        <v>2346</v>
      </c>
      <c r="D191" s="641" t="s">
        <v>5038</v>
      </c>
      <c r="E191" s="669">
        <v>15000.0</v>
      </c>
      <c r="F191" s="641" t="s">
        <v>956</v>
      </c>
      <c r="G191" s="667" t="s">
        <v>669</v>
      </c>
      <c r="H191" s="667" t="s">
        <v>199</v>
      </c>
      <c r="I191" s="667" t="s">
        <v>1228</v>
      </c>
      <c r="J191" s="667">
        <v>43605.0</v>
      </c>
      <c r="K191" s="670" t="s">
        <v>2365</v>
      </c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</row>
    <row r="192" ht="15.75" customHeight="1">
      <c r="A192" s="671">
        <v>44144.0</v>
      </c>
      <c r="B192" s="672" t="s">
        <v>5178</v>
      </c>
      <c r="C192" s="673" t="s">
        <v>2346</v>
      </c>
      <c r="D192" s="641" t="s">
        <v>5038</v>
      </c>
      <c r="E192" s="669">
        <v>7000.0</v>
      </c>
      <c r="F192" s="641" t="s">
        <v>5180</v>
      </c>
      <c r="G192" s="667" t="s">
        <v>669</v>
      </c>
      <c r="H192" s="667" t="s">
        <v>199</v>
      </c>
      <c r="I192" s="667" t="s">
        <v>1228</v>
      </c>
      <c r="J192" s="667">
        <v>43717.0</v>
      </c>
      <c r="K192" s="670" t="s">
        <v>4383</v>
      </c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</row>
    <row r="193" ht="15.75" customHeight="1">
      <c r="A193" s="671">
        <v>44145.0</v>
      </c>
      <c r="B193" s="676" t="s">
        <v>5336</v>
      </c>
      <c r="C193" s="673" t="s">
        <v>2346</v>
      </c>
      <c r="D193" s="641" t="s">
        <v>5038</v>
      </c>
      <c r="E193" s="669">
        <v>90562.43</v>
      </c>
      <c r="F193" s="641" t="s">
        <v>5002</v>
      </c>
      <c r="G193" s="667" t="s">
        <v>669</v>
      </c>
      <c r="H193" s="667" t="s">
        <v>199</v>
      </c>
      <c r="I193" s="667" t="s">
        <v>1228</v>
      </c>
      <c r="J193" s="667">
        <v>43888.0</v>
      </c>
      <c r="K193" s="670" t="s">
        <v>2341</v>
      </c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</row>
    <row r="194" ht="15.75" customHeight="1">
      <c r="A194" s="671">
        <v>44145.0</v>
      </c>
      <c r="B194" s="672" t="s">
        <v>5046</v>
      </c>
      <c r="C194" s="673" t="s">
        <v>98</v>
      </c>
      <c r="D194" s="641" t="s">
        <v>5038</v>
      </c>
      <c r="E194" s="669">
        <v>45400.0</v>
      </c>
      <c r="F194" s="641" t="s">
        <v>4424</v>
      </c>
      <c r="G194" s="641" t="s">
        <v>669</v>
      </c>
      <c r="H194" s="641" t="s">
        <v>199</v>
      </c>
      <c r="I194" s="641" t="s">
        <v>669</v>
      </c>
      <c r="J194" s="667">
        <v>43749.0</v>
      </c>
      <c r="K194" s="674" t="s">
        <v>4383</v>
      </c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</row>
    <row r="195" ht="15.75" customHeight="1">
      <c r="A195" s="671">
        <v>44147.0</v>
      </c>
      <c r="B195" s="672" t="s">
        <v>5069</v>
      </c>
      <c r="C195" s="673" t="s">
        <v>2346</v>
      </c>
      <c r="D195" s="641" t="s">
        <v>5038</v>
      </c>
      <c r="E195" s="669">
        <v>10000.0</v>
      </c>
      <c r="F195" s="641" t="s">
        <v>5071</v>
      </c>
      <c r="G195" s="667" t="s">
        <v>669</v>
      </c>
      <c r="H195" s="667" t="s">
        <v>199</v>
      </c>
      <c r="I195" s="667" t="s">
        <v>1228</v>
      </c>
      <c r="J195" s="667">
        <v>43567.0</v>
      </c>
      <c r="K195" s="670" t="s">
        <v>2341</v>
      </c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</row>
    <row r="196" ht="15.75" customHeight="1">
      <c r="A196" s="671">
        <v>44147.0</v>
      </c>
      <c r="B196" s="672" t="s">
        <v>5625</v>
      </c>
      <c r="C196" s="673" t="s">
        <v>98</v>
      </c>
      <c r="D196" s="641" t="s">
        <v>5038</v>
      </c>
      <c r="E196" s="669">
        <v>20000.0</v>
      </c>
      <c r="F196" s="641" t="s">
        <v>5626</v>
      </c>
      <c r="G196" s="641" t="s">
        <v>669</v>
      </c>
      <c r="H196" s="641" t="s">
        <v>199</v>
      </c>
      <c r="I196" s="641" t="s">
        <v>669</v>
      </c>
      <c r="J196" s="667">
        <v>43717.0</v>
      </c>
      <c r="K196" s="674" t="s">
        <v>4383</v>
      </c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</row>
    <row r="197" ht="15.75" customHeight="1">
      <c r="A197" s="671">
        <v>44147.0</v>
      </c>
      <c r="B197" s="672" t="s">
        <v>5503</v>
      </c>
      <c r="C197" s="673" t="s">
        <v>2346</v>
      </c>
      <c r="D197" s="641" t="s">
        <v>5038</v>
      </c>
      <c r="E197" s="669">
        <v>50000.0</v>
      </c>
      <c r="F197" s="641" t="s">
        <v>5505</v>
      </c>
      <c r="G197" s="667" t="s">
        <v>669</v>
      </c>
      <c r="H197" s="667" t="s">
        <v>199</v>
      </c>
      <c r="I197" s="667" t="s">
        <v>1228</v>
      </c>
      <c r="J197" s="667">
        <v>44041.0</v>
      </c>
      <c r="K197" s="670" t="s">
        <v>2341</v>
      </c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</row>
    <row r="198" ht="15.75" customHeight="1">
      <c r="A198" s="671">
        <v>44151.0</v>
      </c>
      <c r="B198" s="672" t="s">
        <v>1280</v>
      </c>
      <c r="C198" s="673" t="s">
        <v>202</v>
      </c>
      <c r="D198" s="641" t="s">
        <v>5038</v>
      </c>
      <c r="E198" s="669">
        <v>6000.0</v>
      </c>
      <c r="F198" s="641" t="s">
        <v>1279</v>
      </c>
      <c r="G198" s="667" t="s">
        <v>120</v>
      </c>
      <c r="H198" s="667" t="s">
        <v>199</v>
      </c>
      <c r="I198" s="667" t="s">
        <v>841</v>
      </c>
      <c r="J198" s="667">
        <v>43797.0</v>
      </c>
      <c r="K198" s="670" t="s">
        <v>2365</v>
      </c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</row>
    <row r="199" ht="15.75" customHeight="1">
      <c r="A199" s="671">
        <v>44152.0</v>
      </c>
      <c r="B199" s="672" t="s">
        <v>5494</v>
      </c>
      <c r="C199" s="673" t="s">
        <v>98</v>
      </c>
      <c r="D199" s="641" t="s">
        <v>5038</v>
      </c>
      <c r="E199" s="669">
        <v>20000.0</v>
      </c>
      <c r="F199" s="641" t="s">
        <v>5495</v>
      </c>
      <c r="G199" s="641" t="s">
        <v>669</v>
      </c>
      <c r="H199" s="641" t="s">
        <v>199</v>
      </c>
      <c r="I199" s="641" t="s">
        <v>669</v>
      </c>
      <c r="J199" s="667">
        <v>44068.0</v>
      </c>
      <c r="K199" s="674" t="s">
        <v>2341</v>
      </c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</row>
    <row r="200" ht="15.75" customHeight="1">
      <c r="A200" s="667">
        <v>44153.0</v>
      </c>
      <c r="B200" s="668" t="s">
        <v>5347</v>
      </c>
      <c r="C200" s="641" t="s">
        <v>2346</v>
      </c>
      <c r="D200" s="641" t="s">
        <v>694</v>
      </c>
      <c r="E200" s="669">
        <v>90562.43</v>
      </c>
      <c r="F200" s="641" t="s">
        <v>5350</v>
      </c>
      <c r="G200" s="667" t="s">
        <v>669</v>
      </c>
      <c r="H200" s="667" t="s">
        <v>199</v>
      </c>
      <c r="I200" s="667" t="s">
        <v>1228</v>
      </c>
      <c r="J200" s="667">
        <v>43840.0</v>
      </c>
      <c r="K200" s="670" t="s">
        <v>2365</v>
      </c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</row>
    <row r="201" ht="15.75" customHeight="1">
      <c r="A201" s="671">
        <v>44153.0</v>
      </c>
      <c r="B201" s="672" t="s">
        <v>5347</v>
      </c>
      <c r="C201" s="673" t="s">
        <v>2346</v>
      </c>
      <c r="D201" s="641" t="s">
        <v>5038</v>
      </c>
      <c r="E201" s="679">
        <v>30000.0</v>
      </c>
      <c r="F201" s="641" t="s">
        <v>5350</v>
      </c>
      <c r="G201" s="667" t="s">
        <v>669</v>
      </c>
      <c r="H201" s="667" t="s">
        <v>199</v>
      </c>
      <c r="I201" s="667" t="s">
        <v>1228</v>
      </c>
      <c r="J201" s="667">
        <v>43840.0</v>
      </c>
      <c r="K201" s="670" t="s">
        <v>2365</v>
      </c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</row>
    <row r="202" ht="15.75" customHeight="1">
      <c r="A202" s="671">
        <v>44159.0</v>
      </c>
      <c r="B202" s="672" t="s">
        <v>5075</v>
      </c>
      <c r="C202" s="673" t="s">
        <v>2346</v>
      </c>
      <c r="D202" s="641" t="s">
        <v>5038</v>
      </c>
      <c r="E202" s="669">
        <v>7000.0</v>
      </c>
      <c r="F202" s="641" t="s">
        <v>956</v>
      </c>
      <c r="G202" s="667" t="s">
        <v>669</v>
      </c>
      <c r="H202" s="667" t="s">
        <v>199</v>
      </c>
      <c r="I202" s="667" t="s">
        <v>1228</v>
      </c>
      <c r="J202" s="667">
        <v>43605.0</v>
      </c>
      <c r="K202" s="670" t="s">
        <v>2365</v>
      </c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</row>
    <row r="203" ht="15.75" customHeight="1">
      <c r="A203" s="671">
        <v>44160.0</v>
      </c>
      <c r="B203" s="672" t="s">
        <v>5065</v>
      </c>
      <c r="C203" s="673" t="s">
        <v>2346</v>
      </c>
      <c r="D203" s="641" t="s">
        <v>5038</v>
      </c>
      <c r="E203" s="669">
        <v>112433.37</v>
      </c>
      <c r="F203" s="641" t="s">
        <v>5066</v>
      </c>
      <c r="G203" s="667" t="s">
        <v>669</v>
      </c>
      <c r="H203" s="667" t="s">
        <v>199</v>
      </c>
      <c r="I203" s="667" t="s">
        <v>1228</v>
      </c>
      <c r="J203" s="667">
        <v>43703.0</v>
      </c>
      <c r="K203" s="670" t="s">
        <v>4383</v>
      </c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</row>
    <row r="204" ht="15.75" customHeight="1">
      <c r="A204" s="671">
        <v>44161.0</v>
      </c>
      <c r="B204" s="672" t="s">
        <v>5494</v>
      </c>
      <c r="C204" s="673" t="s">
        <v>98</v>
      </c>
      <c r="D204" s="641" t="s">
        <v>5038</v>
      </c>
      <c r="E204" s="669">
        <v>286876.16</v>
      </c>
      <c r="F204" s="641" t="s">
        <v>5495</v>
      </c>
      <c r="G204" s="641" t="s">
        <v>669</v>
      </c>
      <c r="H204" s="641" t="s">
        <v>199</v>
      </c>
      <c r="I204" s="641" t="s">
        <v>669</v>
      </c>
      <c r="J204" s="667">
        <v>44068.0</v>
      </c>
      <c r="K204" s="674" t="s">
        <v>2341</v>
      </c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</row>
    <row r="205" ht="15.75" customHeight="1">
      <c r="A205" s="671">
        <v>44165.0</v>
      </c>
      <c r="B205" s="672" t="s">
        <v>5069</v>
      </c>
      <c r="C205" s="673" t="s">
        <v>2346</v>
      </c>
      <c r="D205" s="641" t="s">
        <v>5038</v>
      </c>
      <c r="E205" s="669">
        <v>34941.81</v>
      </c>
      <c r="F205" s="641" t="s">
        <v>5071</v>
      </c>
      <c r="G205" s="667" t="s">
        <v>669</v>
      </c>
      <c r="H205" s="667" t="s">
        <v>199</v>
      </c>
      <c r="I205" s="667" t="s">
        <v>1228</v>
      </c>
      <c r="J205" s="667">
        <v>43567.0</v>
      </c>
      <c r="K205" s="670" t="s">
        <v>2341</v>
      </c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</row>
    <row r="206" ht="15.75" customHeight="1">
      <c r="A206" s="671">
        <v>44166.0</v>
      </c>
      <c r="B206" s="672" t="s">
        <v>5037</v>
      </c>
      <c r="C206" s="673" t="s">
        <v>2346</v>
      </c>
      <c r="D206" s="641" t="s">
        <v>5038</v>
      </c>
      <c r="E206" s="669">
        <v>130950.51000000001</v>
      </c>
      <c r="F206" s="641" t="s">
        <v>5039</v>
      </c>
      <c r="G206" s="667" t="s">
        <v>669</v>
      </c>
      <c r="H206" s="667" t="s">
        <v>199</v>
      </c>
      <c r="I206" s="667" t="s">
        <v>1228</v>
      </c>
      <c r="J206" s="667">
        <v>43675.0</v>
      </c>
      <c r="K206" s="670" t="s">
        <v>4383</v>
      </c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</row>
    <row r="207" ht="15.75" customHeight="1">
      <c r="A207" s="671">
        <v>44166.0</v>
      </c>
      <c r="B207" s="672" t="s">
        <v>5178</v>
      </c>
      <c r="C207" s="673" t="s">
        <v>2346</v>
      </c>
      <c r="D207" s="641" t="s">
        <v>5038</v>
      </c>
      <c r="E207" s="669">
        <v>10000.0</v>
      </c>
      <c r="F207" s="641" t="s">
        <v>5180</v>
      </c>
      <c r="G207" s="667" t="s">
        <v>669</v>
      </c>
      <c r="H207" s="667" t="s">
        <v>199</v>
      </c>
      <c r="I207" s="667" t="s">
        <v>1228</v>
      </c>
      <c r="J207" s="667">
        <v>43717.0</v>
      </c>
      <c r="K207" s="670" t="s">
        <v>4383</v>
      </c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</row>
    <row r="208" ht="15.75" customHeight="1">
      <c r="A208" s="671">
        <v>44172.0</v>
      </c>
      <c r="B208" s="676" t="s">
        <v>5336</v>
      </c>
      <c r="C208" s="673" t="s">
        <v>2346</v>
      </c>
      <c r="D208" s="641" t="s">
        <v>5038</v>
      </c>
      <c r="E208" s="669">
        <v>5500.0</v>
      </c>
      <c r="F208" s="641" t="s">
        <v>5002</v>
      </c>
      <c r="G208" s="667" t="s">
        <v>669</v>
      </c>
      <c r="H208" s="667" t="s">
        <v>199</v>
      </c>
      <c r="I208" s="667" t="s">
        <v>1228</v>
      </c>
      <c r="J208" s="667">
        <v>43888.0</v>
      </c>
      <c r="K208" s="670" t="s">
        <v>2341</v>
      </c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</row>
    <row r="209" ht="15.75" customHeight="1">
      <c r="A209" s="671">
        <v>44172.0</v>
      </c>
      <c r="B209" s="672" t="s">
        <v>5116</v>
      </c>
      <c r="C209" s="673" t="s">
        <v>2346</v>
      </c>
      <c r="D209" s="641" t="s">
        <v>5038</v>
      </c>
      <c r="E209" s="669">
        <v>35000.0</v>
      </c>
      <c r="F209" s="641" t="s">
        <v>5117</v>
      </c>
      <c r="G209" s="667" t="s">
        <v>669</v>
      </c>
      <c r="H209" s="667" t="s">
        <v>199</v>
      </c>
      <c r="I209" s="667" t="s">
        <v>2388</v>
      </c>
      <c r="J209" s="667">
        <v>43559.0</v>
      </c>
      <c r="K209" s="670" t="s">
        <v>4383</v>
      </c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</row>
    <row r="210" ht="15.75" customHeight="1">
      <c r="A210" s="671">
        <v>44173.0</v>
      </c>
      <c r="B210" s="672" t="s">
        <v>5662</v>
      </c>
      <c r="C210" s="673" t="s">
        <v>2346</v>
      </c>
      <c r="D210" s="641" t="s">
        <v>5038</v>
      </c>
      <c r="E210" s="669">
        <v>100000.0</v>
      </c>
      <c r="F210" s="641" t="s">
        <v>1275</v>
      </c>
      <c r="G210" s="667" t="s">
        <v>669</v>
      </c>
      <c r="H210" s="667" t="s">
        <v>199</v>
      </c>
      <c r="I210" s="667" t="s">
        <v>1228</v>
      </c>
      <c r="J210" s="667">
        <v>43922.0</v>
      </c>
      <c r="K210" s="670" t="s">
        <v>2365</v>
      </c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</row>
    <row r="211" ht="15.75" customHeight="1">
      <c r="A211" s="671">
        <v>44173.0</v>
      </c>
      <c r="B211" s="672" t="s">
        <v>5662</v>
      </c>
      <c r="C211" s="673" t="s">
        <v>2346</v>
      </c>
      <c r="D211" s="641" t="s">
        <v>5038</v>
      </c>
      <c r="E211" s="669">
        <v>32772.8</v>
      </c>
      <c r="F211" s="641" t="s">
        <v>1275</v>
      </c>
      <c r="G211" s="667" t="s">
        <v>669</v>
      </c>
      <c r="H211" s="667" t="s">
        <v>199</v>
      </c>
      <c r="I211" s="667" t="s">
        <v>1228</v>
      </c>
      <c r="J211" s="667">
        <v>43922.0</v>
      </c>
      <c r="K211" s="670" t="s">
        <v>2365</v>
      </c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</row>
    <row r="212" ht="15.75" customHeight="1">
      <c r="A212" s="671">
        <v>44173.0</v>
      </c>
      <c r="B212" s="672" t="s">
        <v>5662</v>
      </c>
      <c r="C212" s="673" t="s">
        <v>2346</v>
      </c>
      <c r="D212" s="641" t="s">
        <v>5038</v>
      </c>
      <c r="E212" s="669">
        <v>13100.45</v>
      </c>
      <c r="F212" s="641" t="s">
        <v>1275</v>
      </c>
      <c r="G212" s="667" t="s">
        <v>669</v>
      </c>
      <c r="H212" s="667" t="s">
        <v>199</v>
      </c>
      <c r="I212" s="667" t="s">
        <v>1228</v>
      </c>
      <c r="J212" s="667">
        <v>43922.0</v>
      </c>
      <c r="K212" s="670" t="s">
        <v>2365</v>
      </c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</row>
    <row r="213" ht="15.75" customHeight="1">
      <c r="A213" s="671">
        <v>44173.0</v>
      </c>
      <c r="B213" s="672" t="s">
        <v>5662</v>
      </c>
      <c r="C213" s="673" t="s">
        <v>2346</v>
      </c>
      <c r="D213" s="641" t="s">
        <v>5038</v>
      </c>
      <c r="E213" s="669">
        <v>40379.75</v>
      </c>
      <c r="F213" s="641" t="s">
        <v>1275</v>
      </c>
      <c r="G213" s="667" t="s">
        <v>669</v>
      </c>
      <c r="H213" s="667" t="s">
        <v>199</v>
      </c>
      <c r="I213" s="667" t="s">
        <v>1228</v>
      </c>
      <c r="J213" s="667">
        <v>43922.0</v>
      </c>
      <c r="K213" s="670" t="s">
        <v>2365</v>
      </c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</row>
    <row r="214" ht="15.75" customHeight="1">
      <c r="A214" s="671">
        <v>44174.0</v>
      </c>
      <c r="B214" s="672" t="s">
        <v>5065</v>
      </c>
      <c r="C214" s="673" t="s">
        <v>2346</v>
      </c>
      <c r="D214" s="641" t="s">
        <v>5038</v>
      </c>
      <c r="E214" s="669">
        <v>8747.0</v>
      </c>
      <c r="F214" s="641" t="s">
        <v>5066</v>
      </c>
      <c r="G214" s="667" t="s">
        <v>669</v>
      </c>
      <c r="H214" s="667" t="s">
        <v>199</v>
      </c>
      <c r="I214" s="667" t="s">
        <v>1228</v>
      </c>
      <c r="J214" s="667">
        <v>43703.0</v>
      </c>
      <c r="K214" s="670" t="s">
        <v>4383</v>
      </c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</row>
    <row r="215" ht="15.75" customHeight="1">
      <c r="A215" s="671">
        <v>44174.0</v>
      </c>
      <c r="B215" s="672" t="s">
        <v>5065</v>
      </c>
      <c r="C215" s="673" t="s">
        <v>2346</v>
      </c>
      <c r="D215" s="641" t="s">
        <v>5038</v>
      </c>
      <c r="E215" s="669">
        <v>10000.0</v>
      </c>
      <c r="F215" s="641" t="s">
        <v>5066</v>
      </c>
      <c r="G215" s="667" t="s">
        <v>669</v>
      </c>
      <c r="H215" s="667" t="s">
        <v>199</v>
      </c>
      <c r="I215" s="667" t="s">
        <v>1228</v>
      </c>
      <c r="J215" s="667">
        <v>43703.0</v>
      </c>
      <c r="K215" s="670" t="s">
        <v>4383</v>
      </c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</row>
    <row r="216" ht="15.75" customHeight="1">
      <c r="A216" s="671">
        <v>44174.0</v>
      </c>
      <c r="B216" s="672" t="s">
        <v>5669</v>
      </c>
      <c r="C216" s="673" t="s">
        <v>2346</v>
      </c>
      <c r="D216" s="641" t="s">
        <v>5038</v>
      </c>
      <c r="E216" s="669">
        <v>20000.0</v>
      </c>
      <c r="F216" s="641" t="s">
        <v>5034</v>
      </c>
      <c r="G216" s="667" t="s">
        <v>669</v>
      </c>
      <c r="H216" s="667" t="s">
        <v>199</v>
      </c>
      <c r="I216" s="667" t="s">
        <v>2388</v>
      </c>
      <c r="J216" s="667">
        <v>43531.0</v>
      </c>
      <c r="K216" s="670" t="s">
        <v>2372</v>
      </c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6"/>
      <c r="AB216" s="666"/>
      <c r="AC216" s="666"/>
      <c r="AD216" s="666"/>
      <c r="AE216" s="666"/>
    </row>
    <row r="217" ht="15.75" customHeight="1">
      <c r="A217" s="671">
        <v>44174.0</v>
      </c>
      <c r="B217" s="672" t="s">
        <v>5669</v>
      </c>
      <c r="C217" s="673" t="s">
        <v>2346</v>
      </c>
      <c r="D217" s="641" t="s">
        <v>5038</v>
      </c>
      <c r="E217" s="669">
        <v>20000.0</v>
      </c>
      <c r="F217" s="641" t="s">
        <v>5034</v>
      </c>
      <c r="G217" s="667" t="s">
        <v>669</v>
      </c>
      <c r="H217" s="667" t="s">
        <v>199</v>
      </c>
      <c r="I217" s="667" t="s">
        <v>2388</v>
      </c>
      <c r="J217" s="667">
        <v>43531.0</v>
      </c>
      <c r="K217" s="670" t="s">
        <v>2372</v>
      </c>
      <c r="L217" s="666"/>
      <c r="M217" s="666"/>
      <c r="N217" s="666"/>
      <c r="O217" s="666"/>
      <c r="P217" s="666"/>
      <c r="Q217" s="666"/>
      <c r="R217" s="666"/>
      <c r="S217" s="666"/>
      <c r="T217" s="666"/>
      <c r="U217" s="666"/>
      <c r="V217" s="666"/>
      <c r="W217" s="666"/>
      <c r="X217" s="666"/>
      <c r="Y217" s="666"/>
      <c r="Z217" s="666"/>
      <c r="AA217" s="666"/>
      <c r="AB217" s="666"/>
      <c r="AC217" s="666"/>
      <c r="AD217" s="666"/>
      <c r="AE217" s="666"/>
    </row>
    <row r="218" ht="15.75" customHeight="1">
      <c r="A218" s="671">
        <v>44175.0</v>
      </c>
      <c r="B218" s="672" t="s">
        <v>1280</v>
      </c>
      <c r="C218" s="673" t="s">
        <v>202</v>
      </c>
      <c r="D218" s="641" t="s">
        <v>5038</v>
      </c>
      <c r="E218" s="669">
        <v>28000.0</v>
      </c>
      <c r="F218" s="641" t="s">
        <v>1279</v>
      </c>
      <c r="G218" s="667" t="s">
        <v>120</v>
      </c>
      <c r="H218" s="667" t="s">
        <v>199</v>
      </c>
      <c r="I218" s="667" t="s">
        <v>841</v>
      </c>
      <c r="J218" s="667">
        <v>43797.0</v>
      </c>
      <c r="K218" s="670" t="s">
        <v>2365</v>
      </c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</row>
    <row r="219" ht="15.75" customHeight="1">
      <c r="A219" s="671">
        <v>44175.0</v>
      </c>
      <c r="B219" s="672" t="s">
        <v>1280</v>
      </c>
      <c r="C219" s="673" t="s">
        <v>202</v>
      </c>
      <c r="D219" s="641" t="s">
        <v>5038</v>
      </c>
      <c r="E219" s="669">
        <v>25000.0</v>
      </c>
      <c r="F219" s="641" t="s">
        <v>1279</v>
      </c>
      <c r="G219" s="667" t="s">
        <v>120</v>
      </c>
      <c r="H219" s="667" t="s">
        <v>199</v>
      </c>
      <c r="I219" s="667" t="s">
        <v>841</v>
      </c>
      <c r="J219" s="667">
        <v>43797.0</v>
      </c>
      <c r="K219" s="670" t="s">
        <v>2365</v>
      </c>
      <c r="L219" s="666"/>
      <c r="M219" s="666"/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</row>
    <row r="220" ht="15.75" customHeight="1">
      <c r="A220" s="671">
        <v>44175.0</v>
      </c>
      <c r="B220" s="672" t="s">
        <v>1280</v>
      </c>
      <c r="C220" s="673" t="s">
        <v>202</v>
      </c>
      <c r="D220" s="641" t="s">
        <v>5038</v>
      </c>
      <c r="E220" s="669">
        <v>43000.0</v>
      </c>
      <c r="F220" s="641" t="s">
        <v>1279</v>
      </c>
      <c r="G220" s="667" t="s">
        <v>120</v>
      </c>
      <c r="H220" s="667" t="s">
        <v>199</v>
      </c>
      <c r="I220" s="667" t="s">
        <v>841</v>
      </c>
      <c r="J220" s="667">
        <v>43797.0</v>
      </c>
      <c r="K220" s="670" t="s">
        <v>2365</v>
      </c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6"/>
      <c r="AB220" s="666"/>
      <c r="AC220" s="666"/>
      <c r="AD220" s="666"/>
      <c r="AE220" s="666"/>
    </row>
    <row r="221" ht="15.75" customHeight="1">
      <c r="A221" s="671">
        <v>44175.0</v>
      </c>
      <c r="B221" s="672" t="s">
        <v>1280</v>
      </c>
      <c r="C221" s="673" t="s">
        <v>202</v>
      </c>
      <c r="D221" s="641" t="s">
        <v>5038</v>
      </c>
      <c r="E221" s="669">
        <v>200000.0</v>
      </c>
      <c r="F221" s="641" t="s">
        <v>1279</v>
      </c>
      <c r="G221" s="667" t="s">
        <v>120</v>
      </c>
      <c r="H221" s="667" t="s">
        <v>199</v>
      </c>
      <c r="I221" s="667" t="s">
        <v>841</v>
      </c>
      <c r="J221" s="667">
        <v>43797.0</v>
      </c>
      <c r="K221" s="670" t="s">
        <v>2365</v>
      </c>
      <c r="L221" s="666"/>
      <c r="M221" s="666"/>
      <c r="N221" s="666"/>
      <c r="O221" s="666"/>
      <c r="P221" s="666"/>
      <c r="Q221" s="666"/>
      <c r="R221" s="666"/>
      <c r="S221" s="666"/>
      <c r="T221" s="666"/>
      <c r="U221" s="666"/>
      <c r="V221" s="666"/>
      <c r="W221" s="666"/>
      <c r="X221" s="666"/>
      <c r="Y221" s="666"/>
      <c r="Z221" s="666"/>
      <c r="AA221" s="666"/>
      <c r="AB221" s="666"/>
      <c r="AC221" s="666"/>
      <c r="AD221" s="666"/>
      <c r="AE221" s="666"/>
    </row>
    <row r="222" ht="15.75" customHeight="1">
      <c r="A222" s="671">
        <v>44179.0</v>
      </c>
      <c r="B222" s="710" t="s">
        <v>5116</v>
      </c>
      <c r="C222" s="673" t="s">
        <v>2346</v>
      </c>
      <c r="D222" s="641" t="s">
        <v>5038</v>
      </c>
      <c r="E222" s="669">
        <v>25000.0</v>
      </c>
      <c r="F222" s="641" t="s">
        <v>5117</v>
      </c>
      <c r="G222" s="667" t="s">
        <v>669</v>
      </c>
      <c r="H222" s="667" t="s">
        <v>199</v>
      </c>
      <c r="I222" s="667" t="s">
        <v>2388</v>
      </c>
      <c r="J222" s="667">
        <v>43559.0</v>
      </c>
      <c r="K222" s="670" t="s">
        <v>4383</v>
      </c>
      <c r="L222" s="666"/>
      <c r="M222" s="666"/>
      <c r="N222" s="666"/>
      <c r="O222" s="666"/>
      <c r="P222" s="666"/>
      <c r="Q222" s="666"/>
      <c r="R222" s="666"/>
      <c r="S222" s="666"/>
      <c r="T222" s="666"/>
      <c r="U222" s="666"/>
      <c r="V222" s="666"/>
      <c r="W222" s="666"/>
      <c r="X222" s="666"/>
      <c r="Y222" s="666"/>
      <c r="Z222" s="666"/>
      <c r="AA222" s="666"/>
      <c r="AB222" s="666"/>
      <c r="AC222" s="666"/>
      <c r="AD222" s="666"/>
      <c r="AE222" s="666"/>
    </row>
    <row r="223" ht="15.75" customHeight="1">
      <c r="A223" s="671">
        <v>44179.0</v>
      </c>
      <c r="B223" s="672" t="s">
        <v>5270</v>
      </c>
      <c r="C223" s="673" t="s">
        <v>2346</v>
      </c>
      <c r="D223" s="641" t="s">
        <v>5038</v>
      </c>
      <c r="E223" s="669">
        <v>14000.0</v>
      </c>
      <c r="F223" s="641" t="s">
        <v>1227</v>
      </c>
      <c r="G223" s="667" t="s">
        <v>669</v>
      </c>
      <c r="H223" s="667" t="s">
        <v>199</v>
      </c>
      <c r="I223" s="667" t="s">
        <v>1228</v>
      </c>
      <c r="J223" s="667">
        <v>43564.0</v>
      </c>
      <c r="K223" s="670" t="s">
        <v>2372</v>
      </c>
      <c r="L223" s="666"/>
      <c r="M223" s="666"/>
      <c r="N223" s="666"/>
      <c r="O223" s="666"/>
      <c r="P223" s="666"/>
      <c r="Q223" s="666"/>
      <c r="R223" s="666"/>
      <c r="S223" s="666"/>
      <c r="T223" s="666"/>
      <c r="U223" s="666"/>
      <c r="V223" s="666"/>
      <c r="W223" s="666"/>
      <c r="X223" s="666"/>
      <c r="Y223" s="666"/>
      <c r="Z223" s="666"/>
      <c r="AA223" s="666"/>
      <c r="AB223" s="666"/>
      <c r="AC223" s="666"/>
      <c r="AD223" s="666"/>
      <c r="AE223" s="666"/>
    </row>
    <row r="224" ht="15.75" customHeight="1">
      <c r="A224" s="671">
        <v>44180.0</v>
      </c>
      <c r="B224" s="672" t="s">
        <v>5046</v>
      </c>
      <c r="C224" s="673" t="s">
        <v>98</v>
      </c>
      <c r="D224" s="641" t="s">
        <v>5038</v>
      </c>
      <c r="E224" s="669">
        <v>153000.0</v>
      </c>
      <c r="F224" s="641" t="s">
        <v>4424</v>
      </c>
      <c r="G224" s="641" t="s">
        <v>669</v>
      </c>
      <c r="H224" s="641" t="s">
        <v>199</v>
      </c>
      <c r="I224" s="641" t="s">
        <v>669</v>
      </c>
      <c r="J224" s="667">
        <v>43749.0</v>
      </c>
      <c r="K224" s="674" t="s">
        <v>4383</v>
      </c>
      <c r="L224" s="666"/>
      <c r="M224" s="666"/>
      <c r="N224" s="666"/>
      <c r="O224" s="666"/>
      <c r="P224" s="666"/>
      <c r="Q224" s="666"/>
      <c r="R224" s="666"/>
      <c r="S224" s="666"/>
      <c r="T224" s="666"/>
      <c r="U224" s="666"/>
      <c r="V224" s="666"/>
      <c r="W224" s="666"/>
      <c r="X224" s="666"/>
      <c r="Y224" s="666"/>
      <c r="Z224" s="666"/>
      <c r="AA224" s="666"/>
      <c r="AB224" s="666"/>
      <c r="AC224" s="666"/>
      <c r="AD224" s="666"/>
      <c r="AE224" s="666"/>
    </row>
    <row r="225" ht="15.75" customHeight="1">
      <c r="A225" s="667">
        <v>44181.0</v>
      </c>
      <c r="B225" s="712" t="s">
        <v>5686</v>
      </c>
      <c r="C225" s="641" t="s">
        <v>2346</v>
      </c>
      <c r="D225" s="641" t="s">
        <v>694</v>
      </c>
      <c r="E225" s="669">
        <v>268845.87</v>
      </c>
      <c r="F225" s="641" t="s">
        <v>3438</v>
      </c>
      <c r="G225" s="667" t="s">
        <v>1096</v>
      </c>
      <c r="H225" s="667" t="s">
        <v>199</v>
      </c>
      <c r="I225" s="667" t="s">
        <v>1096</v>
      </c>
      <c r="J225" s="667">
        <v>43563.0</v>
      </c>
      <c r="K225" s="670" t="s">
        <v>2372</v>
      </c>
      <c r="L225" s="666"/>
      <c r="M225" s="666"/>
      <c r="N225" s="666"/>
      <c r="O225" s="666"/>
      <c r="P225" s="666"/>
      <c r="Q225" s="666"/>
      <c r="R225" s="666"/>
      <c r="S225" s="666"/>
      <c r="T225" s="666"/>
      <c r="U225" s="666"/>
      <c r="V225" s="666"/>
      <c r="W225" s="666"/>
      <c r="X225" s="666"/>
      <c r="Y225" s="666"/>
      <c r="Z225" s="666"/>
      <c r="AA225" s="666"/>
      <c r="AB225" s="666"/>
      <c r="AC225" s="666"/>
      <c r="AD225" s="666"/>
      <c r="AE225" s="666"/>
    </row>
    <row r="226" ht="15.75" customHeight="1">
      <c r="A226" s="671">
        <v>44182.0</v>
      </c>
      <c r="B226" s="672" t="s">
        <v>5512</v>
      </c>
      <c r="C226" s="673" t="s">
        <v>2346</v>
      </c>
      <c r="D226" s="641" t="s">
        <v>5038</v>
      </c>
      <c r="E226" s="669">
        <v>7000.0</v>
      </c>
      <c r="F226" s="641" t="s">
        <v>5513</v>
      </c>
      <c r="G226" s="667" t="s">
        <v>669</v>
      </c>
      <c r="H226" s="667" t="s">
        <v>199</v>
      </c>
      <c r="I226" s="667" t="s">
        <v>1228</v>
      </c>
      <c r="J226" s="667">
        <v>43711.0</v>
      </c>
      <c r="K226" s="670" t="s">
        <v>4383</v>
      </c>
      <c r="L226" s="666"/>
      <c r="M226" s="666"/>
      <c r="N226" s="666"/>
      <c r="O226" s="666"/>
      <c r="P226" s="666"/>
      <c r="Q226" s="666"/>
      <c r="R226" s="666"/>
      <c r="S226" s="666"/>
      <c r="T226" s="666"/>
      <c r="U226" s="666"/>
      <c r="V226" s="666"/>
      <c r="W226" s="666"/>
      <c r="X226" s="666"/>
      <c r="Y226" s="666"/>
      <c r="Z226" s="666"/>
      <c r="AA226" s="666"/>
      <c r="AB226" s="666"/>
      <c r="AC226" s="666"/>
      <c r="AD226" s="666"/>
      <c r="AE226" s="666"/>
    </row>
    <row r="227" ht="15.75" customHeight="1">
      <c r="A227" s="671">
        <v>44186.0</v>
      </c>
      <c r="B227" s="710" t="s">
        <v>5075</v>
      </c>
      <c r="C227" s="673" t="s">
        <v>2346</v>
      </c>
      <c r="D227" s="641" t="s">
        <v>5038</v>
      </c>
      <c r="E227" s="669">
        <v>25000.0</v>
      </c>
      <c r="F227" s="641" t="s">
        <v>956</v>
      </c>
      <c r="G227" s="667" t="s">
        <v>669</v>
      </c>
      <c r="H227" s="667" t="s">
        <v>199</v>
      </c>
      <c r="I227" s="667" t="s">
        <v>1228</v>
      </c>
      <c r="J227" s="667">
        <v>43605.0</v>
      </c>
      <c r="K227" s="670" t="s">
        <v>2365</v>
      </c>
      <c r="L227" s="666"/>
      <c r="M227" s="666"/>
      <c r="N227" s="666"/>
      <c r="O227" s="666"/>
      <c r="P227" s="666"/>
      <c r="Q227" s="666"/>
      <c r="R227" s="666"/>
      <c r="S227" s="666"/>
      <c r="T227" s="666"/>
      <c r="U227" s="666"/>
      <c r="V227" s="666"/>
      <c r="W227" s="666"/>
      <c r="X227" s="666"/>
      <c r="Y227" s="666"/>
      <c r="Z227" s="666"/>
      <c r="AA227" s="666"/>
      <c r="AB227" s="666"/>
      <c r="AC227" s="666"/>
      <c r="AD227" s="666"/>
      <c r="AE227" s="666"/>
    </row>
    <row r="228" ht="15.75" customHeight="1">
      <c r="A228" s="671">
        <v>44186.0</v>
      </c>
      <c r="B228" s="672" t="s">
        <v>5494</v>
      </c>
      <c r="C228" s="673" t="s">
        <v>98</v>
      </c>
      <c r="D228" s="641" t="s">
        <v>5038</v>
      </c>
      <c r="E228" s="669">
        <v>19000.0</v>
      </c>
      <c r="F228" s="641" t="s">
        <v>5495</v>
      </c>
      <c r="G228" s="641" t="s">
        <v>669</v>
      </c>
      <c r="H228" s="641" t="s">
        <v>199</v>
      </c>
      <c r="I228" s="641" t="s">
        <v>669</v>
      </c>
      <c r="J228" s="667">
        <v>44068.0</v>
      </c>
      <c r="K228" s="674" t="s">
        <v>2341</v>
      </c>
      <c r="L228" s="666"/>
      <c r="M228" s="666"/>
      <c r="N228" s="666"/>
      <c r="O228" s="666"/>
      <c r="P228" s="666"/>
      <c r="Q228" s="666"/>
      <c r="R228" s="666"/>
      <c r="S228" s="666"/>
      <c r="T228" s="666"/>
      <c r="U228" s="666"/>
      <c r="V228" s="666"/>
      <c r="W228" s="666"/>
      <c r="X228" s="666"/>
      <c r="Y228" s="666"/>
      <c r="Z228" s="666"/>
      <c r="AA228" s="666"/>
      <c r="AB228" s="666"/>
      <c r="AC228" s="666"/>
      <c r="AD228" s="666"/>
      <c r="AE228" s="666"/>
    </row>
    <row r="229" ht="15.75" customHeight="1">
      <c r="A229" s="671">
        <v>44187.0</v>
      </c>
      <c r="B229" s="672" t="s">
        <v>5065</v>
      </c>
      <c r="C229" s="673" t="s">
        <v>2346</v>
      </c>
      <c r="D229" s="641" t="s">
        <v>5038</v>
      </c>
      <c r="E229" s="669">
        <v>6500.0</v>
      </c>
      <c r="F229" s="641" t="s">
        <v>5066</v>
      </c>
      <c r="G229" s="667" t="s">
        <v>669</v>
      </c>
      <c r="H229" s="667" t="s">
        <v>199</v>
      </c>
      <c r="I229" s="667" t="s">
        <v>1228</v>
      </c>
      <c r="J229" s="667">
        <v>43703.0</v>
      </c>
      <c r="K229" s="670" t="s">
        <v>4383</v>
      </c>
      <c r="L229" s="666"/>
      <c r="M229" s="666"/>
      <c r="N229" s="666"/>
      <c r="O229" s="666"/>
      <c r="P229" s="666"/>
      <c r="Q229" s="666"/>
      <c r="R229" s="666"/>
      <c r="S229" s="666"/>
      <c r="T229" s="666"/>
      <c r="U229" s="666"/>
      <c r="V229" s="666"/>
      <c r="W229" s="666"/>
      <c r="X229" s="666"/>
      <c r="Y229" s="666"/>
      <c r="Z229" s="666"/>
      <c r="AA229" s="666"/>
      <c r="AB229" s="666"/>
      <c r="AC229" s="666"/>
      <c r="AD229" s="666"/>
      <c r="AE229" s="666"/>
    </row>
    <row r="230" ht="15.75" customHeight="1">
      <c r="A230" s="671">
        <v>44193.0</v>
      </c>
      <c r="B230" s="672" t="s">
        <v>5270</v>
      </c>
      <c r="C230" s="673" t="s">
        <v>2346</v>
      </c>
      <c r="D230" s="641" t="s">
        <v>5038</v>
      </c>
      <c r="E230" s="669">
        <v>2000.0</v>
      </c>
      <c r="F230" s="641" t="s">
        <v>1227</v>
      </c>
      <c r="G230" s="667" t="s">
        <v>669</v>
      </c>
      <c r="H230" s="667" t="s">
        <v>199</v>
      </c>
      <c r="I230" s="667" t="s">
        <v>1228</v>
      </c>
      <c r="J230" s="667">
        <v>43564.0</v>
      </c>
      <c r="K230" s="670" t="s">
        <v>2372</v>
      </c>
      <c r="L230" s="666"/>
      <c r="M230" s="666"/>
      <c r="N230" s="666"/>
      <c r="O230" s="666"/>
      <c r="P230" s="666"/>
      <c r="Q230" s="666"/>
      <c r="R230" s="666"/>
      <c r="S230" s="666"/>
      <c r="T230" s="666"/>
      <c r="U230" s="666"/>
      <c r="V230" s="666"/>
      <c r="W230" s="666"/>
      <c r="X230" s="666"/>
      <c r="Y230" s="666"/>
      <c r="Z230" s="666"/>
      <c r="AA230" s="666"/>
      <c r="AB230" s="666"/>
      <c r="AC230" s="666"/>
      <c r="AD230" s="666"/>
      <c r="AE230" s="666"/>
    </row>
    <row r="231" ht="15.75" customHeight="1">
      <c r="A231" s="671">
        <v>44193.0</v>
      </c>
      <c r="B231" s="672" t="s">
        <v>5075</v>
      </c>
      <c r="C231" s="673" t="s">
        <v>2346</v>
      </c>
      <c r="D231" s="641" t="s">
        <v>5038</v>
      </c>
      <c r="E231" s="669">
        <v>40000.0</v>
      </c>
      <c r="F231" s="641" t="s">
        <v>956</v>
      </c>
      <c r="G231" s="667" t="s">
        <v>669</v>
      </c>
      <c r="H231" s="667" t="s">
        <v>199</v>
      </c>
      <c r="I231" s="667" t="s">
        <v>1228</v>
      </c>
      <c r="J231" s="667">
        <v>43605.0</v>
      </c>
      <c r="K231" s="670" t="s">
        <v>2365</v>
      </c>
      <c r="L231" s="666"/>
      <c r="M231" s="666"/>
      <c r="N231" s="666"/>
      <c r="O231" s="666"/>
      <c r="P231" s="666"/>
      <c r="Q231" s="666"/>
      <c r="R231" s="666"/>
      <c r="S231" s="666"/>
      <c r="T231" s="666"/>
      <c r="U231" s="666"/>
      <c r="V231" s="666"/>
      <c r="W231" s="666"/>
      <c r="X231" s="666"/>
      <c r="Y231" s="666"/>
      <c r="Z231" s="666"/>
      <c r="AA231" s="666"/>
      <c r="AB231" s="666"/>
      <c r="AC231" s="666"/>
      <c r="AD231" s="666"/>
      <c r="AE231" s="666"/>
    </row>
    <row r="232" ht="15.75" customHeight="1">
      <c r="A232" s="671">
        <v>44194.0</v>
      </c>
      <c r="B232" s="672" t="s">
        <v>5215</v>
      </c>
      <c r="C232" s="673" t="s">
        <v>2346</v>
      </c>
      <c r="D232" s="641" t="s">
        <v>5038</v>
      </c>
      <c r="E232" s="669">
        <v>271260.25</v>
      </c>
      <c r="F232" s="641" t="s">
        <v>3394</v>
      </c>
      <c r="G232" s="667" t="s">
        <v>669</v>
      </c>
      <c r="H232" s="667" t="s">
        <v>199</v>
      </c>
      <c r="I232" s="667" t="s">
        <v>1228</v>
      </c>
      <c r="J232" s="667">
        <v>43867.0</v>
      </c>
      <c r="K232" s="670" t="s">
        <v>2341</v>
      </c>
      <c r="L232" s="666"/>
      <c r="M232" s="666"/>
      <c r="N232" s="666"/>
      <c r="O232" s="666"/>
      <c r="P232" s="666"/>
      <c r="Q232" s="666"/>
      <c r="R232" s="666"/>
      <c r="S232" s="666"/>
      <c r="T232" s="666"/>
      <c r="U232" s="666"/>
      <c r="V232" s="666"/>
      <c r="W232" s="666"/>
      <c r="X232" s="666"/>
      <c r="Y232" s="666"/>
      <c r="Z232" s="666"/>
      <c r="AA232" s="666"/>
      <c r="AB232" s="666"/>
      <c r="AC232" s="666"/>
      <c r="AD232" s="666"/>
      <c r="AE232" s="666"/>
    </row>
    <row r="233" ht="15.75" customHeight="1">
      <c r="A233" s="713">
        <v>44199.0</v>
      </c>
      <c r="B233" s="714" t="s">
        <v>5711</v>
      </c>
      <c r="C233" s="715" t="s">
        <v>2346</v>
      </c>
      <c r="D233" s="641" t="s">
        <v>5038</v>
      </c>
      <c r="E233" s="716">
        <v>40000.0</v>
      </c>
      <c r="F233" s="641" t="s">
        <v>4401</v>
      </c>
      <c r="G233" s="667" t="s">
        <v>120</v>
      </c>
      <c r="H233" s="667" t="s">
        <v>91</v>
      </c>
      <c r="I233" s="667" t="s">
        <v>521</v>
      </c>
      <c r="J233" s="667">
        <v>44321.0</v>
      </c>
      <c r="K233" s="670" t="s">
        <v>2341</v>
      </c>
      <c r="L233" s="666"/>
      <c r="M233" s="666"/>
      <c r="N233" s="666"/>
      <c r="O233" s="666"/>
      <c r="P233" s="666"/>
      <c r="Q233" s="666"/>
      <c r="R233" s="666"/>
      <c r="S233" s="666"/>
      <c r="T233" s="666"/>
      <c r="U233" s="666"/>
      <c r="V233" s="666"/>
      <c r="W233" s="666"/>
      <c r="X233" s="666"/>
      <c r="Y233" s="666"/>
      <c r="Z233" s="666"/>
      <c r="AA233" s="666"/>
      <c r="AB233" s="666"/>
      <c r="AC233" s="666"/>
      <c r="AD233" s="666"/>
      <c r="AE233" s="666"/>
    </row>
    <row r="234" ht="15.75" customHeight="1">
      <c r="A234" s="713">
        <v>44199.0</v>
      </c>
      <c r="B234" s="714" t="s">
        <v>5716</v>
      </c>
      <c r="C234" s="715" t="s">
        <v>2346</v>
      </c>
      <c r="D234" s="641" t="s">
        <v>5038</v>
      </c>
      <c r="E234" s="716">
        <v>10000.0</v>
      </c>
      <c r="F234" s="641" t="s">
        <v>1085</v>
      </c>
      <c r="G234" s="667" t="s">
        <v>120</v>
      </c>
      <c r="H234" s="667" t="s">
        <v>91</v>
      </c>
      <c r="I234" s="667" t="s">
        <v>521</v>
      </c>
      <c r="J234" s="667">
        <v>44295.0</v>
      </c>
      <c r="K234" s="670" t="s">
        <v>2356</v>
      </c>
      <c r="L234" s="666"/>
      <c r="M234" s="666"/>
      <c r="N234" s="666"/>
      <c r="O234" s="666"/>
      <c r="P234" s="666"/>
      <c r="Q234" s="666"/>
      <c r="R234" s="666"/>
      <c r="S234" s="666"/>
      <c r="T234" s="666"/>
      <c r="U234" s="666"/>
      <c r="V234" s="666"/>
      <c r="W234" s="666"/>
      <c r="X234" s="666"/>
      <c r="Y234" s="666"/>
      <c r="Z234" s="666"/>
      <c r="AA234" s="666"/>
      <c r="AB234" s="666"/>
      <c r="AC234" s="666"/>
      <c r="AD234" s="666"/>
      <c r="AE234" s="666"/>
    </row>
    <row r="235" ht="15.75" customHeight="1">
      <c r="A235" s="713">
        <v>44199.0</v>
      </c>
      <c r="B235" s="714" t="s">
        <v>5720</v>
      </c>
      <c r="C235" s="715" t="s">
        <v>2346</v>
      </c>
      <c r="D235" s="641" t="s">
        <v>427</v>
      </c>
      <c r="E235" s="717">
        <v>459854.95</v>
      </c>
      <c r="F235" s="641" t="s">
        <v>5015</v>
      </c>
      <c r="G235" s="667" t="s">
        <v>120</v>
      </c>
      <c r="H235" s="667" t="s">
        <v>91</v>
      </c>
      <c r="I235" s="667" t="s">
        <v>521</v>
      </c>
      <c r="J235" s="667">
        <v>44272.0</v>
      </c>
      <c r="K235" s="670" t="s">
        <v>5721</v>
      </c>
      <c r="L235" s="666"/>
      <c r="M235" s="666"/>
      <c r="N235" s="666"/>
      <c r="O235" s="666"/>
      <c r="P235" s="666"/>
      <c r="Q235" s="666"/>
      <c r="R235" s="666"/>
      <c r="S235" s="666"/>
      <c r="T235" s="666"/>
      <c r="U235" s="666"/>
      <c r="V235" s="666"/>
      <c r="W235" s="666"/>
      <c r="X235" s="666"/>
      <c r="Y235" s="666"/>
      <c r="Z235" s="666"/>
      <c r="AA235" s="666"/>
      <c r="AB235" s="666"/>
      <c r="AC235" s="666"/>
      <c r="AD235" s="666"/>
      <c r="AE235" s="666"/>
    </row>
    <row r="236" ht="15.75" customHeight="1">
      <c r="A236" s="713">
        <v>44199.0</v>
      </c>
      <c r="B236" s="718" t="s">
        <v>5724</v>
      </c>
      <c r="C236" s="715" t="s">
        <v>98</v>
      </c>
      <c r="D236" s="641" t="s">
        <v>5038</v>
      </c>
      <c r="E236" s="716">
        <v>10000.0</v>
      </c>
      <c r="F236" s="641" t="s">
        <v>5042</v>
      </c>
      <c r="G236" s="641" t="s">
        <v>255</v>
      </c>
      <c r="H236" s="641" t="s">
        <v>199</v>
      </c>
      <c r="I236" s="641" t="s">
        <v>2587</v>
      </c>
      <c r="J236" s="667">
        <v>44263.0</v>
      </c>
      <c r="K236" s="674" t="s">
        <v>2341</v>
      </c>
      <c r="L236" s="666"/>
      <c r="M236" s="666"/>
      <c r="N236" s="666"/>
      <c r="O236" s="666"/>
      <c r="P236" s="666"/>
      <c r="Q236" s="666"/>
      <c r="R236" s="666"/>
      <c r="S236" s="666"/>
      <c r="T236" s="666"/>
      <c r="U236" s="666"/>
      <c r="V236" s="666"/>
      <c r="W236" s="666"/>
      <c r="X236" s="666"/>
      <c r="Y236" s="666"/>
      <c r="Z236" s="666"/>
      <c r="AA236" s="666"/>
      <c r="AB236" s="666"/>
      <c r="AC236" s="666"/>
      <c r="AD236" s="666"/>
      <c r="AE236" s="666"/>
    </row>
    <row r="237" ht="15.75" customHeight="1">
      <c r="A237" s="713">
        <v>44200.0</v>
      </c>
      <c r="B237" s="714" t="s">
        <v>5727</v>
      </c>
      <c r="C237" s="715" t="s">
        <v>2346</v>
      </c>
      <c r="D237" s="641" t="s">
        <v>5038</v>
      </c>
      <c r="E237" s="716">
        <v>200000.0</v>
      </c>
      <c r="F237" s="641" t="s">
        <v>5729</v>
      </c>
      <c r="G237" s="667" t="s">
        <v>120</v>
      </c>
      <c r="H237" s="667" t="s">
        <v>91</v>
      </c>
      <c r="I237" s="667" t="s">
        <v>521</v>
      </c>
      <c r="J237" s="667">
        <v>44319.0</v>
      </c>
      <c r="K237" s="670" t="s">
        <v>2341</v>
      </c>
      <c r="L237" s="666"/>
      <c r="M237" s="666"/>
      <c r="N237" s="666"/>
      <c r="O237" s="666"/>
      <c r="P237" s="666"/>
      <c r="Q237" s="666"/>
      <c r="R237" s="666"/>
      <c r="S237" s="666"/>
      <c r="T237" s="666"/>
      <c r="U237" s="666"/>
      <c r="V237" s="666"/>
      <c r="W237" s="666"/>
      <c r="X237" s="666"/>
      <c r="Y237" s="666"/>
      <c r="Z237" s="666"/>
      <c r="AA237" s="666"/>
      <c r="AB237" s="666"/>
      <c r="AC237" s="666"/>
      <c r="AD237" s="666"/>
      <c r="AE237" s="666"/>
    </row>
    <row r="238" ht="15.75" customHeight="1">
      <c r="A238" s="671">
        <v>44200.0</v>
      </c>
      <c r="B238" s="672" t="s">
        <v>5116</v>
      </c>
      <c r="C238" s="673" t="s">
        <v>2346</v>
      </c>
      <c r="D238" s="641" t="s">
        <v>5038</v>
      </c>
      <c r="E238" s="669">
        <v>1500.0</v>
      </c>
      <c r="F238" s="641" t="s">
        <v>5117</v>
      </c>
      <c r="G238" s="667" t="s">
        <v>669</v>
      </c>
      <c r="H238" s="667" t="s">
        <v>199</v>
      </c>
      <c r="I238" s="667" t="s">
        <v>2388</v>
      </c>
      <c r="J238" s="667">
        <v>43559.0</v>
      </c>
      <c r="K238" s="670" t="s">
        <v>4383</v>
      </c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6"/>
      <c r="AB238" s="666"/>
      <c r="AC238" s="666"/>
      <c r="AD238" s="666"/>
      <c r="AE238" s="666"/>
    </row>
    <row r="239" ht="15.75" customHeight="1">
      <c r="A239" s="671">
        <v>44200.0</v>
      </c>
      <c r="B239" s="672" t="s">
        <v>5037</v>
      </c>
      <c r="C239" s="673" t="s">
        <v>2346</v>
      </c>
      <c r="D239" s="641" t="s">
        <v>5038</v>
      </c>
      <c r="E239" s="669">
        <v>10000.0</v>
      </c>
      <c r="F239" s="641" t="s">
        <v>5039</v>
      </c>
      <c r="G239" s="667" t="s">
        <v>669</v>
      </c>
      <c r="H239" s="667" t="s">
        <v>199</v>
      </c>
      <c r="I239" s="667" t="s">
        <v>1228</v>
      </c>
      <c r="J239" s="667">
        <v>43675.0</v>
      </c>
      <c r="K239" s="670" t="s">
        <v>4383</v>
      </c>
      <c r="L239" s="719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66"/>
      <c r="AB239" s="666"/>
      <c r="AC239" s="666"/>
      <c r="AD239" s="666"/>
      <c r="AE239" s="666"/>
    </row>
    <row r="240" ht="15.75" customHeight="1">
      <c r="A240" s="671">
        <v>44200.0</v>
      </c>
      <c r="B240" s="672" t="s">
        <v>5075</v>
      </c>
      <c r="C240" s="673" t="s">
        <v>2346</v>
      </c>
      <c r="D240" s="641" t="s">
        <v>5038</v>
      </c>
      <c r="E240" s="669">
        <v>15000.0</v>
      </c>
      <c r="F240" s="641" t="s">
        <v>956</v>
      </c>
      <c r="G240" s="667" t="s">
        <v>669</v>
      </c>
      <c r="H240" s="667" t="s">
        <v>199</v>
      </c>
      <c r="I240" s="667" t="s">
        <v>1228</v>
      </c>
      <c r="J240" s="667">
        <v>43605.0</v>
      </c>
      <c r="K240" s="670" t="s">
        <v>2365</v>
      </c>
      <c r="L240" s="666"/>
      <c r="M240" s="666"/>
      <c r="N240" s="666"/>
      <c r="O240" s="666"/>
      <c r="P240" s="666"/>
      <c r="Q240" s="666"/>
      <c r="R240" s="666"/>
      <c r="S240" s="666"/>
      <c r="T240" s="666"/>
      <c r="U240" s="666"/>
      <c r="V240" s="666"/>
      <c r="W240" s="666"/>
      <c r="X240" s="666"/>
      <c r="Y240" s="666"/>
      <c r="Z240" s="666"/>
      <c r="AA240" s="666"/>
      <c r="AB240" s="666"/>
      <c r="AC240" s="666"/>
      <c r="AD240" s="666"/>
      <c r="AE240" s="666"/>
    </row>
    <row r="241" ht="15.75" customHeight="1">
      <c r="A241" s="671">
        <v>44201.0</v>
      </c>
      <c r="B241" s="672" t="s">
        <v>5065</v>
      </c>
      <c r="C241" s="673" t="s">
        <v>2346</v>
      </c>
      <c r="D241" s="641" t="s">
        <v>5038</v>
      </c>
      <c r="E241" s="679">
        <v>100638.85</v>
      </c>
      <c r="F241" s="641" t="s">
        <v>5066</v>
      </c>
      <c r="G241" s="667" t="s">
        <v>669</v>
      </c>
      <c r="H241" s="667" t="s">
        <v>199</v>
      </c>
      <c r="I241" s="667" t="s">
        <v>1228</v>
      </c>
      <c r="J241" s="667">
        <v>43703.0</v>
      </c>
      <c r="K241" s="670" t="s">
        <v>4383</v>
      </c>
      <c r="L241" s="666"/>
      <c r="M241" s="666"/>
      <c r="N241" s="666"/>
      <c r="O241" s="666"/>
      <c r="P241" s="666"/>
      <c r="Q241" s="666"/>
      <c r="R241" s="666"/>
      <c r="S241" s="666"/>
      <c r="T241" s="666"/>
      <c r="U241" s="666"/>
      <c r="V241" s="666"/>
      <c r="W241" s="666"/>
      <c r="X241" s="666"/>
      <c r="Y241" s="666"/>
      <c r="Z241" s="666"/>
      <c r="AA241" s="666"/>
      <c r="AB241" s="666"/>
      <c r="AC241" s="666"/>
      <c r="AD241" s="666"/>
      <c r="AE241" s="666"/>
    </row>
    <row r="242" ht="15.75" customHeight="1">
      <c r="A242" s="671">
        <v>44201.0</v>
      </c>
      <c r="B242" s="672" t="s">
        <v>5529</v>
      </c>
      <c r="C242" s="673" t="s">
        <v>98</v>
      </c>
      <c r="D242" s="641" t="s">
        <v>5038</v>
      </c>
      <c r="E242" s="669">
        <v>5000.0</v>
      </c>
      <c r="F242" s="641" t="s">
        <v>5321</v>
      </c>
      <c r="G242" s="641" t="s">
        <v>669</v>
      </c>
      <c r="H242" s="641" t="s">
        <v>199</v>
      </c>
      <c r="I242" s="641" t="s">
        <v>669</v>
      </c>
      <c r="J242" s="667">
        <v>43901.0</v>
      </c>
      <c r="K242" s="674" t="s">
        <v>2319</v>
      </c>
      <c r="L242" s="666"/>
      <c r="M242" s="666"/>
      <c r="N242" s="666"/>
      <c r="O242" s="666"/>
      <c r="P242" s="666"/>
      <c r="Q242" s="666"/>
      <c r="R242" s="666"/>
      <c r="S242" s="666"/>
      <c r="T242" s="666"/>
      <c r="U242" s="666"/>
      <c r="V242" s="666"/>
      <c r="W242" s="666"/>
      <c r="X242" s="666"/>
      <c r="Y242" s="666"/>
      <c r="Z242" s="666"/>
      <c r="AA242" s="666"/>
      <c r="AB242" s="666"/>
      <c r="AC242" s="666"/>
      <c r="AD242" s="666"/>
      <c r="AE242" s="666"/>
    </row>
    <row r="243" ht="15.75" customHeight="1">
      <c r="A243" s="671">
        <v>44201.0</v>
      </c>
      <c r="B243" s="672" t="s">
        <v>5740</v>
      </c>
      <c r="C243" s="673" t="s">
        <v>98</v>
      </c>
      <c r="D243" s="641" t="s">
        <v>5038</v>
      </c>
      <c r="E243" s="669">
        <v>13400.0</v>
      </c>
      <c r="F243" s="641" t="s">
        <v>3671</v>
      </c>
      <c r="G243" s="641" t="s">
        <v>669</v>
      </c>
      <c r="H243" s="641" t="s">
        <v>199</v>
      </c>
      <c r="I243" s="641" t="s">
        <v>669</v>
      </c>
      <c r="J243" s="667">
        <v>43847.0</v>
      </c>
      <c r="K243" s="674" t="s">
        <v>2341</v>
      </c>
      <c r="L243" s="720"/>
      <c r="M243" s="719"/>
      <c r="N243" s="666"/>
      <c r="O243" s="666"/>
      <c r="P243" s="666"/>
      <c r="Q243" s="666"/>
      <c r="R243" s="666"/>
      <c r="S243" s="666"/>
      <c r="T243" s="666"/>
      <c r="U243" s="666"/>
      <c r="V243" s="666"/>
      <c r="W243" s="666"/>
      <c r="X243" s="666"/>
      <c r="Y243" s="666"/>
      <c r="Z243" s="666"/>
      <c r="AA243" s="666"/>
      <c r="AB243" s="666"/>
      <c r="AC243" s="666"/>
      <c r="AD243" s="666"/>
      <c r="AE243" s="666"/>
    </row>
    <row r="244" ht="15.75" customHeight="1">
      <c r="A244" s="671">
        <v>44202.0</v>
      </c>
      <c r="B244" s="710" t="s">
        <v>5742</v>
      </c>
      <c r="C244" s="673" t="s">
        <v>2346</v>
      </c>
      <c r="D244" s="641" t="s">
        <v>427</v>
      </c>
      <c r="E244" s="669">
        <v>5000.0</v>
      </c>
      <c r="F244" s="641" t="s">
        <v>5743</v>
      </c>
      <c r="G244" s="667" t="s">
        <v>669</v>
      </c>
      <c r="H244" s="667" t="s">
        <v>199</v>
      </c>
      <c r="I244" s="667" t="s">
        <v>2388</v>
      </c>
      <c r="J244" s="667">
        <v>43795.0</v>
      </c>
      <c r="K244" s="670" t="s">
        <v>2365</v>
      </c>
      <c r="L244" s="666"/>
      <c r="M244" s="666"/>
      <c r="N244" s="666"/>
      <c r="O244" s="666"/>
      <c r="P244" s="666"/>
      <c r="Q244" s="666"/>
      <c r="R244" s="666"/>
      <c r="S244" s="666"/>
      <c r="T244" s="666"/>
      <c r="U244" s="666"/>
      <c r="V244" s="666"/>
      <c r="W244" s="666"/>
      <c r="X244" s="666"/>
      <c r="Y244" s="666"/>
      <c r="Z244" s="666"/>
      <c r="AA244" s="666"/>
      <c r="AB244" s="666"/>
      <c r="AC244" s="666"/>
      <c r="AD244" s="666"/>
      <c r="AE244" s="666"/>
    </row>
    <row r="245" ht="15.75" customHeight="1">
      <c r="A245" s="671">
        <v>44207.0</v>
      </c>
      <c r="B245" s="672" t="s">
        <v>5183</v>
      </c>
      <c r="C245" s="673" t="s">
        <v>2346</v>
      </c>
      <c r="D245" s="641" t="s">
        <v>5038</v>
      </c>
      <c r="E245" s="669">
        <v>14000.0</v>
      </c>
      <c r="F245" s="641" t="s">
        <v>1460</v>
      </c>
      <c r="G245" s="667" t="s">
        <v>669</v>
      </c>
      <c r="H245" s="667" t="s">
        <v>199</v>
      </c>
      <c r="I245" s="667" t="s">
        <v>1228</v>
      </c>
      <c r="J245" s="667">
        <v>43894.0</v>
      </c>
      <c r="K245" s="670" t="s">
        <v>2365</v>
      </c>
      <c r="L245" s="719"/>
      <c r="M245" s="720"/>
      <c r="N245" s="719"/>
      <c r="O245" s="666"/>
      <c r="P245" s="666"/>
      <c r="Q245" s="666"/>
      <c r="R245" s="666"/>
      <c r="S245" s="666"/>
      <c r="T245" s="666"/>
      <c r="U245" s="666"/>
      <c r="V245" s="666"/>
      <c r="W245" s="666"/>
      <c r="X245" s="666"/>
      <c r="Y245" s="666"/>
      <c r="Z245" s="666"/>
      <c r="AA245" s="666"/>
      <c r="AB245" s="666"/>
      <c r="AC245" s="666"/>
      <c r="AD245" s="666"/>
      <c r="AE245" s="666"/>
    </row>
    <row r="246" ht="15.75" customHeight="1">
      <c r="A246" s="671">
        <v>44208.0</v>
      </c>
      <c r="B246" s="710" t="s">
        <v>5065</v>
      </c>
      <c r="C246" s="673" t="s">
        <v>2346</v>
      </c>
      <c r="D246" s="641" t="s">
        <v>5038</v>
      </c>
      <c r="E246" s="669">
        <v>10000.0</v>
      </c>
      <c r="F246" s="641" t="s">
        <v>5066</v>
      </c>
      <c r="G246" s="667" t="s">
        <v>669</v>
      </c>
      <c r="H246" s="667" t="s">
        <v>199</v>
      </c>
      <c r="I246" s="667" t="s">
        <v>1228</v>
      </c>
      <c r="J246" s="667">
        <v>43703.0</v>
      </c>
      <c r="K246" s="670" t="s">
        <v>4383</v>
      </c>
      <c r="L246" s="721"/>
      <c r="M246" s="719"/>
      <c r="N246" s="720"/>
      <c r="O246" s="719"/>
      <c r="P246" s="666"/>
      <c r="Q246" s="666"/>
      <c r="R246" s="666"/>
      <c r="S246" s="666"/>
      <c r="T246" s="666"/>
      <c r="U246" s="666"/>
      <c r="V246" s="666"/>
      <c r="W246" s="666"/>
      <c r="X246" s="666"/>
      <c r="Y246" s="666"/>
      <c r="Z246" s="666"/>
      <c r="AA246" s="666"/>
      <c r="AB246" s="666"/>
      <c r="AC246" s="666"/>
      <c r="AD246" s="666"/>
      <c r="AE246" s="666"/>
    </row>
    <row r="247" ht="15.75" customHeight="1">
      <c r="A247" s="671">
        <v>44209.0</v>
      </c>
      <c r="B247" s="672" t="s">
        <v>5270</v>
      </c>
      <c r="C247" s="673" t="s">
        <v>2346</v>
      </c>
      <c r="D247" s="641" t="s">
        <v>5038</v>
      </c>
      <c r="E247" s="669">
        <v>24000.0</v>
      </c>
      <c r="F247" s="641" t="s">
        <v>1227</v>
      </c>
      <c r="G247" s="667" t="s">
        <v>669</v>
      </c>
      <c r="H247" s="667" t="s">
        <v>199</v>
      </c>
      <c r="I247" s="667" t="s">
        <v>1228</v>
      </c>
      <c r="J247" s="667">
        <v>43564.0</v>
      </c>
      <c r="K247" s="670" t="s">
        <v>2372</v>
      </c>
      <c r="L247" s="666"/>
      <c r="M247" s="666"/>
      <c r="N247" s="666"/>
      <c r="O247" s="666"/>
      <c r="P247" s="666"/>
      <c r="Q247" s="666"/>
      <c r="R247" s="666"/>
      <c r="S247" s="666"/>
      <c r="T247" s="666"/>
      <c r="U247" s="666"/>
      <c r="V247" s="666"/>
      <c r="W247" s="666"/>
      <c r="X247" s="666"/>
      <c r="Y247" s="666"/>
      <c r="Z247" s="666"/>
      <c r="AA247" s="666"/>
      <c r="AB247" s="666"/>
      <c r="AC247" s="666"/>
      <c r="AD247" s="666"/>
      <c r="AE247" s="666"/>
    </row>
    <row r="248" ht="15.75" customHeight="1">
      <c r="A248" s="671">
        <v>44211.0</v>
      </c>
      <c r="B248" s="672" t="s">
        <v>5752</v>
      </c>
      <c r="C248" s="673" t="s">
        <v>2346</v>
      </c>
      <c r="D248" s="641" t="s">
        <v>427</v>
      </c>
      <c r="E248" s="717">
        <v>100832.44</v>
      </c>
      <c r="F248" s="641" t="s">
        <v>3697</v>
      </c>
      <c r="G248" s="667" t="s">
        <v>669</v>
      </c>
      <c r="H248" s="667" t="s">
        <v>199</v>
      </c>
      <c r="I248" s="667" t="s">
        <v>1228</v>
      </c>
      <c r="J248" s="667">
        <v>43725.0</v>
      </c>
      <c r="K248" s="670" t="s">
        <v>4383</v>
      </c>
      <c r="L248" s="719"/>
      <c r="M248" s="721"/>
      <c r="N248" s="719"/>
      <c r="O248" s="720"/>
      <c r="P248" s="719"/>
      <c r="Q248" s="666"/>
      <c r="R248" s="666"/>
      <c r="S248" s="666"/>
      <c r="T248" s="666"/>
      <c r="U248" s="666"/>
      <c r="V248" s="666"/>
      <c r="W248" s="666"/>
      <c r="X248" s="666"/>
      <c r="Y248" s="666"/>
      <c r="Z248" s="666"/>
      <c r="AA248" s="666"/>
      <c r="AB248" s="666"/>
      <c r="AC248" s="666"/>
      <c r="AD248" s="666"/>
      <c r="AE248" s="666"/>
    </row>
    <row r="249" ht="15.75" customHeight="1">
      <c r="A249" s="671">
        <v>44215.0</v>
      </c>
      <c r="B249" s="710" t="s">
        <v>5075</v>
      </c>
      <c r="C249" s="673" t="s">
        <v>2346</v>
      </c>
      <c r="D249" s="641" t="s">
        <v>5038</v>
      </c>
      <c r="E249" s="669">
        <v>50000.0</v>
      </c>
      <c r="F249" s="641" t="s">
        <v>956</v>
      </c>
      <c r="G249" s="667" t="s">
        <v>669</v>
      </c>
      <c r="H249" s="667" t="s">
        <v>199</v>
      </c>
      <c r="I249" s="667" t="s">
        <v>1228</v>
      </c>
      <c r="J249" s="667">
        <v>43605.0</v>
      </c>
      <c r="K249" s="670" t="s">
        <v>2365</v>
      </c>
      <c r="L249" s="719"/>
      <c r="M249" s="719"/>
      <c r="N249" s="721"/>
      <c r="O249" s="719"/>
      <c r="P249" s="720"/>
      <c r="Q249" s="719"/>
      <c r="R249" s="666"/>
      <c r="S249" s="666"/>
      <c r="T249" s="666"/>
      <c r="U249" s="666"/>
      <c r="V249" s="666"/>
      <c r="W249" s="666"/>
      <c r="X249" s="666"/>
      <c r="Y249" s="666"/>
      <c r="Z249" s="666"/>
      <c r="AA249" s="666"/>
      <c r="AB249" s="666"/>
      <c r="AC249" s="666"/>
      <c r="AD249" s="666"/>
      <c r="AE249" s="666"/>
    </row>
    <row r="250" ht="15.75" customHeight="1">
      <c r="A250" s="671">
        <v>44217.0</v>
      </c>
      <c r="B250" s="672" t="s">
        <v>5757</v>
      </c>
      <c r="C250" s="673" t="s">
        <v>2346</v>
      </c>
      <c r="D250" s="641" t="s">
        <v>5038</v>
      </c>
      <c r="E250" s="669">
        <v>30000.0</v>
      </c>
      <c r="F250" s="641" t="s">
        <v>5758</v>
      </c>
      <c r="G250" s="667" t="s">
        <v>669</v>
      </c>
      <c r="H250" s="667" t="s">
        <v>199</v>
      </c>
      <c r="I250" s="667" t="s">
        <v>2388</v>
      </c>
      <c r="J250" s="667">
        <v>43822.0</v>
      </c>
      <c r="K250" s="670" t="s">
        <v>2365</v>
      </c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6"/>
      <c r="AB250" s="666"/>
      <c r="AC250" s="666"/>
      <c r="AD250" s="666"/>
      <c r="AE250" s="666"/>
    </row>
    <row r="251" ht="15.75" customHeight="1">
      <c r="A251" s="671">
        <v>44218.0</v>
      </c>
      <c r="B251" s="672" t="s">
        <v>5270</v>
      </c>
      <c r="C251" s="673" t="s">
        <v>2346</v>
      </c>
      <c r="D251" s="641" t="s">
        <v>5038</v>
      </c>
      <c r="E251" s="669">
        <v>13000.0</v>
      </c>
      <c r="F251" s="641" t="s">
        <v>1227</v>
      </c>
      <c r="G251" s="667" t="s">
        <v>669</v>
      </c>
      <c r="H251" s="667" t="s">
        <v>199</v>
      </c>
      <c r="I251" s="667" t="s">
        <v>1228</v>
      </c>
      <c r="J251" s="667">
        <v>43564.0</v>
      </c>
      <c r="K251" s="670" t="s">
        <v>2372</v>
      </c>
      <c r="L251" s="666"/>
      <c r="M251" s="666"/>
      <c r="N251" s="666"/>
      <c r="O251" s="666"/>
      <c r="P251" s="666"/>
      <c r="Q251" s="666"/>
      <c r="R251" s="666"/>
      <c r="S251" s="666"/>
      <c r="T251" s="666"/>
      <c r="U251" s="666"/>
      <c r="V251" s="666"/>
      <c r="W251" s="666"/>
      <c r="X251" s="666"/>
      <c r="Y251" s="666"/>
      <c r="Z251" s="666"/>
      <c r="AA251" s="666"/>
      <c r="AB251" s="666"/>
      <c r="AC251" s="666"/>
      <c r="AD251" s="666"/>
      <c r="AE251" s="666"/>
    </row>
    <row r="252" ht="15.75" customHeight="1">
      <c r="A252" s="671">
        <v>44221.0</v>
      </c>
      <c r="B252" s="672" t="s">
        <v>5075</v>
      </c>
      <c r="C252" s="673" t="s">
        <v>2346</v>
      </c>
      <c r="D252" s="641" t="s">
        <v>5038</v>
      </c>
      <c r="E252" s="669">
        <v>5000.0</v>
      </c>
      <c r="F252" s="641" t="s">
        <v>956</v>
      </c>
      <c r="G252" s="667" t="s">
        <v>669</v>
      </c>
      <c r="H252" s="667" t="s">
        <v>199</v>
      </c>
      <c r="I252" s="667" t="s">
        <v>1228</v>
      </c>
      <c r="J252" s="667">
        <v>43605.0</v>
      </c>
      <c r="K252" s="670" t="s">
        <v>2365</v>
      </c>
      <c r="L252" s="719"/>
      <c r="M252" s="719"/>
      <c r="N252" s="719"/>
      <c r="O252" s="721"/>
      <c r="P252" s="719"/>
      <c r="Q252" s="720"/>
      <c r="R252" s="719"/>
      <c r="S252" s="666"/>
      <c r="T252" s="666"/>
      <c r="U252" s="666"/>
      <c r="V252" s="666"/>
      <c r="W252" s="666"/>
      <c r="X252" s="666"/>
      <c r="Y252" s="666"/>
      <c r="Z252" s="666"/>
      <c r="AA252" s="666"/>
      <c r="AB252" s="666"/>
      <c r="AC252" s="666"/>
      <c r="AD252" s="666"/>
      <c r="AE252" s="666"/>
    </row>
    <row r="253" ht="15.75" customHeight="1">
      <c r="A253" s="671">
        <v>44223.0</v>
      </c>
      <c r="B253" s="672" t="s">
        <v>5065</v>
      </c>
      <c r="C253" s="673" t="s">
        <v>2346</v>
      </c>
      <c r="D253" s="641" t="s">
        <v>5038</v>
      </c>
      <c r="E253" s="669">
        <v>3000.0</v>
      </c>
      <c r="F253" s="641" t="s">
        <v>5066</v>
      </c>
      <c r="G253" s="667" t="s">
        <v>669</v>
      </c>
      <c r="H253" s="667" t="s">
        <v>199</v>
      </c>
      <c r="I253" s="667" t="s">
        <v>1228</v>
      </c>
      <c r="J253" s="667">
        <v>43703.0</v>
      </c>
      <c r="K253" s="670" t="s">
        <v>4383</v>
      </c>
      <c r="L253" s="666"/>
      <c r="M253" s="666"/>
      <c r="N253" s="666"/>
      <c r="O253" s="666"/>
      <c r="P253" s="666"/>
      <c r="Q253" s="666"/>
      <c r="R253" s="666"/>
      <c r="S253" s="666"/>
      <c r="T253" s="666"/>
      <c r="U253" s="666"/>
      <c r="V253" s="666"/>
      <c r="W253" s="666"/>
      <c r="X253" s="666"/>
      <c r="Y253" s="666"/>
      <c r="Z253" s="666"/>
      <c r="AA253" s="666"/>
      <c r="AB253" s="666"/>
      <c r="AC253" s="666"/>
      <c r="AD253" s="666"/>
      <c r="AE253" s="666"/>
    </row>
    <row r="254" ht="15.75" customHeight="1">
      <c r="A254" s="671">
        <v>44228.0</v>
      </c>
      <c r="B254" s="672" t="s">
        <v>5037</v>
      </c>
      <c r="C254" s="673" t="s">
        <v>2346</v>
      </c>
      <c r="D254" s="641" t="s">
        <v>5038</v>
      </c>
      <c r="E254" s="669">
        <v>37000.0</v>
      </c>
      <c r="F254" s="641" t="s">
        <v>5039</v>
      </c>
      <c r="G254" s="667" t="s">
        <v>669</v>
      </c>
      <c r="H254" s="667" t="s">
        <v>199</v>
      </c>
      <c r="I254" s="667" t="s">
        <v>1228</v>
      </c>
      <c r="J254" s="667">
        <v>43675.0</v>
      </c>
      <c r="K254" s="670" t="s">
        <v>4383</v>
      </c>
      <c r="L254" s="666"/>
      <c r="M254" s="666"/>
      <c r="N254" s="666"/>
      <c r="O254" s="666"/>
      <c r="P254" s="666"/>
      <c r="Q254" s="666"/>
      <c r="R254" s="666"/>
      <c r="S254" s="666"/>
      <c r="T254" s="666"/>
      <c r="U254" s="666"/>
      <c r="V254" s="666"/>
      <c r="W254" s="666"/>
      <c r="X254" s="666"/>
      <c r="Y254" s="666"/>
      <c r="Z254" s="666"/>
      <c r="AA254" s="666"/>
      <c r="AB254" s="666"/>
      <c r="AC254" s="666"/>
      <c r="AD254" s="666"/>
      <c r="AE254" s="666"/>
    </row>
    <row r="255" ht="15.75" customHeight="1">
      <c r="A255" s="667">
        <v>44229.0</v>
      </c>
      <c r="B255" s="668" t="s">
        <v>5765</v>
      </c>
      <c r="C255" s="641" t="s">
        <v>98</v>
      </c>
      <c r="D255" s="641" t="s">
        <v>694</v>
      </c>
      <c r="E255" s="669">
        <v>0.0</v>
      </c>
      <c r="F255" s="641" t="s">
        <v>5338</v>
      </c>
      <c r="G255" s="641" t="s">
        <v>120</v>
      </c>
      <c r="H255" s="641" t="s">
        <v>199</v>
      </c>
      <c r="I255" s="641" t="s">
        <v>2339</v>
      </c>
      <c r="J255" s="667">
        <v>44167.0</v>
      </c>
      <c r="K255" s="674" t="s">
        <v>2372</v>
      </c>
      <c r="L255" s="666"/>
      <c r="M255" s="666"/>
      <c r="N255" s="666"/>
      <c r="O255" s="666"/>
      <c r="P255" s="666"/>
      <c r="Q255" s="666"/>
      <c r="R255" s="666"/>
      <c r="S255" s="666"/>
      <c r="T255" s="666"/>
      <c r="U255" s="666"/>
      <c r="V255" s="666"/>
      <c r="W255" s="666"/>
      <c r="X255" s="666"/>
      <c r="Y255" s="666"/>
      <c r="Z255" s="666"/>
      <c r="AA255" s="666"/>
      <c r="AB255" s="666"/>
      <c r="AC255" s="666"/>
      <c r="AD255" s="666"/>
      <c r="AE255" s="666"/>
    </row>
    <row r="256" ht="15.75" customHeight="1">
      <c r="A256" s="671">
        <v>44229.0</v>
      </c>
      <c r="B256" s="672" t="s">
        <v>5583</v>
      </c>
      <c r="C256" s="673" t="s">
        <v>2346</v>
      </c>
      <c r="D256" s="641" t="s">
        <v>5038</v>
      </c>
      <c r="E256" s="669">
        <v>49992.45</v>
      </c>
      <c r="F256" s="641" t="s">
        <v>5588</v>
      </c>
      <c r="G256" s="667" t="s">
        <v>669</v>
      </c>
      <c r="H256" s="667" t="s">
        <v>199</v>
      </c>
      <c r="I256" s="667" t="s">
        <v>1228</v>
      </c>
      <c r="J256" s="667">
        <v>43873.0</v>
      </c>
      <c r="K256" s="670" t="s">
        <v>2341</v>
      </c>
      <c r="L256" s="719"/>
      <c r="M256" s="719"/>
      <c r="N256" s="719"/>
      <c r="O256" s="721"/>
      <c r="P256" s="719"/>
      <c r="Q256" s="720"/>
      <c r="R256" s="719"/>
      <c r="S256" s="666"/>
      <c r="T256" s="666"/>
      <c r="U256" s="666"/>
      <c r="V256" s="666"/>
      <c r="W256" s="666"/>
      <c r="X256" s="666"/>
      <c r="Y256" s="666"/>
      <c r="Z256" s="666"/>
      <c r="AA256" s="666"/>
      <c r="AB256" s="666"/>
      <c r="AC256" s="666"/>
      <c r="AD256" s="666"/>
      <c r="AE256" s="666"/>
      <c r="AF256" s="666"/>
      <c r="AG256" s="666"/>
      <c r="AH256" s="666"/>
      <c r="AI256" s="666"/>
      <c r="AJ256" s="666"/>
      <c r="AK256" s="666"/>
      <c r="AL256" s="666"/>
      <c r="AM256" s="666"/>
      <c r="AN256" s="666"/>
      <c r="AO256" s="666"/>
      <c r="AP256" s="666"/>
      <c r="AQ256" s="666"/>
      <c r="AR256" s="666"/>
      <c r="AS256" s="666"/>
      <c r="AT256" s="666"/>
      <c r="AU256" s="666"/>
    </row>
    <row r="257" ht="15.75" customHeight="1">
      <c r="A257" s="671">
        <v>44230.0</v>
      </c>
      <c r="B257" s="672" t="s">
        <v>5046</v>
      </c>
      <c r="C257" s="673" t="s">
        <v>98</v>
      </c>
      <c r="D257" s="641" t="s">
        <v>5038</v>
      </c>
      <c r="E257" s="669">
        <v>80000.0</v>
      </c>
      <c r="F257" s="641" t="s">
        <v>4424</v>
      </c>
      <c r="G257" s="641" t="s">
        <v>669</v>
      </c>
      <c r="H257" s="641" t="s">
        <v>199</v>
      </c>
      <c r="I257" s="641" t="s">
        <v>669</v>
      </c>
      <c r="J257" s="667">
        <v>43749.0</v>
      </c>
      <c r="K257" s="674" t="s">
        <v>4383</v>
      </c>
      <c r="L257" s="719"/>
      <c r="M257" s="719"/>
      <c r="N257" s="719"/>
      <c r="O257" s="719"/>
      <c r="P257" s="721"/>
      <c r="Q257" s="719"/>
      <c r="R257" s="720"/>
      <c r="S257" s="719"/>
      <c r="T257" s="666"/>
      <c r="U257" s="666"/>
      <c r="V257" s="666"/>
      <c r="W257" s="666"/>
      <c r="X257" s="666"/>
      <c r="Y257" s="666"/>
      <c r="Z257" s="666"/>
      <c r="AA257" s="666"/>
      <c r="AB257" s="666"/>
      <c r="AC257" s="666"/>
      <c r="AD257" s="666"/>
      <c r="AE257" s="666"/>
      <c r="AF257" s="666"/>
      <c r="AG257" s="666"/>
      <c r="AH257" s="666"/>
      <c r="AI257" s="666"/>
      <c r="AJ257" s="666"/>
      <c r="AK257" s="666"/>
      <c r="AL257" s="666"/>
      <c r="AM257" s="666"/>
      <c r="AN257" s="666"/>
      <c r="AO257" s="666"/>
      <c r="AP257" s="666"/>
      <c r="AQ257" s="666"/>
      <c r="AR257" s="666"/>
      <c r="AS257" s="666"/>
      <c r="AT257" s="666"/>
      <c r="AU257" s="666"/>
    </row>
    <row r="258" ht="15.75" customHeight="1">
      <c r="A258" s="671">
        <v>44230.0</v>
      </c>
      <c r="B258" s="672" t="s">
        <v>5514</v>
      </c>
      <c r="C258" s="673" t="s">
        <v>98</v>
      </c>
      <c r="D258" s="641" t="s">
        <v>5038</v>
      </c>
      <c r="E258" s="669">
        <v>5000.0</v>
      </c>
      <c r="F258" s="641" t="s">
        <v>5515</v>
      </c>
      <c r="G258" s="641" t="s">
        <v>669</v>
      </c>
      <c r="H258" s="641" t="s">
        <v>199</v>
      </c>
      <c r="I258" s="641" t="s">
        <v>669</v>
      </c>
      <c r="J258" s="667">
        <v>44043.0</v>
      </c>
      <c r="K258" s="674" t="s">
        <v>2341</v>
      </c>
      <c r="L258" s="719"/>
      <c r="M258" s="719"/>
      <c r="N258" s="719"/>
      <c r="O258" s="719"/>
      <c r="P258" s="719"/>
      <c r="Q258" s="721"/>
      <c r="R258" s="719"/>
      <c r="S258" s="720"/>
      <c r="T258" s="719"/>
      <c r="U258" s="666"/>
      <c r="V258" s="666"/>
      <c r="W258" s="666"/>
      <c r="X258" s="666"/>
      <c r="Y258" s="666"/>
      <c r="Z258" s="666"/>
      <c r="AA258" s="666"/>
      <c r="AB258" s="666"/>
      <c r="AC258" s="666"/>
      <c r="AD258" s="666"/>
      <c r="AE258" s="666"/>
      <c r="AF258" s="666"/>
      <c r="AG258" s="666"/>
      <c r="AH258" s="666"/>
      <c r="AI258" s="666"/>
      <c r="AJ258" s="666"/>
      <c r="AK258" s="666"/>
      <c r="AL258" s="666"/>
      <c r="AM258" s="666"/>
      <c r="AN258" s="666"/>
      <c r="AO258" s="666"/>
      <c r="AP258" s="666"/>
      <c r="AQ258" s="666"/>
      <c r="AR258" s="666"/>
      <c r="AS258" s="666"/>
      <c r="AT258" s="666"/>
      <c r="AU258" s="666"/>
    </row>
    <row r="259" ht="15.75" customHeight="1">
      <c r="A259" s="671">
        <v>44230.0</v>
      </c>
      <c r="B259" s="672" t="s">
        <v>5336</v>
      </c>
      <c r="C259" s="673" t="s">
        <v>2346</v>
      </c>
      <c r="D259" s="641" t="s">
        <v>5038</v>
      </c>
      <c r="E259" s="669">
        <v>100000.0</v>
      </c>
      <c r="F259" s="641" t="s">
        <v>5002</v>
      </c>
      <c r="G259" s="667" t="s">
        <v>669</v>
      </c>
      <c r="H259" s="667" t="s">
        <v>199</v>
      </c>
      <c r="I259" s="667" t="s">
        <v>1228</v>
      </c>
      <c r="J259" s="667">
        <v>43888.0</v>
      </c>
      <c r="K259" s="670" t="s">
        <v>2341</v>
      </c>
      <c r="L259" s="719"/>
      <c r="M259" s="719"/>
      <c r="N259" s="719"/>
      <c r="O259" s="719"/>
      <c r="P259" s="719"/>
      <c r="Q259" s="721"/>
      <c r="R259" s="719"/>
      <c r="S259" s="720"/>
      <c r="T259" s="719"/>
      <c r="U259" s="666"/>
      <c r="V259" s="666"/>
      <c r="W259" s="666"/>
      <c r="X259" s="666"/>
      <c r="Y259" s="666"/>
      <c r="Z259" s="666"/>
      <c r="AA259" s="666"/>
      <c r="AB259" s="666"/>
      <c r="AC259" s="666"/>
      <c r="AD259" s="666"/>
      <c r="AE259" s="666"/>
      <c r="AF259" s="666"/>
      <c r="AG259" s="666"/>
      <c r="AH259" s="666"/>
      <c r="AI259" s="666"/>
      <c r="AJ259" s="666"/>
      <c r="AK259" s="666"/>
      <c r="AL259" s="666"/>
      <c r="AM259" s="666"/>
      <c r="AN259" s="666"/>
      <c r="AO259" s="666"/>
      <c r="AP259" s="666"/>
      <c r="AQ259" s="666"/>
      <c r="AR259" s="666"/>
      <c r="AS259" s="666"/>
      <c r="AT259" s="666"/>
      <c r="AU259" s="666"/>
    </row>
    <row r="260" ht="15.75" customHeight="1">
      <c r="A260" s="671">
        <v>44235.0</v>
      </c>
      <c r="B260" s="672" t="s">
        <v>1280</v>
      </c>
      <c r="C260" s="673" t="s">
        <v>202</v>
      </c>
      <c r="D260" s="641" t="s">
        <v>5038</v>
      </c>
      <c r="E260" s="669">
        <v>75000.0</v>
      </c>
      <c r="F260" s="641" t="s">
        <v>1279</v>
      </c>
      <c r="G260" s="667" t="s">
        <v>120</v>
      </c>
      <c r="H260" s="667" t="s">
        <v>199</v>
      </c>
      <c r="I260" s="667" t="s">
        <v>841</v>
      </c>
      <c r="J260" s="667">
        <v>43797.0</v>
      </c>
      <c r="K260" s="670" t="s">
        <v>2365</v>
      </c>
      <c r="L260" s="666"/>
      <c r="M260" s="666"/>
      <c r="N260" s="666"/>
      <c r="O260" s="666"/>
      <c r="P260" s="666"/>
      <c r="Q260" s="666"/>
      <c r="R260" s="666"/>
      <c r="S260" s="666"/>
      <c r="T260" s="666"/>
      <c r="U260" s="666"/>
      <c r="V260" s="666"/>
      <c r="W260" s="666"/>
      <c r="X260" s="666"/>
      <c r="Y260" s="666"/>
      <c r="Z260" s="666"/>
      <c r="AA260" s="666"/>
      <c r="AB260" s="666"/>
      <c r="AC260" s="666"/>
      <c r="AD260" s="666"/>
      <c r="AE260" s="666"/>
      <c r="AF260" s="666"/>
      <c r="AG260" s="666"/>
      <c r="AH260" s="666"/>
      <c r="AI260" s="666"/>
      <c r="AJ260" s="666"/>
      <c r="AK260" s="666"/>
      <c r="AL260" s="666"/>
      <c r="AM260" s="666"/>
      <c r="AN260" s="666"/>
      <c r="AO260" s="666"/>
      <c r="AP260" s="666"/>
      <c r="AQ260" s="666"/>
      <c r="AR260" s="666"/>
      <c r="AS260" s="666"/>
      <c r="AT260" s="666"/>
      <c r="AU260" s="666"/>
    </row>
    <row r="261" ht="15.75" customHeight="1">
      <c r="A261" s="671">
        <v>44236.0</v>
      </c>
      <c r="B261" s="672" t="s">
        <v>5779</v>
      </c>
      <c r="C261" s="673" t="s">
        <v>98</v>
      </c>
      <c r="D261" s="641" t="s">
        <v>5038</v>
      </c>
      <c r="E261" s="669">
        <v>40000.0</v>
      </c>
      <c r="F261" s="641" t="s">
        <v>4079</v>
      </c>
      <c r="G261" s="641" t="s">
        <v>120</v>
      </c>
      <c r="H261" s="641" t="s">
        <v>199</v>
      </c>
      <c r="I261" s="641" t="s">
        <v>4081</v>
      </c>
      <c r="J261" s="667">
        <v>44089.0</v>
      </c>
      <c r="K261" s="674" t="s">
        <v>2356</v>
      </c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6" t="s">
        <v>694</v>
      </c>
      <c r="AB261" s="666"/>
      <c r="AC261" s="666"/>
      <c r="AD261" s="666"/>
      <c r="AE261" s="666"/>
      <c r="AF261" s="666"/>
      <c r="AG261" s="666"/>
      <c r="AH261" s="666"/>
      <c r="AI261" s="666"/>
      <c r="AJ261" s="666"/>
      <c r="AK261" s="666"/>
      <c r="AL261" s="666"/>
      <c r="AM261" s="666"/>
      <c r="AN261" s="666"/>
      <c r="AO261" s="666"/>
      <c r="AP261" s="666"/>
      <c r="AQ261" s="666"/>
      <c r="AR261" s="666"/>
      <c r="AS261" s="666"/>
      <c r="AT261" s="666"/>
      <c r="AU261" s="666"/>
    </row>
    <row r="262" ht="15.75" customHeight="1">
      <c r="A262" s="671">
        <v>44237.0</v>
      </c>
      <c r="B262" s="672" t="s">
        <v>5529</v>
      </c>
      <c r="C262" s="673" t="s">
        <v>98</v>
      </c>
      <c r="D262" s="641" t="s">
        <v>5038</v>
      </c>
      <c r="E262" s="669">
        <v>60000.0</v>
      </c>
      <c r="F262" s="641" t="s">
        <v>5321</v>
      </c>
      <c r="G262" s="641" t="s">
        <v>669</v>
      </c>
      <c r="H262" s="641" t="s">
        <v>199</v>
      </c>
      <c r="I262" s="641" t="s">
        <v>669</v>
      </c>
      <c r="J262" s="667">
        <v>43901.0</v>
      </c>
      <c r="K262" s="674" t="s">
        <v>2319</v>
      </c>
      <c r="L262" s="666"/>
      <c r="M262" s="666"/>
      <c r="N262" s="666"/>
      <c r="O262" s="666"/>
      <c r="P262" s="666"/>
      <c r="Q262" s="666"/>
      <c r="R262" s="666"/>
      <c r="S262" s="666"/>
      <c r="T262" s="666"/>
      <c r="U262" s="666"/>
      <c r="V262" s="666"/>
      <c r="W262" s="666"/>
      <c r="X262" s="666"/>
      <c r="Y262" s="666"/>
      <c r="Z262" s="666"/>
      <c r="AA262" s="666" t="s">
        <v>427</v>
      </c>
      <c r="AB262" s="666"/>
      <c r="AC262" s="666"/>
      <c r="AD262" s="666"/>
      <c r="AE262" s="666"/>
      <c r="AF262" s="666"/>
      <c r="AG262" s="666"/>
      <c r="AH262" s="666"/>
      <c r="AI262" s="666"/>
      <c r="AJ262" s="666"/>
      <c r="AK262" s="666"/>
      <c r="AL262" s="666"/>
      <c r="AM262" s="666"/>
      <c r="AN262" s="666"/>
      <c r="AO262" s="666"/>
      <c r="AP262" s="666"/>
      <c r="AQ262" s="666"/>
      <c r="AR262" s="666"/>
      <c r="AS262" s="666"/>
      <c r="AT262" s="666"/>
      <c r="AU262" s="666"/>
    </row>
    <row r="263" ht="15.75" customHeight="1">
      <c r="A263" s="671">
        <v>44239.0</v>
      </c>
      <c r="B263" s="672" t="s">
        <v>5786</v>
      </c>
      <c r="C263" s="673" t="s">
        <v>2346</v>
      </c>
      <c r="D263" s="641" t="s">
        <v>5038</v>
      </c>
      <c r="E263" s="669">
        <v>0.0</v>
      </c>
      <c r="F263" s="641" t="s">
        <v>4545</v>
      </c>
      <c r="G263" s="667" t="s">
        <v>669</v>
      </c>
      <c r="H263" s="667" t="s">
        <v>199</v>
      </c>
      <c r="I263" s="667" t="s">
        <v>1228</v>
      </c>
      <c r="J263" s="667">
        <v>43888.0</v>
      </c>
      <c r="K263" s="670" t="s">
        <v>2365</v>
      </c>
      <c r="L263" s="666"/>
      <c r="M263" s="666"/>
      <c r="N263" s="666"/>
      <c r="O263" s="666"/>
      <c r="P263" s="666"/>
      <c r="Q263" s="666"/>
      <c r="R263" s="666"/>
      <c r="S263" s="666"/>
      <c r="T263" s="666"/>
      <c r="U263" s="666"/>
      <c r="V263" s="666"/>
      <c r="W263" s="666"/>
      <c r="X263" s="666"/>
      <c r="Y263" s="666"/>
      <c r="Z263" s="666"/>
      <c r="AA263" s="666" t="s">
        <v>5038</v>
      </c>
      <c r="AB263" s="666"/>
      <c r="AC263" s="666"/>
      <c r="AD263" s="666"/>
      <c r="AE263" s="666"/>
      <c r="AF263" s="666"/>
      <c r="AG263" s="666"/>
      <c r="AH263" s="666"/>
      <c r="AI263" s="666"/>
      <c r="AJ263" s="666"/>
      <c r="AK263" s="666"/>
      <c r="AL263" s="666"/>
      <c r="AM263" s="666"/>
      <c r="AN263" s="666"/>
      <c r="AO263" s="666"/>
      <c r="AP263" s="666"/>
      <c r="AQ263" s="666"/>
      <c r="AR263" s="666"/>
      <c r="AS263" s="666"/>
      <c r="AT263" s="666"/>
      <c r="AU263" s="666"/>
    </row>
    <row r="264" ht="15.75" customHeight="1">
      <c r="A264" s="671">
        <v>44246.0</v>
      </c>
      <c r="B264" s="672" t="s">
        <v>5796</v>
      </c>
      <c r="C264" s="673" t="s">
        <v>98</v>
      </c>
      <c r="D264" s="641" t="s">
        <v>5038</v>
      </c>
      <c r="E264" s="669">
        <v>147535.36</v>
      </c>
      <c r="F264" s="641" t="s">
        <v>2563</v>
      </c>
      <c r="G264" s="641" t="s">
        <v>669</v>
      </c>
      <c r="H264" s="641" t="s">
        <v>199</v>
      </c>
      <c r="I264" s="641" t="s">
        <v>669</v>
      </c>
      <c r="J264" s="667">
        <v>44180.0</v>
      </c>
      <c r="K264" s="674" t="s">
        <v>2341</v>
      </c>
      <c r="L264" s="666"/>
      <c r="M264" s="666"/>
      <c r="N264" s="666"/>
      <c r="O264" s="666"/>
      <c r="P264" s="666"/>
      <c r="Q264" s="666"/>
      <c r="R264" s="666"/>
      <c r="S264" s="666"/>
      <c r="T264" s="666"/>
      <c r="U264" s="666"/>
      <c r="V264" s="666"/>
      <c r="W264" s="666"/>
      <c r="X264" s="666"/>
      <c r="Y264" s="666"/>
      <c r="Z264" s="666"/>
      <c r="AA264" s="666"/>
      <c r="AB264" s="666"/>
      <c r="AC264" s="666"/>
      <c r="AD264" s="666"/>
      <c r="AE264" s="666"/>
      <c r="AF264" s="666"/>
      <c r="AG264" s="666"/>
      <c r="AH264" s="666"/>
      <c r="AI264" s="666"/>
      <c r="AJ264" s="666"/>
      <c r="AK264" s="666"/>
      <c r="AL264" s="666"/>
      <c r="AM264" s="666"/>
      <c r="AN264" s="666"/>
      <c r="AO264" s="666"/>
      <c r="AP264" s="666"/>
      <c r="AQ264" s="666"/>
      <c r="AR264" s="666"/>
      <c r="AS264" s="666"/>
      <c r="AT264" s="666"/>
      <c r="AU264" s="666"/>
    </row>
    <row r="265" ht="15.75" customHeight="1">
      <c r="A265" s="671">
        <v>44246.0</v>
      </c>
      <c r="B265" s="672" t="s">
        <v>5178</v>
      </c>
      <c r="C265" s="673" t="s">
        <v>2346</v>
      </c>
      <c r="D265" s="641" t="s">
        <v>5038</v>
      </c>
      <c r="E265" s="669">
        <v>10000.0</v>
      </c>
      <c r="F265" s="641" t="s">
        <v>5180</v>
      </c>
      <c r="G265" s="667" t="s">
        <v>669</v>
      </c>
      <c r="H265" s="667" t="s">
        <v>199</v>
      </c>
      <c r="I265" s="667" t="s">
        <v>1228</v>
      </c>
      <c r="J265" s="667">
        <v>43717.0</v>
      </c>
      <c r="K265" s="670" t="s">
        <v>4383</v>
      </c>
      <c r="L265" s="666"/>
      <c r="M265" s="666"/>
      <c r="N265" s="666"/>
      <c r="O265" s="666"/>
      <c r="P265" s="666"/>
      <c r="Q265" s="666"/>
      <c r="R265" s="666"/>
      <c r="S265" s="666"/>
      <c r="T265" s="666"/>
      <c r="U265" s="666"/>
      <c r="V265" s="666"/>
      <c r="W265" s="666"/>
      <c r="X265" s="666"/>
      <c r="Y265" s="666"/>
      <c r="Z265" s="666"/>
      <c r="AA265" s="666"/>
      <c r="AB265" s="666"/>
      <c r="AC265" s="666"/>
      <c r="AD265" s="666"/>
      <c r="AE265" s="666"/>
      <c r="AF265" s="666"/>
      <c r="AG265" s="666"/>
      <c r="AH265" s="666"/>
      <c r="AI265" s="666"/>
      <c r="AJ265" s="666"/>
      <c r="AK265" s="666"/>
      <c r="AL265" s="666"/>
      <c r="AM265" s="666"/>
      <c r="AN265" s="666"/>
      <c r="AO265" s="666"/>
      <c r="AP265" s="666"/>
      <c r="AQ265" s="666"/>
      <c r="AR265" s="666"/>
      <c r="AS265" s="666"/>
      <c r="AT265" s="666"/>
      <c r="AU265" s="666"/>
    </row>
    <row r="266" ht="15.75" customHeight="1">
      <c r="A266" s="671">
        <v>44251.0</v>
      </c>
      <c r="B266" s="672" t="s">
        <v>5805</v>
      </c>
      <c r="C266" s="673" t="s">
        <v>2346</v>
      </c>
      <c r="D266" s="641" t="s">
        <v>5038</v>
      </c>
      <c r="E266" s="669">
        <v>7000.0</v>
      </c>
      <c r="F266" s="641" t="s">
        <v>1378</v>
      </c>
      <c r="G266" s="667" t="s">
        <v>120</v>
      </c>
      <c r="H266" s="667" t="s">
        <v>199</v>
      </c>
      <c r="I266" s="667" t="s">
        <v>439</v>
      </c>
      <c r="J266" s="667">
        <v>43417.0</v>
      </c>
      <c r="K266" s="670" t="s">
        <v>5807</v>
      </c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6"/>
      <c r="AB266" s="666"/>
      <c r="AC266" s="666"/>
      <c r="AD266" s="666"/>
      <c r="AE266" s="666"/>
      <c r="AF266" s="666"/>
      <c r="AG266" s="666"/>
      <c r="AH266" s="666"/>
      <c r="AI266" s="666"/>
      <c r="AJ266" s="666"/>
      <c r="AK266" s="666"/>
      <c r="AL266" s="666"/>
      <c r="AM266" s="666"/>
      <c r="AN266" s="666"/>
      <c r="AO266" s="666"/>
      <c r="AP266" s="666"/>
      <c r="AQ266" s="666"/>
      <c r="AR266" s="666"/>
      <c r="AS266" s="666"/>
      <c r="AT266" s="666"/>
      <c r="AU266" s="666"/>
    </row>
    <row r="267" ht="15.75" customHeight="1">
      <c r="A267" s="667">
        <v>44252.0</v>
      </c>
      <c r="B267" s="668" t="s">
        <v>5085</v>
      </c>
      <c r="C267" s="641" t="s">
        <v>98</v>
      </c>
      <c r="D267" s="641" t="s">
        <v>694</v>
      </c>
      <c r="E267" s="669">
        <v>0.0</v>
      </c>
      <c r="F267" s="641" t="s">
        <v>5088</v>
      </c>
      <c r="G267" s="641" t="s">
        <v>669</v>
      </c>
      <c r="H267" s="641" t="s">
        <v>199</v>
      </c>
      <c r="I267" s="641" t="s">
        <v>669</v>
      </c>
      <c r="J267" s="667">
        <v>44252.0</v>
      </c>
      <c r="K267" s="674" t="s">
        <v>2365</v>
      </c>
      <c r="L267" s="666"/>
      <c r="M267" s="666"/>
      <c r="N267" s="666"/>
      <c r="O267" s="666"/>
      <c r="P267" s="666"/>
      <c r="Q267" s="666"/>
      <c r="R267" s="666"/>
      <c r="S267" s="666"/>
      <c r="T267" s="666"/>
      <c r="U267" s="666"/>
      <c r="V267" s="666"/>
      <c r="W267" s="666"/>
      <c r="X267" s="666"/>
      <c r="Y267" s="666"/>
      <c r="Z267" s="666"/>
      <c r="AA267" s="666"/>
      <c r="AB267" s="666"/>
      <c r="AC267" s="666"/>
      <c r="AD267" s="666"/>
      <c r="AE267" s="666"/>
      <c r="AF267" s="666"/>
      <c r="AG267" s="666"/>
      <c r="AH267" s="666"/>
      <c r="AI267" s="666"/>
      <c r="AJ267" s="666"/>
      <c r="AK267" s="666"/>
      <c r="AL267" s="666"/>
      <c r="AM267" s="666"/>
      <c r="AN267" s="666"/>
      <c r="AO267" s="666"/>
      <c r="AP267" s="666"/>
      <c r="AQ267" s="666"/>
      <c r="AR267" s="666"/>
      <c r="AS267" s="666"/>
      <c r="AT267" s="666"/>
      <c r="AU267" s="666"/>
    </row>
    <row r="268" ht="15.75" customHeight="1">
      <c r="A268" s="671">
        <v>44252.0</v>
      </c>
      <c r="B268" s="672" t="s">
        <v>5153</v>
      </c>
      <c r="C268" s="673" t="s">
        <v>98</v>
      </c>
      <c r="D268" s="641" t="s">
        <v>5038</v>
      </c>
      <c r="E268" s="669">
        <v>359512.5</v>
      </c>
      <c r="F268" s="641" t="s">
        <v>5154</v>
      </c>
      <c r="G268" s="641" t="s">
        <v>669</v>
      </c>
      <c r="H268" s="641" t="s">
        <v>199</v>
      </c>
      <c r="I268" s="641" t="s">
        <v>669</v>
      </c>
      <c r="J268" s="667">
        <v>44225.0</v>
      </c>
      <c r="K268" s="674" t="s">
        <v>2341</v>
      </c>
      <c r="L268" s="666"/>
      <c r="M268" s="666"/>
      <c r="N268" s="666"/>
      <c r="O268" s="666"/>
      <c r="P268" s="666"/>
      <c r="Q268" s="666"/>
      <c r="R268" s="666"/>
      <c r="S268" s="666"/>
      <c r="T268" s="666"/>
      <c r="U268" s="666"/>
      <c r="V268" s="666"/>
      <c r="W268" s="666"/>
      <c r="X268" s="666"/>
      <c r="Y268" s="666"/>
      <c r="Z268" s="666"/>
      <c r="AA268" s="666"/>
      <c r="AB268" s="666"/>
      <c r="AC268" s="666"/>
      <c r="AD268" s="666"/>
      <c r="AE268" s="666"/>
      <c r="AF268" s="666"/>
      <c r="AG268" s="666"/>
      <c r="AH268" s="666"/>
      <c r="AI268" s="666"/>
      <c r="AJ268" s="666"/>
      <c r="AK268" s="666"/>
      <c r="AL268" s="666"/>
      <c r="AM268" s="666"/>
      <c r="AN268" s="666"/>
      <c r="AO268" s="666"/>
      <c r="AP268" s="666"/>
      <c r="AQ268" s="666"/>
      <c r="AR268" s="666"/>
      <c r="AS268" s="666"/>
      <c r="AT268" s="666"/>
      <c r="AU268" s="666"/>
    </row>
    <row r="269" ht="15.75" customHeight="1">
      <c r="A269" s="671">
        <v>44252.0</v>
      </c>
      <c r="B269" s="672" t="s">
        <v>5046</v>
      </c>
      <c r="C269" s="673" t="s">
        <v>98</v>
      </c>
      <c r="D269" s="641" t="s">
        <v>5038</v>
      </c>
      <c r="E269" s="669">
        <v>0.0</v>
      </c>
      <c r="F269" s="641" t="s">
        <v>4424</v>
      </c>
      <c r="G269" s="641" t="s">
        <v>669</v>
      </c>
      <c r="H269" s="641" t="s">
        <v>199</v>
      </c>
      <c r="I269" s="641" t="s">
        <v>669</v>
      </c>
      <c r="J269" s="667">
        <v>43749.0</v>
      </c>
      <c r="K269" s="674" t="s">
        <v>4383</v>
      </c>
      <c r="L269" s="666"/>
      <c r="M269" s="666"/>
      <c r="N269" s="666"/>
      <c r="O269" s="666"/>
      <c r="P269" s="666"/>
      <c r="Q269" s="666"/>
      <c r="R269" s="666"/>
      <c r="S269" s="666"/>
      <c r="T269" s="666"/>
      <c r="U269" s="666"/>
      <c r="V269" s="666"/>
      <c r="W269" s="666"/>
      <c r="X269" s="666"/>
      <c r="Y269" s="666"/>
      <c r="Z269" s="666"/>
      <c r="AA269" s="666"/>
      <c r="AB269" s="666"/>
      <c r="AC269" s="666"/>
      <c r="AD269" s="666"/>
      <c r="AE269" s="666"/>
      <c r="AF269" s="666"/>
      <c r="AG269" s="666"/>
      <c r="AH269" s="666"/>
      <c r="AI269" s="666"/>
      <c r="AJ269" s="666"/>
      <c r="AK269" s="666"/>
      <c r="AL269" s="666"/>
      <c r="AM269" s="666"/>
      <c r="AN269" s="666"/>
      <c r="AO269" s="666"/>
      <c r="AP269" s="666"/>
      <c r="AQ269" s="666"/>
      <c r="AR269" s="666"/>
      <c r="AS269" s="666"/>
      <c r="AT269" s="666"/>
      <c r="AU269" s="666"/>
    </row>
    <row r="270" ht="15.75" customHeight="1">
      <c r="A270" s="671">
        <v>44252.0</v>
      </c>
      <c r="B270" s="672" t="s">
        <v>5514</v>
      </c>
      <c r="C270" s="673" t="s">
        <v>98</v>
      </c>
      <c r="D270" s="641" t="s">
        <v>5038</v>
      </c>
      <c r="E270" s="669">
        <v>30000.0</v>
      </c>
      <c r="F270" s="641" t="s">
        <v>5515</v>
      </c>
      <c r="G270" s="641" t="s">
        <v>669</v>
      </c>
      <c r="H270" s="641" t="s">
        <v>199</v>
      </c>
      <c r="I270" s="641" t="s">
        <v>669</v>
      </c>
      <c r="J270" s="667">
        <v>44043.0</v>
      </c>
      <c r="K270" s="674" t="s">
        <v>2341</v>
      </c>
      <c r="L270" s="666"/>
      <c r="M270" s="666"/>
      <c r="N270" s="666"/>
      <c r="O270" s="666"/>
      <c r="P270" s="666"/>
      <c r="Q270" s="666"/>
      <c r="R270" s="666"/>
      <c r="S270" s="666"/>
      <c r="T270" s="666"/>
      <c r="U270" s="666"/>
      <c r="V270" s="666"/>
      <c r="W270" s="666"/>
      <c r="X270" s="666"/>
      <c r="Y270" s="666"/>
      <c r="Z270" s="666"/>
      <c r="AA270" s="666"/>
      <c r="AB270" s="666"/>
      <c r="AC270" s="666"/>
      <c r="AD270" s="666"/>
      <c r="AE270" s="666"/>
      <c r="AF270" s="666"/>
      <c r="AG270" s="666"/>
      <c r="AH270" s="666"/>
      <c r="AI270" s="666"/>
      <c r="AJ270" s="666"/>
      <c r="AK270" s="666"/>
      <c r="AL270" s="666"/>
      <c r="AM270" s="666"/>
      <c r="AN270" s="666"/>
      <c r="AO270" s="666"/>
      <c r="AP270" s="666"/>
      <c r="AQ270" s="666"/>
      <c r="AR270" s="666"/>
      <c r="AS270" s="666"/>
      <c r="AT270" s="666"/>
      <c r="AU270" s="666"/>
    </row>
    <row r="271" ht="15.75" customHeight="1">
      <c r="A271" s="667">
        <v>44253.0</v>
      </c>
      <c r="B271" s="668" t="s">
        <v>5840</v>
      </c>
      <c r="C271" s="641" t="s">
        <v>98</v>
      </c>
      <c r="D271" s="641" t="s">
        <v>694</v>
      </c>
      <c r="E271" s="669">
        <v>0.0</v>
      </c>
      <c r="F271" s="641" t="s">
        <v>4069</v>
      </c>
      <c r="G271" s="641" t="s">
        <v>255</v>
      </c>
      <c r="H271" s="641" t="s">
        <v>199</v>
      </c>
      <c r="I271" s="641" t="s">
        <v>1074</v>
      </c>
      <c r="J271" s="667">
        <v>44183.0</v>
      </c>
      <c r="K271" s="674" t="s">
        <v>2341</v>
      </c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6"/>
      <c r="AB271" s="666"/>
      <c r="AC271" s="666"/>
      <c r="AD271" s="666"/>
      <c r="AE271" s="666"/>
      <c r="AF271" s="666"/>
      <c r="AG271" s="666"/>
      <c r="AH271" s="666"/>
      <c r="AI271" s="666"/>
      <c r="AJ271" s="666"/>
      <c r="AK271" s="666"/>
      <c r="AL271" s="666"/>
      <c r="AM271" s="666"/>
      <c r="AN271" s="666"/>
      <c r="AO271" s="666"/>
      <c r="AP271" s="666"/>
      <c r="AQ271" s="666"/>
      <c r="AR271" s="666"/>
      <c r="AS271" s="666"/>
      <c r="AT271" s="666"/>
      <c r="AU271" s="666"/>
    </row>
    <row r="272" ht="15.75" customHeight="1">
      <c r="A272" s="671">
        <v>44253.0</v>
      </c>
      <c r="B272" s="672" t="s">
        <v>5842</v>
      </c>
      <c r="C272" s="673" t="s">
        <v>98</v>
      </c>
      <c r="D272" s="641" t="s">
        <v>5038</v>
      </c>
      <c r="E272" s="669">
        <v>600000.0</v>
      </c>
      <c r="F272" s="641" t="s">
        <v>5785</v>
      </c>
      <c r="G272" s="641" t="s">
        <v>255</v>
      </c>
      <c r="H272" s="641" t="s">
        <v>199</v>
      </c>
      <c r="I272" s="641" t="s">
        <v>3885</v>
      </c>
      <c r="J272" s="667">
        <v>44067.0</v>
      </c>
      <c r="K272" s="674" t="s">
        <v>2372</v>
      </c>
      <c r="L272" s="666"/>
      <c r="M272" s="666"/>
      <c r="N272" s="666"/>
      <c r="O272" s="666"/>
      <c r="P272" s="666"/>
      <c r="Q272" s="666"/>
      <c r="R272" s="666"/>
      <c r="S272" s="666"/>
      <c r="T272" s="666"/>
      <c r="U272" s="666"/>
      <c r="V272" s="666"/>
      <c r="W272" s="666"/>
      <c r="X272" s="666"/>
      <c r="Y272" s="666"/>
      <c r="Z272" s="666"/>
      <c r="AA272" s="666"/>
      <c r="AB272" s="666"/>
      <c r="AC272" s="666"/>
      <c r="AD272" s="666"/>
      <c r="AE272" s="666"/>
      <c r="AF272" s="666"/>
      <c r="AG272" s="666"/>
      <c r="AH272" s="666"/>
      <c r="AI272" s="666"/>
      <c r="AJ272" s="666"/>
      <c r="AK272" s="666"/>
      <c r="AL272" s="666"/>
      <c r="AM272" s="666"/>
      <c r="AN272" s="666"/>
      <c r="AO272" s="666"/>
      <c r="AP272" s="666"/>
      <c r="AQ272" s="666"/>
      <c r="AR272" s="666"/>
      <c r="AS272" s="666"/>
      <c r="AT272" s="666"/>
      <c r="AU272" s="666"/>
    </row>
    <row r="273" ht="15.75" customHeight="1">
      <c r="A273" s="671">
        <v>44253.0</v>
      </c>
      <c r="B273" s="672" t="s">
        <v>5840</v>
      </c>
      <c r="C273" s="673" t="s">
        <v>98</v>
      </c>
      <c r="D273" s="641" t="s">
        <v>5038</v>
      </c>
      <c r="E273" s="669">
        <v>33961.75</v>
      </c>
      <c r="F273" s="641" t="s">
        <v>4069</v>
      </c>
      <c r="G273" s="641" t="s">
        <v>255</v>
      </c>
      <c r="H273" s="641" t="s">
        <v>199</v>
      </c>
      <c r="I273" s="641" t="s">
        <v>1074</v>
      </c>
      <c r="J273" s="667">
        <v>44183.0</v>
      </c>
      <c r="K273" s="674" t="s">
        <v>2341</v>
      </c>
      <c r="L273" s="666"/>
      <c r="M273" s="666"/>
      <c r="N273" s="666"/>
      <c r="O273" s="666"/>
      <c r="P273" s="666"/>
      <c r="Q273" s="666"/>
      <c r="R273" s="666"/>
      <c r="S273" s="666"/>
      <c r="T273" s="666"/>
      <c r="U273" s="666"/>
      <c r="V273" s="666"/>
      <c r="W273" s="666"/>
      <c r="X273" s="666"/>
      <c r="Y273" s="666"/>
      <c r="Z273" s="666"/>
      <c r="AA273" s="666"/>
      <c r="AB273" s="666"/>
      <c r="AC273" s="666"/>
      <c r="AD273" s="666"/>
      <c r="AE273" s="666"/>
      <c r="AF273" s="666"/>
      <c r="AG273" s="666"/>
      <c r="AH273" s="666"/>
      <c r="AI273" s="666"/>
      <c r="AJ273" s="666"/>
      <c r="AK273" s="666"/>
      <c r="AL273" s="666"/>
      <c r="AM273" s="666"/>
      <c r="AN273" s="666"/>
      <c r="AO273" s="666"/>
      <c r="AP273" s="666"/>
      <c r="AQ273" s="666"/>
      <c r="AR273" s="666"/>
      <c r="AS273" s="666"/>
      <c r="AT273" s="666"/>
      <c r="AU273" s="666"/>
    </row>
    <row r="274" ht="15.75" customHeight="1">
      <c r="A274" s="671">
        <v>44258.0</v>
      </c>
      <c r="B274" s="672" t="s">
        <v>5116</v>
      </c>
      <c r="C274" s="673" t="s">
        <v>2346</v>
      </c>
      <c r="D274" s="641" t="s">
        <v>5038</v>
      </c>
      <c r="E274" s="669">
        <v>47591.43</v>
      </c>
      <c r="F274" s="641" t="s">
        <v>5117</v>
      </c>
      <c r="G274" s="667" t="s">
        <v>669</v>
      </c>
      <c r="H274" s="667" t="s">
        <v>199</v>
      </c>
      <c r="I274" s="667" t="s">
        <v>2388</v>
      </c>
      <c r="J274" s="667">
        <v>43559.0</v>
      </c>
      <c r="K274" s="670" t="s">
        <v>4383</v>
      </c>
      <c r="L274" s="666"/>
      <c r="M274" s="666"/>
      <c r="N274" s="666"/>
      <c r="O274" s="666"/>
      <c r="P274" s="666"/>
      <c r="Q274" s="666"/>
      <c r="R274" s="666"/>
      <c r="S274" s="666"/>
      <c r="T274" s="666"/>
      <c r="U274" s="666"/>
      <c r="V274" s="666"/>
      <c r="W274" s="666"/>
      <c r="X274" s="666"/>
      <c r="Y274" s="666"/>
      <c r="Z274" s="666"/>
      <c r="AA274" s="666"/>
      <c r="AB274" s="666"/>
      <c r="AC274" s="666"/>
      <c r="AD274" s="666"/>
      <c r="AE274" s="666"/>
      <c r="AF274" s="666"/>
      <c r="AG274" s="666"/>
      <c r="AH274" s="666"/>
      <c r="AI274" s="666"/>
      <c r="AJ274" s="666"/>
      <c r="AK274" s="666"/>
      <c r="AL274" s="666"/>
      <c r="AM274" s="666"/>
      <c r="AN274" s="666"/>
      <c r="AO274" s="666"/>
      <c r="AP274" s="666"/>
      <c r="AQ274" s="666"/>
      <c r="AR274" s="666"/>
      <c r="AS274" s="666"/>
      <c r="AT274" s="666"/>
      <c r="AU274" s="666"/>
    </row>
    <row r="275" ht="15.75" customHeight="1">
      <c r="A275" s="671">
        <v>44258.0</v>
      </c>
      <c r="B275" s="672" t="s">
        <v>5853</v>
      </c>
      <c r="C275" s="673" t="s">
        <v>2346</v>
      </c>
      <c r="D275" s="641" t="s">
        <v>427</v>
      </c>
      <c r="E275" s="669">
        <v>5000.0</v>
      </c>
      <c r="F275" s="641" t="s">
        <v>4161</v>
      </c>
      <c r="G275" s="667" t="s">
        <v>120</v>
      </c>
      <c r="H275" s="667" t="s">
        <v>199</v>
      </c>
      <c r="I275" s="667" t="s">
        <v>439</v>
      </c>
      <c r="J275" s="667">
        <v>43416.0</v>
      </c>
      <c r="K275" s="670" t="s">
        <v>2372</v>
      </c>
      <c r="L275" s="666"/>
      <c r="M275" s="666"/>
      <c r="N275" s="666"/>
      <c r="O275" s="666"/>
      <c r="P275" s="666"/>
      <c r="Q275" s="666"/>
      <c r="R275" s="666"/>
      <c r="S275" s="666"/>
      <c r="T275" s="666"/>
      <c r="U275" s="666"/>
      <c r="V275" s="666"/>
      <c r="W275" s="666"/>
      <c r="X275" s="666"/>
      <c r="Y275" s="666"/>
      <c r="Z275" s="666"/>
      <c r="AA275" s="666"/>
      <c r="AB275" s="666"/>
      <c r="AC275" s="666"/>
      <c r="AD275" s="666"/>
      <c r="AE275" s="666"/>
      <c r="AF275" s="666"/>
      <c r="AG275" s="666"/>
      <c r="AH275" s="666"/>
      <c r="AI275" s="666"/>
      <c r="AJ275" s="666"/>
      <c r="AK275" s="666"/>
      <c r="AL275" s="666"/>
      <c r="AM275" s="666"/>
      <c r="AN275" s="666"/>
      <c r="AO275" s="666"/>
      <c r="AP275" s="666"/>
      <c r="AQ275" s="666"/>
      <c r="AR275" s="666"/>
      <c r="AS275" s="666"/>
      <c r="AT275" s="666"/>
      <c r="AU275" s="666"/>
    </row>
    <row r="276" ht="15.75" customHeight="1">
      <c r="A276" s="671">
        <v>44258.0</v>
      </c>
      <c r="B276" s="672" t="s">
        <v>1280</v>
      </c>
      <c r="C276" s="673" t="s">
        <v>202</v>
      </c>
      <c r="D276" s="641" t="s">
        <v>427</v>
      </c>
      <c r="E276" s="669">
        <v>721960.02</v>
      </c>
      <c r="F276" s="641" t="s">
        <v>1279</v>
      </c>
      <c r="G276" s="667" t="s">
        <v>120</v>
      </c>
      <c r="H276" s="667" t="s">
        <v>199</v>
      </c>
      <c r="I276" s="667" t="s">
        <v>841</v>
      </c>
      <c r="J276" s="667">
        <v>43797.0</v>
      </c>
      <c r="K276" s="670" t="s">
        <v>2365</v>
      </c>
      <c r="L276" s="666"/>
      <c r="M276" s="666"/>
      <c r="N276" s="666"/>
      <c r="O276" s="666"/>
      <c r="P276" s="666"/>
      <c r="Q276" s="666"/>
      <c r="R276" s="666"/>
      <c r="S276" s="666"/>
      <c r="T276" s="666"/>
      <c r="U276" s="666"/>
      <c r="V276" s="666"/>
      <c r="W276" s="666"/>
      <c r="X276" s="666"/>
      <c r="Y276" s="666"/>
      <c r="Z276" s="666"/>
      <c r="AA276" s="666"/>
      <c r="AB276" s="666"/>
      <c r="AC276" s="666"/>
      <c r="AD276" s="666"/>
      <c r="AE276" s="666"/>
      <c r="AF276" s="666"/>
      <c r="AG276" s="666"/>
      <c r="AH276" s="666"/>
      <c r="AI276" s="666"/>
      <c r="AJ276" s="666"/>
      <c r="AK276" s="666"/>
      <c r="AL276" s="666"/>
      <c r="AM276" s="666"/>
      <c r="AN276" s="666"/>
      <c r="AO276" s="666"/>
      <c r="AP276" s="666"/>
      <c r="AQ276" s="666"/>
      <c r="AR276" s="666"/>
      <c r="AS276" s="666"/>
      <c r="AT276" s="666"/>
      <c r="AU276" s="666"/>
    </row>
    <row r="277" ht="15.75" customHeight="1">
      <c r="A277" s="671">
        <v>44260.0</v>
      </c>
      <c r="B277" s="672" t="s">
        <v>5336</v>
      </c>
      <c r="C277" s="673" t="s">
        <v>2346</v>
      </c>
      <c r="D277" s="641" t="s">
        <v>5038</v>
      </c>
      <c r="E277" s="669">
        <v>50844.88</v>
      </c>
      <c r="F277" s="641" t="s">
        <v>5002</v>
      </c>
      <c r="G277" s="667" t="s">
        <v>669</v>
      </c>
      <c r="H277" s="667" t="s">
        <v>199</v>
      </c>
      <c r="I277" s="667" t="s">
        <v>1228</v>
      </c>
      <c r="J277" s="667">
        <v>43888.0</v>
      </c>
      <c r="K277" s="670" t="s">
        <v>2341</v>
      </c>
      <c r="L277" s="666"/>
      <c r="M277" s="666"/>
      <c r="N277" s="666"/>
      <c r="O277" s="666"/>
      <c r="P277" s="666"/>
      <c r="Q277" s="666"/>
      <c r="R277" s="666"/>
      <c r="S277" s="666"/>
      <c r="T277" s="666"/>
      <c r="U277" s="666"/>
      <c r="V277" s="666"/>
      <c r="W277" s="666"/>
      <c r="X277" s="666"/>
      <c r="Y277" s="666"/>
      <c r="Z277" s="666"/>
      <c r="AA277" s="666"/>
      <c r="AB277" s="666"/>
      <c r="AC277" s="666"/>
      <c r="AD277" s="666"/>
      <c r="AE277" s="666"/>
      <c r="AF277" s="666"/>
      <c r="AG277" s="666"/>
      <c r="AH277" s="666"/>
      <c r="AI277" s="666"/>
      <c r="AJ277" s="666"/>
      <c r="AK277" s="666"/>
      <c r="AL277" s="666"/>
      <c r="AM277" s="666"/>
      <c r="AN277" s="666"/>
      <c r="AO277" s="666"/>
      <c r="AP277" s="666"/>
      <c r="AQ277" s="666"/>
      <c r="AR277" s="666"/>
      <c r="AS277" s="666"/>
      <c r="AT277" s="666"/>
      <c r="AU277" s="666"/>
    </row>
    <row r="278" ht="15.75" customHeight="1">
      <c r="A278" s="671">
        <v>44263.0</v>
      </c>
      <c r="B278" s="672" t="s">
        <v>5860</v>
      </c>
      <c r="C278" s="673" t="s">
        <v>2346</v>
      </c>
      <c r="D278" s="641" t="s">
        <v>5038</v>
      </c>
      <c r="E278" s="669">
        <v>20000.0</v>
      </c>
      <c r="F278" s="641" t="s">
        <v>5739</v>
      </c>
      <c r="G278" s="667" t="s">
        <v>120</v>
      </c>
      <c r="H278" s="667" t="s">
        <v>199</v>
      </c>
      <c r="I278" s="667" t="s">
        <v>439</v>
      </c>
      <c r="J278" s="667">
        <v>43515.0</v>
      </c>
      <c r="K278" s="670" t="s">
        <v>2372</v>
      </c>
      <c r="L278" s="666"/>
      <c r="M278" s="666"/>
      <c r="N278" s="666"/>
      <c r="O278" s="666"/>
      <c r="P278" s="666"/>
      <c r="Q278" s="666"/>
      <c r="R278" s="666"/>
      <c r="S278" s="666"/>
      <c r="T278" s="666"/>
      <c r="U278" s="666"/>
      <c r="V278" s="666"/>
      <c r="W278" s="666"/>
      <c r="X278" s="666"/>
      <c r="Y278" s="666"/>
      <c r="Z278" s="666"/>
      <c r="AA278" s="666"/>
      <c r="AB278" s="666"/>
      <c r="AC278" s="666"/>
      <c r="AD278" s="666"/>
      <c r="AE278" s="666"/>
      <c r="AF278" s="666"/>
      <c r="AG278" s="666"/>
      <c r="AH278" s="666"/>
      <c r="AI278" s="666"/>
      <c r="AJ278" s="666"/>
      <c r="AK278" s="666"/>
      <c r="AL278" s="666"/>
      <c r="AM278" s="666"/>
      <c r="AN278" s="666"/>
      <c r="AO278" s="666"/>
      <c r="AP278" s="666"/>
      <c r="AQ278" s="666"/>
      <c r="AR278" s="666"/>
      <c r="AS278" s="666"/>
      <c r="AT278" s="666"/>
      <c r="AU278" s="666"/>
    </row>
    <row r="279" ht="15.75" customHeight="1">
      <c r="A279" s="667">
        <v>44264.0</v>
      </c>
      <c r="B279" s="668" t="s">
        <v>5336</v>
      </c>
      <c r="C279" s="641" t="s">
        <v>2346</v>
      </c>
      <c r="D279" s="641" t="s">
        <v>694</v>
      </c>
      <c r="E279" s="669">
        <v>111979.59</v>
      </c>
      <c r="F279" s="641" t="s">
        <v>5002</v>
      </c>
      <c r="G279" s="667" t="s">
        <v>669</v>
      </c>
      <c r="H279" s="667" t="s">
        <v>199</v>
      </c>
      <c r="I279" s="667" t="s">
        <v>1228</v>
      </c>
      <c r="J279" s="667">
        <v>43888.0</v>
      </c>
      <c r="K279" s="670" t="s">
        <v>2341</v>
      </c>
      <c r="L279" s="666"/>
      <c r="M279" s="666"/>
      <c r="N279" s="666"/>
      <c r="O279" s="666"/>
      <c r="P279" s="666"/>
      <c r="Q279" s="666"/>
      <c r="R279" s="666"/>
      <c r="S279" s="666"/>
      <c r="T279" s="666"/>
      <c r="U279" s="666"/>
      <c r="V279" s="666"/>
      <c r="W279" s="666"/>
      <c r="X279" s="666"/>
      <c r="Y279" s="666"/>
      <c r="Z279" s="666"/>
      <c r="AA279" s="666"/>
      <c r="AB279" s="666"/>
      <c r="AC279" s="666"/>
      <c r="AD279" s="666"/>
      <c r="AE279" s="666"/>
      <c r="AF279" s="666"/>
      <c r="AG279" s="666"/>
      <c r="AH279" s="666"/>
      <c r="AI279" s="666"/>
      <c r="AJ279" s="666"/>
      <c r="AK279" s="666"/>
      <c r="AL279" s="666"/>
      <c r="AM279" s="666"/>
      <c r="AN279" s="666"/>
      <c r="AO279" s="666"/>
      <c r="AP279" s="666"/>
      <c r="AQ279" s="666"/>
      <c r="AR279" s="666"/>
      <c r="AS279" s="666"/>
      <c r="AT279" s="666"/>
      <c r="AU279" s="666"/>
    </row>
    <row r="280" ht="15.75" customHeight="1">
      <c r="A280" s="671">
        <v>44264.0</v>
      </c>
      <c r="B280" s="672" t="s">
        <v>5740</v>
      </c>
      <c r="C280" s="673" t="s">
        <v>98</v>
      </c>
      <c r="D280" s="641" t="s">
        <v>427</v>
      </c>
      <c r="E280" s="669">
        <v>100000.0</v>
      </c>
      <c r="F280" s="641" t="s">
        <v>3671</v>
      </c>
      <c r="G280" s="641" t="s">
        <v>669</v>
      </c>
      <c r="H280" s="641" t="s">
        <v>199</v>
      </c>
      <c r="I280" s="641" t="s">
        <v>669</v>
      </c>
      <c r="J280" s="667">
        <v>43847.0</v>
      </c>
      <c r="K280" s="674" t="s">
        <v>2341</v>
      </c>
      <c r="L280" s="666"/>
      <c r="M280" s="666"/>
      <c r="N280" s="666"/>
      <c r="O280" s="666"/>
      <c r="P280" s="666"/>
      <c r="Q280" s="666"/>
      <c r="R280" s="666"/>
      <c r="S280" s="666"/>
      <c r="T280" s="666"/>
      <c r="U280" s="666"/>
      <c r="V280" s="666"/>
      <c r="W280" s="666"/>
      <c r="X280" s="666"/>
      <c r="Y280" s="666"/>
      <c r="Z280" s="666"/>
      <c r="AA280" s="666"/>
      <c r="AB280" s="666"/>
      <c r="AC280" s="666"/>
      <c r="AD280" s="666"/>
      <c r="AE280" s="666"/>
      <c r="AF280" s="666"/>
      <c r="AG280" s="666"/>
      <c r="AH280" s="666"/>
      <c r="AI280" s="666"/>
      <c r="AJ280" s="666"/>
      <c r="AK280" s="666"/>
      <c r="AL280" s="666"/>
      <c r="AM280" s="666"/>
      <c r="AN280" s="666"/>
      <c r="AO280" s="666"/>
      <c r="AP280" s="666"/>
      <c r="AQ280" s="666"/>
      <c r="AR280" s="666"/>
      <c r="AS280" s="666"/>
      <c r="AT280" s="666"/>
      <c r="AU280" s="666"/>
    </row>
    <row r="281" ht="15.75" customHeight="1">
      <c r="A281" s="671">
        <v>44264.0</v>
      </c>
      <c r="B281" s="672" t="s">
        <v>5514</v>
      </c>
      <c r="C281" s="673" t="s">
        <v>98</v>
      </c>
      <c r="D281" s="641" t="s">
        <v>427</v>
      </c>
      <c r="E281" s="669">
        <v>900000.0</v>
      </c>
      <c r="F281" s="641" t="s">
        <v>5515</v>
      </c>
      <c r="G281" s="641" t="s">
        <v>669</v>
      </c>
      <c r="H281" s="641" t="s">
        <v>199</v>
      </c>
      <c r="I281" s="641" t="s">
        <v>669</v>
      </c>
      <c r="J281" s="667">
        <v>44043.0</v>
      </c>
      <c r="K281" s="674" t="s">
        <v>2341</v>
      </c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66"/>
      <c r="AB281" s="666"/>
      <c r="AC281" s="666"/>
      <c r="AD281" s="666"/>
      <c r="AE281" s="666"/>
      <c r="AF281" s="666"/>
      <c r="AG281" s="666"/>
      <c r="AH281" s="666"/>
      <c r="AI281" s="666"/>
      <c r="AJ281" s="666"/>
      <c r="AK281" s="666"/>
      <c r="AL281" s="666"/>
      <c r="AM281" s="666"/>
      <c r="AN281" s="666"/>
      <c r="AO281" s="666"/>
      <c r="AP281" s="666"/>
      <c r="AQ281" s="666"/>
      <c r="AR281" s="666"/>
      <c r="AS281" s="666"/>
      <c r="AT281" s="666"/>
      <c r="AU281" s="666"/>
    </row>
    <row r="282" ht="15.75" customHeight="1">
      <c r="A282" s="671">
        <v>44264.0</v>
      </c>
      <c r="B282" s="672" t="s">
        <v>5875</v>
      </c>
      <c r="C282" s="673" t="s">
        <v>98</v>
      </c>
      <c r="D282" s="641" t="s">
        <v>427</v>
      </c>
      <c r="E282" s="669">
        <v>13000.0</v>
      </c>
      <c r="F282" s="641" t="s">
        <v>5769</v>
      </c>
      <c r="G282" s="641" t="s">
        <v>669</v>
      </c>
      <c r="H282" s="641" t="s">
        <v>199</v>
      </c>
      <c r="I282" s="641" t="s">
        <v>669</v>
      </c>
      <c r="J282" s="667">
        <v>44070.0</v>
      </c>
      <c r="K282" s="674" t="s">
        <v>2319</v>
      </c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6"/>
      <c r="AB282" s="666"/>
      <c r="AC282" s="666"/>
      <c r="AD282" s="666"/>
      <c r="AE282" s="666"/>
      <c r="AF282" s="666"/>
      <c r="AG282" s="666"/>
      <c r="AH282" s="666"/>
      <c r="AI282" s="666"/>
      <c r="AJ282" s="666"/>
      <c r="AK282" s="666"/>
      <c r="AL282" s="666"/>
      <c r="AM282" s="666"/>
      <c r="AN282" s="666"/>
      <c r="AO282" s="666"/>
      <c r="AP282" s="666"/>
      <c r="AQ282" s="666"/>
      <c r="AR282" s="666"/>
      <c r="AS282" s="666"/>
      <c r="AT282" s="666"/>
      <c r="AU282" s="666"/>
    </row>
    <row r="283" ht="15.75" customHeight="1">
      <c r="A283" s="667">
        <v>44270.0</v>
      </c>
      <c r="B283" s="668" t="s">
        <v>5876</v>
      </c>
      <c r="C283" s="641" t="s">
        <v>98</v>
      </c>
      <c r="D283" s="641" t="s">
        <v>694</v>
      </c>
      <c r="E283" s="669">
        <v>0.0</v>
      </c>
      <c r="F283" s="641" t="s">
        <v>5310</v>
      </c>
      <c r="G283" s="641" t="s">
        <v>255</v>
      </c>
      <c r="H283" s="641" t="s">
        <v>199</v>
      </c>
      <c r="I283" s="641" t="s">
        <v>5878</v>
      </c>
      <c r="J283" s="667">
        <v>44160.0</v>
      </c>
      <c r="K283" s="674" t="s">
        <v>2319</v>
      </c>
      <c r="L283" s="666"/>
      <c r="M283" s="666"/>
      <c r="N283" s="666"/>
      <c r="O283" s="666"/>
      <c r="P283" s="666"/>
      <c r="Q283" s="666"/>
      <c r="R283" s="666"/>
      <c r="S283" s="666"/>
      <c r="T283" s="666"/>
      <c r="U283" s="666"/>
      <c r="V283" s="666"/>
      <c r="W283" s="666"/>
      <c r="X283" s="666"/>
      <c r="Y283" s="666"/>
      <c r="Z283" s="666"/>
      <c r="AA283" s="666"/>
      <c r="AB283" s="666"/>
      <c r="AC283" s="666"/>
      <c r="AD283" s="666"/>
      <c r="AE283" s="666"/>
      <c r="AF283" s="666"/>
      <c r="AG283" s="666"/>
      <c r="AH283" s="666"/>
      <c r="AI283" s="666"/>
      <c r="AJ283" s="666"/>
      <c r="AK283" s="666"/>
      <c r="AL283" s="666"/>
      <c r="AM283" s="666"/>
      <c r="AN283" s="666"/>
      <c r="AO283" s="666"/>
      <c r="AP283" s="666"/>
      <c r="AQ283" s="666"/>
      <c r="AR283" s="666"/>
      <c r="AS283" s="666"/>
      <c r="AT283" s="666"/>
      <c r="AU283" s="666"/>
    </row>
    <row r="284" ht="15.75" customHeight="1">
      <c r="A284" s="667">
        <v>44270.0</v>
      </c>
      <c r="B284" s="668" t="s">
        <v>5882</v>
      </c>
      <c r="C284" s="641" t="s">
        <v>98</v>
      </c>
      <c r="D284" s="641" t="s">
        <v>694</v>
      </c>
      <c r="E284" s="669">
        <v>0.0</v>
      </c>
      <c r="F284" s="641" t="s">
        <v>5887</v>
      </c>
      <c r="G284" s="641" t="s">
        <v>669</v>
      </c>
      <c r="H284" s="641" t="s">
        <v>199</v>
      </c>
      <c r="I284" s="641" t="s">
        <v>669</v>
      </c>
      <c r="J284" s="667">
        <v>44244.0</v>
      </c>
      <c r="K284" s="674" t="s">
        <v>2341</v>
      </c>
      <c r="L284" s="666"/>
      <c r="M284" s="666"/>
      <c r="N284" s="666"/>
      <c r="O284" s="666"/>
      <c r="P284" s="666"/>
      <c r="Q284" s="666"/>
      <c r="R284" s="666"/>
      <c r="S284" s="666"/>
      <c r="T284" s="666"/>
      <c r="U284" s="666"/>
      <c r="V284" s="666"/>
      <c r="W284" s="666"/>
      <c r="X284" s="666"/>
      <c r="Y284" s="666"/>
      <c r="Z284" s="666"/>
      <c r="AA284" s="666"/>
      <c r="AB284" s="666"/>
      <c r="AC284" s="666"/>
      <c r="AD284" s="666"/>
      <c r="AE284" s="666"/>
      <c r="AF284" s="666"/>
      <c r="AG284" s="666"/>
      <c r="AH284" s="666"/>
      <c r="AI284" s="666"/>
      <c r="AJ284" s="666"/>
      <c r="AK284" s="666"/>
      <c r="AL284" s="666"/>
      <c r="AM284" s="666"/>
      <c r="AN284" s="666"/>
      <c r="AO284" s="666"/>
      <c r="AP284" s="666"/>
      <c r="AQ284" s="666"/>
      <c r="AR284" s="666"/>
      <c r="AS284" s="666"/>
      <c r="AT284" s="666"/>
      <c r="AU284" s="666"/>
    </row>
    <row r="285" ht="15.75" customHeight="1">
      <c r="A285" s="671">
        <v>44270.0</v>
      </c>
      <c r="B285" s="672" t="s">
        <v>5116</v>
      </c>
      <c r="C285" s="673" t="s">
        <v>2346</v>
      </c>
      <c r="D285" s="641" t="s">
        <v>5038</v>
      </c>
      <c r="E285" s="669">
        <v>100000.0</v>
      </c>
      <c r="F285" s="641" t="s">
        <v>5117</v>
      </c>
      <c r="G285" s="667" t="s">
        <v>669</v>
      </c>
      <c r="H285" s="667" t="s">
        <v>199</v>
      </c>
      <c r="I285" s="667" t="s">
        <v>2388</v>
      </c>
      <c r="J285" s="667">
        <v>43559.0</v>
      </c>
      <c r="K285" s="670" t="s">
        <v>4383</v>
      </c>
      <c r="L285" s="666"/>
      <c r="M285" s="666"/>
      <c r="N285" s="666"/>
      <c r="O285" s="666"/>
      <c r="P285" s="666"/>
      <c r="Q285" s="666"/>
      <c r="R285" s="666"/>
      <c r="S285" s="666"/>
      <c r="T285" s="666"/>
      <c r="U285" s="666"/>
      <c r="V285" s="666"/>
      <c r="W285" s="666"/>
      <c r="X285" s="666"/>
      <c r="Y285" s="666"/>
      <c r="Z285" s="666"/>
      <c r="AA285" s="666"/>
      <c r="AB285" s="666"/>
      <c r="AC285" s="666"/>
      <c r="AD285" s="666"/>
      <c r="AE285" s="666"/>
      <c r="AF285" s="666"/>
      <c r="AG285" s="666"/>
      <c r="AH285" s="666"/>
      <c r="AI285" s="666"/>
      <c r="AJ285" s="666"/>
      <c r="AK285" s="666"/>
      <c r="AL285" s="666"/>
      <c r="AM285" s="666"/>
      <c r="AN285" s="666"/>
      <c r="AO285" s="666"/>
      <c r="AP285" s="666"/>
      <c r="AQ285" s="666"/>
      <c r="AR285" s="666"/>
      <c r="AS285" s="666"/>
      <c r="AT285" s="666"/>
      <c r="AU285" s="666"/>
    </row>
    <row r="286" ht="15.75" customHeight="1">
      <c r="A286" s="671">
        <v>44274.0</v>
      </c>
      <c r="B286" s="672" t="s">
        <v>5153</v>
      </c>
      <c r="C286" s="673" t="s">
        <v>98</v>
      </c>
      <c r="D286" s="641" t="s">
        <v>427</v>
      </c>
      <c r="E286" s="669">
        <v>12500.0</v>
      </c>
      <c r="F286" s="641" t="s">
        <v>5154</v>
      </c>
      <c r="G286" s="641" t="s">
        <v>669</v>
      </c>
      <c r="H286" s="641" t="s">
        <v>199</v>
      </c>
      <c r="I286" s="641" t="s">
        <v>669</v>
      </c>
      <c r="J286" s="667">
        <v>44225.0</v>
      </c>
      <c r="K286" s="674" t="s">
        <v>2341</v>
      </c>
      <c r="L286" s="666"/>
      <c r="M286" s="666"/>
      <c r="N286" s="666"/>
      <c r="O286" s="666"/>
      <c r="P286" s="666"/>
      <c r="Q286" s="666"/>
      <c r="R286" s="666"/>
      <c r="S286" s="666"/>
      <c r="T286" s="666"/>
      <c r="U286" s="666"/>
      <c r="V286" s="666"/>
      <c r="W286" s="666"/>
      <c r="X286" s="666"/>
      <c r="Y286" s="666"/>
      <c r="Z286" s="666"/>
      <c r="AA286" s="666"/>
      <c r="AB286" s="666"/>
      <c r="AC286" s="666"/>
      <c r="AD286" s="666"/>
      <c r="AE286" s="666"/>
      <c r="AF286" s="666"/>
      <c r="AG286" s="666"/>
      <c r="AH286" s="666"/>
      <c r="AI286" s="666"/>
      <c r="AJ286" s="666"/>
      <c r="AK286" s="666"/>
      <c r="AL286" s="666"/>
      <c r="AM286" s="666"/>
      <c r="AN286" s="666"/>
      <c r="AO286" s="666"/>
      <c r="AP286" s="666"/>
      <c r="AQ286" s="666"/>
      <c r="AR286" s="666"/>
      <c r="AS286" s="666"/>
      <c r="AT286" s="666"/>
      <c r="AU286" s="666"/>
    </row>
    <row r="287" ht="15.75" customHeight="1">
      <c r="A287" s="671">
        <v>44277.0</v>
      </c>
      <c r="B287" s="672" t="s">
        <v>5900</v>
      </c>
      <c r="C287" s="673" t="s">
        <v>98</v>
      </c>
      <c r="D287" s="641" t="s">
        <v>427</v>
      </c>
      <c r="E287" s="669">
        <v>10000.0</v>
      </c>
      <c r="F287" s="641" t="s">
        <v>5901</v>
      </c>
      <c r="G287" s="641" t="s">
        <v>669</v>
      </c>
      <c r="H287" s="641" t="s">
        <v>199</v>
      </c>
      <c r="I287" s="641" t="s">
        <v>669</v>
      </c>
      <c r="J287" s="667">
        <v>44075.0</v>
      </c>
      <c r="K287" s="723" t="s">
        <v>2341</v>
      </c>
      <c r="L287" s="666"/>
      <c r="M287" s="666"/>
      <c r="N287" s="666"/>
      <c r="O287" s="666"/>
      <c r="P287" s="666"/>
      <c r="Q287" s="666"/>
      <c r="R287" s="666"/>
      <c r="S287" s="666"/>
      <c r="T287" s="666"/>
      <c r="U287" s="666"/>
      <c r="V287" s="666"/>
      <c r="W287" s="666"/>
      <c r="X287" s="666"/>
      <c r="Y287" s="666"/>
      <c r="Z287" s="666"/>
      <c r="AA287" s="666"/>
      <c r="AB287" s="666"/>
      <c r="AC287" s="666"/>
      <c r="AD287" s="666"/>
      <c r="AE287" s="666"/>
      <c r="AF287" s="666"/>
      <c r="AG287" s="666"/>
      <c r="AH287" s="666"/>
      <c r="AI287" s="666"/>
      <c r="AJ287" s="666"/>
      <c r="AK287" s="666"/>
      <c r="AL287" s="666"/>
      <c r="AM287" s="666"/>
      <c r="AN287" s="666"/>
      <c r="AO287" s="666"/>
      <c r="AP287" s="666"/>
      <c r="AQ287" s="666"/>
      <c r="AR287" s="666"/>
      <c r="AS287" s="666"/>
      <c r="AT287" s="666"/>
      <c r="AU287" s="666"/>
    </row>
    <row r="288" ht="15.75" customHeight="1">
      <c r="A288" s="671">
        <v>44277.0</v>
      </c>
      <c r="B288" s="672" t="s">
        <v>5081</v>
      </c>
      <c r="C288" s="673" t="s">
        <v>2346</v>
      </c>
      <c r="D288" s="641" t="s">
        <v>5038</v>
      </c>
      <c r="E288" s="669">
        <v>96557.66</v>
      </c>
      <c r="F288" s="641" t="s">
        <v>4091</v>
      </c>
      <c r="G288" s="667" t="s">
        <v>669</v>
      </c>
      <c r="H288" s="667" t="s">
        <v>199</v>
      </c>
      <c r="I288" s="667" t="s">
        <v>1228</v>
      </c>
      <c r="J288" s="667">
        <v>43822.0</v>
      </c>
      <c r="K288" s="667" t="s">
        <v>2365</v>
      </c>
      <c r="L288" s="666"/>
      <c r="M288" s="666"/>
      <c r="N288" s="666"/>
      <c r="O288" s="666"/>
      <c r="P288" s="666"/>
      <c r="Q288" s="666"/>
      <c r="R288" s="666"/>
      <c r="S288" s="666"/>
      <c r="T288" s="666"/>
      <c r="U288" s="666"/>
      <c r="V288" s="666"/>
      <c r="W288" s="666"/>
      <c r="X288" s="666"/>
      <c r="Y288" s="666"/>
      <c r="Z288" s="666"/>
      <c r="AA288" s="666"/>
      <c r="AB288" s="666"/>
      <c r="AC288" s="666"/>
      <c r="AD288" s="666"/>
      <c r="AE288" s="666"/>
      <c r="AF288" s="666"/>
      <c r="AG288" s="666"/>
      <c r="AH288" s="666"/>
      <c r="AI288" s="666"/>
      <c r="AJ288" s="666"/>
      <c r="AK288" s="666"/>
      <c r="AL288" s="666"/>
      <c r="AM288" s="666"/>
      <c r="AN288" s="666"/>
      <c r="AO288" s="666"/>
      <c r="AP288" s="666"/>
      <c r="AQ288" s="666"/>
      <c r="AR288" s="666"/>
      <c r="AS288" s="666"/>
      <c r="AT288" s="666"/>
      <c r="AU288" s="666"/>
    </row>
    <row r="289" ht="15.75" customHeight="1">
      <c r="A289" s="671">
        <v>44278.0</v>
      </c>
      <c r="B289" s="672" t="s">
        <v>5911</v>
      </c>
      <c r="C289" s="673" t="s">
        <v>2346</v>
      </c>
      <c r="D289" s="641" t="s">
        <v>5038</v>
      </c>
      <c r="E289" s="669">
        <v>120000.0</v>
      </c>
      <c r="F289" s="641" t="s">
        <v>5912</v>
      </c>
      <c r="G289" s="667" t="s">
        <v>669</v>
      </c>
      <c r="H289" s="667" t="s">
        <v>199</v>
      </c>
      <c r="I289" s="667" t="s">
        <v>2388</v>
      </c>
      <c r="J289" s="667">
        <v>43531.0</v>
      </c>
      <c r="K289" s="670" t="s">
        <v>4383</v>
      </c>
      <c r="L289" s="666"/>
      <c r="M289" s="666"/>
      <c r="N289" s="666"/>
      <c r="O289" s="666"/>
      <c r="P289" s="666"/>
      <c r="Q289" s="666"/>
      <c r="R289" s="666"/>
      <c r="S289" s="666"/>
      <c r="T289" s="666"/>
      <c r="U289" s="666"/>
      <c r="V289" s="666"/>
      <c r="W289" s="666"/>
      <c r="X289" s="666"/>
      <c r="Y289" s="666"/>
      <c r="Z289" s="666"/>
      <c r="AA289" s="666"/>
      <c r="AB289" s="666"/>
      <c r="AC289" s="666"/>
      <c r="AD289" s="666"/>
      <c r="AE289" s="666"/>
      <c r="AF289" s="666"/>
      <c r="AG289" s="666"/>
      <c r="AH289" s="666"/>
      <c r="AI289" s="666"/>
      <c r="AJ289" s="666"/>
      <c r="AK289" s="666"/>
      <c r="AL289" s="666"/>
      <c r="AM289" s="666"/>
      <c r="AN289" s="666"/>
      <c r="AO289" s="666"/>
      <c r="AP289" s="666"/>
      <c r="AQ289" s="666"/>
      <c r="AR289" s="666"/>
      <c r="AS289" s="666"/>
      <c r="AT289" s="666"/>
      <c r="AU289" s="666"/>
    </row>
    <row r="290" ht="15.75" customHeight="1">
      <c r="A290" s="671">
        <v>44279.0</v>
      </c>
      <c r="B290" s="672" t="s">
        <v>5916</v>
      </c>
      <c r="C290" s="673" t="s">
        <v>2346</v>
      </c>
      <c r="D290" s="641" t="s">
        <v>5038</v>
      </c>
      <c r="E290" s="669">
        <v>5000.0</v>
      </c>
      <c r="F290" s="641" t="s">
        <v>5918</v>
      </c>
      <c r="G290" s="667" t="s">
        <v>120</v>
      </c>
      <c r="H290" s="667" t="s">
        <v>91</v>
      </c>
      <c r="I290" s="667" t="s">
        <v>521</v>
      </c>
      <c r="J290" s="667">
        <v>44278.0</v>
      </c>
      <c r="K290" s="670" t="s">
        <v>2341</v>
      </c>
      <c r="L290" s="666"/>
      <c r="M290" s="666"/>
      <c r="N290" s="666"/>
      <c r="O290" s="666"/>
      <c r="P290" s="666"/>
      <c r="Q290" s="666"/>
      <c r="R290" s="666"/>
      <c r="S290" s="666"/>
      <c r="T290" s="666"/>
      <c r="U290" s="666"/>
      <c r="V290" s="666"/>
      <c r="W290" s="666"/>
      <c r="X290" s="666"/>
      <c r="Y290" s="666"/>
      <c r="Z290" s="666"/>
      <c r="AA290" s="666"/>
      <c r="AB290" s="666"/>
      <c r="AC290" s="666"/>
      <c r="AD290" s="666"/>
      <c r="AE290" s="666"/>
      <c r="AF290" s="666"/>
      <c r="AG290" s="666"/>
      <c r="AH290" s="666"/>
      <c r="AI290" s="666"/>
      <c r="AJ290" s="666"/>
      <c r="AK290" s="666"/>
      <c r="AL290" s="666"/>
      <c r="AM290" s="666"/>
      <c r="AN290" s="666"/>
      <c r="AO290" s="666"/>
      <c r="AP290" s="666"/>
      <c r="AQ290" s="666"/>
      <c r="AR290" s="666"/>
      <c r="AS290" s="666"/>
      <c r="AT290" s="666"/>
      <c r="AU290" s="666"/>
    </row>
    <row r="291" ht="15.75" customHeight="1">
      <c r="A291" s="671">
        <v>44279.0</v>
      </c>
      <c r="B291" s="672" t="s">
        <v>5923</v>
      </c>
      <c r="C291" s="673" t="s">
        <v>98</v>
      </c>
      <c r="D291" s="641" t="s">
        <v>5038</v>
      </c>
      <c r="E291" s="669">
        <v>7000.0</v>
      </c>
      <c r="F291" s="641" t="s">
        <v>5924</v>
      </c>
      <c r="G291" s="641" t="s">
        <v>255</v>
      </c>
      <c r="H291" s="641" t="s">
        <v>199</v>
      </c>
      <c r="I291" s="641" t="s">
        <v>4802</v>
      </c>
      <c r="J291" s="667">
        <v>44105.0</v>
      </c>
      <c r="K291" s="674" t="s">
        <v>2372</v>
      </c>
      <c r="L291" s="666"/>
      <c r="M291" s="666"/>
      <c r="N291" s="666"/>
      <c r="O291" s="666"/>
      <c r="P291" s="666"/>
      <c r="Q291" s="666"/>
      <c r="R291" s="666"/>
      <c r="S291" s="666"/>
      <c r="T291" s="666"/>
      <c r="U291" s="666"/>
      <c r="V291" s="666"/>
      <c r="W291" s="666"/>
      <c r="X291" s="666"/>
      <c r="Y291" s="666"/>
      <c r="Z291" s="666"/>
      <c r="AA291" s="666"/>
      <c r="AB291" s="666"/>
      <c r="AC291" s="666"/>
      <c r="AD291" s="666"/>
      <c r="AE291" s="666"/>
      <c r="AF291" s="666"/>
      <c r="AG291" s="666"/>
      <c r="AH291" s="666"/>
      <c r="AI291" s="666"/>
      <c r="AJ291" s="666"/>
      <c r="AK291" s="666"/>
      <c r="AL291" s="666"/>
      <c r="AM291" s="666"/>
      <c r="AN291" s="666"/>
      <c r="AO291" s="666"/>
      <c r="AP291" s="666"/>
      <c r="AQ291" s="666"/>
      <c r="AR291" s="666"/>
      <c r="AS291" s="666"/>
      <c r="AT291" s="666"/>
      <c r="AU291" s="666"/>
    </row>
    <row r="292" ht="15.75" customHeight="1">
      <c r="A292" s="671">
        <v>44280.0</v>
      </c>
      <c r="B292" s="672" t="s">
        <v>5927</v>
      </c>
      <c r="C292" s="673" t="s">
        <v>2346</v>
      </c>
      <c r="D292" s="641" t="s">
        <v>5038</v>
      </c>
      <c r="E292" s="669">
        <v>153417.37</v>
      </c>
      <c r="F292" s="641" t="s">
        <v>3880</v>
      </c>
      <c r="G292" s="667" t="s">
        <v>120</v>
      </c>
      <c r="H292" s="667" t="s">
        <v>91</v>
      </c>
      <c r="I292" s="667" t="s">
        <v>699</v>
      </c>
      <c r="J292" s="667">
        <v>44273.0</v>
      </c>
      <c r="K292" s="670" t="s">
        <v>2341</v>
      </c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  <c r="AH292" s="666"/>
      <c r="AI292" s="666"/>
      <c r="AJ292" s="666"/>
      <c r="AK292" s="666"/>
      <c r="AL292" s="666"/>
      <c r="AM292" s="666"/>
      <c r="AN292" s="666"/>
      <c r="AO292" s="666"/>
      <c r="AP292" s="666"/>
      <c r="AQ292" s="666"/>
      <c r="AR292" s="666"/>
      <c r="AS292" s="666"/>
      <c r="AT292" s="666"/>
      <c r="AU292" s="666"/>
    </row>
    <row r="293" ht="15.75" customHeight="1">
      <c r="A293" s="671">
        <v>44280.0</v>
      </c>
      <c r="B293" s="672" t="s">
        <v>5075</v>
      </c>
      <c r="C293" s="673" t="s">
        <v>2346</v>
      </c>
      <c r="D293" s="641" t="s">
        <v>5038</v>
      </c>
      <c r="E293" s="669">
        <v>15000.0</v>
      </c>
      <c r="F293" s="641" t="s">
        <v>956</v>
      </c>
      <c r="G293" s="667" t="s">
        <v>669</v>
      </c>
      <c r="H293" s="667" t="s">
        <v>199</v>
      </c>
      <c r="I293" s="667" t="s">
        <v>1228</v>
      </c>
      <c r="J293" s="667">
        <v>43605.0</v>
      </c>
      <c r="K293" s="670" t="s">
        <v>2365</v>
      </c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  <c r="AH293" s="666"/>
      <c r="AI293" s="666"/>
      <c r="AJ293" s="666"/>
      <c r="AK293" s="666"/>
      <c r="AL293" s="666"/>
      <c r="AM293" s="666"/>
      <c r="AN293" s="666"/>
      <c r="AO293" s="666"/>
      <c r="AP293" s="666"/>
      <c r="AQ293" s="666"/>
      <c r="AR293" s="666"/>
      <c r="AS293" s="666"/>
      <c r="AT293" s="666"/>
      <c r="AU293" s="666"/>
    </row>
    <row r="294" ht="15.75" customHeight="1">
      <c r="A294" s="671">
        <v>44280.0</v>
      </c>
      <c r="B294" s="672" t="s">
        <v>5065</v>
      </c>
      <c r="C294" s="673" t="s">
        <v>2346</v>
      </c>
      <c r="D294" s="641" t="s">
        <v>5038</v>
      </c>
      <c r="E294" s="669">
        <v>20000.0</v>
      </c>
      <c r="F294" s="641" t="s">
        <v>5066</v>
      </c>
      <c r="G294" s="667" t="s">
        <v>669</v>
      </c>
      <c r="H294" s="667" t="s">
        <v>199</v>
      </c>
      <c r="I294" s="667" t="s">
        <v>1228</v>
      </c>
      <c r="J294" s="667">
        <v>43703.0</v>
      </c>
      <c r="K294" s="670" t="s">
        <v>4383</v>
      </c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  <c r="AH294" s="666"/>
      <c r="AI294" s="666"/>
      <c r="AJ294" s="666"/>
      <c r="AK294" s="666"/>
      <c r="AL294" s="666"/>
      <c r="AM294" s="666"/>
      <c r="AN294" s="666"/>
      <c r="AO294" s="666"/>
      <c r="AP294" s="666"/>
      <c r="AQ294" s="666"/>
      <c r="AR294" s="666"/>
      <c r="AS294" s="666"/>
      <c r="AT294" s="666"/>
      <c r="AU294" s="666"/>
    </row>
    <row r="295" ht="15.75" customHeight="1">
      <c r="A295" s="667">
        <v>44281.0</v>
      </c>
      <c r="B295" s="668" t="s">
        <v>5935</v>
      </c>
      <c r="C295" s="641" t="s">
        <v>98</v>
      </c>
      <c r="D295" s="641" t="s">
        <v>694</v>
      </c>
      <c r="E295" s="669">
        <v>0.0</v>
      </c>
      <c r="F295" s="641" t="s">
        <v>4907</v>
      </c>
      <c r="G295" s="641" t="s">
        <v>255</v>
      </c>
      <c r="H295" s="641" t="s">
        <v>199</v>
      </c>
      <c r="I295" s="641" t="s">
        <v>548</v>
      </c>
      <c r="J295" s="667">
        <v>44126.0</v>
      </c>
      <c r="K295" s="674" t="s">
        <v>2341</v>
      </c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  <c r="AH295" s="666"/>
      <c r="AI295" s="666"/>
      <c r="AJ295" s="666"/>
      <c r="AK295" s="666"/>
      <c r="AL295" s="666"/>
      <c r="AM295" s="666"/>
      <c r="AN295" s="666"/>
      <c r="AO295" s="666"/>
      <c r="AP295" s="666"/>
      <c r="AQ295" s="666"/>
      <c r="AR295" s="666"/>
      <c r="AS295" s="666"/>
      <c r="AT295" s="666"/>
      <c r="AU295" s="666"/>
    </row>
    <row r="296" ht="15.75" customHeight="1">
      <c r="A296" s="667">
        <v>44281.0</v>
      </c>
      <c r="B296" s="668" t="s">
        <v>5938</v>
      </c>
      <c r="C296" s="641" t="s">
        <v>2346</v>
      </c>
      <c r="D296" s="641" t="s">
        <v>694</v>
      </c>
      <c r="E296" s="669"/>
      <c r="F296" s="641" t="s">
        <v>5942</v>
      </c>
      <c r="G296" s="667" t="s">
        <v>120</v>
      </c>
      <c r="H296" s="667" t="s">
        <v>91</v>
      </c>
      <c r="I296" s="667" t="s">
        <v>699</v>
      </c>
      <c r="J296" s="667">
        <v>44280.0</v>
      </c>
      <c r="K296" s="670" t="s">
        <v>2365</v>
      </c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  <c r="AH296" s="666"/>
      <c r="AI296" s="666"/>
      <c r="AJ296" s="666"/>
      <c r="AK296" s="666"/>
      <c r="AL296" s="666"/>
      <c r="AM296" s="666"/>
      <c r="AN296" s="666"/>
      <c r="AO296" s="666"/>
      <c r="AP296" s="666"/>
      <c r="AQ296" s="666"/>
      <c r="AR296" s="666"/>
      <c r="AS296" s="666"/>
      <c r="AT296" s="666"/>
      <c r="AU296" s="666"/>
    </row>
    <row r="297" ht="15.75" customHeight="1">
      <c r="A297" s="671">
        <v>44285.0</v>
      </c>
      <c r="B297" s="672" t="s">
        <v>5945</v>
      </c>
      <c r="C297" s="673" t="s">
        <v>2346</v>
      </c>
      <c r="D297" s="641" t="s">
        <v>427</v>
      </c>
      <c r="E297" s="669">
        <v>200000.0</v>
      </c>
      <c r="F297" s="641" t="s">
        <v>5948</v>
      </c>
      <c r="G297" s="667" t="s">
        <v>669</v>
      </c>
      <c r="H297" s="667" t="s">
        <v>199</v>
      </c>
      <c r="I297" s="667" t="s">
        <v>2388</v>
      </c>
      <c r="J297" s="667">
        <v>43861.0</v>
      </c>
      <c r="K297" s="670" t="s">
        <v>2365</v>
      </c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  <c r="AH297" s="666"/>
      <c r="AI297" s="666"/>
      <c r="AJ297" s="666"/>
      <c r="AK297" s="666"/>
      <c r="AL297" s="666"/>
      <c r="AM297" s="666"/>
      <c r="AN297" s="666"/>
      <c r="AO297" s="666"/>
      <c r="AP297" s="666"/>
      <c r="AQ297" s="666"/>
      <c r="AR297" s="666"/>
      <c r="AS297" s="666"/>
      <c r="AT297" s="666"/>
      <c r="AU297" s="666"/>
    </row>
    <row r="298" ht="15.75" customHeight="1">
      <c r="A298" s="671">
        <v>44286.0</v>
      </c>
      <c r="B298" s="672" t="s">
        <v>5952</v>
      </c>
      <c r="C298" s="673" t="s">
        <v>98</v>
      </c>
      <c r="D298" s="641" t="s">
        <v>5038</v>
      </c>
      <c r="E298" s="669">
        <v>328583.39</v>
      </c>
      <c r="F298" s="641" t="s">
        <v>1822</v>
      </c>
      <c r="G298" s="641" t="s">
        <v>255</v>
      </c>
      <c r="H298" s="641" t="s">
        <v>199</v>
      </c>
      <c r="I298" s="641" t="s">
        <v>3885</v>
      </c>
      <c r="J298" s="726">
        <v>44134.0</v>
      </c>
      <c r="K298" s="674" t="s">
        <v>2319</v>
      </c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  <c r="AH298" s="666"/>
      <c r="AI298" s="666"/>
      <c r="AJ298" s="666"/>
      <c r="AK298" s="666"/>
      <c r="AL298" s="666"/>
      <c r="AM298" s="666"/>
      <c r="AN298" s="666"/>
      <c r="AO298" s="666"/>
      <c r="AP298" s="666"/>
      <c r="AQ298" s="666"/>
      <c r="AR298" s="666"/>
      <c r="AS298" s="666"/>
      <c r="AT298" s="666"/>
      <c r="AU298" s="666"/>
    </row>
    <row r="299" ht="15.75" customHeight="1">
      <c r="A299" s="667">
        <v>44287.0</v>
      </c>
      <c r="B299" s="668" t="s">
        <v>5911</v>
      </c>
      <c r="C299" s="641" t="s">
        <v>2346</v>
      </c>
      <c r="D299" s="641" t="s">
        <v>694</v>
      </c>
      <c r="E299" s="669">
        <v>222801.29</v>
      </c>
      <c r="F299" s="641" t="s">
        <v>5912</v>
      </c>
      <c r="G299" s="667" t="s">
        <v>669</v>
      </c>
      <c r="H299" s="667" t="s">
        <v>199</v>
      </c>
      <c r="I299" s="667" t="s">
        <v>2388</v>
      </c>
      <c r="J299" s="667">
        <v>43531.0</v>
      </c>
      <c r="K299" s="670" t="s">
        <v>4383</v>
      </c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  <c r="AH299" s="666"/>
      <c r="AI299" s="666"/>
      <c r="AJ299" s="666"/>
      <c r="AK299" s="666"/>
      <c r="AL299" s="666"/>
      <c r="AM299" s="666"/>
      <c r="AN299" s="666"/>
      <c r="AO299" s="666"/>
      <c r="AP299" s="666"/>
      <c r="AQ299" s="666"/>
      <c r="AR299" s="666"/>
      <c r="AS299" s="666"/>
      <c r="AT299" s="666"/>
      <c r="AU299" s="666"/>
    </row>
    <row r="300" ht="15.75" customHeight="1">
      <c r="A300" s="667">
        <v>44287.0</v>
      </c>
      <c r="B300" s="668" t="s">
        <v>5959</v>
      </c>
      <c r="C300" s="641" t="s">
        <v>2346</v>
      </c>
      <c r="D300" s="641" t="s">
        <v>694</v>
      </c>
      <c r="E300" s="669"/>
      <c r="F300" s="641" t="s">
        <v>5912</v>
      </c>
      <c r="G300" s="667" t="s">
        <v>669</v>
      </c>
      <c r="H300" s="667" t="s">
        <v>199</v>
      </c>
      <c r="I300" s="667" t="s">
        <v>2388</v>
      </c>
      <c r="J300" s="667">
        <v>43566.0</v>
      </c>
      <c r="K300" s="670" t="s">
        <v>2365</v>
      </c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  <c r="AH300" s="666"/>
      <c r="AI300" s="666"/>
      <c r="AJ300" s="666"/>
      <c r="AK300" s="666"/>
      <c r="AL300" s="666"/>
      <c r="AM300" s="666"/>
      <c r="AN300" s="666"/>
      <c r="AO300" s="666"/>
      <c r="AP300" s="666"/>
      <c r="AQ300" s="666"/>
      <c r="AR300" s="666"/>
      <c r="AS300" s="666"/>
      <c r="AT300" s="666"/>
      <c r="AU300" s="666"/>
    </row>
    <row r="301" ht="15.75" customHeight="1">
      <c r="A301" s="671">
        <v>44287.0</v>
      </c>
      <c r="B301" s="672" t="s">
        <v>5960</v>
      </c>
      <c r="C301" s="673" t="s">
        <v>98</v>
      </c>
      <c r="D301" s="641" t="s">
        <v>5038</v>
      </c>
      <c r="E301" s="669">
        <v>95592.52</v>
      </c>
      <c r="F301" s="641" t="s">
        <v>5963</v>
      </c>
      <c r="G301" s="641" t="s">
        <v>255</v>
      </c>
      <c r="H301" s="641" t="s">
        <v>199</v>
      </c>
      <c r="I301" s="641" t="s">
        <v>5878</v>
      </c>
      <c r="J301" s="726">
        <v>44180.0</v>
      </c>
      <c r="K301" s="674" t="s">
        <v>2341</v>
      </c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  <c r="AH301" s="666"/>
      <c r="AI301" s="666"/>
      <c r="AJ301" s="666"/>
      <c r="AK301" s="666"/>
      <c r="AL301" s="666"/>
      <c r="AM301" s="666"/>
      <c r="AN301" s="666"/>
      <c r="AO301" s="666"/>
      <c r="AP301" s="666"/>
      <c r="AQ301" s="666"/>
      <c r="AR301" s="666"/>
      <c r="AS301" s="666"/>
      <c r="AT301" s="666"/>
      <c r="AU301" s="666"/>
    </row>
    <row r="302" ht="15.75" customHeight="1">
      <c r="A302" s="667">
        <v>44291.0</v>
      </c>
      <c r="B302" s="668" t="s">
        <v>5964</v>
      </c>
      <c r="C302" s="641" t="s">
        <v>98</v>
      </c>
      <c r="D302" s="641" t="s">
        <v>694</v>
      </c>
      <c r="E302" s="669">
        <v>0.0</v>
      </c>
      <c r="F302" s="641" t="s">
        <v>5965</v>
      </c>
      <c r="G302" s="641" t="s">
        <v>255</v>
      </c>
      <c r="H302" s="641" t="s">
        <v>199</v>
      </c>
      <c r="I302" s="641" t="s">
        <v>2531</v>
      </c>
      <c r="J302" s="667">
        <v>44215.0</v>
      </c>
      <c r="K302" s="674" t="s">
        <v>2319</v>
      </c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  <c r="AH302" s="666"/>
      <c r="AI302" s="666"/>
      <c r="AJ302" s="666"/>
      <c r="AK302" s="666"/>
      <c r="AL302" s="666"/>
      <c r="AM302" s="666"/>
      <c r="AN302" s="666"/>
      <c r="AO302" s="666"/>
      <c r="AP302" s="666"/>
      <c r="AQ302" s="666"/>
      <c r="AR302" s="666"/>
      <c r="AS302" s="666"/>
      <c r="AT302" s="666"/>
      <c r="AU302" s="666"/>
    </row>
    <row r="303" ht="15.75" customHeight="1">
      <c r="A303" s="671">
        <v>44291.0</v>
      </c>
      <c r="B303" s="672" t="s">
        <v>5116</v>
      </c>
      <c r="C303" s="673" t="s">
        <v>2346</v>
      </c>
      <c r="D303" s="641" t="s">
        <v>5038</v>
      </c>
      <c r="E303" s="669">
        <v>3500.0</v>
      </c>
      <c r="F303" s="641" t="s">
        <v>5117</v>
      </c>
      <c r="G303" s="667" t="s">
        <v>669</v>
      </c>
      <c r="H303" s="667" t="s">
        <v>199</v>
      </c>
      <c r="I303" s="667" t="s">
        <v>2388</v>
      </c>
      <c r="J303" s="667">
        <v>43559.0</v>
      </c>
      <c r="K303" s="670" t="s">
        <v>4383</v>
      </c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  <c r="AH303" s="666"/>
      <c r="AI303" s="666"/>
      <c r="AJ303" s="666"/>
      <c r="AK303" s="666"/>
      <c r="AL303" s="666"/>
      <c r="AM303" s="666"/>
      <c r="AN303" s="666"/>
      <c r="AO303" s="666"/>
      <c r="AP303" s="666"/>
      <c r="AQ303" s="666"/>
      <c r="AR303" s="666"/>
      <c r="AS303" s="666"/>
      <c r="AT303" s="666"/>
      <c r="AU303" s="666"/>
    </row>
    <row r="304" ht="15.75" customHeight="1">
      <c r="A304" s="671">
        <v>44291.0</v>
      </c>
      <c r="B304" s="672" t="s">
        <v>5964</v>
      </c>
      <c r="C304" s="673" t="s">
        <v>98</v>
      </c>
      <c r="D304" s="641" t="s">
        <v>427</v>
      </c>
      <c r="E304" s="669">
        <v>6000.0</v>
      </c>
      <c r="F304" s="641" t="s">
        <v>5965</v>
      </c>
      <c r="G304" s="641" t="s">
        <v>255</v>
      </c>
      <c r="H304" s="641" t="s">
        <v>199</v>
      </c>
      <c r="I304" s="641" t="s">
        <v>2531</v>
      </c>
      <c r="J304" s="667">
        <v>44215.0</v>
      </c>
      <c r="K304" s="674" t="s">
        <v>2319</v>
      </c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  <c r="AH304" s="666"/>
      <c r="AI304" s="666"/>
      <c r="AJ304" s="666"/>
      <c r="AK304" s="666"/>
      <c r="AL304" s="666"/>
      <c r="AM304" s="666"/>
      <c r="AN304" s="666"/>
      <c r="AO304" s="666"/>
      <c r="AP304" s="666"/>
      <c r="AQ304" s="666"/>
      <c r="AR304" s="666"/>
      <c r="AS304" s="666"/>
      <c r="AT304" s="666"/>
      <c r="AU304" s="666"/>
    </row>
    <row r="305" ht="15.75" customHeight="1">
      <c r="A305" s="671">
        <v>44292.0</v>
      </c>
      <c r="B305" s="672" t="s">
        <v>5065</v>
      </c>
      <c r="C305" s="673" t="s">
        <v>2346</v>
      </c>
      <c r="D305" s="641" t="s">
        <v>5038</v>
      </c>
      <c r="E305" s="669">
        <v>50000.0</v>
      </c>
      <c r="F305" s="641" t="s">
        <v>5066</v>
      </c>
      <c r="G305" s="667" t="s">
        <v>669</v>
      </c>
      <c r="H305" s="667" t="s">
        <v>199</v>
      </c>
      <c r="I305" s="667" t="s">
        <v>1228</v>
      </c>
      <c r="J305" s="667">
        <v>43703.0</v>
      </c>
      <c r="K305" s="670" t="s">
        <v>4383</v>
      </c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  <c r="AH305" s="666"/>
      <c r="AI305" s="666"/>
      <c r="AJ305" s="666"/>
      <c r="AK305" s="666"/>
      <c r="AL305" s="666"/>
      <c r="AM305" s="666"/>
      <c r="AN305" s="666"/>
      <c r="AO305" s="666"/>
      <c r="AP305" s="666"/>
      <c r="AQ305" s="666"/>
      <c r="AR305" s="666"/>
      <c r="AS305" s="666"/>
      <c r="AT305" s="666"/>
      <c r="AU305" s="666"/>
    </row>
    <row r="306" ht="15.75" customHeight="1">
      <c r="A306" s="671">
        <v>44293.0</v>
      </c>
      <c r="B306" s="672" t="s">
        <v>5976</v>
      </c>
      <c r="C306" s="673" t="s">
        <v>98</v>
      </c>
      <c r="D306" s="641" t="s">
        <v>5038</v>
      </c>
      <c r="E306" s="669">
        <v>200000.0</v>
      </c>
      <c r="F306" s="641" t="s">
        <v>5977</v>
      </c>
      <c r="G306" s="641" t="s">
        <v>255</v>
      </c>
      <c r="H306" s="641" t="s">
        <v>199</v>
      </c>
      <c r="I306" s="626" t="s">
        <v>3855</v>
      </c>
      <c r="J306" s="667">
        <v>44203.0</v>
      </c>
      <c r="K306" s="674" t="s">
        <v>2341</v>
      </c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  <c r="AH306" s="666"/>
      <c r="AI306" s="666"/>
      <c r="AJ306" s="666"/>
      <c r="AK306" s="666"/>
      <c r="AL306" s="666"/>
      <c r="AM306" s="666"/>
      <c r="AN306" s="666"/>
      <c r="AO306" s="666"/>
      <c r="AP306" s="666"/>
      <c r="AQ306" s="666"/>
      <c r="AR306" s="666"/>
      <c r="AS306" s="666"/>
      <c r="AT306" s="666"/>
      <c r="AU306" s="666"/>
    </row>
    <row r="307" ht="15.75" customHeight="1">
      <c r="A307" s="671">
        <v>44293.0</v>
      </c>
      <c r="B307" s="672" t="s">
        <v>5981</v>
      </c>
      <c r="C307" s="673" t="s">
        <v>98</v>
      </c>
      <c r="D307" s="641" t="s">
        <v>5038</v>
      </c>
      <c r="E307" s="669">
        <v>7000.0</v>
      </c>
      <c r="F307" s="641" t="s">
        <v>5375</v>
      </c>
      <c r="G307" s="641" t="s">
        <v>120</v>
      </c>
      <c r="H307" s="641" t="s">
        <v>199</v>
      </c>
      <c r="I307" s="641" t="s">
        <v>212</v>
      </c>
      <c r="J307" s="667">
        <v>44218.0</v>
      </c>
      <c r="K307" s="674" t="s">
        <v>2341</v>
      </c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  <c r="AH307" s="666"/>
      <c r="AI307" s="666"/>
      <c r="AJ307" s="666"/>
      <c r="AK307" s="666"/>
      <c r="AL307" s="666"/>
      <c r="AM307" s="666"/>
      <c r="AN307" s="666"/>
      <c r="AO307" s="666"/>
      <c r="AP307" s="666"/>
      <c r="AQ307" s="666"/>
      <c r="AR307" s="666"/>
      <c r="AS307" s="666"/>
      <c r="AT307" s="666"/>
      <c r="AU307" s="666"/>
    </row>
    <row r="308" ht="15.75" customHeight="1">
      <c r="A308" s="667">
        <v>44295.0</v>
      </c>
      <c r="B308" s="668" t="s">
        <v>5984</v>
      </c>
      <c r="C308" s="641" t="s">
        <v>98</v>
      </c>
      <c r="D308" s="641" t="s">
        <v>694</v>
      </c>
      <c r="E308" s="669">
        <v>0.0</v>
      </c>
      <c r="F308" s="641" t="s">
        <v>3810</v>
      </c>
      <c r="G308" s="641" t="s">
        <v>255</v>
      </c>
      <c r="H308" s="641" t="s">
        <v>199</v>
      </c>
      <c r="I308" s="641" t="s">
        <v>548</v>
      </c>
      <c r="J308" s="667">
        <v>44165.0</v>
      </c>
      <c r="K308" s="674" t="s">
        <v>2341</v>
      </c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  <c r="AH308" s="666"/>
      <c r="AI308" s="666"/>
      <c r="AJ308" s="666"/>
      <c r="AK308" s="666"/>
      <c r="AL308" s="666"/>
      <c r="AM308" s="666"/>
      <c r="AN308" s="666"/>
      <c r="AO308" s="666"/>
      <c r="AP308" s="666"/>
      <c r="AQ308" s="666"/>
      <c r="AR308" s="666"/>
      <c r="AS308" s="666"/>
      <c r="AT308" s="666"/>
      <c r="AU308" s="666"/>
    </row>
    <row r="309" ht="15.75" customHeight="1">
      <c r="A309" s="671">
        <v>44299.0</v>
      </c>
      <c r="B309" s="672" t="s">
        <v>5990</v>
      </c>
      <c r="C309" s="673" t="s">
        <v>98</v>
      </c>
      <c r="D309" s="641" t="s">
        <v>427</v>
      </c>
      <c r="E309" s="669">
        <v>299695.62</v>
      </c>
      <c r="F309" s="641" t="s">
        <v>4987</v>
      </c>
      <c r="G309" s="641" t="s">
        <v>255</v>
      </c>
      <c r="H309" s="641" t="s">
        <v>199</v>
      </c>
      <c r="I309" s="641" t="s">
        <v>3885</v>
      </c>
      <c r="J309" s="667">
        <v>44195.0</v>
      </c>
      <c r="K309" s="674" t="s">
        <v>2365</v>
      </c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  <c r="AH309" s="666"/>
      <c r="AI309" s="666"/>
      <c r="AJ309" s="666"/>
      <c r="AK309" s="666"/>
      <c r="AL309" s="666"/>
      <c r="AM309" s="666"/>
      <c r="AN309" s="666"/>
      <c r="AO309" s="666"/>
      <c r="AP309" s="666"/>
      <c r="AQ309" s="666"/>
      <c r="AR309" s="666"/>
      <c r="AS309" s="666"/>
      <c r="AT309" s="666"/>
      <c r="AU309" s="666"/>
    </row>
    <row r="310" ht="15.75" customHeight="1">
      <c r="A310" s="671">
        <v>44299.0</v>
      </c>
      <c r="B310" s="672" t="s">
        <v>5046</v>
      </c>
      <c r="C310" s="673" t="s">
        <v>98</v>
      </c>
      <c r="D310" s="641" t="s">
        <v>427</v>
      </c>
      <c r="E310" s="669">
        <v>203869.45</v>
      </c>
      <c r="F310" s="641" t="s">
        <v>4424</v>
      </c>
      <c r="G310" s="641" t="s">
        <v>669</v>
      </c>
      <c r="H310" s="641" t="s">
        <v>199</v>
      </c>
      <c r="I310" s="641" t="s">
        <v>669</v>
      </c>
      <c r="J310" s="667">
        <v>43749.0</v>
      </c>
      <c r="K310" s="674" t="s">
        <v>4383</v>
      </c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  <c r="AH310" s="666"/>
      <c r="AI310" s="666"/>
      <c r="AJ310" s="666"/>
      <c r="AK310" s="666"/>
      <c r="AL310" s="666"/>
      <c r="AM310" s="666"/>
      <c r="AN310" s="666"/>
      <c r="AO310" s="666"/>
      <c r="AP310" s="666"/>
      <c r="AQ310" s="666"/>
      <c r="AR310" s="666"/>
      <c r="AS310" s="666"/>
      <c r="AT310" s="666"/>
      <c r="AU310" s="666"/>
    </row>
    <row r="311" ht="15.75" customHeight="1">
      <c r="A311" s="671">
        <v>44302.0</v>
      </c>
      <c r="B311" s="672" t="s">
        <v>5065</v>
      </c>
      <c r="C311" s="673" t="s">
        <v>2346</v>
      </c>
      <c r="D311" s="641" t="s">
        <v>5038</v>
      </c>
      <c r="E311" s="669">
        <v>1000.0</v>
      </c>
      <c r="F311" s="641" t="s">
        <v>5066</v>
      </c>
      <c r="G311" s="667" t="s">
        <v>669</v>
      </c>
      <c r="H311" s="667" t="s">
        <v>199</v>
      </c>
      <c r="I311" s="667" t="s">
        <v>1228</v>
      </c>
      <c r="J311" s="667">
        <v>43703.0</v>
      </c>
      <c r="K311" s="670" t="s">
        <v>4383</v>
      </c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  <c r="AH311" s="666"/>
      <c r="AI311" s="666"/>
      <c r="AJ311" s="666"/>
      <c r="AK311" s="666"/>
      <c r="AL311" s="666"/>
      <c r="AM311" s="666"/>
      <c r="AN311" s="666"/>
      <c r="AO311" s="666"/>
      <c r="AP311" s="666"/>
      <c r="AQ311" s="666"/>
      <c r="AR311" s="666"/>
      <c r="AS311" s="666"/>
      <c r="AT311" s="666"/>
      <c r="AU311" s="666"/>
    </row>
    <row r="312" ht="15.75" customHeight="1">
      <c r="A312" s="671">
        <v>44302.0</v>
      </c>
      <c r="B312" s="672" t="s">
        <v>5178</v>
      </c>
      <c r="C312" s="673" t="s">
        <v>2346</v>
      </c>
      <c r="D312" s="641" t="s">
        <v>5038</v>
      </c>
      <c r="E312" s="669">
        <v>10000.0</v>
      </c>
      <c r="F312" s="641" t="s">
        <v>5180</v>
      </c>
      <c r="G312" s="667" t="s">
        <v>669</v>
      </c>
      <c r="H312" s="667" t="s">
        <v>199</v>
      </c>
      <c r="I312" s="667" t="s">
        <v>1228</v>
      </c>
      <c r="J312" s="667">
        <v>43717.0</v>
      </c>
      <c r="K312" s="670" t="s">
        <v>4383</v>
      </c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  <c r="AH312" s="666"/>
      <c r="AI312" s="666"/>
      <c r="AJ312" s="666"/>
      <c r="AK312" s="666"/>
      <c r="AL312" s="666"/>
      <c r="AM312" s="666"/>
      <c r="AN312" s="666"/>
      <c r="AO312" s="666"/>
      <c r="AP312" s="666"/>
      <c r="AQ312" s="666"/>
      <c r="AR312" s="666"/>
      <c r="AS312" s="666"/>
      <c r="AT312" s="666"/>
      <c r="AU312" s="666"/>
    </row>
    <row r="313" ht="15.75" customHeight="1">
      <c r="A313" s="667">
        <v>44305.0</v>
      </c>
      <c r="B313" s="668" t="s">
        <v>5046</v>
      </c>
      <c r="C313" s="641" t="s">
        <v>98</v>
      </c>
      <c r="D313" s="641" t="s">
        <v>694</v>
      </c>
      <c r="E313" s="669">
        <v>0.0</v>
      </c>
      <c r="F313" s="641" t="s">
        <v>4424</v>
      </c>
      <c r="G313" s="641" t="s">
        <v>669</v>
      </c>
      <c r="H313" s="641" t="s">
        <v>199</v>
      </c>
      <c r="I313" s="641" t="s">
        <v>669</v>
      </c>
      <c r="J313" s="667">
        <v>43749.0</v>
      </c>
      <c r="K313" s="674" t="s">
        <v>4383</v>
      </c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  <c r="AH313" s="666"/>
      <c r="AI313" s="666"/>
      <c r="AJ313" s="666"/>
      <c r="AK313" s="666"/>
      <c r="AL313" s="666"/>
      <c r="AM313" s="666"/>
      <c r="AN313" s="666"/>
      <c r="AO313" s="666"/>
      <c r="AP313" s="666"/>
      <c r="AQ313" s="666"/>
      <c r="AR313" s="666"/>
      <c r="AS313" s="666"/>
      <c r="AT313" s="666"/>
      <c r="AU313" s="666"/>
    </row>
    <row r="314" ht="15.75" customHeight="1">
      <c r="A314" s="667">
        <v>44305.0</v>
      </c>
      <c r="B314" s="668" t="s">
        <v>5153</v>
      </c>
      <c r="C314" s="641" t="s">
        <v>98</v>
      </c>
      <c r="D314" s="641" t="s">
        <v>694</v>
      </c>
      <c r="E314" s="669">
        <v>0.0</v>
      </c>
      <c r="F314" s="641" t="s">
        <v>5154</v>
      </c>
      <c r="G314" s="641" t="s">
        <v>669</v>
      </c>
      <c r="H314" s="641" t="s">
        <v>199</v>
      </c>
      <c r="I314" s="641" t="s">
        <v>669</v>
      </c>
      <c r="J314" s="667">
        <v>44225.0</v>
      </c>
      <c r="K314" s="674" t="s">
        <v>2341</v>
      </c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  <c r="AH314" s="666"/>
      <c r="AI314" s="666"/>
      <c r="AJ314" s="666"/>
      <c r="AK314" s="666"/>
      <c r="AL314" s="666"/>
      <c r="AM314" s="666"/>
      <c r="AN314" s="666"/>
      <c r="AO314" s="666"/>
      <c r="AP314" s="666"/>
      <c r="AQ314" s="666"/>
      <c r="AR314" s="666"/>
      <c r="AS314" s="666"/>
      <c r="AT314" s="666"/>
      <c r="AU314" s="666"/>
    </row>
    <row r="315" ht="15.75" customHeight="1">
      <c r="A315" s="671">
        <v>44305.0</v>
      </c>
      <c r="B315" s="672" t="s">
        <v>5757</v>
      </c>
      <c r="C315" s="673" t="s">
        <v>2346</v>
      </c>
      <c r="D315" s="641" t="s">
        <v>5038</v>
      </c>
      <c r="E315" s="669">
        <v>29853.44</v>
      </c>
      <c r="F315" s="641" t="s">
        <v>5758</v>
      </c>
      <c r="G315" s="667" t="s">
        <v>669</v>
      </c>
      <c r="H315" s="667" t="s">
        <v>199</v>
      </c>
      <c r="I315" s="667" t="s">
        <v>2388</v>
      </c>
      <c r="J315" s="667">
        <v>43822.0</v>
      </c>
      <c r="K315" s="670" t="s">
        <v>2365</v>
      </c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  <c r="AH315" s="666"/>
      <c r="AI315" s="666"/>
      <c r="AJ315" s="666"/>
      <c r="AK315" s="666"/>
      <c r="AL315" s="666"/>
      <c r="AM315" s="666"/>
      <c r="AN315" s="666"/>
      <c r="AO315" s="666"/>
      <c r="AP315" s="666"/>
      <c r="AQ315" s="666"/>
      <c r="AR315" s="666"/>
      <c r="AS315" s="666"/>
      <c r="AT315" s="666"/>
      <c r="AU315" s="666"/>
    </row>
    <row r="316" ht="15.75" customHeight="1">
      <c r="A316" s="671">
        <v>44305.0</v>
      </c>
      <c r="B316" s="672" t="s">
        <v>6010</v>
      </c>
      <c r="C316" s="673" t="s">
        <v>2346</v>
      </c>
      <c r="D316" s="641" t="s">
        <v>5038</v>
      </c>
      <c r="E316" s="669">
        <v>3500.0</v>
      </c>
      <c r="F316" s="641" t="s">
        <v>6011</v>
      </c>
      <c r="G316" s="667" t="s">
        <v>120</v>
      </c>
      <c r="H316" s="667" t="s">
        <v>91</v>
      </c>
      <c r="I316" s="667" t="s">
        <v>193</v>
      </c>
      <c r="J316" s="667">
        <v>44273.0</v>
      </c>
      <c r="K316" s="670" t="s">
        <v>2341</v>
      </c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  <c r="AH316" s="666"/>
      <c r="AI316" s="666"/>
      <c r="AJ316" s="666"/>
      <c r="AK316" s="666"/>
      <c r="AL316" s="666"/>
      <c r="AM316" s="666"/>
      <c r="AN316" s="666"/>
      <c r="AO316" s="666"/>
      <c r="AP316" s="666"/>
      <c r="AQ316" s="666"/>
      <c r="AR316" s="666"/>
      <c r="AS316" s="666"/>
      <c r="AT316" s="666"/>
      <c r="AU316" s="666"/>
    </row>
    <row r="317" ht="15.75" customHeight="1">
      <c r="A317" s="671">
        <v>44308.0</v>
      </c>
      <c r="B317" s="672" t="s">
        <v>5116</v>
      </c>
      <c r="C317" s="673" t="s">
        <v>2346</v>
      </c>
      <c r="D317" s="641" t="s">
        <v>5038</v>
      </c>
      <c r="E317" s="669">
        <v>193917.59</v>
      </c>
      <c r="F317" s="641" t="s">
        <v>5117</v>
      </c>
      <c r="G317" s="667" t="s">
        <v>669</v>
      </c>
      <c r="H317" s="667" t="s">
        <v>199</v>
      </c>
      <c r="I317" s="667" t="s">
        <v>2388</v>
      </c>
      <c r="J317" s="667">
        <v>43559.0</v>
      </c>
      <c r="K317" s="670" t="s">
        <v>4383</v>
      </c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  <c r="AH317" s="666"/>
      <c r="AI317" s="666"/>
      <c r="AJ317" s="666"/>
      <c r="AK317" s="666"/>
      <c r="AL317" s="666"/>
      <c r="AM317" s="666"/>
      <c r="AN317" s="666"/>
      <c r="AO317" s="666"/>
      <c r="AP317" s="666"/>
      <c r="AQ317" s="666"/>
      <c r="AR317" s="666"/>
      <c r="AS317" s="666"/>
      <c r="AT317" s="666"/>
      <c r="AU317" s="666"/>
    </row>
    <row r="318" ht="15.75" customHeight="1">
      <c r="A318" s="671">
        <v>44308.0</v>
      </c>
      <c r="B318" s="672" t="s">
        <v>6015</v>
      </c>
      <c r="C318" s="673" t="s">
        <v>2346</v>
      </c>
      <c r="D318" s="641" t="s">
        <v>5038</v>
      </c>
      <c r="E318" s="669">
        <v>10000.0</v>
      </c>
      <c r="F318" s="641" t="s">
        <v>2387</v>
      </c>
      <c r="G318" s="667" t="s">
        <v>669</v>
      </c>
      <c r="H318" s="667" t="s">
        <v>199</v>
      </c>
      <c r="I318" s="667" t="s">
        <v>2388</v>
      </c>
      <c r="J318" s="667">
        <v>43874.0</v>
      </c>
      <c r="K318" s="670" t="s">
        <v>2341</v>
      </c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  <c r="AH318" s="666"/>
      <c r="AI318" s="666"/>
      <c r="AJ318" s="666"/>
      <c r="AK318" s="666"/>
      <c r="AL318" s="666"/>
      <c r="AM318" s="666"/>
      <c r="AN318" s="666"/>
      <c r="AO318" s="666"/>
      <c r="AP318" s="666"/>
      <c r="AQ318" s="666"/>
      <c r="AR318" s="666"/>
      <c r="AS318" s="666"/>
      <c r="AT318" s="666"/>
      <c r="AU318" s="666"/>
    </row>
    <row r="319" ht="15.75" customHeight="1">
      <c r="A319" s="667">
        <v>44309.0</v>
      </c>
      <c r="B319" s="668" t="s">
        <v>6018</v>
      </c>
      <c r="C319" s="641" t="s">
        <v>2346</v>
      </c>
      <c r="D319" s="641" t="s">
        <v>694</v>
      </c>
      <c r="E319" s="669">
        <v>72.06</v>
      </c>
      <c r="F319" s="641" t="s">
        <v>3299</v>
      </c>
      <c r="G319" s="667" t="s">
        <v>669</v>
      </c>
      <c r="H319" s="667" t="s">
        <v>199</v>
      </c>
      <c r="I319" s="667" t="s">
        <v>2388</v>
      </c>
      <c r="J319" s="667">
        <v>43685.0</v>
      </c>
      <c r="K319" s="670" t="s">
        <v>4383</v>
      </c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  <c r="AH319" s="666"/>
      <c r="AI319" s="666"/>
      <c r="AJ319" s="666"/>
      <c r="AK319" s="666"/>
      <c r="AL319" s="666"/>
      <c r="AM319" s="666"/>
      <c r="AN319" s="666"/>
      <c r="AO319" s="666"/>
      <c r="AP319" s="666"/>
      <c r="AQ319" s="666"/>
      <c r="AR319" s="666"/>
      <c r="AS319" s="666"/>
      <c r="AT319" s="666"/>
      <c r="AU319" s="666"/>
    </row>
    <row r="320" ht="15.75" customHeight="1">
      <c r="A320" s="667">
        <v>44309.0</v>
      </c>
      <c r="B320" s="668" t="s">
        <v>6021</v>
      </c>
      <c r="C320" s="641" t="s">
        <v>2346</v>
      </c>
      <c r="D320" s="641" t="s">
        <v>694</v>
      </c>
      <c r="E320" s="669">
        <v>295.22</v>
      </c>
      <c r="F320" s="641" t="s">
        <v>3478</v>
      </c>
      <c r="G320" s="667" t="s">
        <v>120</v>
      </c>
      <c r="H320" s="667" t="s">
        <v>199</v>
      </c>
      <c r="I320" s="667" t="s">
        <v>388</v>
      </c>
      <c r="J320" s="667">
        <v>43382.0</v>
      </c>
      <c r="K320" s="670" t="s">
        <v>2372</v>
      </c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  <c r="AH320" s="666"/>
      <c r="AI320" s="666"/>
      <c r="AJ320" s="666"/>
      <c r="AK320" s="666"/>
      <c r="AL320" s="666"/>
      <c r="AM320" s="666"/>
      <c r="AN320" s="666"/>
      <c r="AO320" s="666"/>
      <c r="AP320" s="666"/>
      <c r="AQ320" s="666"/>
      <c r="AR320" s="666"/>
      <c r="AS320" s="666"/>
      <c r="AT320" s="666"/>
      <c r="AU320" s="666"/>
    </row>
    <row r="321" ht="15.75" customHeight="1">
      <c r="A321" s="667">
        <v>44309.0</v>
      </c>
      <c r="B321" s="668" t="s">
        <v>6025</v>
      </c>
      <c r="C321" s="641" t="s">
        <v>2346</v>
      </c>
      <c r="D321" s="641" t="s">
        <v>694</v>
      </c>
      <c r="E321" s="669">
        <v>47.86</v>
      </c>
      <c r="F321" s="641" t="s">
        <v>3743</v>
      </c>
      <c r="G321" s="667" t="s">
        <v>669</v>
      </c>
      <c r="H321" s="667" t="s">
        <v>199</v>
      </c>
      <c r="I321" s="667" t="s">
        <v>1228</v>
      </c>
      <c r="J321" s="667">
        <v>43665.0</v>
      </c>
      <c r="K321" s="670" t="s">
        <v>4383</v>
      </c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  <c r="AH321" s="666"/>
      <c r="AI321" s="666"/>
      <c r="AJ321" s="666"/>
      <c r="AK321" s="666"/>
      <c r="AL321" s="666"/>
      <c r="AM321" s="666"/>
      <c r="AN321" s="666"/>
      <c r="AO321" s="666"/>
      <c r="AP321" s="666"/>
      <c r="AQ321" s="666"/>
      <c r="AR321" s="666"/>
      <c r="AS321" s="666"/>
      <c r="AT321" s="666"/>
      <c r="AU321" s="666"/>
    </row>
    <row r="322" ht="15.75" customHeight="1">
      <c r="A322" s="667">
        <v>44309.0</v>
      </c>
      <c r="B322" s="668" t="s">
        <v>5860</v>
      </c>
      <c r="C322" s="641" t="s">
        <v>2346</v>
      </c>
      <c r="D322" s="641" t="s">
        <v>694</v>
      </c>
      <c r="E322" s="669"/>
      <c r="F322" s="641" t="s">
        <v>5739</v>
      </c>
      <c r="G322" s="667" t="s">
        <v>120</v>
      </c>
      <c r="H322" s="667" t="s">
        <v>199</v>
      </c>
      <c r="I322" s="667" t="s">
        <v>439</v>
      </c>
      <c r="J322" s="667">
        <v>43515.0</v>
      </c>
      <c r="K322" s="670" t="s">
        <v>2372</v>
      </c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  <c r="AH322" s="666"/>
      <c r="AI322" s="666"/>
      <c r="AJ322" s="666"/>
      <c r="AK322" s="666"/>
      <c r="AL322" s="666"/>
      <c r="AM322" s="666"/>
      <c r="AN322" s="666"/>
      <c r="AO322" s="666"/>
      <c r="AP322" s="666"/>
      <c r="AQ322" s="666"/>
      <c r="AR322" s="666"/>
      <c r="AS322" s="666"/>
      <c r="AT322" s="666"/>
      <c r="AU322" s="666"/>
    </row>
    <row r="323" ht="15.75" customHeight="1">
      <c r="A323" s="667">
        <v>44309.0</v>
      </c>
      <c r="B323" s="668" t="s">
        <v>5105</v>
      </c>
      <c r="C323" s="641" t="s">
        <v>2346</v>
      </c>
      <c r="D323" s="641" t="s">
        <v>694</v>
      </c>
      <c r="E323" s="669">
        <v>4170.42</v>
      </c>
      <c r="F323" s="641" t="s">
        <v>5108</v>
      </c>
      <c r="G323" s="667" t="s">
        <v>669</v>
      </c>
      <c r="H323" s="667" t="s">
        <v>199</v>
      </c>
      <c r="I323" s="667" t="s">
        <v>2388</v>
      </c>
      <c r="J323" s="667">
        <v>43664.0</v>
      </c>
      <c r="K323" s="670" t="s">
        <v>4383</v>
      </c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  <c r="AH323" s="666"/>
      <c r="AI323" s="666"/>
      <c r="AJ323" s="666"/>
      <c r="AK323" s="666"/>
      <c r="AL323" s="666"/>
      <c r="AM323" s="666"/>
      <c r="AN323" s="666"/>
      <c r="AO323" s="666"/>
      <c r="AP323" s="666"/>
      <c r="AQ323" s="666"/>
      <c r="AR323" s="666"/>
      <c r="AS323" s="666"/>
      <c r="AT323" s="666"/>
      <c r="AU323" s="666"/>
    </row>
    <row r="324" ht="15.75" customHeight="1">
      <c r="A324" s="667">
        <v>44312.0</v>
      </c>
      <c r="B324" s="668" t="s">
        <v>6036</v>
      </c>
      <c r="C324" s="641" t="s">
        <v>2346</v>
      </c>
      <c r="D324" s="641" t="s">
        <v>694</v>
      </c>
      <c r="E324" s="669">
        <v>6.32</v>
      </c>
      <c r="F324" s="641" t="s">
        <v>4075</v>
      </c>
      <c r="G324" s="667" t="s">
        <v>669</v>
      </c>
      <c r="H324" s="667" t="s">
        <v>199</v>
      </c>
      <c r="I324" s="667" t="s">
        <v>1228</v>
      </c>
      <c r="J324" s="667" t="s">
        <v>584</v>
      </c>
      <c r="K324" s="670" t="s">
        <v>2341</v>
      </c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  <c r="AH324" s="666"/>
      <c r="AI324" s="666"/>
      <c r="AJ324" s="666"/>
      <c r="AK324" s="666"/>
      <c r="AL324" s="666"/>
      <c r="AM324" s="666"/>
      <c r="AN324" s="666"/>
      <c r="AO324" s="666"/>
      <c r="AP324" s="666"/>
      <c r="AQ324" s="666"/>
      <c r="AR324" s="666"/>
      <c r="AS324" s="666"/>
      <c r="AT324" s="666"/>
      <c r="AU324" s="666"/>
    </row>
    <row r="325" ht="15.75" customHeight="1">
      <c r="A325" s="667">
        <v>44312.0</v>
      </c>
      <c r="B325" s="668" t="s">
        <v>5037</v>
      </c>
      <c r="C325" s="641" t="s">
        <v>2346</v>
      </c>
      <c r="D325" s="641" t="s">
        <v>694</v>
      </c>
      <c r="E325" s="669">
        <v>242.83</v>
      </c>
      <c r="F325" s="641" t="s">
        <v>5039</v>
      </c>
      <c r="G325" s="667" t="s">
        <v>669</v>
      </c>
      <c r="H325" s="667" t="s">
        <v>199</v>
      </c>
      <c r="I325" s="667" t="s">
        <v>1228</v>
      </c>
      <c r="J325" s="667">
        <v>43675.0</v>
      </c>
      <c r="K325" s="670" t="s">
        <v>4383</v>
      </c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  <c r="AH325" s="666"/>
      <c r="AI325" s="666"/>
      <c r="AJ325" s="666"/>
      <c r="AK325" s="666"/>
      <c r="AL325" s="666"/>
      <c r="AM325" s="666"/>
      <c r="AN325" s="666"/>
      <c r="AO325" s="666"/>
      <c r="AP325" s="666"/>
      <c r="AQ325" s="666"/>
      <c r="AR325" s="666"/>
      <c r="AS325" s="666"/>
      <c r="AT325" s="666"/>
      <c r="AU325" s="666"/>
    </row>
    <row r="326" ht="15.75" customHeight="1">
      <c r="A326" s="671">
        <v>44312.0</v>
      </c>
      <c r="B326" s="672" t="s">
        <v>5555</v>
      </c>
      <c r="C326" s="673" t="s">
        <v>2346</v>
      </c>
      <c r="D326" s="641" t="s">
        <v>427</v>
      </c>
      <c r="E326" s="669">
        <v>57000.0</v>
      </c>
      <c r="F326" s="641" t="s">
        <v>5556</v>
      </c>
      <c r="G326" s="667" t="s">
        <v>669</v>
      </c>
      <c r="H326" s="667" t="s">
        <v>199</v>
      </c>
      <c r="I326" s="667" t="s">
        <v>2388</v>
      </c>
      <c r="J326" s="667">
        <v>43622.0</v>
      </c>
      <c r="K326" s="670" t="s">
        <v>2365</v>
      </c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  <c r="AH326" s="666"/>
      <c r="AI326" s="666"/>
      <c r="AJ326" s="666"/>
      <c r="AK326" s="666"/>
      <c r="AL326" s="666"/>
      <c r="AM326" s="666"/>
      <c r="AN326" s="666"/>
      <c r="AO326" s="666"/>
      <c r="AP326" s="666"/>
      <c r="AQ326" s="666"/>
      <c r="AR326" s="666"/>
      <c r="AS326" s="666"/>
      <c r="AT326" s="666"/>
      <c r="AU326" s="666"/>
    </row>
    <row r="327" ht="15.75" customHeight="1">
      <c r="A327" s="667">
        <v>44314.0</v>
      </c>
      <c r="B327" s="668" t="s">
        <v>6015</v>
      </c>
      <c r="C327" s="641" t="s">
        <v>2346</v>
      </c>
      <c r="D327" s="641" t="s">
        <v>694</v>
      </c>
      <c r="E327" s="669">
        <v>299695.62</v>
      </c>
      <c r="F327" s="641" t="s">
        <v>2387</v>
      </c>
      <c r="G327" s="667" t="s">
        <v>669</v>
      </c>
      <c r="H327" s="667" t="s">
        <v>199</v>
      </c>
      <c r="I327" s="667" t="s">
        <v>2388</v>
      </c>
      <c r="J327" s="667">
        <v>43874.0</v>
      </c>
      <c r="K327" s="670" t="s">
        <v>2341</v>
      </c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  <c r="AH327" s="666"/>
      <c r="AI327" s="666"/>
      <c r="AJ327" s="666"/>
      <c r="AK327" s="666"/>
      <c r="AL327" s="666"/>
      <c r="AM327" s="666"/>
      <c r="AN327" s="666"/>
      <c r="AO327" s="666"/>
      <c r="AP327" s="666"/>
      <c r="AQ327" s="666"/>
      <c r="AR327" s="666"/>
      <c r="AS327" s="666"/>
      <c r="AT327" s="666"/>
      <c r="AU327" s="666"/>
    </row>
    <row r="328" ht="15.75" customHeight="1">
      <c r="A328" s="667">
        <v>44314.0</v>
      </c>
      <c r="B328" s="668" t="s">
        <v>6054</v>
      </c>
      <c r="C328" s="641" t="s">
        <v>2346</v>
      </c>
      <c r="D328" s="641" t="s">
        <v>694</v>
      </c>
      <c r="E328" s="669">
        <v>29853.44</v>
      </c>
      <c r="F328" s="641" t="s">
        <v>3585</v>
      </c>
      <c r="G328" s="667" t="s">
        <v>669</v>
      </c>
      <c r="H328" s="667" t="s">
        <v>199</v>
      </c>
      <c r="I328" s="667" t="s">
        <v>1228</v>
      </c>
      <c r="J328" s="667">
        <v>43620.0</v>
      </c>
      <c r="K328" s="670" t="s">
        <v>2365</v>
      </c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  <c r="AH328" s="666"/>
      <c r="AI328" s="666"/>
      <c r="AJ328" s="666"/>
      <c r="AK328" s="666"/>
      <c r="AL328" s="666"/>
      <c r="AM328" s="666"/>
      <c r="AN328" s="666"/>
      <c r="AO328" s="666"/>
      <c r="AP328" s="666"/>
      <c r="AQ328" s="666"/>
      <c r="AR328" s="666"/>
      <c r="AS328" s="666"/>
      <c r="AT328" s="666"/>
      <c r="AU328" s="666"/>
    </row>
    <row r="329" ht="15.75" customHeight="1">
      <c r="A329" s="671">
        <v>44314.0</v>
      </c>
      <c r="B329" s="672" t="s">
        <v>6057</v>
      </c>
      <c r="C329" s="673" t="s">
        <v>2346</v>
      </c>
      <c r="D329" s="641" t="s">
        <v>5038</v>
      </c>
      <c r="E329" s="669">
        <v>11000.0</v>
      </c>
      <c r="F329" s="641" t="s">
        <v>4806</v>
      </c>
      <c r="G329" s="667" t="s">
        <v>120</v>
      </c>
      <c r="H329" s="667" t="s">
        <v>91</v>
      </c>
      <c r="I329" s="667" t="s">
        <v>193</v>
      </c>
      <c r="J329" s="667">
        <v>44298.0</v>
      </c>
      <c r="K329" s="670" t="s">
        <v>2341</v>
      </c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  <c r="AH329" s="666"/>
      <c r="AI329" s="666"/>
      <c r="AJ329" s="666"/>
      <c r="AK329" s="666"/>
      <c r="AL329" s="666"/>
      <c r="AM329" s="666"/>
      <c r="AN329" s="666"/>
      <c r="AO329" s="666"/>
      <c r="AP329" s="666"/>
      <c r="AQ329" s="666"/>
      <c r="AR329" s="666"/>
      <c r="AS329" s="666"/>
      <c r="AT329" s="666"/>
      <c r="AU329" s="666"/>
    </row>
    <row r="330" ht="15.75" customHeight="1">
      <c r="A330" s="671">
        <v>44314.0</v>
      </c>
      <c r="B330" s="672" t="s">
        <v>5065</v>
      </c>
      <c r="C330" s="673" t="s">
        <v>2346</v>
      </c>
      <c r="D330" s="641" t="s">
        <v>5038</v>
      </c>
      <c r="E330" s="669">
        <v>12000.0</v>
      </c>
      <c r="F330" s="641" t="s">
        <v>5066</v>
      </c>
      <c r="G330" s="667" t="s">
        <v>669</v>
      </c>
      <c r="H330" s="667" t="s">
        <v>199</v>
      </c>
      <c r="I330" s="667" t="s">
        <v>1228</v>
      </c>
      <c r="J330" s="667">
        <v>43703.0</v>
      </c>
      <c r="K330" s="670" t="s">
        <v>4383</v>
      </c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  <c r="AH330" s="666"/>
      <c r="AI330" s="666"/>
      <c r="AJ330" s="666"/>
      <c r="AK330" s="666"/>
      <c r="AL330" s="666"/>
      <c r="AM330" s="666"/>
      <c r="AN330" s="666"/>
      <c r="AO330" s="666"/>
      <c r="AP330" s="666"/>
      <c r="AQ330" s="666"/>
      <c r="AR330" s="666"/>
      <c r="AS330" s="666"/>
      <c r="AT330" s="666"/>
      <c r="AU330" s="666"/>
    </row>
    <row r="331" ht="15.75" customHeight="1">
      <c r="A331" s="671">
        <v>44314.0</v>
      </c>
      <c r="B331" s="672" t="s">
        <v>6054</v>
      </c>
      <c r="C331" s="673" t="s">
        <v>2346</v>
      </c>
      <c r="D331" s="641" t="s">
        <v>427</v>
      </c>
      <c r="E331" s="669">
        <v>162050.69</v>
      </c>
      <c r="F331" s="641" t="s">
        <v>3585</v>
      </c>
      <c r="G331" s="667" t="s">
        <v>669</v>
      </c>
      <c r="H331" s="667" t="s">
        <v>199</v>
      </c>
      <c r="I331" s="667" t="s">
        <v>1228</v>
      </c>
      <c r="J331" s="667">
        <v>43620.0</v>
      </c>
      <c r="K331" s="670" t="s">
        <v>2365</v>
      </c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  <c r="AH331" s="666"/>
      <c r="AI331" s="666"/>
      <c r="AJ331" s="666"/>
      <c r="AK331" s="666"/>
      <c r="AL331" s="666"/>
      <c r="AM331" s="666"/>
      <c r="AN331" s="666"/>
      <c r="AO331" s="666"/>
      <c r="AP331" s="666"/>
      <c r="AQ331" s="666"/>
      <c r="AR331" s="666"/>
      <c r="AS331" s="666"/>
      <c r="AT331" s="666"/>
      <c r="AU331" s="666"/>
    </row>
    <row r="332" ht="15.75" customHeight="1">
      <c r="A332" s="671">
        <v>44314.0</v>
      </c>
      <c r="B332" s="672" t="s">
        <v>5529</v>
      </c>
      <c r="C332" s="673" t="s">
        <v>98</v>
      </c>
      <c r="D332" s="641" t="s">
        <v>5038</v>
      </c>
      <c r="E332" s="669">
        <v>5000.0</v>
      </c>
      <c r="F332" s="641" t="s">
        <v>5321</v>
      </c>
      <c r="G332" s="641" t="s">
        <v>669</v>
      </c>
      <c r="H332" s="641" t="s">
        <v>199</v>
      </c>
      <c r="I332" s="641" t="s">
        <v>669</v>
      </c>
      <c r="J332" s="667">
        <v>43901.0</v>
      </c>
      <c r="K332" s="674" t="s">
        <v>2319</v>
      </c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  <c r="AH332" s="666"/>
      <c r="AI332" s="666"/>
      <c r="AJ332" s="666"/>
      <c r="AK332" s="666"/>
      <c r="AL332" s="666"/>
      <c r="AM332" s="666"/>
      <c r="AN332" s="666"/>
      <c r="AO332" s="666"/>
      <c r="AP332" s="666"/>
      <c r="AQ332" s="666"/>
      <c r="AR332" s="666"/>
      <c r="AS332" s="666"/>
      <c r="AT332" s="666"/>
      <c r="AU332" s="666"/>
    </row>
    <row r="333" ht="15.75" customHeight="1">
      <c r="A333" s="667">
        <v>44315.0</v>
      </c>
      <c r="B333" s="668" t="s">
        <v>6077</v>
      </c>
      <c r="C333" s="641" t="s">
        <v>98</v>
      </c>
      <c r="D333" s="641" t="s">
        <v>694</v>
      </c>
      <c r="E333" s="669">
        <v>0.0</v>
      </c>
      <c r="F333" s="641" t="s">
        <v>6078</v>
      </c>
      <c r="G333" s="641" t="s">
        <v>255</v>
      </c>
      <c r="H333" s="641" t="s">
        <v>199</v>
      </c>
      <c r="I333" s="641" t="s">
        <v>368</v>
      </c>
      <c r="J333" s="667">
        <v>44183.0</v>
      </c>
      <c r="K333" s="674" t="s">
        <v>2319</v>
      </c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  <c r="AH333" s="666"/>
      <c r="AI333" s="666"/>
      <c r="AJ333" s="666"/>
      <c r="AK333" s="666"/>
      <c r="AL333" s="666"/>
      <c r="AM333" s="666"/>
      <c r="AN333" s="666"/>
      <c r="AO333" s="666"/>
      <c r="AP333" s="666"/>
      <c r="AQ333" s="666"/>
      <c r="AR333" s="666"/>
      <c r="AS333" s="666"/>
      <c r="AT333" s="666"/>
      <c r="AU333" s="666"/>
    </row>
    <row r="334" ht="15.75" customHeight="1">
      <c r="A334" s="671">
        <v>44315.0</v>
      </c>
      <c r="B334" s="672" t="s">
        <v>6077</v>
      </c>
      <c r="C334" s="673" t="s">
        <v>98</v>
      </c>
      <c r="D334" s="641" t="s">
        <v>427</v>
      </c>
      <c r="E334" s="669">
        <v>103154.55</v>
      </c>
      <c r="F334" s="641" t="s">
        <v>6078</v>
      </c>
      <c r="G334" s="641" t="s">
        <v>255</v>
      </c>
      <c r="H334" s="641" t="s">
        <v>199</v>
      </c>
      <c r="I334" s="641" t="s">
        <v>368</v>
      </c>
      <c r="J334" s="667">
        <v>44183.0</v>
      </c>
      <c r="K334" s="674" t="s">
        <v>2319</v>
      </c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  <c r="AH334" s="666"/>
      <c r="AI334" s="666"/>
      <c r="AJ334" s="666"/>
      <c r="AK334" s="666"/>
      <c r="AL334" s="666"/>
      <c r="AM334" s="666"/>
      <c r="AN334" s="666"/>
      <c r="AO334" s="666"/>
      <c r="AP334" s="666"/>
      <c r="AQ334" s="666"/>
      <c r="AR334" s="666"/>
      <c r="AS334" s="666"/>
      <c r="AT334" s="666"/>
      <c r="AU334" s="666"/>
    </row>
    <row r="335" ht="15.75" customHeight="1">
      <c r="A335" s="671">
        <v>44316.0</v>
      </c>
      <c r="B335" s="672" t="s">
        <v>6057</v>
      </c>
      <c r="C335" s="673" t="s">
        <v>2346</v>
      </c>
      <c r="D335" s="641" t="s">
        <v>5038</v>
      </c>
      <c r="E335" s="669">
        <v>100000.0</v>
      </c>
      <c r="F335" s="641" t="s">
        <v>4806</v>
      </c>
      <c r="G335" s="667" t="s">
        <v>120</v>
      </c>
      <c r="H335" s="667" t="s">
        <v>91</v>
      </c>
      <c r="I335" s="667" t="s">
        <v>193</v>
      </c>
      <c r="J335" s="667">
        <v>44298.0</v>
      </c>
      <c r="K335" s="670" t="s">
        <v>2341</v>
      </c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  <c r="AH335" s="666"/>
      <c r="AI335" s="666"/>
      <c r="AJ335" s="666"/>
      <c r="AK335" s="666"/>
      <c r="AL335" s="666"/>
      <c r="AM335" s="666"/>
      <c r="AN335" s="666"/>
      <c r="AO335" s="666"/>
      <c r="AP335" s="666"/>
      <c r="AQ335" s="666"/>
      <c r="AR335" s="666"/>
      <c r="AS335" s="666"/>
      <c r="AT335" s="666"/>
      <c r="AU335" s="666"/>
    </row>
    <row r="336" ht="15.75" customHeight="1">
      <c r="A336" s="671">
        <v>44316.0</v>
      </c>
      <c r="B336" s="672" t="s">
        <v>5065</v>
      </c>
      <c r="C336" s="673" t="s">
        <v>2346</v>
      </c>
      <c r="D336" s="641" t="s">
        <v>5038</v>
      </c>
      <c r="E336" s="669">
        <v>9000.0</v>
      </c>
      <c r="F336" s="641" t="s">
        <v>5066</v>
      </c>
      <c r="G336" s="667" t="s">
        <v>669</v>
      </c>
      <c r="H336" s="667" t="s">
        <v>199</v>
      </c>
      <c r="I336" s="667" t="s">
        <v>1228</v>
      </c>
      <c r="J336" s="667">
        <v>43703.0</v>
      </c>
      <c r="K336" s="670" t="s">
        <v>4383</v>
      </c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  <c r="AH336" s="666"/>
      <c r="AI336" s="666"/>
      <c r="AJ336" s="666"/>
      <c r="AK336" s="666"/>
      <c r="AL336" s="666"/>
      <c r="AM336" s="666"/>
      <c r="AN336" s="666"/>
      <c r="AO336" s="666"/>
      <c r="AP336" s="666"/>
      <c r="AQ336" s="666"/>
      <c r="AR336" s="666"/>
      <c r="AS336" s="666"/>
      <c r="AT336" s="666"/>
      <c r="AU336" s="666"/>
    </row>
    <row r="337" ht="15.75" customHeight="1">
      <c r="A337" s="671">
        <v>44316.0</v>
      </c>
      <c r="B337" s="672" t="s">
        <v>5960</v>
      </c>
      <c r="C337" s="673" t="s">
        <v>98</v>
      </c>
      <c r="D337" s="641" t="s">
        <v>5038</v>
      </c>
      <c r="E337" s="669">
        <v>5000.0</v>
      </c>
      <c r="F337" s="641" t="s">
        <v>5963</v>
      </c>
      <c r="G337" s="641" t="s">
        <v>255</v>
      </c>
      <c r="H337" s="641" t="s">
        <v>199</v>
      </c>
      <c r="I337" s="641" t="s">
        <v>4761</v>
      </c>
      <c r="J337" s="667">
        <v>44180.0</v>
      </c>
      <c r="K337" s="674" t="s">
        <v>2341</v>
      </c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  <c r="AH337" s="666"/>
      <c r="AI337" s="666"/>
      <c r="AJ337" s="666"/>
      <c r="AK337" s="666"/>
      <c r="AL337" s="666"/>
      <c r="AM337" s="666"/>
      <c r="AN337" s="666"/>
      <c r="AO337" s="666"/>
      <c r="AP337" s="666"/>
      <c r="AQ337" s="666"/>
      <c r="AR337" s="666"/>
      <c r="AS337" s="666"/>
      <c r="AT337" s="666"/>
      <c r="AU337" s="666"/>
    </row>
    <row r="338" ht="15.75" customHeight="1">
      <c r="A338" s="667">
        <v>44319.0</v>
      </c>
      <c r="B338" s="668" t="s">
        <v>6090</v>
      </c>
      <c r="C338" s="641" t="s">
        <v>98</v>
      </c>
      <c r="D338" s="641" t="s">
        <v>694</v>
      </c>
      <c r="E338" s="669">
        <v>0.0</v>
      </c>
      <c r="F338" s="641" t="s">
        <v>6031</v>
      </c>
      <c r="G338" s="641" t="s">
        <v>255</v>
      </c>
      <c r="H338" s="641" t="s">
        <v>622</v>
      </c>
      <c r="I338" s="641" t="s">
        <v>4650</v>
      </c>
      <c r="J338" s="667">
        <v>44246.0</v>
      </c>
      <c r="K338" s="674" t="s">
        <v>2319</v>
      </c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  <c r="AH338" s="666"/>
      <c r="AI338" s="666"/>
      <c r="AJ338" s="666"/>
      <c r="AK338" s="666"/>
      <c r="AL338" s="666"/>
      <c r="AM338" s="666"/>
      <c r="AN338" s="666"/>
      <c r="AO338" s="666"/>
      <c r="AP338" s="666"/>
      <c r="AQ338" s="666"/>
      <c r="AR338" s="666"/>
      <c r="AS338" s="666"/>
      <c r="AT338" s="666"/>
      <c r="AU338" s="666"/>
    </row>
    <row r="339" ht="15.75" customHeight="1">
      <c r="A339" s="671">
        <v>44319.0</v>
      </c>
      <c r="B339" s="672" t="s">
        <v>5075</v>
      </c>
      <c r="C339" s="673" t="s">
        <v>2346</v>
      </c>
      <c r="D339" s="641" t="s">
        <v>5038</v>
      </c>
      <c r="E339" s="669">
        <v>150895.05</v>
      </c>
      <c r="F339" s="641" t="s">
        <v>956</v>
      </c>
      <c r="G339" s="667" t="s">
        <v>669</v>
      </c>
      <c r="H339" s="667" t="s">
        <v>199</v>
      </c>
      <c r="I339" s="667" t="s">
        <v>1228</v>
      </c>
      <c r="J339" s="667">
        <v>43605.0</v>
      </c>
      <c r="K339" s="670" t="s">
        <v>2365</v>
      </c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  <c r="AH339" s="666"/>
      <c r="AI339" s="666"/>
      <c r="AJ339" s="666"/>
      <c r="AK339" s="666"/>
      <c r="AL339" s="666"/>
      <c r="AM339" s="666"/>
      <c r="AN339" s="666"/>
      <c r="AO339" s="666"/>
      <c r="AP339" s="666"/>
      <c r="AQ339" s="666"/>
      <c r="AR339" s="666"/>
      <c r="AS339" s="666"/>
      <c r="AT339" s="666"/>
      <c r="AU339" s="666"/>
    </row>
    <row r="340" ht="15.75" customHeight="1">
      <c r="A340" s="671">
        <v>44319.0</v>
      </c>
      <c r="B340" s="672" t="s">
        <v>6090</v>
      </c>
      <c r="C340" s="673" t="s">
        <v>98</v>
      </c>
      <c r="D340" s="641" t="s">
        <v>427</v>
      </c>
      <c r="E340" s="669">
        <v>263682.77</v>
      </c>
      <c r="F340" s="641" t="s">
        <v>6031</v>
      </c>
      <c r="G340" s="641" t="s">
        <v>255</v>
      </c>
      <c r="H340" s="641" t="s">
        <v>622</v>
      </c>
      <c r="I340" s="641" t="s">
        <v>4650</v>
      </c>
      <c r="J340" s="667">
        <v>44246.0</v>
      </c>
      <c r="K340" s="674" t="s">
        <v>2319</v>
      </c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  <c r="AH340" s="666"/>
      <c r="AI340" s="666"/>
      <c r="AJ340" s="666"/>
      <c r="AK340" s="666"/>
      <c r="AL340" s="666"/>
      <c r="AM340" s="666"/>
      <c r="AN340" s="666"/>
      <c r="AO340" s="666"/>
      <c r="AP340" s="666"/>
      <c r="AQ340" s="666"/>
      <c r="AR340" s="666"/>
      <c r="AS340" s="666"/>
      <c r="AT340" s="666"/>
      <c r="AU340" s="666"/>
    </row>
    <row r="341" ht="15.75" customHeight="1">
      <c r="A341" s="671">
        <v>44320.0</v>
      </c>
      <c r="B341" s="672" t="s">
        <v>5116</v>
      </c>
      <c r="C341" s="673" t="s">
        <v>2346</v>
      </c>
      <c r="D341" s="641" t="s">
        <v>5038</v>
      </c>
      <c r="E341" s="669">
        <v>54000.0</v>
      </c>
      <c r="F341" s="641" t="s">
        <v>5117</v>
      </c>
      <c r="G341" s="667" t="s">
        <v>669</v>
      </c>
      <c r="H341" s="667" t="s">
        <v>199</v>
      </c>
      <c r="I341" s="667" t="s">
        <v>2388</v>
      </c>
      <c r="J341" s="667">
        <v>43559.0</v>
      </c>
      <c r="K341" s="670" t="s">
        <v>4383</v>
      </c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  <c r="AH341" s="666"/>
      <c r="AI341" s="666"/>
      <c r="AJ341" s="666"/>
      <c r="AK341" s="666"/>
      <c r="AL341" s="666"/>
      <c r="AM341" s="666"/>
      <c r="AN341" s="666"/>
      <c r="AO341" s="666"/>
      <c r="AP341" s="666"/>
      <c r="AQ341" s="666"/>
      <c r="AR341" s="666"/>
      <c r="AS341" s="666"/>
      <c r="AT341" s="666"/>
      <c r="AU341" s="666"/>
    </row>
    <row r="342" ht="15.75" customHeight="1">
      <c r="A342" s="671">
        <v>44321.0</v>
      </c>
      <c r="B342" s="672" t="s">
        <v>6102</v>
      </c>
      <c r="C342" s="673" t="s">
        <v>98</v>
      </c>
      <c r="D342" s="641" t="s">
        <v>427</v>
      </c>
      <c r="E342" s="669">
        <v>10000.0</v>
      </c>
      <c r="F342" s="641" t="s">
        <v>3729</v>
      </c>
      <c r="G342" s="641" t="s">
        <v>255</v>
      </c>
      <c r="H342" s="641" t="s">
        <v>199</v>
      </c>
      <c r="I342" s="641" t="s">
        <v>548</v>
      </c>
      <c r="J342" s="667">
        <v>44228.0</v>
      </c>
      <c r="K342" s="674" t="s">
        <v>2319</v>
      </c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  <c r="AH342" s="666"/>
      <c r="AI342" s="666"/>
      <c r="AJ342" s="666"/>
      <c r="AK342" s="666"/>
      <c r="AL342" s="666"/>
      <c r="AM342" s="666"/>
      <c r="AN342" s="666"/>
      <c r="AO342" s="666"/>
      <c r="AP342" s="666"/>
      <c r="AQ342" s="666"/>
      <c r="AR342" s="666"/>
      <c r="AS342" s="666"/>
      <c r="AT342" s="666"/>
      <c r="AU342" s="666"/>
    </row>
    <row r="343" ht="15.75" customHeight="1">
      <c r="A343" s="671">
        <v>44321.0</v>
      </c>
      <c r="B343" s="672" t="s">
        <v>6103</v>
      </c>
      <c r="C343" s="673" t="s">
        <v>2346</v>
      </c>
      <c r="D343" s="641" t="s">
        <v>5038</v>
      </c>
      <c r="E343" s="669">
        <v>18500.0</v>
      </c>
      <c r="F343" s="641" t="s">
        <v>6105</v>
      </c>
      <c r="G343" s="667" t="s">
        <v>120</v>
      </c>
      <c r="H343" s="667" t="s">
        <v>91</v>
      </c>
      <c r="I343" s="667" t="s">
        <v>193</v>
      </c>
      <c r="J343" s="667">
        <v>44279.0</v>
      </c>
      <c r="K343" s="670" t="s">
        <v>2341</v>
      </c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  <c r="AH343" s="666"/>
      <c r="AI343" s="666"/>
      <c r="AJ343" s="666"/>
      <c r="AK343" s="666"/>
      <c r="AL343" s="666"/>
      <c r="AM343" s="666"/>
      <c r="AN343" s="666"/>
      <c r="AO343" s="666"/>
      <c r="AP343" s="666"/>
      <c r="AQ343" s="666"/>
      <c r="AR343" s="666"/>
      <c r="AS343" s="666"/>
      <c r="AT343" s="666"/>
      <c r="AU343" s="666"/>
    </row>
    <row r="344" ht="15.75" customHeight="1">
      <c r="A344" s="667">
        <v>44322.0</v>
      </c>
      <c r="B344" s="732" t="s">
        <v>5916</v>
      </c>
      <c r="C344" s="641" t="s">
        <v>2346</v>
      </c>
      <c r="D344" s="641" t="s">
        <v>694</v>
      </c>
      <c r="E344" s="669">
        <v>19321.39</v>
      </c>
      <c r="F344" s="641" t="s">
        <v>5918</v>
      </c>
      <c r="G344" s="667" t="s">
        <v>120</v>
      </c>
      <c r="H344" s="667" t="s">
        <v>91</v>
      </c>
      <c r="I344" s="667" t="s">
        <v>521</v>
      </c>
      <c r="J344" s="667">
        <v>44278.0</v>
      </c>
      <c r="K344" s="670" t="s">
        <v>2341</v>
      </c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  <c r="AH344" s="666"/>
      <c r="AI344" s="666"/>
      <c r="AJ344" s="666"/>
      <c r="AK344" s="666"/>
      <c r="AL344" s="666"/>
      <c r="AM344" s="666"/>
      <c r="AN344" s="666"/>
      <c r="AO344" s="666"/>
      <c r="AP344" s="666"/>
      <c r="AQ344" s="666"/>
      <c r="AR344" s="666"/>
      <c r="AS344" s="666"/>
      <c r="AT344" s="666"/>
      <c r="AU344" s="666"/>
    </row>
    <row r="345" ht="15.75" customHeight="1">
      <c r="A345" s="671">
        <v>44322.0</v>
      </c>
      <c r="B345" s="672" t="s">
        <v>5065</v>
      </c>
      <c r="C345" s="673" t="s">
        <v>2346</v>
      </c>
      <c r="D345" s="641" t="s">
        <v>5038</v>
      </c>
      <c r="E345" s="669">
        <v>103664.69</v>
      </c>
      <c r="F345" s="641" t="s">
        <v>5066</v>
      </c>
      <c r="G345" s="667" t="s">
        <v>669</v>
      </c>
      <c r="H345" s="667" t="s">
        <v>199</v>
      </c>
      <c r="I345" s="667" t="s">
        <v>1228</v>
      </c>
      <c r="J345" s="667">
        <v>43703.0</v>
      </c>
      <c r="K345" s="670" t="s">
        <v>4383</v>
      </c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  <c r="AH345" s="666"/>
      <c r="AI345" s="666"/>
      <c r="AJ345" s="666"/>
      <c r="AK345" s="666"/>
      <c r="AL345" s="666"/>
      <c r="AM345" s="666"/>
      <c r="AN345" s="666"/>
      <c r="AO345" s="666"/>
      <c r="AP345" s="666"/>
      <c r="AQ345" s="666"/>
      <c r="AR345" s="666"/>
      <c r="AS345" s="666"/>
      <c r="AT345" s="666"/>
      <c r="AU345" s="666"/>
    </row>
    <row r="346" ht="15.75" customHeight="1">
      <c r="A346" s="671">
        <v>44326.0</v>
      </c>
      <c r="B346" s="672" t="s">
        <v>5583</v>
      </c>
      <c r="C346" s="673" t="s">
        <v>2346</v>
      </c>
      <c r="D346" s="641" t="s">
        <v>5038</v>
      </c>
      <c r="E346" s="669">
        <v>11000.0</v>
      </c>
      <c r="F346" s="641" t="s">
        <v>5588</v>
      </c>
      <c r="G346" s="667" t="s">
        <v>669</v>
      </c>
      <c r="H346" s="667" t="s">
        <v>199</v>
      </c>
      <c r="I346" s="667" t="s">
        <v>1228</v>
      </c>
      <c r="J346" s="667">
        <v>43873.0</v>
      </c>
      <c r="K346" s="670" t="s">
        <v>2341</v>
      </c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  <c r="AH346" s="666"/>
      <c r="AI346" s="666"/>
      <c r="AJ346" s="666"/>
      <c r="AK346" s="666"/>
      <c r="AL346" s="666"/>
      <c r="AM346" s="666"/>
      <c r="AN346" s="666"/>
      <c r="AO346" s="666"/>
      <c r="AP346" s="666"/>
      <c r="AQ346" s="666"/>
      <c r="AR346" s="666"/>
      <c r="AS346" s="666"/>
      <c r="AT346" s="666"/>
      <c r="AU346" s="666"/>
    </row>
    <row r="347" ht="15.75" customHeight="1">
      <c r="A347" s="671">
        <v>44327.0</v>
      </c>
      <c r="B347" s="668" t="s">
        <v>6115</v>
      </c>
      <c r="C347" s="641" t="s">
        <v>2346</v>
      </c>
      <c r="D347" s="641" t="s">
        <v>694</v>
      </c>
      <c r="E347" s="669">
        <v>797.3</v>
      </c>
      <c r="F347" s="641" t="s">
        <v>6118</v>
      </c>
      <c r="G347" s="667" t="s">
        <v>669</v>
      </c>
      <c r="H347" s="667" t="s">
        <v>199</v>
      </c>
      <c r="I347" s="667" t="s">
        <v>1228</v>
      </c>
      <c r="J347" s="667">
        <v>43710.0</v>
      </c>
      <c r="K347" s="670" t="s">
        <v>4383</v>
      </c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  <c r="AH347" s="666"/>
      <c r="AI347" s="666"/>
      <c r="AJ347" s="666"/>
      <c r="AK347" s="666"/>
      <c r="AL347" s="666"/>
      <c r="AM347" s="666"/>
      <c r="AN347" s="666"/>
      <c r="AO347" s="666"/>
      <c r="AP347" s="666"/>
      <c r="AQ347" s="666"/>
      <c r="AR347" s="666"/>
      <c r="AS347" s="666"/>
      <c r="AT347" s="666"/>
      <c r="AU347" s="666"/>
    </row>
    <row r="348" ht="15.75" customHeight="1">
      <c r="A348" s="671">
        <v>44327.0</v>
      </c>
      <c r="B348" s="672" t="s">
        <v>5372</v>
      </c>
      <c r="C348" s="673" t="s">
        <v>2346</v>
      </c>
      <c r="D348" s="641" t="s">
        <v>427</v>
      </c>
      <c r="E348" s="717">
        <v>151479.55</v>
      </c>
      <c r="F348" s="641" t="s">
        <v>5373</v>
      </c>
      <c r="G348" s="667" t="s">
        <v>669</v>
      </c>
      <c r="H348" s="667" t="s">
        <v>199</v>
      </c>
      <c r="I348" s="667" t="s">
        <v>1228</v>
      </c>
      <c r="J348" s="667">
        <v>43732.0</v>
      </c>
      <c r="K348" s="670" t="s">
        <v>4383</v>
      </c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  <c r="AH348" s="666"/>
      <c r="AI348" s="666"/>
      <c r="AJ348" s="666"/>
      <c r="AK348" s="666"/>
      <c r="AL348" s="666"/>
      <c r="AM348" s="666"/>
      <c r="AN348" s="666"/>
      <c r="AO348" s="666"/>
      <c r="AP348" s="666"/>
      <c r="AQ348" s="666"/>
      <c r="AR348" s="666"/>
      <c r="AS348" s="666"/>
      <c r="AT348" s="666"/>
      <c r="AU348" s="666"/>
    </row>
    <row r="349" ht="15.75" customHeight="1">
      <c r="A349" s="671">
        <v>44327.0</v>
      </c>
      <c r="B349" s="672" t="s">
        <v>6124</v>
      </c>
      <c r="C349" s="673" t="s">
        <v>2346</v>
      </c>
      <c r="D349" s="641" t="s">
        <v>427</v>
      </c>
      <c r="E349" s="669">
        <v>405479.42</v>
      </c>
      <c r="F349" s="641" t="s">
        <v>491</v>
      </c>
      <c r="G349" s="667" t="s">
        <v>669</v>
      </c>
      <c r="H349" s="667" t="s">
        <v>199</v>
      </c>
      <c r="I349" s="667" t="s">
        <v>1228</v>
      </c>
      <c r="J349" s="667">
        <v>43684.0</v>
      </c>
      <c r="K349" s="670" t="s">
        <v>4383</v>
      </c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  <c r="AH349" s="666"/>
      <c r="AI349" s="666"/>
      <c r="AJ349" s="666"/>
      <c r="AK349" s="666"/>
      <c r="AL349" s="666"/>
      <c r="AM349" s="666"/>
      <c r="AN349" s="666"/>
      <c r="AO349" s="666"/>
      <c r="AP349" s="666"/>
      <c r="AQ349" s="666"/>
      <c r="AR349" s="666"/>
      <c r="AS349" s="666"/>
      <c r="AT349" s="666"/>
      <c r="AU349" s="666"/>
    </row>
    <row r="350" ht="15.75" customHeight="1">
      <c r="A350" s="671">
        <v>44327.0</v>
      </c>
      <c r="B350" s="672" t="s">
        <v>6130</v>
      </c>
      <c r="C350" s="673" t="s">
        <v>2346</v>
      </c>
      <c r="D350" s="641" t="s">
        <v>5038</v>
      </c>
      <c r="E350" s="669">
        <v>70000.0</v>
      </c>
      <c r="F350" s="641" t="s">
        <v>1052</v>
      </c>
      <c r="G350" s="667" t="s">
        <v>120</v>
      </c>
      <c r="H350" s="667" t="s">
        <v>91</v>
      </c>
      <c r="I350" s="667" t="s">
        <v>193</v>
      </c>
      <c r="J350" s="667">
        <v>44278.0</v>
      </c>
      <c r="K350" s="670" t="s">
        <v>2319</v>
      </c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  <c r="AH350" s="666"/>
      <c r="AI350" s="666"/>
      <c r="AJ350" s="666"/>
      <c r="AK350" s="666"/>
      <c r="AL350" s="666"/>
      <c r="AM350" s="666"/>
      <c r="AN350" s="666"/>
      <c r="AO350" s="666"/>
      <c r="AP350" s="666"/>
      <c r="AQ350" s="666"/>
      <c r="AR350" s="666"/>
      <c r="AS350" s="666"/>
      <c r="AT350" s="666"/>
      <c r="AU350" s="666"/>
    </row>
    <row r="351" ht="15.75" customHeight="1">
      <c r="A351" s="671">
        <v>44327.0</v>
      </c>
      <c r="B351" s="672" t="s">
        <v>5583</v>
      </c>
      <c r="C351" s="673" t="s">
        <v>2346</v>
      </c>
      <c r="D351" s="641" t="s">
        <v>5038</v>
      </c>
      <c r="E351" s="669">
        <v>15000.0</v>
      </c>
      <c r="F351" s="641" t="s">
        <v>5588</v>
      </c>
      <c r="G351" s="667" t="s">
        <v>669</v>
      </c>
      <c r="H351" s="667" t="s">
        <v>199</v>
      </c>
      <c r="I351" s="667" t="s">
        <v>1228</v>
      </c>
      <c r="J351" s="667">
        <v>43873.0</v>
      </c>
      <c r="K351" s="670" t="s">
        <v>2341</v>
      </c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  <c r="AH351" s="666"/>
      <c r="AI351" s="666"/>
      <c r="AJ351" s="666"/>
      <c r="AK351" s="666"/>
      <c r="AL351" s="666"/>
      <c r="AM351" s="666"/>
      <c r="AN351" s="666"/>
      <c r="AO351" s="666"/>
      <c r="AP351" s="666"/>
      <c r="AQ351" s="666"/>
      <c r="AR351" s="666"/>
      <c r="AS351" s="666"/>
      <c r="AT351" s="666"/>
      <c r="AU351" s="666"/>
    </row>
    <row r="352" ht="15.75" customHeight="1">
      <c r="A352" s="667">
        <v>44329.0</v>
      </c>
      <c r="B352" s="668" t="s">
        <v>5503</v>
      </c>
      <c r="C352" s="641" t="s">
        <v>2346</v>
      </c>
      <c r="D352" s="641" t="s">
        <v>694</v>
      </c>
      <c r="E352" s="669">
        <v>13320.06</v>
      </c>
      <c r="F352" s="641" t="s">
        <v>5505</v>
      </c>
      <c r="G352" s="667" t="s">
        <v>669</v>
      </c>
      <c r="H352" s="667" t="s">
        <v>199</v>
      </c>
      <c r="I352" s="667" t="s">
        <v>1228</v>
      </c>
      <c r="J352" s="667">
        <v>44041.0</v>
      </c>
      <c r="K352" s="670" t="s">
        <v>2341</v>
      </c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  <c r="AH352" s="666"/>
      <c r="AI352" s="666"/>
      <c r="AJ352" s="666"/>
      <c r="AK352" s="666"/>
      <c r="AL352" s="666"/>
      <c r="AM352" s="666"/>
      <c r="AN352" s="666"/>
      <c r="AO352" s="666"/>
      <c r="AP352" s="666"/>
      <c r="AQ352" s="666"/>
      <c r="AR352" s="666"/>
      <c r="AS352" s="666"/>
      <c r="AT352" s="666"/>
      <c r="AU352" s="666"/>
    </row>
    <row r="353" ht="15.75" customHeight="1">
      <c r="A353" s="671">
        <v>44329.0</v>
      </c>
      <c r="B353" s="672" t="s">
        <v>5065</v>
      </c>
      <c r="C353" s="673" t="s">
        <v>2346</v>
      </c>
      <c r="D353" s="641" t="s">
        <v>5038</v>
      </c>
      <c r="E353" s="669">
        <v>15000.0</v>
      </c>
      <c r="F353" s="641" t="s">
        <v>5066</v>
      </c>
      <c r="G353" s="667" t="s">
        <v>669</v>
      </c>
      <c r="H353" s="667" t="s">
        <v>199</v>
      </c>
      <c r="I353" s="667" t="s">
        <v>1228</v>
      </c>
      <c r="J353" s="667">
        <v>43703.0</v>
      </c>
      <c r="K353" s="670" t="s">
        <v>4383</v>
      </c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  <c r="AH353" s="666"/>
      <c r="AI353" s="666"/>
      <c r="AJ353" s="666"/>
      <c r="AK353" s="666"/>
      <c r="AL353" s="666"/>
      <c r="AM353" s="666"/>
      <c r="AN353" s="666"/>
      <c r="AO353" s="666"/>
      <c r="AP353" s="666"/>
      <c r="AQ353" s="666"/>
      <c r="AR353" s="666"/>
      <c r="AS353" s="666"/>
      <c r="AT353" s="666"/>
      <c r="AU353" s="666"/>
    </row>
    <row r="354" ht="15.75" customHeight="1">
      <c r="A354" s="671">
        <v>44329.0</v>
      </c>
      <c r="B354" s="672" t="s">
        <v>6144</v>
      </c>
      <c r="C354" s="673" t="s">
        <v>2346</v>
      </c>
      <c r="D354" s="641" t="s">
        <v>427</v>
      </c>
      <c r="E354" s="669">
        <v>107481.43</v>
      </c>
      <c r="F354" s="641" t="s">
        <v>4195</v>
      </c>
      <c r="G354" s="667" t="s">
        <v>669</v>
      </c>
      <c r="H354" s="667" t="s">
        <v>199</v>
      </c>
      <c r="I354" s="667" t="s">
        <v>669</v>
      </c>
      <c r="J354" s="667">
        <v>44118.0</v>
      </c>
      <c r="K354" s="670" t="s">
        <v>2341</v>
      </c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  <c r="AH354" s="666"/>
      <c r="AI354" s="666"/>
      <c r="AJ354" s="666"/>
      <c r="AK354" s="666"/>
      <c r="AL354" s="666"/>
      <c r="AM354" s="666"/>
      <c r="AN354" s="666"/>
      <c r="AO354" s="666"/>
      <c r="AP354" s="666"/>
      <c r="AQ354" s="666"/>
      <c r="AR354" s="666"/>
      <c r="AS354" s="666"/>
      <c r="AT354" s="666"/>
      <c r="AU354" s="666"/>
    </row>
    <row r="355" ht="15.75" customHeight="1">
      <c r="A355" s="671">
        <v>44329.0</v>
      </c>
      <c r="B355" s="672" t="s">
        <v>6147</v>
      </c>
      <c r="C355" s="673" t="s">
        <v>2346</v>
      </c>
      <c r="D355" s="641" t="s">
        <v>427</v>
      </c>
      <c r="E355" s="669">
        <v>89000.0</v>
      </c>
      <c r="F355" s="641" t="s">
        <v>4185</v>
      </c>
      <c r="G355" s="667" t="s">
        <v>669</v>
      </c>
      <c r="H355" s="667" t="s">
        <v>199</v>
      </c>
      <c r="I355" s="667" t="s">
        <v>669</v>
      </c>
      <c r="J355" s="667">
        <v>44124.0</v>
      </c>
      <c r="K355" s="670" t="s">
        <v>2341</v>
      </c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  <c r="AH355" s="666"/>
      <c r="AI355" s="666"/>
      <c r="AJ355" s="666"/>
      <c r="AK355" s="666"/>
      <c r="AL355" s="666"/>
      <c r="AM355" s="666"/>
      <c r="AN355" s="666"/>
      <c r="AO355" s="666"/>
      <c r="AP355" s="666"/>
      <c r="AQ355" s="666"/>
      <c r="AR355" s="666"/>
      <c r="AS355" s="666"/>
      <c r="AT355" s="666"/>
      <c r="AU355" s="666"/>
    </row>
    <row r="356" ht="15.75" customHeight="1">
      <c r="A356" s="671">
        <v>44330.0</v>
      </c>
      <c r="B356" s="672" t="s">
        <v>6151</v>
      </c>
      <c r="C356" s="673" t="s">
        <v>2346</v>
      </c>
      <c r="D356" s="641" t="s">
        <v>5038</v>
      </c>
      <c r="E356" s="669">
        <v>140003.78</v>
      </c>
      <c r="F356" s="641" t="s">
        <v>6152</v>
      </c>
      <c r="G356" s="667" t="s">
        <v>120</v>
      </c>
      <c r="H356" s="667" t="s">
        <v>91</v>
      </c>
      <c r="I356" s="667" t="s">
        <v>521</v>
      </c>
      <c r="J356" s="667">
        <v>44280.0</v>
      </c>
      <c r="K356" s="670" t="s">
        <v>2341</v>
      </c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  <c r="AH356" s="666"/>
      <c r="AI356" s="666"/>
      <c r="AJ356" s="666"/>
      <c r="AK356" s="666"/>
      <c r="AL356" s="666"/>
      <c r="AM356" s="666"/>
      <c r="AN356" s="666"/>
      <c r="AO356" s="666"/>
      <c r="AP356" s="666"/>
      <c r="AQ356" s="666"/>
      <c r="AR356" s="666"/>
      <c r="AS356" s="666"/>
      <c r="AT356" s="666"/>
      <c r="AU356" s="666"/>
    </row>
    <row r="357" ht="15.75" customHeight="1">
      <c r="A357" s="671">
        <v>44333.0</v>
      </c>
      <c r="B357" s="672" t="s">
        <v>6155</v>
      </c>
      <c r="C357" s="673" t="s">
        <v>98</v>
      </c>
      <c r="D357" s="641" t="s">
        <v>5038</v>
      </c>
      <c r="E357" s="669">
        <v>200000.0</v>
      </c>
      <c r="F357" s="641" t="s">
        <v>2341</v>
      </c>
      <c r="G357" s="641" t="s">
        <v>255</v>
      </c>
      <c r="H357" s="641" t="s">
        <v>199</v>
      </c>
      <c r="I357" s="641" t="s">
        <v>548</v>
      </c>
      <c r="J357" s="667">
        <v>44160.0</v>
      </c>
      <c r="K357" s="674" t="s">
        <v>2341</v>
      </c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  <c r="AH357" s="666"/>
      <c r="AI357" s="666"/>
      <c r="AJ357" s="666"/>
      <c r="AK357" s="666"/>
      <c r="AL357" s="666"/>
      <c r="AM357" s="666"/>
      <c r="AN357" s="666"/>
      <c r="AO357" s="666"/>
      <c r="AP357" s="666"/>
      <c r="AQ357" s="666"/>
      <c r="AR357" s="666"/>
      <c r="AS357" s="666"/>
      <c r="AT357" s="666"/>
      <c r="AU357" s="666"/>
    </row>
    <row r="358" ht="15.75" customHeight="1">
      <c r="A358" s="667">
        <v>44335.0</v>
      </c>
      <c r="B358" s="668" t="s">
        <v>6160</v>
      </c>
      <c r="C358" s="641" t="s">
        <v>98</v>
      </c>
      <c r="D358" s="641" t="s">
        <v>694</v>
      </c>
      <c r="E358" s="669">
        <v>0.0</v>
      </c>
      <c r="F358" s="641" t="s">
        <v>5641</v>
      </c>
      <c r="G358" s="641" t="s">
        <v>120</v>
      </c>
      <c r="H358" s="641" t="s">
        <v>199</v>
      </c>
      <c r="I358" s="641" t="s">
        <v>388</v>
      </c>
      <c r="J358" s="667">
        <v>43880.0</v>
      </c>
      <c r="K358" s="674" t="s">
        <v>2372</v>
      </c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  <c r="AH358" s="666"/>
      <c r="AI358" s="666"/>
      <c r="AJ358" s="666"/>
      <c r="AK358" s="666"/>
      <c r="AL358" s="666"/>
      <c r="AM358" s="666"/>
      <c r="AN358" s="666"/>
      <c r="AO358" s="666"/>
      <c r="AP358" s="666"/>
      <c r="AQ358" s="666"/>
      <c r="AR358" s="666"/>
      <c r="AS358" s="666"/>
      <c r="AT358" s="666"/>
      <c r="AU358" s="666"/>
    </row>
    <row r="359" ht="15.75" customHeight="1">
      <c r="A359" s="671">
        <v>44336.0</v>
      </c>
      <c r="B359" s="672" t="s">
        <v>6057</v>
      </c>
      <c r="C359" s="673" t="s">
        <v>2346</v>
      </c>
      <c r="D359" s="641" t="s">
        <v>5038</v>
      </c>
      <c r="E359" s="669">
        <v>44600.0</v>
      </c>
      <c r="F359" s="641" t="s">
        <v>4806</v>
      </c>
      <c r="G359" s="667" t="s">
        <v>120</v>
      </c>
      <c r="H359" s="667" t="s">
        <v>91</v>
      </c>
      <c r="I359" s="667" t="s">
        <v>193</v>
      </c>
      <c r="J359" s="667">
        <v>44298.0</v>
      </c>
      <c r="K359" s="670" t="s">
        <v>2341</v>
      </c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  <c r="AH359" s="666"/>
      <c r="AI359" s="666"/>
      <c r="AJ359" s="666"/>
      <c r="AK359" s="666"/>
      <c r="AL359" s="666"/>
      <c r="AM359" s="666"/>
      <c r="AN359" s="666"/>
      <c r="AO359" s="666"/>
      <c r="AP359" s="666"/>
      <c r="AQ359" s="666"/>
      <c r="AR359" s="666"/>
      <c r="AS359" s="666"/>
      <c r="AT359" s="666"/>
      <c r="AU359" s="666"/>
    </row>
    <row r="360" ht="15.75" customHeight="1">
      <c r="A360" s="671">
        <v>44337.0</v>
      </c>
      <c r="B360" s="672" t="s">
        <v>6170</v>
      </c>
      <c r="C360" s="673" t="s">
        <v>2346</v>
      </c>
      <c r="D360" s="641" t="s">
        <v>5038</v>
      </c>
      <c r="E360" s="669">
        <v>54600.0</v>
      </c>
      <c r="F360" s="641" t="s">
        <v>6172</v>
      </c>
      <c r="G360" s="667" t="s">
        <v>120</v>
      </c>
      <c r="H360" s="667" t="s">
        <v>91</v>
      </c>
      <c r="I360" s="667" t="s">
        <v>193</v>
      </c>
      <c r="J360" s="667">
        <v>44287.0</v>
      </c>
      <c r="K360" s="670" t="s">
        <v>2365</v>
      </c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  <c r="AH360" s="666"/>
      <c r="AI360" s="666"/>
      <c r="AJ360" s="666"/>
      <c r="AK360" s="666"/>
      <c r="AL360" s="666"/>
      <c r="AM360" s="666"/>
      <c r="AN360" s="666"/>
      <c r="AO360" s="666"/>
      <c r="AP360" s="666"/>
      <c r="AQ360" s="666"/>
      <c r="AR360" s="666"/>
      <c r="AS360" s="666"/>
      <c r="AT360" s="666"/>
      <c r="AU360" s="666"/>
    </row>
    <row r="361" ht="15.75" customHeight="1">
      <c r="A361" s="671">
        <v>44337.0</v>
      </c>
      <c r="B361" s="672" t="s">
        <v>6173</v>
      </c>
      <c r="C361" s="673" t="s">
        <v>2346</v>
      </c>
      <c r="D361" s="641" t="s">
        <v>5038</v>
      </c>
      <c r="E361" s="669">
        <v>11500.0</v>
      </c>
      <c r="F361" s="641" t="s">
        <v>3017</v>
      </c>
      <c r="G361" s="667" t="s">
        <v>120</v>
      </c>
      <c r="H361" s="667" t="s">
        <v>91</v>
      </c>
      <c r="I361" s="667" t="s">
        <v>193</v>
      </c>
      <c r="J361" s="667">
        <v>44333.0</v>
      </c>
      <c r="K361" s="670" t="s">
        <v>2365</v>
      </c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  <c r="AH361" s="666"/>
      <c r="AI361" s="666"/>
      <c r="AJ361" s="666"/>
      <c r="AK361" s="666"/>
      <c r="AL361" s="666"/>
      <c r="AM361" s="666"/>
      <c r="AN361" s="666"/>
      <c r="AO361" s="666"/>
      <c r="AP361" s="666"/>
      <c r="AQ361" s="666"/>
      <c r="AR361" s="666"/>
      <c r="AS361" s="666"/>
      <c r="AT361" s="666"/>
      <c r="AU361" s="666"/>
    </row>
    <row r="362" ht="15.75" customHeight="1">
      <c r="A362" s="671">
        <v>44340.0</v>
      </c>
      <c r="B362" s="672" t="s">
        <v>5512</v>
      </c>
      <c r="C362" s="673" t="s">
        <v>2346</v>
      </c>
      <c r="D362" s="641" t="s">
        <v>5038</v>
      </c>
      <c r="E362" s="669">
        <v>98710.87</v>
      </c>
      <c r="F362" s="641" t="s">
        <v>5513</v>
      </c>
      <c r="G362" s="667" t="s">
        <v>669</v>
      </c>
      <c r="H362" s="667" t="s">
        <v>199</v>
      </c>
      <c r="I362" s="667" t="s">
        <v>1228</v>
      </c>
      <c r="J362" s="667">
        <v>43711.0</v>
      </c>
      <c r="K362" s="670" t="s">
        <v>4383</v>
      </c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  <c r="AH362" s="666"/>
      <c r="AI362" s="666"/>
      <c r="AJ362" s="666"/>
      <c r="AK362" s="666"/>
      <c r="AL362" s="666"/>
      <c r="AM362" s="666"/>
      <c r="AN362" s="666"/>
      <c r="AO362" s="666"/>
      <c r="AP362" s="666"/>
      <c r="AQ362" s="666"/>
      <c r="AR362" s="666"/>
      <c r="AS362" s="666"/>
      <c r="AT362" s="666"/>
      <c r="AU362" s="666"/>
    </row>
    <row r="363" ht="15.75" customHeight="1">
      <c r="A363" s="671">
        <v>44340.0</v>
      </c>
      <c r="B363" s="672" t="s">
        <v>5625</v>
      </c>
      <c r="C363" s="673" t="s">
        <v>98</v>
      </c>
      <c r="D363" s="641" t="s">
        <v>5038</v>
      </c>
      <c r="E363" s="669">
        <v>10000.0</v>
      </c>
      <c r="F363" s="641" t="s">
        <v>5626</v>
      </c>
      <c r="G363" s="641" t="s">
        <v>669</v>
      </c>
      <c r="H363" s="641" t="s">
        <v>199</v>
      </c>
      <c r="I363" s="641" t="s">
        <v>669</v>
      </c>
      <c r="J363" s="737">
        <v>43717.0</v>
      </c>
      <c r="K363" s="674" t="s">
        <v>4383</v>
      </c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  <c r="AH363" s="666"/>
      <c r="AI363" s="666"/>
      <c r="AJ363" s="666"/>
      <c r="AK363" s="666"/>
      <c r="AL363" s="666"/>
      <c r="AM363" s="666"/>
      <c r="AN363" s="666"/>
      <c r="AO363" s="666"/>
      <c r="AP363" s="666"/>
      <c r="AQ363" s="666"/>
      <c r="AR363" s="666"/>
      <c r="AS363" s="666"/>
      <c r="AT363" s="666"/>
      <c r="AU363" s="666"/>
    </row>
    <row r="364" ht="15.75" customHeight="1">
      <c r="A364" s="671">
        <v>44340.0</v>
      </c>
      <c r="B364" s="672" t="s">
        <v>5512</v>
      </c>
      <c r="C364" s="673" t="s">
        <v>2346</v>
      </c>
      <c r="D364" s="641" t="s">
        <v>427</v>
      </c>
      <c r="E364" s="669">
        <v>1330000.0</v>
      </c>
      <c r="F364" s="641" t="s">
        <v>5513</v>
      </c>
      <c r="G364" s="667" t="s">
        <v>669</v>
      </c>
      <c r="H364" s="667" t="s">
        <v>199</v>
      </c>
      <c r="I364" s="667" t="s">
        <v>1228</v>
      </c>
      <c r="J364" s="667">
        <v>43711.0</v>
      </c>
      <c r="K364" s="670" t="s">
        <v>4383</v>
      </c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  <c r="AH364" s="666"/>
      <c r="AI364" s="666"/>
      <c r="AJ364" s="666"/>
      <c r="AK364" s="666"/>
      <c r="AL364" s="666"/>
      <c r="AM364" s="666"/>
      <c r="AN364" s="666"/>
      <c r="AO364" s="666"/>
      <c r="AP364" s="666"/>
      <c r="AQ364" s="666"/>
      <c r="AR364" s="666"/>
      <c r="AS364" s="666"/>
      <c r="AT364" s="666"/>
      <c r="AU364" s="666"/>
    </row>
    <row r="365" ht="15.75" customHeight="1">
      <c r="A365" s="671">
        <v>44341.0</v>
      </c>
      <c r="B365" s="672" t="s">
        <v>6186</v>
      </c>
      <c r="C365" s="673" t="s">
        <v>98</v>
      </c>
      <c r="D365" s="641" t="s">
        <v>5038</v>
      </c>
      <c r="E365" s="669">
        <v>15000.0</v>
      </c>
      <c r="F365" s="641" t="s">
        <v>6187</v>
      </c>
      <c r="G365" s="641" t="s">
        <v>120</v>
      </c>
      <c r="H365" s="641" t="s">
        <v>54</v>
      </c>
      <c r="I365" s="641" t="s">
        <v>379</v>
      </c>
      <c r="J365" s="667">
        <v>44291.0</v>
      </c>
      <c r="K365" s="674" t="s">
        <v>2372</v>
      </c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  <c r="AH365" s="666"/>
      <c r="AI365" s="666"/>
      <c r="AJ365" s="666"/>
      <c r="AK365" s="666"/>
      <c r="AL365" s="666"/>
      <c r="AM365" s="666"/>
      <c r="AN365" s="666"/>
      <c r="AO365" s="666"/>
      <c r="AP365" s="666"/>
      <c r="AQ365" s="666"/>
      <c r="AR365" s="666"/>
      <c r="AS365" s="666"/>
      <c r="AT365" s="666"/>
      <c r="AU365" s="666"/>
    </row>
    <row r="366" ht="15.75" customHeight="1">
      <c r="A366" s="671">
        <v>44341.0</v>
      </c>
      <c r="B366" s="672" t="s">
        <v>6103</v>
      </c>
      <c r="C366" s="673" t="s">
        <v>2346</v>
      </c>
      <c r="D366" s="641" t="s">
        <v>5038</v>
      </c>
      <c r="E366" s="669">
        <v>10000.0</v>
      </c>
      <c r="F366" s="641" t="s">
        <v>6105</v>
      </c>
      <c r="G366" s="667" t="s">
        <v>120</v>
      </c>
      <c r="H366" s="667" t="s">
        <v>91</v>
      </c>
      <c r="I366" s="667" t="s">
        <v>193</v>
      </c>
      <c r="J366" s="667">
        <v>44279.0</v>
      </c>
      <c r="K366" s="670" t="s">
        <v>2341</v>
      </c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  <c r="AH366" s="666"/>
      <c r="AI366" s="666"/>
      <c r="AJ366" s="666"/>
      <c r="AK366" s="666"/>
      <c r="AL366" s="666"/>
      <c r="AM366" s="666"/>
      <c r="AN366" s="666"/>
      <c r="AO366" s="666"/>
      <c r="AP366" s="666"/>
      <c r="AQ366" s="666"/>
      <c r="AR366" s="666"/>
      <c r="AS366" s="666"/>
      <c r="AT366" s="666"/>
      <c r="AU366" s="666"/>
    </row>
    <row r="367" ht="15.75" customHeight="1">
      <c r="A367" s="671">
        <v>44341.0</v>
      </c>
      <c r="B367" s="672" t="s">
        <v>6192</v>
      </c>
      <c r="C367" s="673" t="s">
        <v>2346</v>
      </c>
      <c r="D367" s="641" t="s">
        <v>5038</v>
      </c>
      <c r="E367" s="669">
        <v>7000.0</v>
      </c>
      <c r="F367" s="641" t="s">
        <v>5956</v>
      </c>
      <c r="G367" s="667" t="s">
        <v>120</v>
      </c>
      <c r="H367" s="667" t="s">
        <v>91</v>
      </c>
      <c r="I367" s="667" t="s">
        <v>193</v>
      </c>
      <c r="J367" s="667">
        <v>44280.0</v>
      </c>
      <c r="K367" s="670" t="s">
        <v>2341</v>
      </c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  <c r="AH367" s="666"/>
      <c r="AI367" s="666"/>
      <c r="AJ367" s="666"/>
      <c r="AK367" s="666"/>
      <c r="AL367" s="666"/>
      <c r="AM367" s="666"/>
      <c r="AN367" s="666"/>
      <c r="AO367" s="666"/>
      <c r="AP367" s="666"/>
      <c r="AQ367" s="666"/>
      <c r="AR367" s="666"/>
      <c r="AS367" s="666"/>
      <c r="AT367" s="666"/>
      <c r="AU367" s="666"/>
    </row>
    <row r="368" ht="15.75" customHeight="1">
      <c r="A368" s="671">
        <v>44341.0</v>
      </c>
      <c r="B368" s="672" t="s">
        <v>6197</v>
      </c>
      <c r="C368" s="673" t="s">
        <v>2346</v>
      </c>
      <c r="D368" s="641" t="s">
        <v>5038</v>
      </c>
      <c r="E368" s="669">
        <v>15000.0</v>
      </c>
      <c r="F368" s="641" t="s">
        <v>3516</v>
      </c>
      <c r="G368" s="667" t="s">
        <v>120</v>
      </c>
      <c r="H368" s="667" t="s">
        <v>91</v>
      </c>
      <c r="I368" s="667" t="s">
        <v>193</v>
      </c>
      <c r="J368" s="667">
        <v>44295.0</v>
      </c>
      <c r="K368" s="670" t="s">
        <v>2319</v>
      </c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  <c r="AH368" s="666"/>
      <c r="AI368" s="666"/>
      <c r="AJ368" s="666"/>
      <c r="AK368" s="666"/>
      <c r="AL368" s="666"/>
      <c r="AM368" s="666"/>
      <c r="AN368" s="666"/>
      <c r="AO368" s="666"/>
      <c r="AP368" s="666"/>
      <c r="AQ368" s="666"/>
      <c r="AR368" s="666"/>
      <c r="AS368" s="666"/>
      <c r="AT368" s="666"/>
      <c r="AU368" s="666"/>
    </row>
    <row r="369" ht="15.75" customHeight="1">
      <c r="A369" s="671">
        <v>44341.0</v>
      </c>
      <c r="B369" s="672" t="s">
        <v>5075</v>
      </c>
      <c r="C369" s="673" t="s">
        <v>2346</v>
      </c>
      <c r="D369" s="641" t="s">
        <v>5038</v>
      </c>
      <c r="E369" s="669">
        <v>10000.0</v>
      </c>
      <c r="F369" s="641" t="s">
        <v>956</v>
      </c>
      <c r="G369" s="667" t="s">
        <v>669</v>
      </c>
      <c r="H369" s="667" t="s">
        <v>199</v>
      </c>
      <c r="I369" s="667" t="s">
        <v>1228</v>
      </c>
      <c r="J369" s="667">
        <v>43605.0</v>
      </c>
      <c r="K369" s="670" t="s">
        <v>2365</v>
      </c>
      <c r="L369" s="666"/>
      <c r="M369" s="666"/>
      <c r="N369" s="666"/>
      <c r="O369" s="666"/>
      <c r="P369" s="666"/>
      <c r="Q369" s="666"/>
      <c r="R369" s="666"/>
      <c r="S369" s="666"/>
      <c r="T369" s="666"/>
      <c r="U369" s="666"/>
      <c r="V369" s="666"/>
      <c r="W369" s="666"/>
      <c r="X369" s="666"/>
      <c r="Y369" s="666"/>
      <c r="Z369" s="666"/>
      <c r="AA369" s="666"/>
      <c r="AB369" s="666"/>
      <c r="AC369" s="666"/>
      <c r="AD369" s="666"/>
      <c r="AE369" s="666"/>
      <c r="AF369" s="666"/>
      <c r="AG369" s="666"/>
      <c r="AH369" s="666"/>
      <c r="AI369" s="666"/>
      <c r="AJ369" s="666"/>
      <c r="AK369" s="666"/>
      <c r="AL369" s="666"/>
      <c r="AM369" s="666"/>
      <c r="AN369" s="666"/>
      <c r="AO369" s="666"/>
      <c r="AP369" s="666"/>
      <c r="AQ369" s="666"/>
      <c r="AR369" s="666"/>
      <c r="AS369" s="666"/>
      <c r="AT369" s="666"/>
      <c r="AU369" s="666"/>
    </row>
    <row r="370" ht="15.75" customHeight="1">
      <c r="A370" s="671">
        <v>44342.0</v>
      </c>
      <c r="B370" s="672" t="s">
        <v>5116</v>
      </c>
      <c r="C370" s="673" t="s">
        <v>2346</v>
      </c>
      <c r="D370" s="641" t="s">
        <v>427</v>
      </c>
      <c r="E370" s="669">
        <v>4300.0</v>
      </c>
      <c r="F370" s="641" t="s">
        <v>5117</v>
      </c>
      <c r="G370" s="667" t="s">
        <v>669</v>
      </c>
      <c r="H370" s="667" t="s">
        <v>199</v>
      </c>
      <c r="I370" s="667" t="s">
        <v>2388</v>
      </c>
      <c r="J370" s="667">
        <v>43559.0</v>
      </c>
      <c r="K370" s="670" t="s">
        <v>4383</v>
      </c>
      <c r="L370" s="666"/>
      <c r="M370" s="666"/>
      <c r="N370" s="666"/>
      <c r="O370" s="666"/>
      <c r="P370" s="666"/>
      <c r="Q370" s="666"/>
      <c r="R370" s="666"/>
      <c r="S370" s="666"/>
      <c r="T370" s="666"/>
      <c r="U370" s="666"/>
      <c r="V370" s="666"/>
      <c r="W370" s="666"/>
      <c r="X370" s="666"/>
      <c r="Y370" s="666"/>
      <c r="Z370" s="666"/>
      <c r="AA370" s="666"/>
      <c r="AB370" s="666"/>
      <c r="AC370" s="666"/>
      <c r="AD370" s="666"/>
      <c r="AE370" s="666"/>
      <c r="AF370" s="666"/>
      <c r="AG370" s="666"/>
      <c r="AH370" s="666"/>
      <c r="AI370" s="666"/>
      <c r="AJ370" s="666"/>
      <c r="AK370" s="666"/>
      <c r="AL370" s="666"/>
      <c r="AM370" s="666"/>
      <c r="AN370" s="666"/>
      <c r="AO370" s="666"/>
      <c r="AP370" s="666"/>
      <c r="AQ370" s="666"/>
      <c r="AR370" s="666"/>
      <c r="AS370" s="666"/>
      <c r="AT370" s="666"/>
      <c r="AU370" s="666"/>
    </row>
    <row r="371" ht="15.75" customHeight="1">
      <c r="A371" s="671">
        <v>44342.0</v>
      </c>
      <c r="B371" s="672" t="s">
        <v>6211</v>
      </c>
      <c r="C371" s="673" t="s">
        <v>2346</v>
      </c>
      <c r="D371" s="641" t="s">
        <v>5038</v>
      </c>
      <c r="E371" s="669">
        <v>50000.0</v>
      </c>
      <c r="F371" s="641" t="s">
        <v>6214</v>
      </c>
      <c r="G371" s="667" t="s">
        <v>120</v>
      </c>
      <c r="H371" s="667" t="s">
        <v>91</v>
      </c>
      <c r="I371" s="667" t="s">
        <v>193</v>
      </c>
      <c r="J371" s="667">
        <v>44322.0</v>
      </c>
      <c r="K371" s="670" t="s">
        <v>2341</v>
      </c>
      <c r="L371" s="666"/>
      <c r="M371" s="666"/>
      <c r="N371" s="666"/>
      <c r="O371" s="666"/>
      <c r="P371" s="666"/>
      <c r="Q371" s="666"/>
      <c r="R371" s="666"/>
      <c r="S371" s="666"/>
      <c r="T371" s="666"/>
      <c r="U371" s="666"/>
      <c r="V371" s="666"/>
      <c r="W371" s="666"/>
      <c r="X371" s="666"/>
      <c r="Y371" s="666"/>
      <c r="Z371" s="666"/>
      <c r="AA371" s="666"/>
      <c r="AB371" s="666"/>
      <c r="AC371" s="666"/>
      <c r="AD371" s="666"/>
      <c r="AE371" s="666"/>
      <c r="AF371" s="666"/>
      <c r="AG371" s="666"/>
      <c r="AH371" s="666"/>
      <c r="AI371" s="666"/>
      <c r="AJ371" s="666"/>
      <c r="AK371" s="666"/>
      <c r="AL371" s="666"/>
      <c r="AM371" s="666"/>
      <c r="AN371" s="666"/>
      <c r="AO371" s="666"/>
      <c r="AP371" s="666"/>
      <c r="AQ371" s="666"/>
      <c r="AR371" s="666"/>
      <c r="AS371" s="666"/>
      <c r="AT371" s="666"/>
      <c r="AU371" s="666"/>
    </row>
    <row r="372" ht="15.75" customHeight="1">
      <c r="A372" s="671">
        <v>44342.0</v>
      </c>
      <c r="B372" s="672" t="s">
        <v>6215</v>
      </c>
      <c r="C372" s="673" t="s">
        <v>2346</v>
      </c>
      <c r="D372" s="641" t="s">
        <v>5038</v>
      </c>
      <c r="E372" s="669">
        <v>0.0</v>
      </c>
      <c r="F372" s="641" t="s">
        <v>5675</v>
      </c>
      <c r="G372" s="667" t="s">
        <v>120</v>
      </c>
      <c r="H372" s="667" t="s">
        <v>91</v>
      </c>
      <c r="I372" s="667" t="s">
        <v>699</v>
      </c>
      <c r="J372" s="667">
        <v>44266.0</v>
      </c>
      <c r="K372" s="670" t="s">
        <v>2365</v>
      </c>
      <c r="L372" s="666"/>
      <c r="M372" s="666"/>
      <c r="N372" s="666"/>
      <c r="O372" s="666"/>
      <c r="P372" s="666"/>
      <c r="Q372" s="666"/>
      <c r="R372" s="666"/>
      <c r="S372" s="666"/>
      <c r="T372" s="666"/>
      <c r="U372" s="666"/>
      <c r="V372" s="666"/>
      <c r="W372" s="666"/>
      <c r="X372" s="666"/>
      <c r="Y372" s="666"/>
      <c r="Z372" s="666"/>
      <c r="AA372" s="666"/>
      <c r="AB372" s="666"/>
      <c r="AC372" s="666"/>
      <c r="AD372" s="666"/>
      <c r="AE372" s="666"/>
      <c r="AF372" s="666"/>
      <c r="AG372" s="666"/>
      <c r="AH372" s="666"/>
      <c r="AI372" s="666"/>
      <c r="AJ372" s="666"/>
      <c r="AK372" s="666"/>
      <c r="AL372" s="666"/>
      <c r="AM372" s="666"/>
      <c r="AN372" s="666"/>
      <c r="AO372" s="666"/>
      <c r="AP372" s="666"/>
      <c r="AQ372" s="666"/>
      <c r="AR372" s="666"/>
      <c r="AS372" s="666"/>
      <c r="AT372" s="666"/>
      <c r="AU372" s="666"/>
    </row>
    <row r="373" ht="15.75" customHeight="1">
      <c r="A373" s="671">
        <v>44342.0</v>
      </c>
      <c r="B373" s="672" t="s">
        <v>5065</v>
      </c>
      <c r="C373" s="673" t="s">
        <v>2346</v>
      </c>
      <c r="D373" s="641" t="s">
        <v>5038</v>
      </c>
      <c r="E373" s="669">
        <v>40000.0</v>
      </c>
      <c r="F373" s="641" t="s">
        <v>5066</v>
      </c>
      <c r="G373" s="667" t="s">
        <v>669</v>
      </c>
      <c r="H373" s="667" t="s">
        <v>199</v>
      </c>
      <c r="I373" s="667" t="s">
        <v>1228</v>
      </c>
      <c r="J373" s="667">
        <v>43703.0</v>
      </c>
      <c r="K373" s="670" t="s">
        <v>4383</v>
      </c>
      <c r="L373" s="666"/>
      <c r="M373" s="666"/>
      <c r="N373" s="666"/>
      <c r="O373" s="666"/>
      <c r="P373" s="666"/>
      <c r="Q373" s="666"/>
      <c r="R373" s="666"/>
      <c r="S373" s="666"/>
      <c r="T373" s="666"/>
      <c r="U373" s="666"/>
      <c r="V373" s="666"/>
      <c r="W373" s="666"/>
      <c r="X373" s="666"/>
      <c r="Y373" s="666"/>
      <c r="Z373" s="666"/>
      <c r="AA373" s="666"/>
      <c r="AB373" s="666"/>
      <c r="AC373" s="666"/>
      <c r="AD373" s="666"/>
      <c r="AE373" s="666"/>
      <c r="AF373" s="666"/>
      <c r="AG373" s="666"/>
      <c r="AH373" s="666"/>
      <c r="AI373" s="666"/>
      <c r="AJ373" s="666"/>
      <c r="AK373" s="666"/>
      <c r="AL373" s="666"/>
      <c r="AM373" s="666"/>
      <c r="AN373" s="666"/>
      <c r="AO373" s="666"/>
      <c r="AP373" s="666"/>
      <c r="AQ373" s="666"/>
      <c r="AR373" s="666"/>
      <c r="AS373" s="666"/>
      <c r="AT373" s="666"/>
      <c r="AU373" s="666"/>
    </row>
    <row r="374" ht="15.75" customHeight="1">
      <c r="A374" s="671">
        <v>44342.0</v>
      </c>
      <c r="B374" s="672" t="s">
        <v>5116</v>
      </c>
      <c r="C374" s="673" t="s">
        <v>2346</v>
      </c>
      <c r="D374" s="641" t="s">
        <v>5038</v>
      </c>
      <c r="E374" s="669">
        <v>17000.0</v>
      </c>
      <c r="F374" s="641" t="s">
        <v>5117</v>
      </c>
      <c r="G374" s="667" t="s">
        <v>669</v>
      </c>
      <c r="H374" s="667" t="s">
        <v>199</v>
      </c>
      <c r="I374" s="667" t="s">
        <v>2388</v>
      </c>
      <c r="J374" s="667">
        <v>43559.0</v>
      </c>
      <c r="K374" s="670" t="s">
        <v>4383</v>
      </c>
      <c r="L374" s="666"/>
      <c r="M374" s="666"/>
      <c r="N374" s="666"/>
      <c r="O374" s="666"/>
      <c r="P374" s="666"/>
      <c r="Q374" s="666"/>
      <c r="R374" s="666"/>
      <c r="S374" s="666"/>
      <c r="T374" s="666"/>
      <c r="U374" s="666"/>
      <c r="V374" s="666"/>
      <c r="W374" s="666"/>
      <c r="X374" s="666"/>
      <c r="Y374" s="666"/>
      <c r="Z374" s="666"/>
      <c r="AA374" s="666"/>
      <c r="AB374" s="666"/>
      <c r="AC374" s="666"/>
      <c r="AD374" s="666"/>
      <c r="AE374" s="666"/>
      <c r="AF374" s="666"/>
      <c r="AG374" s="666"/>
      <c r="AH374" s="666"/>
      <c r="AI374" s="666"/>
      <c r="AJ374" s="666"/>
      <c r="AK374" s="666"/>
      <c r="AL374" s="666"/>
      <c r="AM374" s="666"/>
      <c r="AN374" s="666"/>
      <c r="AO374" s="666"/>
      <c r="AP374" s="666"/>
      <c r="AQ374" s="666"/>
      <c r="AR374" s="666"/>
      <c r="AS374" s="666"/>
      <c r="AT374" s="666"/>
      <c r="AU374" s="666"/>
    </row>
    <row r="375" ht="15.75" customHeight="1">
      <c r="A375" s="671">
        <v>44343.0</v>
      </c>
      <c r="B375" s="672" t="s">
        <v>6211</v>
      </c>
      <c r="C375" s="673" t="s">
        <v>2346</v>
      </c>
      <c r="D375" s="641" t="s">
        <v>5038</v>
      </c>
      <c r="E375" s="669">
        <v>40000.0</v>
      </c>
      <c r="F375" s="641" t="s">
        <v>6214</v>
      </c>
      <c r="G375" s="667" t="s">
        <v>120</v>
      </c>
      <c r="H375" s="667" t="s">
        <v>91</v>
      </c>
      <c r="I375" s="667" t="s">
        <v>193</v>
      </c>
      <c r="J375" s="667">
        <v>44322.0</v>
      </c>
      <c r="K375" s="670" t="s">
        <v>2341</v>
      </c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6"/>
      <c r="AB375" s="666"/>
      <c r="AC375" s="666"/>
      <c r="AD375" s="666"/>
      <c r="AE375" s="666"/>
      <c r="AF375" s="666"/>
      <c r="AG375" s="666"/>
      <c r="AH375" s="666"/>
      <c r="AI375" s="666"/>
      <c r="AJ375" s="666"/>
      <c r="AK375" s="666"/>
      <c r="AL375" s="666"/>
      <c r="AM375" s="666"/>
      <c r="AN375" s="666"/>
      <c r="AO375" s="666"/>
      <c r="AP375" s="666"/>
      <c r="AQ375" s="666"/>
      <c r="AR375" s="666"/>
      <c r="AS375" s="666"/>
      <c r="AT375" s="666"/>
      <c r="AU375" s="666"/>
    </row>
    <row r="376" ht="15.75" customHeight="1">
      <c r="A376" s="671">
        <v>44344.0</v>
      </c>
      <c r="B376" s="672" t="s">
        <v>6222</v>
      </c>
      <c r="C376" s="673" t="s">
        <v>2346</v>
      </c>
      <c r="D376" s="641" t="s">
        <v>5038</v>
      </c>
      <c r="E376" s="669">
        <v>150000.0</v>
      </c>
      <c r="F376" s="641" t="s">
        <v>1489</v>
      </c>
      <c r="G376" s="667" t="s">
        <v>120</v>
      </c>
      <c r="H376" s="667" t="s">
        <v>91</v>
      </c>
      <c r="I376" s="667" t="s">
        <v>193</v>
      </c>
      <c r="J376" s="667">
        <v>44319.0</v>
      </c>
      <c r="K376" s="670" t="s">
        <v>2341</v>
      </c>
      <c r="L376" s="666"/>
      <c r="M376" s="666"/>
      <c r="N376" s="666"/>
      <c r="O376" s="666"/>
      <c r="P376" s="666"/>
      <c r="Q376" s="666"/>
      <c r="R376" s="666"/>
      <c r="S376" s="666"/>
      <c r="T376" s="666"/>
      <c r="U376" s="666"/>
      <c r="V376" s="666"/>
      <c r="W376" s="666"/>
      <c r="X376" s="666"/>
      <c r="Y376" s="666"/>
      <c r="Z376" s="666"/>
      <c r="AA376" s="666"/>
      <c r="AB376" s="666"/>
      <c r="AC376" s="666"/>
      <c r="AD376" s="666"/>
      <c r="AE376" s="666"/>
      <c r="AF376" s="666"/>
      <c r="AG376" s="666"/>
      <c r="AH376" s="666"/>
      <c r="AI376" s="666"/>
      <c r="AJ376" s="666"/>
      <c r="AK376" s="666"/>
      <c r="AL376" s="666"/>
      <c r="AM376" s="666"/>
      <c r="AN376" s="666"/>
      <c r="AO376" s="666"/>
      <c r="AP376" s="666"/>
      <c r="AQ376" s="666"/>
      <c r="AR376" s="666"/>
      <c r="AS376" s="666"/>
      <c r="AT376" s="666"/>
      <c r="AU376" s="666"/>
    </row>
    <row r="377" ht="15.75" customHeight="1">
      <c r="A377" s="671">
        <v>44344.0</v>
      </c>
      <c r="B377" s="672" t="s">
        <v>5075</v>
      </c>
      <c r="C377" s="673" t="s">
        <v>2346</v>
      </c>
      <c r="D377" s="641" t="s">
        <v>5038</v>
      </c>
      <c r="E377" s="669">
        <v>280000.0</v>
      </c>
      <c r="F377" s="641" t="s">
        <v>956</v>
      </c>
      <c r="G377" s="667" t="s">
        <v>669</v>
      </c>
      <c r="H377" s="667" t="s">
        <v>199</v>
      </c>
      <c r="I377" s="667" t="s">
        <v>1228</v>
      </c>
      <c r="J377" s="667">
        <v>43605.0</v>
      </c>
      <c r="K377" s="670" t="s">
        <v>2365</v>
      </c>
      <c r="L377" s="666"/>
      <c r="M377" s="666"/>
      <c r="N377" s="666"/>
      <c r="O377" s="666"/>
      <c r="P377" s="666"/>
      <c r="Q377" s="666"/>
      <c r="R377" s="666"/>
      <c r="S377" s="666"/>
      <c r="T377" s="666"/>
      <c r="U377" s="666"/>
      <c r="V377" s="666"/>
      <c r="W377" s="666"/>
      <c r="X377" s="666"/>
      <c r="Y377" s="666"/>
      <c r="Z377" s="666"/>
      <c r="AA377" s="666"/>
      <c r="AB377" s="666"/>
      <c r="AC377" s="666"/>
      <c r="AD377" s="666"/>
      <c r="AE377" s="666"/>
      <c r="AF377" s="666"/>
      <c r="AG377" s="666"/>
      <c r="AH377" s="666"/>
      <c r="AI377" s="666"/>
      <c r="AJ377" s="666"/>
      <c r="AK377" s="666"/>
      <c r="AL377" s="666"/>
      <c r="AM377" s="666"/>
      <c r="AN377" s="666"/>
      <c r="AO377" s="666"/>
      <c r="AP377" s="666"/>
      <c r="AQ377" s="666"/>
      <c r="AR377" s="666"/>
      <c r="AS377" s="666"/>
      <c r="AT377" s="666"/>
      <c r="AU377" s="666"/>
    </row>
    <row r="378" ht="15.75" customHeight="1">
      <c r="A378" s="671">
        <v>44347.0</v>
      </c>
      <c r="B378" s="672" t="s">
        <v>6226</v>
      </c>
      <c r="C378" s="673" t="s">
        <v>2346</v>
      </c>
      <c r="D378" s="641" t="s">
        <v>5038</v>
      </c>
      <c r="E378" s="669">
        <v>2000.0</v>
      </c>
      <c r="F378" s="641" t="s">
        <v>6228</v>
      </c>
      <c r="G378" s="667" t="s">
        <v>120</v>
      </c>
      <c r="H378" s="667" t="s">
        <v>91</v>
      </c>
      <c r="I378" s="667" t="s">
        <v>521</v>
      </c>
      <c r="J378" s="667">
        <v>44280.0</v>
      </c>
      <c r="K378" s="670" t="s">
        <v>2319</v>
      </c>
      <c r="L378" s="666"/>
      <c r="M378" s="666"/>
      <c r="N378" s="666"/>
      <c r="O378" s="666"/>
      <c r="P378" s="666"/>
      <c r="Q378" s="666"/>
      <c r="R378" s="666"/>
      <c r="S378" s="666"/>
      <c r="T378" s="666"/>
      <c r="U378" s="666"/>
      <c r="V378" s="666"/>
      <c r="W378" s="666"/>
      <c r="X378" s="666"/>
      <c r="Y378" s="666"/>
      <c r="Z378" s="666"/>
      <c r="AA378" s="666"/>
      <c r="AB378" s="666"/>
      <c r="AC378" s="666"/>
      <c r="AD378" s="666"/>
      <c r="AE378" s="666"/>
      <c r="AF378" s="666"/>
      <c r="AG378" s="666"/>
      <c r="AH378" s="666"/>
      <c r="AI378" s="666"/>
      <c r="AJ378" s="666"/>
      <c r="AK378" s="666"/>
      <c r="AL378" s="666"/>
      <c r="AM378" s="666"/>
      <c r="AN378" s="666"/>
      <c r="AO378" s="666"/>
      <c r="AP378" s="666"/>
      <c r="AQ378" s="666"/>
      <c r="AR378" s="666"/>
      <c r="AS378" s="666"/>
      <c r="AT378" s="666"/>
      <c r="AU378" s="666"/>
    </row>
    <row r="379" ht="15.75" customHeight="1">
      <c r="A379" s="671">
        <v>44347.0</v>
      </c>
      <c r="B379" s="672" t="s">
        <v>356</v>
      </c>
      <c r="C379" s="673" t="s">
        <v>202</v>
      </c>
      <c r="D379" s="641" t="s">
        <v>427</v>
      </c>
      <c r="E379" s="669">
        <v>57300.0</v>
      </c>
      <c r="F379" s="641" t="s">
        <v>355</v>
      </c>
      <c r="G379" s="667" t="s">
        <v>120</v>
      </c>
      <c r="H379" s="667" t="s">
        <v>199</v>
      </c>
      <c r="I379" s="667" t="s">
        <v>357</v>
      </c>
      <c r="J379" s="667">
        <v>43759.0</v>
      </c>
      <c r="K379" s="670" t="s">
        <v>5807</v>
      </c>
      <c r="L379" s="666"/>
      <c r="M379" s="666"/>
      <c r="N379" s="666"/>
      <c r="O379" s="666"/>
      <c r="P379" s="666"/>
      <c r="Q379" s="666"/>
      <c r="R379" s="666"/>
      <c r="S379" s="666"/>
      <c r="T379" s="666"/>
      <c r="U379" s="666"/>
      <c r="V379" s="666"/>
      <c r="W379" s="666"/>
      <c r="X379" s="666"/>
      <c r="Y379" s="666"/>
      <c r="Z379" s="666"/>
      <c r="AA379" s="666"/>
      <c r="AB379" s="666"/>
      <c r="AC379" s="666"/>
      <c r="AD379" s="666"/>
      <c r="AE379" s="666"/>
      <c r="AF379" s="666"/>
      <c r="AG379" s="666"/>
      <c r="AH379" s="666"/>
      <c r="AI379" s="666"/>
      <c r="AJ379" s="666"/>
      <c r="AK379" s="666"/>
      <c r="AL379" s="666"/>
      <c r="AM379" s="666"/>
      <c r="AN379" s="666"/>
      <c r="AO379" s="666"/>
      <c r="AP379" s="666"/>
      <c r="AQ379" s="666"/>
      <c r="AR379" s="666"/>
      <c r="AS379" s="666"/>
      <c r="AT379" s="666"/>
      <c r="AU379" s="666"/>
    </row>
    <row r="380" ht="15.75" customHeight="1">
      <c r="A380" s="671">
        <v>44347.0</v>
      </c>
      <c r="B380" s="672" t="s">
        <v>6232</v>
      </c>
      <c r="C380" s="673" t="s">
        <v>2346</v>
      </c>
      <c r="D380" s="641" t="s">
        <v>5038</v>
      </c>
      <c r="E380" s="669">
        <v>13000.0</v>
      </c>
      <c r="F380" s="641" t="s">
        <v>1250</v>
      </c>
      <c r="G380" s="667" t="s">
        <v>120</v>
      </c>
      <c r="H380" s="667" t="s">
        <v>91</v>
      </c>
      <c r="I380" s="667" t="s">
        <v>521</v>
      </c>
      <c r="J380" s="667">
        <v>44322.0</v>
      </c>
      <c r="K380" s="670" t="s">
        <v>2341</v>
      </c>
      <c r="L380" s="666"/>
      <c r="M380" s="666"/>
      <c r="N380" s="666"/>
      <c r="O380" s="666"/>
      <c r="P380" s="666"/>
      <c r="Q380" s="666"/>
      <c r="R380" s="666"/>
      <c r="S380" s="666"/>
      <c r="T380" s="666"/>
      <c r="U380" s="666"/>
      <c r="V380" s="666"/>
      <c r="W380" s="666"/>
      <c r="X380" s="666"/>
      <c r="Y380" s="666"/>
      <c r="Z380" s="666"/>
      <c r="AA380" s="666"/>
      <c r="AB380" s="666"/>
      <c r="AC380" s="666"/>
      <c r="AD380" s="666"/>
      <c r="AE380" s="666"/>
      <c r="AF380" s="666"/>
      <c r="AG380" s="666"/>
      <c r="AH380" s="666"/>
      <c r="AI380" s="666"/>
      <c r="AJ380" s="666"/>
      <c r="AK380" s="666"/>
      <c r="AL380" s="666"/>
      <c r="AM380" s="666"/>
      <c r="AN380" s="666"/>
      <c r="AO380" s="666"/>
      <c r="AP380" s="666"/>
      <c r="AQ380" s="666"/>
      <c r="AR380" s="666"/>
      <c r="AS380" s="666"/>
      <c r="AT380" s="666"/>
      <c r="AU380" s="666"/>
    </row>
    <row r="381" ht="15.75" customHeight="1">
      <c r="A381" s="671">
        <v>44348.0</v>
      </c>
      <c r="B381" s="672" t="s">
        <v>5960</v>
      </c>
      <c r="C381" s="673" t="s">
        <v>98</v>
      </c>
      <c r="D381" s="641" t="s">
        <v>5038</v>
      </c>
      <c r="E381" s="669">
        <v>50000.0</v>
      </c>
      <c r="F381" s="641" t="s">
        <v>5963</v>
      </c>
      <c r="G381" s="641" t="s">
        <v>255</v>
      </c>
      <c r="H381" s="641" t="s">
        <v>199</v>
      </c>
      <c r="I381" s="641" t="s">
        <v>4761</v>
      </c>
      <c r="J381" s="726">
        <v>44180.0</v>
      </c>
      <c r="K381" s="674" t="s">
        <v>2341</v>
      </c>
      <c r="L381" s="666"/>
      <c r="M381" s="666"/>
      <c r="N381" s="666"/>
      <c r="O381" s="666"/>
      <c r="P381" s="666"/>
      <c r="Q381" s="666"/>
      <c r="R381" s="666"/>
      <c r="S381" s="666"/>
      <c r="T381" s="666"/>
      <c r="U381" s="666"/>
      <c r="V381" s="666"/>
      <c r="W381" s="666"/>
      <c r="X381" s="666"/>
      <c r="Y381" s="666"/>
      <c r="Z381" s="666"/>
      <c r="AA381" s="666"/>
      <c r="AB381" s="666"/>
      <c r="AC381" s="666"/>
      <c r="AD381" s="666"/>
      <c r="AE381" s="666"/>
      <c r="AF381" s="666"/>
      <c r="AG381" s="666"/>
      <c r="AH381" s="666"/>
      <c r="AI381" s="666"/>
      <c r="AJ381" s="666"/>
      <c r="AK381" s="666"/>
      <c r="AL381" s="666"/>
      <c r="AM381" s="666"/>
      <c r="AN381" s="666"/>
      <c r="AO381" s="666"/>
      <c r="AP381" s="666"/>
      <c r="AQ381" s="666"/>
      <c r="AR381" s="666"/>
      <c r="AS381" s="666"/>
      <c r="AT381" s="666"/>
      <c r="AU381" s="666"/>
    </row>
    <row r="382" ht="15.75" customHeight="1">
      <c r="A382" s="671">
        <v>44348.0</v>
      </c>
      <c r="B382" s="672" t="s">
        <v>5711</v>
      </c>
      <c r="C382" s="673" t="s">
        <v>2346</v>
      </c>
      <c r="D382" s="641" t="s">
        <v>5038</v>
      </c>
      <c r="E382" s="669">
        <v>40000.0</v>
      </c>
      <c r="F382" s="641" t="s">
        <v>4401</v>
      </c>
      <c r="G382" s="667" t="s">
        <v>120</v>
      </c>
      <c r="H382" s="667" t="s">
        <v>91</v>
      </c>
      <c r="I382" s="667" t="s">
        <v>521</v>
      </c>
      <c r="J382" s="667">
        <v>44321.0</v>
      </c>
      <c r="K382" s="670" t="s">
        <v>2341</v>
      </c>
      <c r="L382" s="666"/>
      <c r="M382" s="666"/>
      <c r="N382" s="666"/>
      <c r="O382" s="666"/>
      <c r="P382" s="666"/>
      <c r="Q382" s="666"/>
      <c r="R382" s="666"/>
      <c r="S382" s="666"/>
      <c r="T382" s="666"/>
      <c r="U382" s="666"/>
      <c r="V382" s="666"/>
      <c r="W382" s="666"/>
      <c r="X382" s="666"/>
      <c r="Y382" s="666"/>
      <c r="Z382" s="666"/>
      <c r="AA382" s="666"/>
      <c r="AB382" s="666"/>
      <c r="AC382" s="666"/>
      <c r="AD382" s="666"/>
      <c r="AE382" s="666"/>
      <c r="AF382" s="666"/>
      <c r="AG382" s="666"/>
      <c r="AH382" s="666"/>
      <c r="AI382" s="666"/>
      <c r="AJ382" s="666"/>
      <c r="AK382" s="666"/>
      <c r="AL382" s="666"/>
      <c r="AM382" s="666"/>
      <c r="AN382" s="666"/>
      <c r="AO382" s="666"/>
      <c r="AP382" s="666"/>
      <c r="AQ382" s="666"/>
      <c r="AR382" s="666"/>
      <c r="AS382" s="666"/>
      <c r="AT382" s="666"/>
      <c r="AU382" s="666"/>
    </row>
    <row r="383" ht="15.75" customHeight="1">
      <c r="A383" s="671">
        <v>44349.0</v>
      </c>
      <c r="B383" s="672" t="s">
        <v>6232</v>
      </c>
      <c r="C383" s="673" t="s">
        <v>2346</v>
      </c>
      <c r="D383" s="641" t="s">
        <v>5038</v>
      </c>
      <c r="E383" s="669">
        <v>10000.0</v>
      </c>
      <c r="F383" s="641" t="s">
        <v>1250</v>
      </c>
      <c r="G383" s="667" t="s">
        <v>120</v>
      </c>
      <c r="H383" s="667" t="s">
        <v>91</v>
      </c>
      <c r="I383" s="667" t="s">
        <v>521</v>
      </c>
      <c r="J383" s="667">
        <v>44322.0</v>
      </c>
      <c r="K383" s="670" t="s">
        <v>2341</v>
      </c>
      <c r="L383" s="666"/>
      <c r="M383" s="666"/>
      <c r="N383" s="666"/>
      <c r="O383" s="666"/>
      <c r="P383" s="666"/>
      <c r="Q383" s="666"/>
      <c r="R383" s="666"/>
      <c r="S383" s="666"/>
      <c r="T383" s="666"/>
      <c r="U383" s="666"/>
      <c r="V383" s="666"/>
      <c r="W383" s="666"/>
      <c r="X383" s="666"/>
      <c r="Y383" s="666"/>
      <c r="Z383" s="666"/>
      <c r="AA383" s="666"/>
      <c r="AB383" s="666"/>
      <c r="AC383" s="666"/>
      <c r="AD383" s="666"/>
      <c r="AE383" s="666"/>
      <c r="AF383" s="666"/>
      <c r="AG383" s="666"/>
      <c r="AH383" s="666"/>
      <c r="AI383" s="666"/>
      <c r="AJ383" s="666"/>
      <c r="AK383" s="666"/>
      <c r="AL383" s="666"/>
      <c r="AM383" s="666"/>
      <c r="AN383" s="666"/>
      <c r="AO383" s="666"/>
      <c r="AP383" s="666"/>
      <c r="AQ383" s="666"/>
      <c r="AR383" s="666"/>
      <c r="AS383" s="666"/>
      <c r="AT383" s="666"/>
      <c r="AU383" s="666"/>
    </row>
    <row r="384" ht="15.75" customHeight="1">
      <c r="A384" s="671">
        <v>44349.0</v>
      </c>
      <c r="B384" s="672" t="s">
        <v>6243</v>
      </c>
      <c r="C384" s="673" t="s">
        <v>2346</v>
      </c>
      <c r="D384" s="641" t="s">
        <v>5038</v>
      </c>
      <c r="E384" s="669">
        <v>31306.96</v>
      </c>
      <c r="F384" s="641" t="s">
        <v>4207</v>
      </c>
      <c r="G384" s="667" t="s">
        <v>120</v>
      </c>
      <c r="H384" s="667" t="s">
        <v>91</v>
      </c>
      <c r="I384" s="667" t="s">
        <v>521</v>
      </c>
      <c r="J384" s="667">
        <v>44328.0</v>
      </c>
      <c r="K384" s="670" t="s">
        <v>2341</v>
      </c>
      <c r="L384" s="666"/>
      <c r="M384" s="666"/>
      <c r="N384" s="666"/>
      <c r="O384" s="666"/>
      <c r="P384" s="666"/>
      <c r="Q384" s="666"/>
      <c r="R384" s="666"/>
      <c r="S384" s="666"/>
      <c r="T384" s="666"/>
      <c r="U384" s="666"/>
      <c r="V384" s="666"/>
      <c r="W384" s="666"/>
      <c r="X384" s="666"/>
      <c r="Y384" s="666"/>
      <c r="Z384" s="666"/>
      <c r="AA384" s="666"/>
      <c r="AB384" s="666"/>
      <c r="AC384" s="666"/>
      <c r="AD384" s="666"/>
      <c r="AE384" s="666"/>
      <c r="AF384" s="666"/>
      <c r="AG384" s="666"/>
      <c r="AH384" s="666"/>
      <c r="AI384" s="666"/>
      <c r="AJ384" s="666"/>
      <c r="AK384" s="666"/>
      <c r="AL384" s="666"/>
      <c r="AM384" s="666"/>
      <c r="AN384" s="666"/>
      <c r="AO384" s="666"/>
      <c r="AP384" s="666"/>
      <c r="AQ384" s="666"/>
      <c r="AR384" s="666"/>
      <c r="AS384" s="666"/>
      <c r="AT384" s="666"/>
      <c r="AU384" s="666"/>
    </row>
    <row r="385" ht="15.75" customHeight="1">
      <c r="A385" s="671">
        <v>44351.0</v>
      </c>
      <c r="B385" s="672" t="s">
        <v>6246</v>
      </c>
      <c r="C385" s="673" t="s">
        <v>2346</v>
      </c>
      <c r="D385" s="641" t="s">
        <v>5038</v>
      </c>
      <c r="E385" s="669">
        <v>9000.0</v>
      </c>
      <c r="F385" s="641" t="s">
        <v>3852</v>
      </c>
      <c r="G385" s="667" t="s">
        <v>120</v>
      </c>
      <c r="H385" s="667" t="s">
        <v>91</v>
      </c>
      <c r="I385" s="667" t="s">
        <v>699</v>
      </c>
      <c r="J385" s="667">
        <v>44260.0</v>
      </c>
      <c r="K385" s="670" t="s">
        <v>2341</v>
      </c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6"/>
      <c r="AB385" s="666"/>
      <c r="AC385" s="666"/>
      <c r="AD385" s="666"/>
      <c r="AE385" s="666"/>
      <c r="AF385" s="666"/>
      <c r="AG385" s="666"/>
      <c r="AH385" s="666"/>
      <c r="AI385" s="666"/>
      <c r="AJ385" s="666"/>
      <c r="AK385" s="666"/>
      <c r="AL385" s="666"/>
      <c r="AM385" s="666"/>
      <c r="AN385" s="666"/>
      <c r="AO385" s="666"/>
      <c r="AP385" s="666"/>
      <c r="AQ385" s="666"/>
      <c r="AR385" s="666"/>
      <c r="AS385" s="666"/>
      <c r="AT385" s="666"/>
      <c r="AU385" s="666"/>
    </row>
    <row r="386" ht="15.75" customHeight="1">
      <c r="A386" s="671">
        <v>44351.0</v>
      </c>
      <c r="B386" s="672" t="s">
        <v>5270</v>
      </c>
      <c r="C386" s="673" t="s">
        <v>2346</v>
      </c>
      <c r="D386" s="641" t="s">
        <v>5038</v>
      </c>
      <c r="E386" s="669">
        <v>40000.0</v>
      </c>
      <c r="F386" s="641" t="s">
        <v>1227</v>
      </c>
      <c r="G386" s="667" t="s">
        <v>669</v>
      </c>
      <c r="H386" s="667" t="s">
        <v>199</v>
      </c>
      <c r="I386" s="667" t="s">
        <v>1228</v>
      </c>
      <c r="J386" s="667">
        <v>43564.0</v>
      </c>
      <c r="K386" s="670" t="s">
        <v>2372</v>
      </c>
      <c r="L386" s="666"/>
      <c r="M386" s="666"/>
      <c r="N386" s="666"/>
      <c r="O386" s="666"/>
      <c r="P386" s="666"/>
      <c r="Q386" s="666"/>
      <c r="R386" s="666"/>
      <c r="S386" s="666"/>
      <c r="T386" s="666"/>
      <c r="U386" s="666"/>
      <c r="V386" s="666"/>
      <c r="W386" s="666"/>
      <c r="X386" s="666"/>
      <c r="Y386" s="666"/>
      <c r="Z386" s="666"/>
      <c r="AA386" s="666"/>
      <c r="AB386" s="666"/>
      <c r="AC386" s="666"/>
      <c r="AD386" s="666"/>
      <c r="AE386" s="666"/>
      <c r="AF386" s="666"/>
      <c r="AG386" s="666"/>
      <c r="AH386" s="666"/>
      <c r="AI386" s="666"/>
      <c r="AJ386" s="666"/>
      <c r="AK386" s="666"/>
      <c r="AL386" s="666"/>
      <c r="AM386" s="666"/>
      <c r="AN386" s="666"/>
      <c r="AO386" s="666"/>
      <c r="AP386" s="666"/>
      <c r="AQ386" s="666"/>
      <c r="AR386" s="666"/>
      <c r="AS386" s="666"/>
      <c r="AT386" s="666"/>
      <c r="AU386" s="666"/>
    </row>
    <row r="387" ht="15.75" customHeight="1">
      <c r="A387" s="671">
        <v>44353.0</v>
      </c>
      <c r="B387" s="672" t="s">
        <v>6251</v>
      </c>
      <c r="C387" s="673" t="s">
        <v>98</v>
      </c>
      <c r="D387" s="641" t="s">
        <v>5038</v>
      </c>
      <c r="E387" s="669">
        <v>506343.93</v>
      </c>
      <c r="F387" s="641" t="s">
        <v>3405</v>
      </c>
      <c r="G387" s="641" t="s">
        <v>120</v>
      </c>
      <c r="H387" s="641" t="s">
        <v>54</v>
      </c>
      <c r="I387" s="641" t="s">
        <v>379</v>
      </c>
      <c r="J387" s="741">
        <v>44298.0</v>
      </c>
      <c r="K387" s="674" t="s">
        <v>2365</v>
      </c>
      <c r="L387" s="666"/>
      <c r="M387" s="666"/>
      <c r="N387" s="666"/>
      <c r="O387" s="666"/>
      <c r="P387" s="666"/>
      <c r="Q387" s="666"/>
      <c r="R387" s="666"/>
      <c r="S387" s="666"/>
      <c r="T387" s="666"/>
      <c r="U387" s="666"/>
      <c r="V387" s="666"/>
      <c r="W387" s="666"/>
      <c r="X387" s="666"/>
      <c r="Y387" s="666"/>
      <c r="Z387" s="666"/>
      <c r="AA387" s="666"/>
      <c r="AB387" s="666"/>
      <c r="AC387" s="666"/>
      <c r="AD387" s="666"/>
      <c r="AE387" s="666"/>
      <c r="AF387" s="666"/>
      <c r="AG387" s="666"/>
      <c r="AH387" s="666"/>
      <c r="AI387" s="666"/>
      <c r="AJ387" s="666"/>
      <c r="AK387" s="666"/>
      <c r="AL387" s="666"/>
      <c r="AM387" s="666"/>
      <c r="AN387" s="666"/>
      <c r="AO387" s="666"/>
      <c r="AP387" s="666"/>
      <c r="AQ387" s="666"/>
      <c r="AR387" s="666"/>
      <c r="AS387" s="666"/>
      <c r="AT387" s="666"/>
      <c r="AU387" s="666"/>
    </row>
    <row r="388" ht="15.75" customHeight="1">
      <c r="A388" s="671">
        <v>44354.0</v>
      </c>
      <c r="B388" s="672" t="s">
        <v>6255</v>
      </c>
      <c r="C388" s="673" t="s">
        <v>2346</v>
      </c>
      <c r="D388" s="641" t="s">
        <v>5038</v>
      </c>
      <c r="E388" s="669">
        <v>5000.0</v>
      </c>
      <c r="F388" s="641" t="s">
        <v>5399</v>
      </c>
      <c r="G388" s="667" t="s">
        <v>669</v>
      </c>
      <c r="H388" s="667" t="s">
        <v>199</v>
      </c>
      <c r="I388" s="667" t="s">
        <v>2388</v>
      </c>
      <c r="J388" s="667">
        <v>43752.0</v>
      </c>
      <c r="K388" s="670" t="s">
        <v>2341</v>
      </c>
      <c r="L388" s="666"/>
      <c r="M388" s="666"/>
      <c r="N388" s="666"/>
      <c r="O388" s="666"/>
      <c r="P388" s="666"/>
      <c r="Q388" s="666"/>
      <c r="R388" s="666"/>
      <c r="S388" s="666"/>
      <c r="T388" s="666"/>
      <c r="U388" s="666"/>
      <c r="V388" s="666"/>
      <c r="W388" s="666"/>
      <c r="X388" s="666"/>
      <c r="Y388" s="666"/>
      <c r="Z388" s="666"/>
      <c r="AA388" s="666"/>
      <c r="AB388" s="666"/>
      <c r="AC388" s="666"/>
      <c r="AD388" s="666"/>
      <c r="AE388" s="666"/>
      <c r="AF388" s="666"/>
      <c r="AG388" s="666"/>
      <c r="AH388" s="666"/>
      <c r="AI388" s="666"/>
      <c r="AJ388" s="666"/>
      <c r="AK388" s="666"/>
      <c r="AL388" s="666"/>
      <c r="AM388" s="666"/>
      <c r="AN388" s="666"/>
      <c r="AO388" s="666"/>
      <c r="AP388" s="666"/>
      <c r="AQ388" s="666"/>
      <c r="AR388" s="666"/>
      <c r="AS388" s="666"/>
      <c r="AT388" s="666"/>
      <c r="AU388" s="666"/>
    </row>
    <row r="389" ht="15.75" customHeight="1">
      <c r="A389" s="671">
        <v>44355.0</v>
      </c>
      <c r="B389" s="672" t="s">
        <v>5270</v>
      </c>
      <c r="C389" s="673" t="s">
        <v>2346</v>
      </c>
      <c r="D389" s="641" t="s">
        <v>5038</v>
      </c>
      <c r="E389" s="669">
        <v>50000.0</v>
      </c>
      <c r="F389" s="641" t="s">
        <v>1227</v>
      </c>
      <c r="G389" s="667" t="s">
        <v>669</v>
      </c>
      <c r="H389" s="667" t="s">
        <v>199</v>
      </c>
      <c r="I389" s="667" t="s">
        <v>1228</v>
      </c>
      <c r="J389" s="667">
        <v>43564.0</v>
      </c>
      <c r="K389" s="670" t="s">
        <v>2372</v>
      </c>
      <c r="L389" s="666"/>
      <c r="M389" s="666"/>
      <c r="N389" s="666"/>
      <c r="O389" s="666"/>
      <c r="P389" s="666"/>
      <c r="Q389" s="666"/>
      <c r="R389" s="666"/>
      <c r="S389" s="666"/>
      <c r="T389" s="666"/>
      <c r="U389" s="666"/>
      <c r="V389" s="666"/>
      <c r="W389" s="666"/>
      <c r="X389" s="666"/>
      <c r="Y389" s="666"/>
      <c r="Z389" s="666"/>
      <c r="AA389" s="666"/>
      <c r="AB389" s="666"/>
      <c r="AC389" s="666"/>
      <c r="AD389" s="666"/>
      <c r="AE389" s="666"/>
      <c r="AF389" s="666"/>
      <c r="AG389" s="666"/>
      <c r="AH389" s="666"/>
      <c r="AI389" s="666"/>
      <c r="AJ389" s="666"/>
      <c r="AK389" s="666"/>
      <c r="AL389" s="666"/>
      <c r="AM389" s="666"/>
      <c r="AN389" s="666"/>
      <c r="AO389" s="666"/>
      <c r="AP389" s="666"/>
      <c r="AQ389" s="666"/>
      <c r="AR389" s="666"/>
      <c r="AS389" s="666"/>
      <c r="AT389" s="666"/>
      <c r="AU389" s="666"/>
    </row>
    <row r="390" ht="15.75" customHeight="1">
      <c r="A390" s="671">
        <v>44355.0</v>
      </c>
      <c r="B390" s="672" t="s">
        <v>5716</v>
      </c>
      <c r="C390" s="673" t="s">
        <v>2346</v>
      </c>
      <c r="D390" s="641" t="s">
        <v>5038</v>
      </c>
      <c r="E390" s="669">
        <v>15000.0</v>
      </c>
      <c r="F390" s="641" t="s">
        <v>1085</v>
      </c>
      <c r="G390" s="667" t="s">
        <v>120</v>
      </c>
      <c r="H390" s="667" t="s">
        <v>91</v>
      </c>
      <c r="I390" s="667" t="s">
        <v>521</v>
      </c>
      <c r="J390" s="667">
        <v>44295.0</v>
      </c>
      <c r="K390" s="670" t="s">
        <v>2356</v>
      </c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66"/>
      <c r="AB390" s="666"/>
      <c r="AC390" s="666"/>
      <c r="AD390" s="666"/>
      <c r="AE390" s="666"/>
      <c r="AF390" s="666"/>
      <c r="AG390" s="666"/>
      <c r="AH390" s="666"/>
      <c r="AI390" s="666"/>
      <c r="AJ390" s="666"/>
      <c r="AK390" s="666"/>
      <c r="AL390" s="666"/>
      <c r="AM390" s="666"/>
      <c r="AN390" s="666"/>
      <c r="AO390" s="666"/>
      <c r="AP390" s="666"/>
      <c r="AQ390" s="666"/>
      <c r="AR390" s="666"/>
      <c r="AS390" s="666"/>
      <c r="AT390" s="666"/>
      <c r="AU390" s="666"/>
    </row>
    <row r="391" ht="15.75" customHeight="1">
      <c r="A391" s="671">
        <v>44355.0</v>
      </c>
      <c r="B391" s="672" t="s">
        <v>6261</v>
      </c>
      <c r="C391" s="673" t="s">
        <v>2346</v>
      </c>
      <c r="D391" s="641" t="s">
        <v>427</v>
      </c>
      <c r="E391" s="669">
        <v>30000.0</v>
      </c>
      <c r="F391" s="641" t="s">
        <v>6262</v>
      </c>
      <c r="G391" s="667" t="s">
        <v>669</v>
      </c>
      <c r="H391" s="667" t="s">
        <v>199</v>
      </c>
      <c r="I391" s="667" t="s">
        <v>669</v>
      </c>
      <c r="J391" s="667">
        <v>44036.0</v>
      </c>
      <c r="K391" s="670" t="s">
        <v>2365</v>
      </c>
      <c r="L391" s="666"/>
      <c r="M391" s="666"/>
      <c r="N391" s="666"/>
      <c r="O391" s="666"/>
      <c r="P391" s="666"/>
      <c r="Q391" s="666"/>
      <c r="R391" s="666"/>
      <c r="S391" s="666"/>
      <c r="T391" s="666"/>
      <c r="U391" s="666"/>
      <c r="V391" s="666"/>
      <c r="W391" s="666"/>
      <c r="X391" s="666"/>
      <c r="Y391" s="666"/>
      <c r="Z391" s="666"/>
      <c r="AA391" s="666"/>
      <c r="AB391" s="666"/>
      <c r="AC391" s="666"/>
      <c r="AD391" s="666"/>
      <c r="AE391" s="666"/>
      <c r="AF391" s="666"/>
      <c r="AG391" s="666"/>
      <c r="AH391" s="666"/>
      <c r="AI391" s="666"/>
      <c r="AJ391" s="666"/>
      <c r="AK391" s="666"/>
      <c r="AL391" s="666"/>
      <c r="AM391" s="666"/>
      <c r="AN391" s="666"/>
      <c r="AO391" s="666"/>
      <c r="AP391" s="666"/>
      <c r="AQ391" s="666"/>
      <c r="AR391" s="666"/>
      <c r="AS391" s="666"/>
      <c r="AT391" s="666"/>
      <c r="AU391" s="666"/>
    </row>
    <row r="392" ht="15.75" customHeight="1">
      <c r="A392" s="671">
        <v>44355.0</v>
      </c>
      <c r="B392" s="672" t="s">
        <v>5065</v>
      </c>
      <c r="C392" s="673" t="s">
        <v>2346</v>
      </c>
      <c r="D392" s="641" t="s">
        <v>5038</v>
      </c>
      <c r="E392" s="669">
        <v>600000.0</v>
      </c>
      <c r="F392" s="641" t="s">
        <v>5066</v>
      </c>
      <c r="G392" s="667" t="s">
        <v>669</v>
      </c>
      <c r="H392" s="667" t="s">
        <v>199</v>
      </c>
      <c r="I392" s="667" t="s">
        <v>1228</v>
      </c>
      <c r="J392" s="667">
        <v>43703.0</v>
      </c>
      <c r="K392" s="670" t="s">
        <v>4383</v>
      </c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6"/>
      <c r="AB392" s="666"/>
      <c r="AC392" s="666"/>
      <c r="AD392" s="666"/>
      <c r="AE392" s="666"/>
      <c r="AF392" s="666"/>
      <c r="AG392" s="666"/>
      <c r="AH392" s="666"/>
      <c r="AI392" s="666"/>
      <c r="AJ392" s="666"/>
      <c r="AK392" s="666"/>
      <c r="AL392" s="666"/>
      <c r="AM392" s="666"/>
      <c r="AN392" s="666"/>
      <c r="AO392" s="666"/>
      <c r="AP392" s="666"/>
      <c r="AQ392" s="666"/>
      <c r="AR392" s="666"/>
      <c r="AS392" s="666"/>
      <c r="AT392" s="666"/>
      <c r="AU392" s="666"/>
    </row>
    <row r="393" ht="15.75" customHeight="1">
      <c r="A393" s="671">
        <v>44355.0</v>
      </c>
      <c r="B393" s="672" t="s">
        <v>5952</v>
      </c>
      <c r="C393" s="673" t="s">
        <v>98</v>
      </c>
      <c r="D393" s="641" t="s">
        <v>5038</v>
      </c>
      <c r="E393" s="669">
        <v>40000.0</v>
      </c>
      <c r="F393" s="641" t="s">
        <v>1822</v>
      </c>
      <c r="G393" s="641" t="s">
        <v>255</v>
      </c>
      <c r="H393" s="641" t="s">
        <v>199</v>
      </c>
      <c r="I393" s="641" t="s">
        <v>3885</v>
      </c>
      <c r="J393" s="667">
        <v>44134.0</v>
      </c>
      <c r="K393" s="674" t="s">
        <v>2319</v>
      </c>
      <c r="L393" s="666"/>
      <c r="M393" s="666"/>
      <c r="N393" s="666"/>
      <c r="O393" s="666"/>
      <c r="P393" s="666"/>
      <c r="Q393" s="666"/>
      <c r="R393" s="666"/>
      <c r="S393" s="666"/>
      <c r="T393" s="666"/>
      <c r="U393" s="666"/>
      <c r="V393" s="666"/>
      <c r="W393" s="666"/>
      <c r="X393" s="666"/>
      <c r="Y393" s="666"/>
      <c r="Z393" s="666"/>
      <c r="AA393" s="666"/>
      <c r="AB393" s="666"/>
      <c r="AC393" s="666"/>
      <c r="AD393" s="666"/>
      <c r="AE393" s="666"/>
      <c r="AF393" s="666"/>
      <c r="AG393" s="666"/>
      <c r="AH393" s="666"/>
      <c r="AI393" s="666"/>
      <c r="AJ393" s="666"/>
      <c r="AK393" s="666"/>
      <c r="AL393" s="666"/>
      <c r="AM393" s="666"/>
      <c r="AN393" s="666"/>
      <c r="AO393" s="666"/>
      <c r="AP393" s="666"/>
      <c r="AQ393" s="666"/>
      <c r="AR393" s="666"/>
      <c r="AS393" s="666"/>
      <c r="AT393" s="666"/>
      <c r="AU393" s="666"/>
    </row>
    <row r="394" ht="15.75" customHeight="1">
      <c r="A394" s="671">
        <v>44358.0</v>
      </c>
      <c r="B394" s="672" t="s">
        <v>6273</v>
      </c>
      <c r="C394" s="673" t="s">
        <v>98</v>
      </c>
      <c r="D394" s="641" t="s">
        <v>427</v>
      </c>
      <c r="E394" s="669">
        <v>15000.0</v>
      </c>
      <c r="F394" s="641" t="s">
        <v>4550</v>
      </c>
      <c r="G394" s="641" t="s">
        <v>255</v>
      </c>
      <c r="H394" s="641" t="s">
        <v>199</v>
      </c>
      <c r="I394" s="641" t="s">
        <v>3885</v>
      </c>
      <c r="J394" s="667">
        <v>44194.0</v>
      </c>
      <c r="K394" s="674" t="s">
        <v>2341</v>
      </c>
      <c r="L394" s="666"/>
      <c r="M394" s="666"/>
      <c r="N394" s="666"/>
      <c r="O394" s="666"/>
      <c r="P394" s="666"/>
      <c r="Q394" s="666"/>
      <c r="R394" s="666"/>
      <c r="S394" s="666"/>
      <c r="T394" s="666"/>
      <c r="U394" s="666"/>
      <c r="V394" s="666"/>
      <c r="W394" s="666"/>
      <c r="X394" s="666"/>
      <c r="Y394" s="666"/>
      <c r="Z394" s="666"/>
      <c r="AA394" s="666"/>
      <c r="AB394" s="666"/>
      <c r="AC394" s="666"/>
      <c r="AD394" s="666"/>
      <c r="AE394" s="666"/>
      <c r="AF394" s="666"/>
      <c r="AG394" s="666"/>
      <c r="AH394" s="666"/>
      <c r="AI394" s="666"/>
      <c r="AJ394" s="666"/>
      <c r="AK394" s="666"/>
      <c r="AL394" s="666"/>
      <c r="AM394" s="666"/>
      <c r="AN394" s="666"/>
      <c r="AO394" s="666"/>
      <c r="AP394" s="666"/>
      <c r="AQ394" s="666"/>
      <c r="AR394" s="666"/>
      <c r="AS394" s="666"/>
      <c r="AT394" s="666"/>
      <c r="AU394" s="666"/>
    </row>
    <row r="395" ht="15.75" customHeight="1">
      <c r="A395" s="671">
        <v>44362.0</v>
      </c>
      <c r="B395" s="672" t="s">
        <v>5065</v>
      </c>
      <c r="C395" s="673" t="s">
        <v>2346</v>
      </c>
      <c r="D395" s="641" t="s">
        <v>5038</v>
      </c>
      <c r="E395" s="669">
        <v>100000.0</v>
      </c>
      <c r="F395" s="641" t="s">
        <v>5066</v>
      </c>
      <c r="G395" s="667" t="s">
        <v>669</v>
      </c>
      <c r="H395" s="667" t="s">
        <v>199</v>
      </c>
      <c r="I395" s="667" t="s">
        <v>1228</v>
      </c>
      <c r="J395" s="667">
        <v>43703.0</v>
      </c>
      <c r="K395" s="670" t="s">
        <v>4383</v>
      </c>
      <c r="L395" s="666"/>
      <c r="M395" s="666"/>
      <c r="N395" s="666"/>
      <c r="O395" s="666"/>
      <c r="P395" s="666"/>
      <c r="Q395" s="666"/>
      <c r="R395" s="666"/>
      <c r="S395" s="666"/>
      <c r="T395" s="666"/>
      <c r="U395" s="666"/>
      <c r="V395" s="666"/>
      <c r="W395" s="666"/>
      <c r="X395" s="666"/>
      <c r="Y395" s="666"/>
      <c r="Z395" s="666"/>
      <c r="AA395" s="666"/>
      <c r="AB395" s="666"/>
      <c r="AC395" s="666"/>
      <c r="AD395" s="666"/>
      <c r="AE395" s="666"/>
      <c r="AF395" s="666"/>
      <c r="AG395" s="666"/>
      <c r="AH395" s="666"/>
      <c r="AI395" s="666"/>
      <c r="AJ395" s="666"/>
      <c r="AK395" s="666"/>
      <c r="AL395" s="666"/>
      <c r="AM395" s="666"/>
      <c r="AN395" s="666"/>
      <c r="AO395" s="666"/>
      <c r="AP395" s="666"/>
      <c r="AQ395" s="666"/>
      <c r="AR395" s="666"/>
      <c r="AS395" s="666"/>
      <c r="AT395" s="666"/>
      <c r="AU395" s="666"/>
    </row>
    <row r="396" ht="15.75" customHeight="1">
      <c r="A396" s="671">
        <v>44362.0</v>
      </c>
      <c r="B396" s="672" t="s">
        <v>6285</v>
      </c>
      <c r="C396" s="673" t="s">
        <v>2346</v>
      </c>
      <c r="D396" s="641" t="s">
        <v>5038</v>
      </c>
      <c r="E396" s="669">
        <v>5000.0</v>
      </c>
      <c r="F396" s="641" t="s">
        <v>2441</v>
      </c>
      <c r="G396" s="667" t="s">
        <v>669</v>
      </c>
      <c r="H396" s="667" t="s">
        <v>199</v>
      </c>
      <c r="I396" s="667" t="s">
        <v>1228</v>
      </c>
      <c r="J396" s="667">
        <v>43753.0</v>
      </c>
      <c r="K396" s="670" t="s">
        <v>2341</v>
      </c>
      <c r="L396" s="666"/>
      <c r="M396" s="666"/>
      <c r="N396" s="666"/>
      <c r="O396" s="666"/>
      <c r="P396" s="666"/>
      <c r="Q396" s="666"/>
      <c r="R396" s="666"/>
      <c r="S396" s="666"/>
      <c r="T396" s="666"/>
      <c r="U396" s="666"/>
      <c r="V396" s="666"/>
      <c r="W396" s="666"/>
      <c r="X396" s="666"/>
      <c r="Y396" s="666"/>
      <c r="Z396" s="666"/>
      <c r="AA396" s="666"/>
      <c r="AB396" s="666"/>
      <c r="AC396" s="666"/>
      <c r="AD396" s="666"/>
      <c r="AE396" s="666"/>
      <c r="AF396" s="666"/>
      <c r="AG396" s="666"/>
      <c r="AH396" s="666"/>
      <c r="AI396" s="666"/>
      <c r="AJ396" s="666"/>
      <c r="AK396" s="666"/>
      <c r="AL396" s="666"/>
      <c r="AM396" s="666"/>
      <c r="AN396" s="666"/>
      <c r="AO396" s="666"/>
      <c r="AP396" s="666"/>
      <c r="AQ396" s="666"/>
      <c r="AR396" s="666"/>
      <c r="AS396" s="666"/>
      <c r="AT396" s="666"/>
      <c r="AU396" s="666"/>
    </row>
    <row r="397" ht="15.75" customHeight="1">
      <c r="A397" s="671">
        <v>44362.0</v>
      </c>
      <c r="B397" s="672" t="s">
        <v>6211</v>
      </c>
      <c r="C397" s="673" t="s">
        <v>2346</v>
      </c>
      <c r="D397" s="641" t="s">
        <v>5038</v>
      </c>
      <c r="E397" s="669">
        <v>312377.96</v>
      </c>
      <c r="F397" s="641" t="s">
        <v>6214</v>
      </c>
      <c r="G397" s="667" t="s">
        <v>120</v>
      </c>
      <c r="H397" s="667" t="s">
        <v>91</v>
      </c>
      <c r="I397" s="667" t="s">
        <v>193</v>
      </c>
      <c r="J397" s="667">
        <v>44322.0</v>
      </c>
      <c r="K397" s="670" t="s">
        <v>2341</v>
      </c>
      <c r="L397" s="666"/>
      <c r="M397" s="666"/>
      <c r="N397" s="666"/>
      <c r="O397" s="666"/>
      <c r="P397" s="666"/>
      <c r="Q397" s="666"/>
      <c r="R397" s="666"/>
      <c r="S397" s="666"/>
      <c r="T397" s="666"/>
      <c r="U397" s="666"/>
      <c r="V397" s="666"/>
      <c r="W397" s="666"/>
      <c r="X397" s="666"/>
      <c r="Y397" s="666"/>
      <c r="Z397" s="666"/>
      <c r="AA397" s="666"/>
      <c r="AB397" s="666"/>
      <c r="AC397" s="666"/>
      <c r="AD397" s="666"/>
      <c r="AE397" s="666"/>
      <c r="AF397" s="666"/>
      <c r="AG397" s="666"/>
      <c r="AH397" s="666"/>
      <c r="AI397" s="666"/>
      <c r="AJ397" s="666"/>
      <c r="AK397" s="666"/>
      <c r="AL397" s="666"/>
      <c r="AM397" s="666"/>
      <c r="AN397" s="666"/>
      <c r="AO397" s="666"/>
      <c r="AP397" s="666"/>
      <c r="AQ397" s="666"/>
      <c r="AR397" s="666"/>
      <c r="AS397" s="666"/>
      <c r="AT397" s="666"/>
      <c r="AU397" s="666"/>
    </row>
    <row r="398" ht="15.75" customHeight="1">
      <c r="A398" s="671">
        <v>44362.0</v>
      </c>
      <c r="B398" s="672" t="s">
        <v>6293</v>
      </c>
      <c r="C398" s="673" t="s">
        <v>2346</v>
      </c>
      <c r="D398" s="641" t="s">
        <v>5038</v>
      </c>
      <c r="E398" s="669">
        <v>15000.0</v>
      </c>
      <c r="F398" s="641" t="s">
        <v>922</v>
      </c>
      <c r="G398" s="667" t="s">
        <v>120</v>
      </c>
      <c r="H398" s="667" t="s">
        <v>91</v>
      </c>
      <c r="I398" s="667" t="s">
        <v>521</v>
      </c>
      <c r="J398" s="667">
        <v>44319.0</v>
      </c>
      <c r="K398" s="670" t="s">
        <v>2341</v>
      </c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6"/>
      <c r="AB398" s="666"/>
      <c r="AC398" s="666"/>
      <c r="AD398" s="666"/>
      <c r="AE398" s="666"/>
      <c r="AF398" s="666"/>
      <c r="AG398" s="666"/>
      <c r="AH398" s="666"/>
      <c r="AI398" s="666"/>
      <c r="AJ398" s="666"/>
      <c r="AK398" s="666"/>
      <c r="AL398" s="666"/>
      <c r="AM398" s="666"/>
      <c r="AN398" s="666"/>
      <c r="AO398" s="666"/>
      <c r="AP398" s="666"/>
      <c r="AQ398" s="666"/>
      <c r="AR398" s="666"/>
      <c r="AS398" s="666"/>
      <c r="AT398" s="666"/>
      <c r="AU398" s="666"/>
    </row>
    <row r="399" ht="15.75" customHeight="1">
      <c r="A399" s="671">
        <v>44362.0</v>
      </c>
      <c r="B399" s="672" t="s">
        <v>6295</v>
      </c>
      <c r="C399" s="673" t="s">
        <v>98</v>
      </c>
      <c r="D399" s="641" t="s">
        <v>5038</v>
      </c>
      <c r="E399" s="669">
        <v>15000.0</v>
      </c>
      <c r="F399" s="641" t="s">
        <v>6296</v>
      </c>
      <c r="G399" s="641" t="s">
        <v>255</v>
      </c>
      <c r="H399" s="641" t="s">
        <v>199</v>
      </c>
      <c r="I399" s="641" t="s">
        <v>548</v>
      </c>
      <c r="J399" s="667">
        <v>44090.0</v>
      </c>
      <c r="K399" s="674" t="s">
        <v>2365</v>
      </c>
      <c r="L399" s="666"/>
      <c r="M399" s="666"/>
      <c r="N399" s="666"/>
      <c r="O399" s="666"/>
      <c r="P399" s="666"/>
      <c r="Q399" s="666"/>
      <c r="R399" s="666"/>
      <c r="S399" s="666"/>
      <c r="T399" s="666"/>
      <c r="U399" s="666"/>
      <c r="V399" s="666"/>
      <c r="W399" s="666"/>
      <c r="X399" s="666"/>
      <c r="Y399" s="666"/>
      <c r="Z399" s="666"/>
      <c r="AA399" s="666"/>
      <c r="AB399" s="666"/>
      <c r="AC399" s="666"/>
      <c r="AD399" s="666"/>
      <c r="AE399" s="666"/>
      <c r="AF399" s="666"/>
      <c r="AG399" s="666"/>
      <c r="AH399" s="666"/>
      <c r="AI399" s="666"/>
      <c r="AJ399" s="666"/>
      <c r="AK399" s="666"/>
      <c r="AL399" s="666"/>
      <c r="AM399" s="666"/>
      <c r="AN399" s="666"/>
      <c r="AO399" s="666"/>
      <c r="AP399" s="666"/>
      <c r="AQ399" s="666"/>
      <c r="AR399" s="666"/>
      <c r="AS399" s="666"/>
      <c r="AT399" s="666"/>
      <c r="AU399" s="666"/>
    </row>
    <row r="400" ht="15.75" customHeight="1">
      <c r="A400" s="671">
        <v>44363.0</v>
      </c>
      <c r="B400" s="672" t="s">
        <v>5270</v>
      </c>
      <c r="C400" s="673" t="s">
        <v>2346</v>
      </c>
      <c r="D400" s="641" t="s">
        <v>5038</v>
      </c>
      <c r="E400" s="669">
        <v>40000.0</v>
      </c>
      <c r="F400" s="641" t="s">
        <v>1227</v>
      </c>
      <c r="G400" s="667" t="s">
        <v>669</v>
      </c>
      <c r="H400" s="667" t="s">
        <v>199</v>
      </c>
      <c r="I400" s="667" t="s">
        <v>1228</v>
      </c>
      <c r="J400" s="667">
        <v>43564.0</v>
      </c>
      <c r="K400" s="670" t="s">
        <v>2372</v>
      </c>
      <c r="L400" s="666"/>
      <c r="M400" s="666"/>
      <c r="N400" s="666"/>
      <c r="O400" s="666"/>
      <c r="P400" s="666"/>
      <c r="Q400" s="666"/>
      <c r="R400" s="666"/>
      <c r="S400" s="666"/>
      <c r="T400" s="666"/>
      <c r="U400" s="666"/>
      <c r="V400" s="666"/>
      <c r="W400" s="666"/>
      <c r="X400" s="666"/>
      <c r="Y400" s="666"/>
      <c r="Z400" s="666"/>
      <c r="AA400" s="666"/>
      <c r="AB400" s="666"/>
      <c r="AC400" s="666"/>
      <c r="AD400" s="666"/>
      <c r="AE400" s="666"/>
      <c r="AF400" s="666"/>
      <c r="AG400" s="666"/>
      <c r="AH400" s="666"/>
      <c r="AI400" s="666"/>
      <c r="AJ400" s="666"/>
      <c r="AK400" s="666"/>
      <c r="AL400" s="666"/>
      <c r="AM400" s="666"/>
      <c r="AN400" s="666"/>
      <c r="AO400" s="666"/>
      <c r="AP400" s="666"/>
      <c r="AQ400" s="666"/>
      <c r="AR400" s="666"/>
      <c r="AS400" s="666"/>
      <c r="AT400" s="666"/>
      <c r="AU400" s="666"/>
    </row>
    <row r="401" ht="15.75" customHeight="1">
      <c r="A401" s="671">
        <v>44364.0</v>
      </c>
      <c r="B401" s="672" t="s">
        <v>6211</v>
      </c>
      <c r="C401" s="673" t="s">
        <v>2346</v>
      </c>
      <c r="D401" s="641" t="s">
        <v>5038</v>
      </c>
      <c r="E401" s="669">
        <v>11500.0</v>
      </c>
      <c r="F401" s="641" t="s">
        <v>6214</v>
      </c>
      <c r="G401" s="667" t="s">
        <v>120</v>
      </c>
      <c r="H401" s="667" t="s">
        <v>91</v>
      </c>
      <c r="I401" s="667" t="s">
        <v>193</v>
      </c>
      <c r="J401" s="667">
        <v>44322.0</v>
      </c>
      <c r="K401" s="670" t="s">
        <v>2341</v>
      </c>
      <c r="L401" s="666"/>
      <c r="M401" s="666"/>
      <c r="N401" s="666"/>
      <c r="O401" s="666"/>
      <c r="P401" s="666"/>
      <c r="Q401" s="666"/>
      <c r="R401" s="666"/>
      <c r="S401" s="666"/>
      <c r="T401" s="666"/>
      <c r="U401" s="666"/>
      <c r="V401" s="666"/>
      <c r="W401" s="666"/>
      <c r="X401" s="666"/>
      <c r="Y401" s="666"/>
      <c r="Z401" s="666"/>
      <c r="AA401" s="666"/>
      <c r="AB401" s="666"/>
      <c r="AC401" s="666"/>
      <c r="AD401" s="666"/>
      <c r="AE401" s="666"/>
      <c r="AF401" s="666"/>
      <c r="AG401" s="666"/>
      <c r="AH401" s="666"/>
      <c r="AI401" s="666"/>
      <c r="AJ401" s="666"/>
      <c r="AK401" s="666"/>
      <c r="AL401" s="666"/>
      <c r="AM401" s="666"/>
      <c r="AN401" s="666"/>
      <c r="AO401" s="666"/>
      <c r="AP401" s="666"/>
      <c r="AQ401" s="666"/>
      <c r="AR401" s="666"/>
      <c r="AS401" s="666"/>
      <c r="AT401" s="666"/>
      <c r="AU401" s="666"/>
    </row>
    <row r="402" ht="15.75" customHeight="1">
      <c r="A402" s="671">
        <v>44365.0</v>
      </c>
      <c r="B402" s="672" t="s">
        <v>6197</v>
      </c>
      <c r="C402" s="673" t="s">
        <v>2346</v>
      </c>
      <c r="D402" s="641" t="s">
        <v>5038</v>
      </c>
      <c r="E402" s="669">
        <v>100000.0</v>
      </c>
      <c r="F402" s="641" t="s">
        <v>3516</v>
      </c>
      <c r="G402" s="667" t="s">
        <v>120</v>
      </c>
      <c r="H402" s="667" t="s">
        <v>91</v>
      </c>
      <c r="I402" s="667" t="s">
        <v>193</v>
      </c>
      <c r="J402" s="667">
        <v>44295.0</v>
      </c>
      <c r="K402" s="670" t="s">
        <v>2319</v>
      </c>
      <c r="L402" s="666"/>
      <c r="M402" s="666"/>
      <c r="N402" s="666"/>
      <c r="O402" s="666"/>
      <c r="P402" s="666"/>
      <c r="Q402" s="666"/>
      <c r="R402" s="666"/>
      <c r="S402" s="666"/>
      <c r="T402" s="666"/>
      <c r="U402" s="666"/>
      <c r="V402" s="666"/>
      <c r="W402" s="666"/>
      <c r="X402" s="666"/>
      <c r="Y402" s="666"/>
      <c r="Z402" s="666"/>
      <c r="AA402" s="666"/>
      <c r="AB402" s="666"/>
      <c r="AC402" s="666"/>
      <c r="AD402" s="666"/>
      <c r="AE402" s="666"/>
      <c r="AF402" s="666"/>
      <c r="AG402" s="666"/>
      <c r="AH402" s="666"/>
      <c r="AI402" s="666"/>
      <c r="AJ402" s="666"/>
      <c r="AK402" s="666"/>
      <c r="AL402" s="666"/>
      <c r="AM402" s="666"/>
      <c r="AN402" s="666"/>
      <c r="AO402" s="666"/>
      <c r="AP402" s="666"/>
      <c r="AQ402" s="666"/>
      <c r="AR402" s="666"/>
      <c r="AS402" s="666"/>
      <c r="AT402" s="666"/>
      <c r="AU402" s="666"/>
    </row>
    <row r="403" ht="15.75" customHeight="1">
      <c r="A403" s="671">
        <v>44368.0</v>
      </c>
      <c r="B403" s="672" t="s">
        <v>5183</v>
      </c>
      <c r="C403" s="673" t="s">
        <v>2346</v>
      </c>
      <c r="D403" s="641" t="s">
        <v>5038</v>
      </c>
      <c r="E403" s="669">
        <v>100000.0</v>
      </c>
      <c r="F403" s="641" t="s">
        <v>1460</v>
      </c>
      <c r="G403" s="667" t="s">
        <v>669</v>
      </c>
      <c r="H403" s="667" t="s">
        <v>199</v>
      </c>
      <c r="I403" s="667" t="s">
        <v>1228</v>
      </c>
      <c r="J403" s="667">
        <v>43894.0</v>
      </c>
      <c r="K403" s="670" t="s">
        <v>2365</v>
      </c>
      <c r="L403" s="666"/>
      <c r="M403" s="666"/>
      <c r="N403" s="666"/>
      <c r="O403" s="666"/>
      <c r="P403" s="666"/>
      <c r="Q403" s="666"/>
      <c r="R403" s="666"/>
      <c r="S403" s="666"/>
      <c r="T403" s="666"/>
      <c r="U403" s="666"/>
      <c r="V403" s="666"/>
      <c r="W403" s="666"/>
      <c r="X403" s="666"/>
      <c r="Y403" s="666"/>
      <c r="Z403" s="666"/>
      <c r="AA403" s="666"/>
      <c r="AB403" s="666"/>
      <c r="AC403" s="666"/>
      <c r="AD403" s="666"/>
      <c r="AE403" s="666"/>
      <c r="AF403" s="666"/>
      <c r="AG403" s="666"/>
      <c r="AH403" s="666"/>
      <c r="AI403" s="666"/>
      <c r="AJ403" s="666"/>
      <c r="AK403" s="666"/>
      <c r="AL403" s="666"/>
      <c r="AM403" s="666"/>
      <c r="AN403" s="666"/>
      <c r="AO403" s="666"/>
      <c r="AP403" s="666"/>
      <c r="AQ403" s="666"/>
      <c r="AR403" s="666"/>
      <c r="AS403" s="666"/>
      <c r="AT403" s="666"/>
      <c r="AU403" s="666"/>
    </row>
    <row r="404" ht="15.75" customHeight="1">
      <c r="A404" s="671">
        <v>44368.0</v>
      </c>
      <c r="B404" s="672" t="s">
        <v>6316</v>
      </c>
      <c r="C404" s="673" t="s">
        <v>98</v>
      </c>
      <c r="D404" s="641" t="s">
        <v>427</v>
      </c>
      <c r="E404" s="669">
        <v>7000.0</v>
      </c>
      <c r="F404" s="641" t="s">
        <v>4555</v>
      </c>
      <c r="G404" s="641" t="s">
        <v>120</v>
      </c>
      <c r="H404" s="641" t="s">
        <v>199</v>
      </c>
      <c r="I404" s="641" t="s">
        <v>2339</v>
      </c>
      <c r="J404" s="667">
        <v>44075.0</v>
      </c>
      <c r="K404" s="674" t="s">
        <v>2341</v>
      </c>
      <c r="L404" s="666"/>
      <c r="M404" s="666"/>
      <c r="N404" s="666"/>
      <c r="O404" s="666"/>
      <c r="P404" s="666"/>
      <c r="Q404" s="666"/>
      <c r="R404" s="666"/>
      <c r="S404" s="666"/>
      <c r="T404" s="666"/>
      <c r="U404" s="666"/>
      <c r="V404" s="666"/>
      <c r="W404" s="666"/>
      <c r="X404" s="666"/>
      <c r="Y404" s="666"/>
      <c r="Z404" s="666"/>
      <c r="AA404" s="666"/>
      <c r="AB404" s="666"/>
      <c r="AC404" s="666"/>
      <c r="AD404" s="666"/>
      <c r="AE404" s="666"/>
      <c r="AF404" s="666"/>
      <c r="AG404" s="666"/>
      <c r="AH404" s="666"/>
      <c r="AI404" s="666"/>
      <c r="AJ404" s="666"/>
      <c r="AK404" s="666"/>
      <c r="AL404" s="666"/>
      <c r="AM404" s="666"/>
      <c r="AN404" s="666"/>
      <c r="AO404" s="666"/>
      <c r="AP404" s="666"/>
      <c r="AQ404" s="666"/>
      <c r="AR404" s="666"/>
      <c r="AS404" s="666"/>
      <c r="AT404" s="666"/>
      <c r="AU404" s="666"/>
    </row>
    <row r="405" ht="15.75" customHeight="1">
      <c r="A405" s="667">
        <v>44369.0</v>
      </c>
      <c r="B405" s="668" t="s">
        <v>5136</v>
      </c>
      <c r="C405" s="641" t="s">
        <v>98</v>
      </c>
      <c r="D405" s="641" t="s">
        <v>694</v>
      </c>
      <c r="E405" s="669">
        <v>0.0</v>
      </c>
      <c r="F405" s="641" t="s">
        <v>5139</v>
      </c>
      <c r="G405" s="641" t="s">
        <v>669</v>
      </c>
      <c r="H405" s="641" t="s">
        <v>199</v>
      </c>
      <c r="I405" s="641" t="s">
        <v>669</v>
      </c>
      <c r="J405" s="667">
        <v>43872.0</v>
      </c>
      <c r="K405" s="674" t="s">
        <v>2341</v>
      </c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6"/>
      <c r="AB405" s="666"/>
      <c r="AC405" s="666"/>
      <c r="AD405" s="666"/>
      <c r="AE405" s="666"/>
      <c r="AF405" s="666"/>
      <c r="AG405" s="666"/>
      <c r="AH405" s="666"/>
      <c r="AI405" s="666"/>
      <c r="AJ405" s="666"/>
      <c r="AK405" s="666"/>
      <c r="AL405" s="666"/>
      <c r="AM405" s="666"/>
      <c r="AN405" s="666"/>
      <c r="AO405" s="666"/>
      <c r="AP405" s="666"/>
      <c r="AQ405" s="666"/>
      <c r="AR405" s="666"/>
      <c r="AS405" s="666"/>
      <c r="AT405" s="666"/>
      <c r="AU405" s="666"/>
    </row>
    <row r="406" ht="15.75" customHeight="1">
      <c r="A406" s="671">
        <v>44369.0</v>
      </c>
      <c r="B406" s="672" t="s">
        <v>6222</v>
      </c>
      <c r="C406" s="673" t="s">
        <v>2346</v>
      </c>
      <c r="D406" s="641" t="s">
        <v>5038</v>
      </c>
      <c r="E406" s="669">
        <v>30000.0</v>
      </c>
      <c r="F406" s="641" t="s">
        <v>1489</v>
      </c>
      <c r="G406" s="667" t="s">
        <v>120</v>
      </c>
      <c r="H406" s="667" t="s">
        <v>91</v>
      </c>
      <c r="I406" s="667" t="s">
        <v>193</v>
      </c>
      <c r="J406" s="667">
        <v>44319.0</v>
      </c>
      <c r="K406" s="670" t="s">
        <v>2341</v>
      </c>
      <c r="L406" s="666"/>
      <c r="M406" s="666"/>
      <c r="N406" s="666"/>
      <c r="O406" s="666"/>
      <c r="P406" s="666"/>
      <c r="Q406" s="666"/>
      <c r="R406" s="666"/>
      <c r="S406" s="666"/>
      <c r="T406" s="666"/>
      <c r="U406" s="666"/>
      <c r="V406" s="666"/>
      <c r="W406" s="666"/>
      <c r="X406" s="666"/>
      <c r="Y406" s="666"/>
      <c r="Z406" s="666"/>
      <c r="AA406" s="666"/>
      <c r="AB406" s="666"/>
      <c r="AC406" s="666"/>
      <c r="AD406" s="666"/>
      <c r="AE406" s="666"/>
      <c r="AF406" s="666"/>
      <c r="AG406" s="666"/>
      <c r="AH406" s="666"/>
      <c r="AI406" s="666"/>
      <c r="AJ406" s="666"/>
      <c r="AK406" s="666"/>
      <c r="AL406" s="666"/>
      <c r="AM406" s="666"/>
      <c r="AN406" s="666"/>
      <c r="AO406" s="666"/>
      <c r="AP406" s="666"/>
      <c r="AQ406" s="666"/>
      <c r="AR406" s="666"/>
      <c r="AS406" s="666"/>
      <c r="AT406" s="666"/>
      <c r="AU406" s="666"/>
    </row>
    <row r="407" ht="15.75" customHeight="1">
      <c r="A407" s="671">
        <v>44370.0</v>
      </c>
      <c r="B407" s="672" t="s">
        <v>6323</v>
      </c>
      <c r="C407" s="673" t="s">
        <v>98</v>
      </c>
      <c r="D407" s="641" t="s">
        <v>5038</v>
      </c>
      <c r="E407" s="669">
        <v>10000.0</v>
      </c>
      <c r="F407" s="641" t="s">
        <v>5006</v>
      </c>
      <c r="G407" s="641" t="s">
        <v>255</v>
      </c>
      <c r="H407" s="641" t="s">
        <v>199</v>
      </c>
      <c r="I407" s="641" t="s">
        <v>3979</v>
      </c>
      <c r="J407" s="667">
        <v>44145.0</v>
      </c>
      <c r="K407" s="674" t="s">
        <v>2319</v>
      </c>
      <c r="L407" s="666"/>
      <c r="M407" s="666"/>
      <c r="N407" s="666"/>
      <c r="O407" s="666"/>
      <c r="P407" s="666"/>
      <c r="Q407" s="666"/>
      <c r="R407" s="666"/>
      <c r="S407" s="666"/>
      <c r="T407" s="666"/>
      <c r="U407" s="666"/>
      <c r="V407" s="666"/>
      <c r="W407" s="666"/>
      <c r="X407" s="666"/>
      <c r="Y407" s="666"/>
      <c r="Z407" s="666"/>
      <c r="AA407" s="666"/>
      <c r="AB407" s="666"/>
      <c r="AC407" s="666"/>
      <c r="AD407" s="666"/>
      <c r="AE407" s="666"/>
      <c r="AF407" s="666"/>
      <c r="AG407" s="666"/>
      <c r="AH407" s="666"/>
      <c r="AI407" s="666"/>
      <c r="AJ407" s="666"/>
      <c r="AK407" s="666"/>
      <c r="AL407" s="666"/>
      <c r="AM407" s="666"/>
      <c r="AN407" s="666"/>
      <c r="AO407" s="666"/>
      <c r="AP407" s="666"/>
      <c r="AQ407" s="666"/>
      <c r="AR407" s="666"/>
      <c r="AS407" s="666"/>
      <c r="AT407" s="666"/>
      <c r="AU407" s="666"/>
    </row>
    <row r="408" ht="15.75" customHeight="1">
      <c r="A408" s="671">
        <v>44371.0</v>
      </c>
      <c r="B408" s="672" t="s">
        <v>6329</v>
      </c>
      <c r="C408" s="673" t="s">
        <v>98</v>
      </c>
      <c r="D408" s="641" t="s">
        <v>5038</v>
      </c>
      <c r="E408" s="669">
        <v>150000.0</v>
      </c>
      <c r="F408" s="641" t="s">
        <v>6330</v>
      </c>
      <c r="G408" s="641" t="s">
        <v>120</v>
      </c>
      <c r="H408" s="641" t="s">
        <v>54</v>
      </c>
      <c r="I408" s="641" t="s">
        <v>379</v>
      </c>
      <c r="J408" s="667">
        <v>44349.0</v>
      </c>
      <c r="K408" s="674" t="s">
        <v>3701</v>
      </c>
      <c r="L408" s="666"/>
      <c r="M408" s="666"/>
      <c r="N408" s="666"/>
      <c r="O408" s="666"/>
      <c r="P408" s="666"/>
      <c r="Q408" s="666"/>
      <c r="R408" s="666"/>
      <c r="S408" s="666"/>
      <c r="T408" s="666"/>
      <c r="U408" s="666"/>
      <c r="V408" s="666"/>
      <c r="W408" s="666"/>
      <c r="X408" s="666"/>
      <c r="Y408" s="666"/>
      <c r="Z408" s="666"/>
      <c r="AA408" s="666"/>
      <c r="AB408" s="666"/>
      <c r="AC408" s="666"/>
      <c r="AD408" s="666"/>
      <c r="AE408" s="666"/>
      <c r="AF408" s="666"/>
      <c r="AG408" s="666"/>
      <c r="AH408" s="666"/>
      <c r="AI408" s="666"/>
      <c r="AJ408" s="666"/>
      <c r="AK408" s="666"/>
      <c r="AL408" s="666"/>
      <c r="AM408" s="666"/>
      <c r="AN408" s="666"/>
      <c r="AO408" s="666"/>
      <c r="AP408" s="666"/>
      <c r="AQ408" s="666"/>
      <c r="AR408" s="666"/>
      <c r="AS408" s="666"/>
      <c r="AT408" s="666"/>
      <c r="AU408" s="666"/>
    </row>
    <row r="409" ht="15.75" customHeight="1">
      <c r="A409" s="671">
        <v>44372.0</v>
      </c>
      <c r="B409" s="672" t="s">
        <v>5075</v>
      </c>
      <c r="C409" s="673" t="s">
        <v>2346</v>
      </c>
      <c r="D409" s="641" t="s">
        <v>5038</v>
      </c>
      <c r="E409" s="669">
        <v>200000.0</v>
      </c>
      <c r="F409" s="641" t="s">
        <v>956</v>
      </c>
      <c r="G409" s="667" t="s">
        <v>669</v>
      </c>
      <c r="H409" s="667" t="s">
        <v>199</v>
      </c>
      <c r="I409" s="667" t="s">
        <v>1228</v>
      </c>
      <c r="J409" s="667">
        <v>43605.0</v>
      </c>
      <c r="K409" s="670" t="s">
        <v>2365</v>
      </c>
      <c r="L409" s="666"/>
      <c r="M409" s="666"/>
      <c r="N409" s="666"/>
      <c r="O409" s="666"/>
      <c r="P409" s="666"/>
      <c r="Q409" s="666"/>
      <c r="R409" s="666"/>
      <c r="S409" s="666"/>
      <c r="T409" s="666"/>
      <c r="U409" s="666"/>
      <c r="V409" s="666"/>
      <c r="W409" s="666"/>
      <c r="X409" s="666"/>
      <c r="Y409" s="666"/>
      <c r="Z409" s="666"/>
      <c r="AA409" s="666"/>
      <c r="AB409" s="666"/>
      <c r="AC409" s="666"/>
      <c r="AD409" s="666"/>
      <c r="AE409" s="666"/>
      <c r="AF409" s="666"/>
      <c r="AG409" s="666"/>
      <c r="AH409" s="666"/>
      <c r="AI409" s="666"/>
      <c r="AJ409" s="666"/>
      <c r="AK409" s="666"/>
      <c r="AL409" s="666"/>
      <c r="AM409" s="666"/>
      <c r="AN409" s="666"/>
      <c r="AO409" s="666"/>
      <c r="AP409" s="666"/>
      <c r="AQ409" s="666"/>
      <c r="AR409" s="666"/>
      <c r="AS409" s="666"/>
      <c r="AT409" s="666"/>
      <c r="AU409" s="666"/>
    </row>
    <row r="410" ht="15.75" customHeight="1">
      <c r="A410" s="671">
        <v>44372.0</v>
      </c>
      <c r="B410" s="672" t="s">
        <v>6103</v>
      </c>
      <c r="C410" s="673" t="s">
        <v>2346</v>
      </c>
      <c r="D410" s="641" t="s">
        <v>5038</v>
      </c>
      <c r="E410" s="669">
        <v>60000.0</v>
      </c>
      <c r="F410" s="641" t="s">
        <v>6105</v>
      </c>
      <c r="G410" s="667" t="s">
        <v>120</v>
      </c>
      <c r="H410" s="667" t="s">
        <v>91</v>
      </c>
      <c r="I410" s="667" t="s">
        <v>193</v>
      </c>
      <c r="J410" s="667">
        <v>44279.0</v>
      </c>
      <c r="K410" s="670" t="s">
        <v>2341</v>
      </c>
      <c r="L410" s="666"/>
      <c r="M410" s="666"/>
      <c r="N410" s="666"/>
      <c r="O410" s="666"/>
      <c r="P410" s="666"/>
      <c r="Q410" s="666"/>
      <c r="R410" s="666"/>
      <c r="S410" s="666"/>
      <c r="T410" s="666"/>
      <c r="U410" s="666"/>
      <c r="V410" s="666"/>
      <c r="W410" s="666"/>
      <c r="X410" s="666"/>
      <c r="Y410" s="666"/>
      <c r="Z410" s="666"/>
      <c r="AA410" s="666"/>
      <c r="AB410" s="666"/>
      <c r="AC410" s="666"/>
      <c r="AD410" s="666"/>
      <c r="AE410" s="666"/>
      <c r="AF410" s="666"/>
      <c r="AG410" s="666"/>
      <c r="AH410" s="666"/>
      <c r="AI410" s="666"/>
      <c r="AJ410" s="666"/>
      <c r="AK410" s="666"/>
      <c r="AL410" s="666"/>
      <c r="AM410" s="666"/>
      <c r="AN410" s="666"/>
      <c r="AO410" s="666"/>
      <c r="AP410" s="666"/>
      <c r="AQ410" s="666"/>
      <c r="AR410" s="666"/>
      <c r="AS410" s="666"/>
      <c r="AT410" s="666"/>
      <c r="AU410" s="666"/>
    </row>
    <row r="411" ht="15.75" customHeight="1">
      <c r="A411" s="671">
        <v>44372.0</v>
      </c>
      <c r="B411" s="672" t="s">
        <v>6339</v>
      </c>
      <c r="C411" s="673" t="s">
        <v>98</v>
      </c>
      <c r="D411" s="641" t="s">
        <v>5038</v>
      </c>
      <c r="E411" s="669">
        <v>30000.0</v>
      </c>
      <c r="F411" s="641" t="s">
        <v>2674</v>
      </c>
      <c r="G411" s="641" t="s">
        <v>255</v>
      </c>
      <c r="H411" s="641" t="s">
        <v>199</v>
      </c>
      <c r="I411" s="628" t="s">
        <v>2676</v>
      </c>
      <c r="J411" s="667">
        <v>44180.0</v>
      </c>
      <c r="K411" s="674" t="s">
        <v>2365</v>
      </c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6"/>
      <c r="AB411" s="666"/>
      <c r="AC411" s="666"/>
      <c r="AD411" s="666"/>
      <c r="AE411" s="666"/>
      <c r="AF411" s="666"/>
      <c r="AG411" s="666"/>
      <c r="AH411" s="666"/>
      <c r="AI411" s="666"/>
      <c r="AJ411" s="666"/>
      <c r="AK411" s="666"/>
      <c r="AL411" s="666"/>
      <c r="AM411" s="666"/>
      <c r="AN411" s="666"/>
      <c r="AO411" s="666"/>
      <c r="AP411" s="666"/>
      <c r="AQ411" s="666"/>
      <c r="AR411" s="666"/>
      <c r="AS411" s="666"/>
      <c r="AT411" s="666"/>
      <c r="AU411" s="666"/>
    </row>
    <row r="412" ht="15.75" customHeight="1">
      <c r="A412" s="667">
        <v>44375.0</v>
      </c>
      <c r="B412" s="668" t="s">
        <v>6343</v>
      </c>
      <c r="C412" s="641" t="s">
        <v>2346</v>
      </c>
      <c r="D412" s="641" t="s">
        <v>694</v>
      </c>
      <c r="E412" s="669">
        <v>373842.57</v>
      </c>
      <c r="F412" s="641" t="s">
        <v>4757</v>
      </c>
      <c r="G412" s="667" t="s">
        <v>1096</v>
      </c>
      <c r="H412" s="667" t="s">
        <v>199</v>
      </c>
      <c r="I412" s="743" t="s">
        <v>1096</v>
      </c>
      <c r="J412" s="667">
        <v>43829.0</v>
      </c>
      <c r="K412" s="670" t="s">
        <v>2372</v>
      </c>
      <c r="L412" s="666"/>
      <c r="M412" s="666"/>
      <c r="N412" s="666"/>
      <c r="O412" s="666"/>
      <c r="P412" s="666"/>
      <c r="Q412" s="666"/>
      <c r="R412" s="666"/>
      <c r="S412" s="666"/>
      <c r="T412" s="666"/>
      <c r="U412" s="666"/>
      <c r="V412" s="666"/>
      <c r="W412" s="666"/>
      <c r="X412" s="666"/>
      <c r="Y412" s="666"/>
      <c r="Z412" s="666"/>
      <c r="AA412" s="666"/>
      <c r="AB412" s="666"/>
      <c r="AC412" s="666"/>
      <c r="AD412" s="666"/>
      <c r="AE412" s="666"/>
      <c r="AF412" s="666"/>
      <c r="AG412" s="666"/>
      <c r="AH412" s="666"/>
      <c r="AI412" s="666"/>
      <c r="AJ412" s="666"/>
      <c r="AK412" s="666"/>
      <c r="AL412" s="666"/>
      <c r="AM412" s="666"/>
      <c r="AN412" s="666"/>
      <c r="AO412" s="666"/>
      <c r="AP412" s="666"/>
      <c r="AQ412" s="666"/>
      <c r="AR412" s="666"/>
      <c r="AS412" s="666"/>
      <c r="AT412" s="666"/>
      <c r="AU412" s="666"/>
    </row>
    <row r="413" ht="15.75" customHeight="1">
      <c r="A413" s="671">
        <v>44375.0</v>
      </c>
      <c r="B413" s="672" t="s">
        <v>5583</v>
      </c>
      <c r="C413" s="673" t="s">
        <v>2346</v>
      </c>
      <c r="D413" s="641" t="s">
        <v>5038</v>
      </c>
      <c r="E413" s="669">
        <v>8000.0</v>
      </c>
      <c r="F413" s="641" t="s">
        <v>5588</v>
      </c>
      <c r="G413" s="667" t="s">
        <v>669</v>
      </c>
      <c r="H413" s="667" t="s">
        <v>199</v>
      </c>
      <c r="I413" s="667" t="s">
        <v>1228</v>
      </c>
      <c r="J413" s="667">
        <v>43873.0</v>
      </c>
      <c r="K413" s="670" t="s">
        <v>2341</v>
      </c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66"/>
      <c r="AB413" s="666"/>
      <c r="AC413" s="666"/>
      <c r="AD413" s="666"/>
      <c r="AE413" s="666"/>
      <c r="AF413" s="666"/>
      <c r="AG413" s="666"/>
      <c r="AH413" s="666"/>
      <c r="AI413" s="666"/>
      <c r="AJ413" s="666"/>
      <c r="AK413" s="666"/>
      <c r="AL413" s="666"/>
      <c r="AM413" s="666"/>
      <c r="AN413" s="666"/>
      <c r="AO413" s="666"/>
      <c r="AP413" s="666"/>
      <c r="AQ413" s="666"/>
      <c r="AR413" s="666"/>
      <c r="AS413" s="666"/>
      <c r="AT413" s="666"/>
      <c r="AU413" s="666"/>
    </row>
    <row r="414" ht="15.75" customHeight="1">
      <c r="A414" s="671">
        <v>44375.0</v>
      </c>
      <c r="B414" s="672" t="s">
        <v>5065</v>
      </c>
      <c r="C414" s="673" t="s">
        <v>2346</v>
      </c>
      <c r="D414" s="641" t="s">
        <v>5038</v>
      </c>
      <c r="E414" s="669">
        <v>504274.77</v>
      </c>
      <c r="F414" s="641" t="s">
        <v>5066</v>
      </c>
      <c r="G414" s="667" t="s">
        <v>669</v>
      </c>
      <c r="H414" s="667" t="s">
        <v>199</v>
      </c>
      <c r="I414" s="667" t="s">
        <v>1228</v>
      </c>
      <c r="J414" s="667">
        <v>43703.0</v>
      </c>
      <c r="K414" s="670" t="s">
        <v>4383</v>
      </c>
      <c r="L414" s="666"/>
      <c r="M414" s="666"/>
      <c r="N414" s="666"/>
      <c r="O414" s="666"/>
      <c r="P414" s="666"/>
      <c r="Q414" s="666"/>
      <c r="R414" s="666"/>
      <c r="S414" s="666"/>
      <c r="T414" s="666"/>
      <c r="U414" s="666"/>
      <c r="V414" s="666"/>
      <c r="W414" s="666"/>
      <c r="X414" s="666"/>
      <c r="Y414" s="666"/>
      <c r="Z414" s="666"/>
      <c r="AA414" s="666"/>
      <c r="AB414" s="666"/>
      <c r="AC414" s="666"/>
      <c r="AD414" s="666"/>
      <c r="AE414" s="666"/>
      <c r="AF414" s="666"/>
      <c r="AG414" s="666"/>
      <c r="AH414" s="666"/>
      <c r="AI414" s="666"/>
      <c r="AJ414" s="666"/>
      <c r="AK414" s="666"/>
      <c r="AL414" s="666"/>
      <c r="AM414" s="666"/>
      <c r="AN414" s="666"/>
      <c r="AO414" s="666"/>
      <c r="AP414" s="666"/>
      <c r="AQ414" s="666"/>
      <c r="AR414" s="666"/>
      <c r="AS414" s="666"/>
      <c r="AT414" s="666"/>
      <c r="AU414" s="666"/>
    </row>
    <row r="415" ht="15.75" customHeight="1">
      <c r="A415" s="671">
        <v>44375.0</v>
      </c>
      <c r="B415" s="672" t="s">
        <v>5065</v>
      </c>
      <c r="C415" s="673" t="s">
        <v>2346</v>
      </c>
      <c r="D415" s="641" t="s">
        <v>5038</v>
      </c>
      <c r="E415" s="669">
        <v>150000.0</v>
      </c>
      <c r="F415" s="641" t="s">
        <v>5066</v>
      </c>
      <c r="G415" s="667" t="s">
        <v>669</v>
      </c>
      <c r="H415" s="667" t="s">
        <v>199</v>
      </c>
      <c r="I415" s="667" t="s">
        <v>1228</v>
      </c>
      <c r="J415" s="667">
        <v>43703.0</v>
      </c>
      <c r="K415" s="670" t="s">
        <v>4383</v>
      </c>
      <c r="L415" s="666"/>
      <c r="M415" s="666"/>
      <c r="N415" s="666"/>
      <c r="O415" s="666"/>
      <c r="P415" s="666"/>
      <c r="Q415" s="666"/>
      <c r="R415" s="666"/>
      <c r="S415" s="666"/>
      <c r="T415" s="666"/>
      <c r="U415" s="666"/>
      <c r="V415" s="666"/>
      <c r="W415" s="666"/>
      <c r="X415" s="666"/>
      <c r="Y415" s="666"/>
      <c r="Z415" s="666"/>
      <c r="AA415" s="666"/>
      <c r="AB415" s="666"/>
      <c r="AC415" s="666"/>
      <c r="AD415" s="666"/>
      <c r="AE415" s="666"/>
      <c r="AF415" s="666"/>
      <c r="AG415" s="666"/>
      <c r="AH415" s="666"/>
      <c r="AI415" s="666"/>
      <c r="AJ415" s="666"/>
      <c r="AK415" s="666"/>
      <c r="AL415" s="666"/>
      <c r="AM415" s="666"/>
      <c r="AN415" s="666"/>
      <c r="AO415" s="666"/>
      <c r="AP415" s="666"/>
      <c r="AQ415" s="666"/>
      <c r="AR415" s="666"/>
      <c r="AS415" s="666"/>
      <c r="AT415" s="666"/>
      <c r="AU415" s="666"/>
    </row>
    <row r="416" ht="15.75" customHeight="1">
      <c r="A416" s="671">
        <v>44375.0</v>
      </c>
      <c r="B416" s="672" t="s">
        <v>6232</v>
      </c>
      <c r="C416" s="673" t="s">
        <v>2346</v>
      </c>
      <c r="D416" s="641" t="s">
        <v>5038</v>
      </c>
      <c r="E416" s="669">
        <v>399197.6</v>
      </c>
      <c r="F416" s="641" t="s">
        <v>1250</v>
      </c>
      <c r="G416" s="667" t="s">
        <v>120</v>
      </c>
      <c r="H416" s="667" t="s">
        <v>91</v>
      </c>
      <c r="I416" s="667" t="s">
        <v>521</v>
      </c>
      <c r="J416" s="667">
        <v>44322.0</v>
      </c>
      <c r="K416" s="670" t="s">
        <v>2341</v>
      </c>
      <c r="L416" s="666"/>
      <c r="M416" s="666"/>
      <c r="N416" s="666"/>
      <c r="O416" s="666"/>
      <c r="P416" s="666"/>
      <c r="Q416" s="666"/>
      <c r="R416" s="666"/>
      <c r="S416" s="666"/>
      <c r="T416" s="666"/>
      <c r="U416" s="666"/>
      <c r="V416" s="666"/>
      <c r="W416" s="666"/>
      <c r="X416" s="666"/>
      <c r="Y416" s="666"/>
      <c r="Z416" s="666"/>
      <c r="AA416" s="666"/>
      <c r="AB416" s="666"/>
      <c r="AC416" s="666"/>
      <c r="AD416" s="666"/>
      <c r="AE416" s="666"/>
      <c r="AF416" s="666"/>
      <c r="AG416" s="666"/>
      <c r="AH416" s="666"/>
      <c r="AI416" s="666"/>
      <c r="AJ416" s="666"/>
      <c r="AK416" s="666"/>
      <c r="AL416" s="666"/>
      <c r="AM416" s="666"/>
      <c r="AN416" s="666"/>
      <c r="AO416" s="666"/>
      <c r="AP416" s="666"/>
      <c r="AQ416" s="666"/>
      <c r="AR416" s="666"/>
      <c r="AS416" s="666"/>
      <c r="AT416" s="666"/>
      <c r="AU416" s="666"/>
    </row>
    <row r="417" ht="15.75" customHeight="1">
      <c r="A417" s="671">
        <v>44376.0</v>
      </c>
      <c r="B417" s="672" t="s">
        <v>6367</v>
      </c>
      <c r="C417" s="673" t="s">
        <v>2346</v>
      </c>
      <c r="D417" s="641" t="s">
        <v>5038</v>
      </c>
      <c r="E417" s="669">
        <v>45000.0</v>
      </c>
      <c r="F417" s="641" t="s">
        <v>5536</v>
      </c>
      <c r="G417" s="667" t="s">
        <v>120</v>
      </c>
      <c r="H417" s="667" t="s">
        <v>91</v>
      </c>
      <c r="I417" s="667" t="s">
        <v>521</v>
      </c>
      <c r="J417" s="667">
        <v>44313.0</v>
      </c>
      <c r="K417" s="670" t="s">
        <v>2341</v>
      </c>
      <c r="L417" s="666"/>
      <c r="M417" s="666"/>
      <c r="N417" s="666"/>
      <c r="O417" s="666"/>
      <c r="P417" s="666"/>
      <c r="Q417" s="666"/>
      <c r="R417" s="666"/>
      <c r="S417" s="666"/>
      <c r="T417" s="666"/>
      <c r="U417" s="666"/>
      <c r="V417" s="666"/>
      <c r="W417" s="666"/>
      <c r="X417" s="666"/>
      <c r="Y417" s="666"/>
      <c r="Z417" s="666"/>
      <c r="AA417" s="666"/>
      <c r="AB417" s="666"/>
      <c r="AC417" s="666"/>
      <c r="AD417" s="666"/>
      <c r="AE417" s="666"/>
      <c r="AF417" s="666"/>
      <c r="AG417" s="666"/>
      <c r="AH417" s="666"/>
      <c r="AI417" s="666"/>
      <c r="AJ417" s="666"/>
      <c r="AK417" s="666"/>
      <c r="AL417" s="666"/>
      <c r="AM417" s="666"/>
      <c r="AN417" s="666"/>
      <c r="AO417" s="666"/>
      <c r="AP417" s="666"/>
      <c r="AQ417" s="666"/>
      <c r="AR417" s="666"/>
      <c r="AS417" s="666"/>
      <c r="AT417" s="666"/>
      <c r="AU417" s="666"/>
    </row>
    <row r="418" ht="15.75" customHeight="1">
      <c r="A418" s="671">
        <v>44377.0</v>
      </c>
      <c r="B418" s="672" t="s">
        <v>6371</v>
      </c>
      <c r="C418" s="673" t="s">
        <v>2346</v>
      </c>
      <c r="D418" s="641" t="s">
        <v>5038</v>
      </c>
      <c r="E418" s="669">
        <v>40000.0</v>
      </c>
      <c r="F418" s="641" t="s">
        <v>5624</v>
      </c>
      <c r="G418" s="667" t="s">
        <v>120</v>
      </c>
      <c r="H418" s="667" t="s">
        <v>91</v>
      </c>
      <c r="I418" s="667" t="s">
        <v>521</v>
      </c>
      <c r="J418" s="667">
        <v>44280.0</v>
      </c>
      <c r="K418" s="670" t="s">
        <v>2356</v>
      </c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6"/>
      <c r="AB418" s="666"/>
      <c r="AC418" s="666"/>
      <c r="AD418" s="666"/>
      <c r="AE418" s="666"/>
      <c r="AF418" s="666"/>
      <c r="AG418" s="666"/>
      <c r="AH418" s="666"/>
      <c r="AI418" s="666"/>
      <c r="AJ418" s="666"/>
      <c r="AK418" s="666"/>
      <c r="AL418" s="666"/>
      <c r="AM418" s="666"/>
      <c r="AN418" s="666"/>
      <c r="AO418" s="666"/>
      <c r="AP418" s="666"/>
      <c r="AQ418" s="666"/>
      <c r="AR418" s="666"/>
      <c r="AS418" s="666"/>
      <c r="AT418" s="666"/>
      <c r="AU418" s="666"/>
    </row>
    <row r="419" ht="15.75" customHeight="1">
      <c r="A419" s="671">
        <v>44377.0</v>
      </c>
      <c r="B419" s="672" t="s">
        <v>6057</v>
      </c>
      <c r="C419" s="673" t="s">
        <v>2346</v>
      </c>
      <c r="D419" s="641" t="s">
        <v>5038</v>
      </c>
      <c r="E419" s="669">
        <v>10000.0</v>
      </c>
      <c r="F419" s="641" t="s">
        <v>4806</v>
      </c>
      <c r="G419" s="667" t="s">
        <v>120</v>
      </c>
      <c r="H419" s="667" t="s">
        <v>91</v>
      </c>
      <c r="I419" s="667" t="s">
        <v>193</v>
      </c>
      <c r="J419" s="667">
        <v>44298.0</v>
      </c>
      <c r="K419" s="670" t="s">
        <v>2341</v>
      </c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66"/>
      <c r="AB419" s="666"/>
      <c r="AC419" s="666"/>
      <c r="AD419" s="666"/>
      <c r="AE419" s="666"/>
      <c r="AF419" s="666"/>
      <c r="AG419" s="666"/>
      <c r="AH419" s="666"/>
      <c r="AI419" s="666"/>
      <c r="AJ419" s="666"/>
      <c r="AK419" s="666"/>
      <c r="AL419" s="666"/>
      <c r="AM419" s="666"/>
      <c r="AN419" s="666"/>
      <c r="AO419" s="666"/>
      <c r="AP419" s="666"/>
      <c r="AQ419" s="666"/>
      <c r="AR419" s="666"/>
      <c r="AS419" s="666"/>
      <c r="AT419" s="666"/>
      <c r="AU419" s="666"/>
    </row>
    <row r="420" ht="15.75" customHeight="1">
      <c r="A420" s="671">
        <v>44377.0</v>
      </c>
      <c r="B420" s="672" t="s">
        <v>5183</v>
      </c>
      <c r="C420" s="673" t="s">
        <v>2346</v>
      </c>
      <c r="D420" s="641" t="s">
        <v>5038</v>
      </c>
      <c r="E420" s="669">
        <v>62000.0</v>
      </c>
      <c r="F420" s="641" t="s">
        <v>1460</v>
      </c>
      <c r="G420" s="667" t="s">
        <v>669</v>
      </c>
      <c r="H420" s="667" t="s">
        <v>199</v>
      </c>
      <c r="I420" s="667" t="s">
        <v>1228</v>
      </c>
      <c r="J420" s="667">
        <v>43894.0</v>
      </c>
      <c r="K420" s="670" t="s">
        <v>2365</v>
      </c>
      <c r="L420" s="666"/>
      <c r="M420" s="666"/>
      <c r="N420" s="666"/>
      <c r="O420" s="666"/>
      <c r="P420" s="666"/>
      <c r="Q420" s="666"/>
      <c r="R420" s="666"/>
      <c r="S420" s="666"/>
      <c r="T420" s="666"/>
      <c r="U420" s="666"/>
      <c r="V420" s="666"/>
      <c r="W420" s="666"/>
      <c r="X420" s="666"/>
      <c r="Y420" s="666"/>
      <c r="Z420" s="666"/>
      <c r="AA420" s="666"/>
      <c r="AB420" s="666"/>
      <c r="AC420" s="666"/>
      <c r="AD420" s="666"/>
      <c r="AE420" s="666"/>
      <c r="AF420" s="666"/>
      <c r="AG420" s="666"/>
      <c r="AH420" s="666"/>
      <c r="AI420" s="666"/>
      <c r="AJ420" s="666"/>
      <c r="AK420" s="666"/>
      <c r="AL420" s="666"/>
      <c r="AM420" s="666"/>
      <c r="AN420" s="666"/>
      <c r="AO420" s="666"/>
      <c r="AP420" s="666"/>
      <c r="AQ420" s="666"/>
      <c r="AR420" s="666"/>
      <c r="AS420" s="666"/>
      <c r="AT420" s="666"/>
      <c r="AU420" s="666"/>
    </row>
    <row r="421" ht="15.75" customHeight="1">
      <c r="A421" s="671">
        <v>44377.0</v>
      </c>
      <c r="B421" s="672" t="s">
        <v>6384</v>
      </c>
      <c r="C421" s="673" t="s">
        <v>98</v>
      </c>
      <c r="D421" s="641" t="s">
        <v>5038</v>
      </c>
      <c r="E421" s="669">
        <v>10000.0</v>
      </c>
      <c r="F421" s="641" t="s">
        <v>5267</v>
      </c>
      <c r="G421" s="641" t="s">
        <v>255</v>
      </c>
      <c r="H421" s="641" t="s">
        <v>199</v>
      </c>
      <c r="I421" s="641" t="s">
        <v>368</v>
      </c>
      <c r="J421" s="667">
        <v>44102.0</v>
      </c>
      <c r="K421" s="674" t="s">
        <v>2341</v>
      </c>
      <c r="L421" s="666"/>
      <c r="M421" s="666"/>
      <c r="N421" s="666"/>
      <c r="O421" s="666"/>
      <c r="P421" s="666"/>
      <c r="Q421" s="666"/>
      <c r="R421" s="666"/>
      <c r="S421" s="666"/>
      <c r="T421" s="666"/>
      <c r="U421" s="666"/>
      <c r="V421" s="666"/>
      <c r="W421" s="666"/>
      <c r="X421" s="666"/>
      <c r="Y421" s="666"/>
      <c r="Z421" s="666"/>
      <c r="AA421" s="666"/>
      <c r="AB421" s="666"/>
      <c r="AC421" s="666"/>
      <c r="AD421" s="666"/>
      <c r="AE421" s="666"/>
      <c r="AF421" s="666"/>
      <c r="AG421" s="666"/>
      <c r="AH421" s="666"/>
      <c r="AI421" s="666"/>
      <c r="AJ421" s="666"/>
      <c r="AK421" s="666"/>
      <c r="AL421" s="666"/>
      <c r="AM421" s="666"/>
      <c r="AN421" s="666"/>
      <c r="AO421" s="666"/>
      <c r="AP421" s="666"/>
      <c r="AQ421" s="666"/>
      <c r="AR421" s="666"/>
      <c r="AS421" s="666"/>
      <c r="AT421" s="666"/>
      <c r="AU421" s="666"/>
    </row>
    <row r="422" ht="15.75" customHeight="1">
      <c r="A422" s="667">
        <v>44378.0</v>
      </c>
      <c r="B422" s="668" t="s">
        <v>6388</v>
      </c>
      <c r="C422" s="641" t="s">
        <v>98</v>
      </c>
      <c r="D422" s="641" t="s">
        <v>694</v>
      </c>
      <c r="E422" s="669">
        <v>0.0</v>
      </c>
      <c r="F422" s="641" t="s">
        <v>4805</v>
      </c>
      <c r="G422" s="641" t="s">
        <v>120</v>
      </c>
      <c r="H422" s="641" t="s">
        <v>199</v>
      </c>
      <c r="I422" s="641" t="s">
        <v>4744</v>
      </c>
      <c r="J422" s="667">
        <v>44260.0</v>
      </c>
      <c r="K422" s="674" t="s">
        <v>2372</v>
      </c>
      <c r="L422" s="666"/>
      <c r="M422" s="666"/>
      <c r="N422" s="666"/>
      <c r="O422" s="666"/>
      <c r="P422" s="666"/>
      <c r="Q422" s="666"/>
      <c r="R422" s="666"/>
      <c r="S422" s="666"/>
      <c r="T422" s="666"/>
      <c r="U422" s="666"/>
      <c r="V422" s="666"/>
      <c r="W422" s="666"/>
      <c r="X422" s="666"/>
      <c r="Y422" s="666"/>
      <c r="Z422" s="666"/>
      <c r="AA422" s="666"/>
      <c r="AB422" s="666"/>
      <c r="AC422" s="666"/>
      <c r="AD422" s="666"/>
      <c r="AE422" s="666"/>
      <c r="AF422" s="666"/>
      <c r="AG422" s="666"/>
      <c r="AH422" s="666"/>
      <c r="AI422" s="666"/>
      <c r="AJ422" s="666"/>
      <c r="AK422" s="666"/>
      <c r="AL422" s="666"/>
      <c r="AM422" s="666"/>
      <c r="AN422" s="666"/>
      <c r="AO422" s="666"/>
      <c r="AP422" s="666"/>
      <c r="AQ422" s="666"/>
      <c r="AR422" s="666"/>
      <c r="AS422" s="666"/>
      <c r="AT422" s="666"/>
      <c r="AU422" s="666"/>
    </row>
    <row r="423" ht="15.75" customHeight="1">
      <c r="A423" s="667">
        <v>44378.0</v>
      </c>
      <c r="B423" s="668" t="s">
        <v>6393</v>
      </c>
      <c r="C423" s="641" t="s">
        <v>98</v>
      </c>
      <c r="D423" s="641" t="s">
        <v>694</v>
      </c>
      <c r="E423" s="669">
        <v>0.0</v>
      </c>
      <c r="F423" s="641" t="s">
        <v>5472</v>
      </c>
      <c r="G423" s="641" t="s">
        <v>120</v>
      </c>
      <c r="H423" s="641" t="s">
        <v>199</v>
      </c>
      <c r="I423" s="641" t="s">
        <v>4744</v>
      </c>
      <c r="J423" s="667">
        <v>44166.0</v>
      </c>
      <c r="K423" s="674" t="s">
        <v>2341</v>
      </c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666"/>
      <c r="AB423" s="666"/>
      <c r="AC423" s="666"/>
      <c r="AD423" s="666"/>
      <c r="AE423" s="666"/>
      <c r="AF423" s="666"/>
      <c r="AG423" s="666"/>
      <c r="AH423" s="666"/>
      <c r="AI423" s="666"/>
      <c r="AJ423" s="666"/>
      <c r="AK423" s="666"/>
      <c r="AL423" s="666"/>
      <c r="AM423" s="666"/>
      <c r="AN423" s="666"/>
      <c r="AO423" s="666"/>
      <c r="AP423" s="666"/>
      <c r="AQ423" s="666"/>
      <c r="AR423" s="666"/>
      <c r="AS423" s="666"/>
      <c r="AT423" s="666"/>
      <c r="AU423" s="666"/>
    </row>
    <row r="424" ht="15.75" customHeight="1">
      <c r="A424" s="667">
        <v>44378.0</v>
      </c>
      <c r="B424" s="668" t="s">
        <v>6396</v>
      </c>
      <c r="C424" s="641" t="s">
        <v>98</v>
      </c>
      <c r="D424" s="641" t="s">
        <v>694</v>
      </c>
      <c r="E424" s="669">
        <v>0.0</v>
      </c>
      <c r="F424" s="641" t="s">
        <v>6397</v>
      </c>
      <c r="G424" s="641" t="s">
        <v>120</v>
      </c>
      <c r="H424" s="641" t="s">
        <v>199</v>
      </c>
      <c r="I424" s="641" t="s">
        <v>4744</v>
      </c>
      <c r="J424" s="667">
        <v>44291.0</v>
      </c>
      <c r="K424" s="674" t="s">
        <v>2372</v>
      </c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6"/>
      <c r="AB424" s="666"/>
      <c r="AC424" s="666"/>
      <c r="AD424" s="666"/>
      <c r="AE424" s="666"/>
      <c r="AF424" s="666"/>
      <c r="AG424" s="666"/>
      <c r="AH424" s="666"/>
      <c r="AI424" s="666"/>
      <c r="AJ424" s="666"/>
      <c r="AK424" s="666"/>
      <c r="AL424" s="666"/>
      <c r="AM424" s="666"/>
      <c r="AN424" s="666"/>
      <c r="AO424" s="666"/>
      <c r="AP424" s="666"/>
      <c r="AQ424" s="666"/>
      <c r="AR424" s="666"/>
      <c r="AS424" s="666"/>
      <c r="AT424" s="666"/>
      <c r="AU424" s="666"/>
    </row>
    <row r="425" ht="15.75" customHeight="1">
      <c r="A425" s="667">
        <v>44378.0</v>
      </c>
      <c r="B425" s="668" t="s">
        <v>6400</v>
      </c>
      <c r="C425" s="641" t="s">
        <v>98</v>
      </c>
      <c r="D425" s="641" t="s">
        <v>694</v>
      </c>
      <c r="E425" s="669">
        <v>0.0</v>
      </c>
      <c r="F425" s="641" t="s">
        <v>6404</v>
      </c>
      <c r="G425" s="641" t="s">
        <v>120</v>
      </c>
      <c r="H425" s="641" t="s">
        <v>199</v>
      </c>
      <c r="I425" s="641" t="s">
        <v>4744</v>
      </c>
      <c r="J425" s="667">
        <v>44166.0</v>
      </c>
      <c r="K425" s="674" t="s">
        <v>2341</v>
      </c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66"/>
      <c r="AB425" s="666"/>
      <c r="AC425" s="666"/>
      <c r="AD425" s="666"/>
      <c r="AE425" s="666"/>
      <c r="AF425" s="666"/>
      <c r="AG425" s="666"/>
      <c r="AH425" s="666"/>
      <c r="AI425" s="666"/>
      <c r="AJ425" s="666"/>
      <c r="AK425" s="666"/>
      <c r="AL425" s="666"/>
      <c r="AM425" s="666"/>
      <c r="AN425" s="666"/>
      <c r="AO425" s="666"/>
      <c r="AP425" s="666"/>
      <c r="AQ425" s="666"/>
      <c r="AR425" s="666"/>
      <c r="AS425" s="666"/>
      <c r="AT425" s="666"/>
      <c r="AU425" s="666"/>
    </row>
    <row r="426" ht="15.75" customHeight="1">
      <c r="A426" s="671">
        <v>44378.0</v>
      </c>
      <c r="B426" s="672" t="s">
        <v>6411</v>
      </c>
      <c r="C426" s="673" t="s">
        <v>2346</v>
      </c>
      <c r="D426" s="641" t="s">
        <v>5038</v>
      </c>
      <c r="E426" s="669">
        <v>20000.0</v>
      </c>
      <c r="F426" s="641" t="s">
        <v>2966</v>
      </c>
      <c r="G426" s="667" t="s">
        <v>120</v>
      </c>
      <c r="H426" s="667" t="s">
        <v>91</v>
      </c>
      <c r="I426" s="667" t="s">
        <v>521</v>
      </c>
      <c r="J426" s="667">
        <v>44358.0</v>
      </c>
      <c r="K426" s="670" t="s">
        <v>2341</v>
      </c>
      <c r="L426" s="666"/>
      <c r="M426" s="666"/>
      <c r="N426" s="666"/>
      <c r="O426" s="666"/>
      <c r="P426" s="666"/>
      <c r="Q426" s="666"/>
      <c r="R426" s="666"/>
      <c r="S426" s="666"/>
      <c r="T426" s="666"/>
      <c r="U426" s="666"/>
      <c r="V426" s="666"/>
      <c r="W426" s="666"/>
      <c r="X426" s="666"/>
      <c r="Y426" s="666"/>
      <c r="Z426" s="666"/>
      <c r="AA426" s="666"/>
      <c r="AB426" s="666"/>
      <c r="AC426" s="666"/>
      <c r="AD426" s="666"/>
      <c r="AE426" s="666"/>
      <c r="AF426" s="666"/>
      <c r="AG426" s="666"/>
      <c r="AH426" s="666"/>
      <c r="AI426" s="666"/>
      <c r="AJ426" s="666"/>
      <c r="AK426" s="666"/>
      <c r="AL426" s="666"/>
      <c r="AM426" s="666"/>
      <c r="AN426" s="666"/>
      <c r="AO426" s="666"/>
      <c r="AP426" s="666"/>
      <c r="AQ426" s="666"/>
      <c r="AR426" s="666"/>
      <c r="AS426" s="666"/>
      <c r="AT426" s="666"/>
      <c r="AU426" s="666"/>
    </row>
    <row r="427" ht="15.75" customHeight="1">
      <c r="A427" s="671">
        <v>44378.0</v>
      </c>
      <c r="B427" s="672" t="s">
        <v>6415</v>
      </c>
      <c r="C427" s="673" t="s">
        <v>98</v>
      </c>
      <c r="D427" s="641" t="s">
        <v>5038</v>
      </c>
      <c r="E427" s="669">
        <v>50000.0</v>
      </c>
      <c r="F427" s="641" t="s">
        <v>6227</v>
      </c>
      <c r="G427" s="641" t="s">
        <v>255</v>
      </c>
      <c r="H427" s="641" t="s">
        <v>199</v>
      </c>
      <c r="I427" s="641" t="s">
        <v>3877</v>
      </c>
      <c r="J427" s="667">
        <v>44183.0</v>
      </c>
      <c r="K427" s="674" t="s">
        <v>2341</v>
      </c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66"/>
      <c r="AB427" s="666"/>
      <c r="AC427" s="666"/>
      <c r="AD427" s="666"/>
      <c r="AE427" s="666"/>
      <c r="AF427" s="666"/>
      <c r="AG427" s="666"/>
      <c r="AH427" s="666"/>
      <c r="AI427" s="666"/>
      <c r="AJ427" s="666"/>
      <c r="AK427" s="666"/>
      <c r="AL427" s="666"/>
      <c r="AM427" s="666"/>
      <c r="AN427" s="666"/>
      <c r="AO427" s="666"/>
      <c r="AP427" s="666"/>
      <c r="AQ427" s="666"/>
      <c r="AR427" s="666"/>
      <c r="AS427" s="666"/>
      <c r="AT427" s="666"/>
      <c r="AU427" s="666"/>
    </row>
    <row r="428" ht="15.75" customHeight="1">
      <c r="A428" s="671">
        <v>44378.0</v>
      </c>
      <c r="B428" s="672" t="s">
        <v>6421</v>
      </c>
      <c r="C428" s="673" t="s">
        <v>2346</v>
      </c>
      <c r="D428" s="641" t="s">
        <v>5038</v>
      </c>
      <c r="E428" s="669">
        <v>13000.0</v>
      </c>
      <c r="F428" s="641" t="s">
        <v>4848</v>
      </c>
      <c r="G428" s="667" t="s">
        <v>120</v>
      </c>
      <c r="H428" s="667" t="s">
        <v>91</v>
      </c>
      <c r="I428" s="667" t="s">
        <v>521</v>
      </c>
      <c r="J428" s="667">
        <v>44322.0</v>
      </c>
      <c r="K428" s="670" t="s">
        <v>2341</v>
      </c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666"/>
      <c r="AB428" s="666"/>
      <c r="AC428" s="666"/>
      <c r="AD428" s="666"/>
      <c r="AE428" s="666"/>
      <c r="AF428" s="666"/>
      <c r="AG428" s="666"/>
      <c r="AH428" s="666"/>
      <c r="AI428" s="666"/>
      <c r="AJ428" s="666"/>
      <c r="AK428" s="666"/>
      <c r="AL428" s="666"/>
      <c r="AM428" s="666"/>
      <c r="AN428" s="666"/>
      <c r="AO428" s="666"/>
      <c r="AP428" s="666"/>
      <c r="AQ428" s="666"/>
      <c r="AR428" s="666"/>
      <c r="AS428" s="666"/>
      <c r="AT428" s="666"/>
      <c r="AU428" s="666"/>
    </row>
    <row r="429" ht="15.75" customHeight="1">
      <c r="A429" s="671">
        <v>44378.0</v>
      </c>
      <c r="B429" s="672" t="s">
        <v>5711</v>
      </c>
      <c r="C429" s="673" t="s">
        <v>2346</v>
      </c>
      <c r="D429" s="641" t="s">
        <v>5038</v>
      </c>
      <c r="E429" s="669">
        <v>46000.0</v>
      </c>
      <c r="F429" s="641" t="s">
        <v>4401</v>
      </c>
      <c r="G429" s="667" t="s">
        <v>120</v>
      </c>
      <c r="H429" s="667" t="s">
        <v>91</v>
      </c>
      <c r="I429" s="667" t="s">
        <v>521</v>
      </c>
      <c r="J429" s="667">
        <v>44321.0</v>
      </c>
      <c r="K429" s="670" t="s">
        <v>2341</v>
      </c>
      <c r="L429" s="666"/>
      <c r="M429" s="666"/>
      <c r="N429" s="666"/>
      <c r="O429" s="666"/>
      <c r="P429" s="666"/>
      <c r="Q429" s="666"/>
      <c r="R429" s="666"/>
      <c r="S429" s="666"/>
      <c r="T429" s="666"/>
      <c r="U429" s="666"/>
      <c r="V429" s="666"/>
      <c r="W429" s="666"/>
      <c r="X429" s="666"/>
      <c r="Y429" s="666"/>
      <c r="Z429" s="666"/>
      <c r="AA429" s="666"/>
      <c r="AB429" s="666"/>
      <c r="AC429" s="666"/>
      <c r="AD429" s="666"/>
      <c r="AE429" s="666"/>
      <c r="AF429" s="666"/>
      <c r="AG429" s="666"/>
      <c r="AH429" s="666"/>
      <c r="AI429" s="666"/>
      <c r="AJ429" s="666"/>
      <c r="AK429" s="666"/>
      <c r="AL429" s="666"/>
      <c r="AM429" s="666"/>
      <c r="AN429" s="666"/>
      <c r="AO429" s="666"/>
      <c r="AP429" s="666"/>
      <c r="AQ429" s="666"/>
      <c r="AR429" s="666"/>
      <c r="AS429" s="666"/>
      <c r="AT429" s="666"/>
      <c r="AU429" s="666"/>
    </row>
    <row r="430" ht="15.75" customHeight="1">
      <c r="A430" s="671">
        <v>44379.0</v>
      </c>
      <c r="B430" s="672" t="s">
        <v>6211</v>
      </c>
      <c r="C430" s="673" t="s">
        <v>2346</v>
      </c>
      <c r="D430" s="641" t="s">
        <v>5038</v>
      </c>
      <c r="E430" s="669">
        <v>60000.0</v>
      </c>
      <c r="F430" s="641" t="s">
        <v>6214</v>
      </c>
      <c r="G430" s="667" t="s">
        <v>120</v>
      </c>
      <c r="H430" s="667" t="s">
        <v>91</v>
      </c>
      <c r="I430" s="667" t="s">
        <v>193</v>
      </c>
      <c r="J430" s="667">
        <v>44322.0</v>
      </c>
      <c r="K430" s="670" t="s">
        <v>2341</v>
      </c>
      <c r="L430" s="666"/>
      <c r="M430" s="666"/>
      <c r="N430" s="666"/>
      <c r="O430" s="666"/>
      <c r="P430" s="666"/>
      <c r="Q430" s="666"/>
      <c r="R430" s="666"/>
      <c r="S430" s="666"/>
      <c r="T430" s="666"/>
      <c r="U430" s="666"/>
      <c r="V430" s="666"/>
      <c r="W430" s="666"/>
      <c r="X430" s="666"/>
      <c r="Y430" s="666"/>
      <c r="Z430" s="666"/>
      <c r="AA430" s="666"/>
      <c r="AB430" s="666"/>
      <c r="AC430" s="666"/>
      <c r="AD430" s="666"/>
      <c r="AE430" s="666"/>
      <c r="AF430" s="666"/>
      <c r="AG430" s="666"/>
      <c r="AH430" s="666"/>
      <c r="AI430" s="666"/>
      <c r="AJ430" s="666"/>
      <c r="AK430" s="666"/>
      <c r="AL430" s="666"/>
      <c r="AM430" s="666"/>
      <c r="AN430" s="666"/>
      <c r="AO430" s="666"/>
      <c r="AP430" s="666"/>
      <c r="AQ430" s="666"/>
      <c r="AR430" s="666"/>
      <c r="AS430" s="666"/>
      <c r="AT430" s="666"/>
      <c r="AU430" s="666"/>
    </row>
    <row r="431" ht="15.75" customHeight="1">
      <c r="A431" s="671">
        <v>44379.0</v>
      </c>
      <c r="B431" s="672" t="s">
        <v>5976</v>
      </c>
      <c r="C431" s="673" t="s">
        <v>98</v>
      </c>
      <c r="D431" s="641" t="s">
        <v>5038</v>
      </c>
      <c r="E431" s="669">
        <v>100000.0</v>
      </c>
      <c r="F431" s="641" t="s">
        <v>5977</v>
      </c>
      <c r="G431" s="641" t="s">
        <v>255</v>
      </c>
      <c r="H431" s="641" t="s">
        <v>199</v>
      </c>
      <c r="I431" s="641" t="s">
        <v>3855</v>
      </c>
      <c r="J431" s="667">
        <v>44203.0</v>
      </c>
      <c r="K431" s="674" t="s">
        <v>2341</v>
      </c>
      <c r="L431" s="666"/>
      <c r="M431" s="666"/>
      <c r="N431" s="666"/>
      <c r="O431" s="666"/>
      <c r="P431" s="666"/>
      <c r="Q431" s="666"/>
      <c r="R431" s="666"/>
      <c r="S431" s="666"/>
      <c r="T431" s="666"/>
      <c r="U431" s="666"/>
      <c r="V431" s="666"/>
      <c r="W431" s="666"/>
      <c r="X431" s="666"/>
      <c r="Y431" s="666"/>
      <c r="Z431" s="666"/>
      <c r="AA431" s="666"/>
      <c r="AB431" s="666"/>
      <c r="AC431" s="666"/>
      <c r="AD431" s="666"/>
      <c r="AE431" s="666"/>
      <c r="AF431" s="666"/>
      <c r="AG431" s="666"/>
      <c r="AH431" s="666"/>
      <c r="AI431" s="666"/>
      <c r="AJ431" s="666"/>
      <c r="AK431" s="666"/>
      <c r="AL431" s="666"/>
      <c r="AM431" s="666"/>
      <c r="AN431" s="666"/>
      <c r="AO431" s="666"/>
      <c r="AP431" s="666"/>
      <c r="AQ431" s="666"/>
      <c r="AR431" s="666"/>
      <c r="AS431" s="666"/>
      <c r="AT431" s="666"/>
      <c r="AU431" s="666"/>
    </row>
    <row r="432" ht="15.75" customHeight="1">
      <c r="A432" s="671">
        <v>44383.0</v>
      </c>
      <c r="B432" s="672" t="s">
        <v>5065</v>
      </c>
      <c r="C432" s="673" t="s">
        <v>2346</v>
      </c>
      <c r="D432" s="641" t="s">
        <v>5038</v>
      </c>
      <c r="E432" s="669">
        <v>50000.0</v>
      </c>
      <c r="F432" s="641" t="s">
        <v>5066</v>
      </c>
      <c r="G432" s="667" t="s">
        <v>669</v>
      </c>
      <c r="H432" s="667" t="s">
        <v>199</v>
      </c>
      <c r="I432" s="667" t="s">
        <v>1228</v>
      </c>
      <c r="J432" s="667">
        <v>43703.0</v>
      </c>
      <c r="K432" s="670" t="s">
        <v>4383</v>
      </c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6"/>
      <c r="AB432" s="666"/>
      <c r="AC432" s="666"/>
      <c r="AD432" s="666"/>
      <c r="AE432" s="666"/>
      <c r="AF432" s="666"/>
      <c r="AG432" s="666"/>
      <c r="AH432" s="666"/>
      <c r="AI432" s="666"/>
      <c r="AJ432" s="666"/>
      <c r="AK432" s="666"/>
      <c r="AL432" s="666"/>
      <c r="AM432" s="666"/>
      <c r="AN432" s="666"/>
      <c r="AO432" s="666"/>
      <c r="AP432" s="666"/>
      <c r="AQ432" s="666"/>
      <c r="AR432" s="666"/>
      <c r="AS432" s="666"/>
      <c r="AT432" s="666"/>
      <c r="AU432" s="666"/>
    </row>
    <row r="433" ht="15.75" customHeight="1">
      <c r="A433" s="671">
        <v>44383.0</v>
      </c>
      <c r="B433" s="672" t="s">
        <v>6211</v>
      </c>
      <c r="C433" s="673" t="s">
        <v>2346</v>
      </c>
      <c r="D433" s="641" t="s">
        <v>5038</v>
      </c>
      <c r="E433" s="669">
        <v>8000.0</v>
      </c>
      <c r="F433" s="641" t="s">
        <v>6214</v>
      </c>
      <c r="G433" s="667" t="s">
        <v>120</v>
      </c>
      <c r="H433" s="667" t="s">
        <v>91</v>
      </c>
      <c r="I433" s="667" t="s">
        <v>193</v>
      </c>
      <c r="J433" s="667">
        <v>44322.0</v>
      </c>
      <c r="K433" s="670" t="s">
        <v>2341</v>
      </c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666"/>
      <c r="AB433" s="666"/>
      <c r="AC433" s="666"/>
      <c r="AD433" s="666"/>
      <c r="AE433" s="666"/>
      <c r="AF433" s="666"/>
      <c r="AG433" s="666"/>
      <c r="AH433" s="666"/>
      <c r="AI433" s="666"/>
      <c r="AJ433" s="666"/>
      <c r="AK433" s="666"/>
      <c r="AL433" s="666"/>
      <c r="AM433" s="666"/>
      <c r="AN433" s="666"/>
      <c r="AO433" s="666"/>
      <c r="AP433" s="666"/>
      <c r="AQ433" s="666"/>
      <c r="AR433" s="666"/>
      <c r="AS433" s="666"/>
      <c r="AT433" s="666"/>
      <c r="AU433" s="666"/>
    </row>
    <row r="434" ht="15.75" customHeight="1">
      <c r="A434" s="667">
        <v>44384.0</v>
      </c>
      <c r="B434" s="668" t="s">
        <v>6430</v>
      </c>
      <c r="C434" s="641" t="s">
        <v>98</v>
      </c>
      <c r="D434" s="641" t="s">
        <v>694</v>
      </c>
      <c r="E434" s="669">
        <v>0.0</v>
      </c>
      <c r="F434" s="641" t="s">
        <v>6431</v>
      </c>
      <c r="G434" s="641" t="s">
        <v>120</v>
      </c>
      <c r="H434" s="641" t="s">
        <v>199</v>
      </c>
      <c r="I434" s="641" t="s">
        <v>6432</v>
      </c>
      <c r="J434" s="667">
        <v>44384.0</v>
      </c>
      <c r="K434" s="674" t="s">
        <v>2365</v>
      </c>
      <c r="L434" s="666"/>
      <c r="M434" s="666"/>
      <c r="N434" s="666"/>
      <c r="O434" s="666"/>
      <c r="P434" s="666"/>
      <c r="Q434" s="666"/>
      <c r="R434" s="666"/>
      <c r="S434" s="666"/>
      <c r="T434" s="666"/>
      <c r="U434" s="666"/>
      <c r="V434" s="666"/>
      <c r="W434" s="666"/>
      <c r="X434" s="666"/>
      <c r="Y434" s="666"/>
      <c r="Z434" s="666"/>
      <c r="AA434" s="666"/>
      <c r="AB434" s="666"/>
      <c r="AC434" s="666"/>
      <c r="AD434" s="666"/>
      <c r="AE434" s="666"/>
      <c r="AF434" s="666"/>
      <c r="AG434" s="666"/>
      <c r="AH434" s="666"/>
      <c r="AI434" s="666"/>
      <c r="AJ434" s="666"/>
      <c r="AK434" s="666"/>
      <c r="AL434" s="666"/>
      <c r="AM434" s="666"/>
      <c r="AN434" s="666"/>
      <c r="AO434" s="666"/>
      <c r="AP434" s="666"/>
      <c r="AQ434" s="666"/>
      <c r="AR434" s="666"/>
      <c r="AS434" s="666"/>
      <c r="AT434" s="666"/>
      <c r="AU434" s="666"/>
    </row>
    <row r="435" ht="15.75" customHeight="1">
      <c r="A435" s="671">
        <v>44385.0</v>
      </c>
      <c r="B435" s="672" t="s">
        <v>6435</v>
      </c>
      <c r="C435" s="673" t="s">
        <v>2346</v>
      </c>
      <c r="D435" s="641" t="s">
        <v>5038</v>
      </c>
      <c r="E435" s="669">
        <v>10000.0</v>
      </c>
      <c r="F435" s="641" t="s">
        <v>2396</v>
      </c>
      <c r="G435" s="667" t="s">
        <v>120</v>
      </c>
      <c r="H435" s="667" t="s">
        <v>91</v>
      </c>
      <c r="I435" s="667" t="s">
        <v>193</v>
      </c>
      <c r="J435" s="667">
        <v>44321.0</v>
      </c>
      <c r="K435" s="670" t="s">
        <v>2365</v>
      </c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666"/>
      <c r="AB435" s="666"/>
      <c r="AC435" s="666"/>
      <c r="AD435" s="666"/>
      <c r="AE435" s="666"/>
      <c r="AF435" s="666"/>
      <c r="AG435" s="666"/>
      <c r="AH435" s="666"/>
      <c r="AI435" s="666"/>
      <c r="AJ435" s="666"/>
      <c r="AK435" s="666"/>
      <c r="AL435" s="666"/>
      <c r="AM435" s="666"/>
      <c r="AN435" s="666"/>
      <c r="AO435" s="666"/>
      <c r="AP435" s="666"/>
      <c r="AQ435" s="666"/>
      <c r="AR435" s="666"/>
      <c r="AS435" s="666"/>
      <c r="AT435" s="666"/>
      <c r="AU435" s="666"/>
    </row>
    <row r="436" ht="15.75" customHeight="1">
      <c r="A436" s="671">
        <v>44386.0</v>
      </c>
      <c r="B436" s="672" t="s">
        <v>510</v>
      </c>
      <c r="C436" s="673" t="s">
        <v>202</v>
      </c>
      <c r="D436" s="641" t="s">
        <v>5038</v>
      </c>
      <c r="E436" s="669">
        <v>47000.0</v>
      </c>
      <c r="F436" s="641" t="s">
        <v>508</v>
      </c>
      <c r="G436" s="667" t="s">
        <v>120</v>
      </c>
      <c r="H436" s="667" t="s">
        <v>199</v>
      </c>
      <c r="I436" s="667" t="s">
        <v>120</v>
      </c>
      <c r="J436" s="667">
        <v>44062.0</v>
      </c>
      <c r="K436" s="670" t="s">
        <v>2341</v>
      </c>
      <c r="L436" s="666"/>
      <c r="M436" s="666"/>
      <c r="N436" s="666"/>
      <c r="O436" s="666"/>
      <c r="P436" s="666"/>
      <c r="Q436" s="666"/>
      <c r="R436" s="666"/>
      <c r="S436" s="666"/>
      <c r="T436" s="666"/>
      <c r="U436" s="666"/>
      <c r="V436" s="666"/>
      <c r="W436" s="666"/>
      <c r="X436" s="666"/>
      <c r="Y436" s="666"/>
      <c r="Z436" s="666"/>
      <c r="AA436" s="666"/>
      <c r="AB436" s="666"/>
      <c r="AC436" s="666"/>
      <c r="AD436" s="666"/>
      <c r="AE436" s="666"/>
      <c r="AF436" s="666"/>
      <c r="AG436" s="666"/>
      <c r="AH436" s="666"/>
      <c r="AI436" s="666"/>
      <c r="AJ436" s="666"/>
      <c r="AK436" s="666"/>
      <c r="AL436" s="666"/>
      <c r="AM436" s="666"/>
      <c r="AN436" s="666"/>
      <c r="AO436" s="666"/>
      <c r="AP436" s="666"/>
      <c r="AQ436" s="666"/>
      <c r="AR436" s="666"/>
      <c r="AS436" s="666"/>
      <c r="AT436" s="666"/>
      <c r="AU436" s="666"/>
    </row>
    <row r="437" ht="15.75" customHeight="1">
      <c r="A437" s="671">
        <v>44386.0</v>
      </c>
      <c r="B437" s="672" t="s">
        <v>6323</v>
      </c>
      <c r="C437" s="673" t="s">
        <v>98</v>
      </c>
      <c r="D437" s="641" t="s">
        <v>5038</v>
      </c>
      <c r="E437" s="669">
        <v>156000.0</v>
      </c>
      <c r="F437" s="750" t="s">
        <v>5006</v>
      </c>
      <c r="G437" s="641" t="s">
        <v>255</v>
      </c>
      <c r="H437" s="641" t="s">
        <v>199</v>
      </c>
      <c r="I437" s="641" t="s">
        <v>3979</v>
      </c>
      <c r="J437" s="726">
        <v>44145.0</v>
      </c>
      <c r="K437" s="674" t="s">
        <v>2319</v>
      </c>
      <c r="L437" s="666"/>
      <c r="M437" s="666"/>
      <c r="N437" s="666"/>
      <c r="O437" s="666"/>
      <c r="P437" s="666"/>
      <c r="Q437" s="666"/>
      <c r="R437" s="666"/>
      <c r="S437" s="666"/>
      <c r="T437" s="666"/>
      <c r="U437" s="666"/>
      <c r="V437" s="666"/>
      <c r="W437" s="666"/>
      <c r="X437" s="666"/>
      <c r="Y437" s="666"/>
      <c r="Z437" s="666"/>
      <c r="AA437" s="666"/>
      <c r="AB437" s="666"/>
      <c r="AC437" s="666"/>
      <c r="AD437" s="666"/>
      <c r="AE437" s="666"/>
      <c r="AF437" s="666"/>
      <c r="AG437" s="666"/>
      <c r="AH437" s="666"/>
      <c r="AI437" s="666"/>
      <c r="AJ437" s="666"/>
      <c r="AK437" s="666"/>
      <c r="AL437" s="666"/>
      <c r="AM437" s="666"/>
      <c r="AN437" s="666"/>
      <c r="AO437" s="666"/>
      <c r="AP437" s="666"/>
      <c r="AQ437" s="666"/>
      <c r="AR437" s="666"/>
      <c r="AS437" s="666"/>
      <c r="AT437" s="666"/>
      <c r="AU437" s="666"/>
    </row>
    <row r="438" ht="15.75" customHeight="1">
      <c r="A438" s="671">
        <v>44389.0</v>
      </c>
      <c r="B438" s="672" t="s">
        <v>6445</v>
      </c>
      <c r="C438" s="673" t="s">
        <v>2346</v>
      </c>
      <c r="D438" s="641" t="s">
        <v>5038</v>
      </c>
      <c r="E438" s="669">
        <v>20000.0</v>
      </c>
      <c r="F438" s="641" t="s">
        <v>6446</v>
      </c>
      <c r="G438" s="667" t="s">
        <v>120</v>
      </c>
      <c r="H438" s="667" t="s">
        <v>91</v>
      </c>
      <c r="I438" s="667" t="s">
        <v>521</v>
      </c>
      <c r="J438" s="667">
        <v>44319.0</v>
      </c>
      <c r="K438" s="670" t="s">
        <v>2341</v>
      </c>
      <c r="L438" s="666"/>
      <c r="M438" s="666"/>
      <c r="N438" s="666"/>
      <c r="O438" s="666"/>
      <c r="P438" s="666"/>
      <c r="Q438" s="666"/>
      <c r="R438" s="666"/>
      <c r="S438" s="666"/>
      <c r="T438" s="666"/>
      <c r="U438" s="666"/>
      <c r="V438" s="666"/>
      <c r="W438" s="666"/>
      <c r="X438" s="666"/>
      <c r="Y438" s="666"/>
      <c r="Z438" s="666"/>
      <c r="AA438" s="666"/>
      <c r="AB438" s="666"/>
      <c r="AC438" s="666"/>
      <c r="AD438" s="666"/>
      <c r="AE438" s="666"/>
      <c r="AF438" s="666"/>
      <c r="AG438" s="666"/>
      <c r="AH438" s="666"/>
      <c r="AI438" s="666"/>
      <c r="AJ438" s="666"/>
      <c r="AK438" s="666"/>
      <c r="AL438" s="666"/>
      <c r="AM438" s="666"/>
      <c r="AN438" s="666"/>
      <c r="AO438" s="666"/>
      <c r="AP438" s="666"/>
      <c r="AQ438" s="666"/>
      <c r="AR438" s="666"/>
      <c r="AS438" s="666"/>
      <c r="AT438" s="666"/>
      <c r="AU438" s="666"/>
    </row>
    <row r="439" ht="15.75" customHeight="1">
      <c r="A439" s="671">
        <v>44389.0</v>
      </c>
      <c r="B439" s="672" t="s">
        <v>6447</v>
      </c>
      <c r="C439" s="673" t="s">
        <v>2346</v>
      </c>
      <c r="D439" s="641" t="s">
        <v>5038</v>
      </c>
      <c r="E439" s="669">
        <v>5000.0</v>
      </c>
      <c r="F439" s="641" t="s">
        <v>6448</v>
      </c>
      <c r="G439" s="667" t="s">
        <v>120</v>
      </c>
      <c r="H439" s="667" t="s">
        <v>91</v>
      </c>
      <c r="I439" s="667" t="s">
        <v>193</v>
      </c>
      <c r="J439" s="667">
        <v>44321.0</v>
      </c>
      <c r="K439" s="670" t="s">
        <v>2356</v>
      </c>
      <c r="L439" s="666"/>
      <c r="M439" s="666"/>
      <c r="N439" s="666"/>
      <c r="O439" s="666"/>
      <c r="P439" s="666"/>
      <c r="Q439" s="666"/>
      <c r="R439" s="666"/>
      <c r="S439" s="666"/>
      <c r="T439" s="666"/>
      <c r="U439" s="666"/>
      <c r="V439" s="666"/>
      <c r="W439" s="666"/>
      <c r="X439" s="666"/>
      <c r="Y439" s="666"/>
      <c r="Z439" s="666"/>
      <c r="AA439" s="666"/>
      <c r="AB439" s="666"/>
      <c r="AC439" s="666"/>
      <c r="AD439" s="666"/>
      <c r="AE439" s="666"/>
      <c r="AF439" s="666"/>
      <c r="AG439" s="666"/>
      <c r="AH439" s="666"/>
      <c r="AI439" s="666"/>
      <c r="AJ439" s="666"/>
      <c r="AK439" s="666"/>
      <c r="AL439" s="666"/>
      <c r="AM439" s="666"/>
      <c r="AN439" s="666"/>
      <c r="AO439" s="666"/>
      <c r="AP439" s="666"/>
      <c r="AQ439" s="666"/>
      <c r="AR439" s="666"/>
      <c r="AS439" s="666"/>
      <c r="AT439" s="666"/>
      <c r="AU439" s="666"/>
    </row>
    <row r="440" ht="15.75" customHeight="1">
      <c r="A440" s="671">
        <v>44389.0</v>
      </c>
      <c r="B440" s="672" t="s">
        <v>6226</v>
      </c>
      <c r="C440" s="673" t="s">
        <v>2346</v>
      </c>
      <c r="D440" s="641" t="s">
        <v>5038</v>
      </c>
      <c r="E440" s="669">
        <v>45000.0</v>
      </c>
      <c r="F440" s="641" t="s">
        <v>6228</v>
      </c>
      <c r="G440" s="667" t="s">
        <v>120</v>
      </c>
      <c r="H440" s="667" t="s">
        <v>91</v>
      </c>
      <c r="I440" s="667" t="s">
        <v>521</v>
      </c>
      <c r="J440" s="667">
        <v>44280.0</v>
      </c>
      <c r="K440" s="670" t="s">
        <v>2319</v>
      </c>
      <c r="L440" s="666"/>
      <c r="M440" s="666"/>
      <c r="N440" s="666"/>
      <c r="O440" s="666"/>
      <c r="P440" s="666"/>
      <c r="Q440" s="666"/>
      <c r="R440" s="666"/>
      <c r="S440" s="666"/>
      <c r="T440" s="666"/>
      <c r="U440" s="666"/>
      <c r="V440" s="666"/>
      <c r="W440" s="666"/>
      <c r="X440" s="666"/>
      <c r="Y440" s="666"/>
      <c r="Z440" s="666"/>
      <c r="AA440" s="666"/>
      <c r="AB440" s="666"/>
      <c r="AC440" s="666"/>
      <c r="AD440" s="666"/>
      <c r="AE440" s="666"/>
      <c r="AF440" s="666"/>
      <c r="AG440" s="666"/>
      <c r="AH440" s="666"/>
      <c r="AI440" s="666"/>
      <c r="AJ440" s="666"/>
      <c r="AK440" s="666"/>
      <c r="AL440" s="666"/>
      <c r="AM440" s="666"/>
      <c r="AN440" s="666"/>
      <c r="AO440" s="666"/>
      <c r="AP440" s="666"/>
      <c r="AQ440" s="666"/>
      <c r="AR440" s="666"/>
      <c r="AS440" s="666"/>
      <c r="AT440" s="666"/>
      <c r="AU440" s="666"/>
    </row>
    <row r="441" ht="15.75" customHeight="1">
      <c r="A441" s="667">
        <v>44390.0</v>
      </c>
      <c r="B441" s="668" t="s">
        <v>6454</v>
      </c>
      <c r="C441" s="641" t="s">
        <v>98</v>
      </c>
      <c r="D441" s="641" t="s">
        <v>694</v>
      </c>
      <c r="E441" s="669">
        <v>0.0</v>
      </c>
      <c r="F441" s="641" t="s">
        <v>6455</v>
      </c>
      <c r="G441" s="641" t="s">
        <v>120</v>
      </c>
      <c r="H441" s="641" t="s">
        <v>199</v>
      </c>
      <c r="I441" s="641" t="s">
        <v>2339</v>
      </c>
      <c r="J441" s="667">
        <v>44166.0</v>
      </c>
      <c r="K441" s="674" t="s">
        <v>2341</v>
      </c>
      <c r="L441" s="666"/>
      <c r="M441" s="666"/>
      <c r="N441" s="666"/>
      <c r="O441" s="666"/>
      <c r="P441" s="666"/>
      <c r="Q441" s="666"/>
      <c r="R441" s="666"/>
      <c r="S441" s="666"/>
      <c r="T441" s="666"/>
      <c r="U441" s="666"/>
      <c r="V441" s="666"/>
      <c r="W441" s="666"/>
      <c r="X441" s="666"/>
      <c r="Y441" s="666"/>
      <c r="Z441" s="666"/>
      <c r="AA441" s="666"/>
      <c r="AB441" s="666"/>
      <c r="AC441" s="666"/>
      <c r="AD441" s="666"/>
      <c r="AE441" s="666"/>
      <c r="AF441" s="666"/>
      <c r="AG441" s="666"/>
      <c r="AH441" s="666"/>
      <c r="AI441" s="666"/>
      <c r="AJ441" s="666"/>
      <c r="AK441" s="666"/>
      <c r="AL441" s="666"/>
      <c r="AM441" s="666"/>
      <c r="AN441" s="666"/>
      <c r="AO441" s="666"/>
      <c r="AP441" s="666"/>
      <c r="AQ441" s="666"/>
      <c r="AR441" s="666"/>
      <c r="AS441" s="666"/>
      <c r="AT441" s="666"/>
      <c r="AU441" s="666"/>
    </row>
    <row r="442" ht="15.75" customHeight="1">
      <c r="A442" s="671">
        <v>44390.0</v>
      </c>
      <c r="B442" s="672" t="s">
        <v>5716</v>
      </c>
      <c r="C442" s="673" t="s">
        <v>2346</v>
      </c>
      <c r="D442" s="641" t="s">
        <v>5038</v>
      </c>
      <c r="E442" s="669">
        <v>6000.0</v>
      </c>
      <c r="F442" s="641" t="s">
        <v>1085</v>
      </c>
      <c r="G442" s="667" t="s">
        <v>120</v>
      </c>
      <c r="H442" s="667" t="s">
        <v>91</v>
      </c>
      <c r="I442" s="667" t="s">
        <v>521</v>
      </c>
      <c r="J442" s="667">
        <v>44295.0</v>
      </c>
      <c r="K442" s="670" t="s">
        <v>2356</v>
      </c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66"/>
      <c r="AB442" s="666"/>
      <c r="AC442" s="666"/>
      <c r="AD442" s="666"/>
      <c r="AE442" s="666"/>
      <c r="AF442" s="666"/>
      <c r="AG442" s="666"/>
      <c r="AH442" s="666"/>
      <c r="AI442" s="666"/>
      <c r="AJ442" s="666"/>
      <c r="AK442" s="666"/>
      <c r="AL442" s="666"/>
      <c r="AM442" s="666"/>
      <c r="AN442" s="666"/>
      <c r="AO442" s="666"/>
      <c r="AP442" s="666"/>
      <c r="AQ442" s="666"/>
      <c r="AR442" s="666"/>
      <c r="AS442" s="666"/>
      <c r="AT442" s="666"/>
      <c r="AU442" s="666"/>
    </row>
    <row r="443" ht="15.75" customHeight="1">
      <c r="A443" s="671">
        <v>44391.0</v>
      </c>
      <c r="B443" s="672" t="s">
        <v>6246</v>
      </c>
      <c r="C443" s="673" t="s">
        <v>2346</v>
      </c>
      <c r="D443" s="641" t="s">
        <v>5038</v>
      </c>
      <c r="E443" s="669">
        <v>4000.0</v>
      </c>
      <c r="F443" s="641" t="s">
        <v>3852</v>
      </c>
      <c r="G443" s="667" t="s">
        <v>120</v>
      </c>
      <c r="H443" s="667" t="s">
        <v>91</v>
      </c>
      <c r="I443" s="667" t="s">
        <v>699</v>
      </c>
      <c r="J443" s="667">
        <v>44260.0</v>
      </c>
      <c r="K443" s="670" t="s">
        <v>2341</v>
      </c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6"/>
      <c r="AB443" s="666"/>
      <c r="AC443" s="666"/>
      <c r="AD443" s="666"/>
      <c r="AE443" s="666"/>
      <c r="AF443" s="666"/>
      <c r="AG443" s="666"/>
      <c r="AH443" s="666"/>
      <c r="AI443" s="666"/>
      <c r="AJ443" s="666"/>
      <c r="AK443" s="666"/>
      <c r="AL443" s="666"/>
      <c r="AM443" s="666"/>
      <c r="AN443" s="666"/>
      <c r="AO443" s="666"/>
      <c r="AP443" s="666"/>
      <c r="AQ443" s="666"/>
      <c r="AR443" s="666"/>
      <c r="AS443" s="666"/>
      <c r="AT443" s="666"/>
      <c r="AU443" s="666"/>
    </row>
    <row r="444" ht="15.75" customHeight="1">
      <c r="A444" s="667">
        <v>44393.0</v>
      </c>
      <c r="B444" s="732" t="s">
        <v>6462</v>
      </c>
      <c r="C444" s="641" t="s">
        <v>2346</v>
      </c>
      <c r="D444" s="641" t="s">
        <v>694</v>
      </c>
      <c r="E444" s="669">
        <v>156601.32</v>
      </c>
      <c r="F444" s="641" t="s">
        <v>5639</v>
      </c>
      <c r="G444" s="667" t="s">
        <v>120</v>
      </c>
      <c r="H444" s="667" t="s">
        <v>91</v>
      </c>
      <c r="I444" s="667" t="s">
        <v>193</v>
      </c>
      <c r="J444" s="667">
        <v>44280.0</v>
      </c>
      <c r="K444" s="670" t="s">
        <v>2341</v>
      </c>
      <c r="L444" s="666"/>
      <c r="M444" s="666"/>
      <c r="N444" s="666"/>
      <c r="O444" s="666"/>
      <c r="P444" s="666"/>
      <c r="Q444" s="666"/>
      <c r="R444" s="666"/>
      <c r="S444" s="666"/>
      <c r="T444" s="666"/>
      <c r="U444" s="666"/>
      <c r="V444" s="666"/>
      <c r="W444" s="666"/>
      <c r="X444" s="666"/>
      <c r="Y444" s="666"/>
      <c r="Z444" s="666"/>
      <c r="AA444" s="666"/>
      <c r="AB444" s="666"/>
      <c r="AC444" s="666"/>
      <c r="AD444" s="666"/>
      <c r="AE444" s="666"/>
      <c r="AF444" s="666"/>
      <c r="AG444" s="666"/>
      <c r="AH444" s="666"/>
      <c r="AI444" s="666"/>
      <c r="AJ444" s="666"/>
      <c r="AK444" s="666"/>
      <c r="AL444" s="666"/>
      <c r="AM444" s="666"/>
      <c r="AN444" s="666"/>
      <c r="AO444" s="666"/>
      <c r="AP444" s="666"/>
      <c r="AQ444" s="666"/>
      <c r="AR444" s="666"/>
      <c r="AS444" s="666"/>
      <c r="AT444" s="666"/>
      <c r="AU444" s="666"/>
    </row>
    <row r="445" ht="15.75" customHeight="1">
      <c r="A445" s="671">
        <v>44393.0</v>
      </c>
      <c r="B445" s="672" t="s">
        <v>6246</v>
      </c>
      <c r="C445" s="673" t="s">
        <v>2346</v>
      </c>
      <c r="D445" s="641" t="s">
        <v>5038</v>
      </c>
      <c r="E445" s="669">
        <v>107481.43</v>
      </c>
      <c r="F445" s="641" t="s">
        <v>3852</v>
      </c>
      <c r="G445" s="667" t="s">
        <v>120</v>
      </c>
      <c r="H445" s="667" t="s">
        <v>91</v>
      </c>
      <c r="I445" s="667" t="s">
        <v>699</v>
      </c>
      <c r="J445" s="667">
        <v>44260.0</v>
      </c>
      <c r="K445" s="670" t="s">
        <v>2341</v>
      </c>
      <c r="L445" s="666"/>
      <c r="M445" s="666"/>
      <c r="N445" s="666"/>
      <c r="O445" s="666"/>
      <c r="P445" s="666"/>
      <c r="Q445" s="666"/>
      <c r="R445" s="666"/>
      <c r="S445" s="666"/>
      <c r="T445" s="666"/>
      <c r="U445" s="666"/>
      <c r="V445" s="666"/>
      <c r="W445" s="666"/>
      <c r="X445" s="666"/>
      <c r="Y445" s="666"/>
      <c r="Z445" s="666"/>
      <c r="AA445" s="666"/>
      <c r="AB445" s="666"/>
      <c r="AC445" s="666"/>
      <c r="AD445" s="666"/>
      <c r="AE445" s="666"/>
      <c r="AF445" s="666"/>
      <c r="AG445" s="666"/>
      <c r="AH445" s="666"/>
      <c r="AI445" s="666"/>
      <c r="AJ445" s="666"/>
      <c r="AK445" s="666"/>
      <c r="AL445" s="666"/>
      <c r="AM445" s="666"/>
      <c r="AN445" s="666"/>
      <c r="AO445" s="666"/>
      <c r="AP445" s="666"/>
      <c r="AQ445" s="666"/>
      <c r="AR445" s="666"/>
      <c r="AS445" s="666"/>
      <c r="AT445" s="666"/>
      <c r="AU445" s="666"/>
    </row>
    <row r="446" ht="15.75" customHeight="1">
      <c r="A446" s="671">
        <v>44393.0</v>
      </c>
      <c r="B446" s="672" t="s">
        <v>6462</v>
      </c>
      <c r="C446" s="673" t="s">
        <v>2346</v>
      </c>
      <c r="D446" s="641" t="s">
        <v>5038</v>
      </c>
      <c r="E446" s="669">
        <v>10000.0</v>
      </c>
      <c r="F446" s="641" t="s">
        <v>5639</v>
      </c>
      <c r="G446" s="667" t="s">
        <v>120</v>
      </c>
      <c r="H446" s="667" t="s">
        <v>91</v>
      </c>
      <c r="I446" s="667" t="s">
        <v>193</v>
      </c>
      <c r="J446" s="667">
        <v>44280.0</v>
      </c>
      <c r="K446" s="670" t="s">
        <v>2341</v>
      </c>
      <c r="L446" s="666"/>
      <c r="M446" s="666"/>
      <c r="N446" s="666"/>
      <c r="O446" s="666"/>
      <c r="P446" s="666"/>
      <c r="Q446" s="666"/>
      <c r="R446" s="666"/>
      <c r="S446" s="666"/>
      <c r="T446" s="666"/>
      <c r="U446" s="666"/>
      <c r="V446" s="666"/>
      <c r="W446" s="666"/>
      <c r="X446" s="666"/>
      <c r="Y446" s="666"/>
      <c r="Z446" s="666"/>
      <c r="AA446" s="666"/>
      <c r="AB446" s="666"/>
      <c r="AC446" s="666"/>
      <c r="AD446" s="666"/>
      <c r="AE446" s="666"/>
      <c r="AF446" s="666"/>
      <c r="AG446" s="666"/>
      <c r="AH446" s="666"/>
      <c r="AI446" s="666"/>
      <c r="AJ446" s="666"/>
      <c r="AK446" s="666"/>
      <c r="AL446" s="666"/>
      <c r="AM446" s="666"/>
      <c r="AN446" s="666"/>
      <c r="AO446" s="666"/>
      <c r="AP446" s="666"/>
      <c r="AQ446" s="666"/>
      <c r="AR446" s="666"/>
      <c r="AS446" s="666"/>
      <c r="AT446" s="666"/>
      <c r="AU446" s="666"/>
    </row>
    <row r="447" ht="15.75" customHeight="1">
      <c r="A447" s="671">
        <v>44393.0</v>
      </c>
      <c r="B447" s="672" t="s">
        <v>6472</v>
      </c>
      <c r="C447" s="673" t="s">
        <v>2346</v>
      </c>
      <c r="D447" s="641" t="s">
        <v>5038</v>
      </c>
      <c r="E447" s="669">
        <v>20000.0</v>
      </c>
      <c r="F447" s="641" t="s">
        <v>1124</v>
      </c>
      <c r="G447" s="667" t="s">
        <v>120</v>
      </c>
      <c r="H447" s="667" t="s">
        <v>91</v>
      </c>
      <c r="I447" s="667" t="s">
        <v>521</v>
      </c>
      <c r="J447" s="667">
        <v>44263.0</v>
      </c>
      <c r="K447" s="670" t="s">
        <v>2319</v>
      </c>
      <c r="L447" s="666"/>
      <c r="M447" s="666"/>
      <c r="N447" s="666"/>
      <c r="O447" s="666"/>
      <c r="P447" s="666"/>
      <c r="Q447" s="666"/>
      <c r="R447" s="666"/>
      <c r="S447" s="666"/>
      <c r="T447" s="666"/>
      <c r="U447" s="666"/>
      <c r="V447" s="666"/>
      <c r="W447" s="666"/>
      <c r="X447" s="666"/>
      <c r="Y447" s="666"/>
      <c r="Z447" s="666"/>
      <c r="AA447" s="666"/>
      <c r="AB447" s="666"/>
      <c r="AC447" s="666"/>
      <c r="AD447" s="666"/>
      <c r="AE447" s="666"/>
      <c r="AF447" s="666"/>
      <c r="AG447" s="666"/>
      <c r="AH447" s="666"/>
      <c r="AI447" s="666"/>
      <c r="AJ447" s="666"/>
      <c r="AK447" s="666"/>
      <c r="AL447" s="666"/>
      <c r="AM447" s="666"/>
      <c r="AN447" s="666"/>
      <c r="AO447" s="666"/>
      <c r="AP447" s="666"/>
      <c r="AQ447" s="666"/>
      <c r="AR447" s="666"/>
      <c r="AS447" s="666"/>
      <c r="AT447" s="666"/>
      <c r="AU447" s="666"/>
    </row>
    <row r="448" ht="15.75" customHeight="1">
      <c r="A448" s="671">
        <v>44393.0</v>
      </c>
      <c r="B448" s="672" t="s">
        <v>5065</v>
      </c>
      <c r="C448" s="673" t="s">
        <v>2346</v>
      </c>
      <c r="D448" s="641" t="s">
        <v>5038</v>
      </c>
      <c r="E448" s="669">
        <v>50000.0</v>
      </c>
      <c r="F448" s="641" t="s">
        <v>5066</v>
      </c>
      <c r="G448" s="667" t="s">
        <v>669</v>
      </c>
      <c r="H448" s="667" t="s">
        <v>199</v>
      </c>
      <c r="I448" s="667" t="s">
        <v>1228</v>
      </c>
      <c r="J448" s="667">
        <v>43703.0</v>
      </c>
      <c r="K448" s="670" t="s">
        <v>4383</v>
      </c>
      <c r="L448" s="666"/>
      <c r="M448" s="666"/>
      <c r="N448" s="666"/>
      <c r="O448" s="666"/>
      <c r="P448" s="666"/>
      <c r="Q448" s="666"/>
      <c r="R448" s="666"/>
      <c r="S448" s="666"/>
      <c r="T448" s="666"/>
      <c r="U448" s="666"/>
      <c r="V448" s="666"/>
      <c r="W448" s="666"/>
      <c r="X448" s="666"/>
      <c r="Y448" s="666"/>
      <c r="Z448" s="666"/>
      <c r="AA448" s="666"/>
      <c r="AB448" s="666"/>
      <c r="AC448" s="666"/>
      <c r="AD448" s="666"/>
      <c r="AE448" s="666"/>
      <c r="AF448" s="666"/>
      <c r="AG448" s="666"/>
      <c r="AH448" s="666"/>
      <c r="AI448" s="666"/>
      <c r="AJ448" s="666"/>
      <c r="AK448" s="666"/>
      <c r="AL448" s="666"/>
      <c r="AM448" s="666"/>
      <c r="AN448" s="666"/>
      <c r="AO448" s="666"/>
      <c r="AP448" s="666"/>
      <c r="AQ448" s="666"/>
      <c r="AR448" s="666"/>
      <c r="AS448" s="666"/>
      <c r="AT448" s="666"/>
      <c r="AU448" s="666"/>
    </row>
    <row r="449" ht="15.75" customHeight="1">
      <c r="A449" s="667">
        <v>44396.0</v>
      </c>
      <c r="B449" s="668" t="s">
        <v>6479</v>
      </c>
      <c r="C449" s="641" t="s">
        <v>98</v>
      </c>
      <c r="D449" s="641" t="s">
        <v>694</v>
      </c>
      <c r="E449" s="669">
        <v>0.0</v>
      </c>
      <c r="F449" s="641" t="s">
        <v>2415</v>
      </c>
      <c r="G449" s="641" t="s">
        <v>255</v>
      </c>
      <c r="H449" s="641" t="s">
        <v>199</v>
      </c>
      <c r="I449" s="641" t="s">
        <v>548</v>
      </c>
      <c r="J449" s="667">
        <v>44085.0</v>
      </c>
      <c r="K449" s="674" t="s">
        <v>2365</v>
      </c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6"/>
      <c r="AB449" s="666"/>
      <c r="AC449" s="666"/>
      <c r="AD449" s="666"/>
      <c r="AE449" s="666"/>
      <c r="AF449" s="666"/>
      <c r="AG449" s="666"/>
      <c r="AH449" s="666"/>
      <c r="AI449" s="666"/>
      <c r="AJ449" s="666"/>
      <c r="AK449" s="666"/>
      <c r="AL449" s="666"/>
      <c r="AM449" s="666"/>
      <c r="AN449" s="666"/>
      <c r="AO449" s="666"/>
      <c r="AP449" s="666"/>
      <c r="AQ449" s="666"/>
      <c r="AR449" s="666"/>
      <c r="AS449" s="666"/>
      <c r="AT449" s="666"/>
      <c r="AU449" s="666"/>
    </row>
    <row r="450" ht="15.75" customHeight="1">
      <c r="A450" s="671">
        <v>44396.0</v>
      </c>
      <c r="B450" s="672" t="s">
        <v>5270</v>
      </c>
      <c r="C450" s="673" t="s">
        <v>2346</v>
      </c>
      <c r="D450" s="641" t="s">
        <v>5038</v>
      </c>
      <c r="E450" s="669">
        <v>10000.0</v>
      </c>
      <c r="F450" s="641" t="s">
        <v>1227</v>
      </c>
      <c r="G450" s="667" t="s">
        <v>669</v>
      </c>
      <c r="H450" s="667" t="s">
        <v>199</v>
      </c>
      <c r="I450" s="667" t="s">
        <v>1228</v>
      </c>
      <c r="J450" s="667">
        <v>43564.0</v>
      </c>
      <c r="K450" s="670" t="s">
        <v>2372</v>
      </c>
      <c r="L450" s="666"/>
      <c r="M450" s="666"/>
      <c r="N450" s="666"/>
      <c r="O450" s="666"/>
      <c r="P450" s="666"/>
      <c r="Q450" s="666"/>
      <c r="R450" s="666"/>
      <c r="S450" s="666"/>
      <c r="T450" s="666"/>
      <c r="U450" s="666"/>
      <c r="V450" s="666"/>
      <c r="W450" s="666"/>
      <c r="X450" s="666"/>
      <c r="Y450" s="666"/>
      <c r="Z450" s="666"/>
      <c r="AA450" s="666"/>
      <c r="AB450" s="666"/>
      <c r="AC450" s="666"/>
      <c r="AD450" s="666"/>
      <c r="AE450" s="666"/>
      <c r="AF450" s="666"/>
      <c r="AG450" s="666"/>
      <c r="AH450" s="666"/>
      <c r="AI450" s="666"/>
      <c r="AJ450" s="666"/>
      <c r="AK450" s="666"/>
      <c r="AL450" s="666"/>
      <c r="AM450" s="666"/>
      <c r="AN450" s="666"/>
      <c r="AO450" s="666"/>
      <c r="AP450" s="666"/>
      <c r="AQ450" s="666"/>
      <c r="AR450" s="666"/>
      <c r="AS450" s="666"/>
      <c r="AT450" s="666"/>
      <c r="AU450" s="666"/>
    </row>
    <row r="451" ht="15.75" customHeight="1">
      <c r="A451" s="671">
        <v>44396.0</v>
      </c>
      <c r="B451" s="672" t="s">
        <v>6211</v>
      </c>
      <c r="C451" s="673" t="s">
        <v>2346</v>
      </c>
      <c r="D451" s="641" t="s">
        <v>5038</v>
      </c>
      <c r="E451" s="669">
        <v>30000.0</v>
      </c>
      <c r="F451" s="641" t="s">
        <v>6214</v>
      </c>
      <c r="G451" s="667" t="s">
        <v>120</v>
      </c>
      <c r="H451" s="667" t="s">
        <v>91</v>
      </c>
      <c r="I451" s="667" t="s">
        <v>193</v>
      </c>
      <c r="J451" s="667">
        <v>44322.0</v>
      </c>
      <c r="K451" s="670" t="s">
        <v>2341</v>
      </c>
      <c r="L451" s="666"/>
      <c r="M451" s="666"/>
      <c r="N451" s="666"/>
      <c r="O451" s="666"/>
      <c r="P451" s="666"/>
      <c r="Q451" s="666"/>
      <c r="R451" s="666"/>
      <c r="S451" s="666"/>
      <c r="T451" s="666"/>
      <c r="U451" s="666"/>
      <c r="V451" s="666"/>
      <c r="W451" s="666"/>
      <c r="X451" s="666"/>
      <c r="Y451" s="666"/>
      <c r="Z451" s="666"/>
      <c r="AA451" s="666"/>
      <c r="AB451" s="666"/>
      <c r="AC451" s="666"/>
      <c r="AD451" s="666"/>
      <c r="AE451" s="666"/>
      <c r="AF451" s="666"/>
      <c r="AG451" s="666"/>
      <c r="AH451" s="666"/>
      <c r="AI451" s="666"/>
      <c r="AJ451" s="666"/>
      <c r="AK451" s="666"/>
      <c r="AL451" s="666"/>
      <c r="AM451" s="666"/>
      <c r="AN451" s="666"/>
      <c r="AO451" s="666"/>
      <c r="AP451" s="666"/>
      <c r="AQ451" s="666"/>
      <c r="AR451" s="666"/>
      <c r="AS451" s="666"/>
      <c r="AT451" s="666"/>
      <c r="AU451" s="666"/>
    </row>
    <row r="452" ht="15.75" customHeight="1">
      <c r="A452" s="671">
        <v>44397.0</v>
      </c>
      <c r="B452" s="672" t="s">
        <v>5183</v>
      </c>
      <c r="C452" s="673" t="s">
        <v>2346</v>
      </c>
      <c r="D452" s="641" t="s">
        <v>5038</v>
      </c>
      <c r="E452" s="669">
        <v>300000.0</v>
      </c>
      <c r="F452" s="641" t="s">
        <v>1460</v>
      </c>
      <c r="G452" s="667" t="s">
        <v>669</v>
      </c>
      <c r="H452" s="667" t="s">
        <v>199</v>
      </c>
      <c r="I452" s="667" t="s">
        <v>1228</v>
      </c>
      <c r="J452" s="667">
        <v>43894.0</v>
      </c>
      <c r="K452" s="670" t="s">
        <v>2365</v>
      </c>
      <c r="L452" s="666"/>
      <c r="M452" s="666"/>
      <c r="N452" s="666"/>
      <c r="O452" s="666"/>
      <c r="P452" s="666"/>
      <c r="Q452" s="666"/>
      <c r="R452" s="666"/>
      <c r="S452" s="666"/>
      <c r="T452" s="666"/>
      <c r="U452" s="666"/>
      <c r="V452" s="666"/>
      <c r="W452" s="666"/>
      <c r="X452" s="666"/>
      <c r="Y452" s="666"/>
      <c r="Z452" s="666"/>
      <c r="AA452" s="666"/>
      <c r="AB452" s="666"/>
      <c r="AC452" s="666"/>
      <c r="AD452" s="666"/>
      <c r="AE452" s="666"/>
      <c r="AF452" s="666"/>
      <c r="AG452" s="666"/>
      <c r="AH452" s="666"/>
      <c r="AI452" s="666"/>
      <c r="AJ452" s="666"/>
      <c r="AK452" s="666"/>
      <c r="AL452" s="666"/>
      <c r="AM452" s="666"/>
      <c r="AN452" s="666"/>
      <c r="AO452" s="666"/>
      <c r="AP452" s="666"/>
      <c r="AQ452" s="666"/>
      <c r="AR452" s="666"/>
      <c r="AS452" s="666"/>
      <c r="AT452" s="666"/>
      <c r="AU452" s="666"/>
    </row>
    <row r="453" ht="15.75" customHeight="1">
      <c r="A453" s="671">
        <v>44397.0</v>
      </c>
      <c r="B453" s="672" t="s">
        <v>5716</v>
      </c>
      <c r="C453" s="673" t="s">
        <v>2346</v>
      </c>
      <c r="D453" s="641" t="s">
        <v>5038</v>
      </c>
      <c r="E453" s="669">
        <v>10000.0</v>
      </c>
      <c r="F453" s="641" t="s">
        <v>1085</v>
      </c>
      <c r="G453" s="667" t="s">
        <v>120</v>
      </c>
      <c r="H453" s="667" t="s">
        <v>91</v>
      </c>
      <c r="I453" s="667" t="s">
        <v>521</v>
      </c>
      <c r="J453" s="667">
        <v>44295.0</v>
      </c>
      <c r="K453" s="670" t="s">
        <v>2356</v>
      </c>
      <c r="L453" s="666"/>
      <c r="M453" s="666"/>
      <c r="N453" s="666"/>
      <c r="O453" s="666"/>
      <c r="P453" s="666"/>
      <c r="Q453" s="666"/>
      <c r="R453" s="666"/>
      <c r="S453" s="666"/>
      <c r="T453" s="666"/>
      <c r="U453" s="666"/>
      <c r="V453" s="666"/>
      <c r="W453" s="666"/>
      <c r="X453" s="666"/>
      <c r="Y453" s="666"/>
      <c r="Z453" s="666"/>
      <c r="AA453" s="666"/>
      <c r="AB453" s="666"/>
      <c r="AC453" s="666"/>
      <c r="AD453" s="666"/>
      <c r="AE453" s="666"/>
      <c r="AF453" s="666"/>
      <c r="AG453" s="666"/>
      <c r="AH453" s="666"/>
      <c r="AI453" s="666"/>
      <c r="AJ453" s="666"/>
      <c r="AK453" s="666"/>
      <c r="AL453" s="666"/>
      <c r="AM453" s="666"/>
      <c r="AN453" s="666"/>
      <c r="AO453" s="666"/>
      <c r="AP453" s="666"/>
      <c r="AQ453" s="666"/>
      <c r="AR453" s="666"/>
      <c r="AS453" s="666"/>
      <c r="AT453" s="666"/>
      <c r="AU453" s="666"/>
    </row>
    <row r="454" ht="15.75" customHeight="1">
      <c r="A454" s="671">
        <v>44398.0</v>
      </c>
      <c r="B454" s="672" t="s">
        <v>6211</v>
      </c>
      <c r="C454" s="673" t="s">
        <v>2346</v>
      </c>
      <c r="D454" s="641" t="s">
        <v>5038</v>
      </c>
      <c r="E454" s="669">
        <v>468601.48</v>
      </c>
      <c r="F454" s="641" t="s">
        <v>6214</v>
      </c>
      <c r="G454" s="667" t="s">
        <v>120</v>
      </c>
      <c r="H454" s="667" t="s">
        <v>91</v>
      </c>
      <c r="I454" s="667" t="s">
        <v>193</v>
      </c>
      <c r="J454" s="667">
        <v>44322.0</v>
      </c>
      <c r="K454" s="670" t="s">
        <v>2341</v>
      </c>
      <c r="L454" s="666"/>
      <c r="M454" s="666"/>
      <c r="N454" s="666"/>
      <c r="O454" s="666"/>
      <c r="P454" s="666"/>
      <c r="Q454" s="666"/>
      <c r="R454" s="666"/>
      <c r="S454" s="666"/>
      <c r="T454" s="666"/>
      <c r="U454" s="666"/>
      <c r="V454" s="666"/>
      <c r="W454" s="666"/>
      <c r="X454" s="666"/>
      <c r="Y454" s="666"/>
      <c r="Z454" s="666"/>
      <c r="AA454" s="666"/>
      <c r="AB454" s="666"/>
      <c r="AC454" s="666"/>
      <c r="AD454" s="666"/>
      <c r="AE454" s="666"/>
      <c r="AF454" s="666"/>
      <c r="AG454" s="666"/>
      <c r="AH454" s="666"/>
      <c r="AI454" s="666"/>
      <c r="AJ454" s="666"/>
      <c r="AK454" s="666"/>
      <c r="AL454" s="666"/>
      <c r="AM454" s="666"/>
      <c r="AN454" s="666"/>
      <c r="AO454" s="666"/>
      <c r="AP454" s="666"/>
      <c r="AQ454" s="666"/>
      <c r="AR454" s="666"/>
      <c r="AS454" s="666"/>
      <c r="AT454" s="666"/>
      <c r="AU454" s="666"/>
    </row>
    <row r="455" ht="15.75" customHeight="1">
      <c r="A455" s="671">
        <v>44398.0</v>
      </c>
      <c r="B455" s="672" t="s">
        <v>6232</v>
      </c>
      <c r="C455" s="673" t="s">
        <v>2346</v>
      </c>
      <c r="D455" s="641" t="s">
        <v>5038</v>
      </c>
      <c r="E455" s="679">
        <v>2200.0</v>
      </c>
      <c r="F455" s="641" t="s">
        <v>1250</v>
      </c>
      <c r="G455" s="667" t="s">
        <v>120</v>
      </c>
      <c r="H455" s="667" t="s">
        <v>91</v>
      </c>
      <c r="I455" s="667" t="s">
        <v>521</v>
      </c>
      <c r="J455" s="667">
        <v>44322.0</v>
      </c>
      <c r="K455" s="670" t="s">
        <v>2341</v>
      </c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6"/>
      <c r="AB455" s="666"/>
      <c r="AC455" s="666"/>
      <c r="AD455" s="666"/>
      <c r="AE455" s="666"/>
      <c r="AF455" s="666"/>
      <c r="AG455" s="666"/>
      <c r="AH455" s="666"/>
      <c r="AI455" s="666"/>
      <c r="AJ455" s="666"/>
      <c r="AK455" s="666"/>
      <c r="AL455" s="666"/>
      <c r="AM455" s="666"/>
      <c r="AN455" s="666"/>
      <c r="AO455" s="666"/>
      <c r="AP455" s="666"/>
      <c r="AQ455" s="666"/>
      <c r="AR455" s="666"/>
      <c r="AS455" s="666"/>
      <c r="AT455" s="666"/>
      <c r="AU455" s="666"/>
    </row>
    <row r="456" ht="15.75" customHeight="1">
      <c r="A456" s="671">
        <v>44399.0</v>
      </c>
      <c r="B456" s="672" t="s">
        <v>6211</v>
      </c>
      <c r="C456" s="673" t="s">
        <v>2346</v>
      </c>
      <c r="D456" s="641" t="s">
        <v>5038</v>
      </c>
      <c r="E456" s="669">
        <v>20000.0</v>
      </c>
      <c r="F456" s="641" t="s">
        <v>6214</v>
      </c>
      <c r="G456" s="667" t="s">
        <v>120</v>
      </c>
      <c r="H456" s="667" t="s">
        <v>91</v>
      </c>
      <c r="I456" s="667" t="s">
        <v>193</v>
      </c>
      <c r="J456" s="667">
        <v>44322.0</v>
      </c>
      <c r="K456" s="670" t="s">
        <v>2341</v>
      </c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66"/>
      <c r="AB456" s="666"/>
      <c r="AC456" s="666"/>
      <c r="AD456" s="666"/>
      <c r="AE456" s="666"/>
      <c r="AF456" s="666"/>
      <c r="AG456" s="666"/>
      <c r="AH456" s="666"/>
      <c r="AI456" s="666"/>
      <c r="AJ456" s="666"/>
      <c r="AK456" s="666"/>
      <c r="AL456" s="666"/>
      <c r="AM456" s="666"/>
      <c r="AN456" s="666"/>
      <c r="AO456" s="666"/>
      <c r="AP456" s="666"/>
      <c r="AQ456" s="666"/>
      <c r="AR456" s="666"/>
      <c r="AS456" s="666"/>
      <c r="AT456" s="666"/>
      <c r="AU456" s="666"/>
    </row>
    <row r="457" ht="15.75" customHeight="1">
      <c r="A457" s="671">
        <v>44400.0</v>
      </c>
      <c r="B457" s="672" t="s">
        <v>6255</v>
      </c>
      <c r="C457" s="673" t="s">
        <v>2346</v>
      </c>
      <c r="D457" s="641" t="s">
        <v>5038</v>
      </c>
      <c r="E457" s="669">
        <v>15000.0</v>
      </c>
      <c r="F457" s="641" t="s">
        <v>5399</v>
      </c>
      <c r="G457" s="667" t="s">
        <v>669</v>
      </c>
      <c r="H457" s="667" t="s">
        <v>199</v>
      </c>
      <c r="I457" s="667" t="s">
        <v>2388</v>
      </c>
      <c r="J457" s="667">
        <v>43752.0</v>
      </c>
      <c r="K457" s="670" t="s">
        <v>2341</v>
      </c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66"/>
      <c r="AB457" s="666"/>
      <c r="AC457" s="666"/>
      <c r="AD457" s="666"/>
      <c r="AE457" s="666"/>
      <c r="AF457" s="666"/>
      <c r="AG457" s="666"/>
      <c r="AH457" s="666"/>
      <c r="AI457" s="666"/>
      <c r="AJ457" s="666"/>
      <c r="AK457" s="666"/>
      <c r="AL457" s="666"/>
      <c r="AM457" s="666"/>
      <c r="AN457" s="666"/>
      <c r="AO457" s="666"/>
      <c r="AP457" s="666"/>
      <c r="AQ457" s="666"/>
      <c r="AR457" s="666"/>
      <c r="AS457" s="666"/>
      <c r="AT457" s="666"/>
      <c r="AU457" s="666"/>
    </row>
    <row r="458" ht="15.75" customHeight="1">
      <c r="A458" s="671">
        <v>44403.0</v>
      </c>
      <c r="B458" s="672" t="s">
        <v>6435</v>
      </c>
      <c r="C458" s="673" t="s">
        <v>2346</v>
      </c>
      <c r="D458" s="641" t="s">
        <v>5038</v>
      </c>
      <c r="E458" s="669">
        <v>30000.0</v>
      </c>
      <c r="F458" s="641" t="s">
        <v>2396</v>
      </c>
      <c r="G458" s="667" t="s">
        <v>120</v>
      </c>
      <c r="H458" s="667" t="s">
        <v>91</v>
      </c>
      <c r="I458" s="667" t="s">
        <v>193</v>
      </c>
      <c r="J458" s="667">
        <v>44321.0</v>
      </c>
      <c r="K458" s="670" t="s">
        <v>2365</v>
      </c>
      <c r="L458" s="666"/>
      <c r="M458" s="666"/>
      <c r="N458" s="666"/>
      <c r="O458" s="666"/>
      <c r="P458" s="666"/>
      <c r="Q458" s="666"/>
      <c r="R458" s="666"/>
      <c r="S458" s="666"/>
      <c r="T458" s="666"/>
      <c r="U458" s="666"/>
      <c r="V458" s="666"/>
      <c r="W458" s="666"/>
      <c r="X458" s="666"/>
      <c r="Y458" s="666"/>
      <c r="Z458" s="666"/>
      <c r="AA458" s="666"/>
      <c r="AB458" s="666"/>
      <c r="AC458" s="666"/>
      <c r="AD458" s="666"/>
      <c r="AE458" s="666"/>
      <c r="AF458" s="666"/>
      <c r="AG458" s="666"/>
      <c r="AH458" s="666"/>
      <c r="AI458" s="666"/>
      <c r="AJ458" s="666"/>
      <c r="AK458" s="666"/>
      <c r="AL458" s="666"/>
      <c r="AM458" s="666"/>
      <c r="AN458" s="666"/>
      <c r="AO458" s="666"/>
      <c r="AP458" s="666"/>
      <c r="AQ458" s="666"/>
      <c r="AR458" s="666"/>
      <c r="AS458" s="666"/>
      <c r="AT458" s="666"/>
      <c r="AU458" s="666"/>
    </row>
    <row r="459" ht="15.75" customHeight="1">
      <c r="A459" s="671">
        <v>44403.0</v>
      </c>
      <c r="B459" s="672" t="s">
        <v>5720</v>
      </c>
      <c r="C459" s="673" t="s">
        <v>2346</v>
      </c>
      <c r="D459" s="641" t="s">
        <v>5038</v>
      </c>
      <c r="E459" s="669">
        <v>40000.0</v>
      </c>
      <c r="F459" s="641" t="s">
        <v>5015</v>
      </c>
      <c r="G459" s="667" t="s">
        <v>120</v>
      </c>
      <c r="H459" s="667" t="s">
        <v>91</v>
      </c>
      <c r="I459" s="667" t="s">
        <v>521</v>
      </c>
      <c r="J459" s="667">
        <v>44272.0</v>
      </c>
      <c r="K459" s="670" t="s">
        <v>5721</v>
      </c>
      <c r="L459" s="666"/>
      <c r="M459" s="666"/>
      <c r="N459" s="666"/>
      <c r="O459" s="666"/>
      <c r="P459" s="666"/>
      <c r="Q459" s="666"/>
      <c r="R459" s="666"/>
      <c r="S459" s="666"/>
      <c r="T459" s="666"/>
      <c r="U459" s="666"/>
      <c r="V459" s="666"/>
      <c r="W459" s="666"/>
      <c r="X459" s="666"/>
      <c r="Y459" s="666"/>
      <c r="Z459" s="666"/>
      <c r="AA459" s="666"/>
      <c r="AB459" s="666"/>
      <c r="AC459" s="666"/>
      <c r="AD459" s="666"/>
      <c r="AE459" s="666"/>
      <c r="AF459" s="666"/>
      <c r="AG459" s="666"/>
      <c r="AH459" s="666"/>
      <c r="AI459" s="666"/>
      <c r="AJ459" s="666"/>
      <c r="AK459" s="666"/>
      <c r="AL459" s="666"/>
      <c r="AM459" s="666"/>
      <c r="AN459" s="666"/>
      <c r="AO459" s="666"/>
      <c r="AP459" s="666"/>
      <c r="AQ459" s="666"/>
      <c r="AR459" s="666"/>
      <c r="AS459" s="666"/>
      <c r="AT459" s="666"/>
      <c r="AU459" s="666"/>
    </row>
    <row r="460" ht="15.75" customHeight="1">
      <c r="A460" s="671">
        <v>44404.0</v>
      </c>
      <c r="B460" s="672" t="s">
        <v>6505</v>
      </c>
      <c r="C460" s="641" t="s">
        <v>98</v>
      </c>
      <c r="D460" s="641" t="s">
        <v>694</v>
      </c>
      <c r="E460" s="669">
        <v>0.0</v>
      </c>
      <c r="F460" s="641" t="s">
        <v>5176</v>
      </c>
      <c r="G460" s="641" t="s">
        <v>120</v>
      </c>
      <c r="H460" s="641" t="s">
        <v>54</v>
      </c>
      <c r="I460" s="641" t="s">
        <v>379</v>
      </c>
      <c r="J460" s="667"/>
      <c r="K460" s="674" t="s">
        <v>2341</v>
      </c>
      <c r="L460" s="666"/>
      <c r="M460" s="666"/>
      <c r="N460" s="666"/>
      <c r="O460" s="666"/>
      <c r="P460" s="666"/>
      <c r="Q460" s="666"/>
      <c r="R460" s="666"/>
      <c r="S460" s="666"/>
      <c r="T460" s="666"/>
      <c r="U460" s="666"/>
      <c r="V460" s="666"/>
      <c r="W460" s="666"/>
      <c r="X460" s="666"/>
      <c r="Y460" s="666"/>
      <c r="Z460" s="666"/>
      <c r="AA460" s="666"/>
      <c r="AB460" s="666"/>
      <c r="AC460" s="666"/>
      <c r="AD460" s="666"/>
      <c r="AE460" s="666"/>
      <c r="AF460" s="666"/>
      <c r="AG460" s="666"/>
      <c r="AH460" s="666"/>
      <c r="AI460" s="666"/>
      <c r="AJ460" s="666"/>
      <c r="AK460" s="666"/>
      <c r="AL460" s="666"/>
      <c r="AM460" s="666"/>
      <c r="AN460" s="666"/>
      <c r="AO460" s="666"/>
      <c r="AP460" s="666"/>
      <c r="AQ460" s="666"/>
      <c r="AR460" s="666"/>
      <c r="AS460" s="666"/>
      <c r="AT460" s="666"/>
      <c r="AU460" s="666"/>
    </row>
    <row r="461" ht="15.75" customHeight="1">
      <c r="A461" s="671">
        <v>44405.0</v>
      </c>
      <c r="B461" s="672" t="s">
        <v>6222</v>
      </c>
      <c r="C461" s="673" t="s">
        <v>2346</v>
      </c>
      <c r="D461" s="641" t="s">
        <v>5038</v>
      </c>
      <c r="E461" s="669">
        <v>100000.0</v>
      </c>
      <c r="F461" s="641" t="s">
        <v>1489</v>
      </c>
      <c r="G461" s="667" t="s">
        <v>120</v>
      </c>
      <c r="H461" s="667" t="s">
        <v>91</v>
      </c>
      <c r="I461" s="667" t="s">
        <v>193</v>
      </c>
      <c r="J461" s="667">
        <v>44319.0</v>
      </c>
      <c r="K461" s="670" t="s">
        <v>2341</v>
      </c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6"/>
      <c r="AB461" s="666"/>
      <c r="AC461" s="666"/>
      <c r="AD461" s="666"/>
      <c r="AE461" s="666"/>
      <c r="AF461" s="666"/>
      <c r="AG461" s="666"/>
      <c r="AH461" s="666"/>
      <c r="AI461" s="666"/>
      <c r="AJ461" s="666"/>
      <c r="AK461" s="666"/>
      <c r="AL461" s="666"/>
      <c r="AM461" s="666"/>
      <c r="AN461" s="666"/>
      <c r="AO461" s="666"/>
      <c r="AP461" s="666"/>
      <c r="AQ461" s="666"/>
      <c r="AR461" s="666"/>
      <c r="AS461" s="666"/>
      <c r="AT461" s="666"/>
      <c r="AU461" s="666"/>
    </row>
    <row r="462" ht="15.75" customHeight="1">
      <c r="A462" s="671">
        <v>44406.0</v>
      </c>
      <c r="B462" s="672" t="s">
        <v>6512</v>
      </c>
      <c r="C462" s="673" t="s">
        <v>2346</v>
      </c>
      <c r="D462" s="641" t="s">
        <v>427</v>
      </c>
      <c r="E462" s="669">
        <v>15000.0</v>
      </c>
      <c r="F462" s="641" t="s">
        <v>5208</v>
      </c>
      <c r="G462" s="667" t="s">
        <v>669</v>
      </c>
      <c r="H462" s="667" t="s">
        <v>199</v>
      </c>
      <c r="I462" s="667" t="s">
        <v>1228</v>
      </c>
      <c r="J462" s="667">
        <v>43859.0</v>
      </c>
      <c r="K462" s="670" t="s">
        <v>2365</v>
      </c>
      <c r="L462" s="666"/>
      <c r="M462" s="666"/>
      <c r="N462" s="666"/>
      <c r="O462" s="666"/>
      <c r="P462" s="666"/>
      <c r="Q462" s="666"/>
      <c r="R462" s="666"/>
      <c r="S462" s="666"/>
      <c r="T462" s="666"/>
      <c r="U462" s="666"/>
      <c r="V462" s="666"/>
      <c r="W462" s="666"/>
      <c r="X462" s="666"/>
      <c r="Y462" s="666"/>
      <c r="Z462" s="666"/>
      <c r="AA462" s="666"/>
      <c r="AB462" s="666"/>
      <c r="AC462" s="666"/>
      <c r="AD462" s="666"/>
      <c r="AE462" s="666"/>
      <c r="AF462" s="666"/>
      <c r="AG462" s="666"/>
      <c r="AH462" s="666"/>
      <c r="AI462" s="666"/>
      <c r="AJ462" s="666"/>
      <c r="AK462" s="666"/>
      <c r="AL462" s="666"/>
      <c r="AM462" s="666"/>
      <c r="AN462" s="666"/>
      <c r="AO462" s="666"/>
      <c r="AP462" s="666"/>
      <c r="AQ462" s="666"/>
      <c r="AR462" s="666"/>
      <c r="AS462" s="666"/>
      <c r="AT462" s="666"/>
      <c r="AU462" s="666"/>
    </row>
    <row r="463" ht="15.75" customHeight="1">
      <c r="A463" s="671">
        <v>44407.0</v>
      </c>
      <c r="B463" s="672" t="s">
        <v>6517</v>
      </c>
      <c r="C463" s="673" t="s">
        <v>98</v>
      </c>
      <c r="D463" s="641" t="s">
        <v>5038</v>
      </c>
      <c r="E463" s="669">
        <v>3440319.83</v>
      </c>
      <c r="F463" s="641" t="s">
        <v>4969</v>
      </c>
      <c r="G463" s="641" t="s">
        <v>120</v>
      </c>
      <c r="H463" s="641" t="s">
        <v>199</v>
      </c>
      <c r="I463" s="641" t="s">
        <v>1174</v>
      </c>
      <c r="J463" s="667"/>
      <c r="K463" s="674" t="s">
        <v>2372</v>
      </c>
      <c r="L463" s="666"/>
      <c r="M463" s="666"/>
      <c r="N463" s="666"/>
      <c r="O463" s="666"/>
      <c r="P463" s="666"/>
      <c r="Q463" s="666"/>
      <c r="R463" s="666"/>
      <c r="S463" s="666"/>
      <c r="T463" s="666"/>
      <c r="U463" s="666"/>
      <c r="V463" s="666"/>
      <c r="W463" s="666"/>
      <c r="X463" s="666"/>
      <c r="Y463" s="666"/>
      <c r="Z463" s="666"/>
      <c r="AA463" s="666"/>
      <c r="AB463" s="666"/>
      <c r="AC463" s="666"/>
      <c r="AD463" s="666"/>
      <c r="AE463" s="666"/>
      <c r="AF463" s="666"/>
      <c r="AG463" s="666"/>
      <c r="AH463" s="666"/>
      <c r="AI463" s="666"/>
      <c r="AJ463" s="666"/>
      <c r="AK463" s="666"/>
      <c r="AL463" s="666"/>
      <c r="AM463" s="666"/>
      <c r="AN463" s="666"/>
      <c r="AO463" s="666"/>
      <c r="AP463" s="666"/>
      <c r="AQ463" s="666"/>
      <c r="AR463" s="666"/>
      <c r="AS463" s="666"/>
      <c r="AT463" s="666"/>
      <c r="AU463" s="666"/>
    </row>
    <row r="464" ht="15.75" customHeight="1">
      <c r="A464" s="671">
        <v>44407.0</v>
      </c>
      <c r="B464" s="672" t="s">
        <v>6211</v>
      </c>
      <c r="C464" s="673" t="s">
        <v>2346</v>
      </c>
      <c r="D464" s="641" t="s">
        <v>5038</v>
      </c>
      <c r="E464" s="669">
        <v>10000.0</v>
      </c>
      <c r="F464" s="641" t="s">
        <v>6214</v>
      </c>
      <c r="G464" s="667" t="s">
        <v>120</v>
      </c>
      <c r="H464" s="667" t="s">
        <v>91</v>
      </c>
      <c r="I464" s="667" t="s">
        <v>193</v>
      </c>
      <c r="J464" s="667">
        <v>44322.0</v>
      </c>
      <c r="K464" s="670" t="s">
        <v>2341</v>
      </c>
      <c r="L464" s="666"/>
      <c r="M464" s="666"/>
      <c r="N464" s="666"/>
      <c r="O464" s="666"/>
      <c r="P464" s="666"/>
      <c r="Q464" s="666"/>
      <c r="R464" s="666"/>
      <c r="S464" s="666"/>
      <c r="T464" s="666"/>
      <c r="U464" s="666"/>
      <c r="V464" s="666"/>
      <c r="W464" s="666"/>
      <c r="X464" s="666"/>
      <c r="Y464" s="666"/>
      <c r="Z464" s="666"/>
      <c r="AA464" s="666"/>
      <c r="AB464" s="666"/>
      <c r="AC464" s="666"/>
      <c r="AD464" s="666"/>
      <c r="AE464" s="666"/>
      <c r="AF464" s="666"/>
      <c r="AG464" s="666"/>
      <c r="AH464" s="666"/>
      <c r="AI464" s="666"/>
      <c r="AJ464" s="666"/>
      <c r="AK464" s="666"/>
      <c r="AL464" s="666"/>
      <c r="AM464" s="666"/>
      <c r="AN464" s="666"/>
      <c r="AO464" s="666"/>
      <c r="AP464" s="666"/>
      <c r="AQ464" s="666"/>
      <c r="AR464" s="666"/>
      <c r="AS464" s="666"/>
      <c r="AT464" s="666"/>
      <c r="AU464" s="666"/>
    </row>
    <row r="465" ht="15.75" customHeight="1">
      <c r="A465" s="671">
        <v>44407.0</v>
      </c>
      <c r="B465" s="672" t="s">
        <v>5960</v>
      </c>
      <c r="C465" s="673" t="s">
        <v>98</v>
      </c>
      <c r="D465" s="641" t="s">
        <v>5038</v>
      </c>
      <c r="E465" s="669">
        <v>155000.0</v>
      </c>
      <c r="F465" s="641" t="s">
        <v>5963</v>
      </c>
      <c r="G465" s="626" t="s">
        <v>255</v>
      </c>
      <c r="H465" s="641" t="s">
        <v>199</v>
      </c>
      <c r="I465" s="626" t="s">
        <v>4761</v>
      </c>
      <c r="J465" s="726">
        <v>44180.0</v>
      </c>
      <c r="K465" s="674" t="s">
        <v>2341</v>
      </c>
      <c r="L465" s="666"/>
      <c r="M465" s="666"/>
      <c r="N465" s="666"/>
      <c r="O465" s="666"/>
      <c r="P465" s="666"/>
      <c r="Q465" s="666"/>
      <c r="R465" s="666"/>
      <c r="S465" s="666"/>
      <c r="T465" s="666"/>
      <c r="U465" s="666"/>
      <c r="V465" s="666"/>
      <c r="W465" s="666"/>
      <c r="X465" s="666"/>
      <c r="Y465" s="666"/>
      <c r="Z465" s="666"/>
      <c r="AA465" s="666"/>
      <c r="AB465" s="666"/>
      <c r="AC465" s="666"/>
      <c r="AD465" s="666"/>
      <c r="AE465" s="666"/>
      <c r="AF465" s="666"/>
      <c r="AG465" s="666"/>
      <c r="AH465" s="666"/>
      <c r="AI465" s="666"/>
      <c r="AJ465" s="666"/>
      <c r="AK465" s="666"/>
      <c r="AL465" s="666"/>
      <c r="AM465" s="666"/>
      <c r="AN465" s="666"/>
      <c r="AO465" s="666"/>
      <c r="AP465" s="666"/>
      <c r="AQ465" s="666"/>
      <c r="AR465" s="666"/>
      <c r="AS465" s="666"/>
      <c r="AT465" s="666"/>
      <c r="AU465" s="666"/>
    </row>
    <row r="466" ht="15.75" customHeight="1">
      <c r="A466" s="757">
        <v>44407.0</v>
      </c>
      <c r="B466" s="758" t="s">
        <v>6525</v>
      </c>
      <c r="C466" s="759" t="s">
        <v>98</v>
      </c>
      <c r="D466" s="760" t="s">
        <v>5038</v>
      </c>
      <c r="E466" s="761">
        <v>5000.0</v>
      </c>
      <c r="F466" s="760" t="s">
        <v>3934</v>
      </c>
      <c r="G466" s="760" t="s">
        <v>120</v>
      </c>
      <c r="H466" s="760" t="s">
        <v>54</v>
      </c>
      <c r="I466" s="760" t="s">
        <v>379</v>
      </c>
      <c r="J466" s="762">
        <v>44407.0</v>
      </c>
      <c r="K466" s="763" t="s">
        <v>2319</v>
      </c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6"/>
      <c r="AB466" s="666"/>
      <c r="AC466" s="666"/>
      <c r="AD466" s="666"/>
      <c r="AE466" s="666"/>
      <c r="AF466" s="666"/>
      <c r="AG466" s="666"/>
      <c r="AH466" s="666"/>
      <c r="AI466" s="666"/>
      <c r="AJ466" s="666"/>
      <c r="AK466" s="666"/>
      <c r="AL466" s="666"/>
      <c r="AM466" s="666"/>
      <c r="AN466" s="666"/>
      <c r="AO466" s="666"/>
      <c r="AP466" s="666"/>
      <c r="AQ466" s="666"/>
      <c r="AR466" s="666"/>
      <c r="AS466" s="666"/>
      <c r="AT466" s="666"/>
      <c r="AU466" s="666"/>
    </row>
    <row r="467" ht="15.75" customHeight="1">
      <c r="A467" s="667">
        <v>44408.0</v>
      </c>
      <c r="B467" s="668" t="s">
        <v>6295</v>
      </c>
      <c r="C467" s="641" t="s">
        <v>98</v>
      </c>
      <c r="D467" s="641" t="s">
        <v>694</v>
      </c>
      <c r="E467" s="669">
        <v>0.0</v>
      </c>
      <c r="F467" s="641" t="s">
        <v>6296</v>
      </c>
      <c r="G467" s="641" t="s">
        <v>255</v>
      </c>
      <c r="H467" s="641" t="s">
        <v>199</v>
      </c>
      <c r="I467" s="641" t="s">
        <v>548</v>
      </c>
      <c r="J467" s="667">
        <v>44090.0</v>
      </c>
      <c r="K467" s="674" t="s">
        <v>2365</v>
      </c>
      <c r="L467" s="666"/>
      <c r="M467" s="666"/>
      <c r="N467" s="666"/>
      <c r="O467" s="666"/>
      <c r="P467" s="666"/>
      <c r="Q467" s="666"/>
      <c r="R467" s="666"/>
      <c r="S467" s="666"/>
      <c r="T467" s="666"/>
      <c r="U467" s="666"/>
      <c r="V467" s="666"/>
      <c r="W467" s="666"/>
      <c r="X467" s="666"/>
      <c r="Y467" s="666"/>
      <c r="Z467" s="666"/>
      <c r="AA467" s="666"/>
      <c r="AB467" s="666"/>
      <c r="AC467" s="666"/>
      <c r="AD467" s="666"/>
      <c r="AE467" s="666"/>
      <c r="AF467" s="666"/>
      <c r="AG467" s="666"/>
      <c r="AH467" s="666"/>
      <c r="AI467" s="666"/>
      <c r="AJ467" s="666"/>
      <c r="AK467" s="666"/>
      <c r="AL467" s="666"/>
      <c r="AM467" s="666"/>
      <c r="AN467" s="666"/>
      <c r="AO467" s="666"/>
      <c r="AP467" s="666"/>
      <c r="AQ467" s="666"/>
      <c r="AR467" s="666"/>
      <c r="AS467" s="666"/>
      <c r="AT467" s="666"/>
      <c r="AU467" s="666"/>
    </row>
    <row r="468" ht="15.75" customHeight="1">
      <c r="A468" s="671">
        <v>44410.0</v>
      </c>
      <c r="B468" s="672" t="s">
        <v>6197</v>
      </c>
      <c r="C468" s="673" t="s">
        <v>2346</v>
      </c>
      <c r="D468" s="641" t="s">
        <v>5038</v>
      </c>
      <c r="E468" s="669">
        <v>150000.0</v>
      </c>
      <c r="F468" s="641" t="s">
        <v>3516</v>
      </c>
      <c r="G468" s="667" t="s">
        <v>120</v>
      </c>
      <c r="H468" s="667" t="s">
        <v>91</v>
      </c>
      <c r="I468" s="667" t="s">
        <v>193</v>
      </c>
      <c r="J468" s="667">
        <v>44295.0</v>
      </c>
      <c r="K468" s="670" t="s">
        <v>2319</v>
      </c>
      <c r="L468" s="666"/>
      <c r="M468" s="666"/>
      <c r="N468" s="666"/>
      <c r="O468" s="666"/>
      <c r="P468" s="666"/>
      <c r="Q468" s="666"/>
      <c r="R468" s="666"/>
      <c r="S468" s="666"/>
      <c r="T468" s="666"/>
      <c r="U468" s="666"/>
      <c r="V468" s="666"/>
      <c r="W468" s="666"/>
      <c r="X468" s="666"/>
      <c r="Y468" s="666"/>
      <c r="Z468" s="666"/>
      <c r="AA468" s="666"/>
      <c r="AB468" s="666"/>
      <c r="AC468" s="666"/>
      <c r="AD468" s="666"/>
      <c r="AE468" s="666"/>
      <c r="AF468" s="666"/>
      <c r="AG468" s="666"/>
      <c r="AH468" s="666"/>
      <c r="AI468" s="666"/>
      <c r="AJ468" s="666"/>
      <c r="AK468" s="666"/>
      <c r="AL468" s="666"/>
      <c r="AM468" s="666"/>
      <c r="AN468" s="666"/>
      <c r="AO468" s="666"/>
      <c r="AP468" s="666"/>
      <c r="AQ468" s="666"/>
      <c r="AR468" s="666"/>
      <c r="AS468" s="666"/>
      <c r="AT468" s="666"/>
      <c r="AU468" s="666"/>
    </row>
    <row r="469" ht="15.75" customHeight="1">
      <c r="A469" s="671">
        <v>44410.0</v>
      </c>
      <c r="B469" s="672" t="s">
        <v>5711</v>
      </c>
      <c r="C469" s="673" t="s">
        <v>2346</v>
      </c>
      <c r="D469" s="641" t="s">
        <v>5038</v>
      </c>
      <c r="E469" s="669">
        <v>13000.0</v>
      </c>
      <c r="F469" s="641" t="s">
        <v>4401</v>
      </c>
      <c r="G469" s="667" t="s">
        <v>120</v>
      </c>
      <c r="H469" s="667" t="s">
        <v>91</v>
      </c>
      <c r="I469" s="667" t="s">
        <v>521</v>
      </c>
      <c r="J469" s="667">
        <v>44321.0</v>
      </c>
      <c r="K469" s="670" t="s">
        <v>2341</v>
      </c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66"/>
      <c r="AB469" s="666"/>
      <c r="AC469" s="666"/>
      <c r="AD469" s="666"/>
      <c r="AE469" s="666"/>
      <c r="AF469" s="666"/>
      <c r="AG469" s="666"/>
      <c r="AH469" s="666"/>
      <c r="AI469" s="666"/>
      <c r="AJ469" s="666"/>
      <c r="AK469" s="666"/>
      <c r="AL469" s="666"/>
      <c r="AM469" s="666"/>
      <c r="AN469" s="666"/>
      <c r="AO469" s="666"/>
      <c r="AP469" s="666"/>
      <c r="AQ469" s="666"/>
      <c r="AR469" s="666"/>
      <c r="AS469" s="666"/>
      <c r="AT469" s="666"/>
      <c r="AU469" s="666"/>
    </row>
    <row r="470" ht="15.75" customHeight="1">
      <c r="A470" s="671">
        <v>44410.0</v>
      </c>
      <c r="B470" s="672" t="s">
        <v>6533</v>
      </c>
      <c r="C470" s="673" t="s">
        <v>98</v>
      </c>
      <c r="D470" s="641" t="s">
        <v>5038</v>
      </c>
      <c r="E470" s="669">
        <v>199844.32</v>
      </c>
      <c r="F470" s="641" t="s">
        <v>5099</v>
      </c>
      <c r="G470" s="641" t="s">
        <v>255</v>
      </c>
      <c r="H470" s="641" t="s">
        <v>199</v>
      </c>
      <c r="I470" s="641" t="s">
        <v>548</v>
      </c>
      <c r="J470" s="667">
        <v>44228.0</v>
      </c>
      <c r="K470" s="674" t="s">
        <v>2319</v>
      </c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6"/>
      <c r="AB470" s="666"/>
      <c r="AC470" s="666"/>
      <c r="AD470" s="666"/>
      <c r="AE470" s="666"/>
      <c r="AF470" s="666"/>
      <c r="AG470" s="666"/>
      <c r="AH470" s="666"/>
      <c r="AI470" s="666"/>
      <c r="AJ470" s="666"/>
      <c r="AK470" s="666"/>
      <c r="AL470" s="666"/>
      <c r="AM470" s="666"/>
      <c r="AN470" s="666"/>
      <c r="AO470" s="666"/>
      <c r="AP470" s="666"/>
      <c r="AQ470" s="666"/>
      <c r="AR470" s="666"/>
      <c r="AS470" s="666"/>
      <c r="AT470" s="666"/>
      <c r="AU470" s="666"/>
    </row>
    <row r="471" ht="15.75" customHeight="1">
      <c r="A471" s="671">
        <v>44410.0</v>
      </c>
      <c r="B471" s="672" t="s">
        <v>6211</v>
      </c>
      <c r="C471" s="673" t="s">
        <v>2346</v>
      </c>
      <c r="D471" s="641" t="s">
        <v>5038</v>
      </c>
      <c r="E471" s="669">
        <v>10000.0</v>
      </c>
      <c r="F471" s="641" t="s">
        <v>6214</v>
      </c>
      <c r="G471" s="667" t="s">
        <v>120</v>
      </c>
      <c r="H471" s="667" t="s">
        <v>91</v>
      </c>
      <c r="I471" s="667" t="s">
        <v>193</v>
      </c>
      <c r="J471" s="667">
        <v>44322.0</v>
      </c>
      <c r="K471" s="670" t="s">
        <v>2341</v>
      </c>
      <c r="L471" s="666"/>
      <c r="M471" s="666"/>
      <c r="N471" s="666"/>
      <c r="O471" s="666"/>
      <c r="P471" s="666"/>
      <c r="Q471" s="666"/>
      <c r="R471" s="666"/>
      <c r="S471" s="666"/>
      <c r="T471" s="666"/>
      <c r="U471" s="666"/>
      <c r="V471" s="666"/>
      <c r="W471" s="666"/>
      <c r="X471" s="666"/>
      <c r="Y471" s="666"/>
      <c r="Z471" s="666"/>
      <c r="AA471" s="666"/>
      <c r="AB471" s="666"/>
      <c r="AC471" s="666"/>
      <c r="AD471" s="666"/>
      <c r="AE471" s="666"/>
      <c r="AF471" s="666"/>
      <c r="AG471" s="666"/>
      <c r="AH471" s="666"/>
      <c r="AI471" s="666"/>
      <c r="AJ471" s="666"/>
      <c r="AK471" s="666"/>
      <c r="AL471" s="666"/>
      <c r="AM471" s="666"/>
      <c r="AN471" s="666"/>
      <c r="AO471" s="666"/>
      <c r="AP471" s="666"/>
      <c r="AQ471" s="666"/>
      <c r="AR471" s="666"/>
      <c r="AS471" s="666"/>
      <c r="AT471" s="666"/>
      <c r="AU471" s="666"/>
    </row>
    <row r="472" ht="15.75" customHeight="1">
      <c r="A472" s="671">
        <v>44411.0</v>
      </c>
      <c r="B472" s="672" t="s">
        <v>5720</v>
      </c>
      <c r="C472" s="673" t="s">
        <v>2346</v>
      </c>
      <c r="D472" s="641" t="s">
        <v>427</v>
      </c>
      <c r="E472" s="669">
        <v>30000.0</v>
      </c>
      <c r="F472" s="641" t="s">
        <v>5015</v>
      </c>
      <c r="G472" s="667" t="s">
        <v>120</v>
      </c>
      <c r="H472" s="667" t="s">
        <v>91</v>
      </c>
      <c r="I472" s="667" t="s">
        <v>521</v>
      </c>
      <c r="J472" s="667">
        <v>44272.0</v>
      </c>
      <c r="K472" s="670" t="s">
        <v>5721</v>
      </c>
      <c r="L472" s="666"/>
      <c r="M472" s="666"/>
      <c r="N472" s="666"/>
      <c r="O472" s="666"/>
      <c r="P472" s="666"/>
      <c r="Q472" s="666"/>
      <c r="R472" s="666"/>
      <c r="S472" s="666"/>
      <c r="T472" s="666"/>
      <c r="U472" s="666"/>
      <c r="V472" s="666"/>
      <c r="W472" s="666"/>
      <c r="X472" s="666"/>
      <c r="Y472" s="666"/>
      <c r="Z472" s="666"/>
      <c r="AA472" s="666"/>
      <c r="AB472" s="666"/>
      <c r="AC472" s="666"/>
      <c r="AD472" s="666"/>
      <c r="AE472" s="666"/>
      <c r="AF472" s="666"/>
      <c r="AG472" s="666"/>
      <c r="AH472" s="666"/>
      <c r="AI472" s="666"/>
      <c r="AJ472" s="666"/>
      <c r="AK472" s="666"/>
      <c r="AL472" s="666"/>
      <c r="AM472" s="666"/>
      <c r="AN472" s="666"/>
      <c r="AO472" s="666"/>
      <c r="AP472" s="666"/>
      <c r="AQ472" s="666"/>
      <c r="AR472" s="666"/>
      <c r="AS472" s="666"/>
      <c r="AT472" s="666"/>
      <c r="AU472" s="666"/>
    </row>
    <row r="473" ht="15.75" customHeight="1">
      <c r="A473" s="667">
        <v>44412.0</v>
      </c>
      <c r="B473" s="668" t="s">
        <v>6539</v>
      </c>
      <c r="C473" s="641" t="s">
        <v>98</v>
      </c>
      <c r="D473" s="641" t="s">
        <v>694</v>
      </c>
      <c r="E473" s="669">
        <v>0.0</v>
      </c>
      <c r="F473" s="641" t="s">
        <v>3790</v>
      </c>
      <c r="G473" s="641" t="s">
        <v>120</v>
      </c>
      <c r="H473" s="641" t="s">
        <v>199</v>
      </c>
      <c r="I473" s="641" t="s">
        <v>2339</v>
      </c>
      <c r="J473" s="667">
        <v>44141.0</v>
      </c>
      <c r="K473" s="674" t="s">
        <v>2341</v>
      </c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66"/>
      <c r="AB473" s="666"/>
      <c r="AC473" s="666"/>
      <c r="AD473" s="666"/>
      <c r="AE473" s="666"/>
      <c r="AF473" s="666"/>
      <c r="AG473" s="666"/>
      <c r="AH473" s="666"/>
      <c r="AI473" s="666"/>
      <c r="AJ473" s="666"/>
      <c r="AK473" s="666"/>
      <c r="AL473" s="666"/>
      <c r="AM473" s="666"/>
      <c r="AN473" s="666"/>
      <c r="AO473" s="666"/>
      <c r="AP473" s="666"/>
      <c r="AQ473" s="666"/>
      <c r="AR473" s="666"/>
      <c r="AS473" s="666"/>
      <c r="AT473" s="666"/>
      <c r="AU473" s="666"/>
    </row>
    <row r="474" ht="15.75" customHeight="1">
      <c r="A474" s="671">
        <v>44412.0</v>
      </c>
      <c r="B474" s="672" t="s">
        <v>5065</v>
      </c>
      <c r="C474" s="673" t="s">
        <v>2346</v>
      </c>
      <c r="D474" s="641" t="s">
        <v>5038</v>
      </c>
      <c r="E474" s="669">
        <v>6000.0</v>
      </c>
      <c r="F474" s="641" t="s">
        <v>5066</v>
      </c>
      <c r="G474" s="667" t="s">
        <v>669</v>
      </c>
      <c r="H474" s="667" t="s">
        <v>199</v>
      </c>
      <c r="I474" s="667" t="s">
        <v>1228</v>
      </c>
      <c r="J474" s="667">
        <v>43703.0</v>
      </c>
      <c r="K474" s="670" t="s">
        <v>4383</v>
      </c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666"/>
      <c r="AB474" s="666"/>
      <c r="AC474" s="666"/>
      <c r="AD474" s="666"/>
      <c r="AE474" s="666"/>
      <c r="AF474" s="666"/>
      <c r="AG474" s="666"/>
      <c r="AH474" s="666"/>
      <c r="AI474" s="666"/>
      <c r="AJ474" s="666"/>
      <c r="AK474" s="666"/>
      <c r="AL474" s="666"/>
      <c r="AM474" s="666"/>
      <c r="AN474" s="666"/>
      <c r="AO474" s="666"/>
      <c r="AP474" s="666"/>
      <c r="AQ474" s="666"/>
      <c r="AR474" s="666"/>
      <c r="AS474" s="666"/>
      <c r="AT474" s="666"/>
      <c r="AU474" s="666"/>
    </row>
    <row r="475" ht="15.75" customHeight="1">
      <c r="A475" s="671">
        <v>44412.0</v>
      </c>
      <c r="B475" s="672" t="s">
        <v>6547</v>
      </c>
      <c r="C475" s="673" t="s">
        <v>98</v>
      </c>
      <c r="D475" s="641" t="s">
        <v>5038</v>
      </c>
      <c r="E475" s="669">
        <v>20000.0</v>
      </c>
      <c r="F475" s="641" t="s">
        <v>3772</v>
      </c>
      <c r="G475" s="641" t="s">
        <v>669</v>
      </c>
      <c r="H475" s="641" t="s">
        <v>199</v>
      </c>
      <c r="I475" s="641" t="s">
        <v>669</v>
      </c>
      <c r="J475" s="667">
        <v>44235.0</v>
      </c>
      <c r="K475" s="674" t="s">
        <v>2341</v>
      </c>
      <c r="L475" s="666"/>
      <c r="M475" s="666"/>
      <c r="N475" s="666"/>
      <c r="O475" s="666"/>
      <c r="P475" s="666"/>
      <c r="Q475" s="666"/>
      <c r="R475" s="666"/>
      <c r="S475" s="666"/>
      <c r="T475" s="666"/>
      <c r="U475" s="666"/>
      <c r="V475" s="666"/>
      <c r="W475" s="666"/>
      <c r="X475" s="666"/>
      <c r="Y475" s="666"/>
      <c r="Z475" s="666"/>
      <c r="AA475" s="666"/>
      <c r="AB475" s="666"/>
      <c r="AC475" s="666"/>
      <c r="AD475" s="666"/>
      <c r="AE475" s="666"/>
      <c r="AF475" s="666"/>
      <c r="AG475" s="666"/>
      <c r="AH475" s="666"/>
      <c r="AI475" s="666"/>
      <c r="AJ475" s="666"/>
      <c r="AK475" s="666"/>
      <c r="AL475" s="666"/>
      <c r="AM475" s="666"/>
      <c r="AN475" s="666"/>
      <c r="AO475" s="666"/>
      <c r="AP475" s="666"/>
      <c r="AQ475" s="666"/>
      <c r="AR475" s="666"/>
      <c r="AS475" s="666"/>
      <c r="AT475" s="666"/>
      <c r="AU475" s="666"/>
    </row>
    <row r="476" ht="15.75" customHeight="1">
      <c r="A476" s="671">
        <v>44412.0</v>
      </c>
      <c r="B476" s="672" t="s">
        <v>5069</v>
      </c>
      <c r="C476" s="673" t="s">
        <v>2346</v>
      </c>
      <c r="D476" s="641" t="s">
        <v>5038</v>
      </c>
      <c r="E476" s="669">
        <v>16000.0</v>
      </c>
      <c r="F476" s="641" t="s">
        <v>5071</v>
      </c>
      <c r="G476" s="667" t="s">
        <v>669</v>
      </c>
      <c r="H476" s="667" t="s">
        <v>199</v>
      </c>
      <c r="I476" s="667" t="s">
        <v>1228</v>
      </c>
      <c r="J476" s="667">
        <v>43567.0</v>
      </c>
      <c r="K476" s="670" t="s">
        <v>2341</v>
      </c>
      <c r="L476" s="666"/>
      <c r="M476" s="666"/>
      <c r="N476" s="666"/>
      <c r="O476" s="666"/>
      <c r="P476" s="666"/>
      <c r="Q476" s="666"/>
      <c r="R476" s="666"/>
      <c r="S476" s="666"/>
      <c r="T476" s="666"/>
      <c r="U476" s="666"/>
      <c r="V476" s="666"/>
      <c r="W476" s="666"/>
      <c r="X476" s="666"/>
      <c r="Y476" s="666"/>
      <c r="Z476" s="666"/>
      <c r="AA476" s="666"/>
      <c r="AB476" s="666"/>
      <c r="AC476" s="666"/>
      <c r="AD476" s="666"/>
      <c r="AE476" s="666"/>
      <c r="AF476" s="666"/>
      <c r="AG476" s="666"/>
      <c r="AH476" s="666"/>
      <c r="AI476" s="666"/>
      <c r="AJ476" s="666"/>
      <c r="AK476" s="666"/>
      <c r="AL476" s="666"/>
      <c r="AM476" s="666"/>
      <c r="AN476" s="666"/>
      <c r="AO476" s="666"/>
      <c r="AP476" s="666"/>
      <c r="AQ476" s="666"/>
      <c r="AR476" s="666"/>
      <c r="AS476" s="666"/>
      <c r="AT476" s="666"/>
      <c r="AU476" s="666"/>
    </row>
    <row r="477" ht="15.75" customHeight="1">
      <c r="A477" s="667">
        <v>44413.0</v>
      </c>
      <c r="B477" s="668" t="s">
        <v>6555</v>
      </c>
      <c r="C477" s="641" t="s">
        <v>98</v>
      </c>
      <c r="D477" s="641" t="s">
        <v>694</v>
      </c>
      <c r="E477" s="669">
        <v>0.0</v>
      </c>
      <c r="F477" s="641" t="s">
        <v>3605</v>
      </c>
      <c r="G477" s="641" t="s">
        <v>255</v>
      </c>
      <c r="H477" s="641" t="s">
        <v>199</v>
      </c>
      <c r="I477" s="641" t="s">
        <v>3606</v>
      </c>
      <c r="J477" s="667">
        <v>44120.0</v>
      </c>
      <c r="K477" s="674" t="s">
        <v>2341</v>
      </c>
      <c r="L477" s="666"/>
      <c r="M477" s="666"/>
      <c r="N477" s="666"/>
      <c r="O477" s="666"/>
      <c r="P477" s="666"/>
      <c r="Q477" s="666"/>
      <c r="R477" s="666"/>
      <c r="S477" s="666"/>
      <c r="T477" s="666"/>
      <c r="U477" s="666"/>
      <c r="V477" s="666"/>
      <c r="W477" s="666"/>
      <c r="X477" s="666"/>
      <c r="Y477" s="666"/>
      <c r="Z477" s="666"/>
      <c r="AA477" s="666"/>
      <c r="AB477" s="666"/>
      <c r="AC477" s="666"/>
      <c r="AD477" s="666"/>
      <c r="AE477" s="666"/>
      <c r="AF477" s="666"/>
      <c r="AG477" s="666"/>
      <c r="AH477" s="666"/>
      <c r="AI477" s="666"/>
      <c r="AJ477" s="666"/>
      <c r="AK477" s="666"/>
      <c r="AL477" s="666"/>
      <c r="AM477" s="666"/>
      <c r="AN477" s="666"/>
      <c r="AO477" s="666"/>
      <c r="AP477" s="666"/>
      <c r="AQ477" s="666"/>
      <c r="AR477" s="666"/>
      <c r="AS477" s="666"/>
      <c r="AT477" s="666"/>
      <c r="AU477" s="666"/>
    </row>
    <row r="478" ht="15.75" customHeight="1">
      <c r="A478" s="671">
        <v>44413.0</v>
      </c>
      <c r="B478" s="672" t="s">
        <v>6558</v>
      </c>
      <c r="C478" s="673" t="s">
        <v>2346</v>
      </c>
      <c r="D478" s="641" t="s">
        <v>5038</v>
      </c>
      <c r="E478" s="669">
        <v>500.0</v>
      </c>
      <c r="F478" s="641" t="s">
        <v>4142</v>
      </c>
      <c r="G478" s="667" t="s">
        <v>120</v>
      </c>
      <c r="H478" s="667" t="s">
        <v>91</v>
      </c>
      <c r="I478" s="667" t="s">
        <v>521</v>
      </c>
      <c r="J478" s="667">
        <v>44280.0</v>
      </c>
      <c r="K478" s="670" t="s">
        <v>2341</v>
      </c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6"/>
      <c r="AB478" s="666"/>
      <c r="AC478" s="666"/>
      <c r="AD478" s="666"/>
      <c r="AE478" s="666"/>
      <c r="AF478" s="666"/>
      <c r="AG478" s="666"/>
      <c r="AH478" s="666"/>
      <c r="AI478" s="666"/>
      <c r="AJ478" s="666"/>
      <c r="AK478" s="666"/>
      <c r="AL478" s="666"/>
      <c r="AM478" s="666"/>
      <c r="AN478" s="666"/>
      <c r="AO478" s="666"/>
      <c r="AP478" s="666"/>
      <c r="AQ478" s="666"/>
      <c r="AR478" s="666"/>
      <c r="AS478" s="666"/>
      <c r="AT478" s="666"/>
      <c r="AU478" s="666"/>
    </row>
    <row r="479" ht="15.75" customHeight="1">
      <c r="A479" s="671">
        <v>44413.0</v>
      </c>
      <c r="B479" s="672" t="s">
        <v>6555</v>
      </c>
      <c r="C479" s="673" t="s">
        <v>98</v>
      </c>
      <c r="D479" s="641" t="s">
        <v>427</v>
      </c>
      <c r="E479" s="669">
        <v>200000.0</v>
      </c>
      <c r="F479" s="641" t="s">
        <v>3605</v>
      </c>
      <c r="G479" s="641" t="s">
        <v>255</v>
      </c>
      <c r="H479" s="641" t="s">
        <v>199</v>
      </c>
      <c r="I479" s="641" t="s">
        <v>3606</v>
      </c>
      <c r="J479" s="667">
        <v>44120.0</v>
      </c>
      <c r="K479" s="674" t="s">
        <v>2341</v>
      </c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666"/>
      <c r="AB479" s="666"/>
      <c r="AC479" s="666"/>
      <c r="AD479" s="666"/>
      <c r="AE479" s="666"/>
      <c r="AF479" s="666"/>
      <c r="AG479" s="666"/>
      <c r="AH479" s="666"/>
      <c r="AI479" s="666"/>
      <c r="AJ479" s="666"/>
      <c r="AK479" s="666"/>
      <c r="AL479" s="666"/>
      <c r="AM479" s="666"/>
      <c r="AN479" s="666"/>
      <c r="AO479" s="666"/>
      <c r="AP479" s="666"/>
      <c r="AQ479" s="666"/>
      <c r="AR479" s="666"/>
      <c r="AS479" s="666"/>
      <c r="AT479" s="666"/>
      <c r="AU479" s="666"/>
    </row>
    <row r="480" ht="15.75" customHeight="1">
      <c r="A480" s="671">
        <v>44413.0</v>
      </c>
      <c r="B480" s="672" t="s">
        <v>6562</v>
      </c>
      <c r="C480" s="673" t="s">
        <v>2346</v>
      </c>
      <c r="D480" s="641" t="s">
        <v>5038</v>
      </c>
      <c r="E480" s="669">
        <v>12000.0</v>
      </c>
      <c r="F480" s="641" t="s">
        <v>4520</v>
      </c>
      <c r="G480" s="667" t="s">
        <v>120</v>
      </c>
      <c r="H480" s="667" t="s">
        <v>91</v>
      </c>
      <c r="I480" s="667" t="s">
        <v>193</v>
      </c>
      <c r="J480" s="667">
        <v>44328.0</v>
      </c>
      <c r="K480" s="670" t="s">
        <v>2319</v>
      </c>
      <c r="L480" s="666"/>
      <c r="M480" s="666"/>
      <c r="N480" s="666"/>
      <c r="O480" s="666"/>
      <c r="P480" s="666"/>
      <c r="Q480" s="666"/>
      <c r="R480" s="666"/>
      <c r="S480" s="666"/>
      <c r="T480" s="666"/>
      <c r="U480" s="666"/>
      <c r="V480" s="666"/>
      <c r="W480" s="666"/>
      <c r="X480" s="666"/>
      <c r="Y480" s="666"/>
      <c r="Z480" s="666"/>
      <c r="AA480" s="666"/>
      <c r="AB480" s="666"/>
      <c r="AC480" s="666"/>
      <c r="AD480" s="666"/>
      <c r="AE480" s="666"/>
      <c r="AF480" s="666"/>
      <c r="AG480" s="666"/>
      <c r="AH480" s="666"/>
      <c r="AI480" s="666"/>
      <c r="AJ480" s="666"/>
      <c r="AK480" s="666"/>
      <c r="AL480" s="666"/>
      <c r="AM480" s="666"/>
      <c r="AN480" s="666"/>
      <c r="AO480" s="666"/>
      <c r="AP480" s="666"/>
      <c r="AQ480" s="666"/>
      <c r="AR480" s="666"/>
      <c r="AS480" s="666"/>
      <c r="AT480" s="666"/>
      <c r="AU480" s="666"/>
    </row>
    <row r="481" ht="15.75" customHeight="1">
      <c r="A481" s="671">
        <v>44414.0</v>
      </c>
      <c r="B481" s="672" t="s">
        <v>6568</v>
      </c>
      <c r="C481" s="673" t="s">
        <v>98</v>
      </c>
      <c r="D481" s="641" t="s">
        <v>5038</v>
      </c>
      <c r="E481" s="669">
        <v>30000.0</v>
      </c>
      <c r="F481" s="641" t="s">
        <v>5947</v>
      </c>
      <c r="G481" s="641" t="s">
        <v>255</v>
      </c>
      <c r="H481" s="641" t="s">
        <v>199</v>
      </c>
      <c r="I481" s="764" t="s">
        <v>4771</v>
      </c>
      <c r="J481" s="667">
        <v>44130.0</v>
      </c>
      <c r="K481" s="674" t="s">
        <v>2341</v>
      </c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666"/>
      <c r="AB481" s="666"/>
      <c r="AC481" s="666"/>
      <c r="AD481" s="666"/>
      <c r="AE481" s="666"/>
      <c r="AF481" s="666"/>
      <c r="AG481" s="666"/>
      <c r="AH481" s="666"/>
      <c r="AI481" s="666"/>
      <c r="AJ481" s="666"/>
      <c r="AK481" s="666"/>
      <c r="AL481" s="666"/>
      <c r="AM481" s="666"/>
      <c r="AN481" s="666"/>
      <c r="AO481" s="666"/>
      <c r="AP481" s="666"/>
      <c r="AQ481" s="666"/>
      <c r="AR481" s="666"/>
      <c r="AS481" s="666"/>
      <c r="AT481" s="666"/>
      <c r="AU481" s="666"/>
    </row>
    <row r="482" ht="15.75" customHeight="1">
      <c r="A482" s="671">
        <v>44417.0</v>
      </c>
      <c r="B482" s="672" t="s">
        <v>5065</v>
      </c>
      <c r="C482" s="673" t="s">
        <v>2346</v>
      </c>
      <c r="D482" s="641" t="s">
        <v>5038</v>
      </c>
      <c r="E482" s="669">
        <v>2000.0</v>
      </c>
      <c r="F482" s="641" t="s">
        <v>5066</v>
      </c>
      <c r="G482" s="667" t="s">
        <v>669</v>
      </c>
      <c r="H482" s="667" t="s">
        <v>199</v>
      </c>
      <c r="I482" s="667" t="s">
        <v>1228</v>
      </c>
      <c r="J482" s="667">
        <v>43703.0</v>
      </c>
      <c r="K482" s="670" t="s">
        <v>4383</v>
      </c>
      <c r="L482" s="666"/>
      <c r="M482" s="666"/>
      <c r="N482" s="666"/>
      <c r="O482" s="666"/>
      <c r="P482" s="666"/>
      <c r="Q482" s="666"/>
      <c r="R482" s="666"/>
      <c r="S482" s="666"/>
      <c r="T482" s="666"/>
      <c r="U482" s="666"/>
      <c r="V482" s="666"/>
      <c r="W482" s="666"/>
      <c r="X482" s="666"/>
      <c r="Y482" s="666"/>
      <c r="Z482" s="666"/>
      <c r="AA482" s="666"/>
      <c r="AB482" s="666"/>
      <c r="AC482" s="666"/>
      <c r="AD482" s="666"/>
      <c r="AE482" s="666"/>
      <c r="AF482" s="666"/>
      <c r="AG482" s="666"/>
      <c r="AH482" s="666"/>
      <c r="AI482" s="666"/>
      <c r="AJ482" s="666"/>
      <c r="AK482" s="666"/>
      <c r="AL482" s="666"/>
      <c r="AM482" s="666"/>
      <c r="AN482" s="666"/>
      <c r="AO482" s="666"/>
      <c r="AP482" s="666"/>
      <c r="AQ482" s="666"/>
      <c r="AR482" s="666"/>
      <c r="AS482" s="666"/>
      <c r="AT482" s="666"/>
      <c r="AU482" s="666"/>
    </row>
    <row r="483" ht="15.75" customHeight="1">
      <c r="A483" s="671">
        <v>44417.0</v>
      </c>
      <c r="B483" s="672" t="s">
        <v>5716</v>
      </c>
      <c r="C483" s="673" t="s">
        <v>2346</v>
      </c>
      <c r="D483" s="641" t="s">
        <v>5038</v>
      </c>
      <c r="E483" s="669">
        <v>15000.0</v>
      </c>
      <c r="F483" s="641" t="s">
        <v>1085</v>
      </c>
      <c r="G483" s="667" t="s">
        <v>120</v>
      </c>
      <c r="H483" s="667" t="s">
        <v>91</v>
      </c>
      <c r="I483" s="667" t="s">
        <v>521</v>
      </c>
      <c r="J483" s="667">
        <v>44295.0</v>
      </c>
      <c r="K483" s="670" t="s">
        <v>2356</v>
      </c>
      <c r="L483" s="666"/>
      <c r="M483" s="666"/>
      <c r="N483" s="666"/>
      <c r="O483" s="666"/>
      <c r="P483" s="666"/>
      <c r="Q483" s="666"/>
      <c r="R483" s="666"/>
      <c r="S483" s="666"/>
      <c r="T483" s="666"/>
      <c r="U483" s="666"/>
      <c r="V483" s="666"/>
      <c r="W483" s="666"/>
      <c r="X483" s="666"/>
      <c r="Y483" s="666"/>
      <c r="Z483" s="666"/>
      <c r="AA483" s="666"/>
      <c r="AB483" s="666"/>
      <c r="AC483" s="666"/>
      <c r="AD483" s="666"/>
      <c r="AE483" s="666"/>
      <c r="AF483" s="666"/>
      <c r="AG483" s="666"/>
      <c r="AH483" s="666"/>
      <c r="AI483" s="666"/>
      <c r="AJ483" s="666"/>
      <c r="AK483" s="666"/>
      <c r="AL483" s="666"/>
      <c r="AM483" s="666"/>
      <c r="AN483" s="666"/>
      <c r="AO483" s="666"/>
      <c r="AP483" s="666"/>
      <c r="AQ483" s="666"/>
      <c r="AR483" s="666"/>
      <c r="AS483" s="666"/>
      <c r="AT483" s="666"/>
      <c r="AU483" s="666"/>
    </row>
    <row r="484" ht="15.75" customHeight="1">
      <c r="A484" s="671">
        <v>44417.0</v>
      </c>
      <c r="B484" s="672" t="s">
        <v>6215</v>
      </c>
      <c r="C484" s="673" t="s">
        <v>2346</v>
      </c>
      <c r="D484" s="641" t="s">
        <v>5038</v>
      </c>
      <c r="E484" s="669">
        <v>2000.0</v>
      </c>
      <c r="F484" s="641" t="s">
        <v>5675</v>
      </c>
      <c r="G484" s="667" t="s">
        <v>120</v>
      </c>
      <c r="H484" s="667" t="s">
        <v>91</v>
      </c>
      <c r="I484" s="667" t="s">
        <v>699</v>
      </c>
      <c r="J484" s="667">
        <v>44266.0</v>
      </c>
      <c r="K484" s="670" t="s">
        <v>2365</v>
      </c>
      <c r="L484" s="666"/>
      <c r="M484" s="666"/>
      <c r="N484" s="666"/>
      <c r="O484" s="666"/>
      <c r="P484" s="666"/>
      <c r="Q484" s="666"/>
      <c r="R484" s="666"/>
      <c r="S484" s="666"/>
      <c r="T484" s="666"/>
      <c r="U484" s="666"/>
      <c r="V484" s="666"/>
      <c r="W484" s="666"/>
      <c r="X484" s="666"/>
      <c r="Y484" s="666"/>
      <c r="Z484" s="666"/>
      <c r="AA484" s="666"/>
      <c r="AB484" s="666"/>
      <c r="AC484" s="666"/>
      <c r="AD484" s="666"/>
      <c r="AE484" s="666"/>
      <c r="AF484" s="666"/>
      <c r="AG484" s="666"/>
      <c r="AH484" s="666"/>
      <c r="AI484" s="666"/>
      <c r="AJ484" s="666"/>
      <c r="AK484" s="666"/>
      <c r="AL484" s="666"/>
      <c r="AM484" s="666"/>
      <c r="AN484" s="666"/>
      <c r="AO484" s="666"/>
      <c r="AP484" s="666"/>
      <c r="AQ484" s="666"/>
      <c r="AR484" s="666"/>
      <c r="AS484" s="666"/>
      <c r="AT484" s="666"/>
      <c r="AU484" s="666"/>
    </row>
    <row r="485" ht="15.75" customHeight="1">
      <c r="A485" s="671">
        <v>44417.0</v>
      </c>
      <c r="B485" s="672" t="s">
        <v>6572</v>
      </c>
      <c r="C485" s="673" t="s">
        <v>2346</v>
      </c>
      <c r="D485" s="641" t="s">
        <v>5038</v>
      </c>
      <c r="E485" s="669">
        <v>1000000.0</v>
      </c>
      <c r="F485" s="641" t="s">
        <v>2122</v>
      </c>
      <c r="G485" s="667" t="s">
        <v>120</v>
      </c>
      <c r="H485" s="667" t="s">
        <v>91</v>
      </c>
      <c r="I485" s="667" t="s">
        <v>521</v>
      </c>
      <c r="J485" s="667">
        <v>44263.0</v>
      </c>
      <c r="K485" s="670" t="s">
        <v>2341</v>
      </c>
      <c r="L485" s="666"/>
      <c r="M485" s="666"/>
      <c r="N485" s="666"/>
      <c r="O485" s="666"/>
      <c r="P485" s="666"/>
      <c r="Q485" s="666"/>
      <c r="R485" s="666"/>
      <c r="S485" s="666"/>
      <c r="T485" s="666"/>
      <c r="U485" s="666"/>
      <c r="V485" s="666"/>
      <c r="W485" s="666"/>
      <c r="X485" s="666"/>
      <c r="Y485" s="666"/>
      <c r="Z485" s="666"/>
      <c r="AA485" s="666"/>
      <c r="AB485" s="666"/>
      <c r="AC485" s="666"/>
      <c r="AD485" s="666"/>
      <c r="AE485" s="666"/>
      <c r="AF485" s="666"/>
      <c r="AG485" s="666"/>
      <c r="AH485" s="666"/>
      <c r="AI485" s="666"/>
      <c r="AJ485" s="666"/>
      <c r="AK485" s="666"/>
      <c r="AL485" s="666"/>
      <c r="AM485" s="666"/>
      <c r="AN485" s="666"/>
      <c r="AO485" s="666"/>
      <c r="AP485" s="666"/>
      <c r="AQ485" s="666"/>
      <c r="AR485" s="666"/>
      <c r="AS485" s="666"/>
      <c r="AT485" s="666"/>
      <c r="AU485" s="666"/>
    </row>
    <row r="486" ht="15.75" customHeight="1">
      <c r="A486" s="667">
        <v>44418.0</v>
      </c>
      <c r="B486" s="672" t="s">
        <v>6576</v>
      </c>
      <c r="C486" s="641" t="s">
        <v>98</v>
      </c>
      <c r="D486" s="641" t="s">
        <v>694</v>
      </c>
      <c r="E486" s="669">
        <v>0.0</v>
      </c>
      <c r="F486" s="641" t="s">
        <v>6194</v>
      </c>
      <c r="G486" s="641" t="s">
        <v>255</v>
      </c>
      <c r="H486" s="641" t="s">
        <v>199</v>
      </c>
      <c r="I486" s="641" t="s">
        <v>3877</v>
      </c>
      <c r="J486" s="667">
        <v>44775.0</v>
      </c>
      <c r="K486" s="674" t="s">
        <v>2372</v>
      </c>
      <c r="L486" s="666"/>
      <c r="M486" s="666"/>
      <c r="N486" s="666"/>
      <c r="O486" s="666"/>
      <c r="P486" s="666"/>
      <c r="Q486" s="666"/>
      <c r="R486" s="666"/>
      <c r="S486" s="666"/>
      <c r="T486" s="666"/>
      <c r="U486" s="666"/>
      <c r="V486" s="666"/>
      <c r="W486" s="666"/>
      <c r="X486" s="666"/>
      <c r="Y486" s="666"/>
      <c r="Z486" s="666"/>
      <c r="AA486" s="666"/>
      <c r="AB486" s="666"/>
      <c r="AC486" s="666"/>
      <c r="AD486" s="666"/>
      <c r="AE486" s="666"/>
      <c r="AF486" s="666"/>
      <c r="AG486" s="666"/>
      <c r="AH486" s="666"/>
      <c r="AI486" s="666"/>
      <c r="AJ486" s="666"/>
      <c r="AK486" s="666"/>
      <c r="AL486" s="666"/>
      <c r="AM486" s="666"/>
      <c r="AN486" s="666"/>
      <c r="AO486" s="666"/>
      <c r="AP486" s="666"/>
      <c r="AQ486" s="666"/>
      <c r="AR486" s="666"/>
      <c r="AS486" s="666"/>
      <c r="AT486" s="666"/>
      <c r="AU486" s="666"/>
    </row>
    <row r="487" ht="15.75" customHeight="1">
      <c r="A487" s="667">
        <v>44418.0</v>
      </c>
      <c r="B487" s="668" t="s">
        <v>6512</v>
      </c>
      <c r="C487" s="641" t="s">
        <v>2346</v>
      </c>
      <c r="D487" s="641" t="s">
        <v>694</v>
      </c>
      <c r="E487" s="669">
        <v>467689.84</v>
      </c>
      <c r="F487" s="641" t="s">
        <v>5208</v>
      </c>
      <c r="G487" s="667" t="s">
        <v>669</v>
      </c>
      <c r="H487" s="667" t="s">
        <v>199</v>
      </c>
      <c r="I487" s="667" t="s">
        <v>1228</v>
      </c>
      <c r="J487" s="667">
        <v>43859.0</v>
      </c>
      <c r="K487" s="670" t="s">
        <v>2365</v>
      </c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6"/>
      <c r="AB487" s="666"/>
      <c r="AC487" s="666"/>
      <c r="AD487" s="666"/>
      <c r="AE487" s="666"/>
      <c r="AF487" s="666"/>
      <c r="AG487" s="666"/>
      <c r="AH487" s="666"/>
      <c r="AI487" s="666"/>
      <c r="AJ487" s="666"/>
      <c r="AK487" s="666"/>
      <c r="AL487" s="666"/>
      <c r="AM487" s="666"/>
      <c r="AN487" s="666"/>
      <c r="AO487" s="666"/>
      <c r="AP487" s="666"/>
      <c r="AQ487" s="666"/>
      <c r="AR487" s="666"/>
      <c r="AS487" s="666"/>
      <c r="AT487" s="666"/>
      <c r="AU487" s="666"/>
    </row>
    <row r="488" ht="15.75" customHeight="1">
      <c r="A488" s="667">
        <v>44418.0</v>
      </c>
      <c r="B488" s="668" t="s">
        <v>6102</v>
      </c>
      <c r="C488" s="641" t="s">
        <v>98</v>
      </c>
      <c r="D488" s="641" t="s">
        <v>694</v>
      </c>
      <c r="E488" s="669">
        <v>0.0</v>
      </c>
      <c r="F488" s="641" t="s">
        <v>3729</v>
      </c>
      <c r="G488" s="641" t="s">
        <v>255</v>
      </c>
      <c r="H488" s="641" t="s">
        <v>199</v>
      </c>
      <c r="I488" s="641" t="s">
        <v>548</v>
      </c>
      <c r="J488" s="667">
        <v>44228.0</v>
      </c>
      <c r="K488" s="674" t="s">
        <v>2319</v>
      </c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66"/>
      <c r="AB488" s="666"/>
      <c r="AC488" s="666"/>
      <c r="AD488" s="666"/>
      <c r="AE488" s="666"/>
      <c r="AF488" s="666"/>
      <c r="AG488" s="666"/>
      <c r="AH488" s="666"/>
      <c r="AI488" s="666"/>
      <c r="AJ488" s="666"/>
      <c r="AK488" s="666"/>
      <c r="AL488" s="666"/>
      <c r="AM488" s="666"/>
      <c r="AN488" s="666"/>
      <c r="AO488" s="666"/>
      <c r="AP488" s="666"/>
      <c r="AQ488" s="666"/>
      <c r="AR488" s="666"/>
      <c r="AS488" s="666"/>
      <c r="AT488" s="666"/>
      <c r="AU488" s="666"/>
    </row>
    <row r="489" ht="15.75" customHeight="1">
      <c r="A489" s="671">
        <v>44418.0</v>
      </c>
      <c r="B489" s="672" t="s">
        <v>6581</v>
      </c>
      <c r="C489" s="673" t="s">
        <v>98</v>
      </c>
      <c r="D489" s="641" t="s">
        <v>5038</v>
      </c>
      <c r="E489" s="669">
        <v>387869.72</v>
      </c>
      <c r="F489" s="641" t="s">
        <v>6582</v>
      </c>
      <c r="G489" s="641" t="s">
        <v>669</v>
      </c>
      <c r="H489" s="641" t="s">
        <v>199</v>
      </c>
      <c r="I489" s="641" t="s">
        <v>669</v>
      </c>
      <c r="J489" s="667">
        <v>44195.0</v>
      </c>
      <c r="K489" s="674" t="s">
        <v>2365</v>
      </c>
      <c r="L489" s="666"/>
      <c r="M489" s="666"/>
      <c r="N489" s="666"/>
      <c r="O489" s="666"/>
      <c r="P489" s="666"/>
      <c r="Q489" s="666"/>
      <c r="R489" s="666"/>
      <c r="S489" s="666"/>
      <c r="T489" s="666"/>
      <c r="U489" s="666"/>
      <c r="V489" s="666"/>
      <c r="W489" s="666"/>
      <c r="X489" s="666"/>
      <c r="Y489" s="666"/>
      <c r="Z489" s="666"/>
      <c r="AA489" s="666"/>
      <c r="AB489" s="666"/>
      <c r="AC489" s="666"/>
      <c r="AD489" s="666"/>
      <c r="AE489" s="666"/>
      <c r="AF489" s="666"/>
      <c r="AG489" s="666"/>
      <c r="AH489" s="666"/>
      <c r="AI489" s="666"/>
      <c r="AJ489" s="666"/>
      <c r="AK489" s="666"/>
      <c r="AL489" s="666"/>
      <c r="AM489" s="666"/>
      <c r="AN489" s="666"/>
      <c r="AO489" s="666"/>
      <c r="AP489" s="666"/>
      <c r="AQ489" s="666"/>
      <c r="AR489" s="666"/>
      <c r="AS489" s="666"/>
      <c r="AT489" s="666"/>
      <c r="AU489" s="666"/>
    </row>
    <row r="490" ht="15.75" customHeight="1">
      <c r="A490" s="671">
        <v>44420.0</v>
      </c>
      <c r="B490" s="672" t="s">
        <v>5960</v>
      </c>
      <c r="C490" s="673" t="s">
        <v>98</v>
      </c>
      <c r="D490" s="641" t="s">
        <v>5038</v>
      </c>
      <c r="E490" s="669">
        <v>169129.47</v>
      </c>
      <c r="F490" s="641" t="s">
        <v>5963</v>
      </c>
      <c r="G490" s="641" t="s">
        <v>255</v>
      </c>
      <c r="H490" s="641" t="s">
        <v>199</v>
      </c>
      <c r="I490" s="641" t="s">
        <v>4761</v>
      </c>
      <c r="J490" s="667">
        <v>44180.0</v>
      </c>
      <c r="K490" s="674" t="s">
        <v>2341</v>
      </c>
      <c r="L490" s="666"/>
      <c r="M490" s="666"/>
      <c r="N490" s="666"/>
      <c r="O490" s="666"/>
      <c r="P490" s="666"/>
      <c r="Q490" s="666"/>
      <c r="R490" s="666"/>
      <c r="S490" s="666"/>
      <c r="T490" s="666"/>
      <c r="U490" s="666"/>
      <c r="V490" s="666"/>
      <c r="W490" s="666"/>
      <c r="X490" s="666"/>
      <c r="Y490" s="666"/>
      <c r="Z490" s="666"/>
      <c r="AA490" s="666"/>
      <c r="AB490" s="666"/>
      <c r="AC490" s="666"/>
      <c r="AD490" s="666"/>
      <c r="AE490" s="666"/>
      <c r="AF490" s="666"/>
      <c r="AG490" s="666"/>
      <c r="AH490" s="666"/>
      <c r="AI490" s="666"/>
      <c r="AJ490" s="666"/>
      <c r="AK490" s="666"/>
      <c r="AL490" s="666"/>
      <c r="AM490" s="666"/>
      <c r="AN490" s="666"/>
      <c r="AO490" s="666"/>
      <c r="AP490" s="666"/>
      <c r="AQ490" s="666"/>
      <c r="AR490" s="666"/>
      <c r="AS490" s="666"/>
      <c r="AT490" s="666"/>
      <c r="AU490" s="666"/>
    </row>
    <row r="491" ht="15.75" customHeight="1">
      <c r="A491" s="671">
        <v>44421.0</v>
      </c>
      <c r="B491" s="672" t="s">
        <v>6589</v>
      </c>
      <c r="C491" s="673" t="s">
        <v>98</v>
      </c>
      <c r="D491" s="641" t="s">
        <v>5038</v>
      </c>
      <c r="E491" s="669">
        <v>300000.0</v>
      </c>
      <c r="F491" s="641" t="s">
        <v>6590</v>
      </c>
      <c r="G491" s="641" t="s">
        <v>255</v>
      </c>
      <c r="H491" s="641" t="s">
        <v>199</v>
      </c>
      <c r="I491" s="641" t="s">
        <v>4809</v>
      </c>
      <c r="J491" s="667">
        <v>44397.0</v>
      </c>
      <c r="K491" s="674" t="s">
        <v>2365</v>
      </c>
      <c r="L491" s="666"/>
      <c r="M491" s="666"/>
      <c r="N491" s="666"/>
      <c r="O491" s="666"/>
      <c r="P491" s="666"/>
      <c r="Q491" s="666"/>
      <c r="R491" s="666"/>
      <c r="S491" s="666"/>
      <c r="T491" s="666"/>
      <c r="U491" s="666"/>
      <c r="V491" s="666"/>
      <c r="W491" s="666"/>
      <c r="X491" s="666"/>
      <c r="Y491" s="666"/>
      <c r="Z491" s="666"/>
      <c r="AA491" s="666"/>
      <c r="AB491" s="666"/>
      <c r="AC491" s="666"/>
      <c r="AD491" s="666"/>
      <c r="AE491" s="666"/>
      <c r="AF491" s="666"/>
      <c r="AG491" s="666"/>
      <c r="AH491" s="666"/>
      <c r="AI491" s="666"/>
      <c r="AJ491" s="666"/>
      <c r="AK491" s="666"/>
      <c r="AL491" s="666"/>
      <c r="AM491" s="666"/>
      <c r="AN491" s="666"/>
      <c r="AO491" s="666"/>
      <c r="AP491" s="666"/>
      <c r="AQ491" s="666"/>
      <c r="AR491" s="666"/>
      <c r="AS491" s="666"/>
      <c r="AT491" s="666"/>
      <c r="AU491" s="666"/>
    </row>
    <row r="492" ht="15.75" customHeight="1">
      <c r="A492" s="671">
        <v>44421.0</v>
      </c>
      <c r="B492" s="672" t="s">
        <v>5075</v>
      </c>
      <c r="C492" s="673" t="s">
        <v>2346</v>
      </c>
      <c r="D492" s="641" t="s">
        <v>5038</v>
      </c>
      <c r="E492" s="669">
        <v>15000.0</v>
      </c>
      <c r="F492" s="641" t="s">
        <v>956</v>
      </c>
      <c r="G492" s="667" t="s">
        <v>669</v>
      </c>
      <c r="H492" s="667" t="s">
        <v>199</v>
      </c>
      <c r="I492" s="667" t="s">
        <v>1228</v>
      </c>
      <c r="J492" s="667">
        <v>43605.0</v>
      </c>
      <c r="K492" s="670" t="s">
        <v>2365</v>
      </c>
      <c r="L492" s="666"/>
      <c r="M492" s="666"/>
      <c r="N492" s="666"/>
      <c r="O492" s="666"/>
      <c r="P492" s="666"/>
      <c r="Q492" s="666"/>
      <c r="R492" s="666"/>
      <c r="S492" s="666"/>
      <c r="T492" s="666"/>
      <c r="U492" s="666"/>
      <c r="V492" s="666"/>
      <c r="W492" s="666"/>
      <c r="X492" s="666"/>
      <c r="Y492" s="666"/>
      <c r="Z492" s="666"/>
      <c r="AA492" s="666"/>
      <c r="AB492" s="666"/>
      <c r="AC492" s="666"/>
      <c r="AD492" s="666"/>
      <c r="AE492" s="666"/>
      <c r="AF492" s="666"/>
      <c r="AG492" s="666"/>
      <c r="AH492" s="666"/>
      <c r="AI492" s="666"/>
      <c r="AJ492" s="666"/>
      <c r="AK492" s="666"/>
      <c r="AL492" s="666"/>
      <c r="AM492" s="666"/>
      <c r="AN492" s="666"/>
      <c r="AO492" s="666"/>
      <c r="AP492" s="666"/>
      <c r="AQ492" s="666"/>
      <c r="AR492" s="666"/>
      <c r="AS492" s="666"/>
      <c r="AT492" s="666"/>
      <c r="AU492" s="666"/>
    </row>
    <row r="493" ht="15.75" customHeight="1">
      <c r="A493" s="671">
        <v>44421.0</v>
      </c>
      <c r="B493" s="672" t="s">
        <v>6211</v>
      </c>
      <c r="C493" s="673" t="s">
        <v>2346</v>
      </c>
      <c r="D493" s="641" t="s">
        <v>5038</v>
      </c>
      <c r="E493" s="669">
        <v>36000.0</v>
      </c>
      <c r="F493" s="641" t="s">
        <v>6214</v>
      </c>
      <c r="G493" s="667" t="s">
        <v>120</v>
      </c>
      <c r="H493" s="667" t="s">
        <v>91</v>
      </c>
      <c r="I493" s="667" t="s">
        <v>193</v>
      </c>
      <c r="J493" s="667">
        <v>44322.0</v>
      </c>
      <c r="K493" s="670" t="s">
        <v>2341</v>
      </c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6"/>
      <c r="AB493" s="666"/>
      <c r="AC493" s="666"/>
      <c r="AD493" s="666"/>
      <c r="AE493" s="666"/>
      <c r="AF493" s="666"/>
      <c r="AG493" s="666"/>
      <c r="AH493" s="666"/>
      <c r="AI493" s="666"/>
      <c r="AJ493" s="666"/>
      <c r="AK493" s="666"/>
      <c r="AL493" s="666"/>
      <c r="AM493" s="666"/>
      <c r="AN493" s="666"/>
      <c r="AO493" s="666"/>
      <c r="AP493" s="666"/>
      <c r="AQ493" s="666"/>
      <c r="AR493" s="666"/>
      <c r="AS493" s="666"/>
      <c r="AT493" s="666"/>
      <c r="AU493" s="666"/>
    </row>
    <row r="494" ht="15.75" customHeight="1">
      <c r="A494" s="667">
        <v>44424.0</v>
      </c>
      <c r="B494" s="668" t="s">
        <v>6593</v>
      </c>
      <c r="C494" s="641" t="s">
        <v>98</v>
      </c>
      <c r="D494" s="641" t="s">
        <v>694</v>
      </c>
      <c r="E494" s="669">
        <v>0.0</v>
      </c>
      <c r="F494" s="641" t="s">
        <v>6595</v>
      </c>
      <c r="G494" s="641" t="s">
        <v>255</v>
      </c>
      <c r="H494" s="641" t="s">
        <v>199</v>
      </c>
      <c r="I494" s="641" t="s">
        <v>3606</v>
      </c>
      <c r="J494" s="667">
        <v>44078.0</v>
      </c>
      <c r="K494" s="674" t="s">
        <v>2319</v>
      </c>
      <c r="L494" s="666"/>
      <c r="M494" s="666"/>
      <c r="N494" s="666"/>
      <c r="O494" s="666"/>
      <c r="P494" s="666"/>
      <c r="Q494" s="666"/>
      <c r="R494" s="666"/>
      <c r="S494" s="666"/>
      <c r="T494" s="666"/>
      <c r="U494" s="666"/>
      <c r="V494" s="666"/>
      <c r="W494" s="666"/>
      <c r="X494" s="666"/>
      <c r="Y494" s="666"/>
      <c r="Z494" s="666"/>
      <c r="AA494" s="666"/>
      <c r="AB494" s="666"/>
      <c r="AC494" s="666"/>
      <c r="AD494" s="666"/>
      <c r="AE494" s="666"/>
      <c r="AF494" s="666"/>
      <c r="AG494" s="666"/>
      <c r="AH494" s="666"/>
      <c r="AI494" s="666"/>
      <c r="AJ494" s="666"/>
      <c r="AK494" s="666"/>
      <c r="AL494" s="666"/>
      <c r="AM494" s="666"/>
      <c r="AN494" s="666"/>
      <c r="AO494" s="666"/>
      <c r="AP494" s="666"/>
      <c r="AQ494" s="666"/>
      <c r="AR494" s="666"/>
      <c r="AS494" s="666"/>
      <c r="AT494" s="666"/>
      <c r="AU494" s="666"/>
    </row>
    <row r="495" ht="15.75" customHeight="1">
      <c r="A495" s="671">
        <v>44424.0</v>
      </c>
      <c r="B495" s="672" t="s">
        <v>5183</v>
      </c>
      <c r="C495" s="673" t="s">
        <v>2346</v>
      </c>
      <c r="D495" s="641" t="s">
        <v>5038</v>
      </c>
      <c r="E495" s="669">
        <v>29127.62</v>
      </c>
      <c r="F495" s="641" t="s">
        <v>1460</v>
      </c>
      <c r="G495" s="667" t="s">
        <v>669</v>
      </c>
      <c r="H495" s="667" t="s">
        <v>199</v>
      </c>
      <c r="I495" s="667" t="s">
        <v>1228</v>
      </c>
      <c r="J495" s="667">
        <v>43894.0</v>
      </c>
      <c r="K495" s="670" t="s">
        <v>2365</v>
      </c>
      <c r="L495" s="666"/>
      <c r="M495" s="666"/>
      <c r="N495" s="666"/>
      <c r="O495" s="666"/>
      <c r="P495" s="666"/>
      <c r="Q495" s="666"/>
      <c r="R495" s="666"/>
      <c r="S495" s="666"/>
      <c r="T495" s="666"/>
      <c r="U495" s="666"/>
      <c r="V495" s="666"/>
      <c r="W495" s="666"/>
      <c r="X495" s="666"/>
      <c r="Y495" s="666"/>
      <c r="Z495" s="666"/>
      <c r="AA495" s="666"/>
      <c r="AB495" s="666"/>
      <c r="AC495" s="666"/>
      <c r="AD495" s="666"/>
      <c r="AE495" s="666"/>
      <c r="AF495" s="666"/>
      <c r="AG495" s="666"/>
      <c r="AH495" s="666"/>
      <c r="AI495" s="666"/>
      <c r="AJ495" s="666"/>
      <c r="AK495" s="666"/>
      <c r="AL495" s="666"/>
      <c r="AM495" s="666"/>
      <c r="AN495" s="666"/>
      <c r="AO495" s="666"/>
      <c r="AP495" s="666"/>
      <c r="AQ495" s="666"/>
      <c r="AR495" s="666"/>
      <c r="AS495" s="666"/>
      <c r="AT495" s="666"/>
      <c r="AU495" s="666"/>
    </row>
    <row r="496" ht="15.75" customHeight="1">
      <c r="A496" s="671">
        <v>44424.0</v>
      </c>
      <c r="B496" s="672" t="s">
        <v>6599</v>
      </c>
      <c r="C496" s="673" t="s">
        <v>2346</v>
      </c>
      <c r="D496" s="641" t="s">
        <v>5038</v>
      </c>
      <c r="E496" s="669">
        <v>4000.0</v>
      </c>
      <c r="F496" s="641" t="s">
        <v>810</v>
      </c>
      <c r="G496" s="667" t="s">
        <v>120</v>
      </c>
      <c r="H496" s="667" t="s">
        <v>91</v>
      </c>
      <c r="I496" s="667" t="s">
        <v>193</v>
      </c>
      <c r="J496" s="667">
        <v>44291.0</v>
      </c>
      <c r="K496" s="670" t="s">
        <v>2341</v>
      </c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666"/>
      <c r="AB496" s="666"/>
      <c r="AC496" s="666"/>
      <c r="AD496" s="666"/>
      <c r="AE496" s="666"/>
      <c r="AF496" s="666"/>
      <c r="AG496" s="666"/>
      <c r="AH496" s="666"/>
      <c r="AI496" s="666"/>
      <c r="AJ496" s="666"/>
      <c r="AK496" s="666"/>
      <c r="AL496" s="666"/>
      <c r="AM496" s="666"/>
      <c r="AN496" s="666"/>
      <c r="AO496" s="666"/>
      <c r="AP496" s="666"/>
      <c r="AQ496" s="666"/>
      <c r="AR496" s="666"/>
      <c r="AS496" s="666"/>
      <c r="AT496" s="666"/>
      <c r="AU496" s="666"/>
    </row>
    <row r="497" ht="15.75" customHeight="1">
      <c r="A497" s="671">
        <v>44424.0</v>
      </c>
      <c r="B497" s="672" t="s">
        <v>6589</v>
      </c>
      <c r="C497" s="673" t="s">
        <v>98</v>
      </c>
      <c r="D497" s="641" t="s">
        <v>427</v>
      </c>
      <c r="E497" s="669">
        <v>83704.06</v>
      </c>
      <c r="F497" s="641" t="s">
        <v>6602</v>
      </c>
      <c r="G497" s="641" t="s">
        <v>255</v>
      </c>
      <c r="H497" s="641" t="s">
        <v>199</v>
      </c>
      <c r="I497" s="641" t="s">
        <v>4809</v>
      </c>
      <c r="J497" s="667">
        <v>44397.0</v>
      </c>
      <c r="K497" s="674" t="s">
        <v>2365</v>
      </c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6"/>
      <c r="AB497" s="666"/>
      <c r="AC497" s="666"/>
      <c r="AD497" s="666"/>
      <c r="AE497" s="666"/>
      <c r="AF497" s="666"/>
      <c r="AG497" s="666"/>
      <c r="AH497" s="666"/>
      <c r="AI497" s="666"/>
      <c r="AJ497" s="666"/>
      <c r="AK497" s="666"/>
      <c r="AL497" s="666"/>
      <c r="AM497" s="666"/>
      <c r="AN497" s="666"/>
      <c r="AO497" s="666"/>
      <c r="AP497" s="666"/>
      <c r="AQ497" s="666"/>
      <c r="AR497" s="666"/>
      <c r="AS497" s="666"/>
      <c r="AT497" s="666"/>
      <c r="AU497" s="666"/>
    </row>
    <row r="498" ht="15.75" customHeight="1">
      <c r="A498" s="671">
        <v>44424.0</v>
      </c>
      <c r="B498" s="672" t="s">
        <v>6603</v>
      </c>
      <c r="C498" s="673" t="s">
        <v>98</v>
      </c>
      <c r="D498" s="641" t="s">
        <v>427</v>
      </c>
      <c r="E498" s="669">
        <v>5000.0</v>
      </c>
      <c r="F498" s="641" t="s">
        <v>4237</v>
      </c>
      <c r="G498" s="641" t="s">
        <v>120</v>
      </c>
      <c r="H498" s="641" t="s">
        <v>199</v>
      </c>
      <c r="I498" s="641" t="s">
        <v>4238</v>
      </c>
      <c r="J498" s="667">
        <v>44305.0</v>
      </c>
      <c r="K498" s="674" t="s">
        <v>2372</v>
      </c>
      <c r="L498" s="666"/>
      <c r="M498" s="666"/>
      <c r="N498" s="666"/>
      <c r="O498" s="666"/>
      <c r="P498" s="666"/>
      <c r="Q498" s="666"/>
      <c r="R498" s="666"/>
      <c r="S498" s="666"/>
      <c r="T498" s="666"/>
      <c r="U498" s="666"/>
      <c r="V498" s="666"/>
      <c r="W498" s="666"/>
      <c r="X498" s="666"/>
      <c r="Y498" s="666"/>
      <c r="Z498" s="666"/>
      <c r="AA498" s="666"/>
      <c r="AB498" s="666"/>
      <c r="AC498" s="666"/>
      <c r="AD498" s="666"/>
      <c r="AE498" s="666"/>
      <c r="AF498" s="666"/>
      <c r="AG498" s="666"/>
      <c r="AH498" s="666"/>
      <c r="AI498" s="666"/>
      <c r="AJ498" s="666"/>
      <c r="AK498" s="666"/>
      <c r="AL498" s="666"/>
      <c r="AM498" s="666"/>
      <c r="AN498" s="666"/>
      <c r="AO498" s="666"/>
      <c r="AP498" s="666"/>
      <c r="AQ498" s="666"/>
      <c r="AR498" s="666"/>
      <c r="AS498" s="666"/>
      <c r="AT498" s="666"/>
      <c r="AU498" s="666"/>
    </row>
    <row r="499" ht="15.75" customHeight="1">
      <c r="A499" s="667">
        <v>44425.0</v>
      </c>
      <c r="B499" s="668" t="s">
        <v>6607</v>
      </c>
      <c r="C499" s="641" t="s">
        <v>2346</v>
      </c>
      <c r="D499" s="641" t="s">
        <v>694</v>
      </c>
      <c r="E499" s="669">
        <v>110571.37</v>
      </c>
      <c r="F499" s="641" t="s">
        <v>6608</v>
      </c>
      <c r="G499" s="667" t="s">
        <v>1096</v>
      </c>
      <c r="H499" s="667" t="s">
        <v>199</v>
      </c>
      <c r="I499" s="667" t="s">
        <v>1096</v>
      </c>
      <c r="J499" s="667">
        <v>43990.0</v>
      </c>
      <c r="K499" s="670" t="s">
        <v>2372</v>
      </c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66"/>
      <c r="AB499" s="666"/>
      <c r="AC499" s="666"/>
      <c r="AD499" s="666"/>
      <c r="AE499" s="666"/>
      <c r="AF499" s="666"/>
      <c r="AG499" s="666"/>
      <c r="AH499" s="666"/>
      <c r="AI499" s="666"/>
      <c r="AJ499" s="666"/>
      <c r="AK499" s="666"/>
      <c r="AL499" s="666"/>
      <c r="AM499" s="666"/>
      <c r="AN499" s="666"/>
      <c r="AO499" s="666"/>
      <c r="AP499" s="666"/>
      <c r="AQ499" s="666"/>
      <c r="AR499" s="666"/>
      <c r="AS499" s="666"/>
      <c r="AT499" s="666"/>
      <c r="AU499" s="666"/>
    </row>
    <row r="500" ht="15.75" customHeight="1">
      <c r="A500" s="667">
        <v>44425.0</v>
      </c>
      <c r="B500" s="668" t="s">
        <v>6613</v>
      </c>
      <c r="C500" s="641" t="s">
        <v>98</v>
      </c>
      <c r="D500" s="641" t="s">
        <v>694</v>
      </c>
      <c r="E500" s="669">
        <v>0.0</v>
      </c>
      <c r="F500" s="641" t="s">
        <v>6614</v>
      </c>
      <c r="G500" s="641" t="s">
        <v>120</v>
      </c>
      <c r="H500" s="641" t="s">
        <v>199</v>
      </c>
      <c r="I500" s="641" t="s">
        <v>2339</v>
      </c>
      <c r="J500" s="667">
        <v>44148.0</v>
      </c>
      <c r="K500" s="674" t="s">
        <v>2341</v>
      </c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66"/>
      <c r="AB500" s="666"/>
      <c r="AC500" s="666"/>
      <c r="AD500" s="666"/>
      <c r="AE500" s="666"/>
      <c r="AF500" s="666"/>
      <c r="AG500" s="666"/>
      <c r="AH500" s="666"/>
      <c r="AI500" s="666"/>
      <c r="AJ500" s="666"/>
      <c r="AK500" s="666"/>
      <c r="AL500" s="666"/>
      <c r="AM500" s="666"/>
      <c r="AN500" s="666"/>
      <c r="AO500" s="666"/>
      <c r="AP500" s="666"/>
      <c r="AQ500" s="666"/>
      <c r="AR500" s="666"/>
      <c r="AS500" s="666"/>
      <c r="AT500" s="666"/>
      <c r="AU500" s="666"/>
    </row>
    <row r="501" ht="15.75" customHeight="1">
      <c r="A501" s="671">
        <v>44425.0</v>
      </c>
      <c r="B501" s="672" t="s">
        <v>6435</v>
      </c>
      <c r="C501" s="673" t="s">
        <v>2346</v>
      </c>
      <c r="D501" s="641" t="s">
        <v>5038</v>
      </c>
      <c r="E501" s="669">
        <v>3000.0</v>
      </c>
      <c r="F501" s="641" t="s">
        <v>2396</v>
      </c>
      <c r="G501" s="667" t="s">
        <v>120</v>
      </c>
      <c r="H501" s="667" t="s">
        <v>91</v>
      </c>
      <c r="I501" s="667" t="s">
        <v>193</v>
      </c>
      <c r="J501" s="667">
        <v>44321.0</v>
      </c>
      <c r="K501" s="670" t="s">
        <v>2365</v>
      </c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666"/>
      <c r="AB501" s="666"/>
      <c r="AC501" s="666"/>
      <c r="AD501" s="666"/>
      <c r="AE501" s="666"/>
      <c r="AF501" s="666"/>
      <c r="AG501" s="666"/>
      <c r="AH501" s="666"/>
      <c r="AI501" s="666"/>
      <c r="AJ501" s="666"/>
      <c r="AK501" s="666"/>
      <c r="AL501" s="666"/>
      <c r="AM501" s="666"/>
      <c r="AN501" s="666"/>
      <c r="AO501" s="666"/>
      <c r="AP501" s="666"/>
      <c r="AQ501" s="666"/>
      <c r="AR501" s="666"/>
      <c r="AS501" s="666"/>
      <c r="AT501" s="666"/>
      <c r="AU501" s="666"/>
    </row>
    <row r="502" ht="15.75" customHeight="1">
      <c r="A502" s="671">
        <v>44426.0</v>
      </c>
      <c r="B502" s="672" t="s">
        <v>6211</v>
      </c>
      <c r="C502" s="673" t="s">
        <v>2346</v>
      </c>
      <c r="D502" s="641" t="s">
        <v>5038</v>
      </c>
      <c r="E502" s="669">
        <v>9000.0</v>
      </c>
      <c r="F502" s="641" t="s">
        <v>6214</v>
      </c>
      <c r="G502" s="667" t="s">
        <v>120</v>
      </c>
      <c r="H502" s="667" t="s">
        <v>91</v>
      </c>
      <c r="I502" s="667" t="s">
        <v>193</v>
      </c>
      <c r="J502" s="667">
        <v>44322.0</v>
      </c>
      <c r="K502" s="670" t="s">
        <v>2341</v>
      </c>
      <c r="L502" s="666"/>
      <c r="M502" s="666"/>
      <c r="N502" s="666"/>
      <c r="O502" s="666"/>
      <c r="P502" s="666"/>
      <c r="Q502" s="666"/>
      <c r="R502" s="666"/>
      <c r="S502" s="666"/>
      <c r="T502" s="666"/>
      <c r="U502" s="666"/>
      <c r="V502" s="666"/>
      <c r="W502" s="666"/>
      <c r="X502" s="666"/>
      <c r="Y502" s="666"/>
      <c r="Z502" s="666"/>
      <c r="AA502" s="666"/>
      <c r="AB502" s="666"/>
      <c r="AC502" s="666"/>
      <c r="AD502" s="666"/>
      <c r="AE502" s="666"/>
      <c r="AF502" s="666"/>
      <c r="AG502" s="666"/>
      <c r="AH502" s="666"/>
      <c r="AI502" s="666"/>
      <c r="AJ502" s="666"/>
      <c r="AK502" s="666"/>
      <c r="AL502" s="666"/>
      <c r="AM502" s="666"/>
      <c r="AN502" s="666"/>
      <c r="AO502" s="666"/>
      <c r="AP502" s="666"/>
      <c r="AQ502" s="666"/>
      <c r="AR502" s="666"/>
      <c r="AS502" s="666"/>
      <c r="AT502" s="666"/>
      <c r="AU502" s="666"/>
    </row>
    <row r="503" ht="15.75" customHeight="1">
      <c r="A503" s="671">
        <v>44426.0</v>
      </c>
      <c r="B503" s="672" t="s">
        <v>6620</v>
      </c>
      <c r="C503" s="673" t="s">
        <v>98</v>
      </c>
      <c r="D503" s="641" t="s">
        <v>5038</v>
      </c>
      <c r="E503" s="669">
        <v>10000.0</v>
      </c>
      <c r="F503" s="641" t="s">
        <v>6621</v>
      </c>
      <c r="G503" s="641" t="s">
        <v>120</v>
      </c>
      <c r="H503" s="641" t="s">
        <v>199</v>
      </c>
      <c r="I503" s="641" t="s">
        <v>2339</v>
      </c>
      <c r="J503" s="667">
        <v>44133.0</v>
      </c>
      <c r="K503" s="674" t="s">
        <v>2365</v>
      </c>
      <c r="L503" s="666"/>
      <c r="M503" s="666"/>
      <c r="N503" s="666"/>
      <c r="O503" s="666"/>
      <c r="P503" s="666"/>
      <c r="Q503" s="666"/>
      <c r="R503" s="666"/>
      <c r="S503" s="666"/>
      <c r="T503" s="666"/>
      <c r="U503" s="666"/>
      <c r="V503" s="666"/>
      <c r="W503" s="666"/>
      <c r="X503" s="666"/>
      <c r="Y503" s="666"/>
      <c r="Z503" s="666"/>
      <c r="AA503" s="666"/>
      <c r="AB503" s="666"/>
      <c r="AC503" s="666"/>
      <c r="AD503" s="666"/>
      <c r="AE503" s="666"/>
      <c r="AF503" s="666"/>
      <c r="AG503" s="666"/>
      <c r="AH503" s="666"/>
      <c r="AI503" s="666"/>
      <c r="AJ503" s="666"/>
      <c r="AK503" s="666"/>
      <c r="AL503" s="666"/>
      <c r="AM503" s="666"/>
      <c r="AN503" s="666"/>
      <c r="AO503" s="666"/>
      <c r="AP503" s="666"/>
      <c r="AQ503" s="666"/>
      <c r="AR503" s="666"/>
      <c r="AS503" s="666"/>
      <c r="AT503" s="666"/>
      <c r="AU503" s="666"/>
    </row>
    <row r="504" ht="15.75" customHeight="1">
      <c r="A504" s="671">
        <v>44427.0</v>
      </c>
      <c r="B504" s="672" t="s">
        <v>6625</v>
      </c>
      <c r="C504" s="673" t="s">
        <v>98</v>
      </c>
      <c r="D504" s="641" t="s">
        <v>427</v>
      </c>
      <c r="E504" s="669">
        <v>117509.41</v>
      </c>
      <c r="F504" s="641" t="s">
        <v>4280</v>
      </c>
      <c r="G504" s="641" t="s">
        <v>669</v>
      </c>
      <c r="H504" s="641" t="s">
        <v>199</v>
      </c>
      <c r="I504" s="641" t="s">
        <v>669</v>
      </c>
      <c r="J504" s="667">
        <v>44368.0</v>
      </c>
      <c r="K504" s="674" t="s">
        <v>2341</v>
      </c>
      <c r="L504" s="666"/>
      <c r="M504" s="666"/>
      <c r="N504" s="666"/>
      <c r="O504" s="666"/>
      <c r="P504" s="666"/>
      <c r="Q504" s="666"/>
      <c r="R504" s="666"/>
      <c r="S504" s="666"/>
      <c r="T504" s="666"/>
      <c r="U504" s="666"/>
      <c r="V504" s="666"/>
      <c r="W504" s="666"/>
      <c r="X504" s="666"/>
      <c r="Y504" s="666"/>
      <c r="Z504" s="666"/>
      <c r="AA504" s="666"/>
      <c r="AB504" s="666"/>
      <c r="AC504" s="666"/>
      <c r="AD504" s="666"/>
      <c r="AE504" s="666"/>
      <c r="AF504" s="666"/>
      <c r="AG504" s="666"/>
      <c r="AH504" s="666"/>
      <c r="AI504" s="666"/>
      <c r="AJ504" s="666"/>
      <c r="AK504" s="666"/>
      <c r="AL504" s="666"/>
      <c r="AM504" s="666"/>
      <c r="AN504" s="666"/>
      <c r="AO504" s="666"/>
      <c r="AP504" s="666"/>
      <c r="AQ504" s="666"/>
      <c r="AR504" s="666"/>
      <c r="AS504" s="666"/>
      <c r="AT504" s="666"/>
      <c r="AU504" s="666"/>
    </row>
    <row r="505" ht="15.75" customHeight="1">
      <c r="A505" s="667">
        <v>44428.0</v>
      </c>
      <c r="B505" s="668" t="s">
        <v>6626</v>
      </c>
      <c r="C505" s="641" t="s">
        <v>98</v>
      </c>
      <c r="D505" s="641" t="s">
        <v>694</v>
      </c>
      <c r="E505" s="669">
        <v>0.0</v>
      </c>
      <c r="F505" s="641" t="s">
        <v>6627</v>
      </c>
      <c r="G505" s="641" t="s">
        <v>120</v>
      </c>
      <c r="H505" s="641" t="s">
        <v>199</v>
      </c>
      <c r="I505" s="641" t="s">
        <v>2339</v>
      </c>
      <c r="J505" s="667">
        <v>44196.0</v>
      </c>
      <c r="K505" s="674" t="s">
        <v>2356</v>
      </c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6"/>
      <c r="AB505" s="666"/>
      <c r="AC505" s="666"/>
      <c r="AD505" s="666"/>
      <c r="AE505" s="666"/>
      <c r="AF505" s="666"/>
      <c r="AG505" s="666"/>
      <c r="AH505" s="666"/>
      <c r="AI505" s="666"/>
      <c r="AJ505" s="666"/>
      <c r="AK505" s="666"/>
      <c r="AL505" s="666"/>
      <c r="AM505" s="666"/>
      <c r="AN505" s="666"/>
      <c r="AO505" s="666"/>
      <c r="AP505" s="666"/>
      <c r="AQ505" s="666"/>
      <c r="AR505" s="666"/>
      <c r="AS505" s="666"/>
      <c r="AT505" s="666"/>
      <c r="AU505" s="666"/>
    </row>
    <row r="506" ht="15.75" customHeight="1">
      <c r="A506" s="671">
        <v>44428.0</v>
      </c>
      <c r="B506" s="672" t="s">
        <v>5065</v>
      </c>
      <c r="C506" s="673" t="s">
        <v>2346</v>
      </c>
      <c r="D506" s="641" t="s">
        <v>5038</v>
      </c>
      <c r="E506" s="669">
        <v>70000.0</v>
      </c>
      <c r="F506" s="641" t="s">
        <v>5066</v>
      </c>
      <c r="G506" s="667" t="s">
        <v>669</v>
      </c>
      <c r="H506" s="667" t="s">
        <v>199</v>
      </c>
      <c r="I506" s="667" t="s">
        <v>1228</v>
      </c>
      <c r="J506" s="667">
        <v>43703.0</v>
      </c>
      <c r="K506" s="670" t="s">
        <v>4383</v>
      </c>
      <c r="L506" s="666"/>
      <c r="M506" s="666"/>
      <c r="N506" s="666"/>
      <c r="O506" s="666"/>
      <c r="P506" s="666"/>
      <c r="Q506" s="666"/>
      <c r="R506" s="666"/>
      <c r="S506" s="666"/>
      <c r="T506" s="666"/>
      <c r="U506" s="666"/>
      <c r="V506" s="666"/>
      <c r="W506" s="666"/>
      <c r="X506" s="666"/>
      <c r="Y506" s="666"/>
      <c r="Z506" s="666"/>
      <c r="AA506" s="666"/>
      <c r="AB506" s="666"/>
      <c r="AC506" s="666"/>
      <c r="AD506" s="666"/>
      <c r="AE506" s="666"/>
      <c r="AF506" s="666"/>
      <c r="AG506" s="666"/>
      <c r="AH506" s="666"/>
      <c r="AI506" s="666"/>
      <c r="AJ506" s="666"/>
      <c r="AK506" s="666"/>
      <c r="AL506" s="666"/>
      <c r="AM506" s="666"/>
      <c r="AN506" s="666"/>
      <c r="AO506" s="666"/>
      <c r="AP506" s="666"/>
      <c r="AQ506" s="666"/>
      <c r="AR506" s="666"/>
      <c r="AS506" s="666"/>
      <c r="AT506" s="666"/>
      <c r="AU506" s="666"/>
    </row>
    <row r="507" ht="15.75" customHeight="1">
      <c r="A507" s="671">
        <v>44428.0</v>
      </c>
      <c r="B507" s="672" t="s">
        <v>6186</v>
      </c>
      <c r="C507" s="673" t="s">
        <v>98</v>
      </c>
      <c r="D507" s="641" t="s">
        <v>427</v>
      </c>
      <c r="E507" s="669">
        <v>56000.0</v>
      </c>
      <c r="F507" s="641" t="s">
        <v>6187</v>
      </c>
      <c r="G507" s="641" t="s">
        <v>120</v>
      </c>
      <c r="H507" s="641" t="s">
        <v>54</v>
      </c>
      <c r="I507" s="641" t="s">
        <v>379</v>
      </c>
      <c r="J507" s="667">
        <v>44291.0</v>
      </c>
      <c r="K507" s="674" t="s">
        <v>2372</v>
      </c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666"/>
      <c r="AB507" s="666"/>
      <c r="AC507" s="666"/>
      <c r="AD507" s="666"/>
      <c r="AE507" s="666"/>
      <c r="AF507" s="666"/>
      <c r="AG507" s="666"/>
      <c r="AH507" s="666"/>
      <c r="AI507" s="666"/>
      <c r="AJ507" s="666"/>
      <c r="AK507" s="666"/>
      <c r="AL507" s="666"/>
      <c r="AM507" s="666"/>
      <c r="AN507" s="666"/>
      <c r="AO507" s="666"/>
      <c r="AP507" s="666"/>
      <c r="AQ507" s="666"/>
      <c r="AR507" s="666"/>
      <c r="AS507" s="666"/>
      <c r="AT507" s="666"/>
      <c r="AU507" s="666"/>
    </row>
    <row r="508" ht="15.75" customHeight="1">
      <c r="A508" s="671">
        <v>44431.0</v>
      </c>
      <c r="B508" s="672" t="s">
        <v>6637</v>
      </c>
      <c r="C508" s="673" t="s">
        <v>2346</v>
      </c>
      <c r="D508" s="641" t="s">
        <v>5038</v>
      </c>
      <c r="E508" s="669">
        <v>86000.0</v>
      </c>
      <c r="F508" s="641" t="s">
        <v>6638</v>
      </c>
      <c r="G508" s="667" t="s">
        <v>120</v>
      </c>
      <c r="H508" s="667" t="s">
        <v>91</v>
      </c>
      <c r="I508" s="667" t="s">
        <v>699</v>
      </c>
      <c r="J508" s="667">
        <v>44267.0</v>
      </c>
      <c r="K508" s="670" t="s">
        <v>2341</v>
      </c>
      <c r="L508" s="666"/>
      <c r="M508" s="666"/>
      <c r="N508" s="666"/>
      <c r="O508" s="666"/>
      <c r="P508" s="666"/>
      <c r="Q508" s="666"/>
      <c r="R508" s="666"/>
      <c r="S508" s="666"/>
      <c r="T508" s="666"/>
      <c r="U508" s="666"/>
      <c r="V508" s="666"/>
      <c r="W508" s="666"/>
      <c r="X508" s="666"/>
      <c r="Y508" s="666"/>
      <c r="Z508" s="666"/>
      <c r="AA508" s="666"/>
      <c r="AB508" s="666"/>
      <c r="AC508" s="666"/>
      <c r="AD508" s="666"/>
      <c r="AE508" s="666"/>
      <c r="AF508" s="666"/>
      <c r="AG508" s="666"/>
      <c r="AH508" s="666"/>
      <c r="AI508" s="666"/>
      <c r="AJ508" s="666"/>
      <c r="AK508" s="666"/>
      <c r="AL508" s="666"/>
      <c r="AM508" s="666"/>
      <c r="AN508" s="666"/>
      <c r="AO508" s="666"/>
      <c r="AP508" s="666"/>
      <c r="AQ508" s="666"/>
      <c r="AR508" s="666"/>
      <c r="AS508" s="666"/>
      <c r="AT508" s="666"/>
      <c r="AU508" s="666"/>
    </row>
    <row r="509" ht="15.75" customHeight="1">
      <c r="A509" s="671">
        <v>44431.0</v>
      </c>
      <c r="B509" s="672" t="s">
        <v>5183</v>
      </c>
      <c r="C509" s="673" t="s">
        <v>2346</v>
      </c>
      <c r="D509" s="641" t="s">
        <v>5038</v>
      </c>
      <c r="E509" s="669">
        <v>1000.0</v>
      </c>
      <c r="F509" s="641" t="s">
        <v>1460</v>
      </c>
      <c r="G509" s="667" t="s">
        <v>669</v>
      </c>
      <c r="H509" s="667" t="s">
        <v>199</v>
      </c>
      <c r="I509" s="667" t="s">
        <v>1228</v>
      </c>
      <c r="J509" s="667">
        <v>43894.0</v>
      </c>
      <c r="K509" s="670" t="s">
        <v>2365</v>
      </c>
      <c r="L509" s="666"/>
      <c r="M509" s="666"/>
      <c r="N509" s="666"/>
      <c r="O509" s="666"/>
      <c r="P509" s="666"/>
      <c r="Q509" s="666"/>
      <c r="R509" s="666"/>
      <c r="S509" s="666"/>
      <c r="T509" s="666"/>
      <c r="U509" s="666"/>
      <c r="V509" s="666"/>
      <c r="W509" s="666"/>
      <c r="X509" s="666"/>
      <c r="Y509" s="666"/>
      <c r="Z509" s="666"/>
      <c r="AA509" s="666"/>
      <c r="AB509" s="666"/>
      <c r="AC509" s="666"/>
      <c r="AD509" s="666"/>
      <c r="AE509" s="666"/>
      <c r="AF509" s="666"/>
      <c r="AG509" s="666"/>
      <c r="AH509" s="666"/>
      <c r="AI509" s="666"/>
      <c r="AJ509" s="666"/>
      <c r="AK509" s="666"/>
      <c r="AL509" s="666"/>
      <c r="AM509" s="666"/>
      <c r="AN509" s="666"/>
      <c r="AO509" s="666"/>
      <c r="AP509" s="666"/>
      <c r="AQ509" s="666"/>
      <c r="AR509" s="666"/>
      <c r="AS509" s="666"/>
      <c r="AT509" s="666"/>
      <c r="AU509" s="666"/>
    </row>
    <row r="510" ht="15.75" customHeight="1">
      <c r="A510" s="671">
        <v>44431.0</v>
      </c>
      <c r="B510" s="672" t="s">
        <v>5779</v>
      </c>
      <c r="C510" s="673" t="s">
        <v>98</v>
      </c>
      <c r="D510" s="641" t="s">
        <v>5038</v>
      </c>
      <c r="E510" s="669">
        <v>10000.0</v>
      </c>
      <c r="F510" s="641" t="s">
        <v>4079</v>
      </c>
      <c r="G510" s="641" t="s">
        <v>120</v>
      </c>
      <c r="H510" s="641" t="s">
        <v>199</v>
      </c>
      <c r="I510" s="641" t="s">
        <v>4081</v>
      </c>
      <c r="J510" s="667">
        <v>44089.0</v>
      </c>
      <c r="K510" s="674" t="s">
        <v>2356</v>
      </c>
      <c r="L510" s="666"/>
      <c r="M510" s="666"/>
      <c r="N510" s="666"/>
      <c r="O510" s="666"/>
      <c r="P510" s="666"/>
      <c r="Q510" s="666"/>
      <c r="R510" s="666"/>
      <c r="S510" s="666"/>
      <c r="T510" s="666"/>
      <c r="U510" s="666"/>
      <c r="V510" s="666"/>
      <c r="W510" s="666"/>
      <c r="X510" s="666"/>
      <c r="Y510" s="666"/>
      <c r="Z510" s="666"/>
      <c r="AA510" s="666"/>
      <c r="AB510" s="666"/>
      <c r="AC510" s="666"/>
      <c r="AD510" s="666"/>
      <c r="AE510" s="666"/>
      <c r="AF510" s="666"/>
      <c r="AG510" s="666"/>
      <c r="AH510" s="666"/>
      <c r="AI510" s="666"/>
      <c r="AJ510" s="666"/>
      <c r="AK510" s="666"/>
      <c r="AL510" s="666"/>
      <c r="AM510" s="666"/>
      <c r="AN510" s="666"/>
      <c r="AO510" s="666"/>
      <c r="AP510" s="666"/>
      <c r="AQ510" s="666"/>
      <c r="AR510" s="666"/>
      <c r="AS510" s="666"/>
      <c r="AT510" s="666"/>
      <c r="AU510" s="666"/>
    </row>
    <row r="511" ht="15.75" customHeight="1">
      <c r="A511" s="671">
        <v>44432.0</v>
      </c>
      <c r="B511" s="672" t="s">
        <v>6222</v>
      </c>
      <c r="C511" s="673" t="s">
        <v>2346</v>
      </c>
      <c r="D511" s="641" t="s">
        <v>5038</v>
      </c>
      <c r="E511" s="669">
        <v>15000.0</v>
      </c>
      <c r="F511" s="641" t="s">
        <v>1489</v>
      </c>
      <c r="G511" s="667" t="s">
        <v>120</v>
      </c>
      <c r="H511" s="667" t="s">
        <v>91</v>
      </c>
      <c r="I511" s="667" t="s">
        <v>193</v>
      </c>
      <c r="J511" s="667">
        <v>44319.0</v>
      </c>
      <c r="K511" s="670" t="s">
        <v>2341</v>
      </c>
      <c r="L511" s="666"/>
      <c r="M511" s="666"/>
      <c r="N511" s="666"/>
      <c r="O511" s="666"/>
      <c r="P511" s="666"/>
      <c r="Q511" s="666"/>
      <c r="R511" s="666"/>
      <c r="S511" s="666"/>
      <c r="T511" s="666"/>
      <c r="U511" s="666"/>
      <c r="V511" s="666"/>
      <c r="W511" s="666"/>
      <c r="X511" s="666"/>
      <c r="Y511" s="666"/>
      <c r="Z511" s="666"/>
      <c r="AA511" s="666"/>
      <c r="AB511" s="666"/>
      <c r="AC511" s="666"/>
      <c r="AD511" s="666"/>
      <c r="AE511" s="666"/>
      <c r="AF511" s="666"/>
      <c r="AG511" s="666"/>
      <c r="AH511" s="666"/>
      <c r="AI511" s="666"/>
      <c r="AJ511" s="666"/>
      <c r="AK511" s="666"/>
      <c r="AL511" s="666"/>
      <c r="AM511" s="666"/>
      <c r="AN511" s="666"/>
      <c r="AO511" s="666"/>
      <c r="AP511" s="666"/>
      <c r="AQ511" s="666"/>
      <c r="AR511" s="666"/>
      <c r="AS511" s="666"/>
      <c r="AT511" s="666"/>
      <c r="AU511" s="666"/>
    </row>
    <row r="512" ht="15.75" customHeight="1">
      <c r="A512" s="671">
        <v>44432.0</v>
      </c>
      <c r="B512" s="672" t="s">
        <v>6650</v>
      </c>
      <c r="C512" s="673" t="s">
        <v>2346</v>
      </c>
      <c r="D512" s="641" t="s">
        <v>427</v>
      </c>
      <c r="E512" s="669">
        <v>50000.0</v>
      </c>
      <c r="F512" s="641" t="s">
        <v>6652</v>
      </c>
      <c r="G512" s="667" t="s">
        <v>120</v>
      </c>
      <c r="H512" s="667" t="s">
        <v>91</v>
      </c>
      <c r="I512" s="667" t="s">
        <v>193</v>
      </c>
      <c r="J512" s="667">
        <v>44279.0</v>
      </c>
      <c r="K512" s="670" t="s">
        <v>2341</v>
      </c>
      <c r="L512" s="666"/>
      <c r="M512" s="666"/>
      <c r="N512" s="666"/>
      <c r="O512" s="666"/>
      <c r="P512" s="666"/>
      <c r="Q512" s="666"/>
      <c r="R512" s="666"/>
      <c r="S512" s="666"/>
      <c r="T512" s="666"/>
      <c r="U512" s="666"/>
      <c r="V512" s="666"/>
      <c r="W512" s="666"/>
      <c r="X512" s="666"/>
      <c r="Y512" s="666"/>
      <c r="Z512" s="666"/>
      <c r="AA512" s="666"/>
      <c r="AB512" s="666"/>
      <c r="AC512" s="666"/>
      <c r="AD512" s="666"/>
      <c r="AE512" s="666"/>
      <c r="AF512" s="666"/>
      <c r="AG512" s="666"/>
      <c r="AH512" s="666"/>
      <c r="AI512" s="666"/>
      <c r="AJ512" s="666"/>
      <c r="AK512" s="666"/>
      <c r="AL512" s="666"/>
      <c r="AM512" s="666"/>
      <c r="AN512" s="666"/>
      <c r="AO512" s="666"/>
      <c r="AP512" s="666"/>
      <c r="AQ512" s="666"/>
      <c r="AR512" s="666"/>
      <c r="AS512" s="666"/>
      <c r="AT512" s="666"/>
      <c r="AU512" s="666"/>
    </row>
    <row r="513" ht="15.75" customHeight="1">
      <c r="A513" s="671">
        <v>44432.0</v>
      </c>
      <c r="B513" s="672" t="s">
        <v>6243</v>
      </c>
      <c r="C513" s="673" t="s">
        <v>2346</v>
      </c>
      <c r="D513" s="641" t="s">
        <v>5038</v>
      </c>
      <c r="E513" s="669">
        <v>150000.0</v>
      </c>
      <c r="F513" s="641" t="s">
        <v>4207</v>
      </c>
      <c r="G513" s="667" t="s">
        <v>120</v>
      </c>
      <c r="H513" s="667" t="s">
        <v>91</v>
      </c>
      <c r="I513" s="667" t="s">
        <v>521</v>
      </c>
      <c r="J513" s="667">
        <v>44328.0</v>
      </c>
      <c r="K513" s="670" t="s">
        <v>2341</v>
      </c>
      <c r="L513" s="666"/>
      <c r="M513" s="666"/>
      <c r="N513" s="666"/>
      <c r="O513" s="666"/>
      <c r="P513" s="666"/>
      <c r="Q513" s="666"/>
      <c r="R513" s="666"/>
      <c r="S513" s="666"/>
      <c r="T513" s="666"/>
      <c r="U513" s="666"/>
      <c r="V513" s="666"/>
      <c r="W513" s="666"/>
      <c r="X513" s="666"/>
      <c r="Y513" s="666"/>
      <c r="Z513" s="666"/>
      <c r="AA513" s="666"/>
      <c r="AB513" s="666"/>
      <c r="AC513" s="666"/>
      <c r="AD513" s="666"/>
      <c r="AE513" s="666"/>
      <c r="AF513" s="666"/>
      <c r="AG513" s="666"/>
      <c r="AH513" s="666"/>
      <c r="AI513" s="666"/>
      <c r="AJ513" s="666"/>
      <c r="AK513" s="666"/>
      <c r="AL513" s="666"/>
      <c r="AM513" s="666"/>
      <c r="AN513" s="666"/>
      <c r="AO513" s="666"/>
      <c r="AP513" s="666"/>
      <c r="AQ513" s="666"/>
      <c r="AR513" s="666"/>
      <c r="AS513" s="666"/>
      <c r="AT513" s="666"/>
      <c r="AU513" s="666"/>
    </row>
    <row r="514" ht="15.75" customHeight="1">
      <c r="A514" s="671">
        <v>44432.0</v>
      </c>
      <c r="B514" s="672" t="s">
        <v>5796</v>
      </c>
      <c r="C514" s="673" t="s">
        <v>98</v>
      </c>
      <c r="D514" s="641" t="s">
        <v>5038</v>
      </c>
      <c r="E514" s="669">
        <v>130000.0</v>
      </c>
      <c r="F514" s="641" t="s">
        <v>2563</v>
      </c>
      <c r="G514" s="641" t="s">
        <v>669</v>
      </c>
      <c r="H514" s="641" t="s">
        <v>199</v>
      </c>
      <c r="I514" s="641" t="s">
        <v>669</v>
      </c>
      <c r="J514" s="667">
        <v>44180.0</v>
      </c>
      <c r="K514" s="674" t="s">
        <v>2341</v>
      </c>
      <c r="L514" s="666"/>
      <c r="M514" s="666"/>
      <c r="N514" s="666"/>
      <c r="O514" s="666"/>
      <c r="P514" s="666"/>
      <c r="Q514" s="666"/>
      <c r="R514" s="666"/>
      <c r="S514" s="666"/>
      <c r="T514" s="666"/>
      <c r="U514" s="666"/>
      <c r="V514" s="666"/>
      <c r="W514" s="666"/>
      <c r="X514" s="666"/>
      <c r="Y514" s="666"/>
      <c r="Z514" s="666"/>
      <c r="AA514" s="666"/>
      <c r="AB514" s="666"/>
      <c r="AC514" s="666"/>
      <c r="AD514" s="666"/>
      <c r="AE514" s="666"/>
      <c r="AF514" s="666"/>
      <c r="AG514" s="666"/>
      <c r="AH514" s="666"/>
      <c r="AI514" s="666"/>
      <c r="AJ514" s="666"/>
      <c r="AK514" s="666"/>
      <c r="AL514" s="666"/>
      <c r="AM514" s="666"/>
      <c r="AN514" s="666"/>
      <c r="AO514" s="666"/>
      <c r="AP514" s="666"/>
      <c r="AQ514" s="666"/>
      <c r="AR514" s="666"/>
      <c r="AS514" s="666"/>
      <c r="AT514" s="666"/>
      <c r="AU514" s="666"/>
    </row>
    <row r="515" ht="15.75" customHeight="1">
      <c r="A515" s="671">
        <v>44433.0</v>
      </c>
      <c r="B515" s="672" t="s">
        <v>5796</v>
      </c>
      <c r="C515" s="673" t="s">
        <v>98</v>
      </c>
      <c r="D515" s="641" t="s">
        <v>5038</v>
      </c>
      <c r="E515" s="669">
        <v>43000.0</v>
      </c>
      <c r="F515" s="641" t="s">
        <v>2563</v>
      </c>
      <c r="G515" s="641" t="s">
        <v>669</v>
      </c>
      <c r="H515" s="641" t="s">
        <v>199</v>
      </c>
      <c r="I515" s="641" t="s">
        <v>669</v>
      </c>
      <c r="J515" s="667">
        <v>44180.0</v>
      </c>
      <c r="K515" s="674" t="s">
        <v>2341</v>
      </c>
      <c r="L515" s="666"/>
      <c r="M515" s="666"/>
      <c r="N515" s="666"/>
      <c r="O515" s="666"/>
      <c r="P515" s="666"/>
      <c r="Q515" s="666"/>
      <c r="R515" s="666"/>
      <c r="S515" s="666"/>
      <c r="T515" s="666"/>
      <c r="U515" s="666"/>
      <c r="V515" s="666"/>
      <c r="W515" s="666"/>
      <c r="X515" s="666"/>
      <c r="Y515" s="666"/>
      <c r="Z515" s="666"/>
      <c r="AA515" s="666"/>
      <c r="AB515" s="666"/>
      <c r="AC515" s="666"/>
      <c r="AD515" s="666"/>
      <c r="AE515" s="666"/>
      <c r="AF515" s="666"/>
      <c r="AG515" s="666"/>
      <c r="AH515" s="666"/>
      <c r="AI515" s="666"/>
      <c r="AJ515" s="666"/>
      <c r="AK515" s="666"/>
      <c r="AL515" s="666"/>
      <c r="AM515" s="666"/>
      <c r="AN515" s="666"/>
      <c r="AO515" s="666"/>
      <c r="AP515" s="666"/>
      <c r="AQ515" s="666"/>
      <c r="AR515" s="666"/>
      <c r="AS515" s="666"/>
      <c r="AT515" s="666"/>
      <c r="AU515" s="666"/>
    </row>
    <row r="516" ht="15.75" customHeight="1">
      <c r="A516" s="671">
        <v>44433.0</v>
      </c>
      <c r="B516" s="672" t="s">
        <v>5183</v>
      </c>
      <c r="C516" s="673" t="s">
        <v>2346</v>
      </c>
      <c r="D516" s="641" t="s">
        <v>5038</v>
      </c>
      <c r="E516" s="669">
        <v>40000.0</v>
      </c>
      <c r="F516" s="641" t="s">
        <v>1460</v>
      </c>
      <c r="G516" s="667" t="s">
        <v>669</v>
      </c>
      <c r="H516" s="667" t="s">
        <v>199</v>
      </c>
      <c r="I516" s="667" t="s">
        <v>1228</v>
      </c>
      <c r="J516" s="667">
        <v>43894.0</v>
      </c>
      <c r="K516" s="670" t="s">
        <v>2365</v>
      </c>
      <c r="L516" s="666"/>
      <c r="M516" s="666"/>
      <c r="N516" s="666"/>
      <c r="O516" s="666"/>
      <c r="P516" s="666"/>
      <c r="Q516" s="666"/>
      <c r="R516" s="666"/>
      <c r="S516" s="666"/>
      <c r="T516" s="666"/>
      <c r="U516" s="666"/>
      <c r="V516" s="666"/>
      <c r="W516" s="666"/>
      <c r="X516" s="666"/>
      <c r="Y516" s="666"/>
      <c r="Z516" s="666"/>
      <c r="AA516" s="666"/>
      <c r="AB516" s="666"/>
      <c r="AC516" s="666"/>
      <c r="AD516" s="666"/>
      <c r="AE516" s="666"/>
      <c r="AF516" s="666"/>
      <c r="AG516" s="666"/>
      <c r="AH516" s="666"/>
      <c r="AI516" s="666"/>
      <c r="AJ516" s="666"/>
      <c r="AK516" s="666"/>
      <c r="AL516" s="666"/>
      <c r="AM516" s="666"/>
      <c r="AN516" s="666"/>
      <c r="AO516" s="666"/>
      <c r="AP516" s="666"/>
      <c r="AQ516" s="666"/>
      <c r="AR516" s="666"/>
      <c r="AS516" s="666"/>
      <c r="AT516" s="666"/>
      <c r="AU516" s="666"/>
    </row>
    <row r="517" ht="15.75" customHeight="1">
      <c r="A517" s="671">
        <v>44433.0</v>
      </c>
      <c r="B517" s="672" t="s">
        <v>5075</v>
      </c>
      <c r="C517" s="673" t="s">
        <v>2346</v>
      </c>
      <c r="D517" s="641" t="s">
        <v>5038</v>
      </c>
      <c r="E517" s="669">
        <v>75000.0</v>
      </c>
      <c r="F517" s="641" t="s">
        <v>956</v>
      </c>
      <c r="G517" s="667" t="s">
        <v>669</v>
      </c>
      <c r="H517" s="667" t="s">
        <v>199</v>
      </c>
      <c r="I517" s="667" t="s">
        <v>1228</v>
      </c>
      <c r="J517" s="667">
        <v>43605.0</v>
      </c>
      <c r="K517" s="670" t="s">
        <v>2365</v>
      </c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6"/>
      <c r="AB517" s="666"/>
      <c r="AC517" s="666"/>
      <c r="AD517" s="666"/>
      <c r="AE517" s="666"/>
      <c r="AF517" s="666"/>
      <c r="AG517" s="666"/>
      <c r="AH517" s="666"/>
      <c r="AI517" s="666"/>
      <c r="AJ517" s="666"/>
      <c r="AK517" s="666"/>
      <c r="AL517" s="666"/>
      <c r="AM517" s="666"/>
      <c r="AN517" s="666"/>
      <c r="AO517" s="666"/>
      <c r="AP517" s="666"/>
      <c r="AQ517" s="666"/>
      <c r="AR517" s="666"/>
      <c r="AS517" s="666"/>
      <c r="AT517" s="666"/>
      <c r="AU517" s="666"/>
    </row>
    <row r="518" ht="15.75" customHeight="1">
      <c r="A518" s="671">
        <v>44434.0</v>
      </c>
      <c r="B518" s="672" t="s">
        <v>5960</v>
      </c>
      <c r="C518" s="673" t="s">
        <v>98</v>
      </c>
      <c r="D518" s="641" t="s">
        <v>5038</v>
      </c>
      <c r="E518" s="669">
        <v>3000.0</v>
      </c>
      <c r="F518" s="641" t="s">
        <v>5963</v>
      </c>
      <c r="G518" s="641" t="s">
        <v>255</v>
      </c>
      <c r="H518" s="641" t="s">
        <v>199</v>
      </c>
      <c r="I518" s="641" t="s">
        <v>4761</v>
      </c>
      <c r="J518" s="667">
        <v>44180.0</v>
      </c>
      <c r="K518" s="674" t="s">
        <v>2341</v>
      </c>
      <c r="L518" s="666"/>
      <c r="M518" s="666"/>
      <c r="N518" s="666"/>
      <c r="O518" s="666"/>
      <c r="P518" s="666"/>
      <c r="Q518" s="666"/>
      <c r="R518" s="666"/>
      <c r="S518" s="666"/>
      <c r="T518" s="666"/>
      <c r="U518" s="666"/>
      <c r="V518" s="666"/>
      <c r="W518" s="666"/>
      <c r="X518" s="666"/>
      <c r="Y518" s="666"/>
      <c r="Z518" s="666"/>
      <c r="AA518" s="666"/>
      <c r="AB518" s="666"/>
      <c r="AC518" s="666"/>
      <c r="AD518" s="666"/>
      <c r="AE518" s="666"/>
      <c r="AF518" s="666"/>
      <c r="AG518" s="666"/>
      <c r="AH518" s="666"/>
      <c r="AI518" s="666"/>
      <c r="AJ518" s="666"/>
      <c r="AK518" s="666"/>
      <c r="AL518" s="666"/>
      <c r="AM518" s="666"/>
      <c r="AN518" s="666"/>
      <c r="AO518" s="666"/>
      <c r="AP518" s="666"/>
      <c r="AQ518" s="666"/>
      <c r="AR518" s="666"/>
      <c r="AS518" s="666"/>
      <c r="AT518" s="666"/>
      <c r="AU518" s="666"/>
    </row>
    <row r="519" ht="15.75" customHeight="1">
      <c r="A519" s="671">
        <v>44434.0</v>
      </c>
      <c r="B519" s="672" t="s">
        <v>6211</v>
      </c>
      <c r="C519" s="673" t="s">
        <v>2346</v>
      </c>
      <c r="D519" s="641" t="s">
        <v>5038</v>
      </c>
      <c r="E519" s="669">
        <v>2000.0</v>
      </c>
      <c r="F519" s="641" t="s">
        <v>6214</v>
      </c>
      <c r="G519" s="667" t="s">
        <v>120</v>
      </c>
      <c r="H519" s="667" t="s">
        <v>91</v>
      </c>
      <c r="I519" s="667" t="s">
        <v>193</v>
      </c>
      <c r="J519" s="667">
        <v>44322.0</v>
      </c>
      <c r="K519" s="670" t="s">
        <v>2341</v>
      </c>
      <c r="L519" s="666"/>
      <c r="M519" s="666"/>
      <c r="N519" s="666"/>
      <c r="O519" s="666"/>
      <c r="P519" s="666"/>
      <c r="Q519" s="666"/>
      <c r="R519" s="666"/>
      <c r="S519" s="666"/>
      <c r="T519" s="666"/>
      <c r="U519" s="666"/>
      <c r="V519" s="666"/>
      <c r="W519" s="666"/>
      <c r="X519" s="666"/>
      <c r="Y519" s="666"/>
      <c r="Z519" s="666"/>
      <c r="AA519" s="666"/>
      <c r="AB519" s="666"/>
      <c r="AC519" s="666"/>
      <c r="AD519" s="666"/>
      <c r="AE519" s="666"/>
      <c r="AF519" s="666"/>
      <c r="AG519" s="666"/>
      <c r="AH519" s="666"/>
      <c r="AI519" s="666"/>
      <c r="AJ519" s="666"/>
      <c r="AK519" s="666"/>
      <c r="AL519" s="666"/>
      <c r="AM519" s="666"/>
      <c r="AN519" s="666"/>
      <c r="AO519" s="666"/>
      <c r="AP519" s="666"/>
      <c r="AQ519" s="666"/>
      <c r="AR519" s="666"/>
      <c r="AS519" s="666"/>
      <c r="AT519" s="666"/>
      <c r="AU519" s="666"/>
    </row>
    <row r="520" ht="15.75" customHeight="1">
      <c r="A520" s="667">
        <v>44435.0</v>
      </c>
      <c r="B520" s="668" t="s">
        <v>5927</v>
      </c>
      <c r="C520" s="641" t="s">
        <v>2346</v>
      </c>
      <c r="D520" s="641" t="s">
        <v>694</v>
      </c>
      <c r="E520" s="669">
        <v>104633.35</v>
      </c>
      <c r="F520" s="641" t="s">
        <v>3880</v>
      </c>
      <c r="G520" s="667" t="s">
        <v>120</v>
      </c>
      <c r="H520" s="667" t="s">
        <v>91</v>
      </c>
      <c r="I520" s="667" t="s">
        <v>699</v>
      </c>
      <c r="J520" s="667">
        <v>44273.0</v>
      </c>
      <c r="K520" s="670" t="s">
        <v>2341</v>
      </c>
      <c r="L520" s="666"/>
      <c r="M520" s="666"/>
      <c r="N520" s="666"/>
      <c r="O520" s="666"/>
      <c r="P520" s="666"/>
      <c r="Q520" s="666"/>
      <c r="R520" s="666"/>
      <c r="S520" s="666"/>
      <c r="T520" s="666"/>
      <c r="U520" s="666"/>
      <c r="V520" s="666"/>
      <c r="W520" s="666"/>
      <c r="X520" s="666"/>
      <c r="Y520" s="666"/>
      <c r="Z520" s="666"/>
      <c r="AA520" s="666"/>
      <c r="AB520" s="666"/>
      <c r="AC520" s="666"/>
      <c r="AD520" s="666"/>
      <c r="AE520" s="666"/>
      <c r="AF520" s="666"/>
      <c r="AG520" s="666"/>
      <c r="AH520" s="666"/>
      <c r="AI520" s="666"/>
      <c r="AJ520" s="666"/>
      <c r="AK520" s="666"/>
      <c r="AL520" s="666"/>
      <c r="AM520" s="666"/>
      <c r="AN520" s="666"/>
      <c r="AO520" s="666"/>
      <c r="AP520" s="666"/>
      <c r="AQ520" s="666"/>
      <c r="AR520" s="666"/>
      <c r="AS520" s="666"/>
      <c r="AT520" s="666"/>
      <c r="AU520" s="666"/>
    </row>
    <row r="521" ht="15.75" customHeight="1">
      <c r="A521" s="667">
        <v>44438.0</v>
      </c>
      <c r="B521" s="668" t="s">
        <v>6620</v>
      </c>
      <c r="C521" s="641" t="s">
        <v>98</v>
      </c>
      <c r="D521" s="641" t="s">
        <v>694</v>
      </c>
      <c r="E521" s="669">
        <v>0.0</v>
      </c>
      <c r="F521" s="641" t="s">
        <v>6621</v>
      </c>
      <c r="G521" s="641" t="s">
        <v>120</v>
      </c>
      <c r="H521" s="641" t="s">
        <v>199</v>
      </c>
      <c r="I521" s="641" t="s">
        <v>2339</v>
      </c>
      <c r="J521" s="667">
        <v>44133.0</v>
      </c>
      <c r="K521" s="674" t="s">
        <v>2365</v>
      </c>
      <c r="L521" s="666"/>
      <c r="M521" s="666"/>
      <c r="N521" s="666"/>
      <c r="O521" s="666"/>
      <c r="P521" s="666"/>
      <c r="Q521" s="666"/>
      <c r="R521" s="666"/>
      <c r="S521" s="666"/>
      <c r="T521" s="666"/>
      <c r="U521" s="666"/>
      <c r="V521" s="666"/>
      <c r="W521" s="666"/>
      <c r="X521" s="666"/>
      <c r="Y521" s="666"/>
      <c r="Z521" s="666"/>
      <c r="AA521" s="666"/>
      <c r="AB521" s="666"/>
      <c r="AC521" s="666"/>
      <c r="AD521" s="666"/>
      <c r="AE521" s="666"/>
      <c r="AF521" s="666"/>
      <c r="AG521" s="666"/>
      <c r="AH521" s="666"/>
      <c r="AI521" s="666"/>
      <c r="AJ521" s="666"/>
      <c r="AK521" s="666"/>
      <c r="AL521" s="666"/>
      <c r="AM521" s="666"/>
      <c r="AN521" s="666"/>
      <c r="AO521" s="666"/>
      <c r="AP521" s="666"/>
      <c r="AQ521" s="666"/>
      <c r="AR521" s="666"/>
      <c r="AS521" s="666"/>
      <c r="AT521" s="666"/>
      <c r="AU521" s="666"/>
    </row>
    <row r="522" ht="15.75" customHeight="1">
      <c r="A522" s="671">
        <v>44438.0</v>
      </c>
      <c r="B522" s="672" t="s">
        <v>6688</v>
      </c>
      <c r="C522" s="673" t="s">
        <v>2346</v>
      </c>
      <c r="D522" s="641" t="s">
        <v>5038</v>
      </c>
      <c r="E522" s="669">
        <v>50000.0</v>
      </c>
      <c r="F522" s="641" t="s">
        <v>4873</v>
      </c>
      <c r="G522" s="667" t="s">
        <v>120</v>
      </c>
      <c r="H522" s="667" t="s">
        <v>91</v>
      </c>
      <c r="I522" s="667" t="s">
        <v>521</v>
      </c>
      <c r="J522" s="667">
        <v>44340.0</v>
      </c>
      <c r="K522" s="670" t="s">
        <v>2365</v>
      </c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66"/>
      <c r="AB522" s="666"/>
      <c r="AC522" s="666"/>
      <c r="AD522" s="666"/>
      <c r="AE522" s="666"/>
      <c r="AF522" s="666"/>
      <c r="AG522" s="666"/>
      <c r="AH522" s="666"/>
      <c r="AI522" s="666"/>
      <c r="AJ522" s="666"/>
      <c r="AK522" s="666"/>
      <c r="AL522" s="666"/>
      <c r="AM522" s="666"/>
      <c r="AN522" s="666"/>
      <c r="AO522" s="666"/>
      <c r="AP522" s="666"/>
      <c r="AQ522" s="666"/>
      <c r="AR522" s="666"/>
      <c r="AS522" s="666"/>
      <c r="AT522" s="666"/>
      <c r="AU522" s="666"/>
    </row>
    <row r="523" ht="15.75" customHeight="1">
      <c r="A523" s="667">
        <v>44439.0</v>
      </c>
      <c r="B523" s="668" t="s">
        <v>6691</v>
      </c>
      <c r="C523" s="641" t="s">
        <v>2346</v>
      </c>
      <c r="D523" s="641" t="s">
        <v>694</v>
      </c>
      <c r="E523" s="669">
        <v>397214.14</v>
      </c>
      <c r="F523" s="641" t="s">
        <v>6692</v>
      </c>
      <c r="G523" s="667" t="s">
        <v>669</v>
      </c>
      <c r="H523" s="667" t="s">
        <v>199</v>
      </c>
      <c r="I523" s="667" t="s">
        <v>2388</v>
      </c>
      <c r="J523" s="667">
        <v>43539.0</v>
      </c>
      <c r="K523" s="670" t="s">
        <v>2341</v>
      </c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6"/>
      <c r="AB523" s="666"/>
      <c r="AC523" s="666"/>
      <c r="AD523" s="666"/>
      <c r="AE523" s="666"/>
      <c r="AF523" s="666"/>
      <c r="AG523" s="666"/>
      <c r="AH523" s="666"/>
      <c r="AI523" s="666"/>
      <c r="AJ523" s="666"/>
      <c r="AK523" s="666"/>
      <c r="AL523" s="666"/>
      <c r="AM523" s="666"/>
      <c r="AN523" s="666"/>
      <c r="AO523" s="666"/>
      <c r="AP523" s="666"/>
      <c r="AQ523" s="666"/>
      <c r="AR523" s="666"/>
      <c r="AS523" s="666"/>
      <c r="AT523" s="666"/>
      <c r="AU523" s="666"/>
    </row>
    <row r="524" ht="15.75" customHeight="1">
      <c r="A524" s="667">
        <v>44439.0</v>
      </c>
      <c r="B524" s="668" t="s">
        <v>6696</v>
      </c>
      <c r="C524" s="641" t="s">
        <v>2346</v>
      </c>
      <c r="D524" s="641" t="s">
        <v>694</v>
      </c>
      <c r="E524" s="669">
        <v>40150.79</v>
      </c>
      <c r="F524" s="641" t="s">
        <v>6692</v>
      </c>
      <c r="G524" s="667" t="s">
        <v>669</v>
      </c>
      <c r="H524" s="667" t="s">
        <v>199</v>
      </c>
      <c r="I524" s="667" t="s">
        <v>2388</v>
      </c>
      <c r="J524" s="667">
        <v>44397.0</v>
      </c>
      <c r="K524" s="670" t="s">
        <v>2452</v>
      </c>
      <c r="L524" s="666"/>
      <c r="M524" s="666"/>
      <c r="N524" s="666"/>
      <c r="O524" s="666"/>
      <c r="P524" s="666"/>
      <c r="Q524" s="666"/>
      <c r="R524" s="666"/>
      <c r="S524" s="666"/>
      <c r="T524" s="666"/>
      <c r="U524" s="666"/>
      <c r="V524" s="666"/>
      <c r="W524" s="666"/>
      <c r="X524" s="666"/>
      <c r="Y524" s="666"/>
      <c r="Z524" s="666"/>
      <c r="AA524" s="666"/>
      <c r="AB524" s="666"/>
      <c r="AC524" s="666"/>
      <c r="AD524" s="666"/>
      <c r="AE524" s="666"/>
      <c r="AF524" s="666"/>
      <c r="AG524" s="666"/>
      <c r="AH524" s="666"/>
      <c r="AI524" s="666"/>
      <c r="AJ524" s="666"/>
      <c r="AK524" s="666"/>
      <c r="AL524" s="666"/>
      <c r="AM524" s="666"/>
      <c r="AN524" s="666"/>
      <c r="AO524" s="666"/>
      <c r="AP524" s="666"/>
      <c r="AQ524" s="666"/>
      <c r="AR524" s="666"/>
      <c r="AS524" s="666"/>
      <c r="AT524" s="666"/>
      <c r="AU524" s="666"/>
    </row>
    <row r="525" ht="15.75" customHeight="1">
      <c r="A525" s="671">
        <v>44439.0</v>
      </c>
      <c r="B525" s="672" t="s">
        <v>6445</v>
      </c>
      <c r="C525" s="673" t="s">
        <v>2346</v>
      </c>
      <c r="D525" s="641" t="s">
        <v>5038</v>
      </c>
      <c r="E525" s="669">
        <v>20000.0</v>
      </c>
      <c r="F525" s="641" t="s">
        <v>6446</v>
      </c>
      <c r="G525" s="667" t="s">
        <v>120</v>
      </c>
      <c r="H525" s="667" t="s">
        <v>91</v>
      </c>
      <c r="I525" s="667" t="s">
        <v>521</v>
      </c>
      <c r="J525" s="667">
        <v>44319.0</v>
      </c>
      <c r="K525" s="670" t="s">
        <v>2341</v>
      </c>
      <c r="L525" s="666"/>
      <c r="M525" s="666"/>
      <c r="N525" s="666"/>
      <c r="O525" s="666"/>
      <c r="P525" s="666"/>
      <c r="Q525" s="666"/>
      <c r="R525" s="666"/>
      <c r="S525" s="666"/>
      <c r="T525" s="666"/>
      <c r="U525" s="666"/>
      <c r="V525" s="666"/>
      <c r="W525" s="666"/>
      <c r="X525" s="666"/>
      <c r="Y525" s="666"/>
      <c r="Z525" s="666"/>
      <c r="AA525" s="666"/>
      <c r="AB525" s="666"/>
      <c r="AC525" s="666"/>
      <c r="AD525" s="666"/>
      <c r="AE525" s="666"/>
      <c r="AF525" s="666"/>
      <c r="AG525" s="666"/>
      <c r="AH525" s="666"/>
      <c r="AI525" s="666"/>
      <c r="AJ525" s="666"/>
      <c r="AK525" s="666"/>
      <c r="AL525" s="666"/>
      <c r="AM525" s="666"/>
      <c r="AN525" s="666"/>
      <c r="AO525" s="666"/>
      <c r="AP525" s="666"/>
      <c r="AQ525" s="666"/>
      <c r="AR525" s="666"/>
      <c r="AS525" s="666"/>
      <c r="AT525" s="666"/>
      <c r="AU525" s="666"/>
    </row>
    <row r="526" ht="15.75" customHeight="1">
      <c r="A526" s="671">
        <v>44439.0</v>
      </c>
      <c r="B526" s="672" t="s">
        <v>6558</v>
      </c>
      <c r="C526" s="673" t="s">
        <v>2346</v>
      </c>
      <c r="D526" s="641" t="s">
        <v>5038</v>
      </c>
      <c r="E526" s="669">
        <v>130000.0</v>
      </c>
      <c r="F526" s="641" t="s">
        <v>4142</v>
      </c>
      <c r="G526" s="667" t="s">
        <v>120</v>
      </c>
      <c r="H526" s="667" t="s">
        <v>91</v>
      </c>
      <c r="I526" s="667" t="s">
        <v>521</v>
      </c>
      <c r="J526" s="667">
        <v>44280.0</v>
      </c>
      <c r="K526" s="670" t="s">
        <v>2341</v>
      </c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666"/>
      <c r="AB526" s="666"/>
      <c r="AC526" s="666"/>
      <c r="AD526" s="666"/>
      <c r="AE526" s="666"/>
      <c r="AF526" s="666"/>
      <c r="AG526" s="666"/>
      <c r="AH526" s="666"/>
      <c r="AI526" s="666"/>
      <c r="AJ526" s="666"/>
      <c r="AK526" s="666"/>
      <c r="AL526" s="666"/>
      <c r="AM526" s="666"/>
      <c r="AN526" s="666"/>
      <c r="AO526" s="666"/>
      <c r="AP526" s="666"/>
      <c r="AQ526" s="666"/>
      <c r="AR526" s="666"/>
      <c r="AS526" s="666"/>
      <c r="AT526" s="666"/>
      <c r="AU526" s="666"/>
    </row>
    <row r="527" ht="15.75" customHeight="1">
      <c r="A527" s="671">
        <v>44440.0</v>
      </c>
      <c r="B527" s="672" t="s">
        <v>5711</v>
      </c>
      <c r="C527" s="673" t="s">
        <v>2346</v>
      </c>
      <c r="D527" s="641" t="s">
        <v>5038</v>
      </c>
      <c r="E527" s="669">
        <v>20000.0</v>
      </c>
      <c r="F527" s="641" t="s">
        <v>4401</v>
      </c>
      <c r="G527" s="667" t="s">
        <v>120</v>
      </c>
      <c r="H527" s="667" t="s">
        <v>91</v>
      </c>
      <c r="I527" s="667" t="s">
        <v>521</v>
      </c>
      <c r="J527" s="667">
        <v>44321.0</v>
      </c>
      <c r="K527" s="670" t="s">
        <v>2341</v>
      </c>
      <c r="L527" s="666"/>
      <c r="M527" s="666"/>
      <c r="N527" s="666"/>
      <c r="O527" s="666"/>
      <c r="P527" s="666"/>
      <c r="Q527" s="666"/>
      <c r="R527" s="666"/>
      <c r="S527" s="666"/>
      <c r="T527" s="666"/>
      <c r="U527" s="666"/>
      <c r="V527" s="666"/>
      <c r="W527" s="666"/>
      <c r="X527" s="666"/>
      <c r="Y527" s="666"/>
      <c r="Z527" s="666"/>
      <c r="AA527" s="666"/>
      <c r="AB527" s="666"/>
      <c r="AC527" s="666"/>
      <c r="AD527" s="666"/>
      <c r="AE527" s="666"/>
      <c r="AF527" s="666"/>
      <c r="AG527" s="666"/>
      <c r="AH527" s="666"/>
      <c r="AI527" s="666"/>
      <c r="AJ527" s="666"/>
      <c r="AK527" s="666"/>
      <c r="AL527" s="666"/>
      <c r="AM527" s="666"/>
      <c r="AN527" s="666"/>
      <c r="AO527" s="666"/>
      <c r="AP527" s="666"/>
      <c r="AQ527" s="666"/>
      <c r="AR527" s="666"/>
      <c r="AS527" s="666"/>
      <c r="AT527" s="666"/>
      <c r="AU527" s="666"/>
    </row>
    <row r="528" ht="15.75" customHeight="1">
      <c r="A528" s="671">
        <v>44440.0</v>
      </c>
      <c r="B528" s="672" t="s">
        <v>5270</v>
      </c>
      <c r="C528" s="673" t="s">
        <v>2346</v>
      </c>
      <c r="D528" s="641" t="s">
        <v>5038</v>
      </c>
      <c r="E528" s="669">
        <v>300000.0</v>
      </c>
      <c r="F528" s="641" t="s">
        <v>1227</v>
      </c>
      <c r="G528" s="667" t="s">
        <v>669</v>
      </c>
      <c r="H528" s="667" t="s">
        <v>199</v>
      </c>
      <c r="I528" s="667" t="s">
        <v>1228</v>
      </c>
      <c r="J528" s="667">
        <v>43564.0</v>
      </c>
      <c r="K528" s="670" t="s">
        <v>2372</v>
      </c>
      <c r="L528" s="666"/>
      <c r="M528" s="666"/>
      <c r="N528" s="666"/>
      <c r="O528" s="666"/>
      <c r="P528" s="666"/>
      <c r="Q528" s="666"/>
      <c r="R528" s="666"/>
      <c r="S528" s="666"/>
      <c r="T528" s="666"/>
      <c r="U528" s="666"/>
      <c r="V528" s="666"/>
      <c r="W528" s="666"/>
      <c r="X528" s="666"/>
      <c r="Y528" s="666"/>
      <c r="Z528" s="666"/>
      <c r="AA528" s="666"/>
      <c r="AB528" s="666"/>
      <c r="AC528" s="666"/>
      <c r="AD528" s="666"/>
      <c r="AE528" s="666"/>
      <c r="AF528" s="666"/>
      <c r="AG528" s="666"/>
      <c r="AH528" s="666"/>
      <c r="AI528" s="666"/>
      <c r="AJ528" s="666"/>
      <c r="AK528" s="666"/>
      <c r="AL528" s="666"/>
      <c r="AM528" s="666"/>
      <c r="AN528" s="666"/>
      <c r="AO528" s="666"/>
      <c r="AP528" s="666"/>
      <c r="AQ528" s="666"/>
      <c r="AR528" s="666"/>
      <c r="AS528" s="666"/>
      <c r="AT528" s="666"/>
      <c r="AU528" s="666"/>
    </row>
    <row r="529" ht="15.75" customHeight="1">
      <c r="A529" s="671">
        <v>44441.0</v>
      </c>
      <c r="B529" s="672" t="s">
        <v>5724</v>
      </c>
      <c r="C529" s="673" t="s">
        <v>98</v>
      </c>
      <c r="D529" s="641" t="s">
        <v>5038</v>
      </c>
      <c r="E529" s="669">
        <v>25000.0</v>
      </c>
      <c r="F529" s="641" t="s">
        <v>5042</v>
      </c>
      <c r="G529" s="641" t="s">
        <v>255</v>
      </c>
      <c r="H529" s="641" t="s">
        <v>199</v>
      </c>
      <c r="I529" s="641" t="s">
        <v>2587</v>
      </c>
      <c r="J529" s="773">
        <v>44263.0</v>
      </c>
      <c r="K529" s="674" t="s">
        <v>2341</v>
      </c>
      <c r="L529" s="666"/>
      <c r="M529" s="666"/>
      <c r="N529" s="666"/>
      <c r="O529" s="666"/>
      <c r="P529" s="666"/>
      <c r="Q529" s="666"/>
      <c r="R529" s="666"/>
      <c r="S529" s="666"/>
      <c r="T529" s="666"/>
      <c r="U529" s="666"/>
      <c r="V529" s="666"/>
      <c r="W529" s="666"/>
      <c r="X529" s="666"/>
      <c r="Y529" s="666"/>
      <c r="Z529" s="666"/>
      <c r="AA529" s="666"/>
      <c r="AB529" s="666"/>
      <c r="AC529" s="666"/>
      <c r="AD529" s="666"/>
      <c r="AE529" s="666"/>
      <c r="AF529" s="666"/>
      <c r="AG529" s="666"/>
      <c r="AH529" s="666"/>
      <c r="AI529" s="666"/>
      <c r="AJ529" s="666"/>
      <c r="AK529" s="666"/>
      <c r="AL529" s="666"/>
      <c r="AM529" s="666"/>
      <c r="AN529" s="666"/>
      <c r="AO529" s="666"/>
      <c r="AP529" s="666"/>
      <c r="AQ529" s="666"/>
      <c r="AR529" s="666"/>
      <c r="AS529" s="666"/>
      <c r="AT529" s="666"/>
      <c r="AU529" s="666"/>
    </row>
    <row r="530" ht="15.75" customHeight="1">
      <c r="A530" s="671">
        <v>44441.0</v>
      </c>
      <c r="B530" s="672" t="s">
        <v>5075</v>
      </c>
      <c r="C530" s="673" t="s">
        <v>2346</v>
      </c>
      <c r="D530" s="641" t="s">
        <v>5038</v>
      </c>
      <c r="E530" s="669">
        <v>17000.0</v>
      </c>
      <c r="F530" s="641" t="s">
        <v>956</v>
      </c>
      <c r="G530" s="667" t="s">
        <v>669</v>
      </c>
      <c r="H530" s="667" t="s">
        <v>199</v>
      </c>
      <c r="I530" s="667" t="s">
        <v>1228</v>
      </c>
      <c r="J530" s="667">
        <v>43605.0</v>
      </c>
      <c r="K530" s="670" t="s">
        <v>2365</v>
      </c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66"/>
      <c r="AB530" s="666"/>
      <c r="AC530" s="666"/>
      <c r="AD530" s="666"/>
      <c r="AE530" s="666"/>
      <c r="AF530" s="666"/>
      <c r="AG530" s="666"/>
      <c r="AH530" s="666"/>
      <c r="AI530" s="666"/>
      <c r="AJ530" s="666"/>
      <c r="AK530" s="666"/>
      <c r="AL530" s="666"/>
      <c r="AM530" s="666"/>
      <c r="AN530" s="666"/>
      <c r="AO530" s="666"/>
      <c r="AP530" s="666"/>
      <c r="AQ530" s="666"/>
      <c r="AR530" s="666"/>
      <c r="AS530" s="666"/>
      <c r="AT530" s="666"/>
      <c r="AU530" s="666"/>
    </row>
    <row r="531" ht="15.75" customHeight="1">
      <c r="A531" s="667">
        <v>44442.0</v>
      </c>
      <c r="B531" s="668" t="s">
        <v>6718</v>
      </c>
      <c r="C531" s="641" t="s">
        <v>98</v>
      </c>
      <c r="D531" s="641" t="s">
        <v>694</v>
      </c>
      <c r="E531" s="669">
        <v>0.0</v>
      </c>
      <c r="F531" s="641" t="s">
        <v>2873</v>
      </c>
      <c r="G531" s="641" t="s">
        <v>120</v>
      </c>
      <c r="H531" s="641" t="s">
        <v>199</v>
      </c>
      <c r="I531" s="641" t="s">
        <v>2339</v>
      </c>
      <c r="J531" s="667">
        <v>44245.0</v>
      </c>
      <c r="K531" s="674" t="s">
        <v>2341</v>
      </c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666"/>
      <c r="AB531" s="666"/>
      <c r="AC531" s="666"/>
      <c r="AD531" s="666"/>
      <c r="AE531" s="666"/>
      <c r="AF531" s="666"/>
      <c r="AG531" s="666"/>
      <c r="AH531" s="666"/>
      <c r="AI531" s="666"/>
      <c r="AJ531" s="666"/>
      <c r="AK531" s="666"/>
      <c r="AL531" s="666"/>
      <c r="AM531" s="666"/>
      <c r="AN531" s="666"/>
      <c r="AO531" s="666"/>
      <c r="AP531" s="666"/>
      <c r="AQ531" s="666"/>
      <c r="AR531" s="666"/>
      <c r="AS531" s="666"/>
      <c r="AT531" s="666"/>
      <c r="AU531" s="666"/>
    </row>
    <row r="532" ht="15.75" customHeight="1">
      <c r="A532" s="671">
        <v>44442.0</v>
      </c>
      <c r="B532" s="672" t="s">
        <v>6722</v>
      </c>
      <c r="C532" s="673" t="s">
        <v>98</v>
      </c>
      <c r="D532" s="641" t="s">
        <v>5038</v>
      </c>
      <c r="E532" s="669">
        <v>150000.0</v>
      </c>
      <c r="F532" s="641" t="s">
        <v>2354</v>
      </c>
      <c r="G532" s="641" t="s">
        <v>120</v>
      </c>
      <c r="H532" s="641" t="s">
        <v>199</v>
      </c>
      <c r="I532" s="641" t="s">
        <v>2339</v>
      </c>
      <c r="J532" s="667">
        <v>44326.0</v>
      </c>
      <c r="K532" s="674" t="s">
        <v>2356</v>
      </c>
      <c r="L532" s="666"/>
      <c r="M532" s="666"/>
      <c r="N532" s="666"/>
      <c r="O532" s="666"/>
      <c r="P532" s="666"/>
      <c r="Q532" s="666"/>
      <c r="R532" s="666"/>
      <c r="S532" s="666"/>
      <c r="T532" s="666"/>
      <c r="U532" s="666"/>
      <c r="V532" s="666"/>
      <c r="W532" s="666"/>
      <c r="X532" s="666"/>
      <c r="Y532" s="666"/>
      <c r="Z532" s="666"/>
      <c r="AA532" s="666"/>
      <c r="AB532" s="666"/>
      <c r="AC532" s="666"/>
      <c r="AD532" s="666"/>
      <c r="AE532" s="666"/>
      <c r="AF532" s="666"/>
      <c r="AG532" s="666"/>
      <c r="AH532" s="666"/>
      <c r="AI532" s="666"/>
      <c r="AJ532" s="666"/>
      <c r="AK532" s="666"/>
      <c r="AL532" s="666"/>
      <c r="AM532" s="666"/>
      <c r="AN532" s="666"/>
      <c r="AO532" s="666"/>
      <c r="AP532" s="666"/>
      <c r="AQ532" s="666"/>
      <c r="AR532" s="666"/>
      <c r="AS532" s="666"/>
      <c r="AT532" s="666"/>
      <c r="AU532" s="666"/>
    </row>
    <row r="533" ht="15.75" customHeight="1">
      <c r="A533" s="671">
        <v>44442.0</v>
      </c>
      <c r="B533" s="672" t="s">
        <v>6724</v>
      </c>
      <c r="C533" s="673" t="s">
        <v>98</v>
      </c>
      <c r="D533" s="641" t="s">
        <v>5038</v>
      </c>
      <c r="E533" s="669">
        <v>84278.97</v>
      </c>
      <c r="F533" s="641" t="s">
        <v>6726</v>
      </c>
      <c r="G533" s="641" t="s">
        <v>669</v>
      </c>
      <c r="H533" s="641" t="s">
        <v>199</v>
      </c>
      <c r="I533" s="641" t="s">
        <v>669</v>
      </c>
      <c r="J533" s="667">
        <v>44355.0</v>
      </c>
      <c r="K533" s="674" t="s">
        <v>2365</v>
      </c>
      <c r="L533" s="666"/>
      <c r="M533" s="666"/>
      <c r="N533" s="666"/>
      <c r="O533" s="666"/>
      <c r="P533" s="666"/>
      <c r="Q533" s="666"/>
      <c r="R533" s="666"/>
      <c r="S533" s="666"/>
      <c r="T533" s="666"/>
      <c r="U533" s="666"/>
      <c r="V533" s="666"/>
      <c r="W533" s="666"/>
      <c r="X533" s="666"/>
      <c r="Y533" s="666"/>
      <c r="Z533" s="666"/>
      <c r="AA533" s="666"/>
      <c r="AB533" s="666"/>
      <c r="AC533" s="666"/>
      <c r="AD533" s="666"/>
      <c r="AE533" s="666"/>
      <c r="AF533" s="666"/>
      <c r="AG533" s="666"/>
      <c r="AH533" s="666"/>
      <c r="AI533" s="666"/>
      <c r="AJ533" s="666"/>
      <c r="AK533" s="666"/>
      <c r="AL533" s="666"/>
      <c r="AM533" s="666"/>
      <c r="AN533" s="666"/>
      <c r="AO533" s="666"/>
      <c r="AP533" s="666"/>
      <c r="AQ533" s="666"/>
      <c r="AR533" s="666"/>
      <c r="AS533" s="666"/>
      <c r="AT533" s="666"/>
      <c r="AU533" s="666"/>
    </row>
    <row r="534" ht="15.75" customHeight="1">
      <c r="A534" s="671">
        <v>44442.0</v>
      </c>
      <c r="B534" s="672" t="s">
        <v>6367</v>
      </c>
      <c r="C534" s="673" t="s">
        <v>2346</v>
      </c>
      <c r="D534" s="641" t="s">
        <v>5038</v>
      </c>
      <c r="E534" s="669">
        <v>130000.0</v>
      </c>
      <c r="F534" s="641" t="s">
        <v>5536</v>
      </c>
      <c r="G534" s="667" t="s">
        <v>120</v>
      </c>
      <c r="H534" s="667" t="s">
        <v>91</v>
      </c>
      <c r="I534" s="667" t="s">
        <v>521</v>
      </c>
      <c r="J534" s="667">
        <v>44313.0</v>
      </c>
      <c r="K534" s="670" t="s">
        <v>2341</v>
      </c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666"/>
      <c r="AB534" s="666"/>
      <c r="AC534" s="666"/>
      <c r="AD534" s="666"/>
      <c r="AE534" s="666"/>
      <c r="AF534" s="666"/>
      <c r="AG534" s="666"/>
      <c r="AH534" s="666"/>
      <c r="AI534" s="666"/>
      <c r="AJ534" s="666"/>
      <c r="AK534" s="666"/>
      <c r="AL534" s="666"/>
      <c r="AM534" s="666"/>
      <c r="AN534" s="666"/>
      <c r="AO534" s="666"/>
      <c r="AP534" s="666"/>
      <c r="AQ534" s="666"/>
      <c r="AR534" s="666"/>
      <c r="AS534" s="666"/>
      <c r="AT534" s="666"/>
      <c r="AU534" s="666"/>
    </row>
    <row r="535" ht="15.75" customHeight="1">
      <c r="A535" s="667">
        <v>44445.0</v>
      </c>
      <c r="B535" s="668" t="s">
        <v>6731</v>
      </c>
      <c r="C535" s="641" t="s">
        <v>98</v>
      </c>
      <c r="D535" s="641" t="s">
        <v>694</v>
      </c>
      <c r="E535" s="669">
        <v>0.0</v>
      </c>
      <c r="F535" s="641" t="s">
        <v>4512</v>
      </c>
      <c r="G535" s="641" t="s">
        <v>120</v>
      </c>
      <c r="H535" s="641" t="s">
        <v>199</v>
      </c>
      <c r="I535" s="641" t="s">
        <v>2339</v>
      </c>
      <c r="J535" s="667">
        <v>44085.0</v>
      </c>
      <c r="K535" s="674" t="s">
        <v>2356</v>
      </c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6"/>
      <c r="AB535" s="666"/>
      <c r="AC535" s="666"/>
      <c r="AD535" s="666"/>
      <c r="AE535" s="666"/>
      <c r="AF535" s="666"/>
      <c r="AG535" s="666"/>
      <c r="AH535" s="666"/>
      <c r="AI535" s="666"/>
      <c r="AJ535" s="666"/>
      <c r="AK535" s="666"/>
      <c r="AL535" s="666"/>
      <c r="AM535" s="666"/>
      <c r="AN535" s="666"/>
      <c r="AO535" s="666"/>
      <c r="AP535" s="666"/>
      <c r="AQ535" s="666"/>
      <c r="AR535" s="666"/>
      <c r="AS535" s="666"/>
      <c r="AT535" s="666"/>
      <c r="AU535" s="666"/>
    </row>
    <row r="536" ht="15.75" customHeight="1">
      <c r="A536" s="667">
        <v>44445.0</v>
      </c>
      <c r="B536" s="668" t="s">
        <v>6734</v>
      </c>
      <c r="C536" s="641" t="s">
        <v>98</v>
      </c>
      <c r="D536" s="641" t="s">
        <v>694</v>
      </c>
      <c r="E536" s="669">
        <v>0.0</v>
      </c>
      <c r="F536" s="641" t="s">
        <v>6735</v>
      </c>
      <c r="G536" s="641" t="s">
        <v>120</v>
      </c>
      <c r="H536" s="641" t="s">
        <v>199</v>
      </c>
      <c r="I536" s="641" t="s">
        <v>2339</v>
      </c>
      <c r="J536" s="667">
        <v>44147.0</v>
      </c>
      <c r="K536" s="674" t="s">
        <v>2365</v>
      </c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666"/>
      <c r="AB536" s="666"/>
      <c r="AC536" s="666"/>
      <c r="AD536" s="666"/>
      <c r="AE536" s="666"/>
      <c r="AF536" s="666"/>
      <c r="AG536" s="666"/>
      <c r="AH536" s="666"/>
      <c r="AI536" s="666"/>
      <c r="AJ536" s="666"/>
      <c r="AK536" s="666"/>
      <c r="AL536" s="666"/>
      <c r="AM536" s="666"/>
      <c r="AN536" s="666"/>
      <c r="AO536" s="666"/>
      <c r="AP536" s="666"/>
      <c r="AQ536" s="666"/>
      <c r="AR536" s="666"/>
      <c r="AS536" s="666"/>
      <c r="AT536" s="666"/>
      <c r="AU536" s="666"/>
    </row>
    <row r="537" ht="15.75" customHeight="1">
      <c r="A537" s="671">
        <v>44445.0</v>
      </c>
      <c r="B537" s="672" t="s">
        <v>6215</v>
      </c>
      <c r="C537" s="673" t="s">
        <v>2346</v>
      </c>
      <c r="D537" s="641" t="s">
        <v>5038</v>
      </c>
      <c r="E537" s="669">
        <v>20000.0</v>
      </c>
      <c r="F537" s="641" t="s">
        <v>5675</v>
      </c>
      <c r="G537" s="667" t="s">
        <v>120</v>
      </c>
      <c r="H537" s="667" t="s">
        <v>91</v>
      </c>
      <c r="I537" s="667" t="s">
        <v>699</v>
      </c>
      <c r="J537" s="667">
        <v>44266.0</v>
      </c>
      <c r="K537" s="670" t="s">
        <v>2365</v>
      </c>
      <c r="L537" s="666"/>
      <c r="M537" s="666"/>
      <c r="N537" s="666"/>
      <c r="O537" s="666"/>
      <c r="P537" s="666"/>
      <c r="Q537" s="666"/>
      <c r="R537" s="666"/>
      <c r="S537" s="666"/>
      <c r="T537" s="666"/>
      <c r="U537" s="666"/>
      <c r="V537" s="666"/>
      <c r="W537" s="666"/>
      <c r="X537" s="666"/>
      <c r="Y537" s="666"/>
      <c r="Z537" s="666"/>
      <c r="AA537" s="666"/>
      <c r="AB537" s="666"/>
      <c r="AC537" s="666"/>
      <c r="AD537" s="666"/>
      <c r="AE537" s="666"/>
      <c r="AF537" s="666"/>
      <c r="AG537" s="666"/>
      <c r="AH537" s="666"/>
      <c r="AI537" s="666"/>
      <c r="AJ537" s="666"/>
      <c r="AK537" s="666"/>
      <c r="AL537" s="666"/>
      <c r="AM537" s="666"/>
      <c r="AN537" s="666"/>
      <c r="AO537" s="666"/>
      <c r="AP537" s="666"/>
      <c r="AQ537" s="666"/>
      <c r="AR537" s="666"/>
      <c r="AS537" s="666"/>
      <c r="AT537" s="666"/>
      <c r="AU537" s="666"/>
    </row>
    <row r="538" ht="15.75" customHeight="1">
      <c r="A538" s="667">
        <v>44447.0</v>
      </c>
      <c r="B538" s="668" t="s">
        <v>6742</v>
      </c>
      <c r="C538" s="641" t="s">
        <v>98</v>
      </c>
      <c r="D538" s="641" t="s">
        <v>694</v>
      </c>
      <c r="E538" s="669">
        <v>0.0</v>
      </c>
      <c r="F538" s="641" t="s">
        <v>6743</v>
      </c>
      <c r="G538" s="641" t="s">
        <v>120</v>
      </c>
      <c r="H538" s="641" t="s">
        <v>199</v>
      </c>
      <c r="I538" s="641" t="s">
        <v>6745</v>
      </c>
      <c r="J538" s="667">
        <v>44096.0</v>
      </c>
      <c r="K538" s="674" t="s">
        <v>2341</v>
      </c>
      <c r="L538" s="666"/>
      <c r="M538" s="666"/>
      <c r="N538" s="666"/>
      <c r="O538" s="666"/>
      <c r="P538" s="666"/>
      <c r="Q538" s="666"/>
      <c r="R538" s="666"/>
      <c r="S538" s="666"/>
      <c r="T538" s="666"/>
      <c r="U538" s="666"/>
      <c r="V538" s="666"/>
      <c r="W538" s="666"/>
      <c r="X538" s="666"/>
      <c r="Y538" s="666"/>
      <c r="Z538" s="666"/>
      <c r="AA538" s="666"/>
      <c r="AB538" s="666"/>
      <c r="AC538" s="666"/>
      <c r="AD538" s="666"/>
      <c r="AE538" s="666"/>
      <c r="AF538" s="666"/>
      <c r="AG538" s="666"/>
      <c r="AH538" s="666"/>
      <c r="AI538" s="666"/>
      <c r="AJ538" s="666"/>
      <c r="AK538" s="666"/>
      <c r="AL538" s="666"/>
      <c r="AM538" s="666"/>
      <c r="AN538" s="666"/>
      <c r="AO538" s="666"/>
      <c r="AP538" s="666"/>
      <c r="AQ538" s="666"/>
      <c r="AR538" s="666"/>
      <c r="AS538" s="666"/>
      <c r="AT538" s="666"/>
      <c r="AU538" s="666"/>
    </row>
    <row r="539" ht="15.75" customHeight="1">
      <c r="A539" s="671">
        <v>44447.0</v>
      </c>
      <c r="B539" s="672" t="s">
        <v>6750</v>
      </c>
      <c r="C539" s="673" t="s">
        <v>2346</v>
      </c>
      <c r="D539" s="641" t="s">
        <v>5038</v>
      </c>
      <c r="E539" s="669">
        <v>300000.0</v>
      </c>
      <c r="F539" s="641" t="s">
        <v>5549</v>
      </c>
      <c r="G539" s="667" t="s">
        <v>1096</v>
      </c>
      <c r="H539" s="667" t="s">
        <v>199</v>
      </c>
      <c r="I539" s="667" t="s">
        <v>1096</v>
      </c>
      <c r="J539" s="667">
        <v>44021.0</v>
      </c>
      <c r="K539" s="670" t="s">
        <v>2341</v>
      </c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6"/>
      <c r="AB539" s="666"/>
      <c r="AC539" s="666"/>
      <c r="AD539" s="666"/>
      <c r="AE539" s="666"/>
      <c r="AF539" s="666"/>
      <c r="AG539" s="666"/>
      <c r="AH539" s="666"/>
      <c r="AI539" s="666"/>
      <c r="AJ539" s="666"/>
      <c r="AK539" s="666"/>
      <c r="AL539" s="666"/>
      <c r="AM539" s="666"/>
      <c r="AN539" s="666"/>
      <c r="AO539" s="666"/>
      <c r="AP539" s="666"/>
      <c r="AQ539" s="666"/>
      <c r="AR539" s="666"/>
      <c r="AS539" s="666"/>
      <c r="AT539" s="666"/>
      <c r="AU539" s="666"/>
    </row>
    <row r="540" ht="15.75" customHeight="1">
      <c r="A540" s="671">
        <v>44447.0</v>
      </c>
      <c r="B540" s="672" t="s">
        <v>6103</v>
      </c>
      <c r="C540" s="673" t="s">
        <v>2346</v>
      </c>
      <c r="D540" s="641" t="s">
        <v>5038</v>
      </c>
      <c r="E540" s="669">
        <v>25000.0</v>
      </c>
      <c r="F540" s="641" t="s">
        <v>6105</v>
      </c>
      <c r="G540" s="667" t="s">
        <v>120</v>
      </c>
      <c r="H540" s="667" t="s">
        <v>91</v>
      </c>
      <c r="I540" s="667" t="s">
        <v>193</v>
      </c>
      <c r="J540" s="667">
        <v>44279.0</v>
      </c>
      <c r="K540" s="670" t="s">
        <v>2341</v>
      </c>
      <c r="L540" s="666"/>
      <c r="M540" s="666"/>
      <c r="N540" s="666"/>
      <c r="O540" s="666"/>
      <c r="P540" s="666"/>
      <c r="Q540" s="666"/>
      <c r="R540" s="666"/>
      <c r="S540" s="666"/>
      <c r="T540" s="666"/>
      <c r="U540" s="666"/>
      <c r="V540" s="666"/>
      <c r="W540" s="666"/>
      <c r="X540" s="666"/>
      <c r="Y540" s="666"/>
      <c r="Z540" s="666"/>
      <c r="AA540" s="666"/>
      <c r="AB540" s="666"/>
      <c r="AC540" s="666"/>
      <c r="AD540" s="666"/>
      <c r="AE540" s="666"/>
      <c r="AF540" s="666"/>
      <c r="AG540" s="666"/>
      <c r="AH540" s="666"/>
      <c r="AI540" s="666"/>
      <c r="AJ540" s="666"/>
      <c r="AK540" s="666"/>
      <c r="AL540" s="666"/>
      <c r="AM540" s="666"/>
      <c r="AN540" s="666"/>
      <c r="AO540" s="666"/>
      <c r="AP540" s="666"/>
      <c r="AQ540" s="666"/>
      <c r="AR540" s="666"/>
      <c r="AS540" s="666"/>
      <c r="AT540" s="666"/>
      <c r="AU540" s="666"/>
    </row>
    <row r="541" ht="15.75" customHeight="1">
      <c r="A541" s="667">
        <v>44448.0</v>
      </c>
      <c r="B541" s="668" t="s">
        <v>6760</v>
      </c>
      <c r="C541" s="641" t="s">
        <v>2346</v>
      </c>
      <c r="D541" s="641" t="s">
        <v>694</v>
      </c>
      <c r="E541" s="669">
        <v>130029.24</v>
      </c>
      <c r="F541" s="641" t="s">
        <v>6761</v>
      </c>
      <c r="G541" s="667" t="s">
        <v>1096</v>
      </c>
      <c r="H541" s="667" t="s">
        <v>199</v>
      </c>
      <c r="I541" s="667" t="s">
        <v>1096</v>
      </c>
      <c r="J541" s="667">
        <v>43441.0</v>
      </c>
      <c r="K541" s="670" t="s">
        <v>2372</v>
      </c>
      <c r="L541" s="666"/>
      <c r="M541" s="666"/>
      <c r="N541" s="666"/>
      <c r="O541" s="666"/>
      <c r="P541" s="666"/>
      <c r="Q541" s="666"/>
      <c r="R541" s="666"/>
      <c r="S541" s="666"/>
      <c r="T541" s="666"/>
      <c r="U541" s="666"/>
      <c r="V541" s="666"/>
      <c r="W541" s="666"/>
      <c r="X541" s="666"/>
      <c r="Y541" s="666"/>
      <c r="Z541" s="666"/>
      <c r="AA541" s="666"/>
      <c r="AB541" s="666"/>
      <c r="AC541" s="666"/>
      <c r="AD541" s="666"/>
      <c r="AE541" s="666"/>
      <c r="AF541" s="666"/>
      <c r="AG541" s="666"/>
      <c r="AH541" s="666"/>
      <c r="AI541" s="666"/>
      <c r="AJ541" s="666"/>
      <c r="AK541" s="666"/>
      <c r="AL541" s="666"/>
      <c r="AM541" s="666"/>
      <c r="AN541" s="666"/>
      <c r="AO541" s="666"/>
      <c r="AP541" s="666"/>
      <c r="AQ541" s="666"/>
      <c r="AR541" s="666"/>
      <c r="AS541" s="666"/>
      <c r="AT541" s="666"/>
      <c r="AU541" s="666"/>
    </row>
    <row r="542" ht="15.75" customHeight="1">
      <c r="A542" s="667">
        <v>44448.0</v>
      </c>
      <c r="B542" s="774" t="s">
        <v>5265</v>
      </c>
      <c r="C542" s="641" t="s">
        <v>2346</v>
      </c>
      <c r="D542" s="641" t="s">
        <v>694</v>
      </c>
      <c r="E542" s="669">
        <v>555581.44</v>
      </c>
      <c r="F542" s="641" t="s">
        <v>5268</v>
      </c>
      <c r="G542" s="667" t="s">
        <v>669</v>
      </c>
      <c r="H542" s="667" t="s">
        <v>199</v>
      </c>
      <c r="I542" s="667" t="s">
        <v>2388</v>
      </c>
      <c r="J542" s="667">
        <v>43607.0</v>
      </c>
      <c r="K542" s="670" t="s">
        <v>4383</v>
      </c>
      <c r="L542" s="666"/>
      <c r="M542" s="666"/>
      <c r="N542" s="666"/>
      <c r="O542" s="666"/>
      <c r="P542" s="666"/>
      <c r="Q542" s="666"/>
      <c r="R542" s="666"/>
      <c r="S542" s="666"/>
      <c r="T542" s="666"/>
      <c r="U542" s="666"/>
      <c r="V542" s="666"/>
      <c r="W542" s="666"/>
      <c r="X542" s="666"/>
      <c r="Y542" s="666"/>
      <c r="Z542" s="666"/>
      <c r="AA542" s="666"/>
      <c r="AB542" s="666"/>
      <c r="AC542" s="666"/>
      <c r="AD542" s="666"/>
      <c r="AE542" s="666"/>
      <c r="AF542" s="666"/>
      <c r="AG542" s="666"/>
      <c r="AH542" s="666"/>
      <c r="AI542" s="666"/>
      <c r="AJ542" s="666"/>
      <c r="AK542" s="666"/>
      <c r="AL542" s="666"/>
      <c r="AM542" s="666"/>
      <c r="AN542" s="666"/>
      <c r="AO542" s="666"/>
      <c r="AP542" s="666"/>
      <c r="AQ542" s="666"/>
      <c r="AR542" s="666"/>
      <c r="AS542" s="666"/>
      <c r="AT542" s="666"/>
      <c r="AU542" s="666"/>
    </row>
    <row r="543" ht="15.75" customHeight="1">
      <c r="A543" s="671">
        <v>44448.0</v>
      </c>
      <c r="B543" s="672" t="s">
        <v>6768</v>
      </c>
      <c r="C543" s="673" t="s">
        <v>2346</v>
      </c>
      <c r="D543" s="641" t="s">
        <v>5038</v>
      </c>
      <c r="E543" s="669">
        <v>17000.0</v>
      </c>
      <c r="F543" s="641" t="s">
        <v>6769</v>
      </c>
      <c r="G543" s="667" t="s">
        <v>120</v>
      </c>
      <c r="H543" s="667" t="s">
        <v>91</v>
      </c>
      <c r="I543" s="667" t="s">
        <v>521</v>
      </c>
      <c r="J543" s="667">
        <v>44263.0</v>
      </c>
      <c r="K543" s="670" t="s">
        <v>2365</v>
      </c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6"/>
      <c r="AB543" s="666"/>
      <c r="AC543" s="666"/>
      <c r="AD543" s="666"/>
      <c r="AE543" s="666"/>
      <c r="AF543" s="666"/>
      <c r="AG543" s="666"/>
      <c r="AH543" s="666"/>
      <c r="AI543" s="666"/>
      <c r="AJ543" s="666"/>
      <c r="AK543" s="666"/>
      <c r="AL543" s="666"/>
      <c r="AM543" s="666"/>
      <c r="AN543" s="666"/>
      <c r="AO543" s="666"/>
      <c r="AP543" s="666"/>
      <c r="AQ543" s="666"/>
      <c r="AR543" s="666"/>
      <c r="AS543" s="666"/>
      <c r="AT543" s="666"/>
      <c r="AU543" s="666"/>
    </row>
    <row r="544" ht="15.75" customHeight="1">
      <c r="A544" s="671">
        <v>44449.0</v>
      </c>
      <c r="B544" s="672" t="s">
        <v>6772</v>
      </c>
      <c r="C544" s="673" t="s">
        <v>2346</v>
      </c>
      <c r="D544" s="641" t="s">
        <v>5038</v>
      </c>
      <c r="E544" s="669">
        <v>2502500.1</v>
      </c>
      <c r="F544" s="641" t="s">
        <v>547</v>
      </c>
      <c r="G544" s="667" t="s">
        <v>120</v>
      </c>
      <c r="H544" s="667" t="s">
        <v>91</v>
      </c>
      <c r="I544" s="667" t="s">
        <v>521</v>
      </c>
      <c r="J544" s="667">
        <v>44266.0</v>
      </c>
      <c r="K544" s="670" t="s">
        <v>2319</v>
      </c>
      <c r="L544" s="666"/>
      <c r="M544" s="666"/>
      <c r="N544" s="666"/>
      <c r="O544" s="666"/>
      <c r="P544" s="666"/>
      <c r="Q544" s="666"/>
      <c r="R544" s="666"/>
      <c r="S544" s="666"/>
      <c r="T544" s="666"/>
      <c r="U544" s="666"/>
      <c r="V544" s="666"/>
      <c r="W544" s="666"/>
      <c r="X544" s="666"/>
      <c r="Y544" s="666"/>
      <c r="Z544" s="666"/>
      <c r="AA544" s="666"/>
      <c r="AB544" s="666"/>
      <c r="AC544" s="666"/>
      <c r="AD544" s="666"/>
      <c r="AE544" s="666"/>
      <c r="AF544" s="666"/>
      <c r="AG544" s="666"/>
      <c r="AH544" s="666"/>
      <c r="AI544" s="666"/>
      <c r="AJ544" s="666"/>
      <c r="AK544" s="666"/>
      <c r="AL544" s="666"/>
      <c r="AM544" s="666"/>
      <c r="AN544" s="666"/>
      <c r="AO544" s="666"/>
      <c r="AP544" s="666"/>
      <c r="AQ544" s="666"/>
      <c r="AR544" s="666"/>
      <c r="AS544" s="666"/>
      <c r="AT544" s="666"/>
      <c r="AU544" s="666"/>
    </row>
    <row r="545" ht="15.75" customHeight="1">
      <c r="A545" s="671">
        <v>44449.0</v>
      </c>
      <c r="B545" s="672" t="s">
        <v>6779</v>
      </c>
      <c r="C545" s="673" t="s">
        <v>98</v>
      </c>
      <c r="D545" s="641" t="s">
        <v>427</v>
      </c>
      <c r="E545" s="669">
        <v>0.0</v>
      </c>
      <c r="F545" s="641" t="s">
        <v>4426</v>
      </c>
      <c r="G545" s="641" t="s">
        <v>669</v>
      </c>
      <c r="H545" s="641" t="s">
        <v>199</v>
      </c>
      <c r="I545" s="641" t="s">
        <v>669</v>
      </c>
      <c r="J545" s="667">
        <v>43869.0</v>
      </c>
      <c r="K545" s="674" t="s">
        <v>2341</v>
      </c>
      <c r="L545" s="666"/>
      <c r="M545" s="666"/>
      <c r="N545" s="666"/>
      <c r="O545" s="666"/>
      <c r="P545" s="666"/>
      <c r="Q545" s="666"/>
      <c r="R545" s="666"/>
      <c r="S545" s="666"/>
      <c r="T545" s="666"/>
      <c r="U545" s="666"/>
      <c r="V545" s="666"/>
      <c r="W545" s="666"/>
      <c r="X545" s="666"/>
      <c r="Y545" s="666"/>
      <c r="Z545" s="666"/>
      <c r="AA545" s="666"/>
      <c r="AB545" s="666"/>
      <c r="AC545" s="666"/>
      <c r="AD545" s="666"/>
      <c r="AE545" s="666"/>
      <c r="AF545" s="666"/>
      <c r="AG545" s="666"/>
      <c r="AH545" s="666"/>
      <c r="AI545" s="666"/>
      <c r="AJ545" s="666"/>
      <c r="AK545" s="666"/>
      <c r="AL545" s="666"/>
      <c r="AM545" s="666"/>
      <c r="AN545" s="666"/>
      <c r="AO545" s="666"/>
      <c r="AP545" s="666"/>
      <c r="AQ545" s="666"/>
      <c r="AR545" s="666"/>
      <c r="AS545" s="666"/>
      <c r="AT545" s="666"/>
      <c r="AU545" s="666"/>
    </row>
    <row r="546" ht="15.75" customHeight="1">
      <c r="A546" s="667">
        <v>44450.0</v>
      </c>
      <c r="B546" s="774" t="s">
        <v>6782</v>
      </c>
      <c r="C546" s="641" t="s">
        <v>98</v>
      </c>
      <c r="D546" s="641" t="s">
        <v>694</v>
      </c>
      <c r="E546" s="669">
        <v>0.0</v>
      </c>
      <c r="F546" s="641" t="s">
        <v>4600</v>
      </c>
      <c r="G546" s="641" t="s">
        <v>120</v>
      </c>
      <c r="H546" s="641" t="s">
        <v>199</v>
      </c>
      <c r="I546" s="641" t="s">
        <v>2339</v>
      </c>
      <c r="J546" s="667">
        <v>44203.0</v>
      </c>
      <c r="K546" s="674" t="s">
        <v>2341</v>
      </c>
      <c r="L546" s="666"/>
      <c r="M546" s="666"/>
      <c r="N546" s="666"/>
      <c r="O546" s="666"/>
      <c r="P546" s="666"/>
      <c r="Q546" s="666"/>
      <c r="R546" s="666"/>
      <c r="S546" s="666"/>
      <c r="T546" s="666"/>
      <c r="U546" s="666"/>
      <c r="V546" s="666"/>
      <c r="W546" s="666"/>
      <c r="X546" s="666"/>
      <c r="Y546" s="666"/>
      <c r="Z546" s="666"/>
      <c r="AA546" s="666"/>
      <c r="AB546" s="666"/>
      <c r="AC546" s="666"/>
      <c r="AD546" s="666"/>
      <c r="AE546" s="666"/>
      <c r="AF546" s="666"/>
      <c r="AG546" s="666"/>
      <c r="AH546" s="666"/>
      <c r="AI546" s="666"/>
      <c r="AJ546" s="666"/>
      <c r="AK546" s="666"/>
      <c r="AL546" s="666"/>
      <c r="AM546" s="666"/>
      <c r="AN546" s="666"/>
      <c r="AO546" s="666"/>
      <c r="AP546" s="666"/>
      <c r="AQ546" s="666"/>
      <c r="AR546" s="666"/>
      <c r="AS546" s="666"/>
      <c r="AT546" s="666"/>
      <c r="AU546" s="666"/>
    </row>
    <row r="547" ht="15.75" customHeight="1">
      <c r="A547" s="667">
        <v>44450.0</v>
      </c>
      <c r="B547" s="774" t="s">
        <v>6786</v>
      </c>
      <c r="C547" s="641" t="s">
        <v>98</v>
      </c>
      <c r="D547" s="641" t="s">
        <v>694</v>
      </c>
      <c r="E547" s="669">
        <v>0.0</v>
      </c>
      <c r="F547" s="641" t="s">
        <v>4600</v>
      </c>
      <c r="G547" s="641" t="s">
        <v>120</v>
      </c>
      <c r="H547" s="641" t="s">
        <v>199</v>
      </c>
      <c r="I547" s="641" t="s">
        <v>2339</v>
      </c>
      <c r="J547" s="667">
        <v>44203.0</v>
      </c>
      <c r="K547" s="674" t="s">
        <v>2452</v>
      </c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6"/>
      <c r="AB547" s="666"/>
      <c r="AC547" s="666"/>
      <c r="AD547" s="666"/>
      <c r="AE547" s="666"/>
      <c r="AF547" s="666"/>
      <c r="AG547" s="666"/>
      <c r="AH547" s="666"/>
      <c r="AI547" s="666"/>
      <c r="AJ547" s="666"/>
      <c r="AK547" s="666"/>
      <c r="AL547" s="666"/>
      <c r="AM547" s="666"/>
      <c r="AN547" s="666"/>
      <c r="AO547" s="666"/>
      <c r="AP547" s="666"/>
      <c r="AQ547" s="666"/>
      <c r="AR547" s="666"/>
      <c r="AS547" s="666"/>
      <c r="AT547" s="666"/>
      <c r="AU547" s="666"/>
    </row>
    <row r="548" ht="15.75" customHeight="1">
      <c r="A548" s="713">
        <v>44452.0</v>
      </c>
      <c r="B548" s="672" t="s">
        <v>6788</v>
      </c>
      <c r="C548" s="715" t="s">
        <v>98</v>
      </c>
      <c r="D548" s="641" t="s">
        <v>5038</v>
      </c>
      <c r="E548" s="775">
        <v>4000.0</v>
      </c>
      <c r="F548" s="641" t="s">
        <v>3370</v>
      </c>
      <c r="G548" s="641" t="s">
        <v>255</v>
      </c>
      <c r="H548" s="641" t="s">
        <v>199</v>
      </c>
      <c r="I548" s="641" t="s">
        <v>548</v>
      </c>
      <c r="J548" s="667">
        <v>44362.0</v>
      </c>
      <c r="K548" s="674" t="s">
        <v>2365</v>
      </c>
      <c r="L548" s="666"/>
      <c r="M548" s="666"/>
      <c r="N548" s="666"/>
      <c r="O548" s="666"/>
      <c r="P548" s="666"/>
      <c r="Q548" s="666"/>
      <c r="R548" s="666"/>
      <c r="S548" s="666"/>
      <c r="T548" s="666"/>
      <c r="U548" s="666"/>
      <c r="V548" s="666"/>
      <c r="W548" s="666"/>
      <c r="X548" s="666"/>
      <c r="Y548" s="666"/>
      <c r="Z548" s="666"/>
      <c r="AA548" s="666"/>
      <c r="AB548" s="666"/>
      <c r="AC548" s="666"/>
      <c r="AD548" s="666"/>
      <c r="AE548" s="666"/>
      <c r="AF548" s="666"/>
      <c r="AG548" s="666"/>
      <c r="AH548" s="666"/>
      <c r="AI548" s="666"/>
      <c r="AJ548" s="666"/>
      <c r="AK548" s="666"/>
      <c r="AL548" s="666"/>
      <c r="AM548" s="666"/>
      <c r="AN548" s="666"/>
      <c r="AO548" s="666"/>
      <c r="AP548" s="666"/>
      <c r="AQ548" s="666"/>
      <c r="AR548" s="666"/>
      <c r="AS548" s="666"/>
      <c r="AT548" s="666"/>
      <c r="AU548" s="666"/>
    </row>
    <row r="549" ht="15.75" customHeight="1">
      <c r="A549" s="713">
        <v>44452.0</v>
      </c>
      <c r="B549" s="672" t="s">
        <v>5716</v>
      </c>
      <c r="C549" s="715" t="s">
        <v>2346</v>
      </c>
      <c r="D549" s="641" t="s">
        <v>5038</v>
      </c>
      <c r="E549" s="775">
        <v>20000.0</v>
      </c>
      <c r="F549" s="641" t="s">
        <v>1085</v>
      </c>
      <c r="G549" s="667" t="s">
        <v>120</v>
      </c>
      <c r="H549" s="667" t="s">
        <v>91</v>
      </c>
      <c r="I549" s="667" t="s">
        <v>521</v>
      </c>
      <c r="J549" s="667">
        <v>44295.0</v>
      </c>
      <c r="K549" s="670" t="s">
        <v>2356</v>
      </c>
      <c r="L549" s="666"/>
      <c r="M549" s="666"/>
      <c r="N549" s="666"/>
      <c r="O549" s="666"/>
      <c r="P549" s="666"/>
      <c r="Q549" s="666"/>
      <c r="R549" s="666"/>
      <c r="S549" s="666"/>
      <c r="T549" s="666"/>
      <c r="U549" s="666"/>
      <c r="V549" s="666"/>
      <c r="W549" s="666"/>
      <c r="X549" s="666"/>
      <c r="Y549" s="666"/>
      <c r="Z549" s="666"/>
      <c r="AA549" s="666"/>
      <c r="AB549" s="666"/>
      <c r="AC549" s="666"/>
      <c r="AD549" s="666"/>
      <c r="AE549" s="666"/>
      <c r="AF549" s="666"/>
      <c r="AG549" s="666"/>
      <c r="AH549" s="666"/>
      <c r="AI549" s="666"/>
      <c r="AJ549" s="666"/>
      <c r="AK549" s="666"/>
      <c r="AL549" s="666"/>
      <c r="AM549" s="666"/>
      <c r="AN549" s="666"/>
      <c r="AO549" s="666"/>
      <c r="AP549" s="666"/>
      <c r="AQ549" s="666"/>
      <c r="AR549" s="666"/>
      <c r="AS549" s="666"/>
      <c r="AT549" s="666"/>
      <c r="AU549" s="666"/>
    </row>
    <row r="550" ht="15.75" customHeight="1">
      <c r="A550" s="713">
        <v>44452.0</v>
      </c>
      <c r="B550" s="672" t="s">
        <v>6222</v>
      </c>
      <c r="C550" s="715" t="s">
        <v>2346</v>
      </c>
      <c r="D550" s="641" t="s">
        <v>5038</v>
      </c>
      <c r="E550" s="775">
        <v>5000.0</v>
      </c>
      <c r="F550" s="641" t="s">
        <v>1489</v>
      </c>
      <c r="G550" s="667" t="s">
        <v>120</v>
      </c>
      <c r="H550" s="667" t="s">
        <v>91</v>
      </c>
      <c r="I550" s="667" t="s">
        <v>193</v>
      </c>
      <c r="J550" s="667">
        <v>44319.0</v>
      </c>
      <c r="K550" s="670" t="s">
        <v>2341</v>
      </c>
      <c r="L550" s="666"/>
      <c r="M550" s="666"/>
      <c r="N550" s="666"/>
      <c r="O550" s="666"/>
      <c r="P550" s="666"/>
      <c r="Q550" s="666"/>
      <c r="R550" s="666"/>
      <c r="S550" s="666"/>
      <c r="T550" s="666"/>
      <c r="U550" s="666"/>
      <c r="V550" s="666"/>
      <c r="W550" s="666"/>
      <c r="X550" s="666"/>
      <c r="Y550" s="666"/>
      <c r="Z550" s="666"/>
      <c r="AA550" s="666"/>
      <c r="AB550" s="666"/>
      <c r="AC550" s="666"/>
      <c r="AD550" s="666"/>
      <c r="AE550" s="666"/>
      <c r="AF550" s="666"/>
      <c r="AG550" s="666"/>
      <c r="AH550" s="666"/>
      <c r="AI550" s="666"/>
      <c r="AJ550" s="666"/>
      <c r="AK550" s="666"/>
      <c r="AL550" s="666"/>
      <c r="AM550" s="666"/>
      <c r="AN550" s="666"/>
      <c r="AO550" s="666"/>
      <c r="AP550" s="666"/>
      <c r="AQ550" s="666"/>
      <c r="AR550" s="666"/>
      <c r="AS550" s="666"/>
      <c r="AT550" s="666"/>
      <c r="AU550" s="666"/>
    </row>
    <row r="551" ht="15.75" customHeight="1">
      <c r="A551" s="667">
        <v>44452.0</v>
      </c>
      <c r="B551" s="668" t="s">
        <v>6793</v>
      </c>
      <c r="C551" s="641" t="s">
        <v>98</v>
      </c>
      <c r="D551" s="641" t="s">
        <v>694</v>
      </c>
      <c r="E551" s="669">
        <v>0.0</v>
      </c>
      <c r="F551" s="641" t="s">
        <v>6796</v>
      </c>
      <c r="G551" s="641" t="s">
        <v>3855</v>
      </c>
      <c r="H551" s="641" t="s">
        <v>199</v>
      </c>
      <c r="I551" s="641" t="s">
        <v>255</v>
      </c>
      <c r="J551" s="667">
        <v>44250.0</v>
      </c>
      <c r="K551" s="674" t="s">
        <v>2452</v>
      </c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6"/>
      <c r="AB551" s="666"/>
      <c r="AC551" s="666"/>
      <c r="AD551" s="666"/>
      <c r="AE551" s="666"/>
      <c r="AF551" s="666"/>
      <c r="AG551" s="666"/>
      <c r="AH551" s="666"/>
      <c r="AI551" s="666"/>
      <c r="AJ551" s="666"/>
      <c r="AK551" s="666"/>
      <c r="AL551" s="666"/>
      <c r="AM551" s="666"/>
      <c r="AN551" s="666"/>
      <c r="AO551" s="666"/>
      <c r="AP551" s="666"/>
      <c r="AQ551" s="666"/>
      <c r="AR551" s="666"/>
      <c r="AS551" s="666"/>
      <c r="AT551" s="666"/>
      <c r="AU551" s="666"/>
    </row>
    <row r="552" ht="15.75" customHeight="1">
      <c r="A552" s="667">
        <v>44452.0</v>
      </c>
      <c r="B552" s="668" t="s">
        <v>6803</v>
      </c>
      <c r="C552" s="641" t="s">
        <v>98</v>
      </c>
      <c r="D552" s="641" t="s">
        <v>694</v>
      </c>
      <c r="E552" s="669">
        <v>0.0</v>
      </c>
      <c r="F552" s="641" t="s">
        <v>6804</v>
      </c>
      <c r="G552" s="641" t="s">
        <v>120</v>
      </c>
      <c r="H552" s="641" t="s">
        <v>199</v>
      </c>
      <c r="I552" s="641" t="s">
        <v>2339</v>
      </c>
      <c r="J552" s="667">
        <v>44120.0</v>
      </c>
      <c r="K552" s="674" t="s">
        <v>2341</v>
      </c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66"/>
      <c r="AB552" s="666"/>
      <c r="AC552" s="666"/>
      <c r="AD552" s="666"/>
      <c r="AE552" s="666"/>
      <c r="AF552" s="666"/>
      <c r="AG552" s="666"/>
      <c r="AH552" s="666"/>
      <c r="AI552" s="666"/>
      <c r="AJ552" s="666"/>
      <c r="AK552" s="666"/>
      <c r="AL552" s="666"/>
      <c r="AM552" s="666"/>
      <c r="AN552" s="666"/>
      <c r="AO552" s="666"/>
      <c r="AP552" s="666"/>
      <c r="AQ552" s="666"/>
      <c r="AR552" s="666"/>
      <c r="AS552" s="666"/>
      <c r="AT552" s="666"/>
      <c r="AU552" s="666"/>
    </row>
    <row r="553" ht="15.75" customHeight="1">
      <c r="A553" s="713">
        <v>44453.0</v>
      </c>
      <c r="B553" s="672" t="s">
        <v>6197</v>
      </c>
      <c r="C553" s="715" t="s">
        <v>2346</v>
      </c>
      <c r="D553" s="641" t="s">
        <v>5038</v>
      </c>
      <c r="E553" s="775">
        <v>10000.0</v>
      </c>
      <c r="F553" s="641" t="s">
        <v>3516</v>
      </c>
      <c r="G553" s="667" t="s">
        <v>120</v>
      </c>
      <c r="H553" s="667" t="s">
        <v>91</v>
      </c>
      <c r="I553" s="667" t="s">
        <v>193</v>
      </c>
      <c r="J553" s="667">
        <v>44295.0</v>
      </c>
      <c r="K553" s="670" t="s">
        <v>2319</v>
      </c>
      <c r="L553" s="666"/>
      <c r="M553" s="666"/>
      <c r="N553" s="666"/>
      <c r="O553" s="666"/>
      <c r="P553" s="666"/>
      <c r="Q553" s="666"/>
      <c r="R553" s="666"/>
      <c r="S553" s="666"/>
      <c r="T553" s="666"/>
      <c r="U553" s="666"/>
      <c r="V553" s="666"/>
      <c r="W553" s="666"/>
      <c r="X553" s="666"/>
      <c r="Y553" s="666"/>
      <c r="Z553" s="666"/>
      <c r="AA553" s="666"/>
      <c r="AB553" s="666"/>
      <c r="AC553" s="666"/>
      <c r="AD553" s="666"/>
      <c r="AE553" s="666"/>
      <c r="AF553" s="666"/>
      <c r="AG553" s="666"/>
      <c r="AH553" s="666"/>
      <c r="AI553" s="666"/>
      <c r="AJ553" s="666"/>
      <c r="AK553" s="666"/>
      <c r="AL553" s="666"/>
      <c r="AM553" s="666"/>
      <c r="AN553" s="666"/>
      <c r="AO553" s="666"/>
      <c r="AP553" s="666"/>
      <c r="AQ553" s="666"/>
      <c r="AR553" s="666"/>
      <c r="AS553" s="666"/>
      <c r="AT553" s="666"/>
      <c r="AU553" s="666"/>
    </row>
    <row r="554" ht="15.75" customHeight="1">
      <c r="A554" s="713">
        <v>44453.0</v>
      </c>
      <c r="B554" s="672" t="s">
        <v>6750</v>
      </c>
      <c r="C554" s="715" t="s">
        <v>2346</v>
      </c>
      <c r="D554" s="641" t="s">
        <v>5038</v>
      </c>
      <c r="E554" s="775">
        <v>300000.0</v>
      </c>
      <c r="F554" s="641" t="s">
        <v>5549</v>
      </c>
      <c r="G554" s="667" t="s">
        <v>1096</v>
      </c>
      <c r="H554" s="667" t="s">
        <v>199</v>
      </c>
      <c r="I554" s="667" t="s">
        <v>1096</v>
      </c>
      <c r="J554" s="667">
        <v>44021.0</v>
      </c>
      <c r="K554" s="670" t="s">
        <v>2341</v>
      </c>
      <c r="L554" s="666"/>
      <c r="M554" s="666"/>
      <c r="N554" s="666"/>
      <c r="O554" s="666"/>
      <c r="P554" s="666"/>
      <c r="Q554" s="666"/>
      <c r="R554" s="666"/>
      <c r="S554" s="666"/>
      <c r="T554" s="666"/>
      <c r="U554" s="666"/>
      <c r="V554" s="666"/>
      <c r="W554" s="666"/>
      <c r="X554" s="666"/>
      <c r="Y554" s="666"/>
      <c r="Z554" s="666"/>
      <c r="AA554" s="666"/>
      <c r="AB554" s="666"/>
      <c r="AC554" s="666"/>
      <c r="AD554" s="666"/>
      <c r="AE554" s="666"/>
      <c r="AF554" s="666"/>
      <c r="AG554" s="666"/>
      <c r="AH554" s="666"/>
      <c r="AI554" s="666"/>
      <c r="AJ554" s="666"/>
      <c r="AK554" s="666"/>
      <c r="AL554" s="666"/>
      <c r="AM554" s="666"/>
      <c r="AN554" s="666"/>
      <c r="AO554" s="666"/>
      <c r="AP554" s="666"/>
      <c r="AQ554" s="666"/>
      <c r="AR554" s="666"/>
      <c r="AS554" s="666"/>
      <c r="AT554" s="666"/>
      <c r="AU554" s="666"/>
    </row>
    <row r="555" ht="15.75" customHeight="1">
      <c r="A555" s="667">
        <v>44453.0</v>
      </c>
      <c r="B555" s="774" t="s">
        <v>6811</v>
      </c>
      <c r="C555" s="641" t="s">
        <v>98</v>
      </c>
      <c r="D555" s="641" t="s">
        <v>694</v>
      </c>
      <c r="E555" s="669">
        <v>0.0</v>
      </c>
      <c r="F555" s="641" t="s">
        <v>4623</v>
      </c>
      <c r="G555" s="641" t="s">
        <v>120</v>
      </c>
      <c r="H555" s="641" t="s">
        <v>199</v>
      </c>
      <c r="I555" s="641" t="s">
        <v>2339</v>
      </c>
      <c r="J555" s="667">
        <v>44202.0</v>
      </c>
      <c r="K555" s="674" t="s">
        <v>2341</v>
      </c>
      <c r="L555" s="666"/>
      <c r="M555" s="666"/>
      <c r="N555" s="666"/>
      <c r="O555" s="666"/>
      <c r="P555" s="666"/>
      <c r="Q555" s="666"/>
      <c r="R555" s="666"/>
      <c r="S555" s="666"/>
      <c r="T555" s="666"/>
      <c r="U555" s="666"/>
      <c r="V555" s="666"/>
      <c r="W555" s="666"/>
      <c r="X555" s="666"/>
      <c r="Y555" s="666"/>
      <c r="Z555" s="666"/>
      <c r="AA555" s="666"/>
      <c r="AB555" s="666"/>
      <c r="AC555" s="666"/>
      <c r="AD555" s="666"/>
      <c r="AE555" s="666"/>
      <c r="AF555" s="666"/>
      <c r="AG555" s="666"/>
      <c r="AH555" s="666"/>
      <c r="AI555" s="666"/>
      <c r="AJ555" s="666"/>
      <c r="AK555" s="666"/>
      <c r="AL555" s="666"/>
      <c r="AM555" s="666"/>
      <c r="AN555" s="666"/>
      <c r="AO555" s="666"/>
      <c r="AP555" s="666"/>
      <c r="AQ555" s="666"/>
      <c r="AR555" s="666"/>
      <c r="AS555" s="666"/>
      <c r="AT555" s="666"/>
      <c r="AU555" s="666"/>
    </row>
    <row r="556" ht="15.75" customHeight="1">
      <c r="A556" s="713">
        <v>44455.0</v>
      </c>
      <c r="B556" s="668" t="s">
        <v>6824</v>
      </c>
      <c r="C556" s="715" t="s">
        <v>98</v>
      </c>
      <c r="D556" s="641" t="s">
        <v>5038</v>
      </c>
      <c r="E556" s="775">
        <v>135728.28</v>
      </c>
      <c r="F556" s="641" t="s">
        <v>3699</v>
      </c>
      <c r="G556" s="641" t="s">
        <v>120</v>
      </c>
      <c r="H556" s="641" t="s">
        <v>54</v>
      </c>
      <c r="I556" s="641" t="s">
        <v>379</v>
      </c>
      <c r="J556" s="667">
        <v>44204.0</v>
      </c>
      <c r="K556" s="674" t="s">
        <v>2341</v>
      </c>
      <c r="L556" s="666"/>
      <c r="M556" s="666"/>
      <c r="N556" s="666"/>
      <c r="O556" s="666"/>
      <c r="P556" s="666"/>
      <c r="Q556" s="666"/>
      <c r="R556" s="666"/>
      <c r="S556" s="666"/>
      <c r="T556" s="666"/>
      <c r="U556" s="666"/>
      <c r="V556" s="666"/>
      <c r="W556" s="666"/>
      <c r="X556" s="666"/>
      <c r="Y556" s="666"/>
      <c r="Z556" s="666"/>
      <c r="AA556" s="666"/>
      <c r="AB556" s="666"/>
      <c r="AC556" s="666"/>
      <c r="AD556" s="666"/>
      <c r="AE556" s="666"/>
      <c r="AF556" s="666"/>
      <c r="AG556" s="666"/>
      <c r="AH556" s="666"/>
      <c r="AI556" s="666"/>
      <c r="AJ556" s="666"/>
      <c r="AK556" s="666"/>
      <c r="AL556" s="666"/>
      <c r="AM556" s="666"/>
      <c r="AN556" s="666"/>
      <c r="AO556" s="666"/>
      <c r="AP556" s="666"/>
      <c r="AQ556" s="666"/>
      <c r="AR556" s="666"/>
      <c r="AS556" s="666"/>
      <c r="AT556" s="666"/>
      <c r="AU556" s="666"/>
    </row>
    <row r="557" ht="15.75" customHeight="1">
      <c r="A557" s="667">
        <v>44455.0</v>
      </c>
      <c r="B557" s="668" t="s">
        <v>6827</v>
      </c>
      <c r="C557" s="641" t="s">
        <v>2346</v>
      </c>
      <c r="D557" s="641" t="s">
        <v>694</v>
      </c>
      <c r="E557" s="679">
        <v>107666.91</v>
      </c>
      <c r="F557" s="641" t="s">
        <v>6828</v>
      </c>
      <c r="G557" s="667" t="s">
        <v>669</v>
      </c>
      <c r="H557" s="667" t="s">
        <v>199</v>
      </c>
      <c r="I557" s="667" t="s">
        <v>1228</v>
      </c>
      <c r="J557" s="667">
        <v>43843.0</v>
      </c>
      <c r="K557" s="670" t="s">
        <v>2365</v>
      </c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6"/>
      <c r="AB557" s="666"/>
      <c r="AC557" s="666"/>
      <c r="AD557" s="666"/>
      <c r="AE557" s="666"/>
      <c r="AF557" s="666"/>
      <c r="AG557" s="666"/>
      <c r="AH557" s="666"/>
      <c r="AI557" s="666"/>
      <c r="AJ557" s="666"/>
      <c r="AK557" s="666"/>
      <c r="AL557" s="666"/>
      <c r="AM557" s="666"/>
      <c r="AN557" s="666"/>
      <c r="AO557" s="666"/>
      <c r="AP557" s="666"/>
      <c r="AQ557" s="666"/>
      <c r="AR557" s="666"/>
      <c r="AS557" s="666"/>
      <c r="AT557" s="666"/>
      <c r="AU557" s="666"/>
    </row>
    <row r="558" ht="15.75" customHeight="1">
      <c r="A558" s="667">
        <v>44455.0</v>
      </c>
      <c r="B558" s="672" t="s">
        <v>6829</v>
      </c>
      <c r="C558" s="641" t="s">
        <v>98</v>
      </c>
      <c r="D558" s="641" t="s">
        <v>694</v>
      </c>
      <c r="E558" s="669">
        <v>0.0</v>
      </c>
      <c r="F558" s="641" t="s">
        <v>6125</v>
      </c>
      <c r="G558" s="641" t="s">
        <v>120</v>
      </c>
      <c r="H558" s="641" t="s">
        <v>199</v>
      </c>
      <c r="I558" s="641" t="s">
        <v>2339</v>
      </c>
      <c r="J558" s="667">
        <v>44384.0</v>
      </c>
      <c r="K558" s="674" t="s">
        <v>2356</v>
      </c>
      <c r="L558" s="666"/>
      <c r="M558" s="666"/>
      <c r="N558" s="666"/>
      <c r="O558" s="666"/>
      <c r="P558" s="666"/>
      <c r="Q558" s="666"/>
      <c r="R558" s="666"/>
      <c r="S558" s="666"/>
      <c r="T558" s="666"/>
      <c r="U558" s="666"/>
      <c r="V558" s="666"/>
      <c r="W558" s="666"/>
      <c r="X558" s="666"/>
      <c r="Y558" s="666"/>
      <c r="Z558" s="666"/>
      <c r="AA558" s="666"/>
      <c r="AB558" s="666"/>
      <c r="AC558" s="666"/>
      <c r="AD558" s="666"/>
      <c r="AE558" s="666"/>
      <c r="AF558" s="666"/>
      <c r="AG558" s="666"/>
      <c r="AH558" s="666"/>
      <c r="AI558" s="666"/>
      <c r="AJ558" s="666"/>
      <c r="AK558" s="666"/>
      <c r="AL558" s="666"/>
      <c r="AM558" s="666"/>
      <c r="AN558" s="666"/>
      <c r="AO558" s="666"/>
      <c r="AP558" s="666"/>
      <c r="AQ558" s="666"/>
      <c r="AR558" s="666"/>
      <c r="AS558" s="666"/>
      <c r="AT558" s="666"/>
      <c r="AU558" s="666"/>
    </row>
    <row r="559" ht="15.75" customHeight="1">
      <c r="A559" s="713">
        <v>44456.0</v>
      </c>
      <c r="B559" s="672" t="s">
        <v>5065</v>
      </c>
      <c r="C559" s="715" t="s">
        <v>2346</v>
      </c>
      <c r="D559" s="641" t="s">
        <v>5038</v>
      </c>
      <c r="E559" s="775">
        <v>7500.0</v>
      </c>
      <c r="F559" s="641" t="s">
        <v>5066</v>
      </c>
      <c r="G559" s="667" t="s">
        <v>669</v>
      </c>
      <c r="H559" s="667" t="s">
        <v>199</v>
      </c>
      <c r="I559" s="667" t="s">
        <v>1228</v>
      </c>
      <c r="J559" s="667">
        <v>43703.0</v>
      </c>
      <c r="K559" s="670" t="s">
        <v>4383</v>
      </c>
      <c r="L559" s="666"/>
      <c r="M559" s="666"/>
      <c r="N559" s="666"/>
      <c r="O559" s="666"/>
      <c r="P559" s="666"/>
      <c r="Q559" s="666"/>
      <c r="R559" s="666"/>
      <c r="S559" s="666"/>
      <c r="T559" s="666"/>
      <c r="U559" s="666"/>
      <c r="V559" s="666"/>
      <c r="W559" s="666"/>
      <c r="X559" s="666"/>
      <c r="Y559" s="666"/>
      <c r="Z559" s="666"/>
      <c r="AA559" s="666"/>
      <c r="AB559" s="666"/>
      <c r="AC559" s="666"/>
      <c r="AD559" s="666"/>
      <c r="AE559" s="666"/>
      <c r="AF559" s="666"/>
      <c r="AG559" s="666"/>
      <c r="AH559" s="666"/>
      <c r="AI559" s="666"/>
      <c r="AJ559" s="666"/>
      <c r="AK559" s="666"/>
      <c r="AL559" s="666"/>
      <c r="AM559" s="666"/>
      <c r="AN559" s="666"/>
      <c r="AO559" s="666"/>
      <c r="AP559" s="666"/>
      <c r="AQ559" s="666"/>
      <c r="AR559" s="666"/>
      <c r="AS559" s="666"/>
      <c r="AT559" s="666"/>
      <c r="AU559" s="666"/>
    </row>
    <row r="560" ht="15.75" customHeight="1">
      <c r="A560" s="667">
        <v>44456.0</v>
      </c>
      <c r="B560" s="668" t="s">
        <v>6836</v>
      </c>
      <c r="C560" s="641" t="s">
        <v>98</v>
      </c>
      <c r="D560" s="641" t="s">
        <v>694</v>
      </c>
      <c r="E560" s="669">
        <v>0.0</v>
      </c>
      <c r="F560" s="641" t="s">
        <v>2338</v>
      </c>
      <c r="G560" s="641" t="s">
        <v>120</v>
      </c>
      <c r="H560" s="641" t="s">
        <v>199</v>
      </c>
      <c r="I560" s="641" t="s">
        <v>2339</v>
      </c>
      <c r="J560" s="667">
        <v>44186.0</v>
      </c>
      <c r="K560" s="674" t="s">
        <v>2341</v>
      </c>
      <c r="L560" s="666"/>
      <c r="M560" s="666"/>
      <c r="N560" s="666"/>
      <c r="O560" s="666"/>
      <c r="P560" s="666"/>
      <c r="Q560" s="666"/>
      <c r="R560" s="666"/>
      <c r="S560" s="666"/>
      <c r="T560" s="666"/>
      <c r="U560" s="666"/>
      <c r="V560" s="666"/>
      <c r="W560" s="666"/>
      <c r="X560" s="666"/>
      <c r="Y560" s="666"/>
      <c r="Z560" s="666"/>
      <c r="AA560" s="666"/>
      <c r="AB560" s="666"/>
      <c r="AC560" s="666"/>
      <c r="AD560" s="666"/>
      <c r="AE560" s="666"/>
      <c r="AF560" s="666"/>
      <c r="AG560" s="666"/>
      <c r="AH560" s="666"/>
      <c r="AI560" s="666"/>
      <c r="AJ560" s="666"/>
      <c r="AK560" s="666"/>
      <c r="AL560" s="666"/>
      <c r="AM560" s="666"/>
      <c r="AN560" s="666"/>
      <c r="AO560" s="666"/>
      <c r="AP560" s="666"/>
      <c r="AQ560" s="666"/>
      <c r="AR560" s="666"/>
      <c r="AS560" s="666"/>
      <c r="AT560" s="666"/>
      <c r="AU560" s="666"/>
    </row>
    <row r="561" ht="15.75" customHeight="1">
      <c r="A561" s="667">
        <v>44456.0</v>
      </c>
      <c r="B561" s="668" t="s">
        <v>6842</v>
      </c>
      <c r="C561" s="641" t="s">
        <v>98</v>
      </c>
      <c r="D561" s="641" t="s">
        <v>694</v>
      </c>
      <c r="E561" s="669">
        <v>0.0</v>
      </c>
      <c r="F561" s="641" t="s">
        <v>5677</v>
      </c>
      <c r="G561" s="641" t="s">
        <v>120</v>
      </c>
      <c r="H561" s="641" t="s">
        <v>199</v>
      </c>
      <c r="I561" s="641" t="s">
        <v>2339</v>
      </c>
      <c r="J561" s="667">
        <v>44456.0</v>
      </c>
      <c r="K561" s="674" t="s">
        <v>2452</v>
      </c>
      <c r="L561" s="666"/>
      <c r="M561" s="666"/>
      <c r="N561" s="666"/>
      <c r="O561" s="666"/>
      <c r="P561" s="666"/>
      <c r="Q561" s="666"/>
      <c r="R561" s="666"/>
      <c r="S561" s="666"/>
      <c r="T561" s="666"/>
      <c r="U561" s="666"/>
      <c r="V561" s="666"/>
      <c r="W561" s="666"/>
      <c r="X561" s="666"/>
      <c r="Y561" s="666"/>
      <c r="Z561" s="666"/>
      <c r="AA561" s="666"/>
      <c r="AB561" s="666"/>
      <c r="AC561" s="666"/>
      <c r="AD561" s="666"/>
      <c r="AE561" s="666"/>
      <c r="AF561" s="666"/>
      <c r="AG561" s="666"/>
      <c r="AH561" s="666"/>
      <c r="AI561" s="666"/>
      <c r="AJ561" s="666"/>
      <c r="AK561" s="666"/>
      <c r="AL561" s="666"/>
      <c r="AM561" s="666"/>
      <c r="AN561" s="666"/>
      <c r="AO561" s="666"/>
      <c r="AP561" s="666"/>
      <c r="AQ561" s="666"/>
      <c r="AR561" s="666"/>
      <c r="AS561" s="666"/>
      <c r="AT561" s="666"/>
      <c r="AU561" s="666"/>
    </row>
    <row r="562" ht="15.75" customHeight="1">
      <c r="A562" s="713">
        <v>44459.0</v>
      </c>
      <c r="B562" s="672" t="s">
        <v>6371</v>
      </c>
      <c r="C562" s="715" t="s">
        <v>2346</v>
      </c>
      <c r="D562" s="641" t="s">
        <v>5038</v>
      </c>
      <c r="E562" s="717">
        <v>159337.69</v>
      </c>
      <c r="F562" s="641" t="s">
        <v>5624</v>
      </c>
      <c r="G562" s="667" t="s">
        <v>120</v>
      </c>
      <c r="H562" s="667" t="s">
        <v>91</v>
      </c>
      <c r="I562" s="667" t="s">
        <v>521</v>
      </c>
      <c r="J562" s="667">
        <v>44280.0</v>
      </c>
      <c r="K562" s="670" t="s">
        <v>2356</v>
      </c>
      <c r="L562" s="666"/>
      <c r="M562" s="666"/>
      <c r="N562" s="666"/>
      <c r="O562" s="666"/>
      <c r="P562" s="666"/>
      <c r="Q562" s="666"/>
      <c r="R562" s="666"/>
      <c r="S562" s="666"/>
      <c r="T562" s="666"/>
      <c r="U562" s="666"/>
      <c r="V562" s="666"/>
      <c r="W562" s="666"/>
      <c r="X562" s="666"/>
      <c r="Y562" s="666"/>
      <c r="Z562" s="666"/>
      <c r="AA562" s="666"/>
      <c r="AB562" s="666"/>
      <c r="AC562" s="666"/>
      <c r="AD562" s="666"/>
      <c r="AE562" s="666"/>
      <c r="AF562" s="666"/>
      <c r="AG562" s="666"/>
      <c r="AH562" s="666"/>
      <c r="AI562" s="666"/>
      <c r="AJ562" s="666"/>
      <c r="AK562" s="666"/>
      <c r="AL562" s="666"/>
      <c r="AM562" s="666"/>
      <c r="AN562" s="666"/>
      <c r="AO562" s="666"/>
      <c r="AP562" s="666"/>
      <c r="AQ562" s="666"/>
      <c r="AR562" s="666"/>
      <c r="AS562" s="666"/>
      <c r="AT562" s="666"/>
      <c r="AU562" s="666"/>
    </row>
    <row r="563" ht="15.75" customHeight="1">
      <c r="A563" s="713">
        <v>44459.0</v>
      </c>
      <c r="B563" s="672" t="s">
        <v>6844</v>
      </c>
      <c r="C563" s="715" t="s">
        <v>2346</v>
      </c>
      <c r="D563" s="641" t="s">
        <v>5038</v>
      </c>
      <c r="E563" s="775">
        <v>20000.0</v>
      </c>
      <c r="F563" s="641" t="s">
        <v>5274</v>
      </c>
      <c r="G563" s="667" t="s">
        <v>120</v>
      </c>
      <c r="H563" s="667" t="s">
        <v>91</v>
      </c>
      <c r="I563" s="667" t="s">
        <v>193</v>
      </c>
      <c r="J563" s="667">
        <v>44319.0</v>
      </c>
      <c r="K563" s="670" t="s">
        <v>2319</v>
      </c>
      <c r="L563" s="666"/>
      <c r="M563" s="666"/>
      <c r="N563" s="666"/>
      <c r="O563" s="666"/>
      <c r="P563" s="666"/>
      <c r="Q563" s="666"/>
      <c r="R563" s="666"/>
      <c r="S563" s="666"/>
      <c r="T563" s="666"/>
      <c r="U563" s="666"/>
      <c r="V563" s="666"/>
      <c r="W563" s="666"/>
      <c r="X563" s="666"/>
      <c r="Y563" s="666"/>
      <c r="Z563" s="666"/>
      <c r="AA563" s="666"/>
      <c r="AB563" s="666"/>
      <c r="AC563" s="666"/>
      <c r="AD563" s="666"/>
      <c r="AE563" s="666"/>
      <c r="AF563" s="666"/>
      <c r="AG563" s="666"/>
      <c r="AH563" s="666"/>
      <c r="AI563" s="666"/>
      <c r="AJ563" s="666"/>
      <c r="AK563" s="666"/>
      <c r="AL563" s="666"/>
      <c r="AM563" s="666"/>
      <c r="AN563" s="666"/>
      <c r="AO563" s="666"/>
      <c r="AP563" s="666"/>
      <c r="AQ563" s="666"/>
      <c r="AR563" s="666"/>
      <c r="AS563" s="666"/>
      <c r="AT563" s="666"/>
      <c r="AU563" s="666"/>
    </row>
    <row r="564" ht="15.75" customHeight="1">
      <c r="A564" s="713">
        <v>44459.0</v>
      </c>
      <c r="B564" s="672" t="s">
        <v>6243</v>
      </c>
      <c r="C564" s="715" t="s">
        <v>2346</v>
      </c>
      <c r="D564" s="641" t="s">
        <v>5038</v>
      </c>
      <c r="E564" s="775">
        <v>271802.72</v>
      </c>
      <c r="F564" s="641" t="s">
        <v>4207</v>
      </c>
      <c r="G564" s="667" t="s">
        <v>120</v>
      </c>
      <c r="H564" s="667" t="s">
        <v>91</v>
      </c>
      <c r="I564" s="667" t="s">
        <v>521</v>
      </c>
      <c r="J564" s="667">
        <v>44328.0</v>
      </c>
      <c r="K564" s="670" t="s">
        <v>2341</v>
      </c>
      <c r="L564" s="666"/>
      <c r="M564" s="666"/>
      <c r="N564" s="666"/>
      <c r="O564" s="666"/>
      <c r="P564" s="666"/>
      <c r="Q564" s="666"/>
      <c r="R564" s="666"/>
      <c r="S564" s="666"/>
      <c r="T564" s="666"/>
      <c r="U564" s="666"/>
      <c r="V564" s="666"/>
      <c r="W564" s="666"/>
      <c r="X564" s="666"/>
      <c r="Y564" s="666"/>
      <c r="Z564" s="666"/>
      <c r="AA564" s="666"/>
      <c r="AB564" s="666"/>
      <c r="AC564" s="666"/>
      <c r="AD564" s="666"/>
      <c r="AE564" s="666"/>
      <c r="AF564" s="666"/>
      <c r="AG564" s="666"/>
      <c r="AH564" s="666"/>
      <c r="AI564" s="666"/>
      <c r="AJ564" s="666"/>
      <c r="AK564" s="666"/>
      <c r="AL564" s="666"/>
      <c r="AM564" s="666"/>
      <c r="AN564" s="666"/>
      <c r="AO564" s="666"/>
      <c r="AP564" s="666"/>
      <c r="AQ564" s="666"/>
      <c r="AR564" s="666"/>
      <c r="AS564" s="666"/>
      <c r="AT564" s="666"/>
      <c r="AU564" s="666"/>
    </row>
    <row r="565" ht="15.75" customHeight="1">
      <c r="A565" s="773">
        <v>44459.0</v>
      </c>
      <c r="B565" s="672" t="s">
        <v>6517</v>
      </c>
      <c r="C565" s="641" t="s">
        <v>98</v>
      </c>
      <c r="D565" s="641" t="s">
        <v>694</v>
      </c>
      <c r="E565" s="669">
        <v>0.0</v>
      </c>
      <c r="F565" s="641" t="s">
        <v>4969</v>
      </c>
      <c r="G565" s="641" t="s">
        <v>120</v>
      </c>
      <c r="H565" s="641" t="s">
        <v>199</v>
      </c>
      <c r="I565" s="641" t="s">
        <v>1174</v>
      </c>
      <c r="J565" s="667"/>
      <c r="K565" s="674" t="s">
        <v>2372</v>
      </c>
      <c r="L565" s="666"/>
      <c r="M565" s="666"/>
      <c r="N565" s="666"/>
      <c r="O565" s="666"/>
      <c r="P565" s="666"/>
      <c r="Q565" s="666"/>
      <c r="R565" s="666"/>
      <c r="S565" s="666"/>
      <c r="T565" s="666"/>
      <c r="U565" s="666"/>
      <c r="V565" s="666"/>
      <c r="W565" s="666"/>
      <c r="X565" s="666"/>
      <c r="Y565" s="666"/>
      <c r="Z565" s="666"/>
      <c r="AA565" s="666"/>
      <c r="AB565" s="666"/>
      <c r="AC565" s="666"/>
      <c r="AD565" s="666"/>
      <c r="AE565" s="666"/>
      <c r="AF565" s="666"/>
      <c r="AG565" s="666"/>
      <c r="AH565" s="666"/>
      <c r="AI565" s="666"/>
      <c r="AJ565" s="666"/>
      <c r="AK565" s="666"/>
      <c r="AL565" s="666"/>
      <c r="AM565" s="666"/>
      <c r="AN565" s="666"/>
      <c r="AO565" s="666"/>
      <c r="AP565" s="666"/>
      <c r="AQ565" s="666"/>
      <c r="AR565" s="666"/>
      <c r="AS565" s="666"/>
      <c r="AT565" s="666"/>
      <c r="AU565" s="666"/>
    </row>
    <row r="566" ht="15.75" customHeight="1">
      <c r="A566" s="713">
        <v>44460.0</v>
      </c>
      <c r="B566" s="672" t="s">
        <v>6772</v>
      </c>
      <c r="C566" s="715" t="s">
        <v>2346</v>
      </c>
      <c r="D566" s="641" t="s">
        <v>5038</v>
      </c>
      <c r="E566" s="775">
        <v>100000.0</v>
      </c>
      <c r="F566" s="641" t="s">
        <v>547</v>
      </c>
      <c r="G566" s="667" t="s">
        <v>120</v>
      </c>
      <c r="H566" s="667" t="s">
        <v>91</v>
      </c>
      <c r="I566" s="667" t="s">
        <v>521</v>
      </c>
      <c r="J566" s="667">
        <v>44266.0</v>
      </c>
      <c r="K566" s="670" t="s">
        <v>2319</v>
      </c>
      <c r="L566" s="666"/>
      <c r="M566" s="666"/>
      <c r="N566" s="666"/>
      <c r="O566" s="666"/>
      <c r="P566" s="666"/>
      <c r="Q566" s="666"/>
      <c r="R566" s="666"/>
      <c r="S566" s="666"/>
      <c r="T566" s="666"/>
      <c r="U566" s="666"/>
      <c r="V566" s="666"/>
      <c r="W566" s="666"/>
      <c r="X566" s="666"/>
      <c r="Y566" s="666"/>
      <c r="Z566" s="666"/>
      <c r="AA566" s="666"/>
      <c r="AB566" s="666"/>
      <c r="AC566" s="666"/>
      <c r="AD566" s="666"/>
      <c r="AE566" s="666"/>
      <c r="AF566" s="666"/>
      <c r="AG566" s="666"/>
      <c r="AH566" s="666"/>
      <c r="AI566" s="666"/>
      <c r="AJ566" s="666"/>
      <c r="AK566" s="666"/>
      <c r="AL566" s="666"/>
      <c r="AM566" s="666"/>
      <c r="AN566" s="666"/>
      <c r="AO566" s="666"/>
      <c r="AP566" s="666"/>
      <c r="AQ566" s="666"/>
      <c r="AR566" s="666"/>
      <c r="AS566" s="666"/>
      <c r="AT566" s="666"/>
      <c r="AU566" s="666"/>
    </row>
    <row r="567" ht="15.75" customHeight="1">
      <c r="A567" s="713">
        <v>44460.0</v>
      </c>
      <c r="B567" s="668" t="s">
        <v>6851</v>
      </c>
      <c r="C567" s="715" t="s">
        <v>98</v>
      </c>
      <c r="D567" s="641" t="s">
        <v>427</v>
      </c>
      <c r="E567" s="669">
        <v>157308.25</v>
      </c>
      <c r="F567" s="641" t="s">
        <v>6852</v>
      </c>
      <c r="G567" s="641" t="s">
        <v>669</v>
      </c>
      <c r="H567" s="641" t="s">
        <v>199</v>
      </c>
      <c r="I567" s="641" t="s">
        <v>669</v>
      </c>
      <c r="J567" s="667">
        <v>44250.0</v>
      </c>
      <c r="K567" s="674" t="s">
        <v>2341</v>
      </c>
      <c r="L567" s="666"/>
      <c r="M567" s="666"/>
      <c r="N567" s="666"/>
      <c r="O567" s="666"/>
      <c r="P567" s="666"/>
      <c r="Q567" s="666"/>
      <c r="R567" s="666"/>
      <c r="S567" s="666"/>
      <c r="T567" s="666"/>
      <c r="U567" s="666"/>
      <c r="V567" s="666"/>
      <c r="W567" s="666"/>
      <c r="X567" s="666"/>
      <c r="Y567" s="666"/>
      <c r="Z567" s="666"/>
      <c r="AA567" s="666"/>
      <c r="AB567" s="666"/>
      <c r="AC567" s="666"/>
      <c r="AD567" s="666"/>
      <c r="AE567" s="666"/>
      <c r="AF567" s="666"/>
      <c r="AG567" s="666"/>
      <c r="AH567" s="666"/>
      <c r="AI567" s="666"/>
      <c r="AJ567" s="666"/>
      <c r="AK567" s="666"/>
      <c r="AL567" s="666"/>
      <c r="AM567" s="666"/>
      <c r="AN567" s="666"/>
      <c r="AO567" s="666"/>
      <c r="AP567" s="666"/>
      <c r="AQ567" s="666"/>
      <c r="AR567" s="666"/>
      <c r="AS567" s="666"/>
      <c r="AT567" s="666"/>
      <c r="AU567" s="666"/>
    </row>
    <row r="568" ht="15.75" customHeight="1">
      <c r="A568" s="773">
        <v>44460.0</v>
      </c>
      <c r="B568" s="668" t="s">
        <v>6854</v>
      </c>
      <c r="C568" s="641" t="s">
        <v>98</v>
      </c>
      <c r="D568" s="641" t="s">
        <v>694</v>
      </c>
      <c r="E568" s="669">
        <v>0.0</v>
      </c>
      <c r="F568" s="641" t="s">
        <v>6857</v>
      </c>
      <c r="G568" s="641" t="s">
        <v>120</v>
      </c>
      <c r="H568" s="641" t="s">
        <v>199</v>
      </c>
      <c r="I568" s="641" t="s">
        <v>2339</v>
      </c>
      <c r="J568" s="667">
        <v>44088.0</v>
      </c>
      <c r="K568" s="674" t="s">
        <v>2372</v>
      </c>
      <c r="L568" s="666"/>
      <c r="M568" s="666"/>
      <c r="N568" s="666"/>
      <c r="O568" s="666"/>
      <c r="P568" s="666"/>
      <c r="Q568" s="666"/>
      <c r="R568" s="666"/>
      <c r="S568" s="666"/>
      <c r="T568" s="666"/>
      <c r="U568" s="666"/>
      <c r="V568" s="666"/>
      <c r="W568" s="666"/>
      <c r="X568" s="666"/>
      <c r="Y568" s="666"/>
      <c r="Z568" s="666"/>
      <c r="AA568" s="666"/>
      <c r="AB568" s="666"/>
      <c r="AC568" s="666"/>
      <c r="AD568" s="666"/>
      <c r="AE568" s="666"/>
      <c r="AF568" s="666"/>
      <c r="AG568" s="666"/>
      <c r="AH568" s="666"/>
      <c r="AI568" s="666"/>
      <c r="AJ568" s="666"/>
      <c r="AK568" s="666"/>
      <c r="AL568" s="666"/>
      <c r="AM568" s="666"/>
      <c r="AN568" s="666"/>
      <c r="AO568" s="666"/>
      <c r="AP568" s="666"/>
      <c r="AQ568" s="666"/>
      <c r="AR568" s="666"/>
      <c r="AS568" s="666"/>
      <c r="AT568" s="666"/>
      <c r="AU568" s="666"/>
    </row>
    <row r="569" ht="15.75" customHeight="1">
      <c r="A569" s="713">
        <v>44461.0</v>
      </c>
      <c r="B569" s="672" t="s">
        <v>410</v>
      </c>
      <c r="C569" s="715" t="s">
        <v>202</v>
      </c>
      <c r="D569" s="641" t="s">
        <v>5038</v>
      </c>
      <c r="E569" s="775">
        <v>50000.0</v>
      </c>
      <c r="F569" s="641" t="s">
        <v>409</v>
      </c>
      <c r="G569" s="667" t="s">
        <v>120</v>
      </c>
      <c r="H569" s="667" t="s">
        <v>199</v>
      </c>
      <c r="I569" s="667" t="s">
        <v>439</v>
      </c>
      <c r="J569" s="667">
        <v>43934.0</v>
      </c>
      <c r="K569" s="670" t="s">
        <v>2319</v>
      </c>
      <c r="L569" s="666"/>
      <c r="M569" s="666"/>
      <c r="N569" s="666"/>
      <c r="O569" s="666"/>
      <c r="P569" s="666"/>
      <c r="Q569" s="666"/>
      <c r="R569" s="666"/>
      <c r="S569" s="666"/>
      <c r="T569" s="666"/>
      <c r="U569" s="666"/>
      <c r="V569" s="666"/>
      <c r="W569" s="666"/>
      <c r="X569" s="666"/>
      <c r="Y569" s="666"/>
      <c r="Z569" s="666"/>
      <c r="AA569" s="666"/>
      <c r="AB569" s="666"/>
      <c r="AC569" s="666"/>
      <c r="AD569" s="666"/>
      <c r="AE569" s="666"/>
      <c r="AF569" s="666"/>
      <c r="AG569" s="666"/>
      <c r="AH569" s="666"/>
      <c r="AI569" s="666"/>
      <c r="AJ569" s="666"/>
      <c r="AK569" s="666"/>
      <c r="AL569" s="666"/>
      <c r="AM569" s="666"/>
      <c r="AN569" s="666"/>
      <c r="AO569" s="666"/>
      <c r="AP569" s="666"/>
      <c r="AQ569" s="666"/>
      <c r="AR569" s="666"/>
      <c r="AS569" s="666"/>
      <c r="AT569" s="666"/>
      <c r="AU569" s="666"/>
    </row>
    <row r="570" ht="15.75" customHeight="1">
      <c r="A570" s="713">
        <v>44461.0</v>
      </c>
      <c r="B570" s="672" t="s">
        <v>6863</v>
      </c>
      <c r="C570" s="715" t="s">
        <v>2346</v>
      </c>
      <c r="D570" s="641" t="s">
        <v>5038</v>
      </c>
      <c r="E570" s="775">
        <v>30000.0</v>
      </c>
      <c r="F570" s="641" t="s">
        <v>5614</v>
      </c>
      <c r="G570" s="667" t="s">
        <v>120</v>
      </c>
      <c r="H570" s="667" t="s">
        <v>91</v>
      </c>
      <c r="I570" s="667" t="s">
        <v>521</v>
      </c>
      <c r="J570" s="667">
        <v>44319.0</v>
      </c>
      <c r="K570" s="670" t="s">
        <v>2341</v>
      </c>
      <c r="L570" s="666"/>
      <c r="M570" s="666"/>
      <c r="N570" s="666"/>
      <c r="O570" s="666"/>
      <c r="P570" s="666"/>
      <c r="Q570" s="666"/>
      <c r="R570" s="666"/>
      <c r="S570" s="666"/>
      <c r="T570" s="666"/>
      <c r="U570" s="666"/>
      <c r="V570" s="666"/>
      <c r="W570" s="666"/>
      <c r="X570" s="666"/>
      <c r="Y570" s="666"/>
      <c r="Z570" s="666"/>
      <c r="AA570" s="666"/>
      <c r="AB570" s="666"/>
      <c r="AC570" s="666"/>
      <c r="AD570" s="666"/>
      <c r="AE570" s="666"/>
      <c r="AF570" s="666"/>
      <c r="AG570" s="666"/>
      <c r="AH570" s="666"/>
      <c r="AI570" s="666"/>
      <c r="AJ570" s="666"/>
      <c r="AK570" s="666"/>
      <c r="AL570" s="666"/>
      <c r="AM570" s="666"/>
      <c r="AN570" s="666"/>
      <c r="AO570" s="666"/>
      <c r="AP570" s="666"/>
      <c r="AQ570" s="666"/>
      <c r="AR570" s="666"/>
      <c r="AS570" s="666"/>
      <c r="AT570" s="666"/>
      <c r="AU570" s="666"/>
    </row>
    <row r="571" ht="15.75" customHeight="1">
      <c r="A571" s="713">
        <v>44462.0</v>
      </c>
      <c r="B571" s="668" t="s">
        <v>5960</v>
      </c>
      <c r="C571" s="715" t="s">
        <v>98</v>
      </c>
      <c r="D571" s="641" t="s">
        <v>5038</v>
      </c>
      <c r="E571" s="775">
        <v>20000.0</v>
      </c>
      <c r="F571" s="641" t="s">
        <v>5963</v>
      </c>
      <c r="G571" s="641" t="s">
        <v>255</v>
      </c>
      <c r="H571" s="641" t="s">
        <v>199</v>
      </c>
      <c r="I571" s="641" t="s">
        <v>4761</v>
      </c>
      <c r="J571" s="667">
        <v>44180.0</v>
      </c>
      <c r="K571" s="674" t="s">
        <v>2341</v>
      </c>
      <c r="L571" s="666"/>
      <c r="M571" s="666"/>
      <c r="N571" s="666"/>
      <c r="O571" s="666"/>
      <c r="P571" s="666"/>
      <c r="Q571" s="666"/>
      <c r="R571" s="666"/>
      <c r="S571" s="666"/>
      <c r="T571" s="666"/>
      <c r="U571" s="666"/>
      <c r="V571" s="666"/>
      <c r="W571" s="666"/>
      <c r="X571" s="666"/>
      <c r="Y571" s="666"/>
      <c r="Z571" s="666"/>
      <c r="AA571" s="666"/>
      <c r="AB571" s="666"/>
      <c r="AC571" s="666"/>
      <c r="AD571" s="666"/>
      <c r="AE571" s="666"/>
      <c r="AF571" s="666"/>
      <c r="AG571" s="666"/>
      <c r="AH571" s="666"/>
      <c r="AI571" s="666"/>
      <c r="AJ571" s="666"/>
      <c r="AK571" s="666"/>
      <c r="AL571" s="666"/>
      <c r="AM571" s="666"/>
      <c r="AN571" s="666"/>
      <c r="AO571" s="666"/>
      <c r="AP571" s="666"/>
      <c r="AQ571" s="666"/>
      <c r="AR571" s="666"/>
      <c r="AS571" s="666"/>
      <c r="AT571" s="666"/>
      <c r="AU571" s="666"/>
    </row>
    <row r="572" ht="15.75" customHeight="1">
      <c r="A572" s="713">
        <v>44462.0</v>
      </c>
      <c r="B572" s="668" t="s">
        <v>6875</v>
      </c>
      <c r="C572" s="715" t="s">
        <v>2346</v>
      </c>
      <c r="D572" s="641" t="s">
        <v>427</v>
      </c>
      <c r="E572" s="775">
        <v>1421504.0</v>
      </c>
      <c r="F572" s="641" t="s">
        <v>3662</v>
      </c>
      <c r="G572" s="667" t="s">
        <v>120</v>
      </c>
      <c r="H572" s="667" t="s">
        <v>91</v>
      </c>
      <c r="I572" s="667" t="s">
        <v>521</v>
      </c>
      <c r="J572" s="667">
        <v>44280.0</v>
      </c>
      <c r="K572" s="670" t="s">
        <v>2372</v>
      </c>
      <c r="L572" s="666"/>
      <c r="M572" s="666"/>
      <c r="N572" s="666"/>
      <c r="O572" s="666"/>
      <c r="P572" s="666"/>
      <c r="Q572" s="666"/>
      <c r="R572" s="666"/>
      <c r="S572" s="666"/>
      <c r="T572" s="666"/>
      <c r="U572" s="666"/>
      <c r="V572" s="666"/>
      <c r="W572" s="666"/>
      <c r="X572" s="666"/>
      <c r="Y572" s="666"/>
      <c r="Z572" s="666"/>
      <c r="AA572" s="666"/>
      <c r="AB572" s="666"/>
      <c r="AC572" s="666"/>
      <c r="AD572" s="666"/>
      <c r="AE572" s="666"/>
      <c r="AF572" s="666"/>
      <c r="AG572" s="666"/>
      <c r="AH572" s="666"/>
      <c r="AI572" s="666"/>
      <c r="AJ572" s="666"/>
      <c r="AK572" s="666"/>
      <c r="AL572" s="666"/>
      <c r="AM572" s="666"/>
      <c r="AN572" s="666"/>
      <c r="AO572" s="666"/>
      <c r="AP572" s="666"/>
      <c r="AQ572" s="666"/>
      <c r="AR572" s="666"/>
      <c r="AS572" s="666"/>
      <c r="AT572" s="666"/>
      <c r="AU572" s="666"/>
    </row>
    <row r="573" ht="15.75" customHeight="1">
      <c r="A573" s="713">
        <v>44463.0</v>
      </c>
      <c r="B573" s="776" t="s">
        <v>6878</v>
      </c>
      <c r="C573" s="715" t="s">
        <v>2346</v>
      </c>
      <c r="D573" s="641" t="s">
        <v>5038</v>
      </c>
      <c r="E573" s="775">
        <v>8000.0</v>
      </c>
      <c r="F573" s="641" t="s">
        <v>5066</v>
      </c>
      <c r="G573" s="667" t="s">
        <v>669</v>
      </c>
      <c r="H573" s="667" t="s">
        <v>199</v>
      </c>
      <c r="I573" s="667" t="s">
        <v>1228</v>
      </c>
      <c r="J573" s="667">
        <v>43704.0</v>
      </c>
      <c r="K573" s="670" t="s">
        <v>2365</v>
      </c>
      <c r="L573" s="666"/>
      <c r="M573" s="666"/>
      <c r="N573" s="666"/>
      <c r="O573" s="666"/>
      <c r="P573" s="666"/>
      <c r="Q573" s="666"/>
      <c r="R573" s="666"/>
      <c r="S573" s="666"/>
      <c r="T573" s="666"/>
      <c r="U573" s="666"/>
      <c r="V573" s="666"/>
      <c r="W573" s="666"/>
      <c r="X573" s="666"/>
      <c r="Y573" s="666"/>
      <c r="Z573" s="666"/>
      <c r="AA573" s="666"/>
      <c r="AB573" s="666"/>
      <c r="AC573" s="666"/>
      <c r="AD573" s="666"/>
      <c r="AE573" s="666"/>
      <c r="AF573" s="666"/>
      <c r="AG573" s="666"/>
      <c r="AH573" s="666"/>
      <c r="AI573" s="666"/>
      <c r="AJ573" s="666"/>
      <c r="AK573" s="666"/>
      <c r="AL573" s="666"/>
      <c r="AM573" s="666"/>
      <c r="AN573" s="666"/>
      <c r="AO573" s="666"/>
      <c r="AP573" s="666"/>
      <c r="AQ573" s="666"/>
      <c r="AR573" s="666"/>
      <c r="AS573" s="666"/>
      <c r="AT573" s="666"/>
      <c r="AU573" s="666"/>
    </row>
    <row r="574" ht="15.75" customHeight="1">
      <c r="A574" s="713">
        <v>44463.0</v>
      </c>
      <c r="B574" s="776" t="s">
        <v>6211</v>
      </c>
      <c r="C574" s="715" t="s">
        <v>2346</v>
      </c>
      <c r="D574" s="641" t="s">
        <v>5038</v>
      </c>
      <c r="E574" s="775">
        <v>20000.0</v>
      </c>
      <c r="F574" s="641" t="s">
        <v>6214</v>
      </c>
      <c r="G574" s="667" t="s">
        <v>120</v>
      </c>
      <c r="H574" s="667" t="s">
        <v>91</v>
      </c>
      <c r="I574" s="667" t="s">
        <v>193</v>
      </c>
      <c r="J574" s="667">
        <v>44322.0</v>
      </c>
      <c r="K574" s="670" t="s">
        <v>2341</v>
      </c>
      <c r="L574" s="666"/>
      <c r="M574" s="666"/>
      <c r="N574" s="666"/>
      <c r="O574" s="666"/>
      <c r="P574" s="666"/>
      <c r="Q574" s="666"/>
      <c r="R574" s="666"/>
      <c r="S574" s="666"/>
      <c r="T574" s="666"/>
      <c r="U574" s="666"/>
      <c r="V574" s="666"/>
      <c r="W574" s="666"/>
      <c r="X574" s="666"/>
      <c r="Y574" s="666"/>
      <c r="Z574" s="666"/>
      <c r="AA574" s="666"/>
      <c r="AB574" s="666"/>
      <c r="AC574" s="666"/>
      <c r="AD574" s="666"/>
      <c r="AE574" s="666"/>
      <c r="AF574" s="666"/>
      <c r="AG574" s="666"/>
      <c r="AH574" s="666"/>
      <c r="AI574" s="666"/>
      <c r="AJ574" s="666"/>
      <c r="AK574" s="666"/>
      <c r="AL574" s="666"/>
      <c r="AM574" s="666"/>
      <c r="AN574" s="666"/>
      <c r="AO574" s="666"/>
      <c r="AP574" s="666"/>
      <c r="AQ574" s="666"/>
      <c r="AR574" s="666"/>
      <c r="AS574" s="666"/>
      <c r="AT574" s="666"/>
      <c r="AU574" s="666"/>
    </row>
    <row r="575" ht="15.75" customHeight="1">
      <c r="A575" s="713">
        <v>44463.0</v>
      </c>
      <c r="B575" s="672" t="s">
        <v>6772</v>
      </c>
      <c r="C575" s="715" t="s">
        <v>2346</v>
      </c>
      <c r="D575" s="641" t="s">
        <v>5038</v>
      </c>
      <c r="E575" s="775">
        <v>300000.0</v>
      </c>
      <c r="F575" s="641" t="s">
        <v>547</v>
      </c>
      <c r="G575" s="667" t="s">
        <v>120</v>
      </c>
      <c r="H575" s="667" t="s">
        <v>91</v>
      </c>
      <c r="I575" s="667" t="s">
        <v>521</v>
      </c>
      <c r="J575" s="667">
        <v>44266.0</v>
      </c>
      <c r="K575" s="670" t="s">
        <v>2319</v>
      </c>
      <c r="L575" s="666"/>
      <c r="M575" s="666"/>
      <c r="N575" s="666"/>
      <c r="O575" s="666"/>
      <c r="P575" s="666"/>
      <c r="Q575" s="666"/>
      <c r="R575" s="666"/>
      <c r="S575" s="666"/>
      <c r="T575" s="666"/>
      <c r="U575" s="666"/>
      <c r="V575" s="666"/>
      <c r="W575" s="666"/>
      <c r="X575" s="666"/>
      <c r="Y575" s="666"/>
      <c r="Z575" s="666"/>
      <c r="AA575" s="666"/>
      <c r="AB575" s="666"/>
      <c r="AC575" s="666"/>
      <c r="AD575" s="666"/>
      <c r="AE575" s="666"/>
      <c r="AF575" s="666"/>
      <c r="AG575" s="666"/>
      <c r="AH575" s="666"/>
      <c r="AI575" s="666"/>
      <c r="AJ575" s="666"/>
      <c r="AK575" s="666"/>
      <c r="AL575" s="666"/>
      <c r="AM575" s="666"/>
      <c r="AN575" s="666"/>
      <c r="AO575" s="666"/>
      <c r="AP575" s="666"/>
      <c r="AQ575" s="666"/>
      <c r="AR575" s="666"/>
      <c r="AS575" s="666"/>
      <c r="AT575" s="666"/>
      <c r="AU575" s="666"/>
    </row>
    <row r="576" ht="15.75" customHeight="1">
      <c r="A576" s="713">
        <v>44466.0</v>
      </c>
      <c r="B576" s="776" t="s">
        <v>6222</v>
      </c>
      <c r="C576" s="715" t="s">
        <v>2346</v>
      </c>
      <c r="D576" s="641" t="s">
        <v>5038</v>
      </c>
      <c r="E576" s="775">
        <v>10000.0</v>
      </c>
      <c r="F576" s="641" t="s">
        <v>1489</v>
      </c>
      <c r="G576" s="667" t="s">
        <v>120</v>
      </c>
      <c r="H576" s="667" t="s">
        <v>91</v>
      </c>
      <c r="I576" s="667" t="s">
        <v>193</v>
      </c>
      <c r="J576" s="667">
        <v>44319.0</v>
      </c>
      <c r="K576" s="670" t="s">
        <v>2341</v>
      </c>
      <c r="L576" s="666"/>
      <c r="M576" s="666"/>
      <c r="N576" s="666"/>
      <c r="O576" s="666"/>
      <c r="P576" s="666"/>
      <c r="Q576" s="666"/>
      <c r="R576" s="666"/>
      <c r="S576" s="666"/>
      <c r="T576" s="666"/>
      <c r="U576" s="666"/>
      <c r="V576" s="666"/>
      <c r="W576" s="666"/>
      <c r="X576" s="666"/>
      <c r="Y576" s="666"/>
      <c r="Z576" s="666"/>
      <c r="AA576" s="666"/>
      <c r="AB576" s="666"/>
      <c r="AC576" s="666"/>
      <c r="AD576" s="666"/>
      <c r="AE576" s="666"/>
      <c r="AF576" s="666"/>
      <c r="AG576" s="666"/>
      <c r="AH576" s="666"/>
      <c r="AI576" s="666"/>
      <c r="AJ576" s="666"/>
      <c r="AK576" s="666"/>
      <c r="AL576" s="666"/>
      <c r="AM576" s="666"/>
      <c r="AN576" s="666"/>
      <c r="AO576" s="666"/>
      <c r="AP576" s="666"/>
      <c r="AQ576" s="666"/>
      <c r="AR576" s="666"/>
      <c r="AS576" s="666"/>
      <c r="AT576" s="666"/>
      <c r="AU576" s="666"/>
    </row>
    <row r="577" ht="15.75" customHeight="1">
      <c r="A577" s="713">
        <v>44466.0</v>
      </c>
      <c r="B577" s="668" t="s">
        <v>5075</v>
      </c>
      <c r="C577" s="715" t="s">
        <v>2346</v>
      </c>
      <c r="D577" s="641" t="s">
        <v>5038</v>
      </c>
      <c r="E577" s="775">
        <v>12000.0</v>
      </c>
      <c r="F577" s="641" t="s">
        <v>956</v>
      </c>
      <c r="G577" s="667" t="s">
        <v>669</v>
      </c>
      <c r="H577" s="667" t="s">
        <v>199</v>
      </c>
      <c r="I577" s="667" t="s">
        <v>1228</v>
      </c>
      <c r="J577" s="667">
        <v>43605.0</v>
      </c>
      <c r="K577" s="670" t="s">
        <v>2365</v>
      </c>
      <c r="L577" s="666"/>
      <c r="M577" s="666"/>
      <c r="N577" s="666"/>
      <c r="O577" s="666"/>
      <c r="P577" s="666"/>
      <c r="Q577" s="666"/>
      <c r="R577" s="666"/>
      <c r="S577" s="666"/>
      <c r="T577" s="666"/>
      <c r="U577" s="666"/>
      <c r="V577" s="666"/>
      <c r="W577" s="666"/>
      <c r="X577" s="666"/>
      <c r="Y577" s="666"/>
      <c r="Z577" s="666"/>
      <c r="AA577" s="666"/>
      <c r="AB577" s="666"/>
      <c r="AC577" s="666"/>
      <c r="AD577" s="666"/>
      <c r="AE577" s="666"/>
      <c r="AF577" s="666"/>
      <c r="AG577" s="666"/>
      <c r="AH577" s="666"/>
      <c r="AI577" s="666"/>
      <c r="AJ577" s="666"/>
      <c r="AK577" s="666"/>
      <c r="AL577" s="666"/>
      <c r="AM577" s="666"/>
      <c r="AN577" s="666"/>
      <c r="AO577" s="666"/>
      <c r="AP577" s="666"/>
      <c r="AQ577" s="666"/>
      <c r="AR577" s="666"/>
      <c r="AS577" s="666"/>
      <c r="AT577" s="666"/>
      <c r="AU577" s="666"/>
    </row>
    <row r="578" ht="15.75" customHeight="1">
      <c r="A578" s="713">
        <v>44466.0</v>
      </c>
      <c r="B578" s="776" t="s">
        <v>6889</v>
      </c>
      <c r="C578" s="715" t="s">
        <v>2346</v>
      </c>
      <c r="D578" s="641" t="s">
        <v>5038</v>
      </c>
      <c r="E578" s="775">
        <v>100000.0</v>
      </c>
      <c r="F578" s="641" t="s">
        <v>698</v>
      </c>
      <c r="G578" s="667" t="s">
        <v>120</v>
      </c>
      <c r="H578" s="667" t="s">
        <v>91</v>
      </c>
      <c r="I578" s="667" t="s">
        <v>699</v>
      </c>
      <c r="J578" s="667">
        <v>44299.0</v>
      </c>
      <c r="K578" s="670" t="s">
        <v>2341</v>
      </c>
      <c r="L578" s="666"/>
      <c r="M578" s="666"/>
      <c r="N578" s="666"/>
      <c r="O578" s="666"/>
      <c r="P578" s="666"/>
      <c r="Q578" s="666"/>
      <c r="R578" s="666"/>
      <c r="S578" s="666"/>
      <c r="T578" s="666"/>
      <c r="U578" s="666"/>
      <c r="V578" s="666"/>
      <c r="W578" s="666"/>
      <c r="X578" s="666"/>
      <c r="Y578" s="666"/>
      <c r="Z578" s="666"/>
      <c r="AA578" s="666"/>
      <c r="AB578" s="666"/>
      <c r="AC578" s="666"/>
      <c r="AD578" s="666"/>
      <c r="AE578" s="666"/>
      <c r="AF578" s="666"/>
      <c r="AG578" s="666"/>
      <c r="AH578" s="666"/>
      <c r="AI578" s="666"/>
      <c r="AJ578" s="666"/>
      <c r="AK578" s="666"/>
      <c r="AL578" s="666"/>
      <c r="AM578" s="666"/>
      <c r="AN578" s="666"/>
      <c r="AO578" s="666"/>
      <c r="AP578" s="666"/>
      <c r="AQ578" s="666"/>
      <c r="AR578" s="666"/>
      <c r="AS578" s="666"/>
      <c r="AT578" s="666"/>
      <c r="AU578" s="666"/>
    </row>
    <row r="579" ht="15.75" customHeight="1">
      <c r="A579" s="773">
        <v>44467.0</v>
      </c>
      <c r="B579" s="777" t="s">
        <v>6896</v>
      </c>
      <c r="C579" s="641" t="s">
        <v>98</v>
      </c>
      <c r="D579" s="641" t="s">
        <v>694</v>
      </c>
      <c r="E579" s="669">
        <v>0.0</v>
      </c>
      <c r="F579" s="641" t="s">
        <v>5855</v>
      </c>
      <c r="G579" s="641" t="s">
        <v>255</v>
      </c>
      <c r="H579" s="641" t="s">
        <v>199</v>
      </c>
      <c r="I579" s="641" t="s">
        <v>5878</v>
      </c>
      <c r="J579" s="667">
        <v>44917.0</v>
      </c>
      <c r="K579" s="674" t="s">
        <v>2319</v>
      </c>
      <c r="L579" s="666"/>
      <c r="M579" s="666"/>
      <c r="N579" s="666"/>
      <c r="O579" s="666"/>
      <c r="P579" s="666"/>
      <c r="Q579" s="666"/>
      <c r="R579" s="666"/>
      <c r="S579" s="666"/>
      <c r="T579" s="666"/>
      <c r="U579" s="666"/>
      <c r="V579" s="666"/>
      <c r="W579" s="666"/>
      <c r="X579" s="666"/>
      <c r="Y579" s="666"/>
      <c r="Z579" s="666"/>
      <c r="AA579" s="666"/>
      <c r="AB579" s="666"/>
      <c r="AC579" s="666"/>
      <c r="AD579" s="666"/>
      <c r="AE579" s="666"/>
      <c r="AF579" s="666"/>
      <c r="AG579" s="666"/>
      <c r="AH579" s="666"/>
      <c r="AI579" s="666"/>
      <c r="AJ579" s="666"/>
      <c r="AK579" s="666"/>
      <c r="AL579" s="666"/>
      <c r="AM579" s="666"/>
      <c r="AN579" s="666"/>
      <c r="AO579" s="666"/>
      <c r="AP579" s="666"/>
      <c r="AQ579" s="666"/>
      <c r="AR579" s="666"/>
      <c r="AS579" s="666"/>
      <c r="AT579" s="666"/>
      <c r="AU579" s="666"/>
    </row>
    <row r="580" ht="15.75" customHeight="1">
      <c r="A580" s="713">
        <v>44468.0</v>
      </c>
      <c r="B580" s="776" t="s">
        <v>6897</v>
      </c>
      <c r="C580" s="715" t="s">
        <v>2346</v>
      </c>
      <c r="D580" s="641" t="s">
        <v>5038</v>
      </c>
      <c r="E580" s="775" t="s">
        <v>6899</v>
      </c>
      <c r="F580" s="641" t="s">
        <v>6658</v>
      </c>
      <c r="G580" s="667" t="s">
        <v>120</v>
      </c>
      <c r="H580" s="667" t="s">
        <v>91</v>
      </c>
      <c r="I580" s="667" t="s">
        <v>193</v>
      </c>
      <c r="J580" s="667">
        <v>44391.0</v>
      </c>
      <c r="K580" s="670" t="s">
        <v>2341</v>
      </c>
      <c r="L580" s="666"/>
      <c r="M580" s="666"/>
      <c r="N580" s="666"/>
      <c r="O580" s="666"/>
      <c r="P580" s="666"/>
      <c r="Q580" s="666"/>
      <c r="R580" s="666"/>
      <c r="S580" s="666"/>
      <c r="T580" s="666"/>
      <c r="U580" s="666"/>
      <c r="V580" s="666"/>
      <c r="W580" s="666"/>
      <c r="X580" s="666"/>
      <c r="Y580" s="666"/>
      <c r="Z580" s="666"/>
      <c r="AA580" s="666"/>
      <c r="AB580" s="666"/>
      <c r="AC580" s="666"/>
      <c r="AD580" s="666"/>
      <c r="AE580" s="666"/>
      <c r="AF580" s="666"/>
      <c r="AG580" s="666"/>
      <c r="AH580" s="666"/>
      <c r="AI580" s="666"/>
      <c r="AJ580" s="666"/>
      <c r="AK580" s="666"/>
      <c r="AL580" s="666"/>
      <c r="AM580" s="666"/>
      <c r="AN580" s="666"/>
      <c r="AO580" s="666"/>
      <c r="AP580" s="666"/>
      <c r="AQ580" s="666"/>
      <c r="AR580" s="666"/>
      <c r="AS580" s="666"/>
      <c r="AT580" s="666"/>
      <c r="AU580" s="666"/>
    </row>
    <row r="581" ht="15.75" customHeight="1">
      <c r="A581" s="713">
        <v>44468.0</v>
      </c>
      <c r="B581" s="776" t="s">
        <v>6293</v>
      </c>
      <c r="C581" s="715" t="s">
        <v>2346</v>
      </c>
      <c r="D581" s="641" t="s">
        <v>5038</v>
      </c>
      <c r="E581" s="775">
        <v>30000.0</v>
      </c>
      <c r="F581" s="641" t="s">
        <v>922</v>
      </c>
      <c r="G581" s="667" t="s">
        <v>120</v>
      </c>
      <c r="H581" s="667" t="s">
        <v>91</v>
      </c>
      <c r="I581" s="667" t="s">
        <v>521</v>
      </c>
      <c r="J581" s="667">
        <v>44319.0</v>
      </c>
      <c r="K581" s="670" t="s">
        <v>2341</v>
      </c>
      <c r="L581" s="666"/>
      <c r="M581" s="666"/>
      <c r="N581" s="666"/>
      <c r="O581" s="666"/>
      <c r="P581" s="666"/>
      <c r="Q581" s="666"/>
      <c r="R581" s="666"/>
      <c r="S581" s="666"/>
      <c r="T581" s="666"/>
      <c r="U581" s="666"/>
      <c r="V581" s="666"/>
      <c r="W581" s="666"/>
      <c r="X581" s="666"/>
      <c r="Y581" s="666"/>
      <c r="Z581" s="666"/>
      <c r="AA581" s="666"/>
      <c r="AB581" s="666"/>
      <c r="AC581" s="666"/>
      <c r="AD581" s="666"/>
      <c r="AE581" s="666"/>
      <c r="AF581" s="666"/>
      <c r="AG581" s="666"/>
      <c r="AH581" s="666"/>
      <c r="AI581" s="666"/>
      <c r="AJ581" s="666"/>
      <c r="AK581" s="666"/>
      <c r="AL581" s="666"/>
      <c r="AM581" s="666"/>
      <c r="AN581" s="666"/>
      <c r="AO581" s="666"/>
      <c r="AP581" s="666"/>
      <c r="AQ581" s="666"/>
      <c r="AR581" s="666"/>
      <c r="AS581" s="666"/>
      <c r="AT581" s="666"/>
      <c r="AU581" s="666"/>
    </row>
    <row r="582" ht="15.75" customHeight="1">
      <c r="A582" s="713">
        <v>44468.0</v>
      </c>
      <c r="B582" s="776" t="s">
        <v>6103</v>
      </c>
      <c r="C582" s="715" t="s">
        <v>2346</v>
      </c>
      <c r="D582" s="641" t="s">
        <v>5038</v>
      </c>
      <c r="E582" s="775">
        <v>100000.0</v>
      </c>
      <c r="F582" s="641" t="s">
        <v>6105</v>
      </c>
      <c r="G582" s="667" t="s">
        <v>120</v>
      </c>
      <c r="H582" s="667" t="s">
        <v>91</v>
      </c>
      <c r="I582" s="667" t="s">
        <v>193</v>
      </c>
      <c r="J582" s="667">
        <v>44279.0</v>
      </c>
      <c r="K582" s="670" t="s">
        <v>2341</v>
      </c>
      <c r="L582" s="666"/>
      <c r="M582" s="666"/>
      <c r="N582" s="666"/>
      <c r="O582" s="666"/>
      <c r="P582" s="666"/>
      <c r="Q582" s="666"/>
      <c r="R582" s="666"/>
      <c r="S582" s="666"/>
      <c r="T582" s="666"/>
      <c r="U582" s="666"/>
      <c r="V582" s="666"/>
      <c r="W582" s="666"/>
      <c r="X582" s="666"/>
      <c r="Y582" s="666"/>
      <c r="Z582" s="666"/>
      <c r="AA582" s="666"/>
      <c r="AB582" s="666"/>
      <c r="AC582" s="666"/>
      <c r="AD582" s="666"/>
      <c r="AE582" s="666"/>
      <c r="AF582" s="666"/>
      <c r="AG582" s="666"/>
      <c r="AH582" s="666"/>
      <c r="AI582" s="666"/>
      <c r="AJ582" s="666"/>
      <c r="AK582" s="666"/>
      <c r="AL582" s="666"/>
      <c r="AM582" s="666"/>
      <c r="AN582" s="666"/>
      <c r="AO582" s="666"/>
      <c r="AP582" s="666"/>
      <c r="AQ582" s="666"/>
      <c r="AR582" s="666"/>
      <c r="AS582" s="666"/>
      <c r="AT582" s="666"/>
      <c r="AU582" s="666"/>
    </row>
    <row r="583" ht="15.75" customHeight="1">
      <c r="A583" s="713">
        <v>44468.0</v>
      </c>
      <c r="B583" s="776" t="s">
        <v>6909</v>
      </c>
      <c r="C583" s="715" t="s">
        <v>2346</v>
      </c>
      <c r="D583" s="641" t="s">
        <v>5038</v>
      </c>
      <c r="E583" s="775">
        <v>120000.0</v>
      </c>
      <c r="F583" s="641" t="s">
        <v>6322</v>
      </c>
      <c r="G583" s="667" t="s">
        <v>120</v>
      </c>
      <c r="H583" s="667" t="s">
        <v>91</v>
      </c>
      <c r="I583" s="667" t="s">
        <v>699</v>
      </c>
      <c r="J583" s="667">
        <v>44279.0</v>
      </c>
      <c r="K583" s="670" t="s">
        <v>2319</v>
      </c>
      <c r="L583" s="666"/>
      <c r="M583" s="666"/>
      <c r="N583" s="666"/>
      <c r="O583" s="666"/>
      <c r="P583" s="666"/>
      <c r="Q583" s="666"/>
      <c r="R583" s="666"/>
      <c r="S583" s="666"/>
      <c r="T583" s="666"/>
      <c r="U583" s="666"/>
      <c r="V583" s="666"/>
      <c r="W583" s="666"/>
      <c r="X583" s="666"/>
      <c r="Y583" s="666"/>
      <c r="Z583" s="666"/>
      <c r="AA583" s="666"/>
      <c r="AB583" s="666"/>
      <c r="AC583" s="666"/>
      <c r="AD583" s="666"/>
      <c r="AE583" s="666"/>
      <c r="AF583" s="666"/>
      <c r="AG583" s="666"/>
      <c r="AH583" s="666"/>
      <c r="AI583" s="666"/>
      <c r="AJ583" s="666"/>
      <c r="AK583" s="666"/>
      <c r="AL583" s="666"/>
      <c r="AM583" s="666"/>
      <c r="AN583" s="666"/>
      <c r="AO583" s="666"/>
      <c r="AP583" s="666"/>
      <c r="AQ583" s="666"/>
      <c r="AR583" s="666"/>
      <c r="AS583" s="666"/>
      <c r="AT583" s="666"/>
      <c r="AU583" s="666"/>
    </row>
    <row r="584" ht="15.75" customHeight="1">
      <c r="A584" s="713">
        <v>44469.0</v>
      </c>
      <c r="B584" s="779" t="s">
        <v>6910</v>
      </c>
      <c r="C584" s="715" t="s">
        <v>98</v>
      </c>
      <c r="D584" s="641" t="s">
        <v>427</v>
      </c>
      <c r="E584" s="669">
        <v>456422.62</v>
      </c>
      <c r="F584" s="641" t="s">
        <v>5511</v>
      </c>
      <c r="G584" s="641" t="s">
        <v>255</v>
      </c>
      <c r="H584" s="641" t="s">
        <v>199</v>
      </c>
      <c r="I584" s="641" t="s">
        <v>3885</v>
      </c>
      <c r="J584" s="667">
        <v>44130.0</v>
      </c>
      <c r="K584" s="674" t="s">
        <v>2341</v>
      </c>
      <c r="L584" s="666"/>
      <c r="M584" s="666"/>
      <c r="N584" s="666"/>
      <c r="O584" s="666"/>
      <c r="P584" s="666"/>
      <c r="Q584" s="666"/>
      <c r="R584" s="666"/>
      <c r="S584" s="666"/>
      <c r="T584" s="666"/>
      <c r="U584" s="666"/>
      <c r="V584" s="666"/>
      <c r="W584" s="666"/>
      <c r="X584" s="666"/>
      <c r="Y584" s="666"/>
      <c r="Z584" s="666"/>
      <c r="AA584" s="666"/>
      <c r="AB584" s="666"/>
      <c r="AC584" s="666"/>
      <c r="AD584" s="666"/>
      <c r="AE584" s="666"/>
      <c r="AF584" s="666"/>
      <c r="AG584" s="666"/>
      <c r="AH584" s="666"/>
      <c r="AI584" s="666"/>
      <c r="AJ584" s="666"/>
      <c r="AK584" s="666"/>
      <c r="AL584" s="666"/>
      <c r="AM584" s="666"/>
      <c r="AN584" s="666"/>
      <c r="AO584" s="666"/>
      <c r="AP584" s="666"/>
      <c r="AQ584" s="666"/>
      <c r="AR584" s="666"/>
      <c r="AS584" s="666"/>
      <c r="AT584" s="666"/>
      <c r="AU584" s="666"/>
    </row>
    <row r="585" ht="15.75" customHeight="1">
      <c r="A585" s="713">
        <v>44469.0</v>
      </c>
      <c r="B585" s="776" t="s">
        <v>6435</v>
      </c>
      <c r="C585" s="715" t="s">
        <v>2346</v>
      </c>
      <c r="D585" s="641" t="s">
        <v>5038</v>
      </c>
      <c r="E585" s="775">
        <v>100000.0</v>
      </c>
      <c r="F585" s="641" t="s">
        <v>2396</v>
      </c>
      <c r="G585" s="667" t="s">
        <v>120</v>
      </c>
      <c r="H585" s="667" t="s">
        <v>91</v>
      </c>
      <c r="I585" s="667" t="s">
        <v>193</v>
      </c>
      <c r="J585" s="667">
        <v>44321.0</v>
      </c>
      <c r="K585" s="670" t="s">
        <v>2365</v>
      </c>
      <c r="L585" s="666"/>
      <c r="M585" s="666"/>
      <c r="N585" s="666"/>
      <c r="O585" s="666"/>
      <c r="P585" s="666"/>
      <c r="Q585" s="666"/>
      <c r="R585" s="666"/>
      <c r="S585" s="666"/>
      <c r="T585" s="666"/>
      <c r="U585" s="666"/>
      <c r="V585" s="666"/>
      <c r="W585" s="666"/>
      <c r="X585" s="666"/>
      <c r="Y585" s="666"/>
      <c r="Z585" s="666"/>
      <c r="AA585" s="666"/>
      <c r="AB585" s="666"/>
      <c r="AC585" s="666"/>
      <c r="AD585" s="666"/>
      <c r="AE585" s="666"/>
      <c r="AF585" s="666"/>
      <c r="AG585" s="666"/>
      <c r="AH585" s="666"/>
      <c r="AI585" s="666"/>
      <c r="AJ585" s="666"/>
      <c r="AK585" s="666"/>
      <c r="AL585" s="666"/>
      <c r="AM585" s="666"/>
      <c r="AN585" s="666"/>
      <c r="AO585" s="666"/>
      <c r="AP585" s="666"/>
      <c r="AQ585" s="666"/>
      <c r="AR585" s="666"/>
      <c r="AS585" s="666"/>
      <c r="AT585" s="666"/>
      <c r="AU585" s="666"/>
    </row>
    <row r="586" ht="15.75" customHeight="1">
      <c r="A586" s="713">
        <v>44470.0</v>
      </c>
      <c r="B586" s="672" t="s">
        <v>6151</v>
      </c>
      <c r="C586" s="715" t="s">
        <v>2346</v>
      </c>
      <c r="D586" s="641" t="s">
        <v>5038</v>
      </c>
      <c r="E586" s="775">
        <v>14000.0</v>
      </c>
      <c r="F586" s="641" t="s">
        <v>6152</v>
      </c>
      <c r="G586" s="667" t="s">
        <v>120</v>
      </c>
      <c r="H586" s="667" t="s">
        <v>91</v>
      </c>
      <c r="I586" s="667" t="s">
        <v>521</v>
      </c>
      <c r="J586" s="667">
        <v>44280.0</v>
      </c>
      <c r="K586" s="670" t="s">
        <v>2341</v>
      </c>
      <c r="L586" s="666"/>
      <c r="M586" s="666"/>
      <c r="N586" s="666"/>
      <c r="O586" s="666"/>
      <c r="P586" s="666"/>
      <c r="Q586" s="666"/>
      <c r="R586" s="666"/>
      <c r="S586" s="666"/>
      <c r="T586" s="666"/>
      <c r="U586" s="666"/>
      <c r="V586" s="666"/>
      <c r="W586" s="666"/>
      <c r="X586" s="666"/>
      <c r="Y586" s="666"/>
      <c r="Z586" s="666"/>
      <c r="AA586" s="666"/>
      <c r="AB586" s="666"/>
      <c r="AC586" s="666"/>
      <c r="AD586" s="666"/>
      <c r="AE586" s="666"/>
      <c r="AF586" s="666"/>
      <c r="AG586" s="666"/>
      <c r="AH586" s="666"/>
      <c r="AI586" s="666"/>
      <c r="AJ586" s="666"/>
      <c r="AK586" s="666"/>
      <c r="AL586" s="666"/>
      <c r="AM586" s="666"/>
      <c r="AN586" s="666"/>
      <c r="AO586" s="666"/>
      <c r="AP586" s="666"/>
      <c r="AQ586" s="666"/>
      <c r="AR586" s="666"/>
      <c r="AS586" s="666"/>
      <c r="AT586" s="666"/>
      <c r="AU586" s="666"/>
    </row>
    <row r="587" ht="15.75" customHeight="1">
      <c r="A587" s="713">
        <v>44470.0</v>
      </c>
      <c r="B587" s="776" t="s">
        <v>6215</v>
      </c>
      <c r="C587" s="715" t="s">
        <v>2346</v>
      </c>
      <c r="D587" s="641" t="s">
        <v>5038</v>
      </c>
      <c r="E587" s="775">
        <v>45000.0</v>
      </c>
      <c r="F587" s="641" t="s">
        <v>5675</v>
      </c>
      <c r="G587" s="667" t="s">
        <v>120</v>
      </c>
      <c r="H587" s="667" t="s">
        <v>91</v>
      </c>
      <c r="I587" s="667" t="s">
        <v>699</v>
      </c>
      <c r="J587" s="667">
        <v>44266.0</v>
      </c>
      <c r="K587" s="670" t="s">
        <v>2365</v>
      </c>
      <c r="L587" s="666"/>
      <c r="M587" s="666"/>
      <c r="N587" s="666"/>
      <c r="O587" s="666"/>
      <c r="P587" s="666"/>
      <c r="Q587" s="666"/>
      <c r="R587" s="666"/>
      <c r="S587" s="666"/>
      <c r="T587" s="666"/>
      <c r="U587" s="666"/>
      <c r="V587" s="666"/>
      <c r="W587" s="666"/>
      <c r="X587" s="666"/>
      <c r="Y587" s="666"/>
      <c r="Z587" s="666"/>
      <c r="AA587" s="666"/>
      <c r="AB587" s="666"/>
      <c r="AC587" s="666"/>
      <c r="AD587" s="666"/>
      <c r="AE587" s="666"/>
      <c r="AF587" s="666"/>
      <c r="AG587" s="666"/>
      <c r="AH587" s="666"/>
      <c r="AI587" s="666"/>
      <c r="AJ587" s="666"/>
      <c r="AK587" s="666"/>
      <c r="AL587" s="666"/>
      <c r="AM587" s="666"/>
      <c r="AN587" s="666"/>
      <c r="AO587" s="666"/>
      <c r="AP587" s="666"/>
      <c r="AQ587" s="666"/>
      <c r="AR587" s="666"/>
      <c r="AS587" s="666"/>
      <c r="AT587" s="666"/>
      <c r="AU587" s="666"/>
    </row>
    <row r="588" ht="15.75" customHeight="1">
      <c r="A588" s="713">
        <v>44470.0</v>
      </c>
      <c r="B588" s="776" t="s">
        <v>6246</v>
      </c>
      <c r="C588" s="715" t="s">
        <v>2346</v>
      </c>
      <c r="D588" s="641" t="s">
        <v>5038</v>
      </c>
      <c r="E588" s="775">
        <v>10000.0</v>
      </c>
      <c r="F588" s="641" t="s">
        <v>3852</v>
      </c>
      <c r="G588" s="667" t="s">
        <v>120</v>
      </c>
      <c r="H588" s="667" t="s">
        <v>91</v>
      </c>
      <c r="I588" s="667" t="s">
        <v>699</v>
      </c>
      <c r="J588" s="667">
        <v>44260.0</v>
      </c>
      <c r="K588" s="670" t="s">
        <v>2341</v>
      </c>
      <c r="L588" s="666"/>
      <c r="M588" s="666"/>
      <c r="N588" s="666"/>
      <c r="O588" s="666"/>
      <c r="P588" s="666"/>
      <c r="Q588" s="666"/>
      <c r="R588" s="666"/>
      <c r="S588" s="666"/>
      <c r="T588" s="666"/>
      <c r="U588" s="666"/>
      <c r="V588" s="666"/>
      <c r="W588" s="666"/>
      <c r="X588" s="666"/>
      <c r="Y588" s="666"/>
      <c r="Z588" s="666"/>
      <c r="AA588" s="666"/>
      <c r="AB588" s="666"/>
      <c r="AC588" s="666"/>
      <c r="AD588" s="666"/>
      <c r="AE588" s="666"/>
      <c r="AF588" s="666"/>
      <c r="AG588" s="666"/>
      <c r="AH588" s="666"/>
      <c r="AI588" s="666"/>
      <c r="AJ588" s="666"/>
      <c r="AK588" s="666"/>
      <c r="AL588" s="666"/>
      <c r="AM588" s="666"/>
      <c r="AN588" s="666"/>
      <c r="AO588" s="666"/>
      <c r="AP588" s="666"/>
      <c r="AQ588" s="666"/>
      <c r="AR588" s="666"/>
      <c r="AS588" s="666"/>
      <c r="AT588" s="666"/>
      <c r="AU588" s="666"/>
    </row>
    <row r="589" ht="15.75" customHeight="1">
      <c r="A589" s="713">
        <v>44470.0</v>
      </c>
      <c r="B589" s="776" t="s">
        <v>6923</v>
      </c>
      <c r="C589" s="715" t="s">
        <v>2346</v>
      </c>
      <c r="D589" s="641" t="s">
        <v>5038</v>
      </c>
      <c r="E589" s="775">
        <v>100000.0</v>
      </c>
      <c r="F589" s="641" t="s">
        <v>4241</v>
      </c>
      <c r="G589" s="667" t="s">
        <v>120</v>
      </c>
      <c r="H589" s="667" t="s">
        <v>91</v>
      </c>
      <c r="I589" s="667" t="s">
        <v>193</v>
      </c>
      <c r="J589" s="667">
        <v>44393.0</v>
      </c>
      <c r="K589" s="670" t="s">
        <v>4919</v>
      </c>
      <c r="L589" s="666"/>
      <c r="M589" s="666"/>
      <c r="N589" s="666"/>
      <c r="O589" s="666"/>
      <c r="P589" s="666"/>
      <c r="Q589" s="666"/>
      <c r="R589" s="666"/>
      <c r="S589" s="666"/>
      <c r="T589" s="666"/>
      <c r="U589" s="666"/>
      <c r="V589" s="666"/>
      <c r="W589" s="666"/>
      <c r="X589" s="666"/>
      <c r="Y589" s="666"/>
      <c r="Z589" s="666"/>
      <c r="AA589" s="666"/>
      <c r="AB589" s="666"/>
      <c r="AC589" s="666"/>
      <c r="AD589" s="666"/>
      <c r="AE589" s="666"/>
      <c r="AF589" s="666"/>
      <c r="AG589" s="666"/>
      <c r="AH589" s="666"/>
      <c r="AI589" s="666"/>
      <c r="AJ589" s="666"/>
      <c r="AK589" s="666"/>
      <c r="AL589" s="666"/>
      <c r="AM589" s="666"/>
      <c r="AN589" s="666"/>
      <c r="AO589" s="666"/>
      <c r="AP589" s="666"/>
      <c r="AQ589" s="666"/>
      <c r="AR589" s="666"/>
      <c r="AS589" s="666"/>
      <c r="AT589" s="666"/>
      <c r="AU589" s="666"/>
    </row>
    <row r="590" ht="15.75" customHeight="1">
      <c r="A590" s="773">
        <v>44470.0</v>
      </c>
      <c r="B590" s="732" t="s">
        <v>6246</v>
      </c>
      <c r="C590" s="641" t="s">
        <v>2346</v>
      </c>
      <c r="D590" s="641" t="s">
        <v>694</v>
      </c>
      <c r="E590" s="669">
        <v>151371.24</v>
      </c>
      <c r="F590" s="641" t="s">
        <v>3852</v>
      </c>
      <c r="G590" s="667" t="s">
        <v>120</v>
      </c>
      <c r="H590" s="667" t="s">
        <v>91</v>
      </c>
      <c r="I590" s="667" t="s">
        <v>699</v>
      </c>
      <c r="J590" s="667">
        <v>44260.0</v>
      </c>
      <c r="K590" s="670" t="s">
        <v>2341</v>
      </c>
      <c r="L590" s="666"/>
      <c r="M590" s="666"/>
      <c r="N590" s="666"/>
      <c r="O590" s="666"/>
      <c r="P590" s="666"/>
      <c r="Q590" s="666"/>
      <c r="R590" s="666"/>
      <c r="S590" s="666"/>
      <c r="T590" s="666"/>
      <c r="U590" s="666"/>
      <c r="V590" s="666"/>
      <c r="W590" s="666"/>
      <c r="X590" s="666"/>
      <c r="Y590" s="666"/>
      <c r="Z590" s="666"/>
      <c r="AA590" s="666"/>
      <c r="AB590" s="666"/>
      <c r="AC590" s="666"/>
      <c r="AD590" s="666"/>
      <c r="AE590" s="666"/>
      <c r="AF590" s="666"/>
      <c r="AG590" s="666"/>
      <c r="AH590" s="666"/>
      <c r="AI590" s="666"/>
      <c r="AJ590" s="666"/>
      <c r="AK590" s="666"/>
      <c r="AL590" s="666"/>
      <c r="AM590" s="666"/>
      <c r="AN590" s="666"/>
      <c r="AO590" s="666"/>
      <c r="AP590" s="666"/>
      <c r="AQ590" s="666"/>
      <c r="AR590" s="666"/>
      <c r="AS590" s="666"/>
      <c r="AT590" s="666"/>
      <c r="AU590" s="666"/>
    </row>
    <row r="591" ht="15.75" customHeight="1">
      <c r="A591" s="713">
        <v>44473.0</v>
      </c>
      <c r="B591" s="668" t="s">
        <v>6909</v>
      </c>
      <c r="C591" s="715" t="s">
        <v>2346</v>
      </c>
      <c r="D591" s="641" t="s">
        <v>5038</v>
      </c>
      <c r="E591" s="775">
        <v>80000.0</v>
      </c>
      <c r="F591" s="641" t="s">
        <v>6322</v>
      </c>
      <c r="G591" s="667" t="s">
        <v>120</v>
      </c>
      <c r="H591" s="667" t="s">
        <v>91</v>
      </c>
      <c r="I591" s="667" t="s">
        <v>699</v>
      </c>
      <c r="J591" s="667">
        <v>44279.0</v>
      </c>
      <c r="K591" s="670" t="s">
        <v>2319</v>
      </c>
      <c r="L591" s="666"/>
      <c r="M591" s="666"/>
      <c r="N591" s="666"/>
      <c r="O591" s="666"/>
      <c r="P591" s="666"/>
      <c r="Q591" s="666"/>
      <c r="R591" s="666"/>
      <c r="S591" s="666"/>
      <c r="T591" s="666"/>
      <c r="U591" s="666"/>
      <c r="V591" s="666"/>
      <c r="W591" s="666"/>
      <c r="X591" s="666"/>
      <c r="Y591" s="666"/>
      <c r="Z591" s="666"/>
      <c r="AA591" s="666"/>
      <c r="AB591" s="666"/>
      <c r="AC591" s="666"/>
      <c r="AD591" s="666"/>
      <c r="AE591" s="666"/>
      <c r="AF591" s="666"/>
      <c r="AG591" s="666"/>
      <c r="AH591" s="666"/>
      <c r="AI591" s="666"/>
      <c r="AJ591" s="666"/>
      <c r="AK591" s="666"/>
      <c r="AL591" s="666"/>
      <c r="AM591" s="666"/>
      <c r="AN591" s="666"/>
      <c r="AO591" s="666"/>
      <c r="AP591" s="666"/>
      <c r="AQ591" s="666"/>
      <c r="AR591" s="666"/>
      <c r="AS591" s="666"/>
      <c r="AT591" s="666"/>
      <c r="AU591" s="666"/>
    </row>
    <row r="592" ht="15.75" customHeight="1">
      <c r="A592" s="773">
        <v>44473.0</v>
      </c>
      <c r="B592" s="672" t="s">
        <v>6589</v>
      </c>
      <c r="C592" s="641" t="s">
        <v>98</v>
      </c>
      <c r="D592" s="641" t="s">
        <v>694</v>
      </c>
      <c r="E592" s="669">
        <v>0.0</v>
      </c>
      <c r="F592" s="641" t="s">
        <v>6590</v>
      </c>
      <c r="G592" s="641" t="s">
        <v>255</v>
      </c>
      <c r="H592" s="641" t="s">
        <v>199</v>
      </c>
      <c r="I592" s="641" t="s">
        <v>4809</v>
      </c>
      <c r="J592" s="667">
        <v>44397.0</v>
      </c>
      <c r="K592" s="674" t="s">
        <v>2365</v>
      </c>
      <c r="L592" s="666"/>
      <c r="M592" s="666"/>
      <c r="N592" s="666"/>
      <c r="O592" s="666"/>
      <c r="P592" s="666"/>
      <c r="Q592" s="666"/>
      <c r="R592" s="666"/>
      <c r="S592" s="666"/>
      <c r="T592" s="666"/>
      <c r="U592" s="666"/>
      <c r="V592" s="666"/>
      <c r="W592" s="666"/>
      <c r="X592" s="666"/>
      <c r="Y592" s="666"/>
      <c r="Z592" s="666"/>
      <c r="AA592" s="666"/>
      <c r="AB592" s="666"/>
      <c r="AC592" s="666"/>
      <c r="AD592" s="666"/>
      <c r="AE592" s="666"/>
      <c r="AF592" s="666"/>
      <c r="AG592" s="666"/>
      <c r="AH592" s="666"/>
      <c r="AI592" s="666"/>
      <c r="AJ592" s="666"/>
      <c r="AK592" s="666"/>
      <c r="AL592" s="666"/>
      <c r="AM592" s="666"/>
      <c r="AN592" s="666"/>
      <c r="AO592" s="666"/>
      <c r="AP592" s="666"/>
      <c r="AQ592" s="666"/>
      <c r="AR592" s="666"/>
      <c r="AS592" s="666"/>
      <c r="AT592" s="666"/>
      <c r="AU592" s="666"/>
    </row>
    <row r="593" ht="15.75" customHeight="1">
      <c r="A593" s="773">
        <v>44473.0</v>
      </c>
      <c r="B593" s="777" t="s">
        <v>6935</v>
      </c>
      <c r="C593" s="641" t="s">
        <v>98</v>
      </c>
      <c r="D593" s="641" t="s">
        <v>694</v>
      </c>
      <c r="E593" s="669">
        <v>0.0</v>
      </c>
      <c r="F593" s="641" t="s">
        <v>2408</v>
      </c>
      <c r="G593" s="641" t="s">
        <v>120</v>
      </c>
      <c r="H593" s="641" t="s">
        <v>199</v>
      </c>
      <c r="I593" s="641" t="s">
        <v>1174</v>
      </c>
      <c r="J593" s="667">
        <v>44302.0</v>
      </c>
      <c r="K593" s="674" t="s">
        <v>2372</v>
      </c>
      <c r="L593" s="666"/>
      <c r="M593" s="666"/>
      <c r="N593" s="666"/>
      <c r="O593" s="666"/>
      <c r="P593" s="666"/>
      <c r="Q593" s="666"/>
      <c r="R593" s="666"/>
      <c r="S593" s="666"/>
      <c r="T593" s="666"/>
      <c r="U593" s="666"/>
      <c r="V593" s="666"/>
      <c r="W593" s="666"/>
      <c r="X593" s="666"/>
      <c r="Y593" s="666"/>
      <c r="Z593" s="666"/>
      <c r="AA593" s="666"/>
      <c r="AB593" s="666"/>
      <c r="AC593" s="666"/>
      <c r="AD593" s="666"/>
      <c r="AE593" s="666"/>
      <c r="AF593" s="666"/>
      <c r="AG593" s="666"/>
      <c r="AH593" s="666"/>
      <c r="AI593" s="666"/>
      <c r="AJ593" s="666"/>
      <c r="AK593" s="666"/>
      <c r="AL593" s="666"/>
      <c r="AM593" s="666"/>
      <c r="AN593" s="666"/>
      <c r="AO593" s="666"/>
      <c r="AP593" s="666"/>
      <c r="AQ593" s="666"/>
      <c r="AR593" s="666"/>
      <c r="AS593" s="666"/>
      <c r="AT593" s="666"/>
      <c r="AU593" s="666"/>
    </row>
    <row r="594" ht="15.75" customHeight="1">
      <c r="A594" s="773">
        <v>44473.0</v>
      </c>
      <c r="B594" s="668" t="s">
        <v>6939</v>
      </c>
      <c r="C594" s="641" t="s">
        <v>2346</v>
      </c>
      <c r="D594" s="641" t="s">
        <v>694</v>
      </c>
      <c r="E594" s="669">
        <v>172836.33</v>
      </c>
      <c r="F594" s="641" t="s">
        <v>3939</v>
      </c>
      <c r="G594" s="667" t="s">
        <v>669</v>
      </c>
      <c r="H594" s="667" t="s">
        <v>199</v>
      </c>
      <c r="I594" s="667" t="s">
        <v>1228</v>
      </c>
      <c r="J594" s="667">
        <v>43865.0</v>
      </c>
      <c r="K594" s="670" t="s">
        <v>2341</v>
      </c>
      <c r="L594" s="666"/>
      <c r="M594" s="666"/>
      <c r="N594" s="666"/>
      <c r="O594" s="666"/>
      <c r="P594" s="666"/>
      <c r="Q594" s="666"/>
      <c r="R594" s="666"/>
      <c r="S594" s="666"/>
      <c r="T594" s="666"/>
      <c r="U594" s="666"/>
      <c r="V594" s="666"/>
      <c r="W594" s="666"/>
      <c r="X594" s="666"/>
      <c r="Y594" s="666"/>
      <c r="Z594" s="666"/>
      <c r="AA594" s="666"/>
      <c r="AB594" s="666"/>
      <c r="AC594" s="666"/>
      <c r="AD594" s="666"/>
      <c r="AE594" s="666"/>
      <c r="AF594" s="666"/>
      <c r="AG594" s="666"/>
      <c r="AH594" s="666"/>
      <c r="AI594" s="666"/>
      <c r="AJ594" s="666"/>
      <c r="AK594" s="666"/>
      <c r="AL594" s="666"/>
      <c r="AM594" s="666"/>
      <c r="AN594" s="666"/>
      <c r="AO594" s="666"/>
      <c r="AP594" s="666"/>
      <c r="AQ594" s="666"/>
      <c r="AR594" s="666"/>
      <c r="AS594" s="666"/>
      <c r="AT594" s="666"/>
      <c r="AU594" s="666"/>
    </row>
    <row r="595" ht="15.75" customHeight="1">
      <c r="A595" s="773">
        <v>44473.0</v>
      </c>
      <c r="B595" s="777" t="s">
        <v>5583</v>
      </c>
      <c r="C595" s="641" t="s">
        <v>2346</v>
      </c>
      <c r="D595" s="641" t="s">
        <v>694</v>
      </c>
      <c r="E595" s="669">
        <v>154589.27</v>
      </c>
      <c r="F595" s="641" t="s">
        <v>5588</v>
      </c>
      <c r="G595" s="667" t="s">
        <v>669</v>
      </c>
      <c r="H595" s="667" t="s">
        <v>199</v>
      </c>
      <c r="I595" s="667" t="s">
        <v>1228</v>
      </c>
      <c r="J595" s="667">
        <v>43873.0</v>
      </c>
      <c r="K595" s="670" t="s">
        <v>2341</v>
      </c>
      <c r="L595" s="666"/>
      <c r="M595" s="666"/>
      <c r="N595" s="666"/>
      <c r="O595" s="666"/>
      <c r="P595" s="666"/>
      <c r="Q595" s="666"/>
      <c r="R595" s="666"/>
      <c r="S595" s="666"/>
      <c r="T595" s="666"/>
      <c r="U595" s="666"/>
      <c r="V595" s="666"/>
      <c r="W595" s="666"/>
      <c r="X595" s="666"/>
      <c r="Y595" s="666"/>
      <c r="Z595" s="666"/>
      <c r="AA595" s="666"/>
      <c r="AB595" s="666"/>
      <c r="AC595" s="666"/>
      <c r="AD595" s="666"/>
      <c r="AE595" s="666"/>
      <c r="AF595" s="666"/>
      <c r="AG595" s="666"/>
      <c r="AH595" s="666"/>
      <c r="AI595" s="666"/>
      <c r="AJ595" s="666"/>
      <c r="AK595" s="666"/>
      <c r="AL595" s="666"/>
      <c r="AM595" s="666"/>
      <c r="AN595" s="666"/>
      <c r="AO595" s="666"/>
      <c r="AP595" s="666"/>
      <c r="AQ595" s="666"/>
      <c r="AR595" s="666"/>
      <c r="AS595" s="666"/>
      <c r="AT595" s="666"/>
      <c r="AU595" s="666"/>
    </row>
    <row r="596" ht="15.75" customHeight="1">
      <c r="A596" s="773">
        <v>44473.0</v>
      </c>
      <c r="B596" s="732" t="s">
        <v>6909</v>
      </c>
      <c r="C596" s="641" t="s">
        <v>2346</v>
      </c>
      <c r="D596" s="641" t="s">
        <v>694</v>
      </c>
      <c r="E596" s="669">
        <v>237009.79</v>
      </c>
      <c r="F596" s="641" t="s">
        <v>6322</v>
      </c>
      <c r="G596" s="667" t="s">
        <v>120</v>
      </c>
      <c r="H596" s="667" t="s">
        <v>91</v>
      </c>
      <c r="I596" s="667" t="s">
        <v>699</v>
      </c>
      <c r="J596" s="667">
        <v>44279.0</v>
      </c>
      <c r="K596" s="670" t="s">
        <v>2319</v>
      </c>
      <c r="L596" s="666"/>
      <c r="M596" s="666"/>
      <c r="N596" s="666"/>
      <c r="O596" s="666"/>
      <c r="P596" s="666"/>
      <c r="Q596" s="666"/>
      <c r="R596" s="666"/>
      <c r="S596" s="666"/>
      <c r="T596" s="666"/>
      <c r="U596" s="666"/>
      <c r="V596" s="666"/>
      <c r="W596" s="666"/>
      <c r="X596" s="666"/>
      <c r="Y596" s="666"/>
      <c r="Z596" s="666"/>
      <c r="AA596" s="666"/>
      <c r="AB596" s="666"/>
      <c r="AC596" s="666"/>
      <c r="AD596" s="666"/>
      <c r="AE596" s="666"/>
      <c r="AF596" s="666"/>
      <c r="AG596" s="666"/>
      <c r="AH596" s="666"/>
      <c r="AI596" s="666"/>
      <c r="AJ596" s="666"/>
      <c r="AK596" s="666"/>
      <c r="AL596" s="666"/>
      <c r="AM596" s="666"/>
      <c r="AN596" s="666"/>
      <c r="AO596" s="666"/>
      <c r="AP596" s="666"/>
      <c r="AQ596" s="666"/>
      <c r="AR596" s="666"/>
      <c r="AS596" s="666"/>
      <c r="AT596" s="666"/>
      <c r="AU596" s="666"/>
    </row>
    <row r="597" ht="15.75" customHeight="1">
      <c r="A597" s="713">
        <v>44474.0</v>
      </c>
      <c r="B597" s="672" t="s">
        <v>6246</v>
      </c>
      <c r="C597" s="715" t="s">
        <v>2346</v>
      </c>
      <c r="D597" s="641" t="s">
        <v>5038</v>
      </c>
      <c r="E597" s="717">
        <v>49307.71</v>
      </c>
      <c r="F597" s="641" t="s">
        <v>3852</v>
      </c>
      <c r="G597" s="667" t="s">
        <v>120</v>
      </c>
      <c r="H597" s="667" t="s">
        <v>91</v>
      </c>
      <c r="I597" s="667" t="s">
        <v>699</v>
      </c>
      <c r="J597" s="667">
        <v>44260.0</v>
      </c>
      <c r="K597" s="670" t="s">
        <v>2341</v>
      </c>
      <c r="L597" s="666"/>
      <c r="M597" s="666"/>
      <c r="N597" s="666"/>
      <c r="O597" s="666"/>
      <c r="P597" s="666"/>
      <c r="Q597" s="666"/>
      <c r="R597" s="666"/>
      <c r="S597" s="666"/>
      <c r="T597" s="666"/>
      <c r="U597" s="666"/>
      <c r="V597" s="666"/>
      <c r="W597" s="666"/>
      <c r="X597" s="666"/>
      <c r="Y597" s="666"/>
      <c r="Z597" s="666"/>
      <c r="AA597" s="666"/>
      <c r="AB597" s="666"/>
      <c r="AC597" s="666"/>
      <c r="AD597" s="666"/>
      <c r="AE597" s="666"/>
      <c r="AF597" s="666"/>
      <c r="AG597" s="666"/>
      <c r="AH597" s="666"/>
      <c r="AI597" s="666"/>
      <c r="AJ597" s="666"/>
      <c r="AK597" s="666"/>
      <c r="AL597" s="666"/>
      <c r="AM597" s="666"/>
      <c r="AN597" s="666"/>
      <c r="AO597" s="666"/>
      <c r="AP597" s="666"/>
      <c r="AQ597" s="666"/>
      <c r="AR597" s="666"/>
      <c r="AS597" s="666"/>
      <c r="AT597" s="666"/>
      <c r="AU597" s="666"/>
    </row>
    <row r="598" ht="15.75" customHeight="1">
      <c r="A598" s="713">
        <v>44474.0</v>
      </c>
      <c r="B598" s="672" t="s">
        <v>6371</v>
      </c>
      <c r="C598" s="715" t="s">
        <v>2346</v>
      </c>
      <c r="D598" s="641" t="s">
        <v>5038</v>
      </c>
      <c r="E598" s="775">
        <v>56000.0</v>
      </c>
      <c r="F598" s="641" t="s">
        <v>5624</v>
      </c>
      <c r="G598" s="667" t="s">
        <v>120</v>
      </c>
      <c r="H598" s="667" t="s">
        <v>91</v>
      </c>
      <c r="I598" s="667" t="s">
        <v>521</v>
      </c>
      <c r="J598" s="667">
        <v>44280.0</v>
      </c>
      <c r="K598" s="670" t="s">
        <v>2356</v>
      </c>
      <c r="L598" s="666"/>
      <c r="M598" s="666"/>
      <c r="N598" s="666"/>
      <c r="O598" s="666"/>
      <c r="P598" s="666"/>
      <c r="Q598" s="666"/>
      <c r="R598" s="666"/>
      <c r="S598" s="666"/>
      <c r="T598" s="666"/>
      <c r="U598" s="666"/>
      <c r="V598" s="666"/>
      <c r="W598" s="666"/>
      <c r="X598" s="666"/>
      <c r="Y598" s="666"/>
      <c r="Z598" s="666"/>
      <c r="AA598" s="666"/>
      <c r="AB598" s="666"/>
      <c r="AC598" s="666"/>
      <c r="AD598" s="666"/>
      <c r="AE598" s="666"/>
      <c r="AF598" s="666"/>
      <c r="AG598" s="666"/>
      <c r="AH598" s="666"/>
      <c r="AI598" s="666"/>
      <c r="AJ598" s="666"/>
      <c r="AK598" s="666"/>
      <c r="AL598" s="666"/>
      <c r="AM598" s="666"/>
      <c r="AN598" s="666"/>
      <c r="AO598" s="666"/>
      <c r="AP598" s="666"/>
      <c r="AQ598" s="666"/>
      <c r="AR598" s="666"/>
      <c r="AS598" s="666"/>
      <c r="AT598" s="666"/>
      <c r="AU598" s="666"/>
    </row>
    <row r="599" ht="15.75" customHeight="1">
      <c r="A599" s="713">
        <v>44474.0</v>
      </c>
      <c r="B599" s="672" t="s">
        <v>6844</v>
      </c>
      <c r="C599" s="715" t="s">
        <v>2346</v>
      </c>
      <c r="D599" s="641" t="s">
        <v>5038</v>
      </c>
      <c r="E599" s="775">
        <v>5500.0</v>
      </c>
      <c r="F599" s="641" t="s">
        <v>5274</v>
      </c>
      <c r="G599" s="667" t="s">
        <v>120</v>
      </c>
      <c r="H599" s="667" t="s">
        <v>91</v>
      </c>
      <c r="I599" s="667" t="s">
        <v>193</v>
      </c>
      <c r="J599" s="667">
        <v>44319.0</v>
      </c>
      <c r="K599" s="670" t="s">
        <v>2319</v>
      </c>
      <c r="L599" s="666"/>
      <c r="M599" s="666"/>
      <c r="N599" s="666"/>
      <c r="O599" s="666"/>
      <c r="P599" s="666"/>
      <c r="Q599" s="666"/>
      <c r="R599" s="666"/>
      <c r="S599" s="666"/>
      <c r="T599" s="666"/>
      <c r="U599" s="666"/>
      <c r="V599" s="666"/>
      <c r="W599" s="666"/>
      <c r="X599" s="666"/>
      <c r="Y599" s="666"/>
      <c r="Z599" s="666"/>
      <c r="AA599" s="666"/>
      <c r="AB599" s="666"/>
      <c r="AC599" s="666"/>
      <c r="AD599" s="666"/>
      <c r="AE599" s="666"/>
      <c r="AF599" s="666"/>
      <c r="AG599" s="666"/>
      <c r="AH599" s="666"/>
      <c r="AI599" s="666"/>
      <c r="AJ599" s="666"/>
      <c r="AK599" s="666"/>
      <c r="AL599" s="666"/>
      <c r="AM599" s="666"/>
      <c r="AN599" s="666"/>
      <c r="AO599" s="666"/>
      <c r="AP599" s="666"/>
      <c r="AQ599" s="666"/>
      <c r="AR599" s="666"/>
      <c r="AS599" s="666"/>
      <c r="AT599" s="666"/>
      <c r="AU599" s="666"/>
    </row>
    <row r="600" ht="15.75" customHeight="1">
      <c r="A600" s="713">
        <v>44474.0</v>
      </c>
      <c r="B600" s="672" t="s">
        <v>6367</v>
      </c>
      <c r="C600" s="715" t="s">
        <v>2346</v>
      </c>
      <c r="D600" s="641" t="s">
        <v>5038</v>
      </c>
      <c r="E600" s="775">
        <v>175000.0</v>
      </c>
      <c r="F600" s="641" t="s">
        <v>5536</v>
      </c>
      <c r="G600" s="667" t="s">
        <v>120</v>
      </c>
      <c r="H600" s="667" t="s">
        <v>91</v>
      </c>
      <c r="I600" s="667" t="s">
        <v>521</v>
      </c>
      <c r="J600" s="667">
        <v>44313.0</v>
      </c>
      <c r="K600" s="670" t="s">
        <v>2341</v>
      </c>
      <c r="L600" s="666"/>
      <c r="M600" s="666"/>
      <c r="N600" s="666"/>
      <c r="O600" s="666"/>
      <c r="P600" s="666"/>
      <c r="Q600" s="666"/>
      <c r="R600" s="666"/>
      <c r="S600" s="666"/>
      <c r="T600" s="666"/>
      <c r="U600" s="666"/>
      <c r="V600" s="666"/>
      <c r="W600" s="666"/>
      <c r="X600" s="666"/>
      <c r="Y600" s="666"/>
      <c r="Z600" s="666"/>
      <c r="AA600" s="666"/>
      <c r="AB600" s="666"/>
      <c r="AC600" s="666"/>
      <c r="AD600" s="666"/>
      <c r="AE600" s="666"/>
      <c r="AF600" s="666"/>
      <c r="AG600" s="666"/>
      <c r="AH600" s="666"/>
      <c r="AI600" s="666"/>
      <c r="AJ600" s="666"/>
      <c r="AK600" s="666"/>
      <c r="AL600" s="666"/>
      <c r="AM600" s="666"/>
      <c r="AN600" s="666"/>
      <c r="AO600" s="666"/>
      <c r="AP600" s="666"/>
      <c r="AQ600" s="666"/>
      <c r="AR600" s="666"/>
      <c r="AS600" s="666"/>
      <c r="AT600" s="666"/>
      <c r="AU600" s="666"/>
    </row>
    <row r="601" ht="15.75" customHeight="1">
      <c r="A601" s="713">
        <v>44474.0</v>
      </c>
      <c r="B601" s="672" t="s">
        <v>6959</v>
      </c>
      <c r="C601" s="715" t="s">
        <v>2346</v>
      </c>
      <c r="D601" s="641" t="s">
        <v>5038</v>
      </c>
      <c r="E601" s="775">
        <v>10000.0</v>
      </c>
      <c r="F601" s="641" t="s">
        <v>2299</v>
      </c>
      <c r="G601" s="667" t="s">
        <v>120</v>
      </c>
      <c r="H601" s="667" t="s">
        <v>91</v>
      </c>
      <c r="I601" s="667" t="s">
        <v>521</v>
      </c>
      <c r="J601" s="667">
        <v>44421.0</v>
      </c>
      <c r="K601" s="670" t="s">
        <v>2341</v>
      </c>
      <c r="L601" s="666"/>
      <c r="M601" s="666"/>
      <c r="N601" s="666"/>
      <c r="O601" s="666"/>
      <c r="P601" s="666"/>
      <c r="Q601" s="666"/>
      <c r="R601" s="666"/>
      <c r="S601" s="666"/>
      <c r="T601" s="666"/>
      <c r="U601" s="666"/>
      <c r="V601" s="666"/>
      <c r="W601" s="666"/>
      <c r="X601" s="666"/>
      <c r="Y601" s="666"/>
      <c r="Z601" s="666"/>
      <c r="AA601" s="666"/>
      <c r="AB601" s="666"/>
      <c r="AC601" s="666"/>
      <c r="AD601" s="666"/>
      <c r="AE601" s="666"/>
      <c r="AF601" s="666"/>
      <c r="AG601" s="666"/>
      <c r="AH601" s="666"/>
      <c r="AI601" s="666"/>
      <c r="AJ601" s="666"/>
      <c r="AK601" s="666"/>
      <c r="AL601" s="666"/>
      <c r="AM601" s="666"/>
      <c r="AN601" s="666"/>
      <c r="AO601" s="666"/>
      <c r="AP601" s="666"/>
      <c r="AQ601" s="666"/>
      <c r="AR601" s="666"/>
      <c r="AS601" s="666"/>
      <c r="AT601" s="666"/>
      <c r="AU601" s="666"/>
    </row>
    <row r="602" ht="15.75" customHeight="1">
      <c r="A602" s="713">
        <v>44474.0</v>
      </c>
      <c r="B602" s="672" t="s">
        <v>6558</v>
      </c>
      <c r="C602" s="715" t="s">
        <v>2346</v>
      </c>
      <c r="D602" s="641" t="s">
        <v>5038</v>
      </c>
      <c r="E602" s="775">
        <v>10000.0</v>
      </c>
      <c r="F602" s="641" t="s">
        <v>4142</v>
      </c>
      <c r="G602" s="667" t="s">
        <v>120</v>
      </c>
      <c r="H602" s="667" t="s">
        <v>91</v>
      </c>
      <c r="I602" s="667" t="s">
        <v>521</v>
      </c>
      <c r="J602" s="667">
        <v>44280.0</v>
      </c>
      <c r="K602" s="670" t="s">
        <v>2341</v>
      </c>
      <c r="L602" s="666"/>
      <c r="M602" s="666"/>
      <c r="N602" s="666"/>
      <c r="O602" s="666"/>
      <c r="P602" s="666"/>
      <c r="Q602" s="666"/>
      <c r="R602" s="666"/>
      <c r="S602" s="666"/>
      <c r="T602" s="666"/>
      <c r="U602" s="666"/>
      <c r="V602" s="666"/>
      <c r="W602" s="666"/>
      <c r="X602" s="666"/>
      <c r="Y602" s="666"/>
      <c r="Z602" s="666"/>
      <c r="AA602" s="666"/>
      <c r="AB602" s="666"/>
      <c r="AC602" s="666"/>
      <c r="AD602" s="666"/>
      <c r="AE602" s="666"/>
      <c r="AF602" s="666"/>
      <c r="AG602" s="666"/>
      <c r="AH602" s="666"/>
      <c r="AI602" s="666"/>
      <c r="AJ602" s="666"/>
      <c r="AK602" s="666"/>
      <c r="AL602" s="666"/>
      <c r="AM602" s="666"/>
      <c r="AN602" s="666"/>
      <c r="AO602" s="666"/>
      <c r="AP602" s="666"/>
      <c r="AQ602" s="666"/>
      <c r="AR602" s="666"/>
      <c r="AS602" s="666"/>
      <c r="AT602" s="666"/>
      <c r="AU602" s="666"/>
    </row>
    <row r="603" ht="15.75" customHeight="1">
      <c r="A603" s="713">
        <v>44474.0</v>
      </c>
      <c r="B603" s="672" t="s">
        <v>5065</v>
      </c>
      <c r="C603" s="715" t="s">
        <v>2346</v>
      </c>
      <c r="D603" s="641" t="s">
        <v>5038</v>
      </c>
      <c r="E603" s="775">
        <v>10000.0</v>
      </c>
      <c r="F603" s="641" t="s">
        <v>5066</v>
      </c>
      <c r="G603" s="667" t="s">
        <v>669</v>
      </c>
      <c r="H603" s="667" t="s">
        <v>199</v>
      </c>
      <c r="I603" s="667" t="s">
        <v>1228</v>
      </c>
      <c r="J603" s="667">
        <v>43703.0</v>
      </c>
      <c r="K603" s="670" t="s">
        <v>4383</v>
      </c>
      <c r="L603" s="666"/>
      <c r="M603" s="666"/>
      <c r="N603" s="666"/>
      <c r="O603" s="666"/>
      <c r="P603" s="666"/>
      <c r="Q603" s="666"/>
      <c r="R603" s="666"/>
      <c r="S603" s="666"/>
      <c r="T603" s="666"/>
      <c r="U603" s="666"/>
      <c r="V603" s="666"/>
      <c r="W603" s="666"/>
      <c r="X603" s="666"/>
      <c r="Y603" s="666"/>
      <c r="Z603" s="666"/>
      <c r="AA603" s="666"/>
      <c r="AB603" s="666"/>
      <c r="AC603" s="666"/>
      <c r="AD603" s="666"/>
      <c r="AE603" s="666"/>
      <c r="AF603" s="666"/>
      <c r="AG603" s="666"/>
      <c r="AH603" s="666"/>
      <c r="AI603" s="666"/>
      <c r="AJ603" s="666"/>
      <c r="AK603" s="666"/>
      <c r="AL603" s="666"/>
      <c r="AM603" s="666"/>
      <c r="AN603" s="666"/>
      <c r="AO603" s="666"/>
      <c r="AP603" s="666"/>
      <c r="AQ603" s="666"/>
      <c r="AR603" s="666"/>
      <c r="AS603" s="666"/>
      <c r="AT603" s="666"/>
      <c r="AU603" s="666"/>
    </row>
    <row r="604" ht="15.75" customHeight="1">
      <c r="A604" s="713">
        <v>44474.0</v>
      </c>
      <c r="B604" s="672" t="s">
        <v>5711</v>
      </c>
      <c r="C604" s="715" t="s">
        <v>2346</v>
      </c>
      <c r="D604" s="641" t="s">
        <v>5038</v>
      </c>
      <c r="E604" s="775">
        <v>40000.0</v>
      </c>
      <c r="F604" s="641" t="s">
        <v>4401</v>
      </c>
      <c r="G604" s="667" t="s">
        <v>120</v>
      </c>
      <c r="H604" s="667" t="s">
        <v>91</v>
      </c>
      <c r="I604" s="667" t="s">
        <v>521</v>
      </c>
      <c r="J604" s="667">
        <v>44321.0</v>
      </c>
      <c r="K604" s="670" t="s">
        <v>2341</v>
      </c>
      <c r="L604" s="666"/>
      <c r="M604" s="666"/>
      <c r="N604" s="666"/>
      <c r="O604" s="666"/>
      <c r="P604" s="666"/>
      <c r="Q604" s="666"/>
      <c r="R604" s="666"/>
      <c r="S604" s="666"/>
      <c r="T604" s="666"/>
      <c r="U604" s="666"/>
      <c r="V604" s="666"/>
      <c r="W604" s="666"/>
      <c r="X604" s="666"/>
      <c r="Y604" s="666"/>
      <c r="Z604" s="666"/>
      <c r="AA604" s="666"/>
      <c r="AB604" s="666"/>
      <c r="AC604" s="666"/>
      <c r="AD604" s="666"/>
      <c r="AE604" s="666"/>
      <c r="AF604" s="666"/>
      <c r="AG604" s="666"/>
      <c r="AH604" s="666"/>
      <c r="AI604" s="666"/>
      <c r="AJ604" s="666"/>
      <c r="AK604" s="666"/>
      <c r="AL604" s="666"/>
      <c r="AM604" s="666"/>
      <c r="AN604" s="666"/>
      <c r="AO604" s="666"/>
      <c r="AP604" s="666"/>
      <c r="AQ604" s="666"/>
      <c r="AR604" s="666"/>
      <c r="AS604" s="666"/>
      <c r="AT604" s="666"/>
      <c r="AU604" s="666"/>
    </row>
    <row r="605" ht="15.75" customHeight="1">
      <c r="A605" s="713">
        <v>44474.0</v>
      </c>
      <c r="B605" s="672" t="s">
        <v>6970</v>
      </c>
      <c r="C605" s="715" t="s">
        <v>2346</v>
      </c>
      <c r="D605" s="641" t="s">
        <v>5038</v>
      </c>
      <c r="E605" s="775">
        <v>150000.0</v>
      </c>
      <c r="F605" s="641" t="s">
        <v>5858</v>
      </c>
      <c r="G605" s="667" t="s">
        <v>669</v>
      </c>
      <c r="H605" s="667" t="s">
        <v>199</v>
      </c>
      <c r="I605" s="667" t="s">
        <v>1228</v>
      </c>
      <c r="J605" s="667">
        <v>43879.0</v>
      </c>
      <c r="K605" s="670" t="s">
        <v>2341</v>
      </c>
      <c r="L605" s="666"/>
      <c r="M605" s="666"/>
      <c r="N605" s="666"/>
      <c r="O605" s="666"/>
      <c r="P605" s="666"/>
      <c r="Q605" s="666"/>
      <c r="R605" s="666"/>
      <c r="S605" s="666"/>
      <c r="T605" s="666"/>
      <c r="U605" s="666"/>
      <c r="V605" s="666"/>
      <c r="W605" s="666"/>
      <c r="X605" s="666"/>
      <c r="Y605" s="666"/>
      <c r="Z605" s="666"/>
      <c r="AA605" s="666"/>
      <c r="AB605" s="666"/>
      <c r="AC605" s="666"/>
      <c r="AD605" s="666"/>
      <c r="AE605" s="666"/>
      <c r="AF605" s="666"/>
      <c r="AG605" s="666"/>
      <c r="AH605" s="666"/>
      <c r="AI605" s="666"/>
      <c r="AJ605" s="666"/>
      <c r="AK605" s="666"/>
      <c r="AL605" s="666"/>
      <c r="AM605" s="666"/>
      <c r="AN605" s="666"/>
      <c r="AO605" s="666"/>
      <c r="AP605" s="666"/>
      <c r="AQ605" s="666"/>
      <c r="AR605" s="666"/>
      <c r="AS605" s="666"/>
      <c r="AT605" s="666"/>
      <c r="AU605" s="666"/>
    </row>
    <row r="606" ht="15.75" customHeight="1">
      <c r="A606" s="713">
        <v>44475.0</v>
      </c>
      <c r="B606" s="672" t="s">
        <v>6909</v>
      </c>
      <c r="C606" s="715" t="s">
        <v>2346</v>
      </c>
      <c r="D606" s="641" t="s">
        <v>5038</v>
      </c>
      <c r="E606" s="775">
        <v>30000.0</v>
      </c>
      <c r="F606" s="641" t="s">
        <v>6322</v>
      </c>
      <c r="G606" s="667" t="s">
        <v>120</v>
      </c>
      <c r="H606" s="667" t="s">
        <v>91</v>
      </c>
      <c r="I606" s="667" t="s">
        <v>699</v>
      </c>
      <c r="J606" s="667">
        <v>44279.0</v>
      </c>
      <c r="K606" s="670" t="s">
        <v>2319</v>
      </c>
      <c r="L606" s="666"/>
      <c r="M606" s="666"/>
      <c r="N606" s="666"/>
      <c r="O606" s="666"/>
      <c r="P606" s="666"/>
      <c r="Q606" s="666"/>
      <c r="R606" s="666"/>
      <c r="S606" s="666"/>
      <c r="T606" s="666"/>
      <c r="U606" s="666"/>
      <c r="V606" s="666"/>
      <c r="W606" s="666"/>
      <c r="X606" s="666"/>
      <c r="Y606" s="666"/>
      <c r="Z606" s="666"/>
      <c r="AA606" s="666"/>
      <c r="AB606" s="666"/>
      <c r="AC606" s="666"/>
      <c r="AD606" s="666"/>
      <c r="AE606" s="666"/>
      <c r="AF606" s="666"/>
      <c r="AG606" s="666"/>
      <c r="AH606" s="666"/>
      <c r="AI606" s="666"/>
      <c r="AJ606" s="666"/>
      <c r="AK606" s="666"/>
      <c r="AL606" s="666"/>
      <c r="AM606" s="666"/>
      <c r="AN606" s="666"/>
      <c r="AO606" s="666"/>
      <c r="AP606" s="666"/>
      <c r="AQ606" s="666"/>
      <c r="AR606" s="666"/>
      <c r="AS606" s="666"/>
      <c r="AT606" s="666"/>
      <c r="AU606" s="666"/>
    </row>
    <row r="607" ht="15.75" customHeight="1">
      <c r="A607" s="713">
        <v>44475.0</v>
      </c>
      <c r="B607" s="672" t="s">
        <v>6211</v>
      </c>
      <c r="C607" s="715" t="s">
        <v>2346</v>
      </c>
      <c r="D607" s="641" t="s">
        <v>5038</v>
      </c>
      <c r="E607" s="775">
        <v>20000.0</v>
      </c>
      <c r="F607" s="641" t="s">
        <v>6214</v>
      </c>
      <c r="G607" s="667" t="s">
        <v>120</v>
      </c>
      <c r="H607" s="667" t="s">
        <v>91</v>
      </c>
      <c r="I607" s="667" t="s">
        <v>193</v>
      </c>
      <c r="J607" s="667">
        <v>44322.0</v>
      </c>
      <c r="K607" s="670" t="s">
        <v>2341</v>
      </c>
      <c r="L607" s="666"/>
      <c r="M607" s="666"/>
      <c r="N607" s="666"/>
      <c r="O607" s="666"/>
      <c r="P607" s="666"/>
      <c r="Q607" s="666"/>
      <c r="R607" s="666"/>
      <c r="S607" s="666"/>
      <c r="T607" s="666"/>
      <c r="U607" s="666"/>
      <c r="V607" s="666"/>
      <c r="W607" s="666"/>
      <c r="X607" s="666"/>
      <c r="Y607" s="666"/>
      <c r="Z607" s="666"/>
      <c r="AA607" s="666"/>
      <c r="AB607" s="666"/>
      <c r="AC607" s="666"/>
      <c r="AD607" s="666"/>
      <c r="AE607" s="666"/>
      <c r="AF607" s="666"/>
      <c r="AG607" s="666"/>
      <c r="AH607" s="666"/>
      <c r="AI607" s="666"/>
      <c r="AJ607" s="666"/>
      <c r="AK607" s="666"/>
      <c r="AL607" s="666"/>
      <c r="AM607" s="666"/>
      <c r="AN607" s="666"/>
      <c r="AO607" s="666"/>
      <c r="AP607" s="666"/>
      <c r="AQ607" s="666"/>
      <c r="AR607" s="666"/>
      <c r="AS607" s="666"/>
      <c r="AT607" s="666"/>
      <c r="AU607" s="666"/>
    </row>
    <row r="608" ht="15.75" customHeight="1">
      <c r="A608" s="713">
        <v>44476.0</v>
      </c>
      <c r="B608" s="672" t="s">
        <v>6977</v>
      </c>
      <c r="C608" s="715" t="s">
        <v>2346</v>
      </c>
      <c r="D608" s="641" t="s">
        <v>427</v>
      </c>
      <c r="E608" s="789">
        <v>121689.31</v>
      </c>
      <c r="F608" s="641" t="s">
        <v>5187</v>
      </c>
      <c r="G608" s="667" t="s">
        <v>120</v>
      </c>
      <c r="H608" s="667" t="s">
        <v>91</v>
      </c>
      <c r="I608" s="667" t="s">
        <v>521</v>
      </c>
      <c r="J608" s="667">
        <v>44333.0</v>
      </c>
      <c r="K608" s="670" t="s">
        <v>2341</v>
      </c>
      <c r="L608" s="666"/>
      <c r="M608" s="666"/>
      <c r="N608" s="666"/>
      <c r="O608" s="666"/>
      <c r="P608" s="666"/>
      <c r="Q608" s="666"/>
      <c r="R608" s="666"/>
      <c r="S608" s="666"/>
      <c r="T608" s="666"/>
      <c r="U608" s="666"/>
      <c r="V608" s="666"/>
      <c r="W608" s="666"/>
      <c r="X608" s="666"/>
      <c r="Y608" s="666"/>
      <c r="Z608" s="666"/>
      <c r="AA608" s="666"/>
      <c r="AB608" s="666"/>
      <c r="AC608" s="666"/>
      <c r="AD608" s="666"/>
      <c r="AE608" s="666"/>
      <c r="AF608" s="666"/>
      <c r="AG608" s="666"/>
      <c r="AH608" s="666"/>
      <c r="AI608" s="666"/>
      <c r="AJ608" s="666"/>
      <c r="AK608" s="666"/>
      <c r="AL608" s="666"/>
      <c r="AM608" s="666"/>
      <c r="AN608" s="666"/>
      <c r="AO608" s="666"/>
      <c r="AP608" s="666"/>
      <c r="AQ608" s="666"/>
      <c r="AR608" s="666"/>
      <c r="AS608" s="666"/>
      <c r="AT608" s="666"/>
      <c r="AU608" s="666"/>
    </row>
    <row r="609" ht="15.75" customHeight="1">
      <c r="A609" s="713">
        <v>44477.0</v>
      </c>
      <c r="B609" s="791" t="s">
        <v>5923</v>
      </c>
      <c r="C609" s="715" t="s">
        <v>98</v>
      </c>
      <c r="D609" s="641" t="s">
        <v>427</v>
      </c>
      <c r="E609" s="789">
        <v>94947.93</v>
      </c>
      <c r="F609" s="641" t="s">
        <v>5924</v>
      </c>
      <c r="G609" s="641" t="s">
        <v>255</v>
      </c>
      <c r="H609" s="641" t="s">
        <v>199</v>
      </c>
      <c r="I609" s="641" t="s">
        <v>4802</v>
      </c>
      <c r="J609" s="667">
        <v>44105.0</v>
      </c>
      <c r="K609" s="674" t="s">
        <v>2372</v>
      </c>
      <c r="L609" s="666"/>
      <c r="M609" s="666"/>
      <c r="N609" s="666"/>
      <c r="O609" s="666"/>
      <c r="P609" s="666"/>
      <c r="Q609" s="666"/>
      <c r="R609" s="666"/>
      <c r="S609" s="666"/>
      <c r="T609" s="666"/>
      <c r="U609" s="666"/>
      <c r="V609" s="666"/>
      <c r="W609" s="666"/>
      <c r="X609" s="666"/>
      <c r="Y609" s="666"/>
      <c r="Z609" s="666"/>
      <c r="AA609" s="666"/>
      <c r="AB609" s="666"/>
      <c r="AC609" s="666"/>
      <c r="AD609" s="666"/>
      <c r="AE609" s="666"/>
      <c r="AF609" s="666"/>
      <c r="AG609" s="666"/>
      <c r="AH609" s="666"/>
      <c r="AI609" s="666"/>
      <c r="AJ609" s="666"/>
      <c r="AK609" s="666"/>
      <c r="AL609" s="666"/>
      <c r="AM609" s="666"/>
      <c r="AN609" s="666"/>
      <c r="AO609" s="666"/>
      <c r="AP609" s="666"/>
      <c r="AQ609" s="666"/>
      <c r="AR609" s="666"/>
      <c r="AS609" s="666"/>
      <c r="AT609" s="666"/>
      <c r="AU609" s="666"/>
    </row>
    <row r="610" ht="15.75" customHeight="1">
      <c r="A610" s="773">
        <v>44477.0</v>
      </c>
      <c r="B610" s="668" t="s">
        <v>6985</v>
      </c>
      <c r="C610" s="641" t="s">
        <v>98</v>
      </c>
      <c r="D610" s="641" t="s">
        <v>694</v>
      </c>
      <c r="E610" s="669">
        <v>0.0</v>
      </c>
      <c r="F610" s="641" t="s">
        <v>5099</v>
      </c>
      <c r="G610" s="641" t="s">
        <v>255</v>
      </c>
      <c r="H610" s="641" t="s">
        <v>199</v>
      </c>
      <c r="I610" s="641" t="s">
        <v>548</v>
      </c>
      <c r="J610" s="667">
        <v>44238.0</v>
      </c>
      <c r="K610" s="674" t="s">
        <v>2319</v>
      </c>
      <c r="L610" s="666"/>
      <c r="M610" s="666"/>
      <c r="N610" s="666"/>
      <c r="O610" s="666"/>
      <c r="P610" s="666"/>
      <c r="Q610" s="666"/>
      <c r="R610" s="666"/>
      <c r="S610" s="666"/>
      <c r="T610" s="666"/>
      <c r="U610" s="666"/>
      <c r="V610" s="666"/>
      <c r="W610" s="666"/>
      <c r="X610" s="666"/>
      <c r="Y610" s="666"/>
      <c r="Z610" s="666"/>
      <c r="AA610" s="666"/>
      <c r="AB610" s="666"/>
      <c r="AC610" s="666"/>
      <c r="AD610" s="666"/>
      <c r="AE610" s="666"/>
      <c r="AF610" s="666"/>
      <c r="AG610" s="666"/>
      <c r="AH610" s="666"/>
      <c r="AI610" s="666"/>
      <c r="AJ610" s="666"/>
      <c r="AK610" s="666"/>
      <c r="AL610" s="666"/>
      <c r="AM610" s="666"/>
      <c r="AN610" s="666"/>
      <c r="AO610" s="666"/>
      <c r="AP610" s="666"/>
      <c r="AQ610" s="666"/>
      <c r="AR610" s="666"/>
      <c r="AS610" s="666"/>
      <c r="AT610" s="666"/>
      <c r="AU610" s="666"/>
    </row>
    <row r="611" ht="15.75" customHeight="1">
      <c r="A611" s="713">
        <v>44480.0</v>
      </c>
      <c r="B611" s="776" t="s">
        <v>6768</v>
      </c>
      <c r="C611" s="715" t="s">
        <v>2346</v>
      </c>
      <c r="D611" s="641" t="s">
        <v>5038</v>
      </c>
      <c r="E611" s="775">
        <v>20000.0</v>
      </c>
      <c r="F611" s="641" t="s">
        <v>6769</v>
      </c>
      <c r="G611" s="667" t="s">
        <v>120</v>
      </c>
      <c r="H611" s="667" t="s">
        <v>91</v>
      </c>
      <c r="I611" s="667" t="s">
        <v>521</v>
      </c>
      <c r="J611" s="667">
        <v>44263.0</v>
      </c>
      <c r="K611" s="670" t="s">
        <v>2365</v>
      </c>
      <c r="L611" s="666"/>
      <c r="M611" s="666"/>
      <c r="N611" s="666"/>
      <c r="O611" s="666"/>
      <c r="P611" s="666"/>
      <c r="Q611" s="666"/>
      <c r="R611" s="666"/>
      <c r="S611" s="666"/>
      <c r="T611" s="666"/>
      <c r="U611" s="666"/>
      <c r="V611" s="666"/>
      <c r="W611" s="666"/>
      <c r="X611" s="666"/>
      <c r="Y611" s="666"/>
      <c r="Z611" s="666"/>
      <c r="AA611" s="666"/>
      <c r="AB611" s="666"/>
      <c r="AC611" s="666"/>
      <c r="AD611" s="666"/>
      <c r="AE611" s="666"/>
      <c r="AF611" s="666"/>
      <c r="AG611" s="666"/>
      <c r="AH611" s="666"/>
      <c r="AI611" s="666"/>
      <c r="AJ611" s="666"/>
      <c r="AK611" s="666"/>
      <c r="AL611" s="666"/>
      <c r="AM611" s="666"/>
      <c r="AN611" s="666"/>
      <c r="AO611" s="666"/>
      <c r="AP611" s="666"/>
      <c r="AQ611" s="666"/>
      <c r="AR611" s="666"/>
      <c r="AS611" s="666"/>
      <c r="AT611" s="666"/>
      <c r="AU611" s="666"/>
    </row>
    <row r="612" ht="15.75" customHeight="1">
      <c r="A612" s="773">
        <v>44480.0</v>
      </c>
      <c r="B612" s="732" t="s">
        <v>6992</v>
      </c>
      <c r="C612" s="641" t="s">
        <v>2346</v>
      </c>
      <c r="D612" s="641" t="s">
        <v>694</v>
      </c>
      <c r="E612" s="669">
        <v>489398.81</v>
      </c>
      <c r="F612" s="641" t="s">
        <v>6540</v>
      </c>
      <c r="G612" s="667" t="s">
        <v>120</v>
      </c>
      <c r="H612" s="667" t="s">
        <v>91</v>
      </c>
      <c r="I612" s="667" t="s">
        <v>193</v>
      </c>
      <c r="J612" s="667">
        <v>44280.0</v>
      </c>
      <c r="K612" s="670" t="s">
        <v>2319</v>
      </c>
      <c r="L612" s="666"/>
      <c r="M612" s="666"/>
      <c r="N612" s="666"/>
      <c r="O612" s="666"/>
      <c r="P612" s="666"/>
      <c r="Q612" s="666"/>
      <c r="R612" s="666"/>
      <c r="S612" s="666"/>
      <c r="T612" s="666"/>
      <c r="U612" s="666"/>
      <c r="V612" s="666"/>
      <c r="W612" s="666"/>
      <c r="X612" s="666"/>
      <c r="Y612" s="666"/>
      <c r="Z612" s="666"/>
      <c r="AA612" s="666"/>
      <c r="AB612" s="666"/>
      <c r="AC612" s="666"/>
      <c r="AD612" s="666"/>
      <c r="AE612" s="666"/>
      <c r="AF612" s="666"/>
      <c r="AG612" s="666"/>
      <c r="AH612" s="666"/>
      <c r="AI612" s="666"/>
      <c r="AJ612" s="666"/>
      <c r="AK612" s="666"/>
      <c r="AL612" s="666"/>
      <c r="AM612" s="666"/>
      <c r="AN612" s="666"/>
      <c r="AO612" s="666"/>
      <c r="AP612" s="666"/>
      <c r="AQ612" s="666"/>
      <c r="AR612" s="666"/>
      <c r="AS612" s="666"/>
      <c r="AT612" s="666"/>
      <c r="AU612" s="666"/>
    </row>
    <row r="613" ht="15.75" customHeight="1">
      <c r="A613" s="713">
        <v>44482.0</v>
      </c>
      <c r="B613" s="672" t="s">
        <v>7009</v>
      </c>
      <c r="C613" s="715" t="s">
        <v>98</v>
      </c>
      <c r="D613" s="641" t="s">
        <v>427</v>
      </c>
      <c r="E613" s="789">
        <v>274363.67</v>
      </c>
      <c r="F613" s="641" t="s">
        <v>7010</v>
      </c>
      <c r="G613" s="641" t="s">
        <v>120</v>
      </c>
      <c r="H613" s="641" t="s">
        <v>54</v>
      </c>
      <c r="I613" s="641" t="s">
        <v>4617</v>
      </c>
      <c r="J613" s="667">
        <v>44356.0</v>
      </c>
      <c r="K613" s="674" t="s">
        <v>2365</v>
      </c>
      <c r="L613" s="666"/>
      <c r="M613" s="666"/>
      <c r="N613" s="666"/>
      <c r="O613" s="666"/>
      <c r="P613" s="666"/>
      <c r="Q613" s="666"/>
      <c r="R613" s="666"/>
      <c r="S613" s="666"/>
      <c r="T613" s="666"/>
      <c r="U613" s="666"/>
      <c r="V613" s="666"/>
      <c r="W613" s="666"/>
      <c r="X613" s="666"/>
      <c r="Y613" s="666"/>
      <c r="Z613" s="666"/>
      <c r="AA613" s="666"/>
      <c r="AB613" s="666"/>
      <c r="AC613" s="666"/>
      <c r="AD613" s="666"/>
      <c r="AE613" s="666"/>
      <c r="AF613" s="666"/>
      <c r="AG613" s="666"/>
      <c r="AH613" s="666"/>
      <c r="AI613" s="666"/>
      <c r="AJ613" s="666"/>
      <c r="AK613" s="666"/>
      <c r="AL613" s="666"/>
      <c r="AM613" s="666"/>
      <c r="AN613" s="666"/>
      <c r="AO613" s="666"/>
      <c r="AP613" s="666"/>
      <c r="AQ613" s="666"/>
      <c r="AR613" s="666"/>
      <c r="AS613" s="666"/>
      <c r="AT613" s="666"/>
      <c r="AU613" s="666"/>
    </row>
    <row r="614" ht="15.75" customHeight="1">
      <c r="A614" s="713">
        <v>44482.0</v>
      </c>
      <c r="B614" s="668" t="s">
        <v>7012</v>
      </c>
      <c r="C614" s="715" t="s">
        <v>98</v>
      </c>
      <c r="D614" s="641" t="s">
        <v>5038</v>
      </c>
      <c r="E614" s="789">
        <v>150000.0</v>
      </c>
      <c r="F614" s="641" t="s">
        <v>5611</v>
      </c>
      <c r="G614" s="641" t="s">
        <v>669</v>
      </c>
      <c r="H614" s="641" t="s">
        <v>199</v>
      </c>
      <c r="I614" s="641" t="s">
        <v>669</v>
      </c>
      <c r="J614" s="667">
        <v>44118.0</v>
      </c>
      <c r="K614" s="674" t="s">
        <v>2372</v>
      </c>
      <c r="L614" s="666"/>
      <c r="M614" s="666"/>
      <c r="N614" s="666"/>
      <c r="O614" s="666"/>
      <c r="P614" s="666"/>
      <c r="Q614" s="666"/>
      <c r="R614" s="666"/>
      <c r="S614" s="666"/>
      <c r="T614" s="666"/>
      <c r="U614" s="666"/>
      <c r="V614" s="666"/>
      <c r="W614" s="666"/>
      <c r="X614" s="666"/>
      <c r="Y614" s="666"/>
      <c r="Z614" s="666"/>
      <c r="AA614" s="666"/>
      <c r="AB614" s="666"/>
      <c r="AC614" s="666"/>
      <c r="AD614" s="666"/>
      <c r="AE614" s="666"/>
      <c r="AF614" s="666"/>
      <c r="AG614" s="666"/>
      <c r="AH614" s="666"/>
      <c r="AI614" s="666"/>
      <c r="AJ614" s="666"/>
      <c r="AK614" s="666"/>
      <c r="AL614" s="666"/>
      <c r="AM614" s="666"/>
      <c r="AN614" s="666"/>
      <c r="AO614" s="666"/>
      <c r="AP614" s="666"/>
      <c r="AQ614" s="666"/>
      <c r="AR614" s="666"/>
      <c r="AS614" s="666"/>
      <c r="AT614" s="666"/>
      <c r="AU614" s="666"/>
    </row>
    <row r="615" ht="15.75" customHeight="1">
      <c r="A615" s="773">
        <v>44482.0</v>
      </c>
      <c r="B615" s="668" t="s">
        <v>5116</v>
      </c>
      <c r="C615" s="641" t="s">
        <v>2346</v>
      </c>
      <c r="D615" s="641" t="s">
        <v>694</v>
      </c>
      <c r="E615" s="669">
        <v>15.64</v>
      </c>
      <c r="F615" s="641" t="s">
        <v>5117</v>
      </c>
      <c r="G615" s="667" t="s">
        <v>669</v>
      </c>
      <c r="H615" s="667" t="s">
        <v>199</v>
      </c>
      <c r="I615" s="667" t="s">
        <v>2388</v>
      </c>
      <c r="J615" s="667">
        <v>43559.0</v>
      </c>
      <c r="K615" s="670" t="s">
        <v>4383</v>
      </c>
      <c r="L615" s="666"/>
      <c r="M615" s="666"/>
      <c r="N615" s="666"/>
      <c r="O615" s="666"/>
      <c r="P615" s="666"/>
      <c r="Q615" s="666"/>
      <c r="R615" s="666"/>
      <c r="S615" s="666"/>
      <c r="T615" s="666"/>
      <c r="U615" s="666"/>
      <c r="V615" s="666"/>
      <c r="W615" s="666"/>
      <c r="X615" s="666"/>
      <c r="Y615" s="666"/>
      <c r="Z615" s="666"/>
      <c r="AA615" s="666"/>
      <c r="AB615" s="666"/>
      <c r="AC615" s="666"/>
      <c r="AD615" s="666"/>
      <c r="AE615" s="666"/>
      <c r="AF615" s="666"/>
      <c r="AG615" s="666"/>
      <c r="AH615" s="666"/>
      <c r="AI615" s="666"/>
      <c r="AJ615" s="666"/>
      <c r="AK615" s="666"/>
      <c r="AL615" s="666"/>
      <c r="AM615" s="666"/>
      <c r="AN615" s="666"/>
      <c r="AO615" s="666"/>
      <c r="AP615" s="666"/>
      <c r="AQ615" s="666"/>
      <c r="AR615" s="666"/>
      <c r="AS615" s="666"/>
      <c r="AT615" s="666"/>
      <c r="AU615" s="666"/>
    </row>
    <row r="616" ht="15.75" customHeight="1">
      <c r="A616" s="773">
        <v>44482.0</v>
      </c>
      <c r="B616" s="668" t="s">
        <v>5351</v>
      </c>
      <c r="C616" s="641" t="s">
        <v>2346</v>
      </c>
      <c r="D616" s="641" t="s">
        <v>694</v>
      </c>
      <c r="E616" s="669">
        <v>115.28</v>
      </c>
      <c r="F616" s="641" t="s">
        <v>5352</v>
      </c>
      <c r="G616" s="667" t="s">
        <v>669</v>
      </c>
      <c r="H616" s="667" t="s">
        <v>199</v>
      </c>
      <c r="I616" s="667" t="s">
        <v>1228</v>
      </c>
      <c r="J616" s="667">
        <v>43620.0</v>
      </c>
      <c r="K616" s="670" t="s">
        <v>2372</v>
      </c>
      <c r="L616" s="666"/>
      <c r="M616" s="666"/>
      <c r="N616" s="666"/>
      <c r="O616" s="666"/>
      <c r="P616" s="666"/>
      <c r="Q616" s="666"/>
      <c r="R616" s="666"/>
      <c r="S616" s="666"/>
      <c r="T616" s="666"/>
      <c r="U616" s="666"/>
      <c r="V616" s="666"/>
      <c r="W616" s="666"/>
      <c r="X616" s="666"/>
      <c r="Y616" s="666"/>
      <c r="Z616" s="666"/>
      <c r="AA616" s="666"/>
      <c r="AB616" s="666"/>
      <c r="AC616" s="666"/>
      <c r="AD616" s="666"/>
      <c r="AE616" s="666"/>
      <c r="AF616" s="666"/>
      <c r="AG616" s="666"/>
      <c r="AH616" s="666"/>
      <c r="AI616" s="666"/>
      <c r="AJ616" s="666"/>
      <c r="AK616" s="666"/>
      <c r="AL616" s="666"/>
      <c r="AM616" s="666"/>
      <c r="AN616" s="666"/>
      <c r="AO616" s="666"/>
      <c r="AP616" s="666"/>
      <c r="AQ616" s="666"/>
      <c r="AR616" s="666"/>
      <c r="AS616" s="666"/>
      <c r="AT616" s="666"/>
      <c r="AU616" s="666"/>
    </row>
    <row r="617" ht="15.75" customHeight="1">
      <c r="A617" s="773">
        <v>44482.0</v>
      </c>
      <c r="B617" s="668" t="s">
        <v>5470</v>
      </c>
      <c r="C617" s="641" t="s">
        <v>2346</v>
      </c>
      <c r="D617" s="641" t="s">
        <v>694</v>
      </c>
      <c r="E617" s="669">
        <v>13.08</v>
      </c>
      <c r="F617" s="641" t="s">
        <v>4606</v>
      </c>
      <c r="G617" s="667" t="s">
        <v>669</v>
      </c>
      <c r="H617" s="667" t="s">
        <v>199</v>
      </c>
      <c r="I617" s="667" t="s">
        <v>1228</v>
      </c>
      <c r="J617" s="667">
        <v>43675.0</v>
      </c>
      <c r="K617" s="670" t="s">
        <v>4383</v>
      </c>
      <c r="L617" s="666"/>
      <c r="M617" s="666"/>
      <c r="N617" s="666"/>
      <c r="O617" s="666"/>
      <c r="P617" s="666"/>
      <c r="Q617" s="666"/>
      <c r="R617" s="666"/>
      <c r="S617" s="666"/>
      <c r="T617" s="666"/>
      <c r="U617" s="666"/>
      <c r="V617" s="666"/>
      <c r="W617" s="666"/>
      <c r="X617" s="666"/>
      <c r="Y617" s="666"/>
      <c r="Z617" s="666"/>
      <c r="AA617" s="666"/>
      <c r="AB617" s="666"/>
      <c r="AC617" s="666"/>
      <c r="AD617" s="666"/>
      <c r="AE617" s="666"/>
      <c r="AF617" s="666"/>
      <c r="AG617" s="666"/>
      <c r="AH617" s="666"/>
      <c r="AI617" s="666"/>
      <c r="AJ617" s="666"/>
      <c r="AK617" s="666"/>
      <c r="AL617" s="666"/>
      <c r="AM617" s="666"/>
      <c r="AN617" s="666"/>
      <c r="AO617" s="666"/>
      <c r="AP617" s="666"/>
      <c r="AQ617" s="666"/>
      <c r="AR617" s="666"/>
      <c r="AS617" s="666"/>
      <c r="AT617" s="666"/>
      <c r="AU617" s="666"/>
    </row>
    <row r="618" ht="15.75" customHeight="1">
      <c r="A618" s="773">
        <v>44482.0</v>
      </c>
      <c r="B618" s="668" t="s">
        <v>7030</v>
      </c>
      <c r="C618" s="641" t="s">
        <v>2346</v>
      </c>
      <c r="D618" s="641" t="s">
        <v>694</v>
      </c>
      <c r="E618" s="669"/>
      <c r="F618" s="641" t="s">
        <v>4492</v>
      </c>
      <c r="G618" s="667" t="s">
        <v>669</v>
      </c>
      <c r="H618" s="667" t="s">
        <v>199</v>
      </c>
      <c r="I618" s="667" t="s">
        <v>669</v>
      </c>
      <c r="J618" s="667" t="s">
        <v>584</v>
      </c>
      <c r="K618" s="670" t="s">
        <v>2341</v>
      </c>
      <c r="L618" s="666"/>
      <c r="M618" s="666"/>
      <c r="N618" s="666"/>
      <c r="O618" s="666"/>
      <c r="P618" s="666"/>
      <c r="Q618" s="666"/>
      <c r="R618" s="666"/>
      <c r="S618" s="666"/>
      <c r="T618" s="666"/>
      <c r="U618" s="666"/>
      <c r="V618" s="666"/>
      <c r="W618" s="666"/>
      <c r="X618" s="666"/>
      <c r="Y618" s="666"/>
      <c r="Z618" s="666"/>
      <c r="AA618" s="666"/>
      <c r="AB618" s="666"/>
      <c r="AC618" s="666"/>
      <c r="AD618" s="666"/>
      <c r="AE618" s="666"/>
      <c r="AF618" s="666"/>
      <c r="AG618" s="666"/>
      <c r="AH618" s="666"/>
      <c r="AI618" s="666"/>
      <c r="AJ618" s="666"/>
      <c r="AK618" s="666"/>
      <c r="AL618" s="666"/>
      <c r="AM618" s="666"/>
      <c r="AN618" s="666"/>
      <c r="AO618" s="666"/>
      <c r="AP618" s="666"/>
      <c r="AQ618" s="666"/>
      <c r="AR618" s="666"/>
      <c r="AS618" s="666"/>
      <c r="AT618" s="666"/>
      <c r="AU618" s="666"/>
    </row>
    <row r="619" ht="15.75" customHeight="1">
      <c r="A619" s="773">
        <v>44482.0</v>
      </c>
      <c r="B619" s="668" t="s">
        <v>6147</v>
      </c>
      <c r="C619" s="641" t="s">
        <v>2346</v>
      </c>
      <c r="D619" s="641" t="s">
        <v>694</v>
      </c>
      <c r="E619" s="669">
        <v>3049.18</v>
      </c>
      <c r="F619" s="641" t="s">
        <v>4185</v>
      </c>
      <c r="G619" s="667" t="s">
        <v>669</v>
      </c>
      <c r="H619" s="667" t="s">
        <v>199</v>
      </c>
      <c r="I619" s="667" t="s">
        <v>669</v>
      </c>
      <c r="J619" s="667">
        <v>44124.0</v>
      </c>
      <c r="K619" s="670" t="s">
        <v>2341</v>
      </c>
      <c r="L619" s="666"/>
      <c r="M619" s="666"/>
      <c r="N619" s="666"/>
      <c r="O619" s="666"/>
      <c r="P619" s="666"/>
      <c r="Q619" s="666"/>
      <c r="R619" s="666"/>
      <c r="S619" s="666"/>
      <c r="T619" s="666"/>
      <c r="U619" s="666"/>
      <c r="V619" s="666"/>
      <c r="W619" s="666"/>
      <c r="X619" s="666"/>
      <c r="Y619" s="666"/>
      <c r="Z619" s="666"/>
      <c r="AA619" s="666"/>
      <c r="AB619" s="666"/>
      <c r="AC619" s="666"/>
      <c r="AD619" s="666"/>
      <c r="AE619" s="666"/>
      <c r="AF619" s="666"/>
      <c r="AG619" s="666"/>
      <c r="AH619" s="666"/>
      <c r="AI619" s="666"/>
      <c r="AJ619" s="666"/>
      <c r="AK619" s="666"/>
      <c r="AL619" s="666"/>
      <c r="AM619" s="666"/>
      <c r="AN619" s="666"/>
      <c r="AO619" s="666"/>
      <c r="AP619" s="666"/>
      <c r="AQ619" s="666"/>
      <c r="AR619" s="666"/>
      <c r="AS619" s="666"/>
      <c r="AT619" s="666"/>
      <c r="AU619" s="666"/>
    </row>
    <row r="620" ht="15.75" customHeight="1">
      <c r="A620" s="773">
        <v>44482.0</v>
      </c>
      <c r="B620" s="668" t="s">
        <v>6144</v>
      </c>
      <c r="C620" s="641" t="s">
        <v>2346</v>
      </c>
      <c r="D620" s="641" t="s">
        <v>694</v>
      </c>
      <c r="E620" s="669">
        <v>693.98</v>
      </c>
      <c r="F620" s="641" t="s">
        <v>4195</v>
      </c>
      <c r="G620" s="667" t="s">
        <v>669</v>
      </c>
      <c r="H620" s="667" t="s">
        <v>199</v>
      </c>
      <c r="I620" s="667" t="s">
        <v>669</v>
      </c>
      <c r="J620" s="667">
        <v>44118.0</v>
      </c>
      <c r="K620" s="670" t="s">
        <v>2341</v>
      </c>
      <c r="L620" s="666"/>
      <c r="M620" s="666"/>
      <c r="N620" s="666"/>
      <c r="O620" s="666"/>
      <c r="P620" s="666"/>
      <c r="Q620" s="666"/>
      <c r="R620" s="666"/>
      <c r="S620" s="666"/>
      <c r="T620" s="666"/>
      <c r="U620" s="666"/>
      <c r="V620" s="666"/>
      <c r="W620" s="666"/>
      <c r="X620" s="666"/>
      <c r="Y620" s="666"/>
      <c r="Z620" s="666"/>
      <c r="AA620" s="666"/>
      <c r="AB620" s="666"/>
      <c r="AC620" s="666"/>
      <c r="AD620" s="666"/>
      <c r="AE620" s="666"/>
      <c r="AF620" s="666"/>
      <c r="AG620" s="666"/>
      <c r="AH620" s="666"/>
      <c r="AI620" s="666"/>
      <c r="AJ620" s="666"/>
      <c r="AK620" s="666"/>
      <c r="AL620" s="666"/>
      <c r="AM620" s="666"/>
      <c r="AN620" s="666"/>
      <c r="AO620" s="666"/>
      <c r="AP620" s="666"/>
      <c r="AQ620" s="666"/>
      <c r="AR620" s="666"/>
      <c r="AS620" s="666"/>
      <c r="AT620" s="666"/>
      <c r="AU620" s="666"/>
    </row>
    <row r="621" ht="15.75" customHeight="1">
      <c r="A621" s="773">
        <v>44482.0</v>
      </c>
      <c r="B621" s="668" t="s">
        <v>7041</v>
      </c>
      <c r="C621" s="641" t="s">
        <v>2346</v>
      </c>
      <c r="D621" s="641" t="s">
        <v>694</v>
      </c>
      <c r="E621" s="669"/>
      <c r="F621" s="641" t="s">
        <v>4017</v>
      </c>
      <c r="G621" s="667" t="s">
        <v>669</v>
      </c>
      <c r="H621" s="667" t="s">
        <v>199</v>
      </c>
      <c r="I621" s="667" t="s">
        <v>2388</v>
      </c>
      <c r="J621" s="667">
        <v>43609.0</v>
      </c>
      <c r="K621" s="670" t="s">
        <v>2372</v>
      </c>
      <c r="L621" s="666"/>
      <c r="M621" s="666"/>
      <c r="N621" s="666"/>
      <c r="O621" s="666"/>
      <c r="P621" s="666"/>
      <c r="Q621" s="666"/>
      <c r="R621" s="666"/>
      <c r="S621" s="666"/>
      <c r="T621" s="666"/>
      <c r="U621" s="666"/>
      <c r="V621" s="666"/>
      <c r="W621" s="666"/>
      <c r="X621" s="666"/>
      <c r="Y621" s="666"/>
      <c r="Z621" s="666"/>
      <c r="AA621" s="666"/>
      <c r="AB621" s="666"/>
      <c r="AC621" s="666"/>
      <c r="AD621" s="666"/>
      <c r="AE621" s="666"/>
      <c r="AF621" s="666"/>
      <c r="AG621" s="666"/>
      <c r="AH621" s="666"/>
      <c r="AI621" s="666"/>
      <c r="AJ621" s="666"/>
      <c r="AK621" s="666"/>
      <c r="AL621" s="666"/>
      <c r="AM621" s="666"/>
      <c r="AN621" s="666"/>
      <c r="AO621" s="666"/>
      <c r="AP621" s="666"/>
      <c r="AQ621" s="666"/>
      <c r="AR621" s="666"/>
      <c r="AS621" s="666"/>
      <c r="AT621" s="666"/>
      <c r="AU621" s="666"/>
    </row>
    <row r="622" ht="15.75" customHeight="1">
      <c r="A622" s="773">
        <v>44482.0</v>
      </c>
      <c r="B622" s="668" t="s">
        <v>7044</v>
      </c>
      <c r="C622" s="641" t="s">
        <v>2346</v>
      </c>
      <c r="D622" s="641" t="s">
        <v>694</v>
      </c>
      <c r="E622" s="669"/>
      <c r="F622" s="641" t="s">
        <v>4017</v>
      </c>
      <c r="G622" s="667" t="s">
        <v>669</v>
      </c>
      <c r="H622" s="667" t="s">
        <v>199</v>
      </c>
      <c r="I622" s="667" t="s">
        <v>2388</v>
      </c>
      <c r="J622" s="667">
        <v>43609.0</v>
      </c>
      <c r="K622" s="670" t="s">
        <v>2365</v>
      </c>
      <c r="L622" s="666"/>
      <c r="M622" s="666"/>
      <c r="N622" s="666"/>
      <c r="O622" s="666"/>
      <c r="P622" s="666"/>
      <c r="Q622" s="666"/>
      <c r="R622" s="666"/>
      <c r="S622" s="666"/>
      <c r="T622" s="666"/>
      <c r="U622" s="666"/>
      <c r="V622" s="666"/>
      <c r="W622" s="666"/>
      <c r="X622" s="666"/>
      <c r="Y622" s="666"/>
      <c r="Z622" s="666"/>
      <c r="AA622" s="666"/>
      <c r="AB622" s="666"/>
      <c r="AC622" s="666"/>
      <c r="AD622" s="666"/>
      <c r="AE622" s="666"/>
      <c r="AF622" s="666"/>
      <c r="AG622" s="666"/>
      <c r="AH622" s="666"/>
      <c r="AI622" s="666"/>
      <c r="AJ622" s="666"/>
      <c r="AK622" s="666"/>
      <c r="AL622" s="666"/>
      <c r="AM622" s="666"/>
      <c r="AN622" s="666"/>
      <c r="AO622" s="666"/>
      <c r="AP622" s="666"/>
      <c r="AQ622" s="666"/>
      <c r="AR622" s="666"/>
      <c r="AS622" s="666"/>
      <c r="AT622" s="666"/>
      <c r="AU622" s="666"/>
    </row>
    <row r="623" ht="15.75" customHeight="1">
      <c r="A623" s="773">
        <v>44482.0</v>
      </c>
      <c r="B623" s="668" t="s">
        <v>7046</v>
      </c>
      <c r="C623" s="641" t="s">
        <v>2346</v>
      </c>
      <c r="D623" s="641" t="s">
        <v>694</v>
      </c>
      <c r="E623" s="669"/>
      <c r="F623" s="641"/>
      <c r="G623" s="667"/>
      <c r="H623" s="667"/>
      <c r="I623" s="667"/>
      <c r="J623" s="667"/>
      <c r="K623" s="670"/>
      <c r="L623" s="666"/>
      <c r="M623" s="666"/>
      <c r="N623" s="666"/>
      <c r="O623" s="666"/>
      <c r="P623" s="666"/>
      <c r="Q623" s="666"/>
      <c r="R623" s="666"/>
      <c r="S623" s="666"/>
      <c r="T623" s="666"/>
      <c r="U623" s="666"/>
      <c r="V623" s="666"/>
      <c r="W623" s="666"/>
      <c r="X623" s="666"/>
      <c r="Y623" s="666"/>
      <c r="Z623" s="666"/>
      <c r="AA623" s="666"/>
      <c r="AB623" s="666"/>
      <c r="AC623" s="666"/>
      <c r="AD623" s="666"/>
      <c r="AE623" s="666"/>
      <c r="AF623" s="666"/>
      <c r="AG623" s="666"/>
      <c r="AH623" s="666"/>
      <c r="AI623" s="666"/>
      <c r="AJ623" s="666"/>
      <c r="AK623" s="666"/>
      <c r="AL623" s="666"/>
      <c r="AM623" s="666"/>
      <c r="AN623" s="666"/>
      <c r="AO623" s="666"/>
      <c r="AP623" s="666"/>
      <c r="AQ623" s="666"/>
      <c r="AR623" s="666"/>
      <c r="AS623" s="666"/>
      <c r="AT623" s="666"/>
      <c r="AU623" s="666"/>
    </row>
    <row r="624" ht="15.75" customHeight="1">
      <c r="A624" s="773">
        <v>44482.0</v>
      </c>
      <c r="B624" s="668" t="s">
        <v>7052</v>
      </c>
      <c r="C624" s="641" t="s">
        <v>2346</v>
      </c>
      <c r="D624" s="641" t="s">
        <v>694</v>
      </c>
      <c r="E624" s="669"/>
      <c r="F624" s="641" t="s">
        <v>2536</v>
      </c>
      <c r="G624" s="667" t="s">
        <v>669</v>
      </c>
      <c r="H624" s="667" t="s">
        <v>199</v>
      </c>
      <c r="I624" s="667" t="s">
        <v>1228</v>
      </c>
      <c r="J624" s="667" t="s">
        <v>584</v>
      </c>
      <c r="K624" s="670" t="s">
        <v>2341</v>
      </c>
      <c r="L624" s="666"/>
      <c r="M624" s="666"/>
      <c r="N624" s="666"/>
      <c r="O624" s="666"/>
      <c r="P624" s="666"/>
      <c r="Q624" s="666"/>
      <c r="R624" s="666"/>
      <c r="S624" s="666"/>
      <c r="T624" s="666"/>
      <c r="U624" s="666"/>
      <c r="V624" s="666"/>
      <c r="W624" s="666"/>
      <c r="X624" s="666"/>
      <c r="Y624" s="666"/>
      <c r="Z624" s="666"/>
      <c r="AA624" s="666"/>
      <c r="AB624" s="666"/>
      <c r="AC624" s="666"/>
      <c r="AD624" s="666"/>
      <c r="AE624" s="666"/>
      <c r="AF624" s="666"/>
      <c r="AG624" s="666"/>
      <c r="AH624" s="666"/>
      <c r="AI624" s="666"/>
      <c r="AJ624" s="666"/>
      <c r="AK624" s="666"/>
      <c r="AL624" s="666"/>
      <c r="AM624" s="666"/>
      <c r="AN624" s="666"/>
      <c r="AO624" s="666"/>
      <c r="AP624" s="666"/>
      <c r="AQ624" s="666"/>
      <c r="AR624" s="666"/>
      <c r="AS624" s="666"/>
      <c r="AT624" s="666"/>
      <c r="AU624" s="666"/>
    </row>
    <row r="625" ht="15.75" customHeight="1">
      <c r="A625" s="773">
        <v>44482.0</v>
      </c>
      <c r="B625" s="668" t="s">
        <v>5923</v>
      </c>
      <c r="C625" s="641" t="s">
        <v>98</v>
      </c>
      <c r="D625" s="641" t="s">
        <v>694</v>
      </c>
      <c r="E625" s="669">
        <v>0.0</v>
      </c>
      <c r="F625" s="641" t="s">
        <v>5924</v>
      </c>
      <c r="G625" s="641" t="s">
        <v>255</v>
      </c>
      <c r="H625" s="641" t="s">
        <v>199</v>
      </c>
      <c r="I625" s="641" t="s">
        <v>4802</v>
      </c>
      <c r="J625" s="667">
        <v>44105.0</v>
      </c>
      <c r="K625" s="674" t="s">
        <v>2372</v>
      </c>
      <c r="L625" s="666"/>
      <c r="M625" s="666"/>
      <c r="N625" s="666"/>
      <c r="O625" s="666"/>
      <c r="P625" s="666"/>
      <c r="Q625" s="666"/>
      <c r="R625" s="666"/>
      <c r="S625" s="666"/>
      <c r="T625" s="666"/>
      <c r="U625" s="666"/>
      <c r="V625" s="666"/>
      <c r="W625" s="666"/>
      <c r="X625" s="666"/>
      <c r="Y625" s="666"/>
      <c r="Z625" s="666"/>
      <c r="AA625" s="666"/>
      <c r="AB625" s="666"/>
      <c r="AC625" s="666"/>
      <c r="AD625" s="666"/>
      <c r="AE625" s="666"/>
      <c r="AF625" s="666"/>
      <c r="AG625" s="666"/>
      <c r="AH625" s="666"/>
      <c r="AI625" s="666"/>
      <c r="AJ625" s="666"/>
      <c r="AK625" s="666"/>
      <c r="AL625" s="666"/>
      <c r="AM625" s="666"/>
      <c r="AN625" s="666"/>
      <c r="AO625" s="666"/>
      <c r="AP625" s="666"/>
      <c r="AQ625" s="666"/>
      <c r="AR625" s="666"/>
      <c r="AS625" s="666"/>
      <c r="AT625" s="666"/>
      <c r="AU625" s="666"/>
    </row>
    <row r="626" ht="15.75" customHeight="1">
      <c r="A626" s="713">
        <v>44483.0</v>
      </c>
      <c r="B626" s="801" t="s">
        <v>5605</v>
      </c>
      <c r="C626" s="641" t="s">
        <v>2346</v>
      </c>
      <c r="D626" s="641" t="s">
        <v>427</v>
      </c>
      <c r="E626" s="802">
        <v>73572.75</v>
      </c>
      <c r="F626" s="641" t="s">
        <v>5380</v>
      </c>
      <c r="G626" s="667" t="s">
        <v>669</v>
      </c>
      <c r="H626" s="667" t="s">
        <v>199</v>
      </c>
      <c r="I626" s="667" t="s">
        <v>1228</v>
      </c>
      <c r="J626" s="667">
        <v>43875.0</v>
      </c>
      <c r="K626" s="670" t="s">
        <v>2365</v>
      </c>
      <c r="L626" s="666"/>
      <c r="M626" s="666"/>
      <c r="N626" s="666"/>
      <c r="O626" s="666"/>
      <c r="P626" s="666"/>
      <c r="Q626" s="666"/>
      <c r="R626" s="666"/>
      <c r="S626" s="666"/>
      <c r="T626" s="666"/>
      <c r="U626" s="666"/>
      <c r="V626" s="666"/>
      <c r="W626" s="666"/>
      <c r="X626" s="666"/>
      <c r="Y626" s="666"/>
      <c r="Z626" s="666"/>
      <c r="AA626" s="666"/>
      <c r="AB626" s="666"/>
      <c r="AC626" s="666"/>
      <c r="AD626" s="666"/>
      <c r="AE626" s="666"/>
      <c r="AF626" s="666"/>
      <c r="AG626" s="666"/>
      <c r="AH626" s="666"/>
      <c r="AI626" s="666"/>
      <c r="AJ626" s="666"/>
      <c r="AK626" s="666"/>
      <c r="AL626" s="666"/>
      <c r="AM626" s="666"/>
      <c r="AN626" s="666"/>
      <c r="AO626" s="666"/>
      <c r="AP626" s="666"/>
      <c r="AQ626" s="666"/>
      <c r="AR626" s="666"/>
      <c r="AS626" s="666"/>
      <c r="AT626" s="666"/>
      <c r="AU626" s="666"/>
    </row>
    <row r="627" ht="15.75" customHeight="1">
      <c r="A627" s="713">
        <v>44483.0</v>
      </c>
      <c r="B627" s="801" t="s">
        <v>5716</v>
      </c>
      <c r="C627" s="641" t="s">
        <v>2346</v>
      </c>
      <c r="D627" s="641" t="s">
        <v>5038</v>
      </c>
      <c r="E627" s="775">
        <v>10000.0</v>
      </c>
      <c r="F627" s="641" t="s">
        <v>1085</v>
      </c>
      <c r="G627" s="667" t="s">
        <v>120</v>
      </c>
      <c r="H627" s="667" t="s">
        <v>91</v>
      </c>
      <c r="I627" s="667" t="s">
        <v>521</v>
      </c>
      <c r="J627" s="667">
        <v>44295.0</v>
      </c>
      <c r="K627" s="670" t="s">
        <v>2356</v>
      </c>
      <c r="L627" s="666"/>
      <c r="M627" s="666"/>
      <c r="N627" s="666"/>
      <c r="O627" s="666"/>
      <c r="P627" s="666"/>
      <c r="Q627" s="666"/>
      <c r="R627" s="666"/>
      <c r="S627" s="666"/>
      <c r="T627" s="666"/>
      <c r="U627" s="666"/>
      <c r="V627" s="666"/>
      <c r="W627" s="666"/>
      <c r="X627" s="666"/>
      <c r="Y627" s="666"/>
      <c r="Z627" s="666"/>
      <c r="AA627" s="666"/>
      <c r="AB627" s="666"/>
      <c r="AC627" s="666"/>
      <c r="AD627" s="666"/>
      <c r="AE627" s="666"/>
      <c r="AF627" s="666"/>
      <c r="AG627" s="666"/>
      <c r="AH627" s="666"/>
      <c r="AI627" s="666"/>
      <c r="AJ627" s="666"/>
      <c r="AK627" s="666"/>
      <c r="AL627" s="666"/>
      <c r="AM627" s="666"/>
      <c r="AN627" s="666"/>
      <c r="AO627" s="666"/>
      <c r="AP627" s="666"/>
      <c r="AQ627" s="666"/>
      <c r="AR627" s="666"/>
      <c r="AS627" s="666"/>
      <c r="AT627" s="666"/>
      <c r="AU627" s="666"/>
    </row>
    <row r="628" ht="15.75" customHeight="1">
      <c r="A628" s="713">
        <v>44484.0</v>
      </c>
      <c r="B628" s="718" t="s">
        <v>6844</v>
      </c>
      <c r="C628" s="715" t="s">
        <v>2346</v>
      </c>
      <c r="D628" s="641" t="s">
        <v>694</v>
      </c>
      <c r="E628" s="803">
        <v>161212.56</v>
      </c>
      <c r="F628" s="641" t="s">
        <v>5274</v>
      </c>
      <c r="G628" s="667" t="s">
        <v>120</v>
      </c>
      <c r="H628" s="667" t="s">
        <v>91</v>
      </c>
      <c r="I628" s="667" t="s">
        <v>193</v>
      </c>
      <c r="J628" s="667">
        <v>44319.0</v>
      </c>
      <c r="K628" s="670" t="s">
        <v>2319</v>
      </c>
      <c r="L628" s="666"/>
      <c r="M628" s="666"/>
      <c r="N628" s="666"/>
      <c r="O628" s="666"/>
      <c r="P628" s="666"/>
      <c r="Q628" s="666"/>
      <c r="R628" s="666"/>
      <c r="S628" s="666"/>
      <c r="T628" s="666"/>
      <c r="U628" s="666"/>
      <c r="V628" s="666"/>
      <c r="W628" s="666"/>
      <c r="X628" s="666"/>
      <c r="Y628" s="666"/>
      <c r="Z628" s="666"/>
      <c r="AA628" s="666"/>
      <c r="AB628" s="666"/>
      <c r="AC628" s="666"/>
      <c r="AD628" s="666"/>
      <c r="AE628" s="666"/>
      <c r="AF628" s="666"/>
      <c r="AG628" s="666"/>
      <c r="AH628" s="666"/>
      <c r="AI628" s="666"/>
      <c r="AJ628" s="666"/>
      <c r="AK628" s="666"/>
      <c r="AL628" s="666"/>
      <c r="AM628" s="666"/>
      <c r="AN628" s="666"/>
      <c r="AO628" s="666"/>
      <c r="AP628" s="666"/>
      <c r="AQ628" s="666"/>
      <c r="AR628" s="666"/>
      <c r="AS628" s="666"/>
      <c r="AT628" s="666"/>
      <c r="AU628" s="666"/>
    </row>
    <row r="629" ht="15.75" customHeight="1">
      <c r="A629" s="773">
        <v>44484.0</v>
      </c>
      <c r="B629" s="668" t="s">
        <v>7070</v>
      </c>
      <c r="C629" s="641" t="s">
        <v>2346</v>
      </c>
      <c r="D629" s="641" t="s">
        <v>694</v>
      </c>
      <c r="E629" s="669"/>
      <c r="F629" s="641" t="s">
        <v>7072</v>
      </c>
      <c r="G629" s="667" t="s">
        <v>669</v>
      </c>
      <c r="H629" s="667" t="s">
        <v>199</v>
      </c>
      <c r="I629" s="667" t="s">
        <v>2388</v>
      </c>
      <c r="J629" s="667" t="s">
        <v>584</v>
      </c>
      <c r="K629" s="670" t="s">
        <v>2365</v>
      </c>
      <c r="L629" s="666"/>
      <c r="M629" s="666"/>
      <c r="N629" s="666"/>
      <c r="O629" s="666"/>
      <c r="P629" s="666"/>
      <c r="Q629" s="666"/>
      <c r="R629" s="666"/>
      <c r="S629" s="666"/>
      <c r="T629" s="666"/>
      <c r="U629" s="666"/>
      <c r="V629" s="666"/>
      <c r="W629" s="666"/>
      <c r="X629" s="666"/>
      <c r="Y629" s="666"/>
      <c r="Z629" s="666"/>
      <c r="AA629" s="666"/>
      <c r="AB629" s="666"/>
      <c r="AC629" s="666"/>
      <c r="AD629" s="666"/>
      <c r="AE629" s="666"/>
      <c r="AF629" s="666"/>
      <c r="AG629" s="666"/>
      <c r="AH629" s="666"/>
      <c r="AI629" s="666"/>
      <c r="AJ629" s="666"/>
      <c r="AK629" s="666"/>
      <c r="AL629" s="666"/>
      <c r="AM629" s="666"/>
      <c r="AN629" s="666"/>
      <c r="AO629" s="666"/>
      <c r="AP629" s="666"/>
      <c r="AQ629" s="666"/>
      <c r="AR629" s="666"/>
      <c r="AS629" s="666"/>
      <c r="AT629" s="666"/>
      <c r="AU629" s="666"/>
    </row>
    <row r="630" ht="15.75" customHeight="1">
      <c r="A630" s="773">
        <v>44484.0</v>
      </c>
      <c r="B630" s="668" t="s">
        <v>7074</v>
      </c>
      <c r="C630" s="641" t="s">
        <v>2346</v>
      </c>
      <c r="D630" s="641" t="s">
        <v>694</v>
      </c>
      <c r="E630" s="669"/>
      <c r="F630" s="641" t="s">
        <v>7072</v>
      </c>
      <c r="G630" s="667" t="s">
        <v>669</v>
      </c>
      <c r="H630" s="667" t="s">
        <v>199</v>
      </c>
      <c r="I630" s="667" t="s">
        <v>2388</v>
      </c>
      <c r="J630" s="667" t="s">
        <v>584</v>
      </c>
      <c r="K630" s="670" t="s">
        <v>2372</v>
      </c>
      <c r="L630" s="666"/>
      <c r="M630" s="666"/>
      <c r="N630" s="666"/>
      <c r="O630" s="666"/>
      <c r="P630" s="666"/>
      <c r="Q630" s="666"/>
      <c r="R630" s="666"/>
      <c r="S630" s="666"/>
      <c r="T630" s="666"/>
      <c r="U630" s="666"/>
      <c r="V630" s="666"/>
      <c r="W630" s="666"/>
      <c r="X630" s="666"/>
      <c r="Y630" s="666"/>
      <c r="Z630" s="666"/>
      <c r="AA630" s="666"/>
      <c r="AB630" s="666"/>
      <c r="AC630" s="666"/>
      <c r="AD630" s="666"/>
      <c r="AE630" s="666"/>
      <c r="AF630" s="666"/>
      <c r="AG630" s="666"/>
      <c r="AH630" s="666"/>
      <c r="AI630" s="666"/>
      <c r="AJ630" s="666"/>
      <c r="AK630" s="666"/>
      <c r="AL630" s="666"/>
      <c r="AM630" s="666"/>
      <c r="AN630" s="666"/>
      <c r="AO630" s="666"/>
      <c r="AP630" s="666"/>
      <c r="AQ630" s="666"/>
      <c r="AR630" s="666"/>
      <c r="AS630" s="666"/>
      <c r="AT630" s="666"/>
      <c r="AU630" s="666"/>
    </row>
    <row r="631" ht="15.75" customHeight="1">
      <c r="A631" s="773">
        <v>44484.0</v>
      </c>
      <c r="B631" s="777" t="s">
        <v>5945</v>
      </c>
      <c r="C631" s="641" t="s">
        <v>2346</v>
      </c>
      <c r="D631" s="641" t="s">
        <v>694</v>
      </c>
      <c r="E631" s="669">
        <v>1.47</v>
      </c>
      <c r="F631" s="641" t="s">
        <v>5948</v>
      </c>
      <c r="G631" s="667" t="s">
        <v>669</v>
      </c>
      <c r="H631" s="667" t="s">
        <v>199</v>
      </c>
      <c r="I631" s="667" t="s">
        <v>2388</v>
      </c>
      <c r="J631" s="667">
        <v>43861.0</v>
      </c>
      <c r="K631" s="670" t="s">
        <v>2365</v>
      </c>
      <c r="L631" s="666"/>
      <c r="M631" s="666"/>
      <c r="N631" s="666"/>
      <c r="O631" s="666"/>
      <c r="P631" s="666"/>
      <c r="Q631" s="666"/>
      <c r="R631" s="666"/>
      <c r="S631" s="666"/>
      <c r="T631" s="666"/>
      <c r="U631" s="666"/>
      <c r="V631" s="666"/>
      <c r="W631" s="666"/>
      <c r="X631" s="666"/>
      <c r="Y631" s="666"/>
      <c r="Z631" s="666"/>
      <c r="AA631" s="666"/>
      <c r="AB631" s="666"/>
      <c r="AC631" s="666"/>
      <c r="AD631" s="666"/>
      <c r="AE631" s="666"/>
      <c r="AF631" s="666"/>
      <c r="AG631" s="666"/>
      <c r="AH631" s="666"/>
      <c r="AI631" s="666"/>
      <c r="AJ631" s="666"/>
      <c r="AK631" s="666"/>
      <c r="AL631" s="666"/>
      <c r="AM631" s="666"/>
      <c r="AN631" s="666"/>
      <c r="AO631" s="666"/>
      <c r="AP631" s="666"/>
      <c r="AQ631" s="666"/>
      <c r="AR631" s="666"/>
      <c r="AS631" s="666"/>
      <c r="AT631" s="666"/>
      <c r="AU631" s="666"/>
    </row>
    <row r="632" ht="15.75" customHeight="1">
      <c r="A632" s="773">
        <v>44484.0</v>
      </c>
      <c r="B632" s="668" t="s">
        <v>5555</v>
      </c>
      <c r="C632" s="641" t="s">
        <v>2346</v>
      </c>
      <c r="D632" s="641" t="s">
        <v>694</v>
      </c>
      <c r="E632" s="669">
        <v>2.93</v>
      </c>
      <c r="F632" s="641" t="s">
        <v>5556</v>
      </c>
      <c r="G632" s="667" t="s">
        <v>669</v>
      </c>
      <c r="H632" s="667" t="s">
        <v>199</v>
      </c>
      <c r="I632" s="667" t="s">
        <v>2388</v>
      </c>
      <c r="J632" s="667">
        <v>43622.0</v>
      </c>
      <c r="K632" s="670" t="s">
        <v>2365</v>
      </c>
      <c r="L632" s="666"/>
      <c r="M632" s="666"/>
      <c r="N632" s="666"/>
      <c r="O632" s="666"/>
      <c r="P632" s="666"/>
      <c r="Q632" s="666"/>
      <c r="R632" s="666"/>
      <c r="S632" s="666"/>
      <c r="T632" s="666"/>
      <c r="U632" s="666"/>
      <c r="V632" s="666"/>
      <c r="W632" s="666"/>
      <c r="X632" s="666"/>
      <c r="Y632" s="666"/>
      <c r="Z632" s="666"/>
      <c r="AA632" s="666"/>
      <c r="AB632" s="666"/>
      <c r="AC632" s="666"/>
      <c r="AD632" s="666"/>
      <c r="AE632" s="666"/>
      <c r="AF632" s="666"/>
      <c r="AG632" s="666"/>
      <c r="AH632" s="666"/>
      <c r="AI632" s="666"/>
      <c r="AJ632" s="666"/>
      <c r="AK632" s="666"/>
      <c r="AL632" s="666"/>
      <c r="AM632" s="666"/>
      <c r="AN632" s="666"/>
      <c r="AO632" s="666"/>
      <c r="AP632" s="666"/>
      <c r="AQ632" s="666"/>
      <c r="AR632" s="666"/>
      <c r="AS632" s="666"/>
      <c r="AT632" s="666"/>
      <c r="AU632" s="666"/>
    </row>
    <row r="633" ht="15.75" customHeight="1">
      <c r="A633" s="773">
        <v>44484.0</v>
      </c>
      <c r="B633" s="668" t="s">
        <v>7081</v>
      </c>
      <c r="C633" s="641" t="s">
        <v>2346</v>
      </c>
      <c r="D633" s="641" t="s">
        <v>694</v>
      </c>
      <c r="E633" s="669"/>
      <c r="F633" s="641" t="s">
        <v>5556</v>
      </c>
      <c r="G633" s="667" t="s">
        <v>669</v>
      </c>
      <c r="H633" s="667" t="s">
        <v>199</v>
      </c>
      <c r="I633" s="667" t="s">
        <v>2388</v>
      </c>
      <c r="J633" s="667">
        <v>43622.0</v>
      </c>
      <c r="K633" s="670" t="s">
        <v>2341</v>
      </c>
      <c r="L633" s="666"/>
      <c r="M633" s="666"/>
      <c r="N633" s="666"/>
      <c r="O633" s="666"/>
      <c r="P633" s="666"/>
      <c r="Q633" s="666"/>
      <c r="R633" s="666"/>
      <c r="S633" s="666"/>
      <c r="T633" s="666"/>
      <c r="U633" s="666"/>
      <c r="V633" s="666"/>
      <c r="W633" s="666"/>
      <c r="X633" s="666"/>
      <c r="Y633" s="666"/>
      <c r="Z633" s="666"/>
      <c r="AA633" s="666"/>
      <c r="AB633" s="666"/>
      <c r="AC633" s="666"/>
      <c r="AD633" s="666"/>
      <c r="AE633" s="666"/>
      <c r="AF633" s="666"/>
      <c r="AG633" s="666"/>
      <c r="AH633" s="666"/>
      <c r="AI633" s="666"/>
      <c r="AJ633" s="666"/>
      <c r="AK633" s="666"/>
      <c r="AL633" s="666"/>
      <c r="AM633" s="666"/>
      <c r="AN633" s="666"/>
      <c r="AO633" s="666"/>
      <c r="AP633" s="666"/>
      <c r="AQ633" s="666"/>
      <c r="AR633" s="666"/>
      <c r="AS633" s="666"/>
      <c r="AT633" s="666"/>
      <c r="AU633" s="666"/>
    </row>
    <row r="634" ht="15.75" customHeight="1">
      <c r="A634" s="773">
        <v>44484.0</v>
      </c>
      <c r="B634" s="777" t="s">
        <v>6261</v>
      </c>
      <c r="C634" s="641" t="s">
        <v>2346</v>
      </c>
      <c r="D634" s="641" t="s">
        <v>694</v>
      </c>
      <c r="E634" s="669">
        <v>0.22</v>
      </c>
      <c r="F634" s="641" t="s">
        <v>6262</v>
      </c>
      <c r="G634" s="667" t="s">
        <v>669</v>
      </c>
      <c r="H634" s="667" t="s">
        <v>199</v>
      </c>
      <c r="I634" s="667" t="s">
        <v>669</v>
      </c>
      <c r="J634" s="667">
        <v>44036.0</v>
      </c>
      <c r="K634" s="670" t="s">
        <v>2365</v>
      </c>
      <c r="L634" s="666"/>
      <c r="M634" s="666"/>
      <c r="N634" s="666"/>
      <c r="O634" s="666"/>
      <c r="P634" s="666"/>
      <c r="Q634" s="666"/>
      <c r="R634" s="666"/>
      <c r="S634" s="666"/>
      <c r="T634" s="666"/>
      <c r="U634" s="666"/>
      <c r="V634" s="666"/>
      <c r="W634" s="666"/>
      <c r="X634" s="666"/>
      <c r="Y634" s="666"/>
      <c r="Z634" s="666"/>
      <c r="AA634" s="666"/>
      <c r="AB634" s="666"/>
      <c r="AC634" s="666"/>
      <c r="AD634" s="666"/>
      <c r="AE634" s="666"/>
      <c r="AF634" s="666"/>
      <c r="AG634" s="666"/>
      <c r="AH634" s="666"/>
      <c r="AI634" s="666"/>
      <c r="AJ634" s="666"/>
      <c r="AK634" s="666"/>
      <c r="AL634" s="666"/>
      <c r="AM634" s="666"/>
      <c r="AN634" s="666"/>
      <c r="AO634" s="666"/>
      <c r="AP634" s="666"/>
      <c r="AQ634" s="666"/>
      <c r="AR634" s="666"/>
      <c r="AS634" s="666"/>
      <c r="AT634" s="666"/>
      <c r="AU634" s="666"/>
    </row>
    <row r="635" ht="15.75" customHeight="1">
      <c r="A635" s="773">
        <v>44484.0</v>
      </c>
      <c r="B635" s="668" t="s">
        <v>7086</v>
      </c>
      <c r="C635" s="641" t="s">
        <v>2346</v>
      </c>
      <c r="D635" s="641" t="s">
        <v>694</v>
      </c>
      <c r="E635" s="669"/>
      <c r="F635" s="641" t="s">
        <v>6204</v>
      </c>
      <c r="G635" s="667" t="s">
        <v>669</v>
      </c>
      <c r="H635" s="667" t="s">
        <v>199</v>
      </c>
      <c r="I635" s="667" t="s">
        <v>2388</v>
      </c>
      <c r="J635" s="667" t="s">
        <v>584</v>
      </c>
      <c r="K635" s="670" t="s">
        <v>2365</v>
      </c>
      <c r="L635" s="666"/>
      <c r="M635" s="666"/>
      <c r="N635" s="666"/>
      <c r="O635" s="666"/>
      <c r="P635" s="666"/>
      <c r="Q635" s="666"/>
      <c r="R635" s="666"/>
      <c r="S635" s="666"/>
      <c r="T635" s="666"/>
      <c r="U635" s="666"/>
      <c r="V635" s="666"/>
      <c r="W635" s="666"/>
      <c r="X635" s="666"/>
      <c r="Y635" s="666"/>
      <c r="Z635" s="666"/>
      <c r="AA635" s="666"/>
      <c r="AB635" s="666"/>
      <c r="AC635" s="666"/>
      <c r="AD635" s="666"/>
      <c r="AE635" s="666"/>
      <c r="AF635" s="666"/>
      <c r="AG635" s="666"/>
      <c r="AH635" s="666"/>
      <c r="AI635" s="666"/>
      <c r="AJ635" s="666"/>
      <c r="AK635" s="666"/>
      <c r="AL635" s="666"/>
      <c r="AM635" s="666"/>
      <c r="AN635" s="666"/>
      <c r="AO635" s="666"/>
      <c r="AP635" s="666"/>
      <c r="AQ635" s="666"/>
      <c r="AR635" s="666"/>
      <c r="AS635" s="666"/>
      <c r="AT635" s="666"/>
      <c r="AU635" s="666"/>
    </row>
    <row r="636" ht="15.75" customHeight="1">
      <c r="A636" s="773">
        <v>44484.0</v>
      </c>
      <c r="B636" s="777" t="s">
        <v>5372</v>
      </c>
      <c r="C636" s="641" t="s">
        <v>2346</v>
      </c>
      <c r="D636" s="641" t="s">
        <v>694</v>
      </c>
      <c r="E636" s="669">
        <v>146.69</v>
      </c>
      <c r="F636" s="641" t="s">
        <v>5373</v>
      </c>
      <c r="G636" s="667" t="s">
        <v>669</v>
      </c>
      <c r="H636" s="667" t="s">
        <v>199</v>
      </c>
      <c r="I636" s="667" t="s">
        <v>1228</v>
      </c>
      <c r="J636" s="667">
        <v>43732.0</v>
      </c>
      <c r="K636" s="670" t="s">
        <v>4383</v>
      </c>
      <c r="L636" s="666"/>
      <c r="M636" s="666"/>
      <c r="N636" s="666"/>
      <c r="O636" s="666"/>
      <c r="P636" s="666"/>
      <c r="Q636" s="666"/>
      <c r="R636" s="666"/>
      <c r="S636" s="666"/>
      <c r="T636" s="666"/>
      <c r="U636" s="666"/>
      <c r="V636" s="666"/>
      <c r="W636" s="666"/>
      <c r="X636" s="666"/>
      <c r="Y636" s="666"/>
      <c r="Z636" s="666"/>
      <c r="AA636" s="666"/>
      <c r="AB636" s="666"/>
      <c r="AC636" s="666"/>
      <c r="AD636" s="666"/>
      <c r="AE636" s="666"/>
      <c r="AF636" s="666"/>
      <c r="AG636" s="666"/>
      <c r="AH636" s="666"/>
      <c r="AI636" s="666"/>
      <c r="AJ636" s="666"/>
      <c r="AK636" s="666"/>
      <c r="AL636" s="666"/>
      <c r="AM636" s="666"/>
      <c r="AN636" s="666"/>
      <c r="AO636" s="666"/>
      <c r="AP636" s="666"/>
      <c r="AQ636" s="666"/>
      <c r="AR636" s="666"/>
      <c r="AS636" s="666"/>
      <c r="AT636" s="666"/>
      <c r="AU636" s="666"/>
    </row>
    <row r="637" ht="15.75" customHeight="1">
      <c r="A637" s="773">
        <v>44484.0</v>
      </c>
      <c r="B637" s="668" t="s">
        <v>7089</v>
      </c>
      <c r="C637" s="641" t="s">
        <v>2346</v>
      </c>
      <c r="D637" s="641" t="s">
        <v>694</v>
      </c>
      <c r="E637" s="669">
        <v>78.0</v>
      </c>
      <c r="F637" s="641" t="s">
        <v>5541</v>
      </c>
      <c r="G637" s="667" t="s">
        <v>669</v>
      </c>
      <c r="H637" s="667" t="s">
        <v>199</v>
      </c>
      <c r="I637" s="667" t="s">
        <v>2388</v>
      </c>
      <c r="J637" s="667">
        <v>43853.0</v>
      </c>
      <c r="K637" s="670" t="s">
        <v>2341</v>
      </c>
      <c r="L637" s="666"/>
      <c r="M637" s="666"/>
      <c r="N637" s="666"/>
      <c r="O637" s="666"/>
      <c r="P637" s="666"/>
      <c r="Q637" s="666"/>
      <c r="R637" s="666"/>
      <c r="S637" s="666"/>
      <c r="T637" s="666"/>
      <c r="U637" s="666"/>
      <c r="V637" s="666"/>
      <c r="W637" s="666"/>
      <c r="X637" s="666"/>
      <c r="Y637" s="666"/>
      <c r="Z637" s="666"/>
      <c r="AA637" s="666"/>
      <c r="AB637" s="666"/>
      <c r="AC637" s="666"/>
      <c r="AD637" s="666"/>
      <c r="AE637" s="666"/>
      <c r="AF637" s="666"/>
      <c r="AG637" s="666"/>
      <c r="AH637" s="666"/>
      <c r="AI637" s="666"/>
      <c r="AJ637" s="666"/>
      <c r="AK637" s="666"/>
      <c r="AL637" s="666"/>
      <c r="AM637" s="666"/>
      <c r="AN637" s="666"/>
      <c r="AO637" s="666"/>
      <c r="AP637" s="666"/>
      <c r="AQ637" s="666"/>
      <c r="AR637" s="666"/>
      <c r="AS637" s="666"/>
      <c r="AT637" s="666"/>
      <c r="AU637" s="666"/>
    </row>
    <row r="638" ht="15.75" customHeight="1">
      <c r="A638" s="713">
        <v>44488.0</v>
      </c>
      <c r="B638" s="804" t="s">
        <v>7094</v>
      </c>
      <c r="C638" s="715" t="s">
        <v>98</v>
      </c>
      <c r="D638" s="641" t="s">
        <v>427</v>
      </c>
      <c r="E638" s="803">
        <v>44080.95</v>
      </c>
      <c r="F638" s="641" t="s">
        <v>4639</v>
      </c>
      <c r="G638" s="641" t="s">
        <v>255</v>
      </c>
      <c r="H638" s="641" t="s">
        <v>199</v>
      </c>
      <c r="I638" s="641" t="s">
        <v>7097</v>
      </c>
      <c r="J638" s="667">
        <v>44537.0</v>
      </c>
      <c r="K638" s="674" t="s">
        <v>2319</v>
      </c>
      <c r="L638" s="666"/>
      <c r="M638" s="666"/>
      <c r="N638" s="666"/>
      <c r="O638" s="666"/>
      <c r="P638" s="666"/>
      <c r="Q638" s="666"/>
      <c r="R638" s="666"/>
      <c r="S638" s="666"/>
      <c r="T638" s="666"/>
      <c r="U638" s="666"/>
      <c r="V638" s="666"/>
      <c r="W638" s="666"/>
      <c r="X638" s="666"/>
      <c r="Y638" s="666"/>
      <c r="Z638" s="666"/>
      <c r="AA638" s="666"/>
      <c r="AB638" s="666"/>
      <c r="AC638" s="666"/>
      <c r="AD638" s="666"/>
      <c r="AE638" s="666"/>
      <c r="AF638" s="666"/>
      <c r="AG638" s="666"/>
      <c r="AH638" s="666"/>
      <c r="AI638" s="666"/>
      <c r="AJ638" s="666"/>
      <c r="AK638" s="666"/>
      <c r="AL638" s="666"/>
      <c r="AM638" s="666"/>
      <c r="AN638" s="666"/>
      <c r="AO638" s="666"/>
      <c r="AP638" s="666"/>
      <c r="AQ638" s="666"/>
      <c r="AR638" s="666"/>
      <c r="AS638" s="666"/>
      <c r="AT638" s="666"/>
      <c r="AU638" s="666"/>
    </row>
    <row r="639" ht="15.75" customHeight="1">
      <c r="A639" s="713">
        <v>44489.0</v>
      </c>
      <c r="B639" s="801" t="s">
        <v>6923</v>
      </c>
      <c r="C639" s="715" t="s">
        <v>2346</v>
      </c>
      <c r="D639" s="641" t="s">
        <v>5038</v>
      </c>
      <c r="E639" s="803">
        <v>70000.0</v>
      </c>
      <c r="F639" s="641" t="s">
        <v>4241</v>
      </c>
      <c r="G639" s="667" t="s">
        <v>120</v>
      </c>
      <c r="H639" s="667" t="s">
        <v>91</v>
      </c>
      <c r="I639" s="667" t="s">
        <v>193</v>
      </c>
      <c r="J639" s="667">
        <v>44393.0</v>
      </c>
      <c r="K639" s="670" t="s">
        <v>4919</v>
      </c>
      <c r="L639" s="666"/>
      <c r="M639" s="666"/>
      <c r="N639" s="666"/>
      <c r="O639" s="666"/>
      <c r="P639" s="666"/>
      <c r="Q639" s="666"/>
      <c r="R639" s="666"/>
      <c r="S639" s="666"/>
      <c r="T639" s="666"/>
      <c r="U639" s="666"/>
      <c r="V639" s="666"/>
      <c r="W639" s="666"/>
      <c r="X639" s="666"/>
      <c r="Y639" s="666"/>
      <c r="Z639" s="666"/>
      <c r="AA639" s="666"/>
      <c r="AB639" s="666"/>
      <c r="AC639" s="666"/>
      <c r="AD639" s="666"/>
      <c r="AE639" s="666"/>
      <c r="AF639" s="666"/>
      <c r="AG639" s="666"/>
      <c r="AH639" s="666"/>
      <c r="AI639" s="666"/>
      <c r="AJ639" s="666"/>
      <c r="AK639" s="666"/>
      <c r="AL639" s="666"/>
      <c r="AM639" s="666"/>
      <c r="AN639" s="666"/>
      <c r="AO639" s="666"/>
      <c r="AP639" s="666"/>
      <c r="AQ639" s="666"/>
      <c r="AR639" s="666"/>
      <c r="AS639" s="666"/>
      <c r="AT639" s="666"/>
      <c r="AU639" s="666"/>
    </row>
    <row r="640" ht="15.75" customHeight="1">
      <c r="A640" s="713">
        <v>44489.0</v>
      </c>
      <c r="B640" s="801" t="s">
        <v>7105</v>
      </c>
      <c r="C640" s="715" t="s">
        <v>98</v>
      </c>
      <c r="D640" s="641" t="s">
        <v>5038</v>
      </c>
      <c r="E640" s="803">
        <v>100000.0</v>
      </c>
      <c r="F640" s="805" t="s">
        <v>5541</v>
      </c>
      <c r="G640" s="641" t="s">
        <v>669</v>
      </c>
      <c r="H640" s="641" t="s">
        <v>199</v>
      </c>
      <c r="I640" s="641" t="s">
        <v>669</v>
      </c>
      <c r="J640" s="641" t="s">
        <v>7108</v>
      </c>
      <c r="K640" s="674" t="s">
        <v>2365</v>
      </c>
      <c r="L640" s="666"/>
      <c r="M640" s="666"/>
      <c r="N640" s="666"/>
      <c r="O640" s="666"/>
      <c r="P640" s="666"/>
      <c r="Q640" s="666"/>
      <c r="R640" s="666"/>
      <c r="S640" s="666"/>
      <c r="T640" s="666"/>
      <c r="U640" s="666"/>
      <c r="V640" s="666"/>
      <c r="W640" s="666"/>
      <c r="X640" s="666"/>
      <c r="Y640" s="666"/>
      <c r="Z640" s="666"/>
      <c r="AA640" s="666"/>
      <c r="AB640" s="666"/>
      <c r="AC640" s="666"/>
      <c r="AD640" s="666"/>
      <c r="AE640" s="666"/>
      <c r="AF640" s="666"/>
      <c r="AG640" s="666"/>
      <c r="AH640" s="666"/>
      <c r="AI640" s="666"/>
      <c r="AJ640" s="666"/>
      <c r="AK640" s="666"/>
      <c r="AL640" s="666"/>
      <c r="AM640" s="666"/>
      <c r="AN640" s="666"/>
      <c r="AO640" s="666"/>
      <c r="AP640" s="666"/>
      <c r="AQ640" s="666"/>
      <c r="AR640" s="666"/>
      <c r="AS640" s="666"/>
      <c r="AT640" s="666"/>
      <c r="AU640" s="666"/>
    </row>
    <row r="641" ht="15.75" customHeight="1">
      <c r="A641" s="713">
        <v>44489.0</v>
      </c>
      <c r="B641" s="714" t="s">
        <v>7109</v>
      </c>
      <c r="C641" s="715" t="s">
        <v>98</v>
      </c>
      <c r="D641" s="641" t="s">
        <v>694</v>
      </c>
      <c r="E641" s="803">
        <v>90625.34</v>
      </c>
      <c r="F641" s="641" t="s">
        <v>7064</v>
      </c>
      <c r="G641" s="641" t="s">
        <v>120</v>
      </c>
      <c r="H641" s="641" t="s">
        <v>54</v>
      </c>
      <c r="I641" s="641" t="s">
        <v>379</v>
      </c>
      <c r="J641" s="667">
        <v>44362.0</v>
      </c>
      <c r="K641" s="674" t="s">
        <v>2319</v>
      </c>
      <c r="L641" s="666"/>
      <c r="M641" s="666"/>
      <c r="N641" s="666"/>
      <c r="O641" s="666"/>
      <c r="P641" s="666"/>
      <c r="Q641" s="666"/>
      <c r="R641" s="666"/>
      <c r="S641" s="666"/>
      <c r="T641" s="666"/>
      <c r="U641" s="666"/>
      <c r="V641" s="666"/>
      <c r="W641" s="666"/>
      <c r="X641" s="666"/>
      <c r="Y641" s="666"/>
      <c r="Z641" s="666"/>
      <c r="AA641" s="666"/>
      <c r="AB641" s="666"/>
      <c r="AC641" s="666"/>
      <c r="AD641" s="666"/>
      <c r="AE641" s="666"/>
      <c r="AF641" s="666"/>
      <c r="AG641" s="666"/>
      <c r="AH641" s="666"/>
      <c r="AI641" s="666"/>
      <c r="AJ641" s="666"/>
      <c r="AK641" s="666"/>
      <c r="AL641" s="666"/>
      <c r="AM641" s="666"/>
      <c r="AN641" s="666"/>
      <c r="AO641" s="666"/>
      <c r="AP641" s="666"/>
      <c r="AQ641" s="666"/>
      <c r="AR641" s="666"/>
      <c r="AS641" s="666"/>
      <c r="AT641" s="666"/>
      <c r="AU641" s="666"/>
    </row>
    <row r="642" ht="15.75" customHeight="1">
      <c r="A642" s="713">
        <v>44490.0</v>
      </c>
      <c r="B642" s="804" t="s">
        <v>5960</v>
      </c>
      <c r="C642" s="715" t="s">
        <v>98</v>
      </c>
      <c r="D642" s="641" t="s">
        <v>5038</v>
      </c>
      <c r="E642" s="803">
        <v>16000.0</v>
      </c>
      <c r="F642" s="641" t="s">
        <v>5963</v>
      </c>
      <c r="G642" s="641" t="s">
        <v>255</v>
      </c>
      <c r="H642" s="641" t="s">
        <v>199</v>
      </c>
      <c r="I642" s="641" t="s">
        <v>4761</v>
      </c>
      <c r="J642" s="667">
        <v>44180.0</v>
      </c>
      <c r="K642" s="674" t="s">
        <v>2341</v>
      </c>
      <c r="L642" s="666"/>
      <c r="M642" s="666"/>
      <c r="N642" s="666"/>
      <c r="O642" s="666"/>
      <c r="P642" s="666"/>
      <c r="Q642" s="666"/>
      <c r="R642" s="666"/>
      <c r="S642" s="666"/>
      <c r="T642" s="666"/>
      <c r="U642" s="666"/>
      <c r="V642" s="666"/>
      <c r="W642" s="666"/>
      <c r="X642" s="666"/>
      <c r="Y642" s="666"/>
      <c r="Z642" s="666"/>
      <c r="AA642" s="666"/>
      <c r="AB642" s="666"/>
      <c r="AC642" s="666"/>
      <c r="AD642" s="666"/>
      <c r="AE642" s="666"/>
      <c r="AF642" s="666"/>
      <c r="AG642" s="666"/>
      <c r="AH642" s="666"/>
      <c r="AI642" s="666"/>
      <c r="AJ642" s="666"/>
      <c r="AK642" s="666"/>
      <c r="AL642" s="666"/>
      <c r="AM642" s="666"/>
      <c r="AN642" s="666"/>
      <c r="AO642" s="666"/>
      <c r="AP642" s="666"/>
      <c r="AQ642" s="666"/>
      <c r="AR642" s="666"/>
      <c r="AS642" s="666"/>
      <c r="AT642" s="666"/>
      <c r="AU642" s="666"/>
    </row>
    <row r="643" ht="15.75" customHeight="1">
      <c r="A643" s="713">
        <v>44490.0</v>
      </c>
      <c r="B643" s="806" t="s">
        <v>7118</v>
      </c>
      <c r="C643" s="715" t="s">
        <v>98</v>
      </c>
      <c r="D643" s="641" t="s">
        <v>694</v>
      </c>
      <c r="E643" s="803">
        <v>661576.63</v>
      </c>
      <c r="F643" s="641" t="s">
        <v>7119</v>
      </c>
      <c r="G643" s="641" t="s">
        <v>255</v>
      </c>
      <c r="H643" s="641" t="s">
        <v>199</v>
      </c>
      <c r="I643" s="641" t="s">
        <v>4044</v>
      </c>
      <c r="J643" s="667">
        <v>44490.0</v>
      </c>
      <c r="K643" s="674" t="s">
        <v>2319</v>
      </c>
      <c r="L643" s="666"/>
      <c r="M643" s="666"/>
      <c r="N643" s="666"/>
      <c r="O643" s="666"/>
      <c r="P643" s="666"/>
      <c r="Q643" s="666"/>
      <c r="R643" s="666"/>
      <c r="S643" s="666"/>
      <c r="T643" s="666"/>
      <c r="U643" s="666"/>
      <c r="V643" s="666"/>
      <c r="W643" s="666"/>
      <c r="X643" s="666"/>
      <c r="Y643" s="666"/>
      <c r="Z643" s="666"/>
      <c r="AA643" s="666"/>
      <c r="AB643" s="666"/>
      <c r="AC643" s="666"/>
      <c r="AD643" s="666"/>
      <c r="AE643" s="666"/>
      <c r="AF643" s="666"/>
      <c r="AG643" s="666"/>
      <c r="AH643" s="666"/>
      <c r="AI643" s="666"/>
      <c r="AJ643" s="666"/>
      <c r="AK643" s="666"/>
      <c r="AL643" s="666"/>
      <c r="AM643" s="666"/>
      <c r="AN643" s="666"/>
      <c r="AO643" s="666"/>
      <c r="AP643" s="666"/>
      <c r="AQ643" s="666"/>
      <c r="AR643" s="666"/>
      <c r="AS643" s="666"/>
      <c r="AT643" s="666"/>
      <c r="AU643" s="666"/>
    </row>
    <row r="644" ht="15.75" customHeight="1">
      <c r="A644" s="713">
        <v>44490.0</v>
      </c>
      <c r="B644" s="668" t="s">
        <v>5752</v>
      </c>
      <c r="C644" s="715" t="s">
        <v>2346</v>
      </c>
      <c r="D644" s="641" t="s">
        <v>694</v>
      </c>
      <c r="E644" s="803">
        <v>1915.0</v>
      </c>
      <c r="F644" s="641" t="s">
        <v>3697</v>
      </c>
      <c r="G644" s="667" t="s">
        <v>669</v>
      </c>
      <c r="H644" s="667" t="s">
        <v>199</v>
      </c>
      <c r="I644" s="667" t="s">
        <v>1228</v>
      </c>
      <c r="J644" s="667">
        <v>43725.0</v>
      </c>
      <c r="K644" s="670" t="s">
        <v>4383</v>
      </c>
      <c r="L644" s="666"/>
      <c r="M644" s="666"/>
      <c r="N644" s="666"/>
      <c r="O644" s="666"/>
      <c r="P644" s="666"/>
      <c r="Q644" s="666"/>
      <c r="R644" s="666"/>
      <c r="S644" s="666"/>
      <c r="T644" s="666"/>
      <c r="U644" s="666"/>
      <c r="V644" s="666"/>
      <c r="W644" s="666"/>
      <c r="X644" s="666"/>
      <c r="Y644" s="666"/>
      <c r="Z644" s="666"/>
      <c r="AA644" s="666"/>
      <c r="AB644" s="666"/>
      <c r="AC644" s="666"/>
      <c r="AD644" s="666"/>
      <c r="AE644" s="666"/>
      <c r="AF644" s="666"/>
      <c r="AG644" s="666"/>
      <c r="AH644" s="666"/>
      <c r="AI644" s="666"/>
      <c r="AJ644" s="666"/>
      <c r="AK644" s="666"/>
      <c r="AL644" s="666"/>
      <c r="AM644" s="666"/>
      <c r="AN644" s="666"/>
      <c r="AO644" s="666"/>
      <c r="AP644" s="666"/>
      <c r="AQ644" s="666"/>
      <c r="AR644" s="666"/>
      <c r="AS644" s="666"/>
      <c r="AT644" s="666"/>
      <c r="AU644" s="666"/>
    </row>
    <row r="645" ht="15.75" customHeight="1">
      <c r="A645" s="713">
        <v>44490.0</v>
      </c>
      <c r="B645" s="714" t="s">
        <v>5183</v>
      </c>
      <c r="C645" s="715" t="s">
        <v>2346</v>
      </c>
      <c r="D645" s="641" t="s">
        <v>5038</v>
      </c>
      <c r="E645" s="803">
        <v>3000.0</v>
      </c>
      <c r="F645" s="641" t="s">
        <v>1460</v>
      </c>
      <c r="G645" s="667" t="s">
        <v>669</v>
      </c>
      <c r="H645" s="667" t="s">
        <v>199</v>
      </c>
      <c r="I645" s="667" t="s">
        <v>1228</v>
      </c>
      <c r="J645" s="667">
        <v>43894.0</v>
      </c>
      <c r="K645" s="670" t="s">
        <v>2365</v>
      </c>
      <c r="L645" s="666"/>
      <c r="M645" s="666"/>
      <c r="N645" s="666"/>
      <c r="O645" s="666"/>
      <c r="P645" s="666"/>
      <c r="Q645" s="666"/>
      <c r="R645" s="666"/>
      <c r="S645" s="666"/>
      <c r="T645" s="666"/>
      <c r="U645" s="666"/>
      <c r="V645" s="666"/>
      <c r="W645" s="666"/>
      <c r="X645" s="666"/>
      <c r="Y645" s="666"/>
      <c r="Z645" s="666"/>
      <c r="AA645" s="666"/>
      <c r="AB645" s="666"/>
      <c r="AC645" s="666"/>
      <c r="AD645" s="666"/>
      <c r="AE645" s="666"/>
      <c r="AF645" s="666"/>
      <c r="AG645" s="666"/>
      <c r="AH645" s="666"/>
      <c r="AI645" s="666"/>
      <c r="AJ645" s="666"/>
      <c r="AK645" s="666"/>
      <c r="AL645" s="666"/>
      <c r="AM645" s="666"/>
      <c r="AN645" s="666"/>
      <c r="AO645" s="666"/>
      <c r="AP645" s="666"/>
      <c r="AQ645" s="666"/>
      <c r="AR645" s="666"/>
      <c r="AS645" s="666"/>
      <c r="AT645" s="666"/>
      <c r="AU645" s="666"/>
    </row>
    <row r="646" ht="15.75" customHeight="1">
      <c r="A646" s="713">
        <v>44494.0</v>
      </c>
      <c r="B646" s="807" t="s">
        <v>7126</v>
      </c>
      <c r="C646" s="715" t="s">
        <v>98</v>
      </c>
      <c r="D646" s="641" t="s">
        <v>694</v>
      </c>
      <c r="E646" s="803">
        <v>792665.02</v>
      </c>
      <c r="F646" s="641" t="s">
        <v>5231</v>
      </c>
      <c r="G646" s="641" t="s">
        <v>255</v>
      </c>
      <c r="H646" s="641" t="s">
        <v>199</v>
      </c>
      <c r="I646" s="641" t="s">
        <v>3979</v>
      </c>
      <c r="J646" s="667">
        <v>44368.0</v>
      </c>
      <c r="K646" s="674" t="s">
        <v>2372</v>
      </c>
      <c r="L646" s="666"/>
      <c r="M646" s="666"/>
      <c r="N646" s="666"/>
      <c r="O646" s="666"/>
      <c r="P646" s="666"/>
      <c r="Q646" s="666"/>
      <c r="R646" s="666"/>
      <c r="S646" s="666"/>
      <c r="T646" s="666"/>
      <c r="U646" s="666"/>
      <c r="V646" s="666"/>
      <c r="W646" s="666"/>
      <c r="X646" s="666"/>
      <c r="Y646" s="666"/>
      <c r="Z646" s="666"/>
      <c r="AA646" s="666"/>
      <c r="AB646" s="666"/>
      <c r="AC646" s="666"/>
      <c r="AD646" s="666"/>
      <c r="AE646" s="666"/>
      <c r="AF646" s="666"/>
      <c r="AG646" s="666"/>
      <c r="AH646" s="666"/>
      <c r="AI646" s="666"/>
      <c r="AJ646" s="666"/>
      <c r="AK646" s="666"/>
      <c r="AL646" s="666"/>
      <c r="AM646" s="666"/>
      <c r="AN646" s="666"/>
      <c r="AO646" s="666"/>
      <c r="AP646" s="666"/>
      <c r="AQ646" s="666"/>
      <c r="AR646" s="666"/>
      <c r="AS646" s="666"/>
      <c r="AT646" s="666"/>
      <c r="AU646" s="666"/>
    </row>
    <row r="647" ht="15.75" customHeight="1">
      <c r="A647" s="713">
        <v>44494.0</v>
      </c>
      <c r="B647" s="714" t="s">
        <v>5716</v>
      </c>
      <c r="C647" s="715" t="s">
        <v>2346</v>
      </c>
      <c r="D647" s="641" t="s">
        <v>5038</v>
      </c>
      <c r="E647" s="803">
        <v>10000.0</v>
      </c>
      <c r="F647" s="641" t="s">
        <v>1085</v>
      </c>
      <c r="G647" s="667" t="s">
        <v>120</v>
      </c>
      <c r="H647" s="667" t="s">
        <v>91</v>
      </c>
      <c r="I647" s="667" t="s">
        <v>521</v>
      </c>
      <c r="J647" s="667">
        <v>44295.0</v>
      </c>
      <c r="K647" s="670" t="s">
        <v>2356</v>
      </c>
      <c r="L647" s="666"/>
      <c r="M647" s="666"/>
      <c r="N647" s="666"/>
      <c r="O647" s="666"/>
      <c r="P647" s="666"/>
      <c r="Q647" s="666"/>
      <c r="R647" s="666"/>
      <c r="S647" s="666"/>
      <c r="T647" s="666"/>
      <c r="U647" s="666"/>
      <c r="V647" s="666"/>
      <c r="W647" s="666"/>
      <c r="X647" s="666"/>
      <c r="Y647" s="666"/>
      <c r="Z647" s="666"/>
      <c r="AA647" s="666"/>
      <c r="AB647" s="666"/>
      <c r="AC647" s="666"/>
      <c r="AD647" s="666"/>
      <c r="AE647" s="666"/>
      <c r="AF647" s="666"/>
      <c r="AG647" s="666"/>
      <c r="AH647" s="666"/>
      <c r="AI647" s="666"/>
      <c r="AJ647" s="666"/>
      <c r="AK647" s="666"/>
      <c r="AL647" s="666"/>
      <c r="AM647" s="666"/>
      <c r="AN647" s="666"/>
      <c r="AO647" s="666"/>
      <c r="AP647" s="666"/>
      <c r="AQ647" s="666"/>
      <c r="AR647" s="666"/>
      <c r="AS647" s="666"/>
      <c r="AT647" s="666"/>
      <c r="AU647" s="666"/>
    </row>
    <row r="648" ht="15.75" customHeight="1">
      <c r="A648" s="713">
        <v>44494.0</v>
      </c>
      <c r="B648" s="714" t="s">
        <v>5075</v>
      </c>
      <c r="C648" s="715" t="s">
        <v>2346</v>
      </c>
      <c r="D648" s="641" t="s">
        <v>5038</v>
      </c>
      <c r="E648" s="803">
        <v>12000.0</v>
      </c>
      <c r="F648" s="641" t="s">
        <v>956</v>
      </c>
      <c r="G648" s="667" t="s">
        <v>669</v>
      </c>
      <c r="H648" s="667" t="s">
        <v>199</v>
      </c>
      <c r="I648" s="667" t="s">
        <v>1228</v>
      </c>
      <c r="J648" s="667">
        <v>43605.0</v>
      </c>
      <c r="K648" s="670" t="s">
        <v>2365</v>
      </c>
      <c r="L648" s="666"/>
      <c r="M648" s="666"/>
      <c r="N648" s="666"/>
      <c r="O648" s="666"/>
      <c r="P648" s="666"/>
      <c r="Q648" s="666"/>
      <c r="R648" s="666"/>
      <c r="S648" s="666"/>
      <c r="T648" s="666"/>
      <c r="U648" s="666"/>
      <c r="V648" s="666"/>
      <c r="W648" s="666"/>
      <c r="X648" s="666"/>
      <c r="Y648" s="666"/>
      <c r="Z648" s="666"/>
      <c r="AA648" s="666"/>
      <c r="AB648" s="666"/>
      <c r="AC648" s="666"/>
      <c r="AD648" s="666"/>
      <c r="AE648" s="666"/>
      <c r="AF648" s="666"/>
      <c r="AG648" s="666"/>
      <c r="AH648" s="666"/>
      <c r="AI648" s="666"/>
      <c r="AJ648" s="666"/>
      <c r="AK648" s="666"/>
      <c r="AL648" s="666"/>
      <c r="AM648" s="666"/>
      <c r="AN648" s="666"/>
      <c r="AO648" s="666"/>
      <c r="AP648" s="666"/>
      <c r="AQ648" s="666"/>
      <c r="AR648" s="666"/>
      <c r="AS648" s="666"/>
      <c r="AT648" s="666"/>
      <c r="AU648" s="666"/>
    </row>
    <row r="649" ht="15.75" customHeight="1">
      <c r="A649" s="713">
        <v>44494.0</v>
      </c>
      <c r="B649" s="714" t="s">
        <v>7141</v>
      </c>
      <c r="C649" s="715" t="s">
        <v>2346</v>
      </c>
      <c r="D649" s="641" t="s">
        <v>5038</v>
      </c>
      <c r="E649" s="803">
        <v>33000.0</v>
      </c>
      <c r="F649" s="641" t="s">
        <v>4111</v>
      </c>
      <c r="G649" s="641" t="s">
        <v>120</v>
      </c>
      <c r="H649" s="641" t="s">
        <v>91</v>
      </c>
      <c r="I649" s="641" t="s">
        <v>699</v>
      </c>
      <c r="J649" s="667">
        <v>44383.0</v>
      </c>
      <c r="K649" s="674" t="s">
        <v>2365</v>
      </c>
      <c r="L649" s="666"/>
      <c r="M649" s="666"/>
      <c r="N649" s="666"/>
      <c r="O649" s="666"/>
      <c r="P649" s="666"/>
      <c r="Q649" s="666"/>
      <c r="R649" s="666"/>
      <c r="S649" s="666"/>
      <c r="T649" s="666"/>
      <c r="U649" s="666"/>
      <c r="V649" s="666"/>
      <c r="W649" s="666"/>
      <c r="X649" s="666"/>
      <c r="Y649" s="666"/>
      <c r="Z649" s="666"/>
      <c r="AA649" s="666"/>
      <c r="AB649" s="666"/>
      <c r="AC649" s="666"/>
      <c r="AD649" s="666"/>
      <c r="AE649" s="666"/>
      <c r="AF649" s="666"/>
      <c r="AG649" s="666"/>
      <c r="AH649" s="666"/>
      <c r="AI649" s="666"/>
      <c r="AJ649" s="666"/>
      <c r="AK649" s="666"/>
      <c r="AL649" s="666"/>
      <c r="AM649" s="666"/>
      <c r="AN649" s="666"/>
      <c r="AO649" s="666"/>
      <c r="AP649" s="666"/>
      <c r="AQ649" s="666"/>
      <c r="AR649" s="666"/>
      <c r="AS649" s="666"/>
      <c r="AT649" s="666"/>
      <c r="AU649" s="666"/>
    </row>
    <row r="650" ht="15.75" customHeight="1">
      <c r="A650" s="713">
        <v>44494.0</v>
      </c>
      <c r="B650" s="714" t="s">
        <v>6222</v>
      </c>
      <c r="C650" s="715" t="s">
        <v>2346</v>
      </c>
      <c r="D650" s="641" t="s">
        <v>5038</v>
      </c>
      <c r="E650" s="803">
        <v>10000.0</v>
      </c>
      <c r="F650" s="641" t="s">
        <v>1489</v>
      </c>
      <c r="G650" s="667" t="s">
        <v>120</v>
      </c>
      <c r="H650" s="667" t="s">
        <v>91</v>
      </c>
      <c r="I650" s="667" t="s">
        <v>193</v>
      </c>
      <c r="J650" s="667">
        <v>44319.0</v>
      </c>
      <c r="K650" s="670" t="s">
        <v>2341</v>
      </c>
      <c r="L650" s="666"/>
      <c r="M650" s="666"/>
      <c r="N650" s="666"/>
      <c r="O650" s="666"/>
      <c r="P650" s="666"/>
      <c r="Q650" s="666"/>
      <c r="R650" s="666"/>
      <c r="S650" s="666"/>
      <c r="T650" s="666"/>
      <c r="U650" s="666"/>
      <c r="V650" s="666"/>
      <c r="W650" s="666"/>
      <c r="X650" s="666"/>
      <c r="Y650" s="666"/>
      <c r="Z650" s="666"/>
      <c r="AA650" s="666"/>
      <c r="AB650" s="666"/>
      <c r="AC650" s="666"/>
      <c r="AD650" s="666"/>
      <c r="AE650" s="666"/>
      <c r="AF650" s="666"/>
      <c r="AG650" s="666"/>
      <c r="AH650" s="666"/>
      <c r="AI650" s="666"/>
      <c r="AJ650" s="666"/>
      <c r="AK650" s="666"/>
      <c r="AL650" s="666"/>
      <c r="AM650" s="666"/>
      <c r="AN650" s="666"/>
      <c r="AO650" s="666"/>
      <c r="AP650" s="666"/>
      <c r="AQ650" s="666"/>
      <c r="AR650" s="666"/>
      <c r="AS650" s="666"/>
      <c r="AT650" s="666"/>
      <c r="AU650" s="666"/>
    </row>
    <row r="651" ht="15.75" customHeight="1">
      <c r="A651" s="713">
        <v>44495.0</v>
      </c>
      <c r="B651" s="806" t="s">
        <v>7148</v>
      </c>
      <c r="C651" s="715" t="s">
        <v>98</v>
      </c>
      <c r="D651" s="641" t="s">
        <v>694</v>
      </c>
      <c r="E651" s="803">
        <v>295388.82</v>
      </c>
      <c r="F651" s="641" t="s">
        <v>5915</v>
      </c>
      <c r="G651" s="641" t="s">
        <v>255</v>
      </c>
      <c r="H651" s="641" t="s">
        <v>199</v>
      </c>
      <c r="I651" s="641" t="s">
        <v>3855</v>
      </c>
      <c r="J651" s="667">
        <v>44111.0</v>
      </c>
      <c r="K651" s="674" t="s">
        <v>2319</v>
      </c>
      <c r="L651" s="666"/>
      <c r="M651" s="666"/>
      <c r="N651" s="666"/>
      <c r="O651" s="666"/>
      <c r="P651" s="666"/>
      <c r="Q651" s="666"/>
      <c r="R651" s="666"/>
      <c r="S651" s="666"/>
      <c r="T651" s="666"/>
      <c r="U651" s="666"/>
      <c r="V651" s="666"/>
      <c r="W651" s="666"/>
      <c r="X651" s="666"/>
      <c r="Y651" s="666"/>
      <c r="Z651" s="666"/>
      <c r="AA651" s="666"/>
      <c r="AB651" s="666"/>
      <c r="AC651" s="666"/>
      <c r="AD651" s="666"/>
      <c r="AE651" s="666"/>
      <c r="AF651" s="666"/>
      <c r="AG651" s="666"/>
      <c r="AH651" s="666"/>
      <c r="AI651" s="666"/>
      <c r="AJ651" s="666"/>
      <c r="AK651" s="666"/>
      <c r="AL651" s="666"/>
      <c r="AM651" s="666"/>
      <c r="AN651" s="666"/>
      <c r="AO651" s="666"/>
      <c r="AP651" s="666"/>
      <c r="AQ651" s="666"/>
      <c r="AR651" s="666"/>
      <c r="AS651" s="666"/>
      <c r="AT651" s="666"/>
      <c r="AU651" s="666"/>
    </row>
    <row r="652" ht="15.75" customHeight="1">
      <c r="A652" s="713">
        <v>44495.0</v>
      </c>
      <c r="B652" s="714" t="s">
        <v>6151</v>
      </c>
      <c r="C652" s="715" t="s">
        <v>2346</v>
      </c>
      <c r="D652" s="641" t="s">
        <v>5038</v>
      </c>
      <c r="E652" s="803">
        <v>14000.0</v>
      </c>
      <c r="F652" s="641" t="s">
        <v>6152</v>
      </c>
      <c r="G652" s="667" t="s">
        <v>120</v>
      </c>
      <c r="H652" s="667" t="s">
        <v>91</v>
      </c>
      <c r="I652" s="667" t="s">
        <v>521</v>
      </c>
      <c r="J652" s="667">
        <v>44280.0</v>
      </c>
      <c r="K652" s="670" t="s">
        <v>2341</v>
      </c>
      <c r="L652" s="666"/>
      <c r="M652" s="666"/>
      <c r="N652" s="666"/>
      <c r="O652" s="666"/>
      <c r="P652" s="666"/>
      <c r="Q652" s="666"/>
      <c r="R652" s="666"/>
      <c r="S652" s="666"/>
      <c r="T652" s="666"/>
      <c r="U652" s="666"/>
      <c r="V652" s="666"/>
      <c r="W652" s="666"/>
      <c r="X652" s="666"/>
      <c r="Y652" s="666"/>
      <c r="Z652" s="666"/>
      <c r="AA652" s="666"/>
      <c r="AB652" s="666"/>
      <c r="AC652" s="666"/>
      <c r="AD652" s="666"/>
      <c r="AE652" s="666"/>
      <c r="AF652" s="666"/>
      <c r="AG652" s="666"/>
      <c r="AH652" s="666"/>
      <c r="AI652" s="666"/>
      <c r="AJ652" s="666"/>
      <c r="AK652" s="666"/>
      <c r="AL652" s="666"/>
      <c r="AM652" s="666"/>
      <c r="AN652" s="666"/>
      <c r="AO652" s="666"/>
      <c r="AP652" s="666"/>
      <c r="AQ652" s="666"/>
      <c r="AR652" s="666"/>
      <c r="AS652" s="666"/>
      <c r="AT652" s="666"/>
      <c r="AU652" s="666"/>
    </row>
    <row r="653" ht="15.75" customHeight="1">
      <c r="A653" s="713">
        <v>44497.0</v>
      </c>
      <c r="B653" s="714" t="s">
        <v>6215</v>
      </c>
      <c r="C653" s="715" t="s">
        <v>2346</v>
      </c>
      <c r="D653" s="641" t="s">
        <v>5038</v>
      </c>
      <c r="E653" s="803">
        <v>40000.0</v>
      </c>
      <c r="F653" s="641" t="s">
        <v>5675</v>
      </c>
      <c r="G653" s="667" t="s">
        <v>120</v>
      </c>
      <c r="H653" s="667" t="s">
        <v>91</v>
      </c>
      <c r="I653" s="667" t="s">
        <v>699</v>
      </c>
      <c r="J653" s="667">
        <v>44266.0</v>
      </c>
      <c r="K653" s="670" t="s">
        <v>2365</v>
      </c>
      <c r="L653" s="666"/>
      <c r="M653" s="666"/>
      <c r="N653" s="666"/>
      <c r="O653" s="666"/>
      <c r="P653" s="666"/>
      <c r="Q653" s="666"/>
      <c r="R653" s="666"/>
      <c r="S653" s="666"/>
      <c r="T653" s="666"/>
      <c r="U653" s="666"/>
      <c r="V653" s="666"/>
      <c r="W653" s="666"/>
      <c r="X653" s="666"/>
      <c r="Y653" s="666"/>
      <c r="Z653" s="666"/>
      <c r="AA653" s="666"/>
      <c r="AB653" s="666"/>
      <c r="AC653" s="666"/>
      <c r="AD653" s="666"/>
      <c r="AE653" s="666"/>
      <c r="AF653" s="666"/>
      <c r="AG653" s="666"/>
      <c r="AH653" s="666"/>
      <c r="AI653" s="666"/>
      <c r="AJ653" s="666"/>
      <c r="AK653" s="666"/>
      <c r="AL653" s="666"/>
      <c r="AM653" s="666"/>
      <c r="AN653" s="666"/>
      <c r="AO653" s="666"/>
      <c r="AP653" s="666"/>
      <c r="AQ653" s="666"/>
      <c r="AR653" s="666"/>
      <c r="AS653" s="666"/>
      <c r="AT653" s="666"/>
      <c r="AU653" s="666"/>
    </row>
    <row r="654" ht="15.75" customHeight="1">
      <c r="A654" s="713">
        <v>44497.0</v>
      </c>
      <c r="B654" s="806" t="s">
        <v>7157</v>
      </c>
      <c r="C654" s="715" t="s">
        <v>98</v>
      </c>
      <c r="D654" s="641" t="s">
        <v>694</v>
      </c>
      <c r="E654" s="803">
        <v>142605.94</v>
      </c>
      <c r="F654" s="641" t="s">
        <v>7158</v>
      </c>
      <c r="G654" s="641" t="s">
        <v>120</v>
      </c>
      <c r="H654" s="641" t="s">
        <v>199</v>
      </c>
      <c r="I654" s="641" t="s">
        <v>4654</v>
      </c>
      <c r="J654" s="667">
        <v>44271.0</v>
      </c>
      <c r="K654" s="674" t="s">
        <v>2452</v>
      </c>
      <c r="L654" s="666"/>
      <c r="M654" s="666"/>
      <c r="N654" s="666"/>
      <c r="O654" s="666"/>
      <c r="P654" s="666"/>
      <c r="Q654" s="666"/>
      <c r="R654" s="666"/>
      <c r="S654" s="666"/>
      <c r="T654" s="666"/>
      <c r="U654" s="666"/>
      <c r="V654" s="666"/>
      <c r="W654" s="666"/>
      <c r="X654" s="666"/>
      <c r="Y654" s="666"/>
      <c r="Z654" s="666"/>
      <c r="AA654" s="666"/>
      <c r="AB654" s="666"/>
      <c r="AC654" s="666"/>
      <c r="AD654" s="666"/>
      <c r="AE654" s="666"/>
      <c r="AF654" s="666"/>
      <c r="AG654" s="666"/>
      <c r="AH654" s="666"/>
      <c r="AI654" s="666"/>
      <c r="AJ654" s="666"/>
      <c r="AK654" s="666"/>
      <c r="AL654" s="666"/>
      <c r="AM654" s="666"/>
      <c r="AN654" s="666"/>
      <c r="AO654" s="666"/>
      <c r="AP654" s="666"/>
      <c r="AQ654" s="666"/>
      <c r="AR654" s="666"/>
      <c r="AS654" s="666"/>
      <c r="AT654" s="666"/>
      <c r="AU654" s="666"/>
    </row>
    <row r="655" ht="15.75" customHeight="1">
      <c r="A655" s="713">
        <v>44497.0</v>
      </c>
      <c r="B655" s="806" t="s">
        <v>7160</v>
      </c>
      <c r="C655" s="715" t="s">
        <v>98</v>
      </c>
      <c r="D655" s="641" t="s">
        <v>694</v>
      </c>
      <c r="E655" s="803">
        <v>148678.48</v>
      </c>
      <c r="F655" s="641" t="s">
        <v>7158</v>
      </c>
      <c r="G655" s="641" t="s">
        <v>120</v>
      </c>
      <c r="H655" s="641" t="s">
        <v>199</v>
      </c>
      <c r="I655" s="641" t="s">
        <v>2339</v>
      </c>
      <c r="J655" s="667">
        <v>44272.0</v>
      </c>
      <c r="K655" s="674" t="s">
        <v>2365</v>
      </c>
      <c r="L655" s="666"/>
      <c r="M655" s="666"/>
      <c r="N655" s="666"/>
      <c r="O655" s="666"/>
      <c r="P655" s="666"/>
      <c r="Q655" s="666"/>
      <c r="R655" s="666"/>
      <c r="S655" s="666"/>
      <c r="T655" s="666"/>
      <c r="U655" s="666"/>
      <c r="V655" s="666"/>
      <c r="W655" s="666"/>
      <c r="X655" s="666"/>
      <c r="Y655" s="666"/>
      <c r="Z655" s="666"/>
      <c r="AA655" s="666"/>
      <c r="AB655" s="666"/>
      <c r="AC655" s="666"/>
      <c r="AD655" s="666"/>
      <c r="AE655" s="666"/>
      <c r="AF655" s="666"/>
      <c r="AG655" s="666"/>
      <c r="AH655" s="666"/>
      <c r="AI655" s="666"/>
      <c r="AJ655" s="666"/>
      <c r="AK655" s="666"/>
      <c r="AL655" s="666"/>
      <c r="AM655" s="666"/>
      <c r="AN655" s="666"/>
      <c r="AO655" s="666"/>
      <c r="AP655" s="666"/>
      <c r="AQ655" s="666"/>
      <c r="AR655" s="666"/>
      <c r="AS655" s="666"/>
      <c r="AT655" s="666"/>
      <c r="AU655" s="666"/>
    </row>
    <row r="656" ht="15.75" customHeight="1">
      <c r="A656" s="713">
        <v>44498.0</v>
      </c>
      <c r="B656" s="714" t="s">
        <v>6057</v>
      </c>
      <c r="C656" s="715" t="s">
        <v>2346</v>
      </c>
      <c r="D656" s="641" t="s">
        <v>5038</v>
      </c>
      <c r="E656" s="803">
        <v>20000.0</v>
      </c>
      <c r="F656" s="641" t="s">
        <v>4806</v>
      </c>
      <c r="G656" s="667" t="s">
        <v>120</v>
      </c>
      <c r="H656" s="667" t="s">
        <v>91</v>
      </c>
      <c r="I656" s="667" t="s">
        <v>193</v>
      </c>
      <c r="J656" s="667">
        <v>44298.0</v>
      </c>
      <c r="K656" s="670" t="s">
        <v>2341</v>
      </c>
      <c r="L656" s="666"/>
      <c r="M656" s="666"/>
      <c r="N656" s="666"/>
      <c r="O656" s="666"/>
      <c r="P656" s="666"/>
      <c r="Q656" s="666"/>
      <c r="R656" s="666"/>
      <c r="S656" s="666"/>
      <c r="T656" s="666"/>
      <c r="U656" s="666"/>
      <c r="V656" s="666"/>
      <c r="W656" s="666"/>
      <c r="X656" s="666"/>
      <c r="Y656" s="666"/>
      <c r="Z656" s="666"/>
      <c r="AA656" s="666"/>
      <c r="AB656" s="666"/>
      <c r="AC656" s="666"/>
      <c r="AD656" s="666"/>
      <c r="AE656" s="666"/>
      <c r="AF656" s="666"/>
      <c r="AG656" s="666"/>
      <c r="AH656" s="666"/>
      <c r="AI656" s="666"/>
      <c r="AJ656" s="666"/>
      <c r="AK656" s="666"/>
      <c r="AL656" s="666"/>
      <c r="AM656" s="666"/>
      <c r="AN656" s="666"/>
      <c r="AO656" s="666"/>
      <c r="AP656" s="666"/>
      <c r="AQ656" s="666"/>
      <c r="AR656" s="666"/>
      <c r="AS656" s="666"/>
      <c r="AT656" s="666"/>
      <c r="AU656" s="666"/>
    </row>
    <row r="657" ht="15.75" customHeight="1">
      <c r="A657" s="713">
        <v>44498.0</v>
      </c>
      <c r="B657" s="714" t="s">
        <v>6226</v>
      </c>
      <c r="C657" s="715" t="s">
        <v>2346</v>
      </c>
      <c r="D657" s="641" t="s">
        <v>5038</v>
      </c>
      <c r="E657" s="803">
        <v>30000.0</v>
      </c>
      <c r="F657" s="641" t="s">
        <v>6228</v>
      </c>
      <c r="G657" s="667" t="s">
        <v>120</v>
      </c>
      <c r="H657" s="667" t="s">
        <v>91</v>
      </c>
      <c r="I657" s="667" t="s">
        <v>521</v>
      </c>
      <c r="J657" s="667">
        <v>44280.0</v>
      </c>
      <c r="K657" s="670" t="s">
        <v>2319</v>
      </c>
      <c r="L657" s="666"/>
      <c r="M657" s="666"/>
      <c r="N657" s="666"/>
      <c r="O657" s="666"/>
      <c r="P657" s="666"/>
      <c r="Q657" s="666"/>
      <c r="R657" s="666"/>
      <c r="S657" s="666"/>
      <c r="T657" s="666"/>
      <c r="U657" s="666"/>
      <c r="V657" s="666"/>
      <c r="W657" s="666"/>
      <c r="X657" s="666"/>
      <c r="Y657" s="666"/>
      <c r="Z657" s="666"/>
      <c r="AA657" s="666"/>
      <c r="AB657" s="666"/>
      <c r="AC657" s="666"/>
      <c r="AD657" s="666"/>
      <c r="AE657" s="666"/>
      <c r="AF657" s="666"/>
      <c r="AG657" s="666"/>
      <c r="AH657" s="666"/>
      <c r="AI657" s="666"/>
      <c r="AJ657" s="666"/>
      <c r="AK657" s="666"/>
      <c r="AL657" s="666"/>
      <c r="AM657" s="666"/>
      <c r="AN657" s="666"/>
      <c r="AO657" s="666"/>
      <c r="AP657" s="666"/>
      <c r="AQ657" s="666"/>
      <c r="AR657" s="666"/>
      <c r="AS657" s="666"/>
      <c r="AT657" s="666"/>
      <c r="AU657" s="666"/>
    </row>
    <row r="658" ht="15.75" customHeight="1">
      <c r="A658" s="713">
        <v>44501.0</v>
      </c>
      <c r="B658" s="714" t="s">
        <v>5376</v>
      </c>
      <c r="C658" s="715" t="s">
        <v>2346</v>
      </c>
      <c r="D658" s="641" t="s">
        <v>5038</v>
      </c>
      <c r="E658" s="803">
        <v>200000.0</v>
      </c>
      <c r="F658" s="641" t="s">
        <v>5379</v>
      </c>
      <c r="G658" s="667" t="s">
        <v>669</v>
      </c>
      <c r="H658" s="667" t="s">
        <v>199</v>
      </c>
      <c r="I658" s="667" t="s">
        <v>1228</v>
      </c>
      <c r="J658" s="667">
        <v>43620.0</v>
      </c>
      <c r="K658" s="670" t="s">
        <v>2341</v>
      </c>
      <c r="L658" s="666"/>
      <c r="M658" s="666"/>
      <c r="N658" s="666"/>
      <c r="O658" s="666"/>
      <c r="P658" s="666"/>
      <c r="Q658" s="666"/>
      <c r="R658" s="666"/>
      <c r="S658" s="666"/>
      <c r="T658" s="666"/>
      <c r="U658" s="666"/>
      <c r="V658" s="666"/>
      <c r="W658" s="666"/>
      <c r="X658" s="666"/>
      <c r="Y658" s="666"/>
      <c r="Z658" s="666"/>
      <c r="AA658" s="666"/>
      <c r="AB658" s="666"/>
      <c r="AC658" s="666"/>
      <c r="AD658" s="666"/>
      <c r="AE658" s="666"/>
      <c r="AF658" s="666"/>
      <c r="AG658" s="666"/>
      <c r="AH658" s="666"/>
      <c r="AI658" s="666"/>
      <c r="AJ658" s="666"/>
      <c r="AK658" s="666"/>
      <c r="AL658" s="666"/>
      <c r="AM658" s="666"/>
      <c r="AN658" s="666"/>
      <c r="AO658" s="666"/>
      <c r="AP658" s="666"/>
      <c r="AQ658" s="666"/>
      <c r="AR658" s="666"/>
      <c r="AS658" s="666"/>
      <c r="AT658" s="666"/>
      <c r="AU658" s="666"/>
    </row>
    <row r="659" ht="15.75" customHeight="1">
      <c r="A659" s="713">
        <v>44501.0</v>
      </c>
      <c r="B659" s="714" t="s">
        <v>6057</v>
      </c>
      <c r="C659" s="715" t="s">
        <v>2346</v>
      </c>
      <c r="D659" s="641" t="s">
        <v>5038</v>
      </c>
      <c r="E659" s="803">
        <v>3000.0</v>
      </c>
      <c r="F659" s="641" t="s">
        <v>4806</v>
      </c>
      <c r="G659" s="667" t="s">
        <v>120</v>
      </c>
      <c r="H659" s="667" t="s">
        <v>91</v>
      </c>
      <c r="I659" s="667" t="s">
        <v>193</v>
      </c>
      <c r="J659" s="667">
        <v>44298.0</v>
      </c>
      <c r="K659" s="670" t="s">
        <v>2341</v>
      </c>
      <c r="L659" s="666"/>
      <c r="M659" s="666"/>
      <c r="N659" s="666"/>
      <c r="O659" s="666"/>
      <c r="P659" s="666"/>
      <c r="Q659" s="666"/>
      <c r="R659" s="666"/>
      <c r="S659" s="666"/>
      <c r="T659" s="666"/>
      <c r="U659" s="666"/>
      <c r="V659" s="666"/>
      <c r="W659" s="666"/>
      <c r="X659" s="666"/>
      <c r="Y659" s="666"/>
      <c r="Z659" s="666"/>
      <c r="AA659" s="666"/>
      <c r="AB659" s="666"/>
      <c r="AC659" s="666"/>
      <c r="AD659" s="666"/>
      <c r="AE659" s="666"/>
      <c r="AF659" s="666"/>
      <c r="AG659" s="666"/>
      <c r="AH659" s="666"/>
      <c r="AI659" s="666"/>
      <c r="AJ659" s="666"/>
      <c r="AK659" s="666"/>
      <c r="AL659" s="666"/>
      <c r="AM659" s="666"/>
      <c r="AN659" s="666"/>
      <c r="AO659" s="666"/>
      <c r="AP659" s="666"/>
      <c r="AQ659" s="666"/>
      <c r="AR659" s="666"/>
      <c r="AS659" s="666"/>
      <c r="AT659" s="666"/>
      <c r="AU659" s="666"/>
    </row>
    <row r="660" ht="15.75" customHeight="1">
      <c r="A660" s="713">
        <v>44501.0</v>
      </c>
      <c r="B660" s="714" t="s">
        <v>5711</v>
      </c>
      <c r="C660" s="715" t="s">
        <v>2346</v>
      </c>
      <c r="D660" s="641" t="s">
        <v>5038</v>
      </c>
      <c r="E660" s="803">
        <v>40000.0</v>
      </c>
      <c r="F660" s="641" t="s">
        <v>4401</v>
      </c>
      <c r="G660" s="667" t="s">
        <v>120</v>
      </c>
      <c r="H660" s="667" t="s">
        <v>91</v>
      </c>
      <c r="I660" s="667" t="s">
        <v>521</v>
      </c>
      <c r="J660" s="667">
        <v>44321.0</v>
      </c>
      <c r="K660" s="670" t="s">
        <v>2341</v>
      </c>
      <c r="L660" s="666"/>
      <c r="M660" s="666"/>
      <c r="N660" s="666"/>
      <c r="O660" s="666"/>
      <c r="P660" s="666"/>
      <c r="Q660" s="666"/>
      <c r="R660" s="666"/>
      <c r="S660" s="666"/>
      <c r="T660" s="666"/>
      <c r="U660" s="666"/>
      <c r="V660" s="666"/>
      <c r="W660" s="666"/>
      <c r="X660" s="666"/>
      <c r="Y660" s="666"/>
      <c r="Z660" s="666"/>
      <c r="AA660" s="666"/>
      <c r="AB660" s="666"/>
      <c r="AC660" s="666"/>
      <c r="AD660" s="666"/>
      <c r="AE660" s="666"/>
      <c r="AF660" s="666"/>
      <c r="AG660" s="666"/>
      <c r="AH660" s="666"/>
      <c r="AI660" s="666"/>
      <c r="AJ660" s="666"/>
      <c r="AK660" s="666"/>
      <c r="AL660" s="666"/>
      <c r="AM660" s="666"/>
      <c r="AN660" s="666"/>
      <c r="AO660" s="666"/>
      <c r="AP660" s="666"/>
      <c r="AQ660" s="666"/>
      <c r="AR660" s="666"/>
      <c r="AS660" s="666"/>
      <c r="AT660" s="666"/>
      <c r="AU660" s="666"/>
    </row>
    <row r="661" ht="15.75" customHeight="1">
      <c r="A661" s="713">
        <v>44503.0</v>
      </c>
      <c r="B661" s="714" t="s">
        <v>6103</v>
      </c>
      <c r="C661" s="715" t="s">
        <v>2346</v>
      </c>
      <c r="D661" s="641" t="s">
        <v>5038</v>
      </c>
      <c r="E661" s="803">
        <v>30000.0</v>
      </c>
      <c r="F661" s="641" t="s">
        <v>6105</v>
      </c>
      <c r="G661" s="667" t="s">
        <v>120</v>
      </c>
      <c r="H661" s="667" t="s">
        <v>91</v>
      </c>
      <c r="I661" s="667" t="s">
        <v>193</v>
      </c>
      <c r="J661" s="667">
        <v>44279.0</v>
      </c>
      <c r="K661" s="670" t="s">
        <v>2341</v>
      </c>
      <c r="L661" s="666"/>
      <c r="M661" s="666"/>
      <c r="N661" s="666"/>
      <c r="O661" s="666"/>
      <c r="P661" s="666"/>
      <c r="Q661" s="666"/>
      <c r="R661" s="666"/>
      <c r="S661" s="666"/>
      <c r="T661" s="666"/>
      <c r="U661" s="666"/>
      <c r="V661" s="666"/>
      <c r="W661" s="666"/>
      <c r="X661" s="666"/>
      <c r="Y661" s="666"/>
      <c r="Z661" s="666"/>
      <c r="AA661" s="666"/>
      <c r="AB661" s="666"/>
      <c r="AC661" s="666"/>
      <c r="AD661" s="666"/>
      <c r="AE661" s="666"/>
      <c r="AF661" s="666"/>
      <c r="AG661" s="666"/>
      <c r="AH661" s="666"/>
      <c r="AI661" s="666"/>
      <c r="AJ661" s="666"/>
      <c r="AK661" s="666"/>
      <c r="AL661" s="666"/>
      <c r="AM661" s="666"/>
      <c r="AN661" s="666"/>
      <c r="AO661" s="666"/>
      <c r="AP661" s="666"/>
      <c r="AQ661" s="666"/>
      <c r="AR661" s="666"/>
      <c r="AS661" s="666"/>
      <c r="AT661" s="666"/>
      <c r="AU661" s="666"/>
    </row>
    <row r="662" ht="15.75" customHeight="1">
      <c r="A662" s="713">
        <v>44503.0</v>
      </c>
      <c r="B662" s="804" t="s">
        <v>5724</v>
      </c>
      <c r="C662" s="715" t="s">
        <v>98</v>
      </c>
      <c r="D662" s="641" t="s">
        <v>5038</v>
      </c>
      <c r="E662" s="803">
        <v>5000.0</v>
      </c>
      <c r="F662" s="641" t="s">
        <v>5042</v>
      </c>
      <c r="G662" s="641" t="s">
        <v>255</v>
      </c>
      <c r="H662" s="641" t="s">
        <v>199</v>
      </c>
      <c r="I662" s="641" t="s">
        <v>2587</v>
      </c>
      <c r="J662" s="773">
        <v>44263.0</v>
      </c>
      <c r="K662" s="674" t="s">
        <v>2341</v>
      </c>
      <c r="L662" s="666"/>
      <c r="M662" s="666"/>
      <c r="N662" s="666"/>
      <c r="O662" s="666"/>
      <c r="P662" s="666"/>
      <c r="Q662" s="666"/>
      <c r="R662" s="666"/>
      <c r="S662" s="666"/>
      <c r="T662" s="666"/>
      <c r="U662" s="666"/>
      <c r="V662" s="666"/>
      <c r="W662" s="666"/>
      <c r="X662" s="666"/>
      <c r="Y662" s="666"/>
      <c r="Z662" s="666"/>
      <c r="AA662" s="666"/>
      <c r="AB662" s="666"/>
      <c r="AC662" s="666"/>
      <c r="AD662" s="666"/>
      <c r="AE662" s="666"/>
      <c r="AF662" s="666"/>
      <c r="AG662" s="666"/>
      <c r="AH662" s="666"/>
      <c r="AI662" s="666"/>
      <c r="AJ662" s="666"/>
      <c r="AK662" s="666"/>
      <c r="AL662" s="666"/>
      <c r="AM662" s="666"/>
      <c r="AN662" s="666"/>
      <c r="AO662" s="666"/>
      <c r="AP662" s="666"/>
      <c r="AQ662" s="666"/>
      <c r="AR662" s="666"/>
      <c r="AS662" s="666"/>
      <c r="AT662" s="666"/>
      <c r="AU662" s="666"/>
    </row>
    <row r="663" ht="15.75" customHeight="1">
      <c r="A663" s="713">
        <v>44504.0</v>
      </c>
      <c r="B663" s="808" t="s">
        <v>6339</v>
      </c>
      <c r="C663" s="715" t="s">
        <v>98</v>
      </c>
      <c r="D663" s="641" t="s">
        <v>5038</v>
      </c>
      <c r="E663" s="803">
        <v>12284.53</v>
      </c>
      <c r="F663" s="641" t="s">
        <v>2674</v>
      </c>
      <c r="G663" s="641" t="s">
        <v>255</v>
      </c>
      <c r="H663" s="641" t="s">
        <v>199</v>
      </c>
      <c r="I663" s="641" t="s">
        <v>7177</v>
      </c>
      <c r="J663" s="667">
        <v>44180.0</v>
      </c>
      <c r="K663" s="674" t="s">
        <v>2365</v>
      </c>
      <c r="L663" s="666"/>
      <c r="M663" s="666"/>
      <c r="N663" s="666"/>
      <c r="O663" s="666"/>
      <c r="P663" s="666"/>
      <c r="Q663" s="666"/>
      <c r="R663" s="666"/>
      <c r="S663" s="666"/>
      <c r="T663" s="666"/>
      <c r="U663" s="666"/>
      <c r="V663" s="666"/>
      <c r="W663" s="666"/>
      <c r="X663" s="666"/>
      <c r="Y663" s="666"/>
      <c r="Z663" s="666"/>
      <c r="AA663" s="666"/>
      <c r="AB663" s="666"/>
      <c r="AC663" s="666"/>
      <c r="AD663" s="666"/>
      <c r="AE663" s="666"/>
      <c r="AF663" s="666"/>
      <c r="AG663" s="666"/>
      <c r="AH663" s="666"/>
      <c r="AI663" s="666"/>
      <c r="AJ663" s="666"/>
      <c r="AK663" s="666"/>
      <c r="AL663" s="666"/>
      <c r="AM663" s="666"/>
      <c r="AN663" s="666"/>
      <c r="AO663" s="666"/>
      <c r="AP663" s="666"/>
      <c r="AQ663" s="666"/>
      <c r="AR663" s="666"/>
      <c r="AS663" s="666"/>
      <c r="AT663" s="666"/>
      <c r="AU663" s="666"/>
    </row>
    <row r="664" ht="15.75" customHeight="1">
      <c r="A664" s="713">
        <v>44504.0</v>
      </c>
      <c r="B664" s="806" t="s">
        <v>7180</v>
      </c>
      <c r="C664" s="715" t="s">
        <v>98</v>
      </c>
      <c r="D664" s="641" t="s">
        <v>694</v>
      </c>
      <c r="E664" s="803">
        <v>282779.84</v>
      </c>
      <c r="F664" s="641" t="s">
        <v>5056</v>
      </c>
      <c r="G664" s="641" t="s">
        <v>255</v>
      </c>
      <c r="H664" s="641" t="s">
        <v>199</v>
      </c>
      <c r="I664" s="641" t="s">
        <v>548</v>
      </c>
      <c r="J664" s="773">
        <v>44238.0</v>
      </c>
      <c r="K664" s="674" t="s">
        <v>2319</v>
      </c>
      <c r="L664" s="666"/>
      <c r="M664" s="809"/>
      <c r="N664" s="666"/>
      <c r="O664" s="666"/>
      <c r="P664" s="666"/>
      <c r="Q664" s="666"/>
      <c r="R664" s="666"/>
      <c r="S664" s="666"/>
      <c r="T664" s="666"/>
      <c r="U664" s="666"/>
      <c r="V664" s="666"/>
      <c r="W664" s="666"/>
      <c r="X664" s="666"/>
      <c r="Y664" s="666"/>
      <c r="Z664" s="666"/>
      <c r="AA664" s="666"/>
      <c r="AB664" s="666"/>
      <c r="AC664" s="666"/>
      <c r="AD664" s="666"/>
      <c r="AE664" s="666"/>
      <c r="AF664" s="666"/>
      <c r="AG664" s="666"/>
      <c r="AH664" s="666"/>
      <c r="AI664" s="666"/>
      <c r="AJ664" s="666"/>
      <c r="AK664" s="666"/>
      <c r="AL664" s="666"/>
      <c r="AM664" s="666"/>
      <c r="AN664" s="666"/>
      <c r="AO664" s="666"/>
      <c r="AP664" s="666"/>
      <c r="AQ664" s="666"/>
      <c r="AR664" s="666"/>
      <c r="AS664" s="666"/>
      <c r="AT664" s="666"/>
      <c r="AU664" s="666"/>
    </row>
    <row r="665" ht="15.75" customHeight="1">
      <c r="A665" s="713">
        <v>44504.0</v>
      </c>
      <c r="B665" s="801" t="s">
        <v>6768</v>
      </c>
      <c r="C665" s="715" t="s">
        <v>2346</v>
      </c>
      <c r="D665" s="641" t="s">
        <v>5038</v>
      </c>
      <c r="E665" s="803">
        <v>25000.0</v>
      </c>
      <c r="F665" s="641" t="s">
        <v>6769</v>
      </c>
      <c r="G665" s="667" t="s">
        <v>120</v>
      </c>
      <c r="H665" s="667" t="s">
        <v>91</v>
      </c>
      <c r="I665" s="667" t="s">
        <v>521</v>
      </c>
      <c r="J665" s="667">
        <v>44263.0</v>
      </c>
      <c r="K665" s="670" t="s">
        <v>2365</v>
      </c>
      <c r="L665" s="666"/>
      <c r="M665" s="666"/>
      <c r="N665" s="666"/>
      <c r="O665" s="666"/>
      <c r="P665" s="666"/>
      <c r="Q665" s="666"/>
      <c r="R665" s="666"/>
      <c r="S665" s="666"/>
      <c r="T665" s="666"/>
      <c r="U665" s="666"/>
      <c r="V665" s="666"/>
      <c r="W665" s="666"/>
      <c r="X665" s="666"/>
      <c r="Y665" s="666"/>
      <c r="Z665" s="666"/>
      <c r="AA665" s="666"/>
      <c r="AB665" s="666"/>
      <c r="AC665" s="666"/>
      <c r="AD665" s="666"/>
      <c r="AE665" s="666"/>
      <c r="AF665" s="666"/>
      <c r="AG665" s="666"/>
      <c r="AH665" s="666"/>
      <c r="AI665" s="666"/>
      <c r="AJ665" s="666"/>
      <c r="AK665" s="666"/>
      <c r="AL665" s="666"/>
      <c r="AM665" s="666"/>
      <c r="AN665" s="666"/>
      <c r="AO665" s="666"/>
      <c r="AP665" s="666"/>
      <c r="AQ665" s="666"/>
      <c r="AR665" s="666"/>
      <c r="AS665" s="666"/>
      <c r="AT665" s="666"/>
      <c r="AU665" s="666"/>
    </row>
    <row r="666" ht="15.75" customHeight="1">
      <c r="A666" s="713">
        <v>44504.0</v>
      </c>
      <c r="B666" s="718" t="s">
        <v>6472</v>
      </c>
      <c r="C666" s="715" t="s">
        <v>2346</v>
      </c>
      <c r="D666" s="641" t="s">
        <v>5038</v>
      </c>
      <c r="E666" s="803">
        <v>50000.0</v>
      </c>
      <c r="F666" s="641" t="s">
        <v>1124</v>
      </c>
      <c r="G666" s="667" t="s">
        <v>120</v>
      </c>
      <c r="H666" s="667" t="s">
        <v>91</v>
      </c>
      <c r="I666" s="667" t="s">
        <v>521</v>
      </c>
      <c r="J666" s="667">
        <v>44263.0</v>
      </c>
      <c r="K666" s="670" t="s">
        <v>2319</v>
      </c>
      <c r="L666" s="666"/>
      <c r="M666" s="666"/>
      <c r="N666" s="666"/>
      <c r="O666" s="666"/>
      <c r="P666" s="666"/>
      <c r="Q666" s="666"/>
      <c r="R666" s="666"/>
      <c r="S666" s="666"/>
      <c r="T666" s="666"/>
      <c r="U666" s="666"/>
      <c r="V666" s="666"/>
      <c r="W666" s="666"/>
      <c r="X666" s="666"/>
      <c r="Y666" s="666"/>
      <c r="Z666" s="666"/>
      <c r="AA666" s="666"/>
      <c r="AB666" s="666"/>
      <c r="AC666" s="666"/>
      <c r="AD666" s="666"/>
      <c r="AE666" s="666"/>
      <c r="AF666" s="666"/>
      <c r="AG666" s="666"/>
      <c r="AH666" s="666"/>
      <c r="AI666" s="666"/>
      <c r="AJ666" s="666"/>
      <c r="AK666" s="666"/>
      <c r="AL666" s="666"/>
      <c r="AM666" s="666"/>
      <c r="AN666" s="666"/>
      <c r="AO666" s="666"/>
      <c r="AP666" s="666"/>
      <c r="AQ666" s="666"/>
      <c r="AR666" s="666"/>
      <c r="AS666" s="666"/>
      <c r="AT666" s="666"/>
      <c r="AU666" s="666"/>
    </row>
    <row r="667" ht="15.75" customHeight="1">
      <c r="A667" s="713">
        <v>44504.0</v>
      </c>
      <c r="B667" s="718" t="s">
        <v>7191</v>
      </c>
      <c r="C667" s="715" t="s">
        <v>2346</v>
      </c>
      <c r="D667" s="641" t="s">
        <v>5038</v>
      </c>
      <c r="E667" s="803">
        <v>10000.0</v>
      </c>
      <c r="F667" s="641" t="s">
        <v>6341</v>
      </c>
      <c r="G667" s="667" t="s">
        <v>120</v>
      </c>
      <c r="H667" s="667" t="s">
        <v>91</v>
      </c>
      <c r="I667" s="667" t="s">
        <v>521</v>
      </c>
      <c r="J667" s="667">
        <v>44323.0</v>
      </c>
      <c r="K667" s="670" t="s">
        <v>2452</v>
      </c>
      <c r="L667" s="666"/>
      <c r="M667" s="666"/>
      <c r="N667" s="666"/>
      <c r="O667" s="666"/>
      <c r="P667" s="666"/>
      <c r="Q667" s="666"/>
      <c r="R667" s="666"/>
      <c r="S667" s="666"/>
      <c r="T667" s="666"/>
      <c r="U667" s="666"/>
      <c r="V667" s="666"/>
      <c r="W667" s="666"/>
      <c r="X667" s="666"/>
      <c r="Y667" s="666"/>
      <c r="Z667" s="666"/>
      <c r="AA667" s="666"/>
      <c r="AB667" s="666"/>
      <c r="AC667" s="666"/>
      <c r="AD667" s="666"/>
      <c r="AE667" s="666"/>
      <c r="AF667" s="666"/>
      <c r="AG667" s="666"/>
      <c r="AH667" s="666"/>
      <c r="AI667" s="666"/>
      <c r="AJ667" s="666"/>
      <c r="AK667" s="666"/>
      <c r="AL667" s="666"/>
      <c r="AM667" s="666"/>
      <c r="AN667" s="666"/>
      <c r="AO667" s="666"/>
      <c r="AP667" s="666"/>
      <c r="AQ667" s="666"/>
      <c r="AR667" s="666"/>
      <c r="AS667" s="666"/>
      <c r="AT667" s="666"/>
      <c r="AU667" s="666"/>
    </row>
    <row r="668" ht="15.75" customHeight="1">
      <c r="A668" s="713">
        <v>44505.0</v>
      </c>
      <c r="B668" s="804" t="s">
        <v>7202</v>
      </c>
      <c r="C668" s="715" t="s">
        <v>98</v>
      </c>
      <c r="D668" s="641" t="s">
        <v>5038</v>
      </c>
      <c r="E668" s="803">
        <v>18000.0</v>
      </c>
      <c r="F668" s="641" t="s">
        <v>6776</v>
      </c>
      <c r="G668" s="641" t="s">
        <v>669</v>
      </c>
      <c r="H668" s="641" t="s">
        <v>199</v>
      </c>
      <c r="I668" s="641" t="s">
        <v>669</v>
      </c>
      <c r="J668" s="667">
        <v>44151.0</v>
      </c>
      <c r="K668" s="674" t="s">
        <v>2341</v>
      </c>
      <c r="L668" s="666"/>
      <c r="M668" s="666"/>
      <c r="N668" s="666"/>
      <c r="O668" s="666"/>
      <c r="P668" s="666"/>
      <c r="Q668" s="666"/>
      <c r="R668" s="666"/>
      <c r="S668" s="666"/>
      <c r="T668" s="666"/>
      <c r="U668" s="666"/>
      <c r="V668" s="666"/>
      <c r="W668" s="666"/>
      <c r="X668" s="666"/>
      <c r="Y668" s="666"/>
      <c r="Z668" s="666"/>
      <c r="AA668" s="666"/>
      <c r="AB668" s="666"/>
      <c r="AC668" s="666"/>
      <c r="AD668" s="666"/>
      <c r="AE668" s="666"/>
      <c r="AF668" s="666"/>
      <c r="AG668" s="666"/>
      <c r="AH668" s="666"/>
      <c r="AI668" s="666"/>
      <c r="AJ668" s="666"/>
      <c r="AK668" s="666"/>
      <c r="AL668" s="666"/>
      <c r="AM668" s="666"/>
      <c r="AN668" s="666"/>
      <c r="AO668" s="666"/>
      <c r="AP668" s="666"/>
      <c r="AQ668" s="666"/>
      <c r="AR668" s="666"/>
      <c r="AS668" s="666"/>
      <c r="AT668" s="666"/>
      <c r="AU668" s="666"/>
    </row>
    <row r="669" ht="15.75" customHeight="1">
      <c r="A669" s="713">
        <v>44505.0</v>
      </c>
      <c r="B669" s="801" t="s">
        <v>7208</v>
      </c>
      <c r="C669" s="715" t="s">
        <v>2346</v>
      </c>
      <c r="D669" s="641" t="s">
        <v>427</v>
      </c>
      <c r="E669" s="717">
        <v>52493.45</v>
      </c>
      <c r="F669" s="641" t="s">
        <v>7192</v>
      </c>
      <c r="G669" s="667" t="s">
        <v>120</v>
      </c>
      <c r="H669" s="667" t="s">
        <v>91</v>
      </c>
      <c r="I669" s="667" t="s">
        <v>521</v>
      </c>
      <c r="J669" s="667">
        <v>44411.0</v>
      </c>
      <c r="K669" s="670" t="s">
        <v>2341</v>
      </c>
      <c r="L669" s="666"/>
      <c r="M669" s="666"/>
      <c r="N669" s="666"/>
      <c r="O669" s="666"/>
      <c r="P669" s="666"/>
      <c r="Q669" s="666"/>
      <c r="R669" s="666"/>
      <c r="S669" s="666"/>
      <c r="T669" s="666"/>
      <c r="U669" s="666"/>
      <c r="V669" s="666"/>
      <c r="W669" s="666"/>
      <c r="X669" s="666"/>
      <c r="Y669" s="666"/>
      <c r="Z669" s="666"/>
      <c r="AA669" s="666"/>
      <c r="AB669" s="666"/>
      <c r="AC669" s="666"/>
      <c r="AD669" s="666"/>
      <c r="AE669" s="666"/>
      <c r="AF669" s="666"/>
      <c r="AG669" s="666"/>
      <c r="AH669" s="666"/>
      <c r="AI669" s="666"/>
      <c r="AJ669" s="666"/>
      <c r="AK669" s="666"/>
      <c r="AL669" s="666"/>
      <c r="AM669" s="666"/>
      <c r="AN669" s="666"/>
      <c r="AO669" s="666"/>
      <c r="AP669" s="666"/>
      <c r="AQ669" s="666"/>
      <c r="AR669" s="666"/>
      <c r="AS669" s="666"/>
      <c r="AT669" s="666"/>
      <c r="AU669" s="666"/>
    </row>
    <row r="670" ht="15.75" customHeight="1">
      <c r="A670" s="713">
        <v>44505.0</v>
      </c>
      <c r="B670" s="801" t="s">
        <v>5069</v>
      </c>
      <c r="C670" s="715" t="s">
        <v>2346</v>
      </c>
      <c r="D670" s="641" t="s">
        <v>5038</v>
      </c>
      <c r="E670" s="803">
        <v>200000.0</v>
      </c>
      <c r="F670" s="641" t="s">
        <v>5071</v>
      </c>
      <c r="G670" s="667" t="s">
        <v>669</v>
      </c>
      <c r="H670" s="667" t="s">
        <v>199</v>
      </c>
      <c r="I670" s="667" t="s">
        <v>1228</v>
      </c>
      <c r="J670" s="667">
        <v>43567.0</v>
      </c>
      <c r="K670" s="670" t="s">
        <v>2341</v>
      </c>
      <c r="L670" s="666"/>
      <c r="M670" s="666"/>
      <c r="N670" s="666"/>
      <c r="O670" s="666"/>
      <c r="P670" s="666"/>
      <c r="Q670" s="666"/>
      <c r="R670" s="666"/>
      <c r="S670" s="666"/>
      <c r="T670" s="666"/>
      <c r="U670" s="666"/>
      <c r="V670" s="666"/>
      <c r="W670" s="666"/>
      <c r="X670" s="666"/>
      <c r="Y670" s="666"/>
      <c r="Z670" s="666"/>
      <c r="AA670" s="666"/>
      <c r="AB670" s="666"/>
      <c r="AC670" s="666"/>
      <c r="AD670" s="666"/>
      <c r="AE670" s="666"/>
      <c r="AF670" s="666"/>
      <c r="AG670" s="666"/>
      <c r="AH670" s="666"/>
      <c r="AI670" s="666"/>
      <c r="AJ670" s="666"/>
      <c r="AK670" s="666"/>
      <c r="AL670" s="666"/>
      <c r="AM670" s="666"/>
      <c r="AN670" s="666"/>
      <c r="AO670" s="666"/>
      <c r="AP670" s="666"/>
      <c r="AQ670" s="666"/>
      <c r="AR670" s="666"/>
      <c r="AS670" s="666"/>
      <c r="AT670" s="666"/>
      <c r="AU670" s="666"/>
    </row>
    <row r="671" ht="15.75" customHeight="1">
      <c r="A671" s="713">
        <v>44505.0</v>
      </c>
      <c r="B671" s="811" t="s">
        <v>7215</v>
      </c>
      <c r="C671" s="715" t="s">
        <v>2346</v>
      </c>
      <c r="D671" s="641" t="s">
        <v>694</v>
      </c>
      <c r="E671" s="803">
        <v>386234.9</v>
      </c>
      <c r="F671" s="641" t="s">
        <v>5355</v>
      </c>
      <c r="G671" s="667" t="s">
        <v>669</v>
      </c>
      <c r="H671" s="667" t="s">
        <v>199</v>
      </c>
      <c r="I671" s="667" t="s">
        <v>1228</v>
      </c>
      <c r="J671" s="667">
        <v>43692.0</v>
      </c>
      <c r="K671" s="670" t="s">
        <v>4383</v>
      </c>
      <c r="L671" s="666"/>
      <c r="M671" s="666"/>
      <c r="N671" s="666"/>
      <c r="O671" s="666"/>
      <c r="P671" s="666"/>
      <c r="Q671" s="666"/>
      <c r="R671" s="666"/>
      <c r="S671" s="666"/>
      <c r="T671" s="666"/>
      <c r="U671" s="666"/>
      <c r="V671" s="666"/>
      <c r="W671" s="666"/>
      <c r="X671" s="666"/>
      <c r="Y671" s="666"/>
      <c r="Z671" s="666"/>
      <c r="AA671" s="666"/>
      <c r="AB671" s="666"/>
      <c r="AC671" s="666"/>
      <c r="AD671" s="666"/>
      <c r="AE671" s="666"/>
      <c r="AF671" s="666"/>
      <c r="AG671" s="666"/>
      <c r="AH671" s="666"/>
      <c r="AI671" s="666"/>
      <c r="AJ671" s="666"/>
      <c r="AK671" s="666"/>
      <c r="AL671" s="666"/>
      <c r="AM671" s="666"/>
      <c r="AN671" s="666"/>
      <c r="AO671" s="666"/>
      <c r="AP671" s="666"/>
      <c r="AQ671" s="666"/>
      <c r="AR671" s="666"/>
      <c r="AS671" s="666"/>
      <c r="AT671" s="666"/>
      <c r="AU671" s="666"/>
    </row>
    <row r="672" ht="15.75" customHeight="1">
      <c r="A672" s="713">
        <v>44509.0</v>
      </c>
      <c r="B672" s="801" t="s">
        <v>6863</v>
      </c>
      <c r="C672" s="715" t="s">
        <v>2346</v>
      </c>
      <c r="D672" s="641" t="s">
        <v>427</v>
      </c>
      <c r="E672" s="803">
        <v>1035319.0</v>
      </c>
      <c r="F672" s="641" t="s">
        <v>5614</v>
      </c>
      <c r="G672" s="667" t="s">
        <v>120</v>
      </c>
      <c r="H672" s="667" t="s">
        <v>91</v>
      </c>
      <c r="I672" s="667" t="s">
        <v>521</v>
      </c>
      <c r="J672" s="667">
        <v>44319.0</v>
      </c>
      <c r="K672" s="670" t="s">
        <v>2341</v>
      </c>
      <c r="L672" s="666"/>
      <c r="M672" s="666"/>
      <c r="N672" s="666"/>
      <c r="O672" s="666"/>
      <c r="P672" s="666"/>
      <c r="Q672" s="666"/>
      <c r="R672" s="666"/>
      <c r="S672" s="666"/>
      <c r="T672" s="666"/>
      <c r="U672" s="666"/>
      <c r="V672" s="666"/>
      <c r="W672" s="666"/>
      <c r="X672" s="666"/>
      <c r="Y672" s="666"/>
      <c r="Z672" s="666"/>
      <c r="AA672" s="666"/>
      <c r="AB672" s="666"/>
      <c r="AC672" s="666"/>
      <c r="AD672" s="666"/>
      <c r="AE672" s="666"/>
      <c r="AF672" s="666"/>
      <c r="AG672" s="666"/>
      <c r="AH672" s="666"/>
      <c r="AI672" s="666"/>
      <c r="AJ672" s="666"/>
      <c r="AK672" s="666"/>
      <c r="AL672" s="666"/>
      <c r="AM672" s="666"/>
      <c r="AN672" s="666"/>
      <c r="AO672" s="666"/>
      <c r="AP672" s="666"/>
      <c r="AQ672" s="666"/>
      <c r="AR672" s="666"/>
      <c r="AS672" s="666"/>
      <c r="AT672" s="666"/>
      <c r="AU672" s="666"/>
    </row>
    <row r="673" ht="15.75" customHeight="1">
      <c r="A673" s="713">
        <v>44509.0</v>
      </c>
      <c r="B673" s="801" t="s">
        <v>7218</v>
      </c>
      <c r="C673" s="715" t="s">
        <v>2346</v>
      </c>
      <c r="D673" s="641" t="s">
        <v>5038</v>
      </c>
      <c r="E673" s="803">
        <v>359568.24</v>
      </c>
      <c r="F673" s="641" t="s">
        <v>2348</v>
      </c>
      <c r="G673" s="667" t="s">
        <v>669</v>
      </c>
      <c r="H673" s="667" t="s">
        <v>199</v>
      </c>
      <c r="I673" s="667" t="s">
        <v>1228</v>
      </c>
      <c r="J673" s="667">
        <v>43570.0</v>
      </c>
      <c r="K673" s="670" t="s">
        <v>2365</v>
      </c>
      <c r="L673" s="666"/>
      <c r="M673" s="666"/>
      <c r="N673" s="666"/>
      <c r="O673" s="666"/>
      <c r="P673" s="666"/>
      <c r="Q673" s="666"/>
      <c r="R673" s="666"/>
      <c r="S673" s="666"/>
      <c r="T673" s="666"/>
      <c r="U673" s="666"/>
      <c r="V673" s="666"/>
      <c r="W673" s="666"/>
      <c r="X673" s="666"/>
      <c r="Y673" s="666"/>
      <c r="Z673" s="666"/>
      <c r="AA673" s="666"/>
      <c r="AB673" s="666"/>
      <c r="AC673" s="666"/>
      <c r="AD673" s="666"/>
      <c r="AE673" s="666"/>
      <c r="AF673" s="666"/>
      <c r="AG673" s="666"/>
      <c r="AH673" s="666"/>
      <c r="AI673" s="666"/>
      <c r="AJ673" s="666"/>
      <c r="AK673" s="666"/>
      <c r="AL673" s="666"/>
      <c r="AM673" s="666"/>
      <c r="AN673" s="666"/>
      <c r="AO673" s="666"/>
      <c r="AP673" s="666"/>
      <c r="AQ673" s="666"/>
      <c r="AR673" s="666"/>
      <c r="AS673" s="666"/>
      <c r="AT673" s="666"/>
      <c r="AU673" s="666"/>
    </row>
    <row r="674" ht="15.75" customHeight="1">
      <c r="A674" s="713">
        <v>44509.0</v>
      </c>
      <c r="B674" s="714" t="s">
        <v>5065</v>
      </c>
      <c r="C674" s="715" t="s">
        <v>2346</v>
      </c>
      <c r="D674" s="641" t="s">
        <v>5038</v>
      </c>
      <c r="E674" s="716">
        <v>10000.0</v>
      </c>
      <c r="F674" s="641" t="s">
        <v>5066</v>
      </c>
      <c r="G674" s="667" t="s">
        <v>669</v>
      </c>
      <c r="H674" s="667" t="s">
        <v>199</v>
      </c>
      <c r="I674" s="667" t="s">
        <v>1228</v>
      </c>
      <c r="J674" s="667">
        <v>43703.0</v>
      </c>
      <c r="K674" s="670" t="s">
        <v>4383</v>
      </c>
      <c r="L674" s="666"/>
      <c r="M674" s="666"/>
      <c r="N674" s="666"/>
      <c r="O674" s="666"/>
      <c r="P674" s="666"/>
      <c r="Q674" s="666"/>
      <c r="R674" s="666"/>
      <c r="S674" s="666"/>
      <c r="T674" s="666"/>
      <c r="U674" s="666"/>
      <c r="V674" s="666"/>
      <c r="W674" s="666"/>
      <c r="X674" s="666"/>
      <c r="Y674" s="666"/>
      <c r="Z674" s="666"/>
      <c r="AA674" s="666"/>
      <c r="AB674" s="666"/>
      <c r="AC674" s="666"/>
      <c r="AD674" s="666"/>
      <c r="AE674" s="666"/>
      <c r="AF674" s="666"/>
      <c r="AG674" s="666"/>
      <c r="AH674" s="666"/>
      <c r="AI674" s="666"/>
      <c r="AJ674" s="666"/>
      <c r="AK674" s="666"/>
      <c r="AL674" s="666"/>
      <c r="AM674" s="666"/>
      <c r="AN674" s="666"/>
      <c r="AO674" s="666"/>
      <c r="AP674" s="666"/>
      <c r="AQ674" s="666"/>
      <c r="AR674" s="666"/>
      <c r="AS674" s="666"/>
      <c r="AT674" s="666"/>
      <c r="AU674" s="666"/>
    </row>
    <row r="675" ht="15.75" customHeight="1">
      <c r="A675" s="713">
        <v>44509.0</v>
      </c>
      <c r="B675" s="811" t="s">
        <v>7227</v>
      </c>
      <c r="C675" s="715" t="s">
        <v>2346</v>
      </c>
      <c r="D675" s="641" t="s">
        <v>694</v>
      </c>
      <c r="E675" s="716">
        <v>103527.44</v>
      </c>
      <c r="F675" s="641" t="s">
        <v>2497</v>
      </c>
      <c r="G675" s="667" t="s">
        <v>669</v>
      </c>
      <c r="H675" s="667" t="s">
        <v>199</v>
      </c>
      <c r="I675" s="667" t="s">
        <v>2388</v>
      </c>
      <c r="J675" s="667">
        <v>43633.0</v>
      </c>
      <c r="K675" s="670" t="s">
        <v>2365</v>
      </c>
      <c r="L675" s="666"/>
      <c r="M675" s="666"/>
      <c r="N675" s="666"/>
      <c r="O675" s="666"/>
      <c r="P675" s="666"/>
      <c r="Q675" s="666"/>
      <c r="R675" s="666"/>
      <c r="S675" s="666"/>
      <c r="T675" s="666"/>
      <c r="U675" s="666"/>
      <c r="V675" s="666"/>
      <c r="W675" s="666"/>
      <c r="X675" s="666"/>
      <c r="Y675" s="666"/>
      <c r="Z675" s="666"/>
      <c r="AA675" s="666"/>
      <c r="AB675" s="666"/>
      <c r="AC675" s="666"/>
      <c r="AD675" s="666"/>
      <c r="AE675" s="666"/>
      <c r="AF675" s="666"/>
      <c r="AG675" s="666"/>
      <c r="AH675" s="666"/>
      <c r="AI675" s="666"/>
      <c r="AJ675" s="666"/>
      <c r="AK675" s="666"/>
      <c r="AL675" s="666"/>
      <c r="AM675" s="666"/>
      <c r="AN675" s="666"/>
      <c r="AO675" s="666"/>
      <c r="AP675" s="666"/>
      <c r="AQ675" s="666"/>
      <c r="AR675" s="666"/>
      <c r="AS675" s="666"/>
      <c r="AT675" s="666"/>
      <c r="AU675" s="666"/>
    </row>
    <row r="676" ht="15.75" customHeight="1">
      <c r="A676" s="713">
        <v>44510.0</v>
      </c>
      <c r="B676" s="804" t="s">
        <v>5960</v>
      </c>
      <c r="C676" s="715" t="s">
        <v>98</v>
      </c>
      <c r="D676" s="641" t="s">
        <v>5038</v>
      </c>
      <c r="E676" s="716">
        <v>20000.0</v>
      </c>
      <c r="F676" s="641" t="s">
        <v>5963</v>
      </c>
      <c r="G676" s="641" t="s">
        <v>255</v>
      </c>
      <c r="H676" s="641" t="s">
        <v>199</v>
      </c>
      <c r="I676" s="641" t="s">
        <v>4761</v>
      </c>
      <c r="J676" s="667">
        <v>44180.0</v>
      </c>
      <c r="K676" s="674" t="s">
        <v>2341</v>
      </c>
      <c r="L676" s="666"/>
      <c r="M676" s="666"/>
      <c r="N676" s="666"/>
      <c r="O676" s="666"/>
      <c r="P676" s="666"/>
      <c r="Q676" s="666"/>
      <c r="R676" s="666"/>
      <c r="S676" s="666"/>
      <c r="T676" s="666"/>
      <c r="U676" s="666"/>
      <c r="V676" s="666"/>
      <c r="W676" s="666"/>
      <c r="X676" s="666"/>
      <c r="Y676" s="666"/>
      <c r="Z676" s="666"/>
      <c r="AA676" s="666"/>
      <c r="AB676" s="666"/>
      <c r="AC676" s="666"/>
      <c r="AD676" s="666"/>
      <c r="AE676" s="666"/>
      <c r="AF676" s="666"/>
      <c r="AG676" s="666"/>
      <c r="AH676" s="666"/>
      <c r="AI676" s="666"/>
      <c r="AJ676" s="666"/>
      <c r="AK676" s="666"/>
      <c r="AL676" s="666"/>
      <c r="AM676" s="666"/>
      <c r="AN676" s="666"/>
      <c r="AO676" s="666"/>
      <c r="AP676" s="666"/>
      <c r="AQ676" s="666"/>
      <c r="AR676" s="666"/>
      <c r="AS676" s="666"/>
      <c r="AT676" s="666"/>
      <c r="AU676" s="666"/>
    </row>
    <row r="677" ht="15.75" customHeight="1">
      <c r="A677" s="713">
        <v>44510.0</v>
      </c>
      <c r="B677" s="714" t="s">
        <v>5716</v>
      </c>
      <c r="C677" s="715" t="s">
        <v>2346</v>
      </c>
      <c r="D677" s="641" t="s">
        <v>5038</v>
      </c>
      <c r="E677" s="716">
        <v>10000.0</v>
      </c>
      <c r="F677" s="641" t="s">
        <v>1085</v>
      </c>
      <c r="G677" s="667" t="s">
        <v>120</v>
      </c>
      <c r="H677" s="667" t="s">
        <v>91</v>
      </c>
      <c r="I677" s="667" t="s">
        <v>521</v>
      </c>
      <c r="J677" s="667">
        <v>44295.0</v>
      </c>
      <c r="K677" s="670" t="s">
        <v>2356</v>
      </c>
      <c r="L677" s="666"/>
      <c r="M677" s="666"/>
      <c r="N677" s="666"/>
      <c r="O677" s="666"/>
      <c r="P677" s="666"/>
      <c r="Q677" s="666"/>
      <c r="R677" s="666"/>
      <c r="S677" s="666"/>
      <c r="T677" s="666"/>
      <c r="U677" s="666"/>
      <c r="V677" s="666"/>
      <c r="W677" s="666"/>
      <c r="X677" s="666"/>
      <c r="Y677" s="666"/>
      <c r="Z677" s="666"/>
      <c r="AA677" s="666"/>
      <c r="AB677" s="666"/>
      <c r="AC677" s="666"/>
      <c r="AD677" s="666"/>
      <c r="AE677" s="666"/>
      <c r="AF677" s="666"/>
      <c r="AG677" s="666"/>
      <c r="AH677" s="666"/>
      <c r="AI677" s="666"/>
      <c r="AJ677" s="666"/>
      <c r="AK677" s="666"/>
      <c r="AL677" s="666"/>
      <c r="AM677" s="666"/>
      <c r="AN677" s="666"/>
      <c r="AO677" s="666"/>
      <c r="AP677" s="666"/>
      <c r="AQ677" s="666"/>
      <c r="AR677" s="666"/>
      <c r="AS677" s="666"/>
      <c r="AT677" s="666"/>
      <c r="AU677" s="666"/>
    </row>
    <row r="678" ht="15.75" customHeight="1">
      <c r="A678" s="713">
        <v>44511.0</v>
      </c>
      <c r="B678" s="714" t="s">
        <v>6232</v>
      </c>
      <c r="C678" s="715" t="s">
        <v>2346</v>
      </c>
      <c r="D678" s="641" t="s">
        <v>427</v>
      </c>
      <c r="E678" s="813">
        <v>52575.43</v>
      </c>
      <c r="F678" s="641" t="s">
        <v>1250</v>
      </c>
      <c r="G678" s="667" t="s">
        <v>120</v>
      </c>
      <c r="H678" s="667" t="s">
        <v>91</v>
      </c>
      <c r="I678" s="667" t="s">
        <v>521</v>
      </c>
      <c r="J678" s="667">
        <v>44322.0</v>
      </c>
      <c r="K678" s="670" t="s">
        <v>2341</v>
      </c>
      <c r="L678" s="666"/>
      <c r="M678" s="666"/>
      <c r="N678" s="666"/>
      <c r="O678" s="666"/>
      <c r="P678" s="666"/>
      <c r="Q678" s="666"/>
      <c r="R678" s="666"/>
      <c r="S678" s="666"/>
      <c r="T678" s="666"/>
      <c r="U678" s="666"/>
      <c r="V678" s="666"/>
      <c r="W678" s="666"/>
      <c r="X678" s="666"/>
      <c r="Y678" s="666"/>
      <c r="Z678" s="666"/>
      <c r="AA678" s="666"/>
      <c r="AB678" s="666"/>
      <c r="AC678" s="666"/>
      <c r="AD678" s="666"/>
      <c r="AE678" s="666"/>
      <c r="AF678" s="666"/>
      <c r="AG678" s="666"/>
      <c r="AH678" s="666"/>
      <c r="AI678" s="666"/>
      <c r="AJ678" s="666"/>
      <c r="AK678" s="666"/>
      <c r="AL678" s="666"/>
      <c r="AM678" s="666"/>
      <c r="AN678" s="666"/>
      <c r="AO678" s="666"/>
      <c r="AP678" s="666"/>
      <c r="AQ678" s="666"/>
      <c r="AR678" s="666"/>
      <c r="AS678" s="666"/>
      <c r="AT678" s="666"/>
      <c r="AU678" s="666"/>
    </row>
    <row r="679" ht="15.75" customHeight="1">
      <c r="A679" s="713">
        <v>44511.0</v>
      </c>
      <c r="B679" s="714" t="s">
        <v>6959</v>
      </c>
      <c r="C679" s="715" t="s">
        <v>2346</v>
      </c>
      <c r="D679" s="641" t="s">
        <v>5038</v>
      </c>
      <c r="E679" s="717">
        <v>6843.64</v>
      </c>
      <c r="F679" s="641" t="s">
        <v>2299</v>
      </c>
      <c r="G679" s="667" t="s">
        <v>120</v>
      </c>
      <c r="H679" s="667" t="s">
        <v>91</v>
      </c>
      <c r="I679" s="667" t="s">
        <v>521</v>
      </c>
      <c r="J679" s="667">
        <v>44421.0</v>
      </c>
      <c r="K679" s="670" t="s">
        <v>2341</v>
      </c>
      <c r="L679" s="666"/>
      <c r="M679" s="666"/>
      <c r="N679" s="666"/>
      <c r="O679" s="666"/>
      <c r="P679" s="666"/>
      <c r="Q679" s="666"/>
      <c r="R679" s="666"/>
      <c r="S679" s="666"/>
      <c r="T679" s="666"/>
      <c r="U679" s="666"/>
      <c r="V679" s="666"/>
      <c r="W679" s="666"/>
      <c r="X679" s="666"/>
      <c r="Y679" s="666"/>
      <c r="Z679" s="666"/>
      <c r="AA679" s="666"/>
      <c r="AB679" s="666"/>
      <c r="AC679" s="666"/>
      <c r="AD679" s="666"/>
      <c r="AE679" s="666"/>
      <c r="AF679" s="666"/>
      <c r="AG679" s="666"/>
      <c r="AH679" s="666"/>
      <c r="AI679" s="666"/>
      <c r="AJ679" s="666"/>
      <c r="AK679" s="666"/>
      <c r="AL679" s="666"/>
      <c r="AM679" s="666"/>
      <c r="AN679" s="666"/>
      <c r="AO679" s="666"/>
      <c r="AP679" s="666"/>
      <c r="AQ679" s="666"/>
      <c r="AR679" s="666"/>
      <c r="AS679" s="666"/>
      <c r="AT679" s="666"/>
      <c r="AU679" s="666"/>
    </row>
    <row r="680" ht="15.75" customHeight="1">
      <c r="A680" s="713">
        <v>44512.0</v>
      </c>
      <c r="B680" s="806" t="s">
        <v>7241</v>
      </c>
      <c r="C680" s="715" t="s">
        <v>98</v>
      </c>
      <c r="D680" s="641" t="s">
        <v>694</v>
      </c>
      <c r="E680" s="716">
        <v>124370.77</v>
      </c>
      <c r="F680" s="641" t="s">
        <v>1843</v>
      </c>
      <c r="G680" s="641" t="s">
        <v>255</v>
      </c>
      <c r="H680" s="641" t="s">
        <v>199</v>
      </c>
      <c r="I680" s="641" t="s">
        <v>4815</v>
      </c>
      <c r="J680" s="667">
        <v>44209.0</v>
      </c>
      <c r="K680" s="674" t="s">
        <v>2452</v>
      </c>
      <c r="L680" s="666"/>
      <c r="M680" s="666"/>
      <c r="N680" s="666"/>
      <c r="O680" s="666"/>
      <c r="P680" s="666"/>
      <c r="Q680" s="666"/>
      <c r="R680" s="666"/>
      <c r="S680" s="666"/>
      <c r="T680" s="666"/>
      <c r="U680" s="666"/>
      <c r="V680" s="666"/>
      <c r="W680" s="666"/>
      <c r="X680" s="666"/>
      <c r="Y680" s="666"/>
      <c r="Z680" s="666"/>
      <c r="AA680" s="666"/>
      <c r="AB680" s="666"/>
      <c r="AC680" s="666"/>
      <c r="AD680" s="666"/>
      <c r="AE680" s="666"/>
      <c r="AF680" s="666"/>
      <c r="AG680" s="666"/>
      <c r="AH680" s="666"/>
      <c r="AI680" s="666"/>
      <c r="AJ680" s="666"/>
      <c r="AK680" s="666"/>
      <c r="AL680" s="666"/>
      <c r="AM680" s="666"/>
      <c r="AN680" s="666"/>
      <c r="AO680" s="666"/>
      <c r="AP680" s="666"/>
      <c r="AQ680" s="666"/>
      <c r="AR680" s="666"/>
      <c r="AS680" s="666"/>
      <c r="AT680" s="666"/>
      <c r="AU680" s="666"/>
    </row>
    <row r="681" ht="15.75" customHeight="1">
      <c r="A681" s="713">
        <v>44512.0</v>
      </c>
      <c r="B681" s="714" t="s">
        <v>6211</v>
      </c>
      <c r="C681" s="715" t="s">
        <v>2346</v>
      </c>
      <c r="D681" s="641" t="s">
        <v>5038</v>
      </c>
      <c r="E681" s="716">
        <v>3000.0</v>
      </c>
      <c r="F681" s="641" t="s">
        <v>6214</v>
      </c>
      <c r="G681" s="667" t="s">
        <v>120</v>
      </c>
      <c r="H681" s="667" t="s">
        <v>91</v>
      </c>
      <c r="I681" s="667" t="s">
        <v>193</v>
      </c>
      <c r="J681" s="667">
        <v>44322.0</v>
      </c>
      <c r="K681" s="670" t="s">
        <v>2341</v>
      </c>
      <c r="L681" s="666"/>
      <c r="M681" s="666"/>
      <c r="N681" s="666"/>
      <c r="O681" s="666"/>
      <c r="P681" s="666"/>
      <c r="Q681" s="666"/>
      <c r="R681" s="666"/>
      <c r="S681" s="666"/>
      <c r="T681" s="666"/>
      <c r="U681" s="666"/>
      <c r="V681" s="666"/>
      <c r="W681" s="666"/>
      <c r="X681" s="666"/>
      <c r="Y681" s="666"/>
      <c r="Z681" s="666"/>
      <c r="AA681" s="666"/>
      <c r="AB681" s="666"/>
      <c r="AC681" s="666"/>
      <c r="AD681" s="666"/>
      <c r="AE681" s="666"/>
      <c r="AF681" s="666"/>
      <c r="AG681" s="666"/>
      <c r="AH681" s="666"/>
      <c r="AI681" s="666"/>
      <c r="AJ681" s="666"/>
      <c r="AK681" s="666"/>
      <c r="AL681" s="666"/>
      <c r="AM681" s="666"/>
      <c r="AN681" s="666"/>
      <c r="AO681" s="666"/>
      <c r="AP681" s="666"/>
      <c r="AQ681" s="666"/>
      <c r="AR681" s="666"/>
      <c r="AS681" s="666"/>
      <c r="AT681" s="666"/>
      <c r="AU681" s="666"/>
    </row>
    <row r="682" ht="15.75" customHeight="1">
      <c r="A682" s="713">
        <v>44512.0</v>
      </c>
      <c r="B682" s="814" t="s">
        <v>7208</v>
      </c>
      <c r="C682" s="715" t="s">
        <v>2346</v>
      </c>
      <c r="D682" s="641" t="s">
        <v>694</v>
      </c>
      <c r="E682" s="716">
        <v>0.0</v>
      </c>
      <c r="F682" s="641" t="s">
        <v>7192</v>
      </c>
      <c r="G682" s="667" t="s">
        <v>120</v>
      </c>
      <c r="H682" s="667" t="s">
        <v>91</v>
      </c>
      <c r="I682" s="667" t="s">
        <v>521</v>
      </c>
      <c r="J682" s="667">
        <v>44411.0</v>
      </c>
      <c r="K682" s="670" t="s">
        <v>2341</v>
      </c>
      <c r="L682" s="666"/>
      <c r="M682" s="666"/>
      <c r="N682" s="666"/>
      <c r="O682" s="666"/>
      <c r="P682" s="666"/>
      <c r="Q682" s="666"/>
      <c r="R682" s="666"/>
      <c r="S682" s="666"/>
      <c r="T682" s="666"/>
      <c r="U682" s="666"/>
      <c r="V682" s="666"/>
      <c r="W682" s="666"/>
      <c r="X682" s="666"/>
      <c r="Y682" s="666"/>
      <c r="Z682" s="666"/>
      <c r="AA682" s="666"/>
      <c r="AB682" s="666"/>
      <c r="AC682" s="666"/>
      <c r="AD682" s="666"/>
      <c r="AE682" s="666"/>
      <c r="AF682" s="666"/>
      <c r="AG682" s="666"/>
      <c r="AH682" s="666"/>
      <c r="AI682" s="666"/>
      <c r="AJ682" s="666"/>
      <c r="AK682" s="666"/>
      <c r="AL682" s="666"/>
      <c r="AM682" s="666"/>
      <c r="AN682" s="666"/>
      <c r="AO682" s="666"/>
      <c r="AP682" s="666"/>
      <c r="AQ682" s="666"/>
      <c r="AR682" s="666"/>
      <c r="AS682" s="666"/>
      <c r="AT682" s="666"/>
      <c r="AU682" s="666"/>
    </row>
    <row r="683" ht="15.75" customHeight="1">
      <c r="A683" s="713">
        <v>44512.0</v>
      </c>
      <c r="B683" s="814" t="s">
        <v>6232</v>
      </c>
      <c r="C683" s="715" t="s">
        <v>2346</v>
      </c>
      <c r="D683" s="641" t="s">
        <v>694</v>
      </c>
      <c r="E683" s="813">
        <v>52575.43</v>
      </c>
      <c r="F683" s="641" t="s">
        <v>1250</v>
      </c>
      <c r="G683" s="667" t="s">
        <v>120</v>
      </c>
      <c r="H683" s="667" t="s">
        <v>91</v>
      </c>
      <c r="I683" s="667" t="s">
        <v>521</v>
      </c>
      <c r="J683" s="667">
        <v>44322.0</v>
      </c>
      <c r="K683" s="670" t="s">
        <v>2341</v>
      </c>
      <c r="L683" s="666"/>
      <c r="M683" s="666"/>
      <c r="N683" s="666"/>
      <c r="O683" s="666"/>
      <c r="P683" s="666"/>
      <c r="Q683" s="666"/>
      <c r="R683" s="666"/>
      <c r="S683" s="666"/>
      <c r="T683" s="666"/>
      <c r="U683" s="666"/>
      <c r="V683" s="666"/>
      <c r="W683" s="666"/>
      <c r="X683" s="666"/>
      <c r="Y683" s="666"/>
      <c r="Z683" s="666"/>
      <c r="AA683" s="666"/>
      <c r="AB683" s="666"/>
      <c r="AC683" s="666"/>
      <c r="AD683" s="666"/>
      <c r="AE683" s="666"/>
      <c r="AF683" s="666"/>
      <c r="AG683" s="666"/>
      <c r="AH683" s="666"/>
      <c r="AI683" s="666"/>
      <c r="AJ683" s="666"/>
      <c r="AK683" s="666"/>
      <c r="AL683" s="666"/>
      <c r="AM683" s="666"/>
      <c r="AN683" s="666"/>
      <c r="AO683" s="666"/>
      <c r="AP683" s="666"/>
      <c r="AQ683" s="666"/>
      <c r="AR683" s="666"/>
      <c r="AS683" s="666"/>
      <c r="AT683" s="666"/>
      <c r="AU683" s="666"/>
    </row>
    <row r="684" ht="15.75" customHeight="1">
      <c r="A684" s="713">
        <v>44512.0</v>
      </c>
      <c r="B684" s="807" t="s">
        <v>6977</v>
      </c>
      <c r="C684" s="715" t="s">
        <v>2346</v>
      </c>
      <c r="D684" s="641" t="s">
        <v>694</v>
      </c>
      <c r="E684" s="813">
        <v>3940.3</v>
      </c>
      <c r="F684" s="641" t="s">
        <v>5187</v>
      </c>
      <c r="G684" s="667" t="s">
        <v>120</v>
      </c>
      <c r="H684" s="667" t="s">
        <v>91</v>
      </c>
      <c r="I684" s="667" t="s">
        <v>521</v>
      </c>
      <c r="J684" s="667">
        <v>44333.0</v>
      </c>
      <c r="K684" s="670" t="s">
        <v>2341</v>
      </c>
      <c r="L684" s="666"/>
      <c r="M684" s="666"/>
      <c r="N684" s="666"/>
      <c r="O684" s="666"/>
      <c r="P684" s="666"/>
      <c r="Q684" s="666"/>
      <c r="R684" s="666"/>
      <c r="S684" s="666"/>
      <c r="T684" s="666"/>
      <c r="U684" s="666"/>
      <c r="V684" s="666"/>
      <c r="W684" s="666"/>
      <c r="X684" s="666"/>
      <c r="Y684" s="666"/>
      <c r="Z684" s="666"/>
      <c r="AA684" s="666"/>
      <c r="AB684" s="666"/>
      <c r="AC684" s="666"/>
      <c r="AD684" s="666"/>
      <c r="AE684" s="666"/>
      <c r="AF684" s="666"/>
      <c r="AG684" s="666"/>
      <c r="AH684" s="666"/>
      <c r="AI684" s="666"/>
      <c r="AJ684" s="666"/>
      <c r="AK684" s="666"/>
      <c r="AL684" s="666"/>
      <c r="AM684" s="666"/>
      <c r="AN684" s="666"/>
      <c r="AO684" s="666"/>
      <c r="AP684" s="666"/>
      <c r="AQ684" s="666"/>
      <c r="AR684" s="666"/>
      <c r="AS684" s="666"/>
      <c r="AT684" s="666"/>
      <c r="AU684" s="666"/>
    </row>
    <row r="685" ht="15.75" customHeight="1">
      <c r="A685" s="713">
        <v>44512.0</v>
      </c>
      <c r="B685" s="811" t="s">
        <v>6875</v>
      </c>
      <c r="C685" s="715" t="s">
        <v>2346</v>
      </c>
      <c r="D685" s="641" t="s">
        <v>694</v>
      </c>
      <c r="E685" s="716">
        <v>2041.36</v>
      </c>
      <c r="F685" s="641" t="s">
        <v>3662</v>
      </c>
      <c r="G685" s="667" t="s">
        <v>120</v>
      </c>
      <c r="H685" s="667" t="s">
        <v>91</v>
      </c>
      <c r="I685" s="667" t="s">
        <v>521</v>
      </c>
      <c r="J685" s="667">
        <v>44280.0</v>
      </c>
      <c r="K685" s="670" t="s">
        <v>2372</v>
      </c>
      <c r="L685" s="666"/>
      <c r="M685" s="666"/>
      <c r="N685" s="666"/>
      <c r="O685" s="666"/>
      <c r="P685" s="666"/>
      <c r="Q685" s="666"/>
      <c r="R685" s="666"/>
      <c r="S685" s="666"/>
      <c r="T685" s="666"/>
      <c r="U685" s="666"/>
      <c r="V685" s="666"/>
      <c r="W685" s="666"/>
      <c r="X685" s="666"/>
      <c r="Y685" s="666"/>
      <c r="Z685" s="666"/>
      <c r="AA685" s="666"/>
      <c r="AB685" s="666"/>
      <c r="AC685" s="666"/>
      <c r="AD685" s="666"/>
      <c r="AE685" s="666"/>
      <c r="AF685" s="666"/>
      <c r="AG685" s="666"/>
      <c r="AH685" s="666"/>
      <c r="AI685" s="666"/>
      <c r="AJ685" s="666"/>
      <c r="AK685" s="666"/>
      <c r="AL685" s="666"/>
      <c r="AM685" s="666"/>
      <c r="AN685" s="666"/>
      <c r="AO685" s="666"/>
      <c r="AP685" s="666"/>
      <c r="AQ685" s="666"/>
      <c r="AR685" s="666"/>
      <c r="AS685" s="666"/>
      <c r="AT685" s="666"/>
      <c r="AU685" s="666"/>
    </row>
    <row r="686" ht="15.75" customHeight="1">
      <c r="A686" s="713">
        <v>44516.0</v>
      </c>
      <c r="B686" s="714" t="s">
        <v>6103</v>
      </c>
      <c r="C686" s="715" t="s">
        <v>2346</v>
      </c>
      <c r="D686" s="641" t="s">
        <v>5038</v>
      </c>
      <c r="E686" s="716">
        <v>54835.4</v>
      </c>
      <c r="F686" s="641" t="s">
        <v>6105</v>
      </c>
      <c r="G686" s="667" t="s">
        <v>120</v>
      </c>
      <c r="H686" s="667" t="s">
        <v>91</v>
      </c>
      <c r="I686" s="667" t="s">
        <v>193</v>
      </c>
      <c r="J686" s="667">
        <v>44279.0</v>
      </c>
      <c r="K686" s="670" t="s">
        <v>2341</v>
      </c>
      <c r="L686" s="666"/>
      <c r="M686" s="666"/>
      <c r="N686" s="666"/>
      <c r="O686" s="666"/>
      <c r="P686" s="666"/>
      <c r="Q686" s="666"/>
      <c r="R686" s="666"/>
      <c r="S686" s="666"/>
      <c r="T686" s="666"/>
      <c r="U686" s="666"/>
      <c r="V686" s="666"/>
      <c r="W686" s="666"/>
      <c r="X686" s="666"/>
      <c r="Y686" s="666"/>
      <c r="Z686" s="666"/>
      <c r="AA686" s="666"/>
      <c r="AB686" s="666"/>
      <c r="AC686" s="666"/>
      <c r="AD686" s="666"/>
      <c r="AE686" s="666"/>
      <c r="AF686" s="666"/>
      <c r="AG686" s="666"/>
      <c r="AH686" s="666"/>
      <c r="AI686" s="666"/>
      <c r="AJ686" s="666"/>
      <c r="AK686" s="666"/>
      <c r="AL686" s="666"/>
      <c r="AM686" s="666"/>
      <c r="AN686" s="666"/>
      <c r="AO686" s="666"/>
      <c r="AP686" s="666"/>
      <c r="AQ686" s="666"/>
      <c r="AR686" s="666"/>
      <c r="AS686" s="666"/>
      <c r="AT686" s="666"/>
      <c r="AU686" s="666"/>
    </row>
    <row r="687" ht="15.75" customHeight="1">
      <c r="A687" s="713">
        <v>44516.0</v>
      </c>
      <c r="B687" s="714" t="s">
        <v>6435</v>
      </c>
      <c r="C687" s="715" t="s">
        <v>2346</v>
      </c>
      <c r="D687" s="641" t="s">
        <v>5038</v>
      </c>
      <c r="E687" s="716">
        <v>100000.0</v>
      </c>
      <c r="F687" s="641" t="s">
        <v>2396</v>
      </c>
      <c r="G687" s="667" t="s">
        <v>120</v>
      </c>
      <c r="H687" s="667" t="s">
        <v>91</v>
      </c>
      <c r="I687" s="667" t="s">
        <v>193</v>
      </c>
      <c r="J687" s="667">
        <v>44321.0</v>
      </c>
      <c r="K687" s="670" t="s">
        <v>2365</v>
      </c>
      <c r="L687" s="666"/>
      <c r="M687" s="666"/>
      <c r="N687" s="666"/>
      <c r="O687" s="666"/>
      <c r="P687" s="666"/>
      <c r="Q687" s="666"/>
      <c r="R687" s="666"/>
      <c r="S687" s="666"/>
      <c r="T687" s="666"/>
      <c r="U687" s="666"/>
      <c r="V687" s="666"/>
      <c r="W687" s="666"/>
      <c r="X687" s="666"/>
      <c r="Y687" s="666"/>
      <c r="Z687" s="666"/>
      <c r="AA687" s="666"/>
      <c r="AB687" s="666"/>
      <c r="AC687" s="666"/>
      <c r="AD687" s="666"/>
      <c r="AE687" s="666"/>
      <c r="AF687" s="666"/>
      <c r="AG687" s="666"/>
      <c r="AH687" s="666"/>
      <c r="AI687" s="666"/>
      <c r="AJ687" s="666"/>
      <c r="AK687" s="666"/>
      <c r="AL687" s="666"/>
      <c r="AM687" s="666"/>
      <c r="AN687" s="666"/>
      <c r="AO687" s="666"/>
      <c r="AP687" s="666"/>
      <c r="AQ687" s="666"/>
      <c r="AR687" s="666"/>
      <c r="AS687" s="666"/>
      <c r="AT687" s="666"/>
      <c r="AU687" s="666"/>
    </row>
    <row r="688" ht="15.75" customHeight="1">
      <c r="A688" s="713">
        <v>44516.0</v>
      </c>
      <c r="B688" s="804" t="s">
        <v>7267</v>
      </c>
      <c r="C688" s="715" t="s">
        <v>98</v>
      </c>
      <c r="D688" s="641" t="s">
        <v>694</v>
      </c>
      <c r="E688" s="716">
        <v>290532.13</v>
      </c>
      <c r="F688" s="641" t="s">
        <v>7259</v>
      </c>
      <c r="G688" s="641" t="s">
        <v>120</v>
      </c>
      <c r="H688" s="641" t="s">
        <v>54</v>
      </c>
      <c r="I688" s="641" t="s">
        <v>379</v>
      </c>
      <c r="J688" s="667">
        <v>44259.0</v>
      </c>
      <c r="K688" s="674" t="s">
        <v>2372</v>
      </c>
      <c r="L688" s="666"/>
      <c r="M688" s="666"/>
      <c r="N688" s="666"/>
      <c r="O688" s="666"/>
      <c r="P688" s="666"/>
      <c r="Q688" s="666"/>
      <c r="R688" s="666"/>
      <c r="S688" s="666"/>
      <c r="T688" s="666"/>
      <c r="U688" s="666"/>
      <c r="V688" s="666"/>
      <c r="W688" s="666"/>
      <c r="X688" s="666"/>
      <c r="Y688" s="666"/>
      <c r="Z688" s="666"/>
      <c r="AA688" s="666"/>
      <c r="AB688" s="666"/>
      <c r="AC688" s="666"/>
      <c r="AD688" s="666"/>
      <c r="AE688" s="666"/>
      <c r="AF688" s="666"/>
      <c r="AG688" s="666"/>
      <c r="AH688" s="666"/>
      <c r="AI688" s="666"/>
      <c r="AJ688" s="666"/>
      <c r="AK688" s="666"/>
      <c r="AL688" s="666"/>
      <c r="AM688" s="666"/>
      <c r="AN688" s="666"/>
      <c r="AO688" s="666"/>
      <c r="AP688" s="666"/>
      <c r="AQ688" s="666"/>
      <c r="AR688" s="666"/>
      <c r="AS688" s="666"/>
      <c r="AT688" s="666"/>
      <c r="AU688" s="666"/>
    </row>
    <row r="689" ht="15.75" customHeight="1">
      <c r="A689" s="713">
        <v>44516.0</v>
      </c>
      <c r="B689" s="718" t="s">
        <v>5724</v>
      </c>
      <c r="C689" s="715" t="s">
        <v>98</v>
      </c>
      <c r="D689" s="641" t="s">
        <v>5038</v>
      </c>
      <c r="E689" s="716">
        <v>5000.0</v>
      </c>
      <c r="F689" s="641" t="s">
        <v>5042</v>
      </c>
      <c r="G689" s="641" t="s">
        <v>255</v>
      </c>
      <c r="H689" s="641" t="s">
        <v>199</v>
      </c>
      <c r="I689" s="641" t="s">
        <v>2587</v>
      </c>
      <c r="J689" s="667">
        <v>44263.0</v>
      </c>
      <c r="K689" s="674" t="s">
        <v>2319</v>
      </c>
      <c r="L689" s="666"/>
      <c r="M689" s="666"/>
      <c r="N689" s="666"/>
      <c r="O689" s="666"/>
      <c r="P689" s="666"/>
      <c r="Q689" s="666"/>
      <c r="R689" s="666"/>
      <c r="S689" s="666"/>
      <c r="T689" s="666"/>
      <c r="U689" s="666"/>
      <c r="V689" s="666"/>
      <c r="W689" s="666"/>
      <c r="X689" s="666"/>
      <c r="Y689" s="666"/>
      <c r="Z689" s="666"/>
      <c r="AA689" s="666"/>
      <c r="AB689" s="666"/>
      <c r="AC689" s="666"/>
      <c r="AD689" s="666"/>
      <c r="AE689" s="666"/>
      <c r="AF689" s="666"/>
      <c r="AG689" s="666"/>
      <c r="AH689" s="666"/>
      <c r="AI689" s="666"/>
      <c r="AJ689" s="666"/>
      <c r="AK689" s="666"/>
      <c r="AL689" s="666"/>
      <c r="AM689" s="666"/>
      <c r="AN689" s="666"/>
      <c r="AO689" s="666"/>
      <c r="AP689" s="666"/>
      <c r="AQ689" s="666"/>
      <c r="AR689" s="666"/>
      <c r="AS689" s="666"/>
      <c r="AT689" s="666"/>
      <c r="AU689" s="666"/>
    </row>
    <row r="690" ht="15.75" customHeight="1">
      <c r="A690" s="713">
        <v>44516.0</v>
      </c>
      <c r="B690" s="807" t="s">
        <v>7275</v>
      </c>
      <c r="C690" s="715" t="s">
        <v>98</v>
      </c>
      <c r="D690" s="641" t="s">
        <v>694</v>
      </c>
      <c r="E690" s="716">
        <v>93114.82</v>
      </c>
      <c r="F690" s="641" t="s">
        <v>5001</v>
      </c>
      <c r="G690" s="641" t="s">
        <v>255</v>
      </c>
      <c r="H690" s="641" t="s">
        <v>199</v>
      </c>
      <c r="I690" s="641" t="s">
        <v>4755</v>
      </c>
      <c r="J690" s="667">
        <v>44407.0</v>
      </c>
      <c r="K690" s="670"/>
      <c r="L690" s="666"/>
      <c r="M690" s="666"/>
      <c r="N690" s="666"/>
      <c r="O690" s="666"/>
      <c r="P690" s="666"/>
      <c r="Q690" s="666"/>
      <c r="R690" s="666"/>
      <c r="S690" s="666"/>
      <c r="T690" s="666"/>
      <c r="U690" s="666"/>
      <c r="V690" s="666"/>
      <c r="W690" s="666"/>
      <c r="X690" s="666"/>
      <c r="Y690" s="666"/>
      <c r="Z690" s="666"/>
      <c r="AA690" s="666"/>
      <c r="AB690" s="666"/>
      <c r="AC690" s="666"/>
      <c r="AD690" s="666"/>
      <c r="AE690" s="666"/>
      <c r="AF690" s="666"/>
      <c r="AG690" s="666"/>
      <c r="AH690" s="666"/>
      <c r="AI690" s="666"/>
      <c r="AJ690" s="666"/>
      <c r="AK690" s="666"/>
      <c r="AL690" s="666"/>
      <c r="AM690" s="666"/>
      <c r="AN690" s="666"/>
      <c r="AO690" s="666"/>
      <c r="AP690" s="666"/>
      <c r="AQ690" s="666"/>
      <c r="AR690" s="666"/>
      <c r="AS690" s="666"/>
      <c r="AT690" s="666"/>
      <c r="AU690" s="666"/>
    </row>
    <row r="691" ht="15.75" customHeight="1">
      <c r="A691" s="713">
        <v>44516.0</v>
      </c>
      <c r="B691" s="714" t="s">
        <v>7279</v>
      </c>
      <c r="C691" s="715" t="s">
        <v>98</v>
      </c>
      <c r="D691" s="641" t="s">
        <v>5038</v>
      </c>
      <c r="E691" s="716">
        <v>48809.84</v>
      </c>
      <c r="F691" s="641" t="s">
        <v>7280</v>
      </c>
      <c r="G691" s="641" t="s">
        <v>120</v>
      </c>
      <c r="H691" s="641" t="s">
        <v>54</v>
      </c>
      <c r="I691" s="641" t="s">
        <v>4617</v>
      </c>
      <c r="J691" s="667">
        <v>44340.0</v>
      </c>
      <c r="K691" s="674" t="s">
        <v>2372</v>
      </c>
      <c r="L691" s="666"/>
      <c r="M691" s="666"/>
      <c r="N691" s="666"/>
      <c r="O691" s="666"/>
      <c r="P691" s="666"/>
      <c r="Q691" s="666"/>
      <c r="R691" s="666"/>
      <c r="S691" s="666"/>
      <c r="T691" s="666"/>
      <c r="U691" s="666"/>
      <c r="V691" s="666"/>
      <c r="W691" s="666"/>
      <c r="X691" s="666"/>
      <c r="Y691" s="666"/>
      <c r="Z691" s="666"/>
      <c r="AA691" s="666"/>
      <c r="AB691" s="666"/>
      <c r="AC691" s="666"/>
      <c r="AD691" s="666"/>
      <c r="AE691" s="666"/>
      <c r="AF691" s="666"/>
      <c r="AG691" s="666"/>
      <c r="AH691" s="666"/>
      <c r="AI691" s="666"/>
      <c r="AJ691" s="666"/>
      <c r="AK691" s="666"/>
      <c r="AL691" s="666"/>
      <c r="AM691" s="666"/>
      <c r="AN691" s="666"/>
      <c r="AO691" s="666"/>
      <c r="AP691" s="666"/>
      <c r="AQ691" s="666"/>
      <c r="AR691" s="666"/>
      <c r="AS691" s="666"/>
      <c r="AT691" s="666"/>
      <c r="AU691" s="666"/>
    </row>
    <row r="692" ht="15.75" customHeight="1">
      <c r="A692" s="713">
        <v>44517.0</v>
      </c>
      <c r="B692" s="815" t="s">
        <v>7287</v>
      </c>
      <c r="C692" s="715" t="s">
        <v>98</v>
      </c>
      <c r="D692" s="641" t="s">
        <v>5038</v>
      </c>
      <c r="E692" s="716">
        <v>10000.0</v>
      </c>
      <c r="F692" s="641" t="s">
        <v>4444</v>
      </c>
      <c r="G692" s="641" t="s">
        <v>120</v>
      </c>
      <c r="H692" s="641" t="s">
        <v>199</v>
      </c>
      <c r="I692" s="641" t="s">
        <v>439</v>
      </c>
      <c r="J692" s="667">
        <v>44399.0</v>
      </c>
      <c r="K692" s="674" t="s">
        <v>2341</v>
      </c>
      <c r="L692" s="666"/>
      <c r="M692" s="666"/>
      <c r="N692" s="666"/>
      <c r="O692" s="666"/>
      <c r="P692" s="666"/>
      <c r="Q692" s="666"/>
      <c r="R692" s="666"/>
      <c r="S692" s="666"/>
      <c r="T692" s="666"/>
      <c r="U692" s="666"/>
      <c r="V692" s="666"/>
      <c r="W692" s="666"/>
      <c r="X692" s="666"/>
      <c r="Y692" s="666"/>
      <c r="Z692" s="666"/>
      <c r="AA692" s="666"/>
      <c r="AB692" s="666"/>
      <c r="AC692" s="666"/>
      <c r="AD692" s="666"/>
      <c r="AE692" s="666"/>
      <c r="AF692" s="666"/>
      <c r="AG692" s="666"/>
      <c r="AH692" s="666"/>
      <c r="AI692" s="666"/>
      <c r="AJ692" s="666"/>
      <c r="AK692" s="666"/>
      <c r="AL692" s="666"/>
      <c r="AM692" s="666"/>
      <c r="AN692" s="666"/>
      <c r="AO692" s="666"/>
      <c r="AP692" s="666"/>
      <c r="AQ692" s="666"/>
      <c r="AR692" s="666"/>
      <c r="AS692" s="666"/>
      <c r="AT692" s="666"/>
      <c r="AU692" s="666"/>
    </row>
    <row r="693" ht="15.75" customHeight="1">
      <c r="A693" s="713">
        <v>44517.0</v>
      </c>
      <c r="B693" s="811" t="s">
        <v>6255</v>
      </c>
      <c r="C693" s="715" t="s">
        <v>2346</v>
      </c>
      <c r="D693" s="641" t="s">
        <v>694</v>
      </c>
      <c r="E693" s="716">
        <v>370651.89</v>
      </c>
      <c r="F693" s="641" t="s">
        <v>5399</v>
      </c>
      <c r="G693" s="667" t="s">
        <v>669</v>
      </c>
      <c r="H693" s="667" t="s">
        <v>199</v>
      </c>
      <c r="I693" s="667" t="s">
        <v>2388</v>
      </c>
      <c r="J693" s="667">
        <v>43752.0</v>
      </c>
      <c r="K693" s="670" t="s">
        <v>2341</v>
      </c>
      <c r="L693" s="666"/>
      <c r="M693" s="666"/>
      <c r="N693" s="666"/>
      <c r="O693" s="666"/>
      <c r="P693" s="666"/>
      <c r="Q693" s="666"/>
      <c r="R693" s="666"/>
      <c r="S693" s="666"/>
      <c r="T693" s="666"/>
      <c r="U693" s="666"/>
      <c r="V693" s="666"/>
      <c r="W693" s="666"/>
      <c r="X693" s="666"/>
      <c r="Y693" s="666"/>
      <c r="Z693" s="666"/>
      <c r="AA693" s="666"/>
      <c r="AB693" s="666"/>
      <c r="AC693" s="666"/>
      <c r="AD693" s="666"/>
      <c r="AE693" s="666"/>
      <c r="AF693" s="666"/>
      <c r="AG693" s="666"/>
      <c r="AH693" s="666"/>
      <c r="AI693" s="666"/>
      <c r="AJ693" s="666"/>
      <c r="AK693" s="666"/>
      <c r="AL693" s="666"/>
      <c r="AM693" s="666"/>
      <c r="AN693" s="666"/>
      <c r="AO693" s="666"/>
      <c r="AP693" s="666"/>
      <c r="AQ693" s="666"/>
      <c r="AR693" s="666"/>
      <c r="AS693" s="666"/>
      <c r="AT693" s="666"/>
      <c r="AU693" s="666"/>
    </row>
    <row r="694" ht="15.75" customHeight="1">
      <c r="A694" s="713">
        <v>44517.0</v>
      </c>
      <c r="B694" s="714" t="s">
        <v>6222</v>
      </c>
      <c r="C694" s="715" t="s">
        <v>2346</v>
      </c>
      <c r="D694" s="641" t="s">
        <v>5038</v>
      </c>
      <c r="E694" s="716">
        <v>10000.0</v>
      </c>
      <c r="F694" s="641" t="s">
        <v>1489</v>
      </c>
      <c r="G694" s="667" t="s">
        <v>120</v>
      </c>
      <c r="H694" s="667" t="s">
        <v>91</v>
      </c>
      <c r="I694" s="667" t="s">
        <v>193</v>
      </c>
      <c r="J694" s="667">
        <v>44319.0</v>
      </c>
      <c r="K694" s="670" t="s">
        <v>2341</v>
      </c>
      <c r="L694" s="666"/>
      <c r="M694" s="666"/>
      <c r="N694" s="666"/>
      <c r="O694" s="666"/>
      <c r="P694" s="666"/>
      <c r="Q694" s="666"/>
      <c r="R694" s="666"/>
      <c r="S694" s="666"/>
      <c r="T694" s="666"/>
      <c r="U694" s="666"/>
      <c r="V694" s="666"/>
      <c r="W694" s="666"/>
      <c r="X694" s="666"/>
      <c r="Y694" s="666"/>
      <c r="Z694" s="666"/>
      <c r="AA694" s="666"/>
      <c r="AB694" s="666"/>
      <c r="AC694" s="666"/>
      <c r="AD694" s="666"/>
      <c r="AE694" s="666"/>
      <c r="AF694" s="666"/>
      <c r="AG694" s="666"/>
      <c r="AH694" s="666"/>
      <c r="AI694" s="666"/>
      <c r="AJ694" s="666"/>
      <c r="AK694" s="666"/>
      <c r="AL694" s="666"/>
      <c r="AM694" s="666"/>
      <c r="AN694" s="666"/>
      <c r="AO694" s="666"/>
      <c r="AP694" s="666"/>
      <c r="AQ694" s="666"/>
      <c r="AR694" s="666"/>
      <c r="AS694" s="666"/>
      <c r="AT694" s="666"/>
      <c r="AU694" s="666"/>
    </row>
    <row r="695" ht="15.75" customHeight="1">
      <c r="A695" s="713">
        <v>44518.0</v>
      </c>
      <c r="B695" s="714" t="s">
        <v>7296</v>
      </c>
      <c r="C695" s="715" t="s">
        <v>98</v>
      </c>
      <c r="D695" s="641" t="s">
        <v>5038</v>
      </c>
      <c r="E695" s="716">
        <v>25000.0</v>
      </c>
      <c r="F695" s="641" t="s">
        <v>7298</v>
      </c>
      <c r="G695" s="626" t="s">
        <v>669</v>
      </c>
      <c r="H695" s="816" t="s">
        <v>199</v>
      </c>
      <c r="I695" s="816" t="s">
        <v>669</v>
      </c>
      <c r="J695" s="817">
        <v>44452.0</v>
      </c>
      <c r="K695" s="674" t="s">
        <v>2341</v>
      </c>
      <c r="L695" s="666"/>
      <c r="M695" s="666"/>
      <c r="N695" s="666"/>
      <c r="O695" s="666"/>
      <c r="P695" s="666"/>
      <c r="Q695" s="666"/>
      <c r="R695" s="666"/>
      <c r="S695" s="666"/>
      <c r="T695" s="666"/>
      <c r="U695" s="666"/>
      <c r="V695" s="666"/>
      <c r="W695" s="666"/>
      <c r="X695" s="666"/>
      <c r="Y695" s="666"/>
      <c r="Z695" s="666"/>
      <c r="AA695" s="666"/>
      <c r="AB695" s="666"/>
      <c r="AC695" s="666"/>
      <c r="AD695" s="666"/>
      <c r="AE695" s="666"/>
      <c r="AF695" s="666"/>
      <c r="AG695" s="666"/>
      <c r="AH695" s="666"/>
      <c r="AI695" s="666"/>
      <c r="AJ695" s="666"/>
      <c r="AK695" s="666"/>
      <c r="AL695" s="666"/>
      <c r="AM695" s="666"/>
      <c r="AN695" s="666"/>
      <c r="AO695" s="666"/>
      <c r="AP695" s="666"/>
      <c r="AQ695" s="666"/>
      <c r="AR695" s="666"/>
      <c r="AS695" s="666"/>
      <c r="AT695" s="666"/>
      <c r="AU695" s="666"/>
    </row>
    <row r="696" ht="15.75" customHeight="1">
      <c r="A696" s="713">
        <v>44518.0</v>
      </c>
      <c r="B696" s="714" t="s">
        <v>5527</v>
      </c>
      <c r="C696" s="715" t="s">
        <v>2346</v>
      </c>
      <c r="D696" s="641" t="s">
        <v>427</v>
      </c>
      <c r="E696" s="716">
        <v>282315.92</v>
      </c>
      <c r="F696" s="641" t="s">
        <v>3868</v>
      </c>
      <c r="G696" s="667" t="s">
        <v>669</v>
      </c>
      <c r="H696" s="667" t="s">
        <v>199</v>
      </c>
      <c r="I696" s="667" t="s">
        <v>1228</v>
      </c>
      <c r="J696" s="667">
        <v>43707.0</v>
      </c>
      <c r="K696" s="670" t="s">
        <v>2372</v>
      </c>
      <c r="L696" s="666"/>
      <c r="M696" s="666"/>
      <c r="N696" s="666"/>
      <c r="O696" s="666"/>
      <c r="P696" s="666"/>
      <c r="Q696" s="666"/>
      <c r="R696" s="666"/>
      <c r="S696" s="666"/>
      <c r="T696" s="666"/>
      <c r="U696" s="666"/>
      <c r="V696" s="666"/>
      <c r="W696" s="666"/>
      <c r="X696" s="666"/>
      <c r="Y696" s="666"/>
      <c r="Z696" s="666"/>
      <c r="AA696" s="666"/>
      <c r="AB696" s="666"/>
      <c r="AC696" s="666"/>
      <c r="AD696" s="666"/>
      <c r="AE696" s="666"/>
      <c r="AF696" s="666"/>
      <c r="AG696" s="666"/>
      <c r="AH696" s="666"/>
      <c r="AI696" s="666"/>
      <c r="AJ696" s="666"/>
      <c r="AK696" s="666"/>
      <c r="AL696" s="666"/>
      <c r="AM696" s="666"/>
      <c r="AN696" s="666"/>
      <c r="AO696" s="666"/>
      <c r="AP696" s="666"/>
      <c r="AQ696" s="666"/>
      <c r="AR696" s="666"/>
      <c r="AS696" s="666"/>
      <c r="AT696" s="666"/>
      <c r="AU696" s="666"/>
    </row>
    <row r="697" ht="15.75" customHeight="1">
      <c r="A697" s="713">
        <v>44518.0</v>
      </c>
      <c r="B697" s="818" t="s">
        <v>7301</v>
      </c>
      <c r="C697" s="715" t="s">
        <v>2346</v>
      </c>
      <c r="D697" s="641" t="s">
        <v>427</v>
      </c>
      <c r="E697" s="716">
        <v>33813.28</v>
      </c>
      <c r="F697" s="641" t="s">
        <v>3736</v>
      </c>
      <c r="G697" s="667" t="s">
        <v>669</v>
      </c>
      <c r="H697" s="667" t="s">
        <v>199</v>
      </c>
      <c r="I697" s="667" t="s">
        <v>1228</v>
      </c>
      <c r="J697" s="667">
        <v>43769.0</v>
      </c>
      <c r="K697" s="670" t="s">
        <v>2365</v>
      </c>
      <c r="L697" s="666"/>
      <c r="M697" s="666"/>
      <c r="N697" s="666"/>
      <c r="O697" s="666"/>
      <c r="P697" s="666"/>
      <c r="Q697" s="666"/>
      <c r="R697" s="666"/>
      <c r="S697" s="666"/>
      <c r="T697" s="666"/>
      <c r="U697" s="666"/>
      <c r="V697" s="666"/>
      <c r="W697" s="666"/>
      <c r="X697" s="666"/>
      <c r="Y697" s="666"/>
      <c r="Z697" s="666"/>
      <c r="AA697" s="666"/>
      <c r="AB697" s="666"/>
      <c r="AC697" s="666"/>
      <c r="AD697" s="666"/>
      <c r="AE697" s="666"/>
      <c r="AF697" s="666"/>
      <c r="AG697" s="666"/>
      <c r="AH697" s="666"/>
      <c r="AI697" s="666"/>
      <c r="AJ697" s="666"/>
      <c r="AK697" s="666"/>
      <c r="AL697" s="666"/>
      <c r="AM697" s="666"/>
      <c r="AN697" s="666"/>
      <c r="AO697" s="666"/>
      <c r="AP697" s="666"/>
      <c r="AQ697" s="666"/>
      <c r="AR697" s="666"/>
      <c r="AS697" s="666"/>
      <c r="AT697" s="666"/>
      <c r="AU697" s="666"/>
    </row>
    <row r="698" ht="15.75" customHeight="1">
      <c r="A698" s="713">
        <v>44518.0</v>
      </c>
      <c r="B698" s="714" t="s">
        <v>6285</v>
      </c>
      <c r="C698" s="715" t="s">
        <v>2346</v>
      </c>
      <c r="D698" s="641" t="s">
        <v>427</v>
      </c>
      <c r="E698" s="716">
        <v>90662.42</v>
      </c>
      <c r="F698" s="641" t="s">
        <v>2441</v>
      </c>
      <c r="G698" s="667" t="s">
        <v>669</v>
      </c>
      <c r="H698" s="667" t="s">
        <v>199</v>
      </c>
      <c r="I698" s="667" t="s">
        <v>1228</v>
      </c>
      <c r="J698" s="667">
        <v>43753.0</v>
      </c>
      <c r="K698" s="670" t="s">
        <v>2341</v>
      </c>
      <c r="L698" s="666"/>
      <c r="M698" s="666"/>
      <c r="N698" s="666"/>
      <c r="O698" s="666"/>
      <c r="P698" s="666"/>
      <c r="Q698" s="666"/>
      <c r="R698" s="666"/>
      <c r="S698" s="666"/>
      <c r="T698" s="666"/>
      <c r="U698" s="666"/>
      <c r="V698" s="666"/>
      <c r="W698" s="666"/>
      <c r="X698" s="666"/>
      <c r="Y698" s="666"/>
      <c r="Z698" s="666"/>
      <c r="AA698" s="666"/>
      <c r="AB698" s="666"/>
      <c r="AC698" s="666"/>
      <c r="AD698" s="666"/>
      <c r="AE698" s="666"/>
      <c r="AF698" s="666"/>
      <c r="AG698" s="666"/>
      <c r="AH698" s="666"/>
      <c r="AI698" s="666"/>
      <c r="AJ698" s="666"/>
      <c r="AK698" s="666"/>
      <c r="AL698" s="666"/>
      <c r="AM698" s="666"/>
      <c r="AN698" s="666"/>
      <c r="AO698" s="666"/>
      <c r="AP698" s="666"/>
      <c r="AQ698" s="666"/>
      <c r="AR698" s="666"/>
      <c r="AS698" s="666"/>
      <c r="AT698" s="666"/>
      <c r="AU698" s="666"/>
    </row>
    <row r="699" ht="15.75" customHeight="1">
      <c r="A699" s="713">
        <v>44518.0</v>
      </c>
      <c r="B699" s="668" t="s">
        <v>5075</v>
      </c>
      <c r="C699" s="715" t="s">
        <v>2346</v>
      </c>
      <c r="D699" s="641" t="s">
        <v>5038</v>
      </c>
      <c r="E699" s="716">
        <v>2000.0</v>
      </c>
      <c r="F699" s="641" t="s">
        <v>956</v>
      </c>
      <c r="G699" s="667" t="s">
        <v>669</v>
      </c>
      <c r="H699" s="667" t="s">
        <v>199</v>
      </c>
      <c r="I699" s="667" t="s">
        <v>1228</v>
      </c>
      <c r="J699" s="667">
        <v>43605.0</v>
      </c>
      <c r="K699" s="670" t="s">
        <v>2365</v>
      </c>
      <c r="L699" s="666"/>
      <c r="M699" s="666"/>
      <c r="N699" s="666"/>
      <c r="O699" s="666"/>
      <c r="P699" s="666"/>
      <c r="Q699" s="666"/>
      <c r="R699" s="666"/>
      <c r="S699" s="666"/>
      <c r="T699" s="666"/>
      <c r="U699" s="666"/>
      <c r="V699" s="666"/>
      <c r="W699" s="666"/>
      <c r="X699" s="666"/>
      <c r="Y699" s="666"/>
      <c r="Z699" s="666"/>
      <c r="AA699" s="666"/>
      <c r="AB699" s="666"/>
      <c r="AC699" s="666"/>
      <c r="AD699" s="666"/>
      <c r="AE699" s="666"/>
      <c r="AF699" s="666"/>
      <c r="AG699" s="666"/>
      <c r="AH699" s="666"/>
      <c r="AI699" s="666"/>
      <c r="AJ699" s="666"/>
      <c r="AK699" s="666"/>
      <c r="AL699" s="666"/>
      <c r="AM699" s="666"/>
      <c r="AN699" s="666"/>
      <c r="AO699" s="666"/>
      <c r="AP699" s="666"/>
      <c r="AQ699" s="666"/>
      <c r="AR699" s="666"/>
      <c r="AS699" s="666"/>
      <c r="AT699" s="666"/>
      <c r="AU699" s="666"/>
    </row>
    <row r="700" ht="15.75" customHeight="1">
      <c r="A700" s="713">
        <v>44518.0</v>
      </c>
      <c r="B700" s="806" t="s">
        <v>7314</v>
      </c>
      <c r="C700" s="715" t="s">
        <v>98</v>
      </c>
      <c r="D700" s="641" t="s">
        <v>694</v>
      </c>
      <c r="E700" s="716">
        <v>121773.16</v>
      </c>
      <c r="F700" s="641" t="s">
        <v>5156</v>
      </c>
      <c r="G700" s="641" t="s">
        <v>120</v>
      </c>
      <c r="H700" s="641" t="s">
        <v>199</v>
      </c>
      <c r="I700" s="641" t="s">
        <v>2339</v>
      </c>
      <c r="J700" s="667">
        <v>44231.0</v>
      </c>
      <c r="K700" s="674" t="s">
        <v>2365</v>
      </c>
      <c r="L700" s="666"/>
      <c r="M700" s="666"/>
      <c r="N700" s="666"/>
      <c r="O700" s="666"/>
      <c r="P700" s="666"/>
      <c r="Q700" s="666"/>
      <c r="R700" s="666"/>
      <c r="S700" s="666"/>
      <c r="T700" s="666"/>
      <c r="U700" s="666"/>
      <c r="V700" s="666"/>
      <c r="W700" s="666"/>
      <c r="X700" s="666"/>
      <c r="Y700" s="666"/>
      <c r="Z700" s="666"/>
      <c r="AA700" s="666"/>
      <c r="AB700" s="666"/>
      <c r="AC700" s="666"/>
      <c r="AD700" s="666"/>
      <c r="AE700" s="666"/>
      <c r="AF700" s="666"/>
      <c r="AG700" s="666"/>
      <c r="AH700" s="666"/>
      <c r="AI700" s="666"/>
      <c r="AJ700" s="666"/>
      <c r="AK700" s="666"/>
      <c r="AL700" s="666"/>
      <c r="AM700" s="666"/>
      <c r="AN700" s="666"/>
      <c r="AO700" s="666"/>
      <c r="AP700" s="666"/>
      <c r="AQ700" s="666"/>
      <c r="AR700" s="666"/>
      <c r="AS700" s="666"/>
      <c r="AT700" s="666"/>
      <c r="AU700" s="666"/>
    </row>
    <row r="701" ht="15.75" customHeight="1">
      <c r="A701" s="713">
        <v>44518.0</v>
      </c>
      <c r="B701" s="815" t="s">
        <v>7320</v>
      </c>
      <c r="C701" s="715" t="s">
        <v>98</v>
      </c>
      <c r="D701" s="641" t="s">
        <v>5038</v>
      </c>
      <c r="E701" s="716">
        <v>31579.5</v>
      </c>
      <c r="F701" s="641" t="s">
        <v>5185</v>
      </c>
      <c r="G701" s="641" t="s">
        <v>120</v>
      </c>
      <c r="H701" s="641" t="s">
        <v>54</v>
      </c>
      <c r="I701" s="641" t="s">
        <v>379</v>
      </c>
      <c r="J701" s="667">
        <v>44413.0</v>
      </c>
      <c r="K701" s="674" t="s">
        <v>2372</v>
      </c>
      <c r="L701" s="666"/>
      <c r="M701" s="666"/>
      <c r="N701" s="666"/>
      <c r="O701" s="666"/>
      <c r="P701" s="666"/>
      <c r="Q701" s="666"/>
      <c r="R701" s="666"/>
      <c r="S701" s="666"/>
      <c r="T701" s="666"/>
      <c r="U701" s="666"/>
      <c r="V701" s="666"/>
      <c r="W701" s="666"/>
      <c r="X701" s="666"/>
      <c r="Y701" s="666"/>
      <c r="Z701" s="666"/>
      <c r="AA701" s="666"/>
      <c r="AB701" s="666"/>
      <c r="AC701" s="666"/>
      <c r="AD701" s="666"/>
      <c r="AE701" s="666"/>
      <c r="AF701" s="666"/>
      <c r="AG701" s="666"/>
      <c r="AH701" s="666"/>
      <c r="AI701" s="666"/>
      <c r="AJ701" s="666"/>
      <c r="AK701" s="666"/>
      <c r="AL701" s="666"/>
      <c r="AM701" s="666"/>
      <c r="AN701" s="666"/>
      <c r="AO701" s="666"/>
      <c r="AP701" s="666"/>
      <c r="AQ701" s="666"/>
      <c r="AR701" s="666"/>
      <c r="AS701" s="666"/>
      <c r="AT701" s="666"/>
      <c r="AU701" s="666"/>
    </row>
    <row r="702" ht="15.75" customHeight="1">
      <c r="A702" s="713">
        <v>44519.0</v>
      </c>
      <c r="B702" s="801" t="s">
        <v>6197</v>
      </c>
      <c r="C702" s="715" t="s">
        <v>2346</v>
      </c>
      <c r="D702" s="641" t="s">
        <v>5038</v>
      </c>
      <c r="E702" s="716">
        <v>313886.59</v>
      </c>
      <c r="F702" s="641" t="s">
        <v>3516</v>
      </c>
      <c r="G702" s="667" t="s">
        <v>120</v>
      </c>
      <c r="H702" s="667" t="s">
        <v>91</v>
      </c>
      <c r="I702" s="667" t="s">
        <v>193</v>
      </c>
      <c r="J702" s="667">
        <v>44295.0</v>
      </c>
      <c r="K702" s="670" t="s">
        <v>2319</v>
      </c>
      <c r="L702" s="666"/>
      <c r="M702" s="666"/>
      <c r="N702" s="666"/>
      <c r="O702" s="666"/>
      <c r="P702" s="666"/>
      <c r="Q702" s="666"/>
      <c r="R702" s="666"/>
      <c r="S702" s="666"/>
      <c r="T702" s="666"/>
      <c r="U702" s="666"/>
      <c r="V702" s="666"/>
      <c r="W702" s="666"/>
      <c r="X702" s="666"/>
      <c r="Y702" s="666"/>
      <c r="Z702" s="666"/>
      <c r="AA702" s="666"/>
      <c r="AB702" s="666"/>
      <c r="AC702" s="666"/>
      <c r="AD702" s="666"/>
      <c r="AE702" s="666"/>
      <c r="AF702" s="666"/>
      <c r="AG702" s="666"/>
      <c r="AH702" s="666"/>
      <c r="AI702" s="666"/>
      <c r="AJ702" s="666"/>
      <c r="AK702" s="666"/>
      <c r="AL702" s="666"/>
      <c r="AM702" s="666"/>
      <c r="AN702" s="666"/>
      <c r="AO702" s="666"/>
      <c r="AP702" s="666"/>
      <c r="AQ702" s="666"/>
      <c r="AR702" s="666"/>
      <c r="AS702" s="666"/>
      <c r="AT702" s="666"/>
      <c r="AU702" s="666"/>
    </row>
    <row r="703" ht="15.75" customHeight="1">
      <c r="A703" s="713">
        <v>44519.0</v>
      </c>
      <c r="B703" s="806" t="s">
        <v>5529</v>
      </c>
      <c r="C703" s="715" t="s">
        <v>98</v>
      </c>
      <c r="D703" s="641" t="s">
        <v>694</v>
      </c>
      <c r="E703" s="716">
        <v>251499.32</v>
      </c>
      <c r="F703" s="641" t="s">
        <v>5321</v>
      </c>
      <c r="G703" s="626" t="s">
        <v>669</v>
      </c>
      <c r="H703" s="816" t="s">
        <v>199</v>
      </c>
      <c r="I703" s="816" t="s">
        <v>669</v>
      </c>
      <c r="J703" s="817">
        <v>43901.0</v>
      </c>
      <c r="K703" s="674" t="s">
        <v>2319</v>
      </c>
      <c r="L703" s="666"/>
      <c r="M703" s="666"/>
      <c r="N703" s="666"/>
      <c r="O703" s="666"/>
      <c r="P703" s="666"/>
      <c r="Q703" s="666"/>
      <c r="R703" s="666"/>
      <c r="S703" s="666"/>
      <c r="T703" s="666"/>
      <c r="U703" s="666"/>
      <c r="V703" s="666"/>
      <c r="W703" s="666"/>
      <c r="X703" s="666"/>
      <c r="Y703" s="666"/>
      <c r="Z703" s="666"/>
      <c r="AA703" s="666"/>
      <c r="AB703" s="666"/>
      <c r="AC703" s="666"/>
      <c r="AD703" s="666"/>
      <c r="AE703" s="666"/>
      <c r="AF703" s="666"/>
      <c r="AG703" s="666"/>
      <c r="AH703" s="666"/>
      <c r="AI703" s="666"/>
      <c r="AJ703" s="666"/>
      <c r="AK703" s="666"/>
      <c r="AL703" s="666"/>
      <c r="AM703" s="666"/>
      <c r="AN703" s="666"/>
      <c r="AO703" s="666"/>
      <c r="AP703" s="666"/>
      <c r="AQ703" s="666"/>
      <c r="AR703" s="666"/>
      <c r="AS703" s="666"/>
      <c r="AT703" s="666"/>
      <c r="AU703" s="666"/>
    </row>
    <row r="704" ht="15.75" customHeight="1">
      <c r="A704" s="713">
        <v>44522.0</v>
      </c>
      <c r="B704" s="801" t="s">
        <v>6768</v>
      </c>
      <c r="C704" s="715" t="s">
        <v>2346</v>
      </c>
      <c r="D704" s="641" t="s">
        <v>5038</v>
      </c>
      <c r="E704" s="716">
        <v>20000.0</v>
      </c>
      <c r="F704" s="641" t="s">
        <v>6769</v>
      </c>
      <c r="G704" s="667" t="s">
        <v>120</v>
      </c>
      <c r="H704" s="667" t="s">
        <v>91</v>
      </c>
      <c r="I704" s="667" t="s">
        <v>521</v>
      </c>
      <c r="J704" s="667">
        <v>44263.0</v>
      </c>
      <c r="K704" s="670" t="s">
        <v>2365</v>
      </c>
      <c r="L704" s="666"/>
      <c r="M704" s="666"/>
      <c r="N704" s="666"/>
      <c r="O704" s="666"/>
      <c r="P704" s="666"/>
      <c r="Q704" s="666"/>
      <c r="R704" s="666"/>
      <c r="S704" s="666"/>
      <c r="T704" s="666"/>
      <c r="U704" s="666"/>
      <c r="V704" s="666"/>
      <c r="W704" s="666"/>
      <c r="X704" s="666"/>
      <c r="Y704" s="666"/>
      <c r="Z704" s="666"/>
      <c r="AA704" s="666"/>
      <c r="AB704" s="666"/>
      <c r="AC704" s="666"/>
      <c r="AD704" s="666"/>
      <c r="AE704" s="666"/>
      <c r="AF704" s="666"/>
      <c r="AG704" s="666"/>
      <c r="AH704" s="666"/>
      <c r="AI704" s="666"/>
      <c r="AJ704" s="666"/>
      <c r="AK704" s="666"/>
      <c r="AL704" s="666"/>
      <c r="AM704" s="666"/>
      <c r="AN704" s="666"/>
      <c r="AO704" s="666"/>
      <c r="AP704" s="666"/>
      <c r="AQ704" s="666"/>
      <c r="AR704" s="666"/>
      <c r="AS704" s="666"/>
      <c r="AT704" s="666"/>
      <c r="AU704" s="666"/>
    </row>
    <row r="705" ht="15.75" customHeight="1">
      <c r="A705" s="713">
        <v>44522.0</v>
      </c>
      <c r="B705" s="801" t="s">
        <v>6863</v>
      </c>
      <c r="C705" s="715" t="s">
        <v>2346</v>
      </c>
      <c r="D705" s="641" t="s">
        <v>694</v>
      </c>
      <c r="E705" s="716">
        <v>261364.56</v>
      </c>
      <c r="F705" s="641" t="s">
        <v>5614</v>
      </c>
      <c r="G705" s="667" t="s">
        <v>120</v>
      </c>
      <c r="H705" s="667" t="s">
        <v>91</v>
      </c>
      <c r="I705" s="667" t="s">
        <v>521</v>
      </c>
      <c r="J705" s="667">
        <v>44319.0</v>
      </c>
      <c r="K705" s="670" t="s">
        <v>2341</v>
      </c>
      <c r="L705" s="666"/>
      <c r="M705" s="666"/>
      <c r="N705" s="666"/>
      <c r="O705" s="666"/>
      <c r="P705" s="666"/>
      <c r="Q705" s="666"/>
      <c r="R705" s="666"/>
      <c r="S705" s="666"/>
      <c r="T705" s="666"/>
      <c r="U705" s="666"/>
      <c r="V705" s="666"/>
      <c r="W705" s="666"/>
      <c r="X705" s="666"/>
      <c r="Y705" s="666"/>
      <c r="Z705" s="666"/>
      <c r="AA705" s="666"/>
      <c r="AB705" s="666"/>
      <c r="AC705" s="666"/>
      <c r="AD705" s="666"/>
      <c r="AE705" s="666"/>
      <c r="AF705" s="666"/>
      <c r="AG705" s="666"/>
      <c r="AH705" s="666"/>
      <c r="AI705" s="666"/>
      <c r="AJ705" s="666"/>
      <c r="AK705" s="666"/>
      <c r="AL705" s="666"/>
      <c r="AM705" s="666"/>
      <c r="AN705" s="666"/>
      <c r="AO705" s="666"/>
      <c r="AP705" s="666"/>
      <c r="AQ705" s="666"/>
      <c r="AR705" s="666"/>
      <c r="AS705" s="666"/>
      <c r="AT705" s="666"/>
      <c r="AU705" s="666"/>
    </row>
    <row r="706" ht="15.75" customHeight="1">
      <c r="A706" s="713">
        <v>44522.0</v>
      </c>
      <c r="B706" s="714" t="s">
        <v>6057</v>
      </c>
      <c r="C706" s="715" t="s">
        <v>2346</v>
      </c>
      <c r="D706" s="641" t="s">
        <v>5038</v>
      </c>
      <c r="E706" s="716">
        <v>80000.0</v>
      </c>
      <c r="F706" s="641" t="s">
        <v>4806</v>
      </c>
      <c r="G706" s="667" t="s">
        <v>120</v>
      </c>
      <c r="H706" s="667" t="s">
        <v>91</v>
      </c>
      <c r="I706" s="667" t="s">
        <v>193</v>
      </c>
      <c r="J706" s="667">
        <v>44298.0</v>
      </c>
      <c r="K706" s="670" t="s">
        <v>2341</v>
      </c>
      <c r="L706" s="666"/>
      <c r="M706" s="666"/>
      <c r="N706" s="666"/>
      <c r="O706" s="666"/>
      <c r="P706" s="666"/>
      <c r="Q706" s="666"/>
      <c r="R706" s="666"/>
      <c r="S706" s="666"/>
      <c r="T706" s="666"/>
      <c r="U706" s="666"/>
      <c r="V706" s="666"/>
      <c r="W706" s="666"/>
      <c r="X706" s="666"/>
      <c r="Y706" s="666"/>
      <c r="Z706" s="666"/>
      <c r="AA706" s="666"/>
      <c r="AB706" s="666"/>
      <c r="AC706" s="666"/>
      <c r="AD706" s="666"/>
      <c r="AE706" s="666"/>
      <c r="AF706" s="666"/>
      <c r="AG706" s="666"/>
      <c r="AH706" s="666"/>
      <c r="AI706" s="666"/>
      <c r="AJ706" s="666"/>
      <c r="AK706" s="666"/>
      <c r="AL706" s="666"/>
      <c r="AM706" s="666"/>
      <c r="AN706" s="666"/>
      <c r="AO706" s="666"/>
      <c r="AP706" s="666"/>
      <c r="AQ706" s="666"/>
      <c r="AR706" s="666"/>
      <c r="AS706" s="666"/>
      <c r="AT706" s="666"/>
      <c r="AU706" s="666"/>
    </row>
    <row r="707" ht="15.75" customHeight="1">
      <c r="A707" s="713">
        <v>44522.0</v>
      </c>
      <c r="B707" s="801" t="s">
        <v>6572</v>
      </c>
      <c r="C707" s="715" t="s">
        <v>2346</v>
      </c>
      <c r="D707" s="641" t="s">
        <v>5038</v>
      </c>
      <c r="E707" s="716">
        <v>500.0</v>
      </c>
      <c r="F707" s="641" t="s">
        <v>2122</v>
      </c>
      <c r="G707" s="667" t="s">
        <v>120</v>
      </c>
      <c r="H707" s="667" t="s">
        <v>91</v>
      </c>
      <c r="I707" s="667" t="s">
        <v>521</v>
      </c>
      <c r="J707" s="667">
        <v>44263.0</v>
      </c>
      <c r="K707" s="670" t="s">
        <v>2341</v>
      </c>
      <c r="L707" s="666"/>
      <c r="M707" s="666"/>
      <c r="N707" s="666"/>
      <c r="O707" s="666"/>
      <c r="P707" s="666"/>
      <c r="Q707" s="666"/>
      <c r="R707" s="666"/>
      <c r="S707" s="666"/>
      <c r="T707" s="666"/>
      <c r="U707" s="666"/>
      <c r="V707" s="666"/>
      <c r="W707" s="666"/>
      <c r="X707" s="666"/>
      <c r="Y707" s="666"/>
      <c r="Z707" s="666"/>
      <c r="AA707" s="666"/>
      <c r="AB707" s="666"/>
      <c r="AC707" s="666"/>
      <c r="AD707" s="666"/>
      <c r="AE707" s="666"/>
      <c r="AF707" s="666"/>
      <c r="AG707" s="666"/>
      <c r="AH707" s="666"/>
      <c r="AI707" s="666"/>
      <c r="AJ707" s="666"/>
      <c r="AK707" s="666"/>
      <c r="AL707" s="666"/>
      <c r="AM707" s="666"/>
      <c r="AN707" s="666"/>
      <c r="AO707" s="666"/>
      <c r="AP707" s="666"/>
      <c r="AQ707" s="666"/>
      <c r="AR707" s="666"/>
      <c r="AS707" s="666"/>
      <c r="AT707" s="666"/>
      <c r="AU707" s="666"/>
    </row>
    <row r="708" ht="15.75" customHeight="1">
      <c r="A708" s="713">
        <v>44522.0</v>
      </c>
      <c r="B708" s="714" t="s">
        <v>7338</v>
      </c>
      <c r="C708" s="715" t="s">
        <v>2346</v>
      </c>
      <c r="D708" s="641" t="s">
        <v>5038</v>
      </c>
      <c r="E708" s="716">
        <v>650000.0</v>
      </c>
      <c r="F708" s="641" t="s">
        <v>1124</v>
      </c>
      <c r="G708" s="667" t="s">
        <v>120</v>
      </c>
      <c r="H708" s="667" t="s">
        <v>91</v>
      </c>
      <c r="I708" s="667" t="s">
        <v>521</v>
      </c>
      <c r="J708" s="667">
        <v>44390.0</v>
      </c>
      <c r="K708" s="670" t="s">
        <v>2341</v>
      </c>
      <c r="L708" s="666"/>
      <c r="M708" s="666"/>
      <c r="N708" s="666"/>
      <c r="O708" s="666"/>
      <c r="P708" s="666"/>
      <c r="Q708" s="666"/>
      <c r="R708" s="666"/>
      <c r="S708" s="666"/>
      <c r="T708" s="666"/>
      <c r="U708" s="666"/>
      <c r="V708" s="666"/>
      <c r="W708" s="666"/>
      <c r="X708" s="666"/>
      <c r="Y708" s="666"/>
      <c r="Z708" s="666"/>
      <c r="AA708" s="666"/>
      <c r="AB708" s="666"/>
      <c r="AC708" s="666"/>
      <c r="AD708" s="666"/>
      <c r="AE708" s="666"/>
      <c r="AF708" s="666"/>
      <c r="AG708" s="666"/>
      <c r="AH708" s="666"/>
      <c r="AI708" s="666"/>
      <c r="AJ708" s="666"/>
      <c r="AK708" s="666"/>
      <c r="AL708" s="666"/>
      <c r="AM708" s="666"/>
      <c r="AN708" s="666"/>
      <c r="AO708" s="666"/>
      <c r="AP708" s="666"/>
      <c r="AQ708" s="666"/>
      <c r="AR708" s="666"/>
      <c r="AS708" s="666"/>
      <c r="AT708" s="666"/>
      <c r="AU708" s="666"/>
    </row>
    <row r="709" ht="15.75" customHeight="1">
      <c r="A709" s="713">
        <v>44522.0</v>
      </c>
      <c r="B709" s="801" t="s">
        <v>6772</v>
      </c>
      <c r="C709" s="715" t="s">
        <v>2346</v>
      </c>
      <c r="D709" s="641" t="s">
        <v>5038</v>
      </c>
      <c r="E709" s="716">
        <v>1250000.0</v>
      </c>
      <c r="F709" s="641" t="s">
        <v>547</v>
      </c>
      <c r="G709" s="667" t="s">
        <v>120</v>
      </c>
      <c r="H709" s="667" t="s">
        <v>91</v>
      </c>
      <c r="I709" s="667" t="s">
        <v>521</v>
      </c>
      <c r="J709" s="667">
        <v>44266.0</v>
      </c>
      <c r="K709" s="670" t="s">
        <v>2319</v>
      </c>
      <c r="L709" s="666"/>
      <c r="M709" s="666"/>
      <c r="N709" s="666"/>
      <c r="O709" s="666"/>
      <c r="P709" s="666"/>
      <c r="Q709" s="666"/>
      <c r="R709" s="666"/>
      <c r="S709" s="666"/>
      <c r="T709" s="666"/>
      <c r="U709" s="666"/>
      <c r="V709" s="666"/>
      <c r="W709" s="666"/>
      <c r="X709" s="666"/>
      <c r="Y709" s="666"/>
      <c r="Z709" s="666"/>
      <c r="AA709" s="666"/>
      <c r="AB709" s="666"/>
      <c r="AC709" s="666"/>
      <c r="AD709" s="666"/>
      <c r="AE709" s="666"/>
      <c r="AF709" s="666"/>
      <c r="AG709" s="666"/>
      <c r="AH709" s="666"/>
      <c r="AI709" s="666"/>
      <c r="AJ709" s="666"/>
      <c r="AK709" s="666"/>
      <c r="AL709" s="666"/>
      <c r="AM709" s="666"/>
      <c r="AN709" s="666"/>
      <c r="AO709" s="666"/>
      <c r="AP709" s="666"/>
      <c r="AQ709" s="666"/>
      <c r="AR709" s="666"/>
      <c r="AS709" s="666"/>
      <c r="AT709" s="666"/>
      <c r="AU709" s="666"/>
    </row>
    <row r="710" ht="15.75" customHeight="1">
      <c r="A710" s="713">
        <v>44523.0</v>
      </c>
      <c r="B710" s="714" t="s">
        <v>7343</v>
      </c>
      <c r="C710" s="715" t="s">
        <v>98</v>
      </c>
      <c r="D710" s="641" t="s">
        <v>5038</v>
      </c>
      <c r="E710" s="716">
        <v>20000.0</v>
      </c>
      <c r="F710" s="641" t="s">
        <v>7344</v>
      </c>
      <c r="G710" s="626" t="s">
        <v>120</v>
      </c>
      <c r="H710" s="816" t="s">
        <v>54</v>
      </c>
      <c r="I710" s="816" t="s">
        <v>379</v>
      </c>
      <c r="J710" s="817">
        <v>44287.0</v>
      </c>
      <c r="K710" s="674" t="s">
        <v>2341</v>
      </c>
      <c r="L710" s="666"/>
      <c r="M710" s="666"/>
      <c r="N710" s="666"/>
      <c r="O710" s="666"/>
      <c r="P710" s="666"/>
      <c r="Q710" s="666"/>
      <c r="R710" s="666"/>
      <c r="S710" s="666"/>
      <c r="T710" s="666"/>
      <c r="U710" s="666"/>
      <c r="V710" s="666"/>
      <c r="W710" s="666"/>
      <c r="X710" s="666"/>
      <c r="Y710" s="666"/>
      <c r="Z710" s="666"/>
      <c r="AA710" s="666"/>
      <c r="AB710" s="666"/>
      <c r="AC710" s="666"/>
      <c r="AD710" s="666"/>
      <c r="AE710" s="666"/>
      <c r="AF710" s="666"/>
      <c r="AG710" s="666"/>
      <c r="AH710" s="666"/>
      <c r="AI710" s="666"/>
      <c r="AJ710" s="666"/>
      <c r="AK710" s="666"/>
      <c r="AL710" s="666"/>
      <c r="AM710" s="666"/>
      <c r="AN710" s="666"/>
      <c r="AO710" s="666"/>
      <c r="AP710" s="666"/>
      <c r="AQ710" s="666"/>
      <c r="AR710" s="666"/>
      <c r="AS710" s="666"/>
      <c r="AT710" s="666"/>
      <c r="AU710" s="666"/>
    </row>
    <row r="711" ht="15.75" customHeight="1">
      <c r="A711" s="713">
        <v>44523.0</v>
      </c>
      <c r="B711" s="714" t="s">
        <v>6251</v>
      </c>
      <c r="C711" s="715" t="s">
        <v>98</v>
      </c>
      <c r="D711" s="641" t="s">
        <v>427</v>
      </c>
      <c r="E711" s="716">
        <v>114197.45</v>
      </c>
      <c r="F711" s="641" t="s">
        <v>7347</v>
      </c>
      <c r="G711" s="626" t="s">
        <v>120</v>
      </c>
      <c r="H711" s="816" t="s">
        <v>54</v>
      </c>
      <c r="I711" s="816" t="s">
        <v>379</v>
      </c>
      <c r="J711" s="817">
        <v>44298.0</v>
      </c>
      <c r="K711" s="641" t="s">
        <v>2365</v>
      </c>
      <c r="L711" s="666"/>
      <c r="M711" s="666"/>
      <c r="N711" s="666"/>
      <c r="O711" s="666"/>
      <c r="P711" s="666"/>
      <c r="Q711" s="666"/>
      <c r="R711" s="666"/>
      <c r="S711" s="666"/>
      <c r="T711" s="666"/>
      <c r="U711" s="666"/>
      <c r="V711" s="666"/>
      <c r="W711" s="666"/>
      <c r="X711" s="666"/>
      <c r="Y711" s="666"/>
      <c r="Z711" s="666"/>
      <c r="AA711" s="666"/>
      <c r="AB711" s="666"/>
      <c r="AC711" s="666"/>
      <c r="AD711" s="666"/>
      <c r="AE711" s="666"/>
      <c r="AF711" s="666"/>
      <c r="AG711" s="666"/>
      <c r="AH711" s="666"/>
      <c r="AI711" s="666"/>
      <c r="AJ711" s="666"/>
      <c r="AK711" s="666"/>
      <c r="AL711" s="666"/>
      <c r="AM711" s="666"/>
      <c r="AN711" s="666"/>
      <c r="AO711" s="666"/>
      <c r="AP711" s="666"/>
      <c r="AQ711" s="666"/>
      <c r="AR711" s="666"/>
      <c r="AS711" s="666"/>
      <c r="AT711" s="666"/>
      <c r="AU711" s="666"/>
    </row>
    <row r="712" ht="15.75" customHeight="1">
      <c r="A712" s="713">
        <v>44523.0</v>
      </c>
      <c r="B712" s="714" t="s">
        <v>5716</v>
      </c>
      <c r="C712" s="715" t="s">
        <v>2346</v>
      </c>
      <c r="D712" s="641" t="s">
        <v>5038</v>
      </c>
      <c r="E712" s="716">
        <v>35000.0</v>
      </c>
      <c r="F712" s="641" t="s">
        <v>1085</v>
      </c>
      <c r="G712" s="667" t="s">
        <v>120</v>
      </c>
      <c r="H712" s="667" t="s">
        <v>91</v>
      </c>
      <c r="I712" s="667" t="s">
        <v>521</v>
      </c>
      <c r="J712" s="667">
        <v>44295.0</v>
      </c>
      <c r="K712" s="667" t="s">
        <v>2356</v>
      </c>
      <c r="L712" s="666"/>
      <c r="M712" s="666"/>
      <c r="N712" s="666"/>
      <c r="O712" s="666"/>
      <c r="P712" s="666"/>
      <c r="Q712" s="666"/>
      <c r="R712" s="666"/>
      <c r="S712" s="666"/>
      <c r="T712" s="666"/>
      <c r="U712" s="666"/>
      <c r="V712" s="666"/>
      <c r="W712" s="666"/>
      <c r="X712" s="666"/>
      <c r="Y712" s="666"/>
      <c r="Z712" s="666"/>
      <c r="AA712" s="666"/>
      <c r="AB712" s="666"/>
      <c r="AC712" s="666"/>
      <c r="AD712" s="666"/>
      <c r="AE712" s="666"/>
      <c r="AF712" s="666"/>
      <c r="AG712" s="666"/>
      <c r="AH712" s="666"/>
      <c r="AI712" s="666"/>
      <c r="AJ712" s="666"/>
      <c r="AK712" s="666"/>
      <c r="AL712" s="666"/>
      <c r="AM712" s="666"/>
      <c r="AN712" s="666"/>
      <c r="AO712" s="666"/>
      <c r="AP712" s="666"/>
      <c r="AQ712" s="666"/>
      <c r="AR712" s="666"/>
      <c r="AS712" s="666"/>
      <c r="AT712" s="666"/>
      <c r="AU712" s="666"/>
    </row>
    <row r="713" ht="15.75" customHeight="1">
      <c r="A713" s="713">
        <v>44524.0</v>
      </c>
      <c r="B713" s="714" t="s">
        <v>7353</v>
      </c>
      <c r="C713" s="715" t="s">
        <v>98</v>
      </c>
      <c r="D713" s="641" t="s">
        <v>694</v>
      </c>
      <c r="E713" s="716">
        <v>130920.08</v>
      </c>
      <c r="F713" s="641" t="s">
        <v>5604</v>
      </c>
      <c r="G713" s="641" t="s">
        <v>120</v>
      </c>
      <c r="H713" s="641" t="s">
        <v>54</v>
      </c>
      <c r="I713" s="641" t="s">
        <v>379</v>
      </c>
      <c r="J713" s="667">
        <v>44252.0</v>
      </c>
      <c r="K713" s="641" t="s">
        <v>2372</v>
      </c>
      <c r="L713" s="666"/>
      <c r="M713" s="666"/>
      <c r="N713" s="666"/>
      <c r="O713" s="666"/>
      <c r="P713" s="666"/>
      <c r="Q713" s="666"/>
      <c r="R713" s="666"/>
      <c r="S713" s="666"/>
      <c r="T713" s="666"/>
      <c r="U713" s="666"/>
      <c r="V713" s="666"/>
      <c r="W713" s="666"/>
      <c r="X713" s="666"/>
      <c r="Y713" s="666"/>
      <c r="Z713" s="666"/>
      <c r="AA713" s="666"/>
      <c r="AB713" s="666"/>
      <c r="AC713" s="666"/>
      <c r="AD713" s="666"/>
      <c r="AE713" s="666"/>
      <c r="AF713" s="666"/>
      <c r="AG713" s="666"/>
      <c r="AH713" s="666"/>
      <c r="AI713" s="666"/>
      <c r="AJ713" s="666"/>
      <c r="AK713" s="666"/>
      <c r="AL713" s="666"/>
      <c r="AM713" s="666"/>
      <c r="AN713" s="666"/>
      <c r="AO713" s="666"/>
      <c r="AP713" s="666"/>
      <c r="AQ713" s="666"/>
      <c r="AR713" s="666"/>
      <c r="AS713" s="666"/>
      <c r="AT713" s="666"/>
      <c r="AU713" s="666"/>
    </row>
    <row r="714" ht="15.75" customHeight="1">
      <c r="A714" s="713">
        <v>44524.0</v>
      </c>
      <c r="B714" s="714" t="s">
        <v>7355</v>
      </c>
      <c r="C714" s="715" t="s">
        <v>98</v>
      </c>
      <c r="D714" s="641" t="s">
        <v>694</v>
      </c>
      <c r="E714" s="716">
        <v>98719.08</v>
      </c>
      <c r="F714" s="641" t="s">
        <v>3689</v>
      </c>
      <c r="G714" s="641" t="s">
        <v>669</v>
      </c>
      <c r="H714" s="641" t="s">
        <v>199</v>
      </c>
      <c r="I714" s="641" t="s">
        <v>669</v>
      </c>
      <c r="J714" s="667">
        <v>44390.0</v>
      </c>
      <c r="K714" s="641" t="s">
        <v>2341</v>
      </c>
      <c r="L714" s="666"/>
      <c r="M714" s="666"/>
      <c r="N714" s="666"/>
      <c r="O714" s="666"/>
      <c r="P714" s="666"/>
      <c r="Q714" s="666"/>
      <c r="R714" s="666"/>
      <c r="S714" s="666"/>
      <c r="T714" s="666"/>
      <c r="U714" s="666"/>
      <c r="V714" s="666"/>
      <c r="W714" s="666"/>
      <c r="X714" s="666"/>
      <c r="Y714" s="666"/>
      <c r="Z714" s="666"/>
      <c r="AA714" s="666"/>
      <c r="AB714" s="666"/>
      <c r="AC714" s="666"/>
      <c r="AD714" s="666"/>
      <c r="AE714" s="666"/>
      <c r="AF714" s="666"/>
      <c r="AG714" s="666"/>
      <c r="AH714" s="666"/>
      <c r="AI714" s="666"/>
      <c r="AJ714" s="666"/>
      <c r="AK714" s="666"/>
      <c r="AL714" s="666"/>
      <c r="AM714" s="666"/>
      <c r="AN714" s="666"/>
      <c r="AO714" s="666"/>
      <c r="AP714" s="666"/>
      <c r="AQ714" s="666"/>
      <c r="AR714" s="666"/>
      <c r="AS714" s="666"/>
      <c r="AT714" s="666"/>
      <c r="AU714" s="666"/>
    </row>
    <row r="715" ht="15.75" customHeight="1">
      <c r="A715" s="713">
        <v>44524.0</v>
      </c>
      <c r="B715" s="801" t="s">
        <v>6151</v>
      </c>
      <c r="C715" s="715" t="s">
        <v>2346</v>
      </c>
      <c r="D715" s="641" t="s">
        <v>5038</v>
      </c>
      <c r="E715" s="716">
        <v>59000.0</v>
      </c>
      <c r="F715" s="641" t="s">
        <v>6152</v>
      </c>
      <c r="G715" s="667" t="s">
        <v>120</v>
      </c>
      <c r="H715" s="667" t="s">
        <v>91</v>
      </c>
      <c r="I715" s="667" t="s">
        <v>521</v>
      </c>
      <c r="J715" s="667">
        <v>44280.0</v>
      </c>
      <c r="K715" s="667" t="s">
        <v>2341</v>
      </c>
      <c r="L715" s="666"/>
      <c r="M715" s="666"/>
      <c r="N715" s="666"/>
      <c r="O715" s="666"/>
      <c r="P715" s="666"/>
      <c r="Q715" s="666"/>
      <c r="R715" s="666"/>
      <c r="S715" s="666"/>
      <c r="T715" s="666"/>
      <c r="U715" s="666"/>
      <c r="V715" s="666"/>
      <c r="W715" s="666"/>
      <c r="X715" s="666"/>
      <c r="Y715" s="666"/>
      <c r="Z715" s="666"/>
      <c r="AA715" s="666"/>
      <c r="AB715" s="666"/>
      <c r="AC715" s="666"/>
      <c r="AD715" s="666"/>
      <c r="AE715" s="666"/>
      <c r="AF715" s="666"/>
      <c r="AG715" s="666"/>
      <c r="AH715" s="666"/>
      <c r="AI715" s="666"/>
      <c r="AJ715" s="666"/>
      <c r="AK715" s="666"/>
      <c r="AL715" s="666"/>
      <c r="AM715" s="666"/>
      <c r="AN715" s="666"/>
      <c r="AO715" s="666"/>
      <c r="AP715" s="666"/>
      <c r="AQ715" s="666"/>
      <c r="AR715" s="666"/>
      <c r="AS715" s="666"/>
      <c r="AT715" s="666"/>
      <c r="AU715" s="666"/>
    </row>
    <row r="716" ht="15.75" customHeight="1">
      <c r="A716" s="713">
        <v>44525.0</v>
      </c>
      <c r="B716" s="714" t="s">
        <v>7363</v>
      </c>
      <c r="C716" s="715" t="s">
        <v>2346</v>
      </c>
      <c r="D716" s="641" t="s">
        <v>427</v>
      </c>
      <c r="E716" s="716">
        <v>95072.23</v>
      </c>
      <c r="F716" s="641" t="s">
        <v>2402</v>
      </c>
      <c r="G716" s="667" t="s">
        <v>669</v>
      </c>
      <c r="H716" s="667" t="s">
        <v>199</v>
      </c>
      <c r="I716" s="667" t="s">
        <v>2388</v>
      </c>
      <c r="J716" s="667">
        <v>43780.0</v>
      </c>
      <c r="K716" s="667" t="s">
        <v>2365</v>
      </c>
      <c r="L716" s="666"/>
      <c r="M716" s="666"/>
      <c r="N716" s="666"/>
      <c r="O716" s="666"/>
      <c r="P716" s="666"/>
      <c r="Q716" s="666"/>
      <c r="R716" s="666"/>
      <c r="S716" s="666"/>
      <c r="T716" s="666"/>
      <c r="U716" s="666"/>
      <c r="V716" s="666"/>
      <c r="W716" s="666"/>
      <c r="X716" s="666"/>
      <c r="Y716" s="666"/>
      <c r="Z716" s="666"/>
      <c r="AA716" s="666"/>
      <c r="AB716" s="666"/>
      <c r="AC716" s="666"/>
      <c r="AD716" s="666"/>
      <c r="AE716" s="666"/>
      <c r="AF716" s="666"/>
      <c r="AG716" s="666"/>
      <c r="AH716" s="666"/>
      <c r="AI716" s="666"/>
      <c r="AJ716" s="666"/>
      <c r="AK716" s="666"/>
      <c r="AL716" s="666"/>
      <c r="AM716" s="666"/>
      <c r="AN716" s="666"/>
      <c r="AO716" s="666"/>
      <c r="AP716" s="666"/>
      <c r="AQ716" s="666"/>
      <c r="AR716" s="666"/>
      <c r="AS716" s="666"/>
      <c r="AT716" s="666"/>
      <c r="AU716" s="666"/>
    </row>
    <row r="717" ht="15.75" customHeight="1">
      <c r="A717" s="713">
        <v>44525.0</v>
      </c>
      <c r="B717" s="714" t="s">
        <v>6923</v>
      </c>
      <c r="C717" s="715" t="s">
        <v>2346</v>
      </c>
      <c r="D717" s="641" t="s">
        <v>427</v>
      </c>
      <c r="E717" s="716">
        <v>287057.81</v>
      </c>
      <c r="F717" s="641" t="s">
        <v>4241</v>
      </c>
      <c r="G717" s="667" t="s">
        <v>120</v>
      </c>
      <c r="H717" s="667" t="s">
        <v>91</v>
      </c>
      <c r="I717" s="667" t="s">
        <v>193</v>
      </c>
      <c r="J717" s="667">
        <v>44393.0</v>
      </c>
      <c r="K717" s="667" t="s">
        <v>4919</v>
      </c>
      <c r="L717" s="666"/>
      <c r="M717" s="666"/>
      <c r="N717" s="666"/>
      <c r="O717" s="666"/>
      <c r="P717" s="666"/>
      <c r="Q717" s="666"/>
      <c r="R717" s="666"/>
      <c r="S717" s="666"/>
      <c r="T717" s="666"/>
      <c r="U717" s="666"/>
      <c r="V717" s="666"/>
      <c r="W717" s="666"/>
      <c r="X717" s="666"/>
      <c r="Y717" s="666"/>
      <c r="Z717" s="666"/>
      <c r="AA717" s="666"/>
      <c r="AB717" s="666"/>
      <c r="AC717" s="666"/>
      <c r="AD717" s="666"/>
      <c r="AE717" s="666"/>
      <c r="AF717" s="666"/>
      <c r="AG717" s="666"/>
      <c r="AH717" s="666"/>
      <c r="AI717" s="666"/>
      <c r="AJ717" s="666"/>
      <c r="AK717" s="666"/>
      <c r="AL717" s="666"/>
      <c r="AM717" s="666"/>
      <c r="AN717" s="666"/>
      <c r="AO717" s="666"/>
      <c r="AP717" s="666"/>
      <c r="AQ717" s="666"/>
      <c r="AR717" s="666"/>
      <c r="AS717" s="666"/>
      <c r="AT717" s="666"/>
      <c r="AU717" s="666"/>
    </row>
    <row r="718" ht="15.75" customHeight="1">
      <c r="A718" s="713">
        <v>44525.0</v>
      </c>
      <c r="B718" s="714" t="s">
        <v>7370</v>
      </c>
      <c r="C718" s="715" t="s">
        <v>98</v>
      </c>
      <c r="D718" s="641" t="s">
        <v>5038</v>
      </c>
      <c r="E718" s="716">
        <v>15000.0</v>
      </c>
      <c r="F718" s="641" t="s">
        <v>7238</v>
      </c>
      <c r="G718" s="641" t="s">
        <v>120</v>
      </c>
      <c r="H718" s="641" t="s">
        <v>199</v>
      </c>
      <c r="I718" s="641" t="s">
        <v>439</v>
      </c>
      <c r="J718" s="667">
        <v>44293.0</v>
      </c>
      <c r="K718" s="641" t="s">
        <v>2319</v>
      </c>
      <c r="L718" s="666"/>
      <c r="M718" s="666"/>
      <c r="N718" s="666"/>
      <c r="O718" s="666"/>
      <c r="P718" s="666"/>
      <c r="Q718" s="666"/>
      <c r="R718" s="666"/>
      <c r="S718" s="666"/>
      <c r="T718" s="666"/>
      <c r="U718" s="666"/>
      <c r="V718" s="666"/>
      <c r="W718" s="666"/>
      <c r="X718" s="666"/>
      <c r="Y718" s="666"/>
      <c r="Z718" s="666"/>
      <c r="AA718" s="666"/>
      <c r="AB718" s="666"/>
      <c r="AC718" s="666"/>
      <c r="AD718" s="666"/>
      <c r="AE718" s="666"/>
      <c r="AF718" s="666"/>
      <c r="AG718" s="666"/>
      <c r="AH718" s="666"/>
      <c r="AI718" s="666"/>
      <c r="AJ718" s="666"/>
      <c r="AK718" s="666"/>
      <c r="AL718" s="666"/>
      <c r="AM718" s="666"/>
      <c r="AN718" s="666"/>
      <c r="AO718" s="666"/>
      <c r="AP718" s="666"/>
      <c r="AQ718" s="666"/>
      <c r="AR718" s="666"/>
      <c r="AS718" s="666"/>
      <c r="AT718" s="666"/>
      <c r="AU718" s="666"/>
    </row>
    <row r="719" ht="15.75" customHeight="1">
      <c r="A719" s="713">
        <v>44526.0</v>
      </c>
      <c r="B719" s="714" t="s">
        <v>6599</v>
      </c>
      <c r="C719" s="715" t="s">
        <v>2346</v>
      </c>
      <c r="D719" s="641" t="s">
        <v>5038</v>
      </c>
      <c r="E719" s="716">
        <v>200000.0</v>
      </c>
      <c r="F719" s="641" t="s">
        <v>810</v>
      </c>
      <c r="G719" s="667" t="s">
        <v>120</v>
      </c>
      <c r="H719" s="667" t="s">
        <v>91</v>
      </c>
      <c r="I719" s="667" t="s">
        <v>193</v>
      </c>
      <c r="J719" s="667">
        <v>44291.0</v>
      </c>
      <c r="K719" s="667" t="s">
        <v>2341</v>
      </c>
      <c r="L719" s="666"/>
      <c r="M719" s="666"/>
      <c r="N719" s="666"/>
      <c r="O719" s="666"/>
      <c r="P719" s="666"/>
      <c r="Q719" s="666"/>
      <c r="R719" s="666"/>
      <c r="S719" s="666"/>
      <c r="T719" s="666"/>
      <c r="U719" s="666"/>
      <c r="V719" s="666"/>
      <c r="W719" s="666"/>
      <c r="X719" s="666"/>
      <c r="Y719" s="666"/>
      <c r="Z719" s="666"/>
      <c r="AA719" s="666"/>
      <c r="AB719" s="666"/>
      <c r="AC719" s="666"/>
      <c r="AD719" s="666"/>
      <c r="AE719" s="666"/>
      <c r="AF719" s="666"/>
      <c r="AG719" s="666"/>
      <c r="AH719" s="666"/>
      <c r="AI719" s="666"/>
      <c r="AJ719" s="666"/>
      <c r="AK719" s="666"/>
      <c r="AL719" s="666"/>
      <c r="AM719" s="666"/>
      <c r="AN719" s="666"/>
      <c r="AO719" s="666"/>
      <c r="AP719" s="666"/>
      <c r="AQ719" s="666"/>
      <c r="AR719" s="666"/>
      <c r="AS719" s="666"/>
      <c r="AT719" s="666"/>
      <c r="AU719" s="666"/>
    </row>
    <row r="720" ht="15.75" customHeight="1">
      <c r="A720" s="713">
        <v>44529.0</v>
      </c>
      <c r="B720" s="714" t="s">
        <v>6435</v>
      </c>
      <c r="C720" s="715" t="s">
        <v>2346</v>
      </c>
      <c r="D720" s="641" t="s">
        <v>5038</v>
      </c>
      <c r="E720" s="716">
        <v>150000.0</v>
      </c>
      <c r="F720" s="641" t="s">
        <v>2396</v>
      </c>
      <c r="G720" s="667" t="s">
        <v>120</v>
      </c>
      <c r="H720" s="667" t="s">
        <v>91</v>
      </c>
      <c r="I720" s="667" t="s">
        <v>193</v>
      </c>
      <c r="J720" s="667">
        <v>44321.0</v>
      </c>
      <c r="K720" s="667" t="s">
        <v>2365</v>
      </c>
      <c r="L720" s="666"/>
      <c r="M720" s="666"/>
      <c r="N720" s="666"/>
      <c r="O720" s="666"/>
      <c r="P720" s="666"/>
      <c r="Q720" s="666"/>
      <c r="R720" s="666"/>
      <c r="S720" s="666"/>
      <c r="T720" s="666"/>
      <c r="U720" s="666"/>
      <c r="V720" s="666"/>
      <c r="W720" s="666"/>
      <c r="X720" s="666"/>
      <c r="Y720" s="666"/>
      <c r="Z720" s="666"/>
      <c r="AA720" s="666"/>
      <c r="AB720" s="666"/>
      <c r="AC720" s="666"/>
      <c r="AD720" s="666"/>
      <c r="AE720" s="666"/>
      <c r="AF720" s="666"/>
      <c r="AG720" s="666"/>
      <c r="AH720" s="666"/>
      <c r="AI720" s="666"/>
      <c r="AJ720" s="666"/>
      <c r="AK720" s="666"/>
      <c r="AL720" s="666"/>
      <c r="AM720" s="666"/>
      <c r="AN720" s="666"/>
      <c r="AO720" s="666"/>
      <c r="AP720" s="666"/>
      <c r="AQ720" s="666"/>
      <c r="AR720" s="666"/>
      <c r="AS720" s="666"/>
      <c r="AT720" s="666"/>
      <c r="AU720" s="666"/>
    </row>
    <row r="721" ht="15.75" customHeight="1">
      <c r="A721" s="713">
        <v>44530.0</v>
      </c>
      <c r="B721" s="714" t="s">
        <v>7377</v>
      </c>
      <c r="C721" s="715" t="s">
        <v>2346</v>
      </c>
      <c r="D721" s="641" t="s">
        <v>5038</v>
      </c>
      <c r="E721" s="716">
        <v>500000.0</v>
      </c>
      <c r="F721" s="641" t="s">
        <v>6654</v>
      </c>
      <c r="G721" s="667" t="s">
        <v>120</v>
      </c>
      <c r="H721" s="667" t="s">
        <v>91</v>
      </c>
      <c r="I721" s="667" t="s">
        <v>193</v>
      </c>
      <c r="J721" s="667">
        <v>44280.0</v>
      </c>
      <c r="K721" s="667" t="s">
        <v>2341</v>
      </c>
      <c r="L721" s="666"/>
      <c r="M721" s="666"/>
      <c r="N721" s="666"/>
      <c r="O721" s="666"/>
      <c r="P721" s="666"/>
      <c r="Q721" s="666"/>
      <c r="R721" s="666"/>
      <c r="S721" s="666"/>
      <c r="T721" s="666"/>
      <c r="U721" s="666"/>
      <c r="V721" s="666"/>
      <c r="W721" s="666"/>
      <c r="X721" s="666"/>
      <c r="Y721" s="666"/>
      <c r="Z721" s="666"/>
      <c r="AA721" s="666"/>
      <c r="AB721" s="666"/>
      <c r="AC721" s="666"/>
      <c r="AD721" s="666"/>
      <c r="AE721" s="666"/>
      <c r="AF721" s="666"/>
      <c r="AG721" s="666"/>
      <c r="AH721" s="666"/>
      <c r="AI721" s="666"/>
      <c r="AJ721" s="666"/>
      <c r="AK721" s="666"/>
      <c r="AL721" s="666"/>
      <c r="AM721" s="666"/>
      <c r="AN721" s="666"/>
      <c r="AO721" s="666"/>
      <c r="AP721" s="666"/>
      <c r="AQ721" s="666"/>
      <c r="AR721" s="666"/>
      <c r="AS721" s="666"/>
      <c r="AT721" s="666"/>
      <c r="AU721" s="666"/>
    </row>
    <row r="722" ht="15.75" customHeight="1">
      <c r="A722" s="713">
        <v>44530.0</v>
      </c>
      <c r="B722" s="714" t="s">
        <v>6103</v>
      </c>
      <c r="C722" s="715" t="s">
        <v>2346</v>
      </c>
      <c r="D722" s="641" t="s">
        <v>5038</v>
      </c>
      <c r="E722" s="716">
        <v>50000.0</v>
      </c>
      <c r="F722" s="641" t="s">
        <v>6105</v>
      </c>
      <c r="G722" s="667" t="s">
        <v>120</v>
      </c>
      <c r="H722" s="667" t="s">
        <v>91</v>
      </c>
      <c r="I722" s="667" t="s">
        <v>193</v>
      </c>
      <c r="J722" s="667">
        <v>44279.0</v>
      </c>
      <c r="K722" s="667" t="s">
        <v>2341</v>
      </c>
      <c r="L722" s="666"/>
      <c r="M722" s="666"/>
      <c r="N722" s="666"/>
      <c r="O722" s="666"/>
      <c r="P722" s="666"/>
      <c r="Q722" s="666"/>
      <c r="R722" s="666"/>
      <c r="S722" s="666"/>
      <c r="T722" s="666"/>
      <c r="U722" s="666"/>
      <c r="V722" s="666"/>
      <c r="W722" s="666"/>
      <c r="X722" s="666"/>
      <c r="Y722" s="666"/>
      <c r="Z722" s="666"/>
      <c r="AA722" s="666"/>
      <c r="AB722" s="666"/>
      <c r="AC722" s="666"/>
      <c r="AD722" s="666"/>
      <c r="AE722" s="666"/>
      <c r="AF722" s="666"/>
      <c r="AG722" s="666"/>
      <c r="AH722" s="666"/>
      <c r="AI722" s="666"/>
      <c r="AJ722" s="666"/>
      <c r="AK722" s="666"/>
      <c r="AL722" s="666"/>
      <c r="AM722" s="666"/>
      <c r="AN722" s="666"/>
      <c r="AO722" s="666"/>
      <c r="AP722" s="666"/>
      <c r="AQ722" s="666"/>
      <c r="AR722" s="666"/>
      <c r="AS722" s="666"/>
      <c r="AT722" s="666"/>
      <c r="AU722" s="666"/>
    </row>
    <row r="723" ht="15.75" customHeight="1">
      <c r="A723" s="713">
        <v>44530.0</v>
      </c>
      <c r="B723" s="714" t="s">
        <v>5716</v>
      </c>
      <c r="C723" s="715" t="s">
        <v>2346</v>
      </c>
      <c r="D723" s="641" t="s">
        <v>5038</v>
      </c>
      <c r="E723" s="716">
        <v>10000.0</v>
      </c>
      <c r="F723" s="641" t="s">
        <v>1085</v>
      </c>
      <c r="G723" s="667" t="s">
        <v>120</v>
      </c>
      <c r="H723" s="667" t="s">
        <v>91</v>
      </c>
      <c r="I723" s="667" t="s">
        <v>521</v>
      </c>
      <c r="J723" s="667">
        <v>44295.0</v>
      </c>
      <c r="K723" s="667" t="s">
        <v>2356</v>
      </c>
      <c r="L723" s="666"/>
      <c r="M723" s="666"/>
      <c r="N723" s="666"/>
      <c r="O723" s="666"/>
      <c r="P723" s="666"/>
      <c r="Q723" s="666"/>
      <c r="R723" s="666"/>
      <c r="S723" s="666"/>
      <c r="T723" s="666"/>
      <c r="U723" s="666"/>
      <c r="V723" s="666"/>
      <c r="W723" s="666"/>
      <c r="X723" s="666"/>
      <c r="Y723" s="666"/>
      <c r="Z723" s="666"/>
      <c r="AA723" s="666"/>
      <c r="AB723" s="666"/>
      <c r="AC723" s="666"/>
      <c r="AD723" s="666"/>
      <c r="AE723" s="666"/>
      <c r="AF723" s="666"/>
      <c r="AG723" s="666"/>
      <c r="AH723" s="666"/>
      <c r="AI723" s="666"/>
      <c r="AJ723" s="666"/>
      <c r="AK723" s="666"/>
      <c r="AL723" s="666"/>
      <c r="AM723" s="666"/>
      <c r="AN723" s="666"/>
      <c r="AO723" s="666"/>
      <c r="AP723" s="666"/>
      <c r="AQ723" s="666"/>
      <c r="AR723" s="666"/>
      <c r="AS723" s="666"/>
      <c r="AT723" s="666"/>
      <c r="AU723" s="666"/>
    </row>
    <row r="724" ht="15.75" customHeight="1">
      <c r="A724" s="713">
        <v>44530.0</v>
      </c>
      <c r="B724" s="714" t="s">
        <v>6768</v>
      </c>
      <c r="C724" s="715" t="s">
        <v>2346</v>
      </c>
      <c r="D724" s="641" t="s">
        <v>5038</v>
      </c>
      <c r="E724" s="716">
        <v>20000.0</v>
      </c>
      <c r="F724" s="641" t="s">
        <v>6769</v>
      </c>
      <c r="G724" s="667" t="s">
        <v>120</v>
      </c>
      <c r="H724" s="667" t="s">
        <v>91</v>
      </c>
      <c r="I724" s="667" t="s">
        <v>521</v>
      </c>
      <c r="J724" s="667">
        <v>44263.0</v>
      </c>
      <c r="K724" s="667" t="s">
        <v>2365</v>
      </c>
      <c r="L724" s="666"/>
      <c r="M724" s="666"/>
      <c r="N724" s="666"/>
      <c r="O724" s="666"/>
      <c r="P724" s="666"/>
      <c r="Q724" s="666"/>
      <c r="R724" s="666"/>
      <c r="S724" s="666"/>
      <c r="T724" s="666"/>
      <c r="U724" s="666"/>
      <c r="V724" s="666"/>
      <c r="W724" s="666"/>
      <c r="X724" s="666"/>
      <c r="Y724" s="666"/>
      <c r="Z724" s="666"/>
      <c r="AA724" s="666"/>
      <c r="AB724" s="666"/>
      <c r="AC724" s="666"/>
      <c r="AD724" s="666"/>
      <c r="AE724" s="666"/>
      <c r="AF724" s="666"/>
      <c r="AG724" s="666"/>
      <c r="AH724" s="666"/>
      <c r="AI724" s="666"/>
      <c r="AJ724" s="666"/>
      <c r="AK724" s="666"/>
      <c r="AL724" s="666"/>
      <c r="AM724" s="666"/>
      <c r="AN724" s="666"/>
      <c r="AO724" s="666"/>
      <c r="AP724" s="666"/>
      <c r="AQ724" s="666"/>
      <c r="AR724" s="666"/>
      <c r="AS724" s="666"/>
      <c r="AT724" s="666"/>
      <c r="AU724" s="666"/>
    </row>
    <row r="725" ht="15.75" customHeight="1">
      <c r="A725" s="713">
        <v>44531.0</v>
      </c>
      <c r="B725" s="714" t="s">
        <v>6222</v>
      </c>
      <c r="C725" s="715" t="s">
        <v>2346</v>
      </c>
      <c r="D725" s="641" t="s">
        <v>5038</v>
      </c>
      <c r="E725" s="716">
        <v>12000.0</v>
      </c>
      <c r="F725" s="641" t="s">
        <v>1489</v>
      </c>
      <c r="G725" s="667" t="s">
        <v>120</v>
      </c>
      <c r="H725" s="667" t="s">
        <v>91</v>
      </c>
      <c r="I725" s="667" t="s">
        <v>193</v>
      </c>
      <c r="J725" s="667">
        <v>44319.0</v>
      </c>
      <c r="K725" s="667" t="s">
        <v>2341</v>
      </c>
      <c r="L725" s="666"/>
      <c r="M725" s="666"/>
      <c r="N725" s="666"/>
      <c r="O725" s="666"/>
      <c r="P725" s="666"/>
      <c r="Q725" s="666"/>
      <c r="R725" s="666"/>
      <c r="S725" s="666"/>
      <c r="T725" s="666"/>
      <c r="U725" s="666"/>
      <c r="V725" s="666"/>
      <c r="W725" s="666"/>
      <c r="X725" s="666"/>
      <c r="Y725" s="666"/>
      <c r="Z725" s="666"/>
      <c r="AA725" s="666"/>
      <c r="AB725" s="666"/>
      <c r="AC725" s="666"/>
      <c r="AD725" s="666"/>
      <c r="AE725" s="666"/>
      <c r="AF725" s="666"/>
      <c r="AG725" s="666"/>
      <c r="AH725" s="666"/>
      <c r="AI725" s="666"/>
      <c r="AJ725" s="666"/>
      <c r="AK725" s="666"/>
      <c r="AL725" s="666"/>
      <c r="AM725" s="666"/>
      <c r="AN725" s="666"/>
      <c r="AO725" s="666"/>
      <c r="AP725" s="666"/>
      <c r="AQ725" s="666"/>
      <c r="AR725" s="666"/>
      <c r="AS725" s="666"/>
      <c r="AT725" s="666"/>
      <c r="AU725" s="666"/>
    </row>
    <row r="726" ht="15.75" customHeight="1">
      <c r="A726" s="713">
        <v>44531.0</v>
      </c>
      <c r="B726" s="714" t="s">
        <v>5711</v>
      </c>
      <c r="C726" s="715" t="s">
        <v>2346</v>
      </c>
      <c r="D726" s="641" t="s">
        <v>5038</v>
      </c>
      <c r="E726" s="716">
        <v>40000.0</v>
      </c>
      <c r="F726" s="641" t="s">
        <v>4401</v>
      </c>
      <c r="G726" s="667" t="s">
        <v>120</v>
      </c>
      <c r="H726" s="667" t="s">
        <v>91</v>
      </c>
      <c r="I726" s="667" t="s">
        <v>521</v>
      </c>
      <c r="J726" s="667">
        <v>44321.0</v>
      </c>
      <c r="K726" s="667" t="s">
        <v>2341</v>
      </c>
      <c r="L726" s="666"/>
      <c r="M726" s="666"/>
      <c r="N726" s="666"/>
      <c r="O726" s="666"/>
      <c r="P726" s="666"/>
      <c r="Q726" s="666"/>
      <c r="R726" s="666"/>
      <c r="S726" s="666"/>
      <c r="T726" s="666"/>
      <c r="U726" s="666"/>
      <c r="V726" s="666"/>
      <c r="W726" s="666"/>
      <c r="X726" s="666"/>
      <c r="Y726" s="666"/>
      <c r="Z726" s="666"/>
      <c r="AA726" s="666"/>
      <c r="AB726" s="666"/>
      <c r="AC726" s="666"/>
      <c r="AD726" s="666"/>
      <c r="AE726" s="666"/>
      <c r="AF726" s="666"/>
      <c r="AG726" s="666"/>
      <c r="AH726" s="666"/>
      <c r="AI726" s="666"/>
      <c r="AJ726" s="666"/>
      <c r="AK726" s="666"/>
      <c r="AL726" s="666"/>
      <c r="AM726" s="666"/>
      <c r="AN726" s="666"/>
      <c r="AO726" s="666"/>
      <c r="AP726" s="666"/>
      <c r="AQ726" s="666"/>
      <c r="AR726" s="666"/>
      <c r="AS726" s="666"/>
      <c r="AT726" s="666"/>
      <c r="AU726" s="666"/>
    </row>
    <row r="727" ht="15.75" customHeight="1">
      <c r="A727" s="713">
        <v>44531.0</v>
      </c>
      <c r="B727" s="804" t="s">
        <v>5960</v>
      </c>
      <c r="C727" s="715" t="s">
        <v>98</v>
      </c>
      <c r="D727" s="641" t="s">
        <v>5038</v>
      </c>
      <c r="E727" s="716">
        <v>5800.0</v>
      </c>
      <c r="F727" s="641" t="s">
        <v>5963</v>
      </c>
      <c r="G727" s="641" t="s">
        <v>255</v>
      </c>
      <c r="H727" s="641" t="s">
        <v>199</v>
      </c>
      <c r="I727" s="641" t="s">
        <v>4761</v>
      </c>
      <c r="J727" s="667">
        <v>44180.0</v>
      </c>
      <c r="K727" s="641" t="s">
        <v>2341</v>
      </c>
      <c r="L727" s="666"/>
      <c r="M727" s="666"/>
      <c r="N727" s="666"/>
      <c r="O727" s="666"/>
      <c r="P727" s="666"/>
      <c r="Q727" s="666"/>
      <c r="R727" s="666"/>
      <c r="S727" s="666"/>
      <c r="T727" s="666"/>
      <c r="U727" s="666"/>
      <c r="V727" s="666"/>
      <c r="W727" s="666"/>
      <c r="X727" s="666"/>
      <c r="Y727" s="666"/>
      <c r="Z727" s="666"/>
      <c r="AA727" s="666"/>
      <c r="AB727" s="666"/>
      <c r="AC727" s="666"/>
      <c r="AD727" s="666"/>
      <c r="AE727" s="666"/>
      <c r="AF727" s="666"/>
      <c r="AG727" s="666"/>
      <c r="AH727" s="666"/>
      <c r="AI727" s="666"/>
      <c r="AJ727" s="666"/>
      <c r="AK727" s="666"/>
      <c r="AL727" s="666"/>
      <c r="AM727" s="666"/>
      <c r="AN727" s="666"/>
      <c r="AO727" s="666"/>
      <c r="AP727" s="666"/>
      <c r="AQ727" s="666"/>
      <c r="AR727" s="666"/>
      <c r="AS727" s="666"/>
      <c r="AT727" s="666"/>
      <c r="AU727" s="666"/>
    </row>
    <row r="728" ht="15.75" customHeight="1">
      <c r="A728" s="713">
        <v>44531.0</v>
      </c>
      <c r="B728" s="808" t="s">
        <v>6547</v>
      </c>
      <c r="C728" s="715" t="s">
        <v>98</v>
      </c>
      <c r="D728" s="641" t="s">
        <v>5038</v>
      </c>
      <c r="E728" s="716">
        <v>200000.0</v>
      </c>
      <c r="F728" s="750" t="s">
        <v>3772</v>
      </c>
      <c r="G728" s="626" t="s">
        <v>669</v>
      </c>
      <c r="H728" s="816" t="s">
        <v>199</v>
      </c>
      <c r="I728" s="816" t="s">
        <v>669</v>
      </c>
      <c r="J728" s="817">
        <v>44235.0</v>
      </c>
      <c r="K728" s="750" t="s">
        <v>2341</v>
      </c>
      <c r="L728" s="666"/>
      <c r="M728" s="666"/>
      <c r="N728" s="666"/>
      <c r="O728" s="666"/>
      <c r="P728" s="666"/>
      <c r="Q728" s="666"/>
      <c r="R728" s="666"/>
      <c r="S728" s="666"/>
      <c r="T728" s="666"/>
      <c r="U728" s="666"/>
      <c r="V728" s="666"/>
      <c r="W728" s="666"/>
      <c r="X728" s="666"/>
      <c r="Y728" s="666"/>
      <c r="Z728" s="666"/>
      <c r="AA728" s="666"/>
      <c r="AB728" s="666"/>
      <c r="AC728" s="666"/>
      <c r="AD728" s="666"/>
      <c r="AE728" s="666"/>
      <c r="AF728" s="666"/>
      <c r="AG728" s="666"/>
      <c r="AH728" s="666"/>
      <c r="AI728" s="666"/>
      <c r="AJ728" s="666"/>
      <c r="AK728" s="666"/>
      <c r="AL728" s="666"/>
      <c r="AM728" s="666"/>
      <c r="AN728" s="666"/>
      <c r="AO728" s="666"/>
      <c r="AP728" s="666"/>
      <c r="AQ728" s="666"/>
      <c r="AR728" s="666"/>
      <c r="AS728" s="666"/>
      <c r="AT728" s="666"/>
      <c r="AU728" s="666"/>
    </row>
    <row r="729" ht="15.75" customHeight="1">
      <c r="A729" s="713">
        <v>44532.0</v>
      </c>
      <c r="B729" s="714" t="s">
        <v>6572</v>
      </c>
      <c r="C729" s="715" t="s">
        <v>2346</v>
      </c>
      <c r="D729" s="641" t="s">
        <v>5038</v>
      </c>
      <c r="E729" s="716">
        <v>500.0</v>
      </c>
      <c r="F729" s="641" t="s">
        <v>2122</v>
      </c>
      <c r="G729" s="667" t="s">
        <v>120</v>
      </c>
      <c r="H729" s="667" t="s">
        <v>91</v>
      </c>
      <c r="I729" s="667" t="s">
        <v>521</v>
      </c>
      <c r="J729" s="667">
        <v>44263.0</v>
      </c>
      <c r="K729" s="667" t="s">
        <v>2341</v>
      </c>
      <c r="L729" s="666"/>
      <c r="M729" s="666"/>
      <c r="N729" s="666"/>
      <c r="O729" s="666"/>
      <c r="P729" s="666"/>
      <c r="Q729" s="666"/>
      <c r="R729" s="666"/>
      <c r="S729" s="666"/>
      <c r="T729" s="666"/>
      <c r="U729" s="666"/>
      <c r="V729" s="666"/>
      <c r="W729" s="666"/>
      <c r="X729" s="666"/>
      <c r="Y729" s="666"/>
      <c r="Z729" s="666"/>
      <c r="AA729" s="666"/>
      <c r="AB729" s="666"/>
      <c r="AC729" s="666"/>
      <c r="AD729" s="666"/>
      <c r="AE729" s="666"/>
      <c r="AF729" s="666"/>
      <c r="AG729" s="666"/>
      <c r="AH729" s="666"/>
      <c r="AI729" s="666"/>
      <c r="AJ729" s="666"/>
      <c r="AK729" s="666"/>
      <c r="AL729" s="666"/>
      <c r="AM729" s="666"/>
      <c r="AN729" s="666"/>
      <c r="AO729" s="666"/>
      <c r="AP729" s="666"/>
      <c r="AQ729" s="666"/>
      <c r="AR729" s="666"/>
      <c r="AS729" s="666"/>
      <c r="AT729" s="666"/>
      <c r="AU729" s="666"/>
    </row>
    <row r="730" ht="15.75" customHeight="1">
      <c r="A730" s="713">
        <v>44532.0</v>
      </c>
      <c r="B730" s="714" t="s">
        <v>6211</v>
      </c>
      <c r="C730" s="715" t="s">
        <v>2346</v>
      </c>
      <c r="D730" s="641" t="s">
        <v>5038</v>
      </c>
      <c r="E730" s="716">
        <v>10000.0</v>
      </c>
      <c r="F730" s="641" t="s">
        <v>6214</v>
      </c>
      <c r="G730" s="667" t="s">
        <v>120</v>
      </c>
      <c r="H730" s="667" t="s">
        <v>91</v>
      </c>
      <c r="I730" s="667" t="s">
        <v>193</v>
      </c>
      <c r="J730" s="667">
        <v>44322.0</v>
      </c>
      <c r="K730" s="667" t="s">
        <v>2341</v>
      </c>
      <c r="L730" s="666"/>
      <c r="M730" s="666"/>
      <c r="N730" s="666"/>
      <c r="O730" s="666"/>
      <c r="P730" s="666"/>
      <c r="Q730" s="666"/>
      <c r="R730" s="666"/>
      <c r="S730" s="666"/>
      <c r="T730" s="666"/>
      <c r="U730" s="666"/>
      <c r="V730" s="666"/>
      <c r="W730" s="666"/>
      <c r="X730" s="666"/>
      <c r="Y730" s="666"/>
      <c r="Z730" s="666"/>
      <c r="AA730" s="666"/>
      <c r="AB730" s="666"/>
      <c r="AC730" s="666"/>
      <c r="AD730" s="666"/>
      <c r="AE730" s="666"/>
      <c r="AF730" s="666"/>
      <c r="AG730" s="666"/>
      <c r="AH730" s="666"/>
      <c r="AI730" s="666"/>
      <c r="AJ730" s="666"/>
      <c r="AK730" s="666"/>
      <c r="AL730" s="666"/>
      <c r="AM730" s="666"/>
      <c r="AN730" s="666"/>
      <c r="AO730" s="666"/>
      <c r="AP730" s="666"/>
      <c r="AQ730" s="666"/>
      <c r="AR730" s="666"/>
      <c r="AS730" s="666"/>
      <c r="AT730" s="666"/>
      <c r="AU730" s="666"/>
    </row>
    <row r="731" ht="15.75" customHeight="1">
      <c r="A731" s="713">
        <v>44532.0</v>
      </c>
      <c r="B731" s="714" t="s">
        <v>5065</v>
      </c>
      <c r="C731" s="715" t="s">
        <v>2346</v>
      </c>
      <c r="D731" s="641" t="s">
        <v>5038</v>
      </c>
      <c r="E731" s="716">
        <v>25000.0</v>
      </c>
      <c r="F731" s="641" t="s">
        <v>5066</v>
      </c>
      <c r="G731" s="667" t="s">
        <v>669</v>
      </c>
      <c r="H731" s="667" t="s">
        <v>199</v>
      </c>
      <c r="I731" s="667" t="s">
        <v>1228</v>
      </c>
      <c r="J731" s="667">
        <v>43703.0</v>
      </c>
      <c r="K731" s="667" t="s">
        <v>4383</v>
      </c>
      <c r="L731" s="666"/>
      <c r="M731" s="666"/>
      <c r="N731" s="666"/>
      <c r="O731" s="666"/>
      <c r="P731" s="666"/>
      <c r="Q731" s="666"/>
      <c r="R731" s="666"/>
      <c r="S731" s="666"/>
      <c r="T731" s="666"/>
      <c r="U731" s="666"/>
      <c r="V731" s="666"/>
      <c r="W731" s="666"/>
      <c r="X731" s="666"/>
      <c r="Y731" s="666"/>
      <c r="Z731" s="666"/>
      <c r="AA731" s="666"/>
      <c r="AB731" s="666"/>
      <c r="AC731" s="666"/>
      <c r="AD731" s="666"/>
      <c r="AE731" s="666"/>
      <c r="AF731" s="666"/>
      <c r="AG731" s="666"/>
      <c r="AH731" s="666"/>
      <c r="AI731" s="666"/>
      <c r="AJ731" s="666"/>
      <c r="AK731" s="666"/>
      <c r="AL731" s="666"/>
      <c r="AM731" s="666"/>
      <c r="AN731" s="666"/>
      <c r="AO731" s="666"/>
      <c r="AP731" s="666"/>
      <c r="AQ731" s="666"/>
      <c r="AR731" s="666"/>
      <c r="AS731" s="666"/>
      <c r="AT731" s="666"/>
      <c r="AU731" s="666"/>
    </row>
    <row r="732" ht="15.75" customHeight="1">
      <c r="A732" s="713">
        <v>44536.0</v>
      </c>
      <c r="B732" s="714" t="s">
        <v>5178</v>
      </c>
      <c r="C732" s="715" t="s">
        <v>2346</v>
      </c>
      <c r="D732" s="641" t="s">
        <v>5038</v>
      </c>
      <c r="E732" s="716">
        <v>6000.0</v>
      </c>
      <c r="F732" s="641" t="s">
        <v>5180</v>
      </c>
      <c r="G732" s="667" t="s">
        <v>669</v>
      </c>
      <c r="H732" s="667" t="s">
        <v>199</v>
      </c>
      <c r="I732" s="667" t="s">
        <v>1228</v>
      </c>
      <c r="J732" s="667">
        <v>43717.0</v>
      </c>
      <c r="K732" s="667" t="s">
        <v>4383</v>
      </c>
      <c r="L732" s="666"/>
      <c r="M732" s="666"/>
      <c r="N732" s="666"/>
      <c r="O732" s="666"/>
      <c r="P732" s="666"/>
      <c r="Q732" s="666"/>
      <c r="R732" s="666"/>
      <c r="S732" s="666"/>
      <c r="T732" s="666"/>
      <c r="U732" s="666"/>
      <c r="V732" s="666"/>
      <c r="W732" s="666"/>
      <c r="X732" s="666"/>
      <c r="Y732" s="666"/>
      <c r="Z732" s="666"/>
      <c r="AA732" s="666"/>
      <c r="AB732" s="666"/>
      <c r="AC732" s="666"/>
      <c r="AD732" s="666"/>
      <c r="AE732" s="666"/>
      <c r="AF732" s="666"/>
      <c r="AG732" s="666"/>
      <c r="AH732" s="666"/>
      <c r="AI732" s="666"/>
      <c r="AJ732" s="666"/>
      <c r="AK732" s="666"/>
      <c r="AL732" s="666"/>
      <c r="AM732" s="666"/>
      <c r="AN732" s="666"/>
      <c r="AO732" s="666"/>
      <c r="AP732" s="666"/>
      <c r="AQ732" s="666"/>
      <c r="AR732" s="666"/>
      <c r="AS732" s="666"/>
      <c r="AT732" s="666"/>
      <c r="AU732" s="666"/>
    </row>
    <row r="733" ht="15.75" customHeight="1">
      <c r="A733" s="713">
        <v>44536.0</v>
      </c>
      <c r="B733" s="668" t="s">
        <v>5075</v>
      </c>
      <c r="C733" s="715" t="s">
        <v>2346</v>
      </c>
      <c r="D733" s="641" t="s">
        <v>5038</v>
      </c>
      <c r="E733" s="716">
        <v>12000.0</v>
      </c>
      <c r="F733" s="641" t="s">
        <v>956</v>
      </c>
      <c r="G733" s="667" t="s">
        <v>669</v>
      </c>
      <c r="H733" s="667" t="s">
        <v>199</v>
      </c>
      <c r="I733" s="667" t="s">
        <v>1228</v>
      </c>
      <c r="J733" s="667">
        <v>43605.0</v>
      </c>
      <c r="K733" s="667" t="s">
        <v>2365</v>
      </c>
      <c r="L733" s="666"/>
      <c r="M733" s="666"/>
      <c r="N733" s="666"/>
      <c r="O733" s="666"/>
      <c r="P733" s="666"/>
      <c r="Q733" s="666"/>
      <c r="R733" s="666"/>
      <c r="S733" s="666"/>
      <c r="T733" s="666"/>
      <c r="U733" s="666"/>
      <c r="V733" s="666"/>
      <c r="W733" s="666"/>
      <c r="X733" s="666"/>
      <c r="Y733" s="666"/>
      <c r="Z733" s="666"/>
      <c r="AA733" s="666"/>
      <c r="AB733" s="666"/>
      <c r="AC733" s="666"/>
      <c r="AD733" s="666"/>
      <c r="AE733" s="666"/>
      <c r="AF733" s="666"/>
      <c r="AG733" s="666"/>
      <c r="AH733" s="666"/>
      <c r="AI733" s="666"/>
      <c r="AJ733" s="666"/>
      <c r="AK733" s="666"/>
      <c r="AL733" s="666"/>
      <c r="AM733" s="666"/>
      <c r="AN733" s="666"/>
      <c r="AO733" s="666"/>
      <c r="AP733" s="666"/>
      <c r="AQ733" s="666"/>
      <c r="AR733" s="666"/>
      <c r="AS733" s="666"/>
      <c r="AT733" s="666"/>
      <c r="AU733" s="666"/>
    </row>
    <row r="734" ht="15.75" customHeight="1">
      <c r="A734" s="713">
        <v>44537.0</v>
      </c>
      <c r="B734" s="714" t="s">
        <v>5215</v>
      </c>
      <c r="C734" s="715" t="s">
        <v>2346</v>
      </c>
      <c r="D734" s="641" t="s">
        <v>5038</v>
      </c>
      <c r="E734" s="716">
        <v>100000.0</v>
      </c>
      <c r="F734" s="641" t="s">
        <v>3394</v>
      </c>
      <c r="G734" s="667" t="s">
        <v>669</v>
      </c>
      <c r="H734" s="667" t="s">
        <v>199</v>
      </c>
      <c r="I734" s="667" t="s">
        <v>1228</v>
      </c>
      <c r="J734" s="667">
        <v>43867.0</v>
      </c>
      <c r="K734" s="667" t="s">
        <v>2341</v>
      </c>
      <c r="L734" s="666"/>
      <c r="M734" s="666"/>
      <c r="N734" s="666"/>
      <c r="O734" s="666"/>
      <c r="P734" s="666"/>
      <c r="Q734" s="666"/>
      <c r="R734" s="666"/>
      <c r="S734" s="666"/>
      <c r="T734" s="666"/>
      <c r="U734" s="666"/>
      <c r="V734" s="666"/>
      <c r="W734" s="666"/>
      <c r="X734" s="666"/>
      <c r="Y734" s="666"/>
      <c r="Z734" s="666"/>
      <c r="AA734" s="666"/>
      <c r="AB734" s="666"/>
      <c r="AC734" s="666"/>
      <c r="AD734" s="666"/>
      <c r="AE734" s="666"/>
      <c r="AF734" s="666"/>
      <c r="AG734" s="666"/>
      <c r="AH734" s="666"/>
      <c r="AI734" s="666"/>
      <c r="AJ734" s="666"/>
      <c r="AK734" s="666"/>
      <c r="AL734" s="666"/>
      <c r="AM734" s="666"/>
      <c r="AN734" s="666"/>
      <c r="AO734" s="666"/>
      <c r="AP734" s="666"/>
      <c r="AQ734" s="666"/>
      <c r="AR734" s="666"/>
      <c r="AS734" s="666"/>
      <c r="AT734" s="666"/>
      <c r="AU734" s="666"/>
    </row>
    <row r="735" ht="15.75" customHeight="1">
      <c r="A735" s="713">
        <v>44537.0</v>
      </c>
      <c r="B735" s="714" t="s">
        <v>6768</v>
      </c>
      <c r="C735" s="715" t="s">
        <v>2346</v>
      </c>
      <c r="D735" s="641" t="s">
        <v>5038</v>
      </c>
      <c r="E735" s="716">
        <v>20000.0</v>
      </c>
      <c r="F735" s="641" t="s">
        <v>6769</v>
      </c>
      <c r="G735" s="667" t="s">
        <v>120</v>
      </c>
      <c r="H735" s="667" t="s">
        <v>91</v>
      </c>
      <c r="I735" s="667" t="s">
        <v>521</v>
      </c>
      <c r="J735" s="667">
        <v>44263.0</v>
      </c>
      <c r="K735" s="667" t="s">
        <v>2365</v>
      </c>
      <c r="L735" s="666"/>
      <c r="M735" s="666"/>
      <c r="N735" s="666"/>
      <c r="O735" s="666"/>
      <c r="P735" s="666"/>
      <c r="Q735" s="666"/>
      <c r="R735" s="666"/>
      <c r="S735" s="666"/>
      <c r="T735" s="666"/>
      <c r="U735" s="666"/>
      <c r="V735" s="666"/>
      <c r="W735" s="666"/>
      <c r="X735" s="666"/>
      <c r="Y735" s="666"/>
      <c r="Z735" s="666"/>
      <c r="AA735" s="666"/>
      <c r="AB735" s="666"/>
      <c r="AC735" s="666"/>
      <c r="AD735" s="666"/>
      <c r="AE735" s="666"/>
      <c r="AF735" s="666"/>
      <c r="AG735" s="666"/>
      <c r="AH735" s="666"/>
      <c r="AI735" s="666"/>
      <c r="AJ735" s="666"/>
      <c r="AK735" s="666"/>
      <c r="AL735" s="666"/>
      <c r="AM735" s="666"/>
      <c r="AN735" s="666"/>
      <c r="AO735" s="666"/>
      <c r="AP735" s="666"/>
      <c r="AQ735" s="666"/>
      <c r="AR735" s="666"/>
      <c r="AS735" s="666"/>
      <c r="AT735" s="666"/>
      <c r="AU735" s="666"/>
    </row>
    <row r="736" ht="15.75" customHeight="1">
      <c r="A736" s="713">
        <v>44537.0</v>
      </c>
      <c r="B736" s="714" t="s">
        <v>5183</v>
      </c>
      <c r="C736" s="715" t="s">
        <v>2346</v>
      </c>
      <c r="D736" s="641" t="s">
        <v>5038</v>
      </c>
      <c r="E736" s="716">
        <v>4000.0</v>
      </c>
      <c r="F736" s="641" t="s">
        <v>1460</v>
      </c>
      <c r="G736" s="667" t="s">
        <v>669</v>
      </c>
      <c r="H736" s="667" t="s">
        <v>199</v>
      </c>
      <c r="I736" s="667" t="s">
        <v>1228</v>
      </c>
      <c r="J736" s="667">
        <v>43894.0</v>
      </c>
      <c r="K736" s="667" t="s">
        <v>2365</v>
      </c>
      <c r="L736" s="666"/>
      <c r="M736" s="666"/>
      <c r="N736" s="666"/>
      <c r="O736" s="666"/>
      <c r="P736" s="666"/>
      <c r="Q736" s="666"/>
      <c r="R736" s="666"/>
      <c r="S736" s="666"/>
      <c r="T736" s="666"/>
      <c r="U736" s="666"/>
      <c r="V736" s="666"/>
      <c r="W736" s="666"/>
      <c r="X736" s="666"/>
      <c r="Y736" s="666"/>
      <c r="Z736" s="666"/>
      <c r="AA736" s="666"/>
      <c r="AB736" s="666"/>
      <c r="AC736" s="666"/>
      <c r="AD736" s="666"/>
      <c r="AE736" s="666"/>
      <c r="AF736" s="666"/>
      <c r="AG736" s="666"/>
      <c r="AH736" s="666"/>
      <c r="AI736" s="666"/>
      <c r="AJ736" s="666"/>
      <c r="AK736" s="666"/>
      <c r="AL736" s="666"/>
      <c r="AM736" s="666"/>
      <c r="AN736" s="666"/>
      <c r="AO736" s="666"/>
      <c r="AP736" s="666"/>
      <c r="AQ736" s="666"/>
      <c r="AR736" s="666"/>
      <c r="AS736" s="666"/>
      <c r="AT736" s="666"/>
      <c r="AU736" s="666"/>
    </row>
    <row r="737" ht="15.75" customHeight="1">
      <c r="A737" s="713">
        <v>44537.0</v>
      </c>
      <c r="B737" s="806" t="s">
        <v>6568</v>
      </c>
      <c r="C737" s="715" t="s">
        <v>98</v>
      </c>
      <c r="D737" s="641" t="s">
        <v>694</v>
      </c>
      <c r="E737" s="716">
        <v>165996.78</v>
      </c>
      <c r="F737" s="641" t="s">
        <v>5947</v>
      </c>
      <c r="G737" s="641" t="s">
        <v>255</v>
      </c>
      <c r="H737" s="641" t="s">
        <v>199</v>
      </c>
      <c r="I737" s="764" t="s">
        <v>4771</v>
      </c>
      <c r="J737" s="667">
        <v>44130.0</v>
      </c>
      <c r="K737" s="674" t="s">
        <v>2341</v>
      </c>
      <c r="L737" s="666"/>
      <c r="M737" s="666"/>
      <c r="N737" s="666"/>
      <c r="O737" s="666"/>
      <c r="P737" s="666"/>
      <c r="Q737" s="666"/>
      <c r="R737" s="666"/>
      <c r="S737" s="666"/>
      <c r="T737" s="666"/>
      <c r="U737" s="666"/>
      <c r="V737" s="666"/>
      <c r="W737" s="666"/>
      <c r="X737" s="666"/>
      <c r="Y737" s="666"/>
      <c r="Z737" s="666"/>
      <c r="AA737" s="666"/>
      <c r="AB737" s="666"/>
      <c r="AC737" s="666"/>
      <c r="AD737" s="666"/>
      <c r="AE737" s="666"/>
      <c r="AF737" s="666"/>
      <c r="AG737" s="666"/>
      <c r="AH737" s="666"/>
      <c r="AI737" s="666"/>
      <c r="AJ737" s="666"/>
      <c r="AK737" s="666"/>
      <c r="AL737" s="666"/>
      <c r="AM737" s="666"/>
      <c r="AN737" s="666"/>
      <c r="AO737" s="666"/>
      <c r="AP737" s="666"/>
      <c r="AQ737" s="666"/>
      <c r="AR737" s="666"/>
      <c r="AS737" s="666"/>
      <c r="AT737" s="666"/>
      <c r="AU737" s="666"/>
    </row>
    <row r="738" ht="15.75" customHeight="1">
      <c r="A738" s="713">
        <v>44537.0</v>
      </c>
      <c r="B738" s="806" t="s">
        <v>7094</v>
      </c>
      <c r="C738" s="715" t="s">
        <v>98</v>
      </c>
      <c r="D738" s="641" t="s">
        <v>694</v>
      </c>
      <c r="E738" s="716">
        <v>2049.55</v>
      </c>
      <c r="F738" s="641" t="s">
        <v>4639</v>
      </c>
      <c r="G738" s="641" t="s">
        <v>255</v>
      </c>
      <c r="H738" s="641" t="s">
        <v>199</v>
      </c>
      <c r="I738" s="641" t="s">
        <v>2531</v>
      </c>
      <c r="J738" s="667">
        <v>44075.0</v>
      </c>
      <c r="K738" s="641" t="s">
        <v>2319</v>
      </c>
      <c r="L738" s="666"/>
      <c r="M738" s="666"/>
      <c r="N738" s="666"/>
      <c r="O738" s="666"/>
      <c r="P738" s="666"/>
      <c r="Q738" s="666"/>
      <c r="R738" s="666"/>
      <c r="S738" s="666"/>
      <c r="T738" s="666"/>
      <c r="U738" s="666"/>
      <c r="V738" s="666"/>
      <c r="W738" s="666"/>
      <c r="X738" s="666"/>
      <c r="Y738" s="666"/>
      <c r="Z738" s="666"/>
      <c r="AA738" s="666"/>
      <c r="AB738" s="666"/>
      <c r="AC738" s="666"/>
      <c r="AD738" s="666"/>
      <c r="AE738" s="666"/>
      <c r="AF738" s="666"/>
      <c r="AG738" s="666"/>
      <c r="AH738" s="666"/>
      <c r="AI738" s="666"/>
      <c r="AJ738" s="666"/>
      <c r="AK738" s="666"/>
      <c r="AL738" s="666"/>
      <c r="AM738" s="666"/>
      <c r="AN738" s="666"/>
      <c r="AO738" s="666"/>
      <c r="AP738" s="666"/>
      <c r="AQ738" s="666"/>
      <c r="AR738" s="666"/>
      <c r="AS738" s="666"/>
      <c r="AT738" s="666"/>
      <c r="AU738" s="666"/>
    </row>
    <row r="739" ht="15.75" customHeight="1">
      <c r="A739" s="713">
        <v>44538.0</v>
      </c>
      <c r="B739" s="822">
        <v>6549214.0</v>
      </c>
      <c r="C739" s="715" t="s">
        <v>98</v>
      </c>
      <c r="D739" s="641" t="s">
        <v>5038</v>
      </c>
      <c r="E739" s="716">
        <v>24469.7</v>
      </c>
      <c r="F739" s="641" t="s">
        <v>6096</v>
      </c>
      <c r="G739" s="667" t="s">
        <v>120</v>
      </c>
      <c r="H739" s="667" t="s">
        <v>54</v>
      </c>
      <c r="I739" s="667" t="s">
        <v>4057</v>
      </c>
      <c r="J739" s="667">
        <v>44487.0</v>
      </c>
      <c r="K739" s="667" t="s">
        <v>2341</v>
      </c>
      <c r="L739" s="666"/>
      <c r="M739" s="666"/>
      <c r="N739" s="666"/>
      <c r="O739" s="666"/>
      <c r="P739" s="666"/>
      <c r="Q739" s="666"/>
      <c r="R739" s="666"/>
      <c r="S739" s="666"/>
      <c r="T739" s="666"/>
      <c r="U739" s="666"/>
      <c r="V739" s="666"/>
      <c r="W739" s="666"/>
      <c r="X739" s="666"/>
      <c r="Y739" s="666"/>
      <c r="Z739" s="666"/>
      <c r="AA739" s="666"/>
      <c r="AB739" s="666"/>
      <c r="AC739" s="666"/>
      <c r="AD739" s="666"/>
      <c r="AE739" s="666"/>
      <c r="AF739" s="666"/>
      <c r="AG739" s="666"/>
      <c r="AH739" s="666"/>
      <c r="AI739" s="666"/>
      <c r="AJ739" s="666"/>
      <c r="AK739" s="666"/>
      <c r="AL739" s="666"/>
      <c r="AM739" s="666"/>
      <c r="AN739" s="666"/>
      <c r="AO739" s="666"/>
      <c r="AP739" s="666"/>
      <c r="AQ739" s="666"/>
      <c r="AR739" s="666"/>
      <c r="AS739" s="666"/>
      <c r="AT739" s="666"/>
      <c r="AU739" s="666"/>
    </row>
    <row r="740" ht="15.75" customHeight="1">
      <c r="A740" s="713">
        <v>44540.0</v>
      </c>
      <c r="B740" s="714" t="s">
        <v>6215</v>
      </c>
      <c r="C740" s="715" t="s">
        <v>2346</v>
      </c>
      <c r="D740" s="641" t="s">
        <v>5038</v>
      </c>
      <c r="E740" s="716">
        <v>10000.0</v>
      </c>
      <c r="F740" s="641" t="s">
        <v>5675</v>
      </c>
      <c r="G740" s="667" t="s">
        <v>120</v>
      </c>
      <c r="H740" s="667" t="s">
        <v>91</v>
      </c>
      <c r="I740" s="667" t="s">
        <v>699</v>
      </c>
      <c r="J740" s="667">
        <v>44266.0</v>
      </c>
      <c r="K740" s="667" t="s">
        <v>2365</v>
      </c>
      <c r="L740" s="666"/>
      <c r="M740" s="666"/>
      <c r="N740" s="666"/>
      <c r="O740" s="666"/>
      <c r="P740" s="666"/>
      <c r="Q740" s="666"/>
      <c r="R740" s="666"/>
      <c r="S740" s="666"/>
      <c r="T740" s="666"/>
      <c r="U740" s="666"/>
      <c r="V740" s="666"/>
      <c r="W740" s="666"/>
      <c r="X740" s="666"/>
      <c r="Y740" s="666"/>
      <c r="Z740" s="666"/>
      <c r="AA740" s="666"/>
      <c r="AB740" s="666"/>
      <c r="AC740" s="666"/>
      <c r="AD740" s="666"/>
      <c r="AE740" s="666"/>
      <c r="AF740" s="666"/>
      <c r="AG740" s="666"/>
      <c r="AH740" s="666"/>
      <c r="AI740" s="666"/>
      <c r="AJ740" s="666"/>
      <c r="AK740" s="666"/>
      <c r="AL740" s="666"/>
      <c r="AM740" s="666"/>
      <c r="AN740" s="666"/>
      <c r="AO740" s="666"/>
      <c r="AP740" s="666"/>
      <c r="AQ740" s="666"/>
      <c r="AR740" s="666"/>
      <c r="AS740" s="666"/>
      <c r="AT740" s="666"/>
      <c r="AU740" s="666"/>
    </row>
    <row r="741" ht="15.75" customHeight="1">
      <c r="A741" s="713">
        <v>44543.0</v>
      </c>
      <c r="B741" s="806" t="s">
        <v>7202</v>
      </c>
      <c r="C741" s="715" t="s">
        <v>98</v>
      </c>
      <c r="D741" s="641" t="s">
        <v>694</v>
      </c>
      <c r="E741" s="716">
        <v>79069.9</v>
      </c>
      <c r="F741" s="641" t="s">
        <v>6776</v>
      </c>
      <c r="G741" s="641" t="s">
        <v>669</v>
      </c>
      <c r="H741" s="641" t="s">
        <v>199</v>
      </c>
      <c r="I741" s="641" t="s">
        <v>669</v>
      </c>
      <c r="J741" s="667">
        <v>44151.0</v>
      </c>
      <c r="K741" s="641" t="s">
        <v>2341</v>
      </c>
      <c r="L741" s="666"/>
      <c r="M741" s="666"/>
      <c r="N741" s="666"/>
      <c r="O741" s="666"/>
      <c r="P741" s="666"/>
      <c r="Q741" s="666"/>
      <c r="R741" s="666"/>
      <c r="S741" s="666"/>
      <c r="T741" s="666"/>
      <c r="U741" s="666"/>
      <c r="V741" s="666"/>
      <c r="W741" s="666"/>
      <c r="X741" s="666"/>
      <c r="Y741" s="666"/>
      <c r="Z741" s="666"/>
      <c r="AA741" s="666"/>
      <c r="AB741" s="666"/>
      <c r="AC741" s="666"/>
      <c r="AD741" s="666"/>
      <c r="AE741" s="666"/>
      <c r="AF741" s="666"/>
      <c r="AG741" s="666"/>
      <c r="AH741" s="666"/>
      <c r="AI741" s="666"/>
      <c r="AJ741" s="666"/>
      <c r="AK741" s="666"/>
      <c r="AL741" s="666"/>
      <c r="AM741" s="666"/>
      <c r="AN741" s="666"/>
      <c r="AO741" s="666"/>
      <c r="AP741" s="666"/>
      <c r="AQ741" s="666"/>
      <c r="AR741" s="666"/>
      <c r="AS741" s="666"/>
      <c r="AT741" s="666"/>
      <c r="AU741" s="666"/>
    </row>
    <row r="742" ht="15.75" customHeight="1">
      <c r="A742" s="713">
        <v>44543.0</v>
      </c>
      <c r="B742" s="714" t="s">
        <v>7442</v>
      </c>
      <c r="C742" s="715" t="s">
        <v>2346</v>
      </c>
      <c r="D742" s="641" t="s">
        <v>5038</v>
      </c>
      <c r="E742" s="716">
        <v>104000.0</v>
      </c>
      <c r="F742" s="641" t="s">
        <v>5848</v>
      </c>
      <c r="G742" s="667" t="s">
        <v>120</v>
      </c>
      <c r="H742" s="667" t="s">
        <v>91</v>
      </c>
      <c r="I742" s="667" t="s">
        <v>521</v>
      </c>
      <c r="J742" s="667">
        <v>44263.0</v>
      </c>
      <c r="K742" s="667" t="s">
        <v>2341</v>
      </c>
      <c r="L742" s="666"/>
      <c r="M742" s="666"/>
      <c r="N742" s="666"/>
      <c r="O742" s="666"/>
      <c r="P742" s="666"/>
      <c r="Q742" s="666"/>
      <c r="R742" s="666"/>
      <c r="S742" s="666"/>
      <c r="T742" s="666"/>
      <c r="U742" s="666"/>
      <c r="V742" s="666"/>
      <c r="W742" s="666"/>
      <c r="X742" s="666"/>
      <c r="Y742" s="666"/>
      <c r="Z742" s="666"/>
      <c r="AA742" s="666"/>
      <c r="AB742" s="666"/>
      <c r="AC742" s="666"/>
      <c r="AD742" s="666"/>
      <c r="AE742" s="666"/>
      <c r="AF742" s="666"/>
      <c r="AG742" s="666"/>
      <c r="AH742" s="666"/>
      <c r="AI742" s="666"/>
      <c r="AJ742" s="666"/>
      <c r="AK742" s="666"/>
      <c r="AL742" s="666"/>
      <c r="AM742" s="666"/>
      <c r="AN742" s="666"/>
      <c r="AO742" s="666"/>
      <c r="AP742" s="666"/>
      <c r="AQ742" s="666"/>
      <c r="AR742" s="666"/>
      <c r="AS742" s="666"/>
      <c r="AT742" s="666"/>
      <c r="AU742" s="666"/>
    </row>
    <row r="743" ht="15.75" customHeight="1">
      <c r="A743" s="713">
        <v>44544.0</v>
      </c>
      <c r="B743" s="714" t="s">
        <v>7459</v>
      </c>
      <c r="C743" s="715" t="s">
        <v>98</v>
      </c>
      <c r="D743" s="641" t="s">
        <v>427</v>
      </c>
      <c r="E743" s="716">
        <v>47268.23</v>
      </c>
      <c r="F743" s="641" t="s">
        <v>6213</v>
      </c>
      <c r="G743" s="641" t="s">
        <v>669</v>
      </c>
      <c r="H743" s="641" t="s">
        <v>199</v>
      </c>
      <c r="I743" s="641" t="s">
        <v>669</v>
      </c>
      <c r="J743" s="667">
        <v>44734.0</v>
      </c>
      <c r="K743" s="641" t="s">
        <v>2341</v>
      </c>
      <c r="L743" s="666"/>
      <c r="M743" s="666"/>
      <c r="N743" s="666"/>
      <c r="O743" s="666"/>
      <c r="P743" s="666"/>
      <c r="Q743" s="666"/>
      <c r="R743" s="666"/>
      <c r="S743" s="666"/>
      <c r="T743" s="666"/>
      <c r="U743" s="666"/>
      <c r="V743" s="666"/>
      <c r="W743" s="666"/>
      <c r="X743" s="666"/>
      <c r="Y743" s="666"/>
      <c r="Z743" s="666"/>
      <c r="AA743" s="666"/>
      <c r="AB743" s="666"/>
      <c r="AC743" s="666"/>
      <c r="AD743" s="666"/>
      <c r="AE743" s="666"/>
      <c r="AF743" s="666"/>
      <c r="AG743" s="666"/>
      <c r="AH743" s="666"/>
      <c r="AI743" s="666"/>
      <c r="AJ743" s="666"/>
      <c r="AK743" s="666"/>
      <c r="AL743" s="666"/>
      <c r="AM743" s="666"/>
      <c r="AN743" s="666"/>
      <c r="AO743" s="666"/>
      <c r="AP743" s="666"/>
      <c r="AQ743" s="666"/>
      <c r="AR743" s="666"/>
      <c r="AS743" s="666"/>
      <c r="AT743" s="666"/>
      <c r="AU743" s="666"/>
    </row>
    <row r="744" ht="15.75" customHeight="1">
      <c r="A744" s="713">
        <v>44544.0</v>
      </c>
      <c r="B744" s="808" t="s">
        <v>5796</v>
      </c>
      <c r="C744" s="715" t="s">
        <v>98</v>
      </c>
      <c r="D744" s="641" t="s">
        <v>5038</v>
      </c>
      <c r="E744" s="716">
        <v>5000.0</v>
      </c>
      <c r="F744" s="641" t="s">
        <v>2563</v>
      </c>
      <c r="G744" s="641" t="s">
        <v>669</v>
      </c>
      <c r="H744" s="641" t="s">
        <v>199</v>
      </c>
      <c r="I744" s="641" t="s">
        <v>669</v>
      </c>
      <c r="J744" s="667">
        <v>44180.0</v>
      </c>
      <c r="K744" s="641" t="s">
        <v>2341</v>
      </c>
      <c r="L744" s="666"/>
      <c r="M744" s="666"/>
      <c r="N744" s="666"/>
      <c r="O744" s="666"/>
      <c r="P744" s="666"/>
      <c r="Q744" s="666"/>
      <c r="R744" s="666"/>
      <c r="S744" s="666"/>
      <c r="T744" s="666"/>
      <c r="U744" s="666"/>
      <c r="V744" s="666"/>
      <c r="W744" s="666"/>
      <c r="X744" s="666"/>
      <c r="Y744" s="666"/>
      <c r="Z744" s="666"/>
      <c r="AA744" s="666"/>
      <c r="AB744" s="666"/>
      <c r="AC744" s="666"/>
      <c r="AD744" s="666"/>
      <c r="AE744" s="666"/>
      <c r="AF744" s="666"/>
      <c r="AG744" s="666"/>
      <c r="AH744" s="666"/>
      <c r="AI744" s="666"/>
      <c r="AJ744" s="666"/>
      <c r="AK744" s="666"/>
      <c r="AL744" s="666"/>
      <c r="AM744" s="666"/>
      <c r="AN744" s="666"/>
      <c r="AO744" s="666"/>
      <c r="AP744" s="666"/>
      <c r="AQ744" s="666"/>
      <c r="AR744" s="666"/>
      <c r="AS744" s="666"/>
      <c r="AT744" s="666"/>
      <c r="AU744" s="666"/>
    </row>
    <row r="745" ht="15.75" customHeight="1">
      <c r="A745" s="713">
        <v>44544.0</v>
      </c>
      <c r="B745" s="714" t="s">
        <v>5716</v>
      </c>
      <c r="C745" s="715" t="s">
        <v>2346</v>
      </c>
      <c r="D745" s="641" t="s">
        <v>5038</v>
      </c>
      <c r="E745" s="716">
        <v>5000.0</v>
      </c>
      <c r="F745" s="641" t="s">
        <v>1085</v>
      </c>
      <c r="G745" s="667" t="s">
        <v>120</v>
      </c>
      <c r="H745" s="667" t="s">
        <v>91</v>
      </c>
      <c r="I745" s="667" t="s">
        <v>521</v>
      </c>
      <c r="J745" s="667">
        <v>44295.0</v>
      </c>
      <c r="K745" s="667" t="s">
        <v>2356</v>
      </c>
      <c r="L745" s="666"/>
      <c r="M745" s="666"/>
      <c r="N745" s="666"/>
      <c r="O745" s="666"/>
      <c r="P745" s="666"/>
      <c r="Q745" s="666"/>
      <c r="R745" s="666"/>
      <c r="S745" s="666"/>
      <c r="T745" s="666"/>
      <c r="U745" s="666"/>
      <c r="V745" s="666"/>
      <c r="W745" s="666"/>
      <c r="X745" s="666"/>
      <c r="Y745" s="666"/>
      <c r="Z745" s="666"/>
      <c r="AA745" s="666"/>
      <c r="AB745" s="666"/>
      <c r="AC745" s="666"/>
      <c r="AD745" s="666"/>
      <c r="AE745" s="666"/>
      <c r="AF745" s="666"/>
      <c r="AG745" s="666"/>
      <c r="AH745" s="666"/>
      <c r="AI745" s="666"/>
      <c r="AJ745" s="666"/>
      <c r="AK745" s="666"/>
      <c r="AL745" s="666"/>
      <c r="AM745" s="666"/>
      <c r="AN745" s="666"/>
      <c r="AO745" s="666"/>
      <c r="AP745" s="666"/>
      <c r="AQ745" s="666"/>
      <c r="AR745" s="666"/>
      <c r="AS745" s="666"/>
      <c r="AT745" s="666"/>
      <c r="AU745" s="666"/>
    </row>
    <row r="746" ht="15.75" customHeight="1">
      <c r="A746" s="713">
        <v>44545.0</v>
      </c>
      <c r="B746" s="718" t="s">
        <v>5724</v>
      </c>
      <c r="C746" s="715" t="s">
        <v>98</v>
      </c>
      <c r="D746" s="641" t="s">
        <v>5038</v>
      </c>
      <c r="E746" s="716">
        <v>5000.0</v>
      </c>
      <c r="F746" s="641" t="s">
        <v>7466</v>
      </c>
      <c r="G746" s="626" t="s">
        <v>255</v>
      </c>
      <c r="H746" s="816" t="s">
        <v>199</v>
      </c>
      <c r="I746" s="816" t="s">
        <v>2587</v>
      </c>
      <c r="J746" s="817">
        <v>44263.0</v>
      </c>
      <c r="K746" s="641" t="s">
        <v>2341</v>
      </c>
      <c r="L746" s="666"/>
      <c r="M746" s="666"/>
      <c r="N746" s="666"/>
      <c r="O746" s="666"/>
      <c r="P746" s="666"/>
      <c r="Q746" s="666"/>
      <c r="R746" s="666"/>
      <c r="S746" s="666"/>
      <c r="T746" s="666"/>
      <c r="U746" s="666"/>
      <c r="V746" s="666"/>
      <c r="W746" s="666"/>
      <c r="X746" s="666"/>
      <c r="Y746" s="666"/>
      <c r="Z746" s="666"/>
      <c r="AA746" s="666"/>
      <c r="AB746" s="666"/>
      <c r="AC746" s="666"/>
      <c r="AD746" s="666"/>
      <c r="AE746" s="666"/>
      <c r="AF746" s="666"/>
      <c r="AG746" s="666"/>
      <c r="AH746" s="666"/>
      <c r="AI746" s="666"/>
      <c r="AJ746" s="666"/>
      <c r="AK746" s="666"/>
      <c r="AL746" s="666"/>
      <c r="AM746" s="666"/>
      <c r="AN746" s="666"/>
      <c r="AO746" s="666"/>
      <c r="AP746" s="666"/>
      <c r="AQ746" s="666"/>
      <c r="AR746" s="666"/>
      <c r="AS746" s="666"/>
      <c r="AT746" s="666"/>
      <c r="AU746" s="666"/>
    </row>
    <row r="747" ht="15.75" customHeight="1">
      <c r="A747" s="713">
        <v>44545.0</v>
      </c>
      <c r="B747" s="807" t="s">
        <v>7472</v>
      </c>
      <c r="C747" s="715" t="s">
        <v>98</v>
      </c>
      <c r="D747" s="641" t="s">
        <v>694</v>
      </c>
      <c r="E747" s="716">
        <v>110068.61</v>
      </c>
      <c r="F747" s="641" t="s">
        <v>6584</v>
      </c>
      <c r="G747" s="641" t="s">
        <v>120</v>
      </c>
      <c r="H747" s="641" t="s">
        <v>54</v>
      </c>
      <c r="I747" s="641" t="s">
        <v>379</v>
      </c>
      <c r="J747" s="667">
        <v>44369.0</v>
      </c>
      <c r="K747" s="641" t="s">
        <v>2372</v>
      </c>
      <c r="L747" s="666"/>
      <c r="M747" s="666"/>
      <c r="N747" s="666"/>
      <c r="O747" s="666"/>
      <c r="P747" s="666"/>
      <c r="Q747" s="666"/>
      <c r="R747" s="666"/>
      <c r="S747" s="666"/>
      <c r="T747" s="666"/>
      <c r="U747" s="666"/>
      <c r="V747" s="666"/>
      <c r="W747" s="666"/>
      <c r="X747" s="666"/>
      <c r="Y747" s="666"/>
      <c r="Z747" s="666"/>
      <c r="AA747" s="666"/>
      <c r="AB747" s="666"/>
      <c r="AC747" s="666"/>
      <c r="AD747" s="666"/>
      <c r="AE747" s="666"/>
      <c r="AF747" s="666"/>
      <c r="AG747" s="666"/>
      <c r="AH747" s="666"/>
      <c r="AI747" s="666"/>
      <c r="AJ747" s="666"/>
      <c r="AK747" s="666"/>
      <c r="AL747" s="666"/>
      <c r="AM747" s="666"/>
      <c r="AN747" s="666"/>
      <c r="AO747" s="666"/>
      <c r="AP747" s="666"/>
      <c r="AQ747" s="666"/>
      <c r="AR747" s="666"/>
      <c r="AS747" s="666"/>
      <c r="AT747" s="666"/>
      <c r="AU747" s="666"/>
    </row>
    <row r="748" ht="15.75" customHeight="1">
      <c r="A748" s="713">
        <v>44545.0</v>
      </c>
      <c r="B748" s="714" t="s">
        <v>7473</v>
      </c>
      <c r="C748" s="715" t="s">
        <v>2346</v>
      </c>
      <c r="D748" s="641" t="s">
        <v>5038</v>
      </c>
      <c r="E748" s="716">
        <v>114749.72</v>
      </c>
      <c r="F748" s="641" t="s">
        <v>5978</v>
      </c>
      <c r="G748" s="667" t="s">
        <v>120</v>
      </c>
      <c r="H748" s="667" t="s">
        <v>91</v>
      </c>
      <c r="I748" s="667" t="s">
        <v>193</v>
      </c>
      <c r="J748" s="667">
        <v>44321.0</v>
      </c>
      <c r="K748" s="667" t="s">
        <v>2319</v>
      </c>
      <c r="L748" s="666"/>
      <c r="M748" s="666"/>
      <c r="N748" s="666"/>
      <c r="O748" s="666"/>
      <c r="P748" s="666"/>
      <c r="Q748" s="666"/>
      <c r="R748" s="666"/>
      <c r="S748" s="666"/>
      <c r="T748" s="666"/>
      <c r="U748" s="666"/>
      <c r="V748" s="666"/>
      <c r="W748" s="666"/>
      <c r="X748" s="666"/>
      <c r="Y748" s="666"/>
      <c r="Z748" s="666"/>
      <c r="AA748" s="666"/>
      <c r="AB748" s="666"/>
      <c r="AC748" s="666"/>
      <c r="AD748" s="666"/>
      <c r="AE748" s="666"/>
      <c r="AF748" s="666"/>
      <c r="AG748" s="666"/>
      <c r="AH748" s="666"/>
      <c r="AI748" s="666"/>
      <c r="AJ748" s="666"/>
      <c r="AK748" s="666"/>
      <c r="AL748" s="666"/>
      <c r="AM748" s="666"/>
      <c r="AN748" s="666"/>
      <c r="AO748" s="666"/>
      <c r="AP748" s="666"/>
      <c r="AQ748" s="666"/>
      <c r="AR748" s="666"/>
      <c r="AS748" s="666"/>
      <c r="AT748" s="666"/>
      <c r="AU748" s="666"/>
    </row>
    <row r="749" ht="15.75" customHeight="1">
      <c r="A749" s="713">
        <v>44545.0</v>
      </c>
      <c r="B749" s="714" t="s">
        <v>6103</v>
      </c>
      <c r="C749" s="715" t="s">
        <v>2346</v>
      </c>
      <c r="D749" s="641" t="s">
        <v>5038</v>
      </c>
      <c r="E749" s="716">
        <v>30000.0</v>
      </c>
      <c r="F749" s="641" t="s">
        <v>6105</v>
      </c>
      <c r="G749" s="667" t="s">
        <v>120</v>
      </c>
      <c r="H749" s="667" t="s">
        <v>91</v>
      </c>
      <c r="I749" s="667" t="s">
        <v>193</v>
      </c>
      <c r="J749" s="667">
        <v>44279.0</v>
      </c>
      <c r="K749" s="667" t="s">
        <v>2341</v>
      </c>
      <c r="L749" s="666"/>
      <c r="M749" s="666"/>
      <c r="N749" s="666"/>
      <c r="O749" s="666"/>
      <c r="P749" s="666"/>
      <c r="Q749" s="666"/>
      <c r="R749" s="666"/>
      <c r="S749" s="666"/>
      <c r="T749" s="666"/>
      <c r="U749" s="666"/>
      <c r="V749" s="666"/>
      <c r="W749" s="666"/>
      <c r="X749" s="666"/>
      <c r="Y749" s="666"/>
      <c r="Z749" s="666"/>
      <c r="AA749" s="666"/>
      <c r="AB749" s="666"/>
      <c r="AC749" s="666"/>
      <c r="AD749" s="666"/>
      <c r="AE749" s="666"/>
      <c r="AF749" s="666"/>
      <c r="AG749" s="666"/>
      <c r="AH749" s="666"/>
      <c r="AI749" s="666"/>
      <c r="AJ749" s="666"/>
      <c r="AK749" s="666"/>
      <c r="AL749" s="666"/>
      <c r="AM749" s="666"/>
      <c r="AN749" s="666"/>
      <c r="AO749" s="666"/>
      <c r="AP749" s="666"/>
      <c r="AQ749" s="666"/>
      <c r="AR749" s="666"/>
      <c r="AS749" s="666"/>
      <c r="AT749" s="666"/>
      <c r="AU749" s="666"/>
    </row>
    <row r="750" ht="15.75" customHeight="1">
      <c r="A750" s="713">
        <v>44545.0</v>
      </c>
      <c r="B750" s="811" t="s">
        <v>5081</v>
      </c>
      <c r="C750" s="715" t="s">
        <v>2346</v>
      </c>
      <c r="D750" s="641" t="s">
        <v>694</v>
      </c>
      <c r="E750" s="716">
        <v>240263.39</v>
      </c>
      <c r="F750" s="641" t="s">
        <v>4091</v>
      </c>
      <c r="G750" s="667" t="s">
        <v>669</v>
      </c>
      <c r="H750" s="667" t="s">
        <v>199</v>
      </c>
      <c r="I750" s="667" t="s">
        <v>1228</v>
      </c>
      <c r="J750" s="667">
        <v>43822.0</v>
      </c>
      <c r="K750" s="667" t="s">
        <v>2365</v>
      </c>
      <c r="L750" s="666"/>
      <c r="M750" s="666"/>
      <c r="N750" s="666"/>
      <c r="O750" s="666"/>
      <c r="P750" s="666"/>
      <c r="Q750" s="666"/>
      <c r="R750" s="666"/>
      <c r="S750" s="666"/>
      <c r="T750" s="666"/>
      <c r="U750" s="666"/>
      <c r="V750" s="666"/>
      <c r="W750" s="666"/>
      <c r="X750" s="666"/>
      <c r="Y750" s="666"/>
      <c r="Z750" s="666"/>
      <c r="AA750" s="666"/>
      <c r="AB750" s="666"/>
      <c r="AC750" s="666"/>
      <c r="AD750" s="666"/>
      <c r="AE750" s="666"/>
      <c r="AF750" s="666"/>
      <c r="AG750" s="666"/>
      <c r="AH750" s="666"/>
      <c r="AI750" s="666"/>
      <c r="AJ750" s="666"/>
      <c r="AK750" s="666"/>
      <c r="AL750" s="666"/>
      <c r="AM750" s="666"/>
      <c r="AN750" s="666"/>
      <c r="AO750" s="666"/>
      <c r="AP750" s="666"/>
      <c r="AQ750" s="666"/>
      <c r="AR750" s="666"/>
      <c r="AS750" s="666"/>
      <c r="AT750" s="666"/>
      <c r="AU750" s="666"/>
    </row>
    <row r="751" ht="15.75" customHeight="1">
      <c r="A751" s="713">
        <v>44546.0</v>
      </c>
      <c r="B751" s="668" t="s">
        <v>5075</v>
      </c>
      <c r="C751" s="715" t="s">
        <v>2346</v>
      </c>
      <c r="D751" s="641" t="s">
        <v>5038</v>
      </c>
      <c r="E751" s="716">
        <v>5000.0</v>
      </c>
      <c r="F751" s="641" t="s">
        <v>956</v>
      </c>
      <c r="G751" s="667" t="s">
        <v>669</v>
      </c>
      <c r="H751" s="667" t="s">
        <v>199</v>
      </c>
      <c r="I751" s="667" t="s">
        <v>1228</v>
      </c>
      <c r="J751" s="667">
        <v>43605.0</v>
      </c>
      <c r="K751" s="667" t="s">
        <v>2365</v>
      </c>
      <c r="L751" s="666"/>
      <c r="M751" s="666"/>
      <c r="N751" s="666"/>
      <c r="O751" s="666"/>
      <c r="P751" s="666"/>
      <c r="Q751" s="666"/>
      <c r="R751" s="666"/>
      <c r="S751" s="666"/>
      <c r="T751" s="666"/>
      <c r="U751" s="666"/>
      <c r="V751" s="666"/>
      <c r="W751" s="666"/>
      <c r="X751" s="666"/>
      <c r="Y751" s="666"/>
      <c r="Z751" s="666"/>
      <c r="AA751" s="666"/>
      <c r="AB751" s="666"/>
      <c r="AC751" s="666"/>
      <c r="AD751" s="666"/>
      <c r="AE751" s="666"/>
      <c r="AF751" s="666"/>
      <c r="AG751" s="666"/>
      <c r="AH751" s="666"/>
      <c r="AI751" s="666"/>
      <c r="AJ751" s="666"/>
      <c r="AK751" s="666"/>
      <c r="AL751" s="666"/>
      <c r="AM751" s="666"/>
      <c r="AN751" s="666"/>
      <c r="AO751" s="666"/>
      <c r="AP751" s="666"/>
      <c r="AQ751" s="666"/>
      <c r="AR751" s="666"/>
      <c r="AS751" s="666"/>
      <c r="AT751" s="666"/>
      <c r="AU751" s="666"/>
    </row>
    <row r="752" ht="15.75" customHeight="1">
      <c r="A752" s="713">
        <v>44547.0</v>
      </c>
      <c r="B752" s="714" t="s">
        <v>6371</v>
      </c>
      <c r="C752" s="715" t="s">
        <v>2346</v>
      </c>
      <c r="D752" s="641" t="s">
        <v>5038</v>
      </c>
      <c r="E752" s="716">
        <v>5000.0</v>
      </c>
      <c r="F752" s="641" t="s">
        <v>5624</v>
      </c>
      <c r="G752" s="667" t="s">
        <v>120</v>
      </c>
      <c r="H752" s="667" t="s">
        <v>91</v>
      </c>
      <c r="I752" s="667" t="s">
        <v>521</v>
      </c>
      <c r="J752" s="667">
        <v>44280.0</v>
      </c>
      <c r="K752" s="667" t="s">
        <v>2356</v>
      </c>
      <c r="L752" s="666"/>
      <c r="M752" s="666"/>
      <c r="N752" s="666"/>
      <c r="O752" s="666"/>
      <c r="P752" s="666"/>
      <c r="Q752" s="666"/>
      <c r="R752" s="666"/>
      <c r="S752" s="666"/>
      <c r="T752" s="666"/>
      <c r="U752" s="666"/>
      <c r="V752" s="666"/>
      <c r="W752" s="666"/>
      <c r="X752" s="666"/>
      <c r="Y752" s="666"/>
      <c r="Z752" s="666"/>
      <c r="AA752" s="666"/>
      <c r="AB752" s="666"/>
      <c r="AC752" s="666"/>
      <c r="AD752" s="666"/>
      <c r="AE752" s="666"/>
      <c r="AF752" s="666"/>
      <c r="AG752" s="666"/>
      <c r="AH752" s="666"/>
      <c r="AI752" s="666"/>
      <c r="AJ752" s="666"/>
      <c r="AK752" s="666"/>
      <c r="AL752" s="666"/>
      <c r="AM752" s="666"/>
      <c r="AN752" s="666"/>
      <c r="AO752" s="666"/>
      <c r="AP752" s="666"/>
      <c r="AQ752" s="666"/>
      <c r="AR752" s="666"/>
      <c r="AS752" s="666"/>
      <c r="AT752" s="666"/>
      <c r="AU752" s="666"/>
    </row>
    <row r="753" ht="15.75" customHeight="1">
      <c r="A753" s="713">
        <v>44551.0</v>
      </c>
      <c r="B753" s="811" t="s">
        <v>5215</v>
      </c>
      <c r="C753" s="715" t="s">
        <v>2346</v>
      </c>
      <c r="D753" s="641" t="s">
        <v>694</v>
      </c>
      <c r="E753" s="716">
        <v>840387.52</v>
      </c>
      <c r="F753" s="641" t="s">
        <v>3394</v>
      </c>
      <c r="G753" s="667" t="s">
        <v>669</v>
      </c>
      <c r="H753" s="667" t="s">
        <v>199</v>
      </c>
      <c r="I753" s="667" t="s">
        <v>1228</v>
      </c>
      <c r="J753" s="667">
        <v>43867.0</v>
      </c>
      <c r="K753" s="667" t="s">
        <v>2341</v>
      </c>
      <c r="L753" s="666"/>
      <c r="M753" s="666"/>
      <c r="N753" s="666"/>
      <c r="O753" s="666"/>
      <c r="P753" s="666"/>
      <c r="Q753" s="666"/>
      <c r="R753" s="666"/>
      <c r="S753" s="666"/>
      <c r="T753" s="666"/>
      <c r="U753" s="666"/>
      <c r="V753" s="666"/>
      <c r="W753" s="666"/>
      <c r="X753" s="666"/>
      <c r="Y753" s="666"/>
      <c r="Z753" s="666"/>
      <c r="AA753" s="666"/>
      <c r="AB753" s="666"/>
      <c r="AC753" s="666"/>
      <c r="AD753" s="666"/>
      <c r="AE753" s="666"/>
      <c r="AF753" s="666"/>
      <c r="AG753" s="666"/>
      <c r="AH753" s="666"/>
      <c r="AI753" s="666"/>
      <c r="AJ753" s="666"/>
      <c r="AK753" s="666"/>
      <c r="AL753" s="666"/>
      <c r="AM753" s="666"/>
      <c r="AN753" s="666"/>
      <c r="AO753" s="666"/>
      <c r="AP753" s="666"/>
      <c r="AQ753" s="666"/>
      <c r="AR753" s="666"/>
      <c r="AS753" s="666"/>
      <c r="AT753" s="666"/>
      <c r="AU753" s="666"/>
    </row>
    <row r="754" ht="15.75" customHeight="1">
      <c r="A754" s="713">
        <v>44552.0</v>
      </c>
      <c r="B754" s="714" t="s">
        <v>6558</v>
      </c>
      <c r="C754" s="715" t="s">
        <v>2346</v>
      </c>
      <c r="D754" s="641" t="s">
        <v>5038</v>
      </c>
      <c r="E754" s="716">
        <v>40000.0</v>
      </c>
      <c r="F754" s="641" t="s">
        <v>4142</v>
      </c>
      <c r="G754" s="667" t="s">
        <v>120</v>
      </c>
      <c r="H754" s="667" t="s">
        <v>91</v>
      </c>
      <c r="I754" s="667" t="s">
        <v>521</v>
      </c>
      <c r="J754" s="667">
        <v>44280.0</v>
      </c>
      <c r="K754" s="667" t="s">
        <v>2341</v>
      </c>
      <c r="L754" s="666"/>
      <c r="M754" s="666"/>
      <c r="N754" s="666"/>
      <c r="O754" s="666"/>
      <c r="P754" s="666"/>
      <c r="Q754" s="666"/>
      <c r="R754" s="666"/>
      <c r="S754" s="666"/>
      <c r="T754" s="666"/>
      <c r="U754" s="666"/>
      <c r="V754" s="666"/>
      <c r="W754" s="666"/>
      <c r="X754" s="666"/>
      <c r="Y754" s="666"/>
      <c r="Z754" s="666"/>
      <c r="AA754" s="666"/>
      <c r="AB754" s="666"/>
      <c r="AC754" s="666"/>
      <c r="AD754" s="666"/>
      <c r="AE754" s="666"/>
      <c r="AF754" s="666"/>
      <c r="AG754" s="666"/>
      <c r="AH754" s="666"/>
      <c r="AI754" s="666"/>
      <c r="AJ754" s="666"/>
      <c r="AK754" s="666"/>
      <c r="AL754" s="666"/>
      <c r="AM754" s="666"/>
      <c r="AN754" s="666"/>
      <c r="AO754" s="666"/>
      <c r="AP754" s="666"/>
      <c r="AQ754" s="666"/>
      <c r="AR754" s="666"/>
      <c r="AS754" s="666"/>
      <c r="AT754" s="666"/>
      <c r="AU754" s="666"/>
    </row>
    <row r="755" ht="15.75" customHeight="1">
      <c r="A755" s="713">
        <v>44553.0</v>
      </c>
      <c r="B755" s="804" t="s">
        <v>7488</v>
      </c>
      <c r="C755" s="715" t="s">
        <v>98</v>
      </c>
      <c r="D755" s="641" t="s">
        <v>427</v>
      </c>
      <c r="E755" s="716">
        <v>368899.52</v>
      </c>
      <c r="F755" s="641" t="s">
        <v>6237</v>
      </c>
      <c r="G755" s="641" t="s">
        <v>120</v>
      </c>
      <c r="H755" s="641" t="s">
        <v>54</v>
      </c>
      <c r="I755" s="641" t="s">
        <v>379</v>
      </c>
      <c r="J755" s="667">
        <v>44251.0</v>
      </c>
      <c r="K755" s="641" t="s">
        <v>2341</v>
      </c>
      <c r="L755" s="666"/>
      <c r="M755" s="666"/>
      <c r="N755" s="666"/>
      <c r="O755" s="666"/>
      <c r="P755" s="666"/>
      <c r="Q755" s="666"/>
      <c r="R755" s="666"/>
      <c r="S755" s="666"/>
      <c r="T755" s="666"/>
      <c r="U755" s="666"/>
      <c r="V755" s="666"/>
      <c r="W755" s="666"/>
      <c r="X755" s="666"/>
      <c r="Y755" s="666"/>
      <c r="Z755" s="666"/>
      <c r="AA755" s="666"/>
      <c r="AB755" s="666"/>
      <c r="AC755" s="666"/>
      <c r="AD755" s="666"/>
      <c r="AE755" s="666"/>
      <c r="AF755" s="666"/>
      <c r="AG755" s="666"/>
      <c r="AH755" s="666"/>
      <c r="AI755" s="666"/>
      <c r="AJ755" s="666"/>
      <c r="AK755" s="666"/>
      <c r="AL755" s="666"/>
      <c r="AM755" s="666"/>
      <c r="AN755" s="666"/>
      <c r="AO755" s="666"/>
      <c r="AP755" s="666"/>
      <c r="AQ755" s="666"/>
      <c r="AR755" s="666"/>
      <c r="AS755" s="666"/>
      <c r="AT755" s="666"/>
      <c r="AU755" s="666"/>
    </row>
    <row r="756" ht="15.75" customHeight="1">
      <c r="A756" s="713">
        <v>44553.0</v>
      </c>
      <c r="B756" s="714" t="s">
        <v>6768</v>
      </c>
      <c r="C756" s="715" t="s">
        <v>2346</v>
      </c>
      <c r="D756" s="641" t="s">
        <v>5038</v>
      </c>
      <c r="E756" s="716">
        <v>30000.0</v>
      </c>
      <c r="F756" s="641" t="s">
        <v>6769</v>
      </c>
      <c r="G756" s="667" t="s">
        <v>120</v>
      </c>
      <c r="H756" s="667" t="s">
        <v>91</v>
      </c>
      <c r="I756" s="667" t="s">
        <v>521</v>
      </c>
      <c r="J756" s="667">
        <v>44263.0</v>
      </c>
      <c r="K756" s="667" t="s">
        <v>2365</v>
      </c>
      <c r="L756" s="666"/>
      <c r="M756" s="666"/>
      <c r="N756" s="666"/>
      <c r="O756" s="666"/>
      <c r="P756" s="666"/>
      <c r="Q756" s="666"/>
      <c r="R756" s="666"/>
      <c r="S756" s="666"/>
      <c r="T756" s="666"/>
      <c r="U756" s="666"/>
      <c r="V756" s="666"/>
      <c r="W756" s="666"/>
      <c r="X756" s="666"/>
      <c r="Y756" s="666"/>
      <c r="Z756" s="666"/>
      <c r="AA756" s="666"/>
      <c r="AB756" s="666"/>
      <c r="AC756" s="666"/>
      <c r="AD756" s="666"/>
      <c r="AE756" s="666"/>
      <c r="AF756" s="666"/>
      <c r="AG756" s="666"/>
      <c r="AH756" s="666"/>
      <c r="AI756" s="666"/>
      <c r="AJ756" s="666"/>
      <c r="AK756" s="666"/>
      <c r="AL756" s="666"/>
      <c r="AM756" s="666"/>
      <c r="AN756" s="666"/>
      <c r="AO756" s="666"/>
      <c r="AP756" s="666"/>
      <c r="AQ756" s="666"/>
      <c r="AR756" s="666"/>
      <c r="AS756" s="666"/>
      <c r="AT756" s="666"/>
      <c r="AU756" s="666"/>
    </row>
    <row r="757" ht="15.75" customHeight="1">
      <c r="A757" s="713">
        <v>44553.0</v>
      </c>
      <c r="B757" s="714" t="s">
        <v>7191</v>
      </c>
      <c r="C757" s="715" t="s">
        <v>2346</v>
      </c>
      <c r="D757" s="641" t="s">
        <v>5038</v>
      </c>
      <c r="E757" s="716">
        <v>40000.0</v>
      </c>
      <c r="F757" s="641" t="s">
        <v>6341</v>
      </c>
      <c r="G757" s="667" t="s">
        <v>120</v>
      </c>
      <c r="H757" s="667" t="s">
        <v>91</v>
      </c>
      <c r="I757" s="667" t="s">
        <v>521</v>
      </c>
      <c r="J757" s="667">
        <v>44323.0</v>
      </c>
      <c r="K757" s="667" t="s">
        <v>2452</v>
      </c>
      <c r="L757" s="666"/>
      <c r="M757" s="666"/>
      <c r="N757" s="666"/>
      <c r="O757" s="666"/>
      <c r="P757" s="666"/>
      <c r="Q757" s="666"/>
      <c r="R757" s="666"/>
      <c r="S757" s="666"/>
      <c r="T757" s="666"/>
      <c r="U757" s="666"/>
      <c r="V757" s="666"/>
      <c r="W757" s="666"/>
      <c r="X757" s="666"/>
      <c r="Y757" s="666"/>
      <c r="Z757" s="666"/>
      <c r="AA757" s="666"/>
      <c r="AB757" s="666"/>
      <c r="AC757" s="666"/>
      <c r="AD757" s="666"/>
      <c r="AE757" s="666"/>
      <c r="AF757" s="666"/>
      <c r="AG757" s="666"/>
      <c r="AH757" s="666"/>
      <c r="AI757" s="666"/>
      <c r="AJ757" s="666"/>
      <c r="AK757" s="666"/>
      <c r="AL757" s="666"/>
      <c r="AM757" s="666"/>
      <c r="AN757" s="666"/>
      <c r="AO757" s="666"/>
      <c r="AP757" s="666"/>
      <c r="AQ757" s="666"/>
      <c r="AR757" s="666"/>
      <c r="AS757" s="666"/>
      <c r="AT757" s="666"/>
      <c r="AU757" s="666"/>
    </row>
    <row r="758" ht="15.75" customHeight="1">
      <c r="A758" s="713">
        <v>44553.0</v>
      </c>
      <c r="B758" s="714" t="s">
        <v>6772</v>
      </c>
      <c r="C758" s="715" t="s">
        <v>2346</v>
      </c>
      <c r="D758" s="641" t="s">
        <v>5038</v>
      </c>
      <c r="E758" s="716">
        <v>100000.0</v>
      </c>
      <c r="F758" s="641" t="s">
        <v>547</v>
      </c>
      <c r="G758" s="667" t="s">
        <v>120</v>
      </c>
      <c r="H758" s="667" t="s">
        <v>91</v>
      </c>
      <c r="I758" s="667" t="s">
        <v>521</v>
      </c>
      <c r="J758" s="667">
        <v>44266.0</v>
      </c>
      <c r="K758" s="667" t="s">
        <v>2319</v>
      </c>
      <c r="L758" s="666"/>
      <c r="M758" s="666"/>
      <c r="N758" s="666"/>
      <c r="O758" s="666"/>
      <c r="P758" s="666"/>
      <c r="Q758" s="666"/>
      <c r="R758" s="666"/>
      <c r="S758" s="666"/>
      <c r="T758" s="666"/>
      <c r="U758" s="666"/>
      <c r="V758" s="666"/>
      <c r="W758" s="666"/>
      <c r="X758" s="666"/>
      <c r="Y758" s="666"/>
      <c r="Z758" s="666"/>
      <c r="AA758" s="666"/>
      <c r="AB758" s="666"/>
      <c r="AC758" s="666"/>
      <c r="AD758" s="666"/>
      <c r="AE758" s="666"/>
      <c r="AF758" s="666"/>
      <c r="AG758" s="666"/>
      <c r="AH758" s="666"/>
      <c r="AI758" s="666"/>
      <c r="AJ758" s="666"/>
      <c r="AK758" s="666"/>
      <c r="AL758" s="666"/>
      <c r="AM758" s="666"/>
      <c r="AN758" s="666"/>
      <c r="AO758" s="666"/>
      <c r="AP758" s="666"/>
      <c r="AQ758" s="666"/>
      <c r="AR758" s="666"/>
      <c r="AS758" s="666"/>
      <c r="AT758" s="666"/>
      <c r="AU758" s="666"/>
    </row>
    <row r="759" ht="15.75" customHeight="1">
      <c r="A759" s="713">
        <v>44557.0</v>
      </c>
      <c r="B759" s="668" t="s">
        <v>5075</v>
      </c>
      <c r="C759" s="715" t="s">
        <v>2346</v>
      </c>
      <c r="D759" s="641" t="s">
        <v>5038</v>
      </c>
      <c r="E759" s="716">
        <v>14000.0</v>
      </c>
      <c r="F759" s="641" t="s">
        <v>956</v>
      </c>
      <c r="G759" s="667" t="s">
        <v>669</v>
      </c>
      <c r="H759" s="667" t="s">
        <v>199</v>
      </c>
      <c r="I759" s="667" t="s">
        <v>1228</v>
      </c>
      <c r="J759" s="667">
        <v>43605.0</v>
      </c>
      <c r="K759" s="667" t="s">
        <v>2365</v>
      </c>
      <c r="L759" s="666"/>
      <c r="M759" s="666"/>
      <c r="N759" s="666"/>
      <c r="O759" s="666"/>
      <c r="P759" s="666"/>
      <c r="Q759" s="666"/>
      <c r="R759" s="666"/>
      <c r="S759" s="666"/>
      <c r="T759" s="666"/>
      <c r="U759" s="666"/>
      <c r="V759" s="666"/>
      <c r="W759" s="666"/>
      <c r="X759" s="666"/>
      <c r="Y759" s="666"/>
      <c r="Z759" s="666"/>
      <c r="AA759" s="666"/>
      <c r="AB759" s="666"/>
      <c r="AC759" s="666"/>
      <c r="AD759" s="666"/>
      <c r="AE759" s="666"/>
      <c r="AF759" s="666"/>
      <c r="AG759" s="666"/>
      <c r="AH759" s="666"/>
      <c r="AI759" s="666"/>
      <c r="AJ759" s="666"/>
      <c r="AK759" s="666"/>
      <c r="AL759" s="666"/>
      <c r="AM759" s="666"/>
      <c r="AN759" s="666"/>
      <c r="AO759" s="666"/>
      <c r="AP759" s="666"/>
      <c r="AQ759" s="666"/>
      <c r="AR759" s="666"/>
      <c r="AS759" s="666"/>
      <c r="AT759" s="666"/>
      <c r="AU759" s="666"/>
    </row>
    <row r="760" ht="15.75" customHeight="1">
      <c r="A760" s="713">
        <v>44559.0</v>
      </c>
      <c r="B760" s="714" t="s">
        <v>5178</v>
      </c>
      <c r="C760" s="715" t="s">
        <v>2346</v>
      </c>
      <c r="D760" s="641" t="s">
        <v>5038</v>
      </c>
      <c r="E760" s="716">
        <v>5000.0</v>
      </c>
      <c r="F760" s="641" t="s">
        <v>5180</v>
      </c>
      <c r="G760" s="667" t="s">
        <v>669</v>
      </c>
      <c r="H760" s="667" t="s">
        <v>199</v>
      </c>
      <c r="I760" s="667" t="s">
        <v>1228</v>
      </c>
      <c r="J760" s="667">
        <v>43717.0</v>
      </c>
      <c r="K760" s="667" t="s">
        <v>4383</v>
      </c>
      <c r="L760" s="666"/>
      <c r="M760" s="666"/>
      <c r="N760" s="666"/>
      <c r="O760" s="666"/>
      <c r="P760" s="666"/>
      <c r="Q760" s="666"/>
      <c r="R760" s="666"/>
      <c r="S760" s="666"/>
      <c r="T760" s="666"/>
      <c r="U760" s="666"/>
      <c r="V760" s="666"/>
      <c r="W760" s="666"/>
      <c r="X760" s="666"/>
      <c r="Y760" s="666"/>
      <c r="Z760" s="666"/>
      <c r="AA760" s="666"/>
      <c r="AB760" s="666"/>
      <c r="AC760" s="666"/>
      <c r="AD760" s="666"/>
      <c r="AE760" s="666"/>
      <c r="AF760" s="666"/>
      <c r="AG760" s="666"/>
      <c r="AH760" s="666"/>
      <c r="AI760" s="666"/>
      <c r="AJ760" s="666"/>
      <c r="AK760" s="666"/>
      <c r="AL760" s="666"/>
      <c r="AM760" s="666"/>
      <c r="AN760" s="666"/>
      <c r="AO760" s="666"/>
      <c r="AP760" s="666"/>
      <c r="AQ760" s="666"/>
      <c r="AR760" s="666"/>
      <c r="AS760" s="666"/>
      <c r="AT760" s="666"/>
      <c r="AU760" s="666"/>
    </row>
    <row r="761" ht="15.75" customHeight="1">
      <c r="A761" s="713">
        <v>44559.0</v>
      </c>
      <c r="B761" s="807" t="s">
        <v>7504</v>
      </c>
      <c r="C761" s="715" t="s">
        <v>98</v>
      </c>
      <c r="D761" s="641" t="s">
        <v>694</v>
      </c>
      <c r="E761" s="716">
        <v>97410.24</v>
      </c>
      <c r="F761" s="641" t="s">
        <v>7505</v>
      </c>
      <c r="G761" s="641" t="s">
        <v>120</v>
      </c>
      <c r="H761" s="641" t="s">
        <v>199</v>
      </c>
      <c r="I761" s="641" t="s">
        <v>1174</v>
      </c>
      <c r="J761" s="667">
        <v>44354.0</v>
      </c>
      <c r="K761" s="641" t="s">
        <v>2372</v>
      </c>
      <c r="L761" s="666"/>
      <c r="M761" s="666"/>
      <c r="N761" s="666"/>
      <c r="O761" s="666"/>
      <c r="P761" s="666"/>
      <c r="Q761" s="666"/>
      <c r="R761" s="666"/>
      <c r="S761" s="666"/>
      <c r="T761" s="666"/>
      <c r="U761" s="666"/>
      <c r="V761" s="666"/>
      <c r="W761" s="666"/>
      <c r="X761" s="666"/>
      <c r="Y761" s="666"/>
      <c r="Z761" s="666"/>
      <c r="AA761" s="666"/>
      <c r="AB761" s="666"/>
      <c r="AC761" s="666"/>
      <c r="AD761" s="666"/>
      <c r="AE761" s="666"/>
      <c r="AF761" s="666"/>
      <c r="AG761" s="666"/>
      <c r="AH761" s="666"/>
      <c r="AI761" s="666"/>
      <c r="AJ761" s="666"/>
      <c r="AK761" s="666"/>
      <c r="AL761" s="666"/>
      <c r="AM761" s="666"/>
      <c r="AN761" s="666"/>
      <c r="AO761" s="666"/>
      <c r="AP761" s="666"/>
      <c r="AQ761" s="666"/>
      <c r="AR761" s="666"/>
      <c r="AS761" s="666"/>
      <c r="AT761" s="666"/>
      <c r="AU761" s="666"/>
    </row>
    <row r="762" ht="15.75" customHeight="1">
      <c r="A762" s="824">
        <v>44566.405864444445</v>
      </c>
      <c r="B762" s="758" t="s">
        <v>6768</v>
      </c>
      <c r="C762" s="715" t="s">
        <v>2346</v>
      </c>
      <c r="D762" s="641" t="s">
        <v>5038</v>
      </c>
      <c r="E762" s="716" t="s">
        <v>7508</v>
      </c>
      <c r="F762" s="641" t="s">
        <v>6769</v>
      </c>
      <c r="G762" s="667" t="s">
        <v>120</v>
      </c>
      <c r="H762" s="667" t="s">
        <v>91</v>
      </c>
      <c r="I762" s="667" t="s">
        <v>521</v>
      </c>
      <c r="J762" s="667">
        <v>44263.0</v>
      </c>
      <c r="K762" s="667" t="s">
        <v>2365</v>
      </c>
      <c r="L762" s="666"/>
      <c r="M762" s="666"/>
      <c r="N762" s="666"/>
      <c r="O762" s="666"/>
      <c r="P762" s="666"/>
      <c r="Q762" s="666"/>
      <c r="R762" s="666"/>
      <c r="S762" s="666"/>
      <c r="T762" s="666"/>
      <c r="U762" s="666"/>
      <c r="V762" s="666"/>
      <c r="W762" s="666"/>
      <c r="X762" s="666"/>
      <c r="Y762" s="666"/>
      <c r="Z762" s="666"/>
      <c r="AA762" s="666"/>
      <c r="AB762" s="666"/>
      <c r="AC762" s="666"/>
      <c r="AD762" s="666"/>
      <c r="AE762" s="666"/>
      <c r="AF762" s="666"/>
      <c r="AG762" s="666"/>
      <c r="AH762" s="666"/>
      <c r="AI762" s="666"/>
      <c r="AJ762" s="666"/>
      <c r="AK762" s="666"/>
      <c r="AL762" s="666"/>
      <c r="AM762" s="666"/>
      <c r="AN762" s="666"/>
      <c r="AO762" s="666"/>
      <c r="AP762" s="666"/>
      <c r="AQ762" s="666"/>
      <c r="AR762" s="666"/>
      <c r="AS762" s="666"/>
      <c r="AT762" s="666"/>
      <c r="AU762" s="666"/>
    </row>
    <row r="763" ht="15.75" customHeight="1">
      <c r="A763" s="824">
        <v>44567.470252824074</v>
      </c>
      <c r="B763" s="758" t="s">
        <v>7511</v>
      </c>
      <c r="C763" s="715" t="s">
        <v>2346</v>
      </c>
      <c r="D763" s="641" t="s">
        <v>427</v>
      </c>
      <c r="E763" s="825">
        <v>648751.76</v>
      </c>
      <c r="F763" s="641" t="s">
        <v>4923</v>
      </c>
      <c r="G763" s="667" t="s">
        <v>120</v>
      </c>
      <c r="H763" s="667" t="s">
        <v>91</v>
      </c>
      <c r="I763" s="667" t="s">
        <v>521</v>
      </c>
      <c r="J763" s="667">
        <v>44280.0</v>
      </c>
      <c r="K763" s="667" t="s">
        <v>2319</v>
      </c>
      <c r="L763" s="666"/>
      <c r="M763" s="666"/>
      <c r="N763" s="666"/>
      <c r="O763" s="666"/>
      <c r="P763" s="666"/>
      <c r="Q763" s="666"/>
      <c r="R763" s="666"/>
      <c r="S763" s="666"/>
      <c r="T763" s="666"/>
      <c r="U763" s="666"/>
      <c r="V763" s="666"/>
      <c r="W763" s="666"/>
      <c r="X763" s="666"/>
      <c r="Y763" s="666"/>
      <c r="Z763" s="666"/>
      <c r="AA763" s="666"/>
      <c r="AB763" s="666"/>
      <c r="AC763" s="666"/>
      <c r="AD763" s="666"/>
      <c r="AE763" s="666"/>
      <c r="AF763" s="666"/>
      <c r="AG763" s="666"/>
      <c r="AH763" s="666"/>
      <c r="AI763" s="666"/>
      <c r="AJ763" s="666"/>
      <c r="AK763" s="666"/>
      <c r="AL763" s="666"/>
      <c r="AM763" s="666"/>
      <c r="AN763" s="666"/>
      <c r="AO763" s="666"/>
      <c r="AP763" s="666"/>
      <c r="AQ763" s="666"/>
      <c r="AR763" s="666"/>
      <c r="AS763" s="666"/>
      <c r="AT763" s="666"/>
      <c r="AU763" s="666"/>
    </row>
    <row r="764" ht="15.75" customHeight="1">
      <c r="A764" s="824">
        <v>44567.6009122338</v>
      </c>
      <c r="B764" s="758" t="s">
        <v>7515</v>
      </c>
      <c r="C764" s="715" t="s">
        <v>2346</v>
      </c>
      <c r="D764" s="641" t="s">
        <v>427</v>
      </c>
      <c r="E764" s="802">
        <v>146875.19</v>
      </c>
      <c r="F764" s="641" t="s">
        <v>7368</v>
      </c>
      <c r="G764" s="667" t="s">
        <v>120</v>
      </c>
      <c r="H764" s="667" t="s">
        <v>91</v>
      </c>
      <c r="I764" s="667" t="s">
        <v>193</v>
      </c>
      <c r="J764" s="667">
        <v>44340.0</v>
      </c>
      <c r="K764" s="667" t="s">
        <v>2365</v>
      </c>
      <c r="L764" s="666"/>
      <c r="M764" s="666"/>
      <c r="N764" s="666"/>
      <c r="O764" s="666"/>
      <c r="P764" s="666"/>
      <c r="Q764" s="666"/>
      <c r="R764" s="666"/>
      <c r="S764" s="666"/>
      <c r="T764" s="666"/>
      <c r="U764" s="666"/>
      <c r="V764" s="666"/>
      <c r="W764" s="666"/>
      <c r="X764" s="666"/>
      <c r="Y764" s="666"/>
      <c r="Z764" s="666"/>
      <c r="AA764" s="666"/>
      <c r="AB764" s="666"/>
      <c r="AC764" s="666"/>
      <c r="AD764" s="666"/>
      <c r="AE764" s="666"/>
      <c r="AF764" s="666"/>
      <c r="AG764" s="666"/>
      <c r="AH764" s="666"/>
      <c r="AI764" s="666"/>
      <c r="AJ764" s="666"/>
      <c r="AK764" s="666"/>
      <c r="AL764" s="666"/>
      <c r="AM764" s="666"/>
      <c r="AN764" s="666"/>
      <c r="AO764" s="666"/>
      <c r="AP764" s="666"/>
      <c r="AQ764" s="666"/>
      <c r="AR764" s="666"/>
      <c r="AS764" s="666"/>
      <c r="AT764" s="666"/>
      <c r="AU764" s="666"/>
    </row>
    <row r="765" ht="15.75" customHeight="1">
      <c r="A765" s="824">
        <v>44567.60629972222</v>
      </c>
      <c r="B765" s="758" t="s">
        <v>6599</v>
      </c>
      <c r="C765" s="715" t="s">
        <v>2346</v>
      </c>
      <c r="D765" s="641" t="s">
        <v>5038</v>
      </c>
      <c r="E765" s="716" t="s">
        <v>7520</v>
      </c>
      <c r="F765" s="641" t="s">
        <v>810</v>
      </c>
      <c r="G765" s="667" t="s">
        <v>120</v>
      </c>
      <c r="H765" s="667" t="s">
        <v>91</v>
      </c>
      <c r="I765" s="667" t="s">
        <v>193</v>
      </c>
      <c r="J765" s="667">
        <v>44291.0</v>
      </c>
      <c r="K765" s="667" t="s">
        <v>2341</v>
      </c>
      <c r="L765" s="666"/>
      <c r="M765" s="666"/>
      <c r="N765" s="666"/>
      <c r="O765" s="666"/>
      <c r="P765" s="666"/>
      <c r="Q765" s="666"/>
      <c r="R765" s="666"/>
      <c r="S765" s="666"/>
      <c r="T765" s="666"/>
      <c r="U765" s="666"/>
      <c r="V765" s="666"/>
      <c r="W765" s="666"/>
      <c r="X765" s="666"/>
      <c r="Y765" s="666"/>
      <c r="Z765" s="666"/>
      <c r="AA765" s="666"/>
      <c r="AB765" s="666"/>
      <c r="AC765" s="666"/>
      <c r="AD765" s="666"/>
      <c r="AE765" s="666"/>
      <c r="AF765" s="666"/>
      <c r="AG765" s="666"/>
      <c r="AH765" s="666"/>
      <c r="AI765" s="666"/>
      <c r="AJ765" s="666"/>
      <c r="AK765" s="666"/>
      <c r="AL765" s="666"/>
      <c r="AM765" s="666"/>
      <c r="AN765" s="666"/>
      <c r="AO765" s="666"/>
      <c r="AP765" s="666"/>
      <c r="AQ765" s="666"/>
      <c r="AR765" s="666"/>
      <c r="AS765" s="666"/>
      <c r="AT765" s="666"/>
      <c r="AU765" s="666"/>
    </row>
    <row r="766" ht="15.75" customHeight="1">
      <c r="A766" s="824">
        <v>44568.43395849537</v>
      </c>
      <c r="B766" s="758" t="s">
        <v>6435</v>
      </c>
      <c r="C766" s="715" t="s">
        <v>2346</v>
      </c>
      <c r="D766" s="641" t="s">
        <v>5038</v>
      </c>
      <c r="E766" s="716" t="s">
        <v>7523</v>
      </c>
      <c r="F766" s="641" t="s">
        <v>2396</v>
      </c>
      <c r="G766" s="667" t="s">
        <v>120</v>
      </c>
      <c r="H766" s="667" t="s">
        <v>91</v>
      </c>
      <c r="I766" s="667" t="s">
        <v>193</v>
      </c>
      <c r="J766" s="667">
        <v>44321.0</v>
      </c>
      <c r="K766" s="667" t="s">
        <v>2365</v>
      </c>
      <c r="L766" s="666"/>
      <c r="M766" s="666"/>
      <c r="N766" s="666"/>
      <c r="O766" s="666"/>
      <c r="P766" s="666"/>
      <c r="Q766" s="666"/>
      <c r="R766" s="666"/>
      <c r="S766" s="666"/>
      <c r="T766" s="666"/>
      <c r="U766" s="666"/>
      <c r="V766" s="666"/>
      <c r="W766" s="666"/>
      <c r="X766" s="666"/>
      <c r="Y766" s="666"/>
      <c r="Z766" s="666"/>
      <c r="AA766" s="666"/>
      <c r="AB766" s="666"/>
      <c r="AC766" s="666"/>
      <c r="AD766" s="666"/>
      <c r="AE766" s="666"/>
      <c r="AF766" s="666"/>
      <c r="AG766" s="666"/>
      <c r="AH766" s="666"/>
      <c r="AI766" s="666"/>
      <c r="AJ766" s="666"/>
      <c r="AK766" s="666"/>
      <c r="AL766" s="666"/>
      <c r="AM766" s="666"/>
      <c r="AN766" s="666"/>
      <c r="AO766" s="666"/>
      <c r="AP766" s="666"/>
      <c r="AQ766" s="666"/>
      <c r="AR766" s="666"/>
      <c r="AS766" s="666"/>
      <c r="AT766" s="666"/>
      <c r="AU766" s="666"/>
    </row>
    <row r="767" ht="15.75" customHeight="1">
      <c r="A767" s="824">
        <v>44568.56865099537</v>
      </c>
      <c r="B767" s="758" t="s">
        <v>7525</v>
      </c>
      <c r="C767" s="715" t="s">
        <v>2346</v>
      </c>
      <c r="D767" s="641" t="s">
        <v>5038</v>
      </c>
      <c r="E767" s="716" t="s">
        <v>7526</v>
      </c>
      <c r="F767" s="641" t="s">
        <v>4890</v>
      </c>
      <c r="G767" s="667" t="s">
        <v>120</v>
      </c>
      <c r="H767" s="667" t="s">
        <v>91</v>
      </c>
      <c r="I767" s="667" t="s">
        <v>193</v>
      </c>
      <c r="J767" s="667">
        <v>44280.0</v>
      </c>
      <c r="K767" s="667" t="s">
        <v>2319</v>
      </c>
      <c r="L767" s="666"/>
      <c r="M767" s="666"/>
      <c r="N767" s="666"/>
      <c r="O767" s="666"/>
      <c r="P767" s="666"/>
      <c r="Q767" s="666"/>
      <c r="R767" s="666"/>
      <c r="S767" s="666"/>
      <c r="T767" s="666"/>
      <c r="U767" s="666"/>
      <c r="V767" s="666"/>
      <c r="W767" s="666"/>
      <c r="X767" s="666"/>
      <c r="Y767" s="666"/>
      <c r="Z767" s="666"/>
      <c r="AA767" s="666"/>
      <c r="AB767" s="666"/>
      <c r="AC767" s="666"/>
      <c r="AD767" s="666"/>
      <c r="AE767" s="666"/>
      <c r="AF767" s="666"/>
      <c r="AG767" s="666"/>
      <c r="AH767" s="666"/>
      <c r="AI767" s="666"/>
      <c r="AJ767" s="666"/>
      <c r="AK767" s="666"/>
      <c r="AL767" s="666"/>
      <c r="AM767" s="666"/>
      <c r="AN767" s="666"/>
      <c r="AO767" s="666"/>
      <c r="AP767" s="666"/>
      <c r="AQ767" s="666"/>
      <c r="AR767" s="666"/>
      <c r="AS767" s="666"/>
      <c r="AT767" s="666"/>
      <c r="AU767" s="666"/>
    </row>
    <row r="768" ht="15.75" customHeight="1">
      <c r="A768" s="824">
        <v>44569.0</v>
      </c>
      <c r="B768" s="758" t="s">
        <v>1193</v>
      </c>
      <c r="C768" s="715" t="s">
        <v>202</v>
      </c>
      <c r="D768" s="641" t="s">
        <v>694</v>
      </c>
      <c r="E768" s="716">
        <v>151280.2</v>
      </c>
      <c r="F768" s="641" t="s">
        <v>1192</v>
      </c>
      <c r="G768" s="667" t="s">
        <v>120</v>
      </c>
      <c r="H768" s="667" t="s">
        <v>199</v>
      </c>
      <c r="I768" s="667" t="s">
        <v>778</v>
      </c>
      <c r="J768" s="667">
        <v>43731.0</v>
      </c>
      <c r="K768" s="667" t="s">
        <v>2319</v>
      </c>
      <c r="L768" s="666"/>
      <c r="M768" s="666"/>
      <c r="N768" s="666"/>
      <c r="O768" s="666"/>
      <c r="P768" s="666"/>
      <c r="Q768" s="666"/>
      <c r="R768" s="666"/>
      <c r="S768" s="666"/>
      <c r="T768" s="666"/>
      <c r="U768" s="666"/>
      <c r="V768" s="666"/>
      <c r="W768" s="666"/>
      <c r="X768" s="666"/>
      <c r="Y768" s="666"/>
      <c r="Z768" s="666"/>
      <c r="AA768" s="666"/>
      <c r="AB768" s="666"/>
      <c r="AC768" s="666"/>
      <c r="AD768" s="666"/>
      <c r="AE768" s="666"/>
      <c r="AF768" s="666"/>
      <c r="AG768" s="666"/>
      <c r="AH768" s="666"/>
      <c r="AI768" s="666"/>
      <c r="AJ768" s="666"/>
      <c r="AK768" s="666"/>
      <c r="AL768" s="666"/>
      <c r="AM768" s="666"/>
      <c r="AN768" s="666"/>
      <c r="AO768" s="666"/>
      <c r="AP768" s="666"/>
      <c r="AQ768" s="666"/>
      <c r="AR768" s="666"/>
      <c r="AS768" s="666"/>
      <c r="AT768" s="666"/>
      <c r="AU768" s="666"/>
    </row>
    <row r="769" ht="15.75" customHeight="1">
      <c r="A769" s="824">
        <v>44571.46989226852</v>
      </c>
      <c r="B769" s="758" t="s">
        <v>6768</v>
      </c>
      <c r="C769" s="715" t="s">
        <v>2346</v>
      </c>
      <c r="D769" s="641" t="s">
        <v>5038</v>
      </c>
      <c r="E769" s="716" t="s">
        <v>7541</v>
      </c>
      <c r="F769" s="641" t="s">
        <v>6769</v>
      </c>
      <c r="G769" s="667" t="s">
        <v>120</v>
      </c>
      <c r="H769" s="667" t="s">
        <v>91</v>
      </c>
      <c r="I769" s="667" t="s">
        <v>521</v>
      </c>
      <c r="J769" s="667">
        <v>44263.0</v>
      </c>
      <c r="K769" s="667" t="s">
        <v>2365</v>
      </c>
      <c r="L769" s="666"/>
      <c r="M769" s="666"/>
      <c r="N769" s="666"/>
      <c r="O769" s="666"/>
      <c r="P769" s="666"/>
      <c r="Q769" s="666"/>
      <c r="R769" s="666"/>
      <c r="S769" s="666"/>
      <c r="T769" s="666"/>
      <c r="U769" s="666"/>
      <c r="V769" s="666"/>
      <c r="W769" s="666"/>
      <c r="X769" s="666"/>
      <c r="Y769" s="666"/>
      <c r="Z769" s="666"/>
      <c r="AA769" s="666"/>
      <c r="AB769" s="666"/>
      <c r="AC769" s="666"/>
      <c r="AD769" s="666"/>
      <c r="AE769" s="666"/>
      <c r="AF769" s="666"/>
      <c r="AG769" s="666"/>
      <c r="AH769" s="666"/>
      <c r="AI769" s="666"/>
      <c r="AJ769" s="666"/>
      <c r="AK769" s="666"/>
      <c r="AL769" s="666"/>
      <c r="AM769" s="666"/>
      <c r="AN769" s="666"/>
      <c r="AO769" s="666"/>
      <c r="AP769" s="666"/>
      <c r="AQ769" s="666"/>
      <c r="AR769" s="666"/>
      <c r="AS769" s="666"/>
      <c r="AT769" s="666"/>
      <c r="AU769" s="666"/>
    </row>
    <row r="770" ht="15.75" customHeight="1">
      <c r="A770" s="824">
        <v>44571.51773393519</v>
      </c>
      <c r="B770" s="779" t="s">
        <v>510</v>
      </c>
      <c r="C770" s="715" t="s">
        <v>202</v>
      </c>
      <c r="D770" s="641" t="s">
        <v>5038</v>
      </c>
      <c r="E770" s="716">
        <v>8500.0</v>
      </c>
      <c r="F770" s="641" t="s">
        <v>508</v>
      </c>
      <c r="G770" s="667" t="s">
        <v>120</v>
      </c>
      <c r="H770" s="667" t="s">
        <v>199</v>
      </c>
      <c r="I770" s="667" t="s">
        <v>120</v>
      </c>
      <c r="J770" s="667">
        <v>44062.0</v>
      </c>
      <c r="K770" s="667" t="s">
        <v>2341</v>
      </c>
      <c r="L770" s="666"/>
      <c r="M770" s="666"/>
      <c r="N770" s="666"/>
      <c r="O770" s="666"/>
      <c r="P770" s="666"/>
      <c r="Q770" s="666"/>
      <c r="R770" s="666"/>
      <c r="S770" s="666"/>
      <c r="T770" s="666"/>
      <c r="U770" s="666"/>
      <c r="V770" s="666"/>
      <c r="W770" s="666"/>
      <c r="X770" s="666"/>
      <c r="Y770" s="666"/>
      <c r="Z770" s="666"/>
      <c r="AA770" s="666"/>
      <c r="AB770" s="666"/>
      <c r="AC770" s="666"/>
      <c r="AD770" s="666"/>
      <c r="AE770" s="666"/>
      <c r="AF770" s="666"/>
      <c r="AG770" s="666"/>
      <c r="AH770" s="666"/>
      <c r="AI770" s="666"/>
      <c r="AJ770" s="666"/>
      <c r="AK770" s="666"/>
      <c r="AL770" s="666"/>
      <c r="AM770" s="666"/>
      <c r="AN770" s="666"/>
      <c r="AO770" s="666"/>
      <c r="AP770" s="666"/>
      <c r="AQ770" s="666"/>
      <c r="AR770" s="666"/>
      <c r="AS770" s="666"/>
      <c r="AT770" s="666"/>
      <c r="AU770" s="666"/>
    </row>
    <row r="771" ht="15.75" customHeight="1">
      <c r="A771" s="824">
        <v>44571.51773393519</v>
      </c>
      <c r="B771" s="758" t="s">
        <v>5716</v>
      </c>
      <c r="C771" s="715" t="s">
        <v>2346</v>
      </c>
      <c r="D771" s="641" t="s">
        <v>5038</v>
      </c>
      <c r="E771" s="716" t="s">
        <v>7549</v>
      </c>
      <c r="F771" s="641" t="s">
        <v>1085</v>
      </c>
      <c r="G771" s="667" t="s">
        <v>120</v>
      </c>
      <c r="H771" s="667" t="s">
        <v>91</v>
      </c>
      <c r="I771" s="667" t="s">
        <v>521</v>
      </c>
      <c r="J771" s="667">
        <v>44295.0</v>
      </c>
      <c r="K771" s="667" t="s">
        <v>2356</v>
      </c>
      <c r="L771" s="666"/>
      <c r="M771" s="666"/>
      <c r="N771" s="666"/>
      <c r="O771" s="666"/>
      <c r="P771" s="666"/>
      <c r="Q771" s="666"/>
      <c r="R771" s="666"/>
      <c r="S771" s="666"/>
      <c r="T771" s="666"/>
      <c r="U771" s="666"/>
      <c r="V771" s="666"/>
      <c r="W771" s="666"/>
      <c r="X771" s="666"/>
      <c r="Y771" s="666"/>
      <c r="Z771" s="666"/>
      <c r="AA771" s="666"/>
      <c r="AB771" s="666"/>
      <c r="AC771" s="666"/>
      <c r="AD771" s="666"/>
      <c r="AE771" s="666"/>
      <c r="AF771" s="666"/>
      <c r="AG771" s="666"/>
      <c r="AH771" s="666"/>
      <c r="AI771" s="666"/>
      <c r="AJ771" s="666"/>
      <c r="AK771" s="666"/>
      <c r="AL771" s="666"/>
      <c r="AM771" s="666"/>
      <c r="AN771" s="666"/>
      <c r="AO771" s="666"/>
      <c r="AP771" s="666"/>
      <c r="AQ771" s="666"/>
      <c r="AR771" s="666"/>
      <c r="AS771" s="666"/>
      <c r="AT771" s="666"/>
      <c r="AU771" s="666"/>
    </row>
    <row r="772" ht="15.75" customHeight="1">
      <c r="A772" s="824">
        <v>44572.44878824074</v>
      </c>
      <c r="B772" s="758" t="s">
        <v>6222</v>
      </c>
      <c r="C772" s="715" t="s">
        <v>2346</v>
      </c>
      <c r="D772" s="641" t="s">
        <v>5038</v>
      </c>
      <c r="E772" s="716" t="s">
        <v>7549</v>
      </c>
      <c r="F772" s="641" t="s">
        <v>1489</v>
      </c>
      <c r="G772" s="667" t="s">
        <v>120</v>
      </c>
      <c r="H772" s="667" t="s">
        <v>91</v>
      </c>
      <c r="I772" s="667" t="s">
        <v>193</v>
      </c>
      <c r="J772" s="667">
        <v>44319.0</v>
      </c>
      <c r="K772" s="667" t="s">
        <v>2341</v>
      </c>
      <c r="L772" s="666"/>
      <c r="M772" s="666"/>
      <c r="N772" s="666"/>
      <c r="O772" s="666"/>
      <c r="P772" s="666"/>
      <c r="Q772" s="666"/>
      <c r="R772" s="666"/>
      <c r="S772" s="666"/>
      <c r="T772" s="666"/>
      <c r="U772" s="666"/>
      <c r="V772" s="666"/>
      <c r="W772" s="666"/>
      <c r="X772" s="666"/>
      <c r="Y772" s="666"/>
      <c r="Z772" s="666"/>
      <c r="AA772" s="666"/>
      <c r="AB772" s="666"/>
      <c r="AC772" s="666"/>
      <c r="AD772" s="666"/>
      <c r="AE772" s="666"/>
      <c r="AF772" s="666"/>
      <c r="AG772" s="666"/>
      <c r="AH772" s="666"/>
      <c r="AI772" s="666"/>
      <c r="AJ772" s="666"/>
      <c r="AK772" s="666"/>
      <c r="AL772" s="666"/>
      <c r="AM772" s="666"/>
      <c r="AN772" s="666"/>
      <c r="AO772" s="666"/>
      <c r="AP772" s="666"/>
      <c r="AQ772" s="666"/>
      <c r="AR772" s="666"/>
      <c r="AS772" s="666"/>
      <c r="AT772" s="666"/>
      <c r="AU772" s="666"/>
    </row>
    <row r="773" ht="15.75" customHeight="1">
      <c r="A773" s="824">
        <v>44573.0</v>
      </c>
      <c r="B773" s="826" t="s">
        <v>904</v>
      </c>
      <c r="C773" s="715" t="s">
        <v>202</v>
      </c>
      <c r="D773" s="641" t="s">
        <v>427</v>
      </c>
      <c r="E773" s="716">
        <v>9354.08</v>
      </c>
      <c r="F773" s="641" t="s">
        <v>903</v>
      </c>
      <c r="G773" s="667" t="s">
        <v>120</v>
      </c>
      <c r="H773" s="667" t="s">
        <v>199</v>
      </c>
      <c r="I773" s="667" t="s">
        <v>905</v>
      </c>
      <c r="J773" s="667">
        <v>43718.0</v>
      </c>
      <c r="K773" s="667" t="s">
        <v>2365</v>
      </c>
      <c r="L773" s="666"/>
      <c r="M773" s="666"/>
      <c r="N773" s="666"/>
      <c r="O773" s="666"/>
      <c r="P773" s="666"/>
      <c r="Q773" s="666"/>
      <c r="R773" s="666"/>
      <c r="S773" s="666"/>
      <c r="T773" s="666"/>
      <c r="U773" s="666"/>
      <c r="V773" s="666"/>
      <c r="W773" s="666"/>
      <c r="X773" s="666"/>
      <c r="Y773" s="666"/>
      <c r="Z773" s="666"/>
      <c r="AA773" s="666"/>
      <c r="AB773" s="666"/>
      <c r="AC773" s="666"/>
      <c r="AD773" s="666"/>
      <c r="AE773" s="666"/>
      <c r="AF773" s="666"/>
      <c r="AG773" s="666"/>
      <c r="AH773" s="666"/>
      <c r="AI773" s="666"/>
      <c r="AJ773" s="666"/>
      <c r="AK773" s="666"/>
      <c r="AL773" s="666"/>
      <c r="AM773" s="666"/>
      <c r="AN773" s="666"/>
      <c r="AO773" s="666"/>
      <c r="AP773" s="666"/>
      <c r="AQ773" s="666"/>
      <c r="AR773" s="666"/>
      <c r="AS773" s="666"/>
      <c r="AT773" s="666"/>
      <c r="AU773" s="666"/>
    </row>
    <row r="774" ht="15.75" customHeight="1">
      <c r="A774" s="824">
        <v>44573.0</v>
      </c>
      <c r="B774" s="714" t="s">
        <v>6211</v>
      </c>
      <c r="C774" s="715" t="s">
        <v>2346</v>
      </c>
      <c r="D774" s="641" t="s">
        <v>5038</v>
      </c>
      <c r="E774" s="716">
        <v>3000.0</v>
      </c>
      <c r="F774" s="641" t="s">
        <v>6214</v>
      </c>
      <c r="G774" s="667" t="s">
        <v>120</v>
      </c>
      <c r="H774" s="667" t="s">
        <v>91</v>
      </c>
      <c r="I774" s="667" t="s">
        <v>193</v>
      </c>
      <c r="J774" s="667">
        <v>44322.0</v>
      </c>
      <c r="K774" s="667" t="s">
        <v>2341</v>
      </c>
      <c r="L774" s="666"/>
      <c r="M774" s="666"/>
      <c r="N774" s="666"/>
      <c r="O774" s="666"/>
      <c r="P774" s="666"/>
      <c r="Q774" s="666"/>
      <c r="R774" s="666"/>
      <c r="S774" s="666"/>
      <c r="T774" s="666"/>
      <c r="U774" s="666"/>
      <c r="V774" s="666"/>
      <c r="W774" s="666"/>
      <c r="X774" s="666"/>
      <c r="Y774" s="666"/>
      <c r="Z774" s="666"/>
      <c r="AA774" s="666"/>
      <c r="AB774" s="666"/>
      <c r="AC774" s="666"/>
      <c r="AD774" s="666"/>
      <c r="AE774" s="666"/>
      <c r="AF774" s="666"/>
      <c r="AG774" s="666"/>
      <c r="AH774" s="666"/>
      <c r="AI774" s="666"/>
      <c r="AJ774" s="666"/>
      <c r="AK774" s="666"/>
      <c r="AL774" s="666"/>
      <c r="AM774" s="666"/>
      <c r="AN774" s="666"/>
      <c r="AO774" s="666"/>
      <c r="AP774" s="666"/>
      <c r="AQ774" s="666"/>
      <c r="AR774" s="666"/>
      <c r="AS774" s="666"/>
      <c r="AT774" s="666"/>
      <c r="AU774" s="666"/>
    </row>
    <row r="775" ht="15.75" customHeight="1">
      <c r="A775" s="824">
        <v>44575.0</v>
      </c>
      <c r="B775" s="806" t="s">
        <v>7564</v>
      </c>
      <c r="C775" s="715" t="s">
        <v>98</v>
      </c>
      <c r="D775" s="641" t="s">
        <v>694</v>
      </c>
      <c r="E775" s="716">
        <v>659874.72</v>
      </c>
      <c r="F775" s="641" t="s">
        <v>6358</v>
      </c>
      <c r="G775" s="641" t="s">
        <v>255</v>
      </c>
      <c r="H775" s="641" t="s">
        <v>199</v>
      </c>
      <c r="I775" s="641" t="s">
        <v>3606</v>
      </c>
      <c r="J775" s="667">
        <v>44005.0</v>
      </c>
      <c r="K775" s="641" t="s">
        <v>2319</v>
      </c>
      <c r="L775" s="666"/>
      <c r="M775" s="666"/>
      <c r="N775" s="666"/>
      <c r="O775" s="666"/>
      <c r="P775" s="666"/>
      <c r="Q775" s="666"/>
      <c r="R775" s="666"/>
      <c r="S775" s="666"/>
      <c r="T775" s="666"/>
      <c r="U775" s="666"/>
      <c r="V775" s="666"/>
      <c r="W775" s="666"/>
      <c r="X775" s="666"/>
      <c r="Y775" s="666"/>
      <c r="Z775" s="666"/>
      <c r="AA775" s="666"/>
      <c r="AB775" s="666"/>
      <c r="AC775" s="666"/>
      <c r="AD775" s="666"/>
      <c r="AE775" s="666"/>
      <c r="AF775" s="666"/>
      <c r="AG775" s="666"/>
      <c r="AH775" s="666"/>
      <c r="AI775" s="666"/>
      <c r="AJ775" s="666"/>
      <c r="AK775" s="666"/>
      <c r="AL775" s="666"/>
      <c r="AM775" s="666"/>
      <c r="AN775" s="666"/>
      <c r="AO775" s="666"/>
      <c r="AP775" s="666"/>
      <c r="AQ775" s="666"/>
      <c r="AR775" s="666"/>
      <c r="AS775" s="666"/>
      <c r="AT775" s="666"/>
      <c r="AU775" s="666"/>
    </row>
    <row r="776" ht="15.75" customHeight="1">
      <c r="A776" s="824">
        <v>44575.0</v>
      </c>
      <c r="B776" s="827" t="s">
        <v>1303</v>
      </c>
      <c r="C776" s="715" t="s">
        <v>202</v>
      </c>
      <c r="D776" s="641" t="s">
        <v>694</v>
      </c>
      <c r="E776" s="716">
        <v>147515.9</v>
      </c>
      <c r="F776" s="641" t="s">
        <v>1302</v>
      </c>
      <c r="G776" s="667" t="s">
        <v>120</v>
      </c>
      <c r="H776" s="667" t="s">
        <v>199</v>
      </c>
      <c r="I776" s="667" t="s">
        <v>439</v>
      </c>
      <c r="J776" s="667">
        <v>43873.0</v>
      </c>
      <c r="K776" s="667" t="s">
        <v>2319</v>
      </c>
      <c r="L776" s="666"/>
      <c r="M776" s="666"/>
      <c r="N776" s="666"/>
      <c r="O776" s="666"/>
      <c r="P776" s="666"/>
      <c r="Q776" s="666"/>
      <c r="R776" s="666"/>
      <c r="S776" s="666"/>
      <c r="T776" s="666"/>
      <c r="U776" s="666"/>
      <c r="V776" s="666"/>
      <c r="W776" s="666"/>
      <c r="X776" s="666"/>
      <c r="Y776" s="666"/>
      <c r="Z776" s="666"/>
      <c r="AA776" s="666"/>
      <c r="AB776" s="666"/>
      <c r="AC776" s="666"/>
      <c r="AD776" s="666"/>
      <c r="AE776" s="666"/>
      <c r="AF776" s="666"/>
      <c r="AG776" s="666"/>
      <c r="AH776" s="666"/>
      <c r="AI776" s="666"/>
      <c r="AJ776" s="666"/>
      <c r="AK776" s="666"/>
      <c r="AL776" s="666"/>
      <c r="AM776" s="666"/>
      <c r="AN776" s="666"/>
      <c r="AO776" s="666"/>
      <c r="AP776" s="666"/>
      <c r="AQ776" s="666"/>
      <c r="AR776" s="666"/>
      <c r="AS776" s="666"/>
      <c r="AT776" s="666"/>
      <c r="AU776" s="666"/>
    </row>
    <row r="777" ht="15.75" customHeight="1">
      <c r="A777" s="824">
        <v>44575.0</v>
      </c>
      <c r="B777" s="826" t="s">
        <v>6057</v>
      </c>
      <c r="C777" s="715" t="s">
        <v>2346</v>
      </c>
      <c r="D777" s="641" t="s">
        <v>5038</v>
      </c>
      <c r="E777" s="716">
        <v>80000.0</v>
      </c>
      <c r="F777" s="641" t="s">
        <v>4806</v>
      </c>
      <c r="G777" s="667" t="s">
        <v>120</v>
      </c>
      <c r="H777" s="667" t="s">
        <v>91</v>
      </c>
      <c r="I777" s="667" t="s">
        <v>193</v>
      </c>
      <c r="J777" s="667">
        <v>44298.0</v>
      </c>
      <c r="K777" s="667" t="s">
        <v>2341</v>
      </c>
      <c r="L777" s="666"/>
      <c r="M777" s="666"/>
      <c r="N777" s="666"/>
      <c r="O777" s="666"/>
      <c r="P777" s="666"/>
      <c r="Q777" s="666"/>
      <c r="R777" s="666"/>
      <c r="S777" s="666"/>
      <c r="T777" s="666"/>
      <c r="U777" s="666"/>
      <c r="V777" s="666"/>
      <c r="W777" s="666"/>
      <c r="X777" s="666"/>
      <c r="Y777" s="666"/>
      <c r="Z777" s="666"/>
      <c r="AA777" s="666"/>
      <c r="AB777" s="666"/>
      <c r="AC777" s="666"/>
      <c r="AD777" s="666"/>
      <c r="AE777" s="666"/>
      <c r="AF777" s="666"/>
      <c r="AG777" s="666"/>
      <c r="AH777" s="666"/>
      <c r="AI777" s="666"/>
      <c r="AJ777" s="666"/>
      <c r="AK777" s="666"/>
      <c r="AL777" s="666"/>
      <c r="AM777" s="666"/>
      <c r="AN777" s="666"/>
      <c r="AO777" s="666"/>
      <c r="AP777" s="666"/>
      <c r="AQ777" s="666"/>
      <c r="AR777" s="666"/>
      <c r="AS777" s="666"/>
      <c r="AT777" s="666"/>
      <c r="AU777" s="666"/>
    </row>
    <row r="778" ht="15.75" customHeight="1">
      <c r="A778" s="824">
        <v>44575.0</v>
      </c>
      <c r="B778" s="826" t="s">
        <v>5183</v>
      </c>
      <c r="C778" s="715" t="s">
        <v>2346</v>
      </c>
      <c r="D778" s="641" t="s">
        <v>5038</v>
      </c>
      <c r="E778" s="716">
        <v>5000.0</v>
      </c>
      <c r="F778" s="641" t="s">
        <v>1460</v>
      </c>
      <c r="G778" s="667" t="s">
        <v>669</v>
      </c>
      <c r="H778" s="667" t="s">
        <v>199</v>
      </c>
      <c r="I778" s="667" t="s">
        <v>1228</v>
      </c>
      <c r="J778" s="667">
        <v>43894.0</v>
      </c>
      <c r="K778" s="667" t="s">
        <v>2365</v>
      </c>
      <c r="L778" s="666"/>
      <c r="M778" s="666"/>
      <c r="N778" s="666"/>
      <c r="O778" s="666"/>
      <c r="P778" s="666"/>
      <c r="Q778" s="666"/>
      <c r="R778" s="666"/>
      <c r="S778" s="666"/>
      <c r="T778" s="666"/>
      <c r="U778" s="666"/>
      <c r="V778" s="666"/>
      <c r="W778" s="666"/>
      <c r="X778" s="666"/>
      <c r="Y778" s="666"/>
      <c r="Z778" s="666"/>
      <c r="AA778" s="666"/>
      <c r="AB778" s="666"/>
      <c r="AC778" s="666"/>
      <c r="AD778" s="666"/>
      <c r="AE778" s="666"/>
      <c r="AF778" s="666"/>
      <c r="AG778" s="666"/>
      <c r="AH778" s="666"/>
      <c r="AI778" s="666"/>
      <c r="AJ778" s="666"/>
      <c r="AK778" s="666"/>
      <c r="AL778" s="666"/>
      <c r="AM778" s="666"/>
      <c r="AN778" s="666"/>
      <c r="AO778" s="666"/>
      <c r="AP778" s="666"/>
      <c r="AQ778" s="666"/>
      <c r="AR778" s="666"/>
      <c r="AS778" s="666"/>
      <c r="AT778" s="666"/>
      <c r="AU778" s="666"/>
    </row>
    <row r="779" ht="15.75" customHeight="1">
      <c r="A779" s="824">
        <v>44578.0</v>
      </c>
      <c r="B779" s="826" t="s">
        <v>6057</v>
      </c>
      <c r="C779" s="715" t="s">
        <v>2346</v>
      </c>
      <c r="D779" s="641" t="s">
        <v>694</v>
      </c>
      <c r="E779" s="716">
        <v>181959.12</v>
      </c>
      <c r="F779" s="641" t="s">
        <v>4806</v>
      </c>
      <c r="G779" s="667" t="s">
        <v>120</v>
      </c>
      <c r="H779" s="667" t="s">
        <v>91</v>
      </c>
      <c r="I779" s="667" t="s">
        <v>193</v>
      </c>
      <c r="J779" s="667">
        <v>44298.0</v>
      </c>
      <c r="K779" s="667" t="s">
        <v>2341</v>
      </c>
      <c r="L779" s="666"/>
      <c r="M779" s="666"/>
      <c r="N779" s="666"/>
      <c r="O779" s="666"/>
      <c r="P779" s="666"/>
      <c r="Q779" s="666"/>
      <c r="R779" s="666"/>
      <c r="S779" s="666"/>
      <c r="T779" s="666"/>
      <c r="U779" s="666"/>
      <c r="V779" s="666"/>
      <c r="W779" s="666"/>
      <c r="X779" s="666"/>
      <c r="Y779" s="666"/>
      <c r="Z779" s="666"/>
      <c r="AA779" s="666"/>
      <c r="AB779" s="666"/>
      <c r="AC779" s="666"/>
      <c r="AD779" s="666"/>
      <c r="AE779" s="666"/>
      <c r="AF779" s="666"/>
      <c r="AG779" s="666"/>
      <c r="AH779" s="666"/>
      <c r="AI779" s="666"/>
      <c r="AJ779" s="666"/>
      <c r="AK779" s="666"/>
      <c r="AL779" s="666"/>
      <c r="AM779" s="666"/>
      <c r="AN779" s="666"/>
      <c r="AO779" s="666"/>
      <c r="AP779" s="666"/>
      <c r="AQ779" s="666"/>
      <c r="AR779" s="666"/>
      <c r="AS779" s="666"/>
      <c r="AT779" s="666"/>
      <c r="AU779" s="666"/>
    </row>
    <row r="780" ht="15.75" customHeight="1">
      <c r="A780" s="824">
        <v>44578.0</v>
      </c>
      <c r="B780" s="804" t="s">
        <v>7582</v>
      </c>
      <c r="C780" s="715" t="s">
        <v>98</v>
      </c>
      <c r="D780" s="641" t="s">
        <v>5038</v>
      </c>
      <c r="E780" s="716">
        <v>50000.0</v>
      </c>
      <c r="F780" s="641" t="s">
        <v>3519</v>
      </c>
      <c r="G780" s="641" t="s">
        <v>120</v>
      </c>
      <c r="H780" s="641" t="s">
        <v>199</v>
      </c>
      <c r="I780" s="641" t="s">
        <v>3521</v>
      </c>
      <c r="J780" s="667">
        <v>44061.0</v>
      </c>
      <c r="K780" s="641" t="s">
        <v>2341</v>
      </c>
      <c r="L780" s="666"/>
      <c r="M780" s="666"/>
      <c r="N780" s="666"/>
      <c r="O780" s="666"/>
      <c r="P780" s="666"/>
      <c r="Q780" s="666"/>
      <c r="R780" s="666"/>
      <c r="S780" s="666"/>
      <c r="T780" s="666"/>
      <c r="U780" s="666"/>
      <c r="V780" s="666"/>
      <c r="W780" s="666"/>
      <c r="X780" s="666"/>
      <c r="Y780" s="666"/>
      <c r="Z780" s="666"/>
      <c r="AA780" s="666"/>
      <c r="AB780" s="666"/>
      <c r="AC780" s="666"/>
      <c r="AD780" s="666"/>
      <c r="AE780" s="666"/>
      <c r="AF780" s="666"/>
      <c r="AG780" s="666"/>
      <c r="AH780" s="666"/>
      <c r="AI780" s="666"/>
      <c r="AJ780" s="666"/>
      <c r="AK780" s="666"/>
      <c r="AL780" s="666"/>
      <c r="AM780" s="666"/>
      <c r="AN780" s="666"/>
      <c r="AO780" s="666"/>
      <c r="AP780" s="666"/>
      <c r="AQ780" s="666"/>
      <c r="AR780" s="666"/>
      <c r="AS780" s="666"/>
      <c r="AT780" s="666"/>
      <c r="AU780" s="666"/>
    </row>
    <row r="781" ht="15.75" customHeight="1">
      <c r="A781" s="824">
        <v>44578.0</v>
      </c>
      <c r="B781" s="758" t="s">
        <v>5716</v>
      </c>
      <c r="C781" s="715" t="s">
        <v>2346</v>
      </c>
      <c r="D781" s="641" t="s">
        <v>5038</v>
      </c>
      <c r="E781" s="716">
        <v>10000.0</v>
      </c>
      <c r="F781" s="641" t="s">
        <v>1085</v>
      </c>
      <c r="G781" s="667" t="s">
        <v>120</v>
      </c>
      <c r="H781" s="667" t="s">
        <v>91</v>
      </c>
      <c r="I781" s="667" t="s">
        <v>521</v>
      </c>
      <c r="J781" s="667">
        <v>44295.0</v>
      </c>
      <c r="K781" s="667" t="s">
        <v>2356</v>
      </c>
      <c r="L781" s="666"/>
      <c r="M781" s="666"/>
      <c r="N781" s="666"/>
      <c r="O781" s="666"/>
      <c r="P781" s="666"/>
      <c r="Q781" s="666"/>
      <c r="R781" s="666"/>
      <c r="S781" s="666"/>
      <c r="T781" s="666"/>
      <c r="U781" s="666"/>
      <c r="V781" s="666"/>
      <c r="W781" s="666"/>
      <c r="X781" s="666"/>
      <c r="Y781" s="666"/>
      <c r="Z781" s="666"/>
      <c r="AA781" s="666"/>
      <c r="AB781" s="666"/>
      <c r="AC781" s="666"/>
      <c r="AD781" s="666"/>
      <c r="AE781" s="666"/>
      <c r="AF781" s="666"/>
      <c r="AG781" s="666"/>
      <c r="AH781" s="666"/>
      <c r="AI781" s="666"/>
      <c r="AJ781" s="666"/>
      <c r="AK781" s="666"/>
      <c r="AL781" s="666"/>
      <c r="AM781" s="666"/>
      <c r="AN781" s="666"/>
      <c r="AO781" s="666"/>
      <c r="AP781" s="666"/>
      <c r="AQ781" s="666"/>
      <c r="AR781" s="666"/>
      <c r="AS781" s="666"/>
      <c r="AT781" s="666"/>
      <c r="AU781" s="666"/>
    </row>
    <row r="782" ht="15.75" customHeight="1">
      <c r="A782" s="824">
        <v>44578.0</v>
      </c>
      <c r="B782" s="758" t="s">
        <v>7586</v>
      </c>
      <c r="C782" s="715" t="s">
        <v>2346</v>
      </c>
      <c r="D782" s="641" t="s">
        <v>5038</v>
      </c>
      <c r="E782" s="716">
        <v>15000.0</v>
      </c>
      <c r="F782" s="641" t="s">
        <v>5908</v>
      </c>
      <c r="G782" s="667" t="s">
        <v>120</v>
      </c>
      <c r="H782" s="667" t="s">
        <v>91</v>
      </c>
      <c r="I782" s="667" t="s">
        <v>193</v>
      </c>
      <c r="J782" s="667">
        <v>44333.0</v>
      </c>
      <c r="K782" s="667" t="s">
        <v>2365</v>
      </c>
      <c r="L782" s="666"/>
      <c r="M782" s="666"/>
      <c r="N782" s="666"/>
      <c r="O782" s="666"/>
      <c r="P782" s="666"/>
      <c r="Q782" s="666"/>
      <c r="R782" s="666"/>
      <c r="S782" s="666"/>
      <c r="T782" s="666"/>
      <c r="U782" s="666"/>
      <c r="V782" s="666"/>
      <c r="W782" s="666"/>
      <c r="X782" s="666"/>
      <c r="Y782" s="666"/>
      <c r="Z782" s="666"/>
      <c r="AA782" s="666"/>
      <c r="AB782" s="666"/>
      <c r="AC782" s="666"/>
      <c r="AD782" s="666"/>
      <c r="AE782" s="666"/>
      <c r="AF782" s="666"/>
      <c r="AG782" s="666"/>
      <c r="AH782" s="666"/>
      <c r="AI782" s="666"/>
      <c r="AJ782" s="666"/>
      <c r="AK782" s="666"/>
      <c r="AL782" s="666"/>
      <c r="AM782" s="666"/>
      <c r="AN782" s="666"/>
      <c r="AO782" s="666"/>
      <c r="AP782" s="666"/>
      <c r="AQ782" s="666"/>
      <c r="AR782" s="666"/>
      <c r="AS782" s="666"/>
      <c r="AT782" s="666"/>
      <c r="AU782" s="666"/>
    </row>
    <row r="783" ht="15.75" customHeight="1">
      <c r="A783" s="824">
        <v>44578.0</v>
      </c>
      <c r="B783" s="806" t="s">
        <v>7589</v>
      </c>
      <c r="C783" s="715" t="s">
        <v>98</v>
      </c>
      <c r="D783" s="641" t="s">
        <v>694</v>
      </c>
      <c r="E783" s="716">
        <v>109449.2</v>
      </c>
      <c r="F783" s="641" t="s">
        <v>2904</v>
      </c>
      <c r="G783" s="641" t="s">
        <v>255</v>
      </c>
      <c r="H783" s="641" t="s">
        <v>199</v>
      </c>
      <c r="I783" s="641" t="s">
        <v>2907</v>
      </c>
      <c r="J783" s="667">
        <v>44202.0</v>
      </c>
      <c r="K783" s="641" t="s">
        <v>2319</v>
      </c>
      <c r="L783" s="666"/>
      <c r="M783" s="666"/>
      <c r="N783" s="666"/>
      <c r="O783" s="666"/>
      <c r="P783" s="666"/>
      <c r="Q783" s="666"/>
      <c r="R783" s="666"/>
      <c r="S783" s="666"/>
      <c r="T783" s="666"/>
      <c r="U783" s="666"/>
      <c r="V783" s="666"/>
      <c r="W783" s="666"/>
      <c r="X783" s="666"/>
      <c r="Y783" s="666"/>
      <c r="Z783" s="666"/>
      <c r="AA783" s="666"/>
      <c r="AB783" s="666"/>
      <c r="AC783" s="666"/>
      <c r="AD783" s="666"/>
      <c r="AE783" s="666"/>
      <c r="AF783" s="666"/>
      <c r="AG783" s="666"/>
      <c r="AH783" s="666"/>
      <c r="AI783" s="666"/>
      <c r="AJ783" s="666"/>
      <c r="AK783" s="666"/>
      <c r="AL783" s="666"/>
      <c r="AM783" s="666"/>
      <c r="AN783" s="666"/>
      <c r="AO783" s="666"/>
      <c r="AP783" s="666"/>
      <c r="AQ783" s="666"/>
      <c r="AR783" s="666"/>
      <c r="AS783" s="666"/>
      <c r="AT783" s="666"/>
      <c r="AU783" s="666"/>
    </row>
    <row r="784" ht="15.75" customHeight="1">
      <c r="A784" s="824">
        <v>44579.0</v>
      </c>
      <c r="B784" s="804" t="s">
        <v>6824</v>
      </c>
      <c r="C784" s="715" t="s">
        <v>98</v>
      </c>
      <c r="D784" s="641" t="s">
        <v>427</v>
      </c>
      <c r="E784" s="716">
        <v>139991.04</v>
      </c>
      <c r="F784" s="641" t="s">
        <v>7592</v>
      </c>
      <c r="G784" s="641" t="s">
        <v>120</v>
      </c>
      <c r="H784" s="641" t="s">
        <v>54</v>
      </c>
      <c r="I784" s="641" t="s">
        <v>379</v>
      </c>
      <c r="J784" s="667">
        <v>44204.0</v>
      </c>
      <c r="K784" s="641" t="s">
        <v>3701</v>
      </c>
      <c r="L784" s="666"/>
      <c r="M784" s="666"/>
      <c r="N784" s="666"/>
      <c r="O784" s="666"/>
      <c r="P784" s="666"/>
      <c r="Q784" s="666"/>
      <c r="R784" s="666"/>
      <c r="S784" s="666"/>
      <c r="T784" s="666"/>
      <c r="U784" s="666"/>
      <c r="V784" s="666"/>
      <c r="W784" s="666"/>
      <c r="X784" s="666"/>
      <c r="Y784" s="666"/>
      <c r="Z784" s="666"/>
      <c r="AA784" s="666"/>
      <c r="AB784" s="666"/>
      <c r="AC784" s="666"/>
      <c r="AD784" s="666"/>
      <c r="AE784" s="666"/>
      <c r="AF784" s="666"/>
      <c r="AG784" s="666"/>
      <c r="AH784" s="666"/>
      <c r="AI784" s="666"/>
      <c r="AJ784" s="666"/>
      <c r="AK784" s="666"/>
      <c r="AL784" s="666"/>
      <c r="AM784" s="666"/>
      <c r="AN784" s="666"/>
      <c r="AO784" s="666"/>
      <c r="AP784" s="666"/>
      <c r="AQ784" s="666"/>
      <c r="AR784" s="666"/>
      <c r="AS784" s="666"/>
      <c r="AT784" s="666"/>
      <c r="AU784" s="666"/>
    </row>
    <row r="785" ht="15.75" customHeight="1">
      <c r="A785" s="824">
        <v>44579.0</v>
      </c>
      <c r="B785" s="822">
        <v>7048589.0</v>
      </c>
      <c r="C785" s="715" t="s">
        <v>98</v>
      </c>
      <c r="D785" s="641" t="s">
        <v>427</v>
      </c>
      <c r="E785" s="716">
        <v>193747.43</v>
      </c>
      <c r="F785" s="641" t="s">
        <v>6592</v>
      </c>
      <c r="G785" s="667" t="s">
        <v>120</v>
      </c>
      <c r="H785" s="667" t="s">
        <v>54</v>
      </c>
      <c r="I785" s="667" t="s">
        <v>1393</v>
      </c>
      <c r="J785" s="667">
        <v>44508.0</v>
      </c>
      <c r="K785" s="667" t="s">
        <v>2365</v>
      </c>
      <c r="L785" s="666"/>
      <c r="M785" s="666"/>
      <c r="N785" s="666"/>
      <c r="O785" s="666"/>
      <c r="P785" s="666"/>
      <c r="Q785" s="666"/>
      <c r="R785" s="666"/>
      <c r="S785" s="666"/>
      <c r="T785" s="666"/>
      <c r="U785" s="666"/>
      <c r="V785" s="666"/>
      <c r="W785" s="666"/>
      <c r="X785" s="666"/>
      <c r="Y785" s="666"/>
      <c r="Z785" s="666"/>
      <c r="AA785" s="666"/>
      <c r="AB785" s="666"/>
      <c r="AC785" s="666"/>
      <c r="AD785" s="666"/>
      <c r="AE785" s="666"/>
      <c r="AF785" s="666"/>
      <c r="AG785" s="666"/>
      <c r="AH785" s="666"/>
      <c r="AI785" s="666"/>
      <c r="AJ785" s="666"/>
      <c r="AK785" s="666"/>
      <c r="AL785" s="666"/>
      <c r="AM785" s="666"/>
      <c r="AN785" s="666"/>
      <c r="AO785" s="666"/>
      <c r="AP785" s="666"/>
      <c r="AQ785" s="666"/>
      <c r="AR785" s="666"/>
      <c r="AS785" s="666"/>
      <c r="AT785" s="666"/>
      <c r="AU785" s="666"/>
    </row>
    <row r="786" ht="15.75" customHeight="1">
      <c r="A786" s="824">
        <v>44579.0</v>
      </c>
      <c r="B786" s="804" t="s">
        <v>5960</v>
      </c>
      <c r="C786" s="715" t="s">
        <v>98</v>
      </c>
      <c r="D786" s="641" t="s">
        <v>5038</v>
      </c>
      <c r="E786" s="716">
        <v>12000.0</v>
      </c>
      <c r="F786" s="641" t="s">
        <v>5963</v>
      </c>
      <c r="G786" s="641" t="s">
        <v>255</v>
      </c>
      <c r="H786" s="641" t="s">
        <v>199</v>
      </c>
      <c r="I786" s="641" t="s">
        <v>4761</v>
      </c>
      <c r="J786" s="667">
        <v>44180.0</v>
      </c>
      <c r="K786" s="641" t="s">
        <v>2341</v>
      </c>
      <c r="L786" s="666"/>
      <c r="M786" s="666"/>
      <c r="N786" s="666"/>
      <c r="O786" s="666"/>
      <c r="P786" s="666"/>
      <c r="Q786" s="666"/>
      <c r="R786" s="666"/>
      <c r="S786" s="666"/>
      <c r="T786" s="666"/>
      <c r="U786" s="666"/>
      <c r="V786" s="666"/>
      <c r="W786" s="666"/>
      <c r="X786" s="666"/>
      <c r="Y786" s="666"/>
      <c r="Z786" s="666"/>
      <c r="AA786" s="666"/>
      <c r="AB786" s="666"/>
      <c r="AC786" s="666"/>
      <c r="AD786" s="666"/>
      <c r="AE786" s="666"/>
      <c r="AF786" s="666"/>
      <c r="AG786" s="666"/>
      <c r="AH786" s="666"/>
      <c r="AI786" s="666"/>
      <c r="AJ786" s="666"/>
      <c r="AK786" s="666"/>
      <c r="AL786" s="666"/>
      <c r="AM786" s="666"/>
      <c r="AN786" s="666"/>
      <c r="AO786" s="666"/>
      <c r="AP786" s="666"/>
      <c r="AQ786" s="666"/>
      <c r="AR786" s="666"/>
      <c r="AS786" s="666"/>
      <c r="AT786" s="666"/>
      <c r="AU786" s="666"/>
    </row>
    <row r="787" ht="15.75" customHeight="1">
      <c r="A787" s="824">
        <v>44580.0</v>
      </c>
      <c r="B787" s="714" t="s">
        <v>7511</v>
      </c>
      <c r="C787" s="715" t="s">
        <v>2346</v>
      </c>
      <c r="D787" s="641" t="s">
        <v>694</v>
      </c>
      <c r="E787" s="716">
        <v>0.0</v>
      </c>
      <c r="F787" s="641" t="s">
        <v>4923</v>
      </c>
      <c r="G787" s="667" t="s">
        <v>120</v>
      </c>
      <c r="H787" s="667" t="s">
        <v>91</v>
      </c>
      <c r="I787" s="667" t="s">
        <v>521</v>
      </c>
      <c r="J787" s="667">
        <v>44280.0</v>
      </c>
      <c r="K787" s="667" t="s">
        <v>2319</v>
      </c>
      <c r="L787" s="666"/>
      <c r="M787" s="666"/>
      <c r="N787" s="666"/>
      <c r="O787" s="666"/>
      <c r="P787" s="666"/>
      <c r="Q787" s="666"/>
      <c r="R787" s="666"/>
      <c r="S787" s="666"/>
      <c r="T787" s="666"/>
      <c r="U787" s="666"/>
      <c r="V787" s="666"/>
      <c r="W787" s="666"/>
      <c r="X787" s="666"/>
      <c r="Y787" s="666"/>
      <c r="Z787" s="666"/>
      <c r="AA787" s="666"/>
      <c r="AB787" s="666"/>
      <c r="AC787" s="666"/>
      <c r="AD787" s="666"/>
      <c r="AE787" s="666"/>
      <c r="AF787" s="666"/>
      <c r="AG787" s="666"/>
      <c r="AH787" s="666"/>
      <c r="AI787" s="666"/>
      <c r="AJ787" s="666"/>
      <c r="AK787" s="666"/>
      <c r="AL787" s="666"/>
      <c r="AM787" s="666"/>
      <c r="AN787" s="666"/>
      <c r="AO787" s="666"/>
      <c r="AP787" s="666"/>
      <c r="AQ787" s="666"/>
      <c r="AR787" s="666"/>
      <c r="AS787" s="666"/>
      <c r="AT787" s="666"/>
      <c r="AU787" s="666"/>
    </row>
    <row r="788" ht="15.75" customHeight="1">
      <c r="A788" s="824">
        <v>44580.0</v>
      </c>
      <c r="B788" s="714" t="s">
        <v>7600</v>
      </c>
      <c r="C788" s="715" t="s">
        <v>2346</v>
      </c>
      <c r="D788" s="641" t="s">
        <v>5038</v>
      </c>
      <c r="E788" s="716">
        <v>25000.0</v>
      </c>
      <c r="F788" s="641" t="s">
        <v>1227</v>
      </c>
      <c r="G788" s="667" t="s">
        <v>669</v>
      </c>
      <c r="H788" s="667" t="s">
        <v>199</v>
      </c>
      <c r="I788" s="667" t="s">
        <v>1228</v>
      </c>
      <c r="J788" s="667">
        <v>43811.0</v>
      </c>
      <c r="K788" s="667" t="s">
        <v>2365</v>
      </c>
      <c r="L788" s="666"/>
      <c r="M788" s="666"/>
      <c r="N788" s="666"/>
      <c r="O788" s="666"/>
      <c r="P788" s="666"/>
      <c r="Q788" s="666"/>
      <c r="R788" s="666"/>
      <c r="S788" s="666"/>
      <c r="T788" s="666"/>
      <c r="U788" s="666"/>
      <c r="V788" s="666"/>
      <c r="W788" s="666"/>
      <c r="X788" s="666"/>
      <c r="Y788" s="666"/>
      <c r="Z788" s="666"/>
      <c r="AA788" s="666"/>
      <c r="AB788" s="666"/>
      <c r="AC788" s="666"/>
      <c r="AD788" s="666"/>
      <c r="AE788" s="666"/>
      <c r="AF788" s="666"/>
      <c r="AG788" s="666"/>
      <c r="AH788" s="666"/>
      <c r="AI788" s="666"/>
      <c r="AJ788" s="666"/>
      <c r="AK788" s="666"/>
      <c r="AL788" s="666"/>
      <c r="AM788" s="666"/>
      <c r="AN788" s="666"/>
      <c r="AO788" s="666"/>
      <c r="AP788" s="666"/>
      <c r="AQ788" s="666"/>
      <c r="AR788" s="666"/>
      <c r="AS788" s="666"/>
      <c r="AT788" s="666"/>
      <c r="AU788" s="666"/>
    </row>
    <row r="789" ht="15.75" customHeight="1">
      <c r="A789" s="824">
        <v>44581.0</v>
      </c>
      <c r="B789" s="714" t="s">
        <v>7604</v>
      </c>
      <c r="C789" s="715" t="s">
        <v>98</v>
      </c>
      <c r="D789" s="641" t="s">
        <v>427</v>
      </c>
      <c r="E789" s="716">
        <v>13213.29</v>
      </c>
      <c r="F789" s="641" t="s">
        <v>5278</v>
      </c>
      <c r="G789" s="626" t="s">
        <v>120</v>
      </c>
      <c r="H789" s="816" t="s">
        <v>54</v>
      </c>
      <c r="I789" s="816" t="s">
        <v>379</v>
      </c>
      <c r="J789" s="817">
        <v>44405.0</v>
      </c>
      <c r="K789" s="750" t="s">
        <v>2341</v>
      </c>
      <c r="L789" s="666"/>
      <c r="M789" s="666"/>
      <c r="N789" s="666"/>
      <c r="O789" s="666"/>
      <c r="P789" s="666"/>
      <c r="Q789" s="666"/>
      <c r="R789" s="666"/>
      <c r="S789" s="666"/>
      <c r="T789" s="666"/>
      <c r="U789" s="666"/>
      <c r="V789" s="666"/>
      <c r="W789" s="666"/>
      <c r="X789" s="666"/>
      <c r="Y789" s="666"/>
      <c r="Z789" s="666"/>
      <c r="AA789" s="666"/>
      <c r="AB789" s="666"/>
      <c r="AC789" s="666"/>
      <c r="AD789" s="666"/>
      <c r="AE789" s="666"/>
      <c r="AF789" s="666"/>
      <c r="AG789" s="666"/>
      <c r="AH789" s="666"/>
      <c r="AI789" s="666"/>
      <c r="AJ789" s="666"/>
      <c r="AK789" s="666"/>
      <c r="AL789" s="666"/>
      <c r="AM789" s="666"/>
      <c r="AN789" s="666"/>
      <c r="AO789" s="666"/>
      <c r="AP789" s="666"/>
      <c r="AQ789" s="666"/>
      <c r="AR789" s="666"/>
      <c r="AS789" s="666"/>
      <c r="AT789" s="666"/>
      <c r="AU789" s="666"/>
    </row>
    <row r="790" ht="15.75" customHeight="1">
      <c r="A790" s="824">
        <v>44581.0</v>
      </c>
      <c r="B790" s="758" t="s">
        <v>5757</v>
      </c>
      <c r="C790" s="715" t="s">
        <v>2346</v>
      </c>
      <c r="D790" s="641" t="s">
        <v>5038</v>
      </c>
      <c r="E790" s="829">
        <v>13800.0</v>
      </c>
      <c r="F790" s="641" t="s">
        <v>5758</v>
      </c>
      <c r="G790" s="667" t="s">
        <v>669</v>
      </c>
      <c r="H790" s="667" t="s">
        <v>199</v>
      </c>
      <c r="I790" s="667" t="s">
        <v>2388</v>
      </c>
      <c r="J790" s="667">
        <v>43822.0</v>
      </c>
      <c r="K790" s="667" t="s">
        <v>2365</v>
      </c>
      <c r="L790" s="666"/>
      <c r="M790" s="666"/>
      <c r="N790" s="666"/>
      <c r="O790" s="666"/>
      <c r="P790" s="666"/>
      <c r="Q790" s="666"/>
      <c r="R790" s="666"/>
      <c r="S790" s="666"/>
      <c r="T790" s="666"/>
      <c r="U790" s="666"/>
      <c r="V790" s="666"/>
      <c r="W790" s="666"/>
      <c r="X790" s="666"/>
      <c r="Y790" s="666"/>
      <c r="Z790" s="666"/>
      <c r="AA790" s="666"/>
      <c r="AB790" s="666"/>
      <c r="AC790" s="666"/>
      <c r="AD790" s="666"/>
      <c r="AE790" s="666"/>
      <c r="AF790" s="666"/>
      <c r="AG790" s="666"/>
      <c r="AH790" s="666"/>
      <c r="AI790" s="666"/>
      <c r="AJ790" s="666"/>
      <c r="AK790" s="666"/>
      <c r="AL790" s="666"/>
      <c r="AM790" s="666"/>
      <c r="AN790" s="666"/>
      <c r="AO790" s="666"/>
      <c r="AP790" s="666"/>
      <c r="AQ790" s="666"/>
      <c r="AR790" s="666"/>
      <c r="AS790" s="666"/>
      <c r="AT790" s="666"/>
      <c r="AU790" s="666"/>
    </row>
    <row r="791" ht="15.75" customHeight="1">
      <c r="A791" s="824">
        <v>44581.0</v>
      </c>
      <c r="B791" s="758" t="s">
        <v>5178</v>
      </c>
      <c r="C791" s="715" t="s">
        <v>2346</v>
      </c>
      <c r="D791" s="641" t="s">
        <v>694</v>
      </c>
      <c r="E791" s="829">
        <v>3800.0</v>
      </c>
      <c r="F791" s="641" t="s">
        <v>5180</v>
      </c>
      <c r="G791" s="667" t="s">
        <v>669</v>
      </c>
      <c r="H791" s="667" t="s">
        <v>199</v>
      </c>
      <c r="I791" s="667" t="s">
        <v>1228</v>
      </c>
      <c r="J791" s="667">
        <v>43717.0</v>
      </c>
      <c r="K791" s="667" t="s">
        <v>4383</v>
      </c>
      <c r="L791" s="743"/>
      <c r="M791" s="743"/>
      <c r="N791" s="743"/>
      <c r="O791" s="666"/>
      <c r="P791" s="666"/>
      <c r="Q791" s="666"/>
      <c r="R791" s="666"/>
      <c r="S791" s="666"/>
      <c r="T791" s="666"/>
      <c r="U791" s="666"/>
      <c r="V791" s="666"/>
      <c r="W791" s="666"/>
      <c r="X791" s="666"/>
      <c r="Y791" s="666"/>
      <c r="Z791" s="666"/>
      <c r="AA791" s="666"/>
      <c r="AB791" s="666"/>
      <c r="AC791" s="666"/>
      <c r="AD791" s="666"/>
      <c r="AE791" s="666"/>
      <c r="AF791" s="666"/>
      <c r="AG791" s="666"/>
      <c r="AH791" s="666"/>
      <c r="AI791" s="666"/>
      <c r="AJ791" s="666"/>
      <c r="AK791" s="666"/>
      <c r="AL791" s="666"/>
      <c r="AM791" s="666"/>
      <c r="AN791" s="666"/>
      <c r="AO791" s="666"/>
      <c r="AP791" s="666"/>
      <c r="AQ791" s="666"/>
      <c r="AR791" s="666"/>
      <c r="AS791" s="666"/>
      <c r="AT791" s="666"/>
      <c r="AU791" s="666"/>
    </row>
    <row r="792" ht="15.75" customHeight="1">
      <c r="A792" s="824">
        <v>44581.0</v>
      </c>
      <c r="B792" s="758" t="s">
        <v>7301</v>
      </c>
      <c r="C792" s="715" t="s">
        <v>2346</v>
      </c>
      <c r="D792" s="641" t="s">
        <v>427</v>
      </c>
      <c r="E792" s="716">
        <v>11926.38</v>
      </c>
      <c r="F792" s="641" t="s">
        <v>3736</v>
      </c>
      <c r="G792" s="667" t="s">
        <v>669</v>
      </c>
      <c r="H792" s="667" t="s">
        <v>199</v>
      </c>
      <c r="I792" s="667" t="s">
        <v>1228</v>
      </c>
      <c r="J792" s="667">
        <v>43769.0</v>
      </c>
      <c r="K792" s="667" t="s">
        <v>2365</v>
      </c>
      <c r="L792" s="666"/>
      <c r="M792" s="666"/>
      <c r="N792" s="666"/>
      <c r="O792" s="666"/>
      <c r="P792" s="666"/>
      <c r="Q792" s="666"/>
      <c r="R792" s="666"/>
      <c r="S792" s="666"/>
      <c r="T792" s="666"/>
      <c r="U792" s="666"/>
      <c r="V792" s="666"/>
      <c r="W792" s="666"/>
      <c r="X792" s="666"/>
      <c r="Y792" s="666"/>
      <c r="Z792" s="666"/>
      <c r="AA792" s="666"/>
      <c r="AB792" s="666"/>
      <c r="AC792" s="666"/>
      <c r="AD792" s="666"/>
      <c r="AE792" s="666"/>
      <c r="AF792" s="666"/>
      <c r="AG792" s="666"/>
      <c r="AH792" s="666"/>
      <c r="AI792" s="666"/>
      <c r="AJ792" s="666"/>
      <c r="AK792" s="666"/>
      <c r="AL792" s="666"/>
      <c r="AM792" s="666"/>
      <c r="AN792" s="666"/>
      <c r="AO792" s="666"/>
      <c r="AP792" s="666"/>
      <c r="AQ792" s="666"/>
      <c r="AR792" s="666"/>
      <c r="AS792" s="666"/>
      <c r="AT792" s="666"/>
      <c r="AU792" s="666"/>
    </row>
    <row r="793" ht="15.75" customHeight="1">
      <c r="A793" s="824">
        <v>44582.0</v>
      </c>
      <c r="B793" s="758" t="s">
        <v>5727</v>
      </c>
      <c r="C793" s="715" t="s">
        <v>2346</v>
      </c>
      <c r="D793" s="641" t="s">
        <v>427</v>
      </c>
      <c r="E793" s="716">
        <v>219739.11</v>
      </c>
      <c r="F793" s="641" t="s">
        <v>5729</v>
      </c>
      <c r="G793" s="667" t="s">
        <v>120</v>
      </c>
      <c r="H793" s="667" t="s">
        <v>91</v>
      </c>
      <c r="I793" s="667" t="s">
        <v>521</v>
      </c>
      <c r="J793" s="667">
        <v>44319.0</v>
      </c>
      <c r="K793" s="667" t="s">
        <v>2341</v>
      </c>
      <c r="L793" s="666"/>
      <c r="M793" s="666"/>
      <c r="N793" s="666"/>
      <c r="O793" s="666"/>
      <c r="P793" s="666"/>
      <c r="Q793" s="666"/>
      <c r="R793" s="666"/>
      <c r="S793" s="666"/>
      <c r="T793" s="666"/>
      <c r="U793" s="666"/>
      <c r="V793" s="666"/>
      <c r="W793" s="666"/>
      <c r="X793" s="666"/>
      <c r="Y793" s="666"/>
      <c r="Z793" s="666"/>
      <c r="AA793" s="666"/>
      <c r="AB793" s="666"/>
      <c r="AC793" s="666"/>
      <c r="AD793" s="666"/>
      <c r="AE793" s="666"/>
      <c r="AF793" s="666"/>
      <c r="AG793" s="666"/>
      <c r="AH793" s="666"/>
      <c r="AI793" s="666"/>
      <c r="AJ793" s="666"/>
      <c r="AK793" s="666"/>
      <c r="AL793" s="666"/>
      <c r="AM793" s="666"/>
      <c r="AN793" s="666"/>
      <c r="AO793" s="666"/>
      <c r="AP793" s="666"/>
      <c r="AQ793" s="666"/>
      <c r="AR793" s="666"/>
      <c r="AS793" s="666"/>
      <c r="AT793" s="666"/>
      <c r="AU793" s="666"/>
    </row>
    <row r="794" ht="15.75" customHeight="1">
      <c r="A794" s="824">
        <v>44582.0</v>
      </c>
      <c r="B794" s="831" t="s">
        <v>5075</v>
      </c>
      <c r="C794" s="715" t="s">
        <v>2346</v>
      </c>
      <c r="D794" s="641" t="s">
        <v>5038</v>
      </c>
      <c r="E794" s="716">
        <v>3000.0</v>
      </c>
      <c r="F794" s="641" t="s">
        <v>956</v>
      </c>
      <c r="G794" s="667" t="s">
        <v>669</v>
      </c>
      <c r="H794" s="667" t="s">
        <v>199</v>
      </c>
      <c r="I794" s="667" t="s">
        <v>1228</v>
      </c>
      <c r="J794" s="667">
        <v>43605.0</v>
      </c>
      <c r="K794" s="667" t="s">
        <v>2365</v>
      </c>
      <c r="L794" s="666"/>
      <c r="M794" s="666"/>
      <c r="N794" s="666"/>
      <c r="O794" s="666"/>
      <c r="P794" s="666"/>
      <c r="Q794" s="666"/>
      <c r="R794" s="666"/>
      <c r="S794" s="666"/>
      <c r="T794" s="666"/>
      <c r="U794" s="666"/>
      <c r="V794" s="666"/>
      <c r="W794" s="666"/>
      <c r="X794" s="666"/>
      <c r="Y794" s="666"/>
      <c r="Z794" s="666"/>
      <c r="AA794" s="666"/>
      <c r="AB794" s="666"/>
      <c r="AC794" s="666"/>
      <c r="AD794" s="666"/>
      <c r="AE794" s="666"/>
      <c r="AF794" s="666"/>
      <c r="AG794" s="666"/>
      <c r="AH794" s="666"/>
      <c r="AI794" s="666"/>
      <c r="AJ794" s="666"/>
      <c r="AK794" s="666"/>
      <c r="AL794" s="666"/>
      <c r="AM794" s="666"/>
      <c r="AN794" s="666"/>
      <c r="AO794" s="666"/>
      <c r="AP794" s="666"/>
      <c r="AQ794" s="666"/>
      <c r="AR794" s="666"/>
      <c r="AS794" s="666"/>
      <c r="AT794" s="666"/>
      <c r="AU794" s="666"/>
    </row>
    <row r="795" ht="15.75" customHeight="1">
      <c r="A795" s="824">
        <v>44582.0</v>
      </c>
      <c r="B795" s="758" t="s">
        <v>6192</v>
      </c>
      <c r="C795" s="715" t="s">
        <v>2346</v>
      </c>
      <c r="D795" s="641" t="s">
        <v>5038</v>
      </c>
      <c r="E795" s="716">
        <v>30000.0</v>
      </c>
      <c r="F795" s="641" t="s">
        <v>5956</v>
      </c>
      <c r="G795" s="667" t="s">
        <v>120</v>
      </c>
      <c r="H795" s="667" t="s">
        <v>91</v>
      </c>
      <c r="I795" s="667" t="s">
        <v>193</v>
      </c>
      <c r="J795" s="667">
        <v>44280.0</v>
      </c>
      <c r="K795" s="667" t="s">
        <v>2341</v>
      </c>
      <c r="L795" s="666"/>
      <c r="M795" s="666"/>
      <c r="N795" s="666"/>
      <c r="O795" s="666"/>
      <c r="P795" s="666"/>
      <c r="Q795" s="666"/>
      <c r="R795" s="666"/>
      <c r="S795" s="666"/>
      <c r="T795" s="666"/>
      <c r="U795" s="666"/>
      <c r="V795" s="666"/>
      <c r="W795" s="666"/>
      <c r="X795" s="666"/>
      <c r="Y795" s="666"/>
      <c r="Z795" s="666"/>
      <c r="AA795" s="666"/>
      <c r="AB795" s="666"/>
      <c r="AC795" s="666"/>
      <c r="AD795" s="666"/>
      <c r="AE795" s="666"/>
      <c r="AF795" s="666"/>
      <c r="AG795" s="666"/>
      <c r="AH795" s="666"/>
      <c r="AI795" s="666"/>
      <c r="AJ795" s="666"/>
      <c r="AK795" s="666"/>
      <c r="AL795" s="666"/>
      <c r="AM795" s="666"/>
      <c r="AN795" s="666"/>
      <c r="AO795" s="666"/>
      <c r="AP795" s="666"/>
      <c r="AQ795" s="666"/>
      <c r="AR795" s="666"/>
      <c r="AS795" s="666"/>
      <c r="AT795" s="666"/>
      <c r="AU795" s="666"/>
    </row>
    <row r="796" ht="15.75" customHeight="1">
      <c r="A796" s="824">
        <v>44582.0</v>
      </c>
      <c r="B796" s="758" t="s">
        <v>6637</v>
      </c>
      <c r="C796" s="715" t="s">
        <v>2346</v>
      </c>
      <c r="D796" s="641" t="s">
        <v>5038</v>
      </c>
      <c r="E796" s="716">
        <v>10000.0</v>
      </c>
      <c r="F796" s="641" t="s">
        <v>6638</v>
      </c>
      <c r="G796" s="667" t="s">
        <v>120</v>
      </c>
      <c r="H796" s="667" t="s">
        <v>91</v>
      </c>
      <c r="I796" s="667" t="s">
        <v>699</v>
      </c>
      <c r="J796" s="667">
        <v>44267.0</v>
      </c>
      <c r="K796" s="667" t="s">
        <v>2341</v>
      </c>
      <c r="L796" s="666"/>
      <c r="M796" s="666"/>
      <c r="N796" s="666"/>
      <c r="O796" s="666"/>
      <c r="P796" s="666"/>
      <c r="Q796" s="666"/>
      <c r="R796" s="666"/>
      <c r="S796" s="666"/>
      <c r="T796" s="666"/>
      <c r="U796" s="666"/>
      <c r="V796" s="666"/>
      <c r="W796" s="666"/>
      <c r="X796" s="666"/>
      <c r="Y796" s="666"/>
      <c r="Z796" s="666"/>
      <c r="AA796" s="666"/>
      <c r="AB796" s="666"/>
      <c r="AC796" s="666"/>
      <c r="AD796" s="666"/>
      <c r="AE796" s="666"/>
      <c r="AF796" s="666"/>
      <c r="AG796" s="666"/>
      <c r="AH796" s="666"/>
      <c r="AI796" s="666"/>
      <c r="AJ796" s="666"/>
      <c r="AK796" s="666"/>
      <c r="AL796" s="666"/>
      <c r="AM796" s="666"/>
      <c r="AN796" s="666"/>
      <c r="AO796" s="666"/>
      <c r="AP796" s="666"/>
      <c r="AQ796" s="666"/>
      <c r="AR796" s="666"/>
      <c r="AS796" s="666"/>
      <c r="AT796" s="666"/>
      <c r="AU796" s="666"/>
    </row>
    <row r="797" ht="15.75" customHeight="1">
      <c r="A797" s="824">
        <v>44582.0</v>
      </c>
      <c r="B797" s="589">
        <v>7082227.0</v>
      </c>
      <c r="C797" s="715" t="s">
        <v>98</v>
      </c>
      <c r="D797" s="641" t="s">
        <v>5038</v>
      </c>
      <c r="E797" s="716">
        <v>25000.0</v>
      </c>
      <c r="F797" s="641" t="s">
        <v>5129</v>
      </c>
      <c r="G797" s="667" t="s">
        <v>120</v>
      </c>
      <c r="H797" s="667" t="s">
        <v>54</v>
      </c>
      <c r="I797" s="667" t="s">
        <v>4705</v>
      </c>
      <c r="J797" s="667">
        <v>44511.0</v>
      </c>
      <c r="K797" s="667" t="s">
        <v>2341</v>
      </c>
      <c r="L797" s="666"/>
      <c r="M797" s="666"/>
      <c r="N797" s="666"/>
      <c r="O797" s="666"/>
      <c r="P797" s="666"/>
      <c r="Q797" s="666"/>
      <c r="R797" s="666"/>
      <c r="S797" s="666"/>
      <c r="T797" s="666"/>
      <c r="U797" s="666"/>
      <c r="V797" s="666"/>
      <c r="W797" s="666"/>
      <c r="X797" s="666"/>
      <c r="Y797" s="666"/>
      <c r="Z797" s="666"/>
      <c r="AA797" s="666"/>
      <c r="AB797" s="666"/>
      <c r="AC797" s="666"/>
      <c r="AD797" s="666"/>
      <c r="AE797" s="666"/>
      <c r="AF797" s="666"/>
      <c r="AG797" s="666"/>
      <c r="AH797" s="666"/>
      <c r="AI797" s="666"/>
      <c r="AJ797" s="666"/>
      <c r="AK797" s="666"/>
      <c r="AL797" s="666"/>
      <c r="AM797" s="666"/>
      <c r="AN797" s="666"/>
      <c r="AO797" s="666"/>
      <c r="AP797" s="666"/>
      <c r="AQ797" s="666"/>
      <c r="AR797" s="666"/>
      <c r="AS797" s="666"/>
      <c r="AT797" s="666"/>
      <c r="AU797" s="666"/>
    </row>
    <row r="798" ht="15.75" customHeight="1">
      <c r="A798" s="824">
        <v>44582.0</v>
      </c>
      <c r="B798" s="815" t="s">
        <v>7287</v>
      </c>
      <c r="C798" s="715" t="s">
        <v>98</v>
      </c>
      <c r="D798" s="641" t="s">
        <v>5038</v>
      </c>
      <c r="E798" s="716">
        <v>10000.0</v>
      </c>
      <c r="F798" s="641" t="s">
        <v>7626</v>
      </c>
      <c r="G798" s="641" t="s">
        <v>120</v>
      </c>
      <c r="H798" s="641" t="s">
        <v>199</v>
      </c>
      <c r="I798" s="641" t="s">
        <v>439</v>
      </c>
      <c r="J798" s="667">
        <v>44399.0</v>
      </c>
      <c r="K798" s="641" t="s">
        <v>7630</v>
      </c>
      <c r="L798" s="666"/>
      <c r="M798" s="666"/>
      <c r="N798" s="666"/>
      <c r="O798" s="666"/>
      <c r="P798" s="666"/>
      <c r="Q798" s="666"/>
      <c r="R798" s="666"/>
      <c r="S798" s="666"/>
      <c r="T798" s="666"/>
      <c r="U798" s="666"/>
      <c r="V798" s="666"/>
      <c r="W798" s="666"/>
      <c r="X798" s="666"/>
      <c r="Y798" s="666"/>
      <c r="Z798" s="666"/>
      <c r="AA798" s="666"/>
      <c r="AB798" s="666"/>
      <c r="AC798" s="666"/>
      <c r="AD798" s="666"/>
      <c r="AE798" s="666"/>
      <c r="AF798" s="666"/>
      <c r="AG798" s="666"/>
      <c r="AH798" s="666"/>
      <c r="AI798" s="666"/>
      <c r="AJ798" s="666"/>
      <c r="AK798" s="666"/>
      <c r="AL798" s="666"/>
      <c r="AM798" s="666"/>
      <c r="AN798" s="666"/>
      <c r="AO798" s="666"/>
      <c r="AP798" s="666"/>
      <c r="AQ798" s="666"/>
      <c r="AR798" s="666"/>
      <c r="AS798" s="666"/>
      <c r="AT798" s="666"/>
      <c r="AU798" s="666"/>
    </row>
    <row r="799" ht="15.75" customHeight="1">
      <c r="A799" s="667">
        <v>44586.0</v>
      </c>
      <c r="B799" s="668" t="s">
        <v>7631</v>
      </c>
      <c r="C799" s="641" t="s">
        <v>98</v>
      </c>
      <c r="D799" s="641" t="s">
        <v>427</v>
      </c>
      <c r="E799" s="669">
        <v>142585.32</v>
      </c>
      <c r="F799" s="641" t="s">
        <v>6592</v>
      </c>
      <c r="G799" s="641" t="s">
        <v>120</v>
      </c>
      <c r="H799" s="641" t="s">
        <v>54</v>
      </c>
      <c r="I799" s="822" t="s">
        <v>1393</v>
      </c>
      <c r="J799" s="832">
        <v>44508.0</v>
      </c>
      <c r="K799" s="641" t="s">
        <v>2365</v>
      </c>
      <c r="L799" s="833"/>
      <c r="M799" s="833"/>
      <c r="N799" s="833"/>
      <c r="O799" s="833"/>
      <c r="P799" s="833"/>
      <c r="Q799" s="833"/>
      <c r="R799" s="833"/>
      <c r="S799" s="833"/>
      <c r="T799" s="833"/>
      <c r="U799" s="833"/>
      <c r="V799" s="833"/>
      <c r="W799" s="833"/>
      <c r="X799" s="833"/>
      <c r="Y799" s="833"/>
      <c r="Z799" s="833"/>
      <c r="AA799" s="833"/>
      <c r="AB799" s="666"/>
      <c r="AC799" s="666"/>
      <c r="AD799" s="666"/>
      <c r="AE799" s="666"/>
      <c r="AF799" s="666"/>
      <c r="AG799" s="666"/>
      <c r="AH799" s="666"/>
      <c r="AI799" s="666"/>
      <c r="AJ799" s="666"/>
      <c r="AK799" s="666"/>
      <c r="AL799" s="666"/>
      <c r="AM799" s="666"/>
      <c r="AN799" s="666"/>
      <c r="AO799" s="666"/>
      <c r="AP799" s="666"/>
      <c r="AQ799" s="666"/>
      <c r="AR799" s="666"/>
      <c r="AS799" s="666"/>
      <c r="AT799" s="666"/>
      <c r="AU799" s="666"/>
    </row>
    <row r="800" ht="15.75" customHeight="1">
      <c r="A800" s="667">
        <v>44592.0</v>
      </c>
      <c r="B800" s="668" t="s">
        <v>7635</v>
      </c>
      <c r="C800" s="641" t="s">
        <v>98</v>
      </c>
      <c r="D800" s="641" t="s">
        <v>5038</v>
      </c>
      <c r="E800" s="669">
        <v>3500.0</v>
      </c>
      <c r="F800" s="641" t="s">
        <v>3735</v>
      </c>
      <c r="G800" s="641" t="s">
        <v>120</v>
      </c>
      <c r="H800" s="641" t="s">
        <v>54</v>
      </c>
      <c r="I800" s="822" t="s">
        <v>125</v>
      </c>
      <c r="J800" s="832">
        <v>44523.0</v>
      </c>
      <c r="K800" s="641" t="s">
        <v>2356</v>
      </c>
      <c r="L800" s="643"/>
      <c r="M800" s="643"/>
      <c r="N800" s="643"/>
      <c r="O800" s="643"/>
      <c r="P800" s="643"/>
      <c r="Q800" s="643"/>
      <c r="R800" s="643"/>
      <c r="S800" s="643"/>
      <c r="T800" s="643"/>
      <c r="U800" s="643"/>
      <c r="V800" s="643"/>
      <c r="W800" s="643"/>
      <c r="X800" s="643"/>
      <c r="Y800" s="643"/>
      <c r="Z800" s="643"/>
      <c r="AA800" s="643"/>
      <c r="AB800" s="666"/>
      <c r="AC800" s="666"/>
      <c r="AD800" s="666"/>
      <c r="AE800" s="666"/>
      <c r="AF800" s="666"/>
      <c r="AG800" s="666"/>
      <c r="AH800" s="666"/>
      <c r="AI800" s="666"/>
      <c r="AJ800" s="666"/>
      <c r="AK800" s="666"/>
      <c r="AL800" s="666"/>
      <c r="AM800" s="666"/>
      <c r="AN800" s="666"/>
      <c r="AO800" s="666"/>
      <c r="AP800" s="666"/>
      <c r="AQ800" s="666"/>
      <c r="AR800" s="666"/>
      <c r="AS800" s="666"/>
      <c r="AT800" s="666"/>
      <c r="AU800" s="666"/>
    </row>
    <row r="801" ht="15.75" customHeight="1">
      <c r="A801" s="713">
        <v>44592.0</v>
      </c>
      <c r="B801" s="801" t="s">
        <v>6197</v>
      </c>
      <c r="C801" s="715" t="s">
        <v>2346</v>
      </c>
      <c r="D801" s="641" t="s">
        <v>694</v>
      </c>
      <c r="E801" s="716" t="s">
        <v>7638</v>
      </c>
      <c r="F801" s="641" t="s">
        <v>3516</v>
      </c>
      <c r="G801" s="667" t="s">
        <v>120</v>
      </c>
      <c r="H801" s="667" t="s">
        <v>91</v>
      </c>
      <c r="I801" s="667" t="s">
        <v>193</v>
      </c>
      <c r="J801" s="667">
        <v>44295.0</v>
      </c>
      <c r="K801" s="667" t="s">
        <v>2319</v>
      </c>
      <c r="L801" s="643"/>
      <c r="M801" s="643"/>
      <c r="N801" s="643"/>
      <c r="O801" s="643"/>
      <c r="P801" s="643"/>
      <c r="Q801" s="643"/>
      <c r="R801" s="643"/>
      <c r="S801" s="643"/>
      <c r="T801" s="643"/>
      <c r="U801" s="643"/>
      <c r="V801" s="643"/>
      <c r="W801" s="643"/>
      <c r="X801" s="643"/>
      <c r="Y801" s="643"/>
      <c r="Z801" s="643"/>
      <c r="AA801" s="643"/>
      <c r="AB801" s="666"/>
      <c r="AC801" s="666"/>
      <c r="AD801" s="666"/>
      <c r="AE801" s="666"/>
      <c r="AF801" s="666"/>
      <c r="AG801" s="666"/>
      <c r="AH801" s="666"/>
      <c r="AI801" s="666"/>
      <c r="AJ801" s="666"/>
      <c r="AK801" s="666"/>
      <c r="AL801" s="666"/>
      <c r="AM801" s="666"/>
      <c r="AN801" s="666"/>
      <c r="AO801" s="666"/>
      <c r="AP801" s="666"/>
      <c r="AQ801" s="666"/>
      <c r="AR801" s="666"/>
      <c r="AS801" s="666"/>
      <c r="AT801" s="666"/>
      <c r="AU801" s="666"/>
    </row>
    <row r="802" ht="15.75" customHeight="1">
      <c r="A802" s="667">
        <v>44593.0</v>
      </c>
      <c r="B802" s="668" t="s">
        <v>5960</v>
      </c>
      <c r="C802" s="641" t="s">
        <v>98</v>
      </c>
      <c r="D802" s="641" t="s">
        <v>5038</v>
      </c>
      <c r="E802" s="669">
        <v>11000.0</v>
      </c>
      <c r="F802" s="641" t="s">
        <v>5963</v>
      </c>
      <c r="G802" s="641" t="s">
        <v>255</v>
      </c>
      <c r="H802" s="641" t="s">
        <v>199</v>
      </c>
      <c r="I802" s="822" t="s">
        <v>4761</v>
      </c>
      <c r="J802" s="832">
        <v>44180.0</v>
      </c>
      <c r="K802" s="641" t="s">
        <v>2341</v>
      </c>
      <c r="L802" s="643"/>
      <c r="M802" s="643"/>
      <c r="N802" s="643"/>
      <c r="O802" s="643"/>
      <c r="P802" s="643"/>
      <c r="Q802" s="643"/>
      <c r="R802" s="643"/>
      <c r="S802" s="643"/>
      <c r="T802" s="643"/>
      <c r="U802" s="643"/>
      <c r="V802" s="643"/>
      <c r="W802" s="643"/>
      <c r="X802" s="643"/>
      <c r="Y802" s="643"/>
      <c r="Z802" s="643"/>
      <c r="AA802" s="643"/>
      <c r="AB802" s="666"/>
      <c r="AC802" s="666"/>
      <c r="AD802" s="666"/>
      <c r="AE802" s="666"/>
      <c r="AF802" s="666"/>
      <c r="AG802" s="666"/>
      <c r="AH802" s="666"/>
      <c r="AI802" s="666"/>
      <c r="AJ802" s="666"/>
      <c r="AK802" s="666"/>
      <c r="AL802" s="666"/>
      <c r="AM802" s="666"/>
      <c r="AN802" s="666"/>
      <c r="AO802" s="666"/>
      <c r="AP802" s="666"/>
      <c r="AQ802" s="666"/>
      <c r="AR802" s="666"/>
      <c r="AS802" s="666"/>
      <c r="AT802" s="666"/>
      <c r="AU802" s="666"/>
    </row>
    <row r="803" ht="15.75" customHeight="1">
      <c r="A803" s="667">
        <v>44601.0</v>
      </c>
      <c r="B803" s="822" t="s">
        <v>7643</v>
      </c>
      <c r="C803" s="641" t="s">
        <v>98</v>
      </c>
      <c r="D803" s="641" t="s">
        <v>5038</v>
      </c>
      <c r="E803" s="669">
        <v>25000.0</v>
      </c>
      <c r="F803" s="641" t="s">
        <v>6087</v>
      </c>
      <c r="G803" s="626" t="s">
        <v>120</v>
      </c>
      <c r="H803" s="834" t="s">
        <v>199</v>
      </c>
      <c r="I803" s="626" t="s">
        <v>7647</v>
      </c>
      <c r="J803" s="741">
        <v>44594.0</v>
      </c>
      <c r="K803" s="641" t="s">
        <v>2356</v>
      </c>
      <c r="L803" s="666"/>
      <c r="M803" s="666"/>
      <c r="N803" s="666"/>
      <c r="O803" s="666"/>
      <c r="P803" s="666"/>
      <c r="Q803" s="666"/>
      <c r="R803" s="666"/>
      <c r="S803" s="666"/>
      <c r="T803" s="666"/>
      <c r="U803" s="666"/>
      <c r="V803" s="666"/>
      <c r="W803" s="666"/>
      <c r="X803" s="666"/>
      <c r="Y803" s="666"/>
      <c r="Z803" s="666"/>
      <c r="AA803" s="666"/>
      <c r="AB803" s="666"/>
      <c r="AC803" s="666"/>
      <c r="AD803" s="666"/>
      <c r="AE803" s="666"/>
      <c r="AF803" s="666"/>
      <c r="AG803" s="666"/>
      <c r="AH803" s="666"/>
      <c r="AI803" s="666"/>
      <c r="AJ803" s="666"/>
      <c r="AK803" s="666"/>
      <c r="AL803" s="666"/>
      <c r="AM803" s="666"/>
      <c r="AN803" s="666"/>
      <c r="AO803" s="666"/>
      <c r="AP803" s="666"/>
      <c r="AQ803" s="666"/>
      <c r="AR803" s="666"/>
      <c r="AS803" s="666"/>
      <c r="AT803" s="666"/>
      <c r="AU803" s="666"/>
    </row>
    <row r="804" ht="15.75" customHeight="1">
      <c r="A804" s="667">
        <v>44606.0</v>
      </c>
      <c r="B804" s="668" t="s">
        <v>7651</v>
      </c>
      <c r="C804" s="641" t="s">
        <v>98</v>
      </c>
      <c r="D804" s="641" t="s">
        <v>5038</v>
      </c>
      <c r="E804" s="669">
        <v>45000.0</v>
      </c>
      <c r="F804" s="641" t="s">
        <v>2314</v>
      </c>
      <c r="G804" s="641" t="s">
        <v>120</v>
      </c>
      <c r="H804" s="641" t="s">
        <v>199</v>
      </c>
      <c r="I804" s="822" t="s">
        <v>628</v>
      </c>
      <c r="J804" s="832">
        <v>44482.0</v>
      </c>
      <c r="K804" s="641" t="s">
        <v>2319</v>
      </c>
      <c r="L804" s="666"/>
      <c r="M804" s="666"/>
      <c r="N804" s="666"/>
      <c r="O804" s="666"/>
      <c r="P804" s="666"/>
      <c r="Q804" s="666"/>
      <c r="R804" s="666"/>
      <c r="S804" s="666"/>
      <c r="T804" s="666"/>
      <c r="U804" s="666"/>
      <c r="V804" s="666"/>
      <c r="W804" s="666"/>
      <c r="X804" s="666"/>
      <c r="Y804" s="666"/>
      <c r="Z804" s="666"/>
      <c r="AA804" s="666"/>
      <c r="AB804" s="666"/>
      <c r="AC804" s="666"/>
      <c r="AD804" s="666"/>
      <c r="AE804" s="666"/>
      <c r="AF804" s="666"/>
      <c r="AG804" s="666"/>
      <c r="AH804" s="666"/>
      <c r="AI804" s="666"/>
      <c r="AJ804" s="666"/>
      <c r="AK804" s="666"/>
      <c r="AL804" s="666"/>
      <c r="AM804" s="666"/>
      <c r="AN804" s="666"/>
      <c r="AO804" s="666"/>
      <c r="AP804" s="666"/>
      <c r="AQ804" s="666"/>
      <c r="AR804" s="666"/>
      <c r="AS804" s="666"/>
      <c r="AT804" s="666"/>
      <c r="AU804" s="666"/>
    </row>
    <row r="805" ht="15.75" customHeight="1">
      <c r="A805" s="667">
        <v>44609.0</v>
      </c>
      <c r="B805" s="668" t="s">
        <v>5960</v>
      </c>
      <c r="C805" s="641" t="s">
        <v>98</v>
      </c>
      <c r="D805" s="641" t="s">
        <v>5038</v>
      </c>
      <c r="E805" s="669">
        <v>10000.0</v>
      </c>
      <c r="F805" s="641" t="s">
        <v>5963</v>
      </c>
      <c r="G805" s="641" t="s">
        <v>255</v>
      </c>
      <c r="H805" s="834" t="s">
        <v>199</v>
      </c>
      <c r="I805" s="822" t="s">
        <v>4761</v>
      </c>
      <c r="J805" s="832">
        <v>44180.0</v>
      </c>
      <c r="K805" s="641" t="s">
        <v>2341</v>
      </c>
      <c r="L805" s="666"/>
      <c r="M805" s="666"/>
      <c r="N805" s="666"/>
      <c r="O805" s="666"/>
      <c r="P805" s="666"/>
      <c r="Q805" s="666"/>
      <c r="R805" s="666"/>
      <c r="S805" s="666"/>
      <c r="T805" s="666"/>
      <c r="U805" s="666"/>
      <c r="V805" s="666"/>
      <c r="W805" s="666"/>
      <c r="X805" s="666"/>
      <c r="Y805" s="666"/>
      <c r="Z805" s="666"/>
      <c r="AA805" s="666"/>
      <c r="AB805" s="666"/>
      <c r="AC805" s="666"/>
      <c r="AD805" s="666"/>
      <c r="AE805" s="666"/>
      <c r="AF805" s="666"/>
      <c r="AG805" s="666"/>
      <c r="AH805" s="666"/>
      <c r="AI805" s="666"/>
      <c r="AJ805" s="666"/>
      <c r="AK805" s="666"/>
      <c r="AL805" s="666"/>
      <c r="AM805" s="666"/>
      <c r="AN805" s="666"/>
      <c r="AO805" s="666"/>
      <c r="AP805" s="666"/>
      <c r="AQ805" s="666"/>
      <c r="AR805" s="666"/>
      <c r="AS805" s="666"/>
      <c r="AT805" s="666"/>
      <c r="AU805" s="666"/>
    </row>
    <row r="806" ht="15.75" customHeight="1">
      <c r="A806" s="667">
        <v>44622.0</v>
      </c>
      <c r="B806" s="589">
        <v>858723.0</v>
      </c>
      <c r="C806" s="589" t="s">
        <v>2346</v>
      </c>
      <c r="D806" s="641" t="s">
        <v>5038</v>
      </c>
      <c r="E806" s="717">
        <v>25000.0</v>
      </c>
      <c r="F806" s="589" t="s">
        <v>6769</v>
      </c>
      <c r="G806" s="626" t="s">
        <v>120</v>
      </c>
      <c r="H806" s="641" t="s">
        <v>91</v>
      </c>
      <c r="I806" s="641" t="s">
        <v>521</v>
      </c>
      <c r="J806" s="726">
        <v>44585.0</v>
      </c>
      <c r="K806" s="822" t="s">
        <v>2356</v>
      </c>
      <c r="L806" s="666"/>
      <c r="M806" s="666"/>
      <c r="N806" s="666"/>
      <c r="O806" s="666"/>
      <c r="P806" s="666"/>
      <c r="Q806" s="666"/>
      <c r="R806" s="666"/>
      <c r="S806" s="666"/>
      <c r="T806" s="666"/>
      <c r="U806" s="666"/>
      <c r="V806" s="666"/>
      <c r="W806" s="666"/>
      <c r="X806" s="666"/>
      <c r="Y806" s="666"/>
      <c r="Z806" s="666"/>
      <c r="AA806" s="666"/>
      <c r="AB806" s="666"/>
      <c r="AC806" s="666"/>
      <c r="AD806" s="666"/>
      <c r="AE806" s="666"/>
      <c r="AF806" s="666"/>
      <c r="AG806" s="666"/>
      <c r="AH806" s="666"/>
      <c r="AI806" s="666"/>
      <c r="AJ806" s="666"/>
      <c r="AK806" s="666"/>
      <c r="AL806" s="666"/>
      <c r="AM806" s="666"/>
      <c r="AN806" s="666"/>
      <c r="AO806" s="666"/>
      <c r="AP806" s="666"/>
      <c r="AQ806" s="666"/>
      <c r="AR806" s="666"/>
      <c r="AS806" s="666"/>
      <c r="AT806" s="666"/>
      <c r="AU806" s="666"/>
    </row>
    <row r="807" ht="15.75" customHeight="1">
      <c r="A807" s="667">
        <v>44622.0</v>
      </c>
      <c r="B807" s="589">
        <v>328970.0</v>
      </c>
      <c r="C807" s="589" t="s">
        <v>2346</v>
      </c>
      <c r="D807" s="641" t="s">
        <v>5038</v>
      </c>
      <c r="E807" s="717">
        <v>106000.0</v>
      </c>
      <c r="F807" s="750" t="s">
        <v>1052</v>
      </c>
      <c r="G807" s="626" t="s">
        <v>120</v>
      </c>
      <c r="H807" s="641" t="s">
        <v>91</v>
      </c>
      <c r="I807" s="641" t="s">
        <v>193</v>
      </c>
      <c r="J807" s="726">
        <v>44277.0</v>
      </c>
      <c r="K807" s="822" t="s">
        <v>2319</v>
      </c>
      <c r="L807" s="666"/>
      <c r="M807" s="666"/>
      <c r="N807" s="666"/>
      <c r="O807" s="666"/>
      <c r="P807" s="666"/>
      <c r="Q807" s="666"/>
      <c r="R807" s="666"/>
      <c r="S807" s="666"/>
      <c r="T807" s="666"/>
      <c r="U807" s="666"/>
      <c r="V807" s="666"/>
      <c r="W807" s="666"/>
      <c r="X807" s="666"/>
      <c r="Y807" s="666"/>
      <c r="Z807" s="666"/>
      <c r="AA807" s="666"/>
      <c r="AB807" s="666"/>
      <c r="AC807" s="666"/>
      <c r="AD807" s="666"/>
      <c r="AE807" s="666"/>
      <c r="AF807" s="666"/>
      <c r="AG807" s="666"/>
      <c r="AH807" s="666"/>
      <c r="AI807" s="666"/>
      <c r="AJ807" s="666"/>
      <c r="AK807" s="666"/>
      <c r="AL807" s="666"/>
      <c r="AM807" s="666"/>
      <c r="AN807" s="666"/>
      <c r="AO807" s="666"/>
      <c r="AP807" s="666"/>
      <c r="AQ807" s="666"/>
      <c r="AR807" s="666"/>
      <c r="AS807" s="666"/>
      <c r="AT807" s="666"/>
      <c r="AU807" s="666"/>
    </row>
    <row r="808" ht="15.75" customHeight="1">
      <c r="A808" s="667">
        <v>44622.0</v>
      </c>
      <c r="B808" s="668" t="s">
        <v>7664</v>
      </c>
      <c r="C808" s="589" t="s">
        <v>2346</v>
      </c>
      <c r="D808" s="641" t="s">
        <v>5038</v>
      </c>
      <c r="E808" s="717">
        <v>100000.0</v>
      </c>
      <c r="F808" s="641" t="s">
        <v>7665</v>
      </c>
      <c r="G808" s="626" t="s">
        <v>120</v>
      </c>
      <c r="H808" s="641" t="s">
        <v>91</v>
      </c>
      <c r="I808" s="641" t="s">
        <v>193</v>
      </c>
      <c r="J808" s="667">
        <v>44448.0</v>
      </c>
      <c r="K808" s="641" t="s">
        <v>2319</v>
      </c>
      <c r="L808" s="666"/>
      <c r="M808" s="666"/>
      <c r="N808" s="666"/>
      <c r="O808" s="666"/>
      <c r="P808" s="666"/>
      <c r="Q808" s="666"/>
      <c r="R808" s="666"/>
      <c r="S808" s="666"/>
      <c r="T808" s="666"/>
      <c r="U808" s="666"/>
      <c r="V808" s="666"/>
      <c r="W808" s="666"/>
      <c r="X808" s="666"/>
      <c r="Y808" s="666"/>
      <c r="Z808" s="666"/>
      <c r="AA808" s="666"/>
      <c r="AB808" s="666"/>
      <c r="AC808" s="666"/>
      <c r="AD808" s="666"/>
      <c r="AE808" s="666"/>
      <c r="AF808" s="666"/>
      <c r="AG808" s="666"/>
      <c r="AH808" s="666"/>
      <c r="AI808" s="666"/>
      <c r="AJ808" s="666"/>
      <c r="AK808" s="666"/>
      <c r="AL808" s="666"/>
      <c r="AM808" s="666"/>
      <c r="AN808" s="666"/>
      <c r="AO808" s="666"/>
      <c r="AP808" s="666"/>
      <c r="AQ808" s="666"/>
      <c r="AR808" s="666"/>
      <c r="AS808" s="666"/>
      <c r="AT808" s="666"/>
      <c r="AU808" s="666"/>
    </row>
    <row r="809" ht="15.75" customHeight="1">
      <c r="A809" s="667">
        <v>44622.0</v>
      </c>
      <c r="B809" s="589">
        <v>330028.0</v>
      </c>
      <c r="C809" s="589" t="s">
        <v>2346</v>
      </c>
      <c r="D809" s="641" t="s">
        <v>5038</v>
      </c>
      <c r="E809" s="669">
        <v>500.0</v>
      </c>
      <c r="F809" s="641" t="s">
        <v>2122</v>
      </c>
      <c r="G809" s="626" t="s">
        <v>120</v>
      </c>
      <c r="H809" s="641" t="s">
        <v>91</v>
      </c>
      <c r="I809" s="641" t="s">
        <v>521</v>
      </c>
      <c r="J809" s="667">
        <v>44263.0</v>
      </c>
      <c r="K809" s="641" t="s">
        <v>2341</v>
      </c>
      <c r="L809" s="666"/>
      <c r="M809" s="666"/>
      <c r="N809" s="666"/>
      <c r="O809" s="666"/>
      <c r="P809" s="666"/>
      <c r="Q809" s="666"/>
      <c r="R809" s="666"/>
      <c r="S809" s="666"/>
      <c r="T809" s="666"/>
      <c r="U809" s="666"/>
      <c r="V809" s="666"/>
      <c r="W809" s="666"/>
      <c r="X809" s="666"/>
      <c r="Y809" s="666"/>
      <c r="Z809" s="666"/>
      <c r="AA809" s="666"/>
      <c r="AB809" s="666"/>
      <c r="AC809" s="666"/>
      <c r="AD809" s="666"/>
      <c r="AE809" s="666"/>
      <c r="AF809" s="666"/>
      <c r="AG809" s="666"/>
      <c r="AH809" s="666"/>
      <c r="AI809" s="666"/>
      <c r="AJ809" s="666"/>
      <c r="AK809" s="666"/>
      <c r="AL809" s="666"/>
      <c r="AM809" s="666"/>
      <c r="AN809" s="666"/>
      <c r="AO809" s="666"/>
      <c r="AP809" s="666"/>
      <c r="AQ809" s="666"/>
      <c r="AR809" s="666"/>
      <c r="AS809" s="666"/>
      <c r="AT809" s="666"/>
      <c r="AU809" s="666"/>
    </row>
    <row r="810" ht="15.75" customHeight="1">
      <c r="A810" s="667">
        <v>44627.0</v>
      </c>
      <c r="B810" s="808" t="s">
        <v>5796</v>
      </c>
      <c r="C810" s="641" t="s">
        <v>98</v>
      </c>
      <c r="D810" s="641" t="s">
        <v>5038</v>
      </c>
      <c r="E810" s="717">
        <v>8000.0</v>
      </c>
      <c r="F810" s="641" t="s">
        <v>2563</v>
      </c>
      <c r="G810" s="641" t="s">
        <v>669</v>
      </c>
      <c r="H810" s="641" t="s">
        <v>3320</v>
      </c>
      <c r="I810" s="641" t="s">
        <v>669</v>
      </c>
      <c r="J810" s="667">
        <v>44180.0</v>
      </c>
      <c r="K810" s="641" t="s">
        <v>2341</v>
      </c>
      <c r="L810" s="666"/>
      <c r="M810" s="666"/>
      <c r="N810" s="666"/>
      <c r="O810" s="666"/>
      <c r="P810" s="666"/>
      <c r="Q810" s="666"/>
      <c r="R810" s="666"/>
      <c r="S810" s="666"/>
      <c r="T810" s="666"/>
      <c r="U810" s="666"/>
      <c r="V810" s="666"/>
      <c r="W810" s="666"/>
      <c r="X810" s="666"/>
      <c r="Y810" s="666"/>
      <c r="Z810" s="666"/>
      <c r="AA810" s="666"/>
      <c r="AB810" s="666"/>
      <c r="AC810" s="666"/>
      <c r="AD810" s="666"/>
      <c r="AE810" s="666"/>
      <c r="AF810" s="666"/>
      <c r="AG810" s="666"/>
      <c r="AH810" s="666"/>
      <c r="AI810" s="666"/>
      <c r="AJ810" s="666"/>
      <c r="AK810" s="666"/>
      <c r="AL810" s="666"/>
      <c r="AM810" s="666"/>
      <c r="AN810" s="666"/>
      <c r="AO810" s="666"/>
      <c r="AP810" s="666"/>
      <c r="AQ810" s="666"/>
      <c r="AR810" s="666"/>
      <c r="AS810" s="666"/>
      <c r="AT810" s="666"/>
      <c r="AU810" s="666"/>
    </row>
    <row r="811" ht="15.75" customHeight="1">
      <c r="A811" s="667">
        <v>44627.0</v>
      </c>
      <c r="B811" s="589">
        <v>4345500.0</v>
      </c>
      <c r="C811" s="589" t="s">
        <v>2346</v>
      </c>
      <c r="D811" s="641" t="s">
        <v>5038</v>
      </c>
      <c r="E811" s="717">
        <v>7500.0</v>
      </c>
      <c r="F811" s="641" t="s">
        <v>5066</v>
      </c>
      <c r="G811" s="641" t="s">
        <v>669</v>
      </c>
      <c r="H811" s="667"/>
      <c r="I811" s="641" t="s">
        <v>669</v>
      </c>
      <c r="J811" s="667">
        <v>43703.0</v>
      </c>
      <c r="K811" s="641" t="s">
        <v>4383</v>
      </c>
      <c r="L811" s="666"/>
      <c r="M811" s="666"/>
      <c r="N811" s="666"/>
      <c r="O811" s="666"/>
      <c r="P811" s="666"/>
      <c r="Q811" s="666"/>
      <c r="R811" s="666"/>
      <c r="S811" s="666"/>
      <c r="T811" s="666"/>
      <c r="U811" s="666"/>
      <c r="V811" s="666"/>
      <c r="W811" s="666"/>
      <c r="X811" s="666"/>
      <c r="Y811" s="666"/>
      <c r="Z811" s="666"/>
      <c r="AA811" s="666"/>
      <c r="AB811" s="666"/>
      <c r="AC811" s="666"/>
      <c r="AD811" s="666"/>
      <c r="AE811" s="666"/>
      <c r="AF811" s="666"/>
      <c r="AG811" s="666"/>
      <c r="AH811" s="666"/>
      <c r="AI811" s="666"/>
      <c r="AJ811" s="666"/>
      <c r="AK811" s="666"/>
      <c r="AL811" s="666"/>
      <c r="AM811" s="666"/>
      <c r="AN811" s="666"/>
      <c r="AO811" s="666"/>
      <c r="AP811" s="666"/>
      <c r="AQ811" s="666"/>
      <c r="AR811" s="666"/>
      <c r="AS811" s="666"/>
      <c r="AT811" s="666"/>
      <c r="AU811" s="666"/>
    </row>
    <row r="812" ht="15.75" customHeight="1">
      <c r="A812" s="757">
        <v>44628.0</v>
      </c>
      <c r="B812" s="758" t="s">
        <v>5724</v>
      </c>
      <c r="C812" s="759" t="s">
        <v>98</v>
      </c>
      <c r="D812" s="760" t="s">
        <v>5038</v>
      </c>
      <c r="E812" s="761">
        <v>5000.0</v>
      </c>
      <c r="F812" s="760" t="s">
        <v>5042</v>
      </c>
      <c r="G812" s="760" t="s">
        <v>255</v>
      </c>
      <c r="H812" s="760" t="s">
        <v>199</v>
      </c>
      <c r="I812" s="760" t="s">
        <v>2587</v>
      </c>
      <c r="J812" s="762">
        <v>44263.0</v>
      </c>
      <c r="K812" s="759" t="s">
        <v>2341</v>
      </c>
      <c r="L812" s="666"/>
      <c r="M812" s="666"/>
      <c r="N812" s="666"/>
      <c r="O812" s="666"/>
      <c r="P812" s="666"/>
      <c r="Q812" s="666"/>
      <c r="R812" s="666"/>
      <c r="S812" s="666"/>
      <c r="T812" s="666"/>
      <c r="U812" s="666"/>
      <c r="V812" s="666"/>
      <c r="W812" s="666"/>
      <c r="X812" s="666"/>
      <c r="Y812" s="666"/>
      <c r="Z812" s="666"/>
      <c r="AA812" s="666"/>
      <c r="AB812" s="666"/>
      <c r="AC812" s="666"/>
      <c r="AD812" s="666"/>
      <c r="AE812" s="666"/>
      <c r="AF812" s="666"/>
      <c r="AG812" s="666"/>
      <c r="AH812" s="666"/>
      <c r="AI812" s="666"/>
      <c r="AJ812" s="666"/>
      <c r="AK812" s="666"/>
      <c r="AL812" s="666"/>
      <c r="AM812" s="666"/>
      <c r="AN812" s="666"/>
      <c r="AO812" s="666"/>
      <c r="AP812" s="666"/>
      <c r="AQ812" s="666"/>
      <c r="AR812" s="666"/>
      <c r="AS812" s="666"/>
      <c r="AT812" s="666"/>
      <c r="AU812" s="666"/>
    </row>
    <row r="813" ht="15.75" customHeight="1">
      <c r="A813" s="667">
        <v>44630.0</v>
      </c>
      <c r="B813" s="668" t="s">
        <v>6293</v>
      </c>
      <c r="C813" s="589" t="s">
        <v>2346</v>
      </c>
      <c r="D813" s="641" t="s">
        <v>5038</v>
      </c>
      <c r="E813" s="717">
        <v>40000.0</v>
      </c>
      <c r="F813" s="641" t="s">
        <v>922</v>
      </c>
      <c r="G813" s="641" t="s">
        <v>120</v>
      </c>
      <c r="H813" s="641" t="s">
        <v>91</v>
      </c>
      <c r="I813" s="641" t="s">
        <v>521</v>
      </c>
      <c r="J813" s="667">
        <v>44319.0</v>
      </c>
      <c r="K813" s="641" t="s">
        <v>2341</v>
      </c>
      <c r="L813" s="666"/>
      <c r="M813" s="666"/>
      <c r="N813" s="666"/>
      <c r="O813" s="666"/>
      <c r="P813" s="666"/>
      <c r="Q813" s="666"/>
      <c r="R813" s="666"/>
      <c r="S813" s="666"/>
      <c r="T813" s="666"/>
      <c r="U813" s="666"/>
      <c r="V813" s="666"/>
      <c r="W813" s="666"/>
      <c r="X813" s="666"/>
      <c r="Y813" s="666"/>
      <c r="Z813" s="666"/>
      <c r="AA813" s="666"/>
      <c r="AB813" s="666"/>
      <c r="AC813" s="666"/>
      <c r="AD813" s="666"/>
      <c r="AE813" s="666"/>
      <c r="AF813" s="666"/>
      <c r="AG813" s="666"/>
      <c r="AH813" s="666"/>
      <c r="AI813" s="666"/>
      <c r="AJ813" s="666"/>
      <c r="AK813" s="666"/>
      <c r="AL813" s="666"/>
      <c r="AM813" s="666"/>
      <c r="AN813" s="666"/>
      <c r="AO813" s="666"/>
      <c r="AP813" s="666"/>
      <c r="AQ813" s="666"/>
      <c r="AR813" s="666"/>
      <c r="AS813" s="666"/>
      <c r="AT813" s="666"/>
      <c r="AU813" s="666"/>
    </row>
    <row r="814" ht="15.75" customHeight="1">
      <c r="A814" s="667">
        <v>44630.0</v>
      </c>
      <c r="B814" s="668" t="s">
        <v>7678</v>
      </c>
      <c r="C814" s="589" t="s">
        <v>2346</v>
      </c>
      <c r="D814" s="641" t="s">
        <v>5038</v>
      </c>
      <c r="E814" s="717">
        <v>25000.0</v>
      </c>
      <c r="F814" s="641" t="s">
        <v>6769</v>
      </c>
      <c r="G814" s="641" t="s">
        <v>120</v>
      </c>
      <c r="H814" s="641" t="s">
        <v>91</v>
      </c>
      <c r="I814" s="641" t="s">
        <v>521</v>
      </c>
      <c r="J814" s="667">
        <v>44585.0</v>
      </c>
      <c r="K814" s="641" t="s">
        <v>2356</v>
      </c>
      <c r="L814" s="666"/>
      <c r="M814" s="666"/>
      <c r="N814" s="666"/>
      <c r="O814" s="666"/>
      <c r="P814" s="666"/>
      <c r="Q814" s="666"/>
      <c r="R814" s="666"/>
      <c r="S814" s="666"/>
      <c r="T814" s="666"/>
      <c r="U814" s="666"/>
      <c r="V814" s="666"/>
      <c r="W814" s="666"/>
      <c r="X814" s="666"/>
      <c r="Y814" s="666"/>
      <c r="Z814" s="666"/>
      <c r="AA814" s="666"/>
      <c r="AB814" s="666"/>
      <c r="AC814" s="666"/>
      <c r="AD814" s="666"/>
      <c r="AE814" s="666"/>
      <c r="AF814" s="666"/>
      <c r="AG814" s="666"/>
      <c r="AH814" s="666"/>
      <c r="AI814" s="666"/>
      <c r="AJ814" s="666"/>
      <c r="AK814" s="666"/>
      <c r="AL814" s="666"/>
      <c r="AM814" s="666"/>
      <c r="AN814" s="666"/>
      <c r="AO814" s="666"/>
      <c r="AP814" s="666"/>
      <c r="AQ814" s="666"/>
      <c r="AR814" s="666"/>
      <c r="AS814" s="666"/>
      <c r="AT814" s="666"/>
      <c r="AU814" s="666"/>
    </row>
    <row r="815" ht="15.75" customHeight="1">
      <c r="A815" s="667">
        <v>44630.0</v>
      </c>
      <c r="B815" s="668" t="s">
        <v>7681</v>
      </c>
      <c r="C815" s="589" t="s">
        <v>2346</v>
      </c>
      <c r="D815" s="641" t="s">
        <v>5038</v>
      </c>
      <c r="E815" s="669">
        <v>16000.0</v>
      </c>
      <c r="F815" s="641" t="s">
        <v>7038</v>
      </c>
      <c r="G815" s="641" t="s">
        <v>120</v>
      </c>
      <c r="H815" s="641" t="s">
        <v>91</v>
      </c>
      <c r="I815" s="834" t="s">
        <v>193</v>
      </c>
      <c r="J815" s="667">
        <v>44462.0</v>
      </c>
      <c r="K815" s="641" t="s">
        <v>2372</v>
      </c>
      <c r="L815" s="666"/>
      <c r="M815" s="666"/>
      <c r="N815" s="666"/>
      <c r="O815" s="666"/>
      <c r="P815" s="666"/>
      <c r="Q815" s="666"/>
      <c r="R815" s="666"/>
      <c r="S815" s="666"/>
      <c r="T815" s="666"/>
      <c r="U815" s="666"/>
      <c r="V815" s="666"/>
      <c r="W815" s="666"/>
      <c r="X815" s="666"/>
      <c r="Y815" s="666"/>
      <c r="Z815" s="666"/>
      <c r="AA815" s="666"/>
      <c r="AB815" s="666"/>
      <c r="AC815" s="666"/>
      <c r="AD815" s="666"/>
      <c r="AE815" s="666"/>
      <c r="AF815" s="666"/>
      <c r="AG815" s="666"/>
      <c r="AH815" s="666"/>
      <c r="AI815" s="666"/>
      <c r="AJ815" s="666"/>
      <c r="AK815" s="666"/>
      <c r="AL815" s="666"/>
      <c r="AM815" s="666"/>
      <c r="AN815" s="666"/>
      <c r="AO815" s="666"/>
      <c r="AP815" s="666"/>
      <c r="AQ815" s="666"/>
      <c r="AR815" s="666"/>
      <c r="AS815" s="666"/>
      <c r="AT815" s="666"/>
      <c r="AU815" s="666"/>
    </row>
    <row r="816" ht="15.75" customHeight="1">
      <c r="A816" s="667">
        <v>44630.0</v>
      </c>
      <c r="B816" s="589">
        <v>391760.0</v>
      </c>
      <c r="C816" s="589" t="s">
        <v>2346</v>
      </c>
      <c r="D816" s="641" t="s">
        <v>694</v>
      </c>
      <c r="E816" s="669">
        <v>31234.0</v>
      </c>
      <c r="F816" s="589" t="s">
        <v>6965</v>
      </c>
      <c r="G816" s="626" t="s">
        <v>669</v>
      </c>
      <c r="H816" s="626" t="s">
        <v>199</v>
      </c>
      <c r="I816" s="641" t="s">
        <v>2388</v>
      </c>
      <c r="J816" s="667">
        <v>43865.0</v>
      </c>
      <c r="K816" s="641" t="s">
        <v>2341</v>
      </c>
      <c r="L816" s="666"/>
      <c r="M816" s="666"/>
      <c r="N816" s="666"/>
      <c r="O816" s="666"/>
      <c r="P816" s="666"/>
      <c r="Q816" s="666"/>
      <c r="R816" s="666"/>
      <c r="S816" s="666"/>
      <c r="T816" s="666"/>
      <c r="U816" s="666"/>
      <c r="V816" s="666"/>
      <c r="W816" s="666"/>
      <c r="X816" s="666"/>
      <c r="Y816" s="666"/>
      <c r="Z816" s="666"/>
      <c r="AA816" s="666"/>
      <c r="AB816" s="666"/>
      <c r="AC816" s="666"/>
      <c r="AD816" s="666"/>
      <c r="AE816" s="666"/>
      <c r="AF816" s="666"/>
      <c r="AG816" s="666"/>
      <c r="AH816" s="666"/>
      <c r="AI816" s="666"/>
      <c r="AJ816" s="666"/>
      <c r="AK816" s="666"/>
      <c r="AL816" s="666"/>
      <c r="AM816" s="666"/>
      <c r="AN816" s="666"/>
      <c r="AO816" s="666"/>
      <c r="AP816" s="666"/>
      <c r="AQ816" s="666"/>
      <c r="AR816" s="666"/>
      <c r="AS816" s="666"/>
      <c r="AT816" s="666"/>
      <c r="AU816" s="666"/>
    </row>
    <row r="817" ht="15.75" customHeight="1">
      <c r="A817" s="667">
        <v>44630.0</v>
      </c>
      <c r="B817" s="668" t="s">
        <v>7684</v>
      </c>
      <c r="C817" s="589" t="s">
        <v>2346</v>
      </c>
      <c r="D817" s="641" t="s">
        <v>5038</v>
      </c>
      <c r="E817" s="669">
        <v>10000.0</v>
      </c>
      <c r="F817" s="641" t="s">
        <v>4142</v>
      </c>
      <c r="G817" s="641" t="s">
        <v>120</v>
      </c>
      <c r="H817" s="641" t="s">
        <v>91</v>
      </c>
      <c r="I817" s="641" t="s">
        <v>521</v>
      </c>
      <c r="J817" s="667">
        <v>44607.0</v>
      </c>
      <c r="K817" s="641" t="s">
        <v>2356</v>
      </c>
      <c r="L817" s="666"/>
      <c r="M817" s="666"/>
      <c r="N817" s="666"/>
      <c r="O817" s="666"/>
      <c r="P817" s="666"/>
      <c r="Q817" s="666"/>
      <c r="R817" s="666"/>
      <c r="S817" s="666"/>
      <c r="T817" s="666"/>
      <c r="U817" s="666"/>
      <c r="V817" s="666"/>
      <c r="W817" s="666"/>
      <c r="X817" s="666"/>
      <c r="Y817" s="666"/>
      <c r="Z817" s="666"/>
      <c r="AA817" s="666"/>
      <c r="AB817" s="666"/>
      <c r="AC817" s="666"/>
      <c r="AD817" s="666"/>
      <c r="AE817" s="666"/>
      <c r="AF817" s="666"/>
      <c r="AG817" s="666"/>
      <c r="AH817" s="666"/>
      <c r="AI817" s="666"/>
      <c r="AJ817" s="666"/>
      <c r="AK817" s="666"/>
      <c r="AL817" s="666"/>
      <c r="AM817" s="666"/>
      <c r="AN817" s="666"/>
      <c r="AO817" s="666"/>
      <c r="AP817" s="666"/>
      <c r="AQ817" s="666"/>
      <c r="AR817" s="666"/>
      <c r="AS817" s="666"/>
      <c r="AT817" s="666"/>
      <c r="AU817" s="666"/>
    </row>
    <row r="818" ht="15.75" customHeight="1">
      <c r="A818" s="667">
        <v>44630.0</v>
      </c>
      <c r="B818" s="668" t="s">
        <v>7600</v>
      </c>
      <c r="C818" s="589" t="s">
        <v>2346</v>
      </c>
      <c r="D818" s="641" t="s">
        <v>5038</v>
      </c>
      <c r="E818" s="669">
        <v>20000.0</v>
      </c>
      <c r="F818" s="641" t="s">
        <v>7688</v>
      </c>
      <c r="G818" s="641" t="s">
        <v>669</v>
      </c>
      <c r="H818" s="641" t="s">
        <v>199</v>
      </c>
      <c r="I818" s="641" t="s">
        <v>1228</v>
      </c>
      <c r="J818" s="667">
        <v>43811.0</v>
      </c>
      <c r="K818" s="641" t="s">
        <v>2365</v>
      </c>
      <c r="L818" s="666"/>
      <c r="M818" s="666"/>
      <c r="N818" s="666"/>
      <c r="O818" s="666"/>
      <c r="P818" s="666"/>
      <c r="Q818" s="666"/>
      <c r="R818" s="666"/>
      <c r="S818" s="666"/>
      <c r="T818" s="666"/>
      <c r="U818" s="666"/>
      <c r="V818" s="666"/>
      <c r="W818" s="666"/>
      <c r="X818" s="666"/>
      <c r="Y818" s="666"/>
      <c r="Z818" s="666"/>
      <c r="AA818" s="666"/>
      <c r="AB818" s="666"/>
      <c r="AC818" s="666"/>
      <c r="AD818" s="666"/>
      <c r="AE818" s="666"/>
      <c r="AF818" s="666"/>
      <c r="AG818" s="666"/>
      <c r="AH818" s="666"/>
      <c r="AI818" s="666"/>
      <c r="AJ818" s="666"/>
      <c r="AK818" s="666"/>
      <c r="AL818" s="666"/>
      <c r="AM818" s="666"/>
      <c r="AN818" s="666"/>
      <c r="AO818" s="666"/>
      <c r="AP818" s="666"/>
      <c r="AQ818" s="666"/>
      <c r="AR818" s="666"/>
      <c r="AS818" s="666"/>
      <c r="AT818" s="666"/>
      <c r="AU818" s="666"/>
    </row>
    <row r="819" ht="15.75" customHeight="1">
      <c r="A819" s="667">
        <v>44634.0</v>
      </c>
      <c r="B819" s="718" t="s">
        <v>7692</v>
      </c>
      <c r="C819" s="641" t="s">
        <v>98</v>
      </c>
      <c r="D819" s="641" t="s">
        <v>5038</v>
      </c>
      <c r="E819" s="669">
        <v>73500.0</v>
      </c>
      <c r="F819" s="641" t="s">
        <v>2434</v>
      </c>
      <c r="G819" s="626" t="s">
        <v>120</v>
      </c>
      <c r="H819" s="641" t="s">
        <v>54</v>
      </c>
      <c r="I819" s="641" t="s">
        <v>348</v>
      </c>
      <c r="J819" s="667">
        <v>44609.0</v>
      </c>
      <c r="K819" s="822" t="s">
        <v>2365</v>
      </c>
      <c r="L819" s="666"/>
      <c r="M819" s="666"/>
      <c r="N819" s="666"/>
      <c r="O819" s="666"/>
      <c r="P819" s="666"/>
      <c r="Q819" s="666"/>
      <c r="R819" s="666"/>
      <c r="S819" s="666"/>
      <c r="T819" s="666"/>
      <c r="U819" s="666"/>
      <c r="V819" s="666"/>
      <c r="W819" s="666"/>
      <c r="X819" s="666"/>
      <c r="Y819" s="666"/>
      <c r="Z819" s="666"/>
      <c r="AA819" s="666"/>
      <c r="AB819" s="666"/>
      <c r="AC819" s="666"/>
      <c r="AD819" s="666"/>
      <c r="AE819" s="666"/>
      <c r="AF819" s="666"/>
      <c r="AG819" s="666"/>
      <c r="AH819" s="666"/>
      <c r="AI819" s="666"/>
      <c r="AJ819" s="666"/>
      <c r="AK819" s="666"/>
      <c r="AL819" s="666"/>
      <c r="AM819" s="666"/>
      <c r="AN819" s="666"/>
      <c r="AO819" s="666"/>
      <c r="AP819" s="666"/>
      <c r="AQ819" s="666"/>
      <c r="AR819" s="666"/>
      <c r="AS819" s="666"/>
      <c r="AT819" s="666"/>
      <c r="AU819" s="666"/>
    </row>
    <row r="820" ht="15.75" customHeight="1">
      <c r="A820" s="667">
        <v>44634.0</v>
      </c>
      <c r="B820" s="668" t="s">
        <v>7699</v>
      </c>
      <c r="C820" s="589" t="s">
        <v>2346</v>
      </c>
      <c r="D820" s="641" t="s">
        <v>694</v>
      </c>
      <c r="E820" s="669">
        <v>229216.0</v>
      </c>
      <c r="F820" s="641" t="s">
        <v>2710</v>
      </c>
      <c r="G820" s="641" t="s">
        <v>669</v>
      </c>
      <c r="H820" s="641" t="s">
        <v>199</v>
      </c>
      <c r="I820" s="641" t="s">
        <v>2388</v>
      </c>
      <c r="J820" s="667">
        <v>44186.0</v>
      </c>
      <c r="K820" s="641" t="s">
        <v>2341</v>
      </c>
      <c r="L820" s="666"/>
      <c r="M820" s="666"/>
      <c r="N820" s="666"/>
      <c r="O820" s="666"/>
      <c r="P820" s="666"/>
      <c r="Q820" s="666"/>
      <c r="R820" s="666"/>
      <c r="S820" s="666"/>
      <c r="T820" s="666"/>
      <c r="U820" s="666"/>
      <c r="V820" s="666"/>
      <c r="W820" s="666"/>
      <c r="X820" s="666"/>
      <c r="Y820" s="666"/>
      <c r="Z820" s="666"/>
      <c r="AA820" s="666"/>
      <c r="AB820" s="666"/>
      <c r="AC820" s="666"/>
      <c r="AD820" s="666"/>
      <c r="AE820" s="666"/>
      <c r="AF820" s="666"/>
      <c r="AG820" s="666"/>
      <c r="AH820" s="666"/>
      <c r="AI820" s="666"/>
      <c r="AJ820" s="666"/>
      <c r="AK820" s="666"/>
      <c r="AL820" s="666"/>
      <c r="AM820" s="666"/>
      <c r="AN820" s="666"/>
      <c r="AO820" s="666"/>
      <c r="AP820" s="666"/>
      <c r="AQ820" s="666"/>
      <c r="AR820" s="666"/>
      <c r="AS820" s="666"/>
      <c r="AT820" s="666"/>
      <c r="AU820" s="666"/>
    </row>
    <row r="821" ht="15.75" customHeight="1">
      <c r="A821" s="667">
        <v>44634.0</v>
      </c>
      <c r="B821" s="668" t="s">
        <v>7704</v>
      </c>
      <c r="C821" s="589" t="s">
        <v>2346</v>
      </c>
      <c r="D821" s="641" t="s">
        <v>427</v>
      </c>
      <c r="E821" s="669">
        <v>184170.0</v>
      </c>
      <c r="F821" s="641" t="s">
        <v>6756</v>
      </c>
      <c r="G821" s="641" t="s">
        <v>120</v>
      </c>
      <c r="H821" s="641" t="s">
        <v>91</v>
      </c>
      <c r="I821" s="641" t="s">
        <v>521</v>
      </c>
      <c r="J821" s="667">
        <v>44280.0</v>
      </c>
      <c r="K821" s="641" t="s">
        <v>2319</v>
      </c>
      <c r="L821" s="666"/>
      <c r="M821" s="666"/>
      <c r="N821" s="666"/>
      <c r="O821" s="666"/>
      <c r="P821" s="666"/>
      <c r="Q821" s="666"/>
      <c r="R821" s="666"/>
      <c r="S821" s="666"/>
      <c r="T821" s="666"/>
      <c r="U821" s="666"/>
      <c r="V821" s="666"/>
      <c r="W821" s="666"/>
      <c r="X821" s="666"/>
      <c r="Y821" s="666"/>
      <c r="Z821" s="666"/>
      <c r="AA821" s="666"/>
      <c r="AB821" s="666"/>
      <c r="AC821" s="666"/>
      <c r="AD821" s="666"/>
      <c r="AE821" s="666"/>
      <c r="AF821" s="666"/>
      <c r="AG821" s="666"/>
      <c r="AH821" s="666"/>
      <c r="AI821" s="666"/>
      <c r="AJ821" s="666"/>
      <c r="AK821" s="666"/>
      <c r="AL821" s="666"/>
      <c r="AM821" s="666"/>
      <c r="AN821" s="666"/>
      <c r="AO821" s="666"/>
      <c r="AP821" s="666"/>
      <c r="AQ821" s="666"/>
      <c r="AR821" s="666"/>
      <c r="AS821" s="666"/>
      <c r="AT821" s="666"/>
      <c r="AU821" s="666"/>
    </row>
    <row r="822" ht="15.75" customHeight="1">
      <c r="A822" s="667">
        <v>44634.0</v>
      </c>
      <c r="B822" s="839">
        <v>4663340.0</v>
      </c>
      <c r="C822" s="589" t="s">
        <v>2346</v>
      </c>
      <c r="D822" s="641" t="s">
        <v>427</v>
      </c>
      <c r="E822" s="669">
        <v>237755.0</v>
      </c>
      <c r="F822" s="840" t="s">
        <v>6744</v>
      </c>
      <c r="G822" s="641" t="s">
        <v>120</v>
      </c>
      <c r="H822" s="641" t="s">
        <v>91</v>
      </c>
      <c r="I822" s="641" t="s">
        <v>521</v>
      </c>
      <c r="J822" s="667">
        <v>44280.0</v>
      </c>
      <c r="K822" s="641" t="s">
        <v>2372</v>
      </c>
      <c r="L822" s="666"/>
      <c r="M822" s="666"/>
      <c r="N822" s="666"/>
      <c r="O822" s="666"/>
      <c r="P822" s="666"/>
      <c r="Q822" s="666"/>
      <c r="R822" s="666"/>
      <c r="S822" s="666"/>
      <c r="T822" s="666"/>
      <c r="U822" s="666"/>
      <c r="V822" s="666"/>
      <c r="W822" s="666"/>
      <c r="X822" s="666"/>
      <c r="Y822" s="666"/>
      <c r="Z822" s="666"/>
      <c r="AA822" s="666"/>
      <c r="AB822" s="666"/>
      <c r="AC822" s="666"/>
      <c r="AD822" s="666"/>
      <c r="AE822" s="666"/>
      <c r="AF822" s="666"/>
      <c r="AG822" s="666"/>
      <c r="AH822" s="666"/>
      <c r="AI822" s="666"/>
      <c r="AJ822" s="666"/>
      <c r="AK822" s="666"/>
      <c r="AL822" s="666"/>
      <c r="AM822" s="666"/>
      <c r="AN822" s="666"/>
      <c r="AO822" s="666"/>
      <c r="AP822" s="666"/>
      <c r="AQ822" s="666"/>
      <c r="AR822" s="666"/>
      <c r="AS822" s="666"/>
      <c r="AT822" s="666"/>
      <c r="AU822" s="666"/>
    </row>
    <row r="823" ht="15.75" customHeight="1">
      <c r="A823" s="667">
        <v>44634.0</v>
      </c>
      <c r="B823" s="668" t="s">
        <v>7442</v>
      </c>
      <c r="C823" s="589" t="s">
        <v>2346</v>
      </c>
      <c r="D823" s="641" t="s">
        <v>5038</v>
      </c>
      <c r="E823" s="669">
        <v>63000.0</v>
      </c>
      <c r="F823" s="840" t="s">
        <v>5848</v>
      </c>
      <c r="G823" s="641" t="s">
        <v>120</v>
      </c>
      <c r="H823" s="641" t="s">
        <v>91</v>
      </c>
      <c r="I823" s="641" t="s">
        <v>521</v>
      </c>
      <c r="J823" s="667">
        <v>44263.0</v>
      </c>
      <c r="K823" s="641" t="s">
        <v>2341</v>
      </c>
      <c r="L823" s="666"/>
      <c r="M823" s="666"/>
      <c r="N823" s="666"/>
      <c r="O823" s="666"/>
      <c r="P823" s="666"/>
      <c r="Q823" s="666"/>
      <c r="R823" s="666"/>
      <c r="S823" s="666"/>
      <c r="T823" s="666"/>
      <c r="U823" s="666"/>
      <c r="V823" s="666"/>
      <c r="W823" s="666"/>
      <c r="X823" s="666"/>
      <c r="Y823" s="666"/>
      <c r="Z823" s="666"/>
      <c r="AA823" s="666"/>
      <c r="AB823" s="666"/>
      <c r="AC823" s="666"/>
      <c r="AD823" s="666"/>
      <c r="AE823" s="666"/>
      <c r="AF823" s="666"/>
      <c r="AG823" s="666"/>
      <c r="AH823" s="666"/>
      <c r="AI823" s="666"/>
      <c r="AJ823" s="666"/>
      <c r="AK823" s="666"/>
      <c r="AL823" s="666"/>
      <c r="AM823" s="666"/>
      <c r="AN823" s="666"/>
      <c r="AO823" s="666"/>
      <c r="AP823" s="666"/>
      <c r="AQ823" s="666"/>
      <c r="AR823" s="666"/>
      <c r="AS823" s="666"/>
      <c r="AT823" s="666"/>
      <c r="AU823" s="666"/>
    </row>
    <row r="824" ht="15.75" customHeight="1">
      <c r="A824" s="667">
        <v>44634.0</v>
      </c>
      <c r="B824" s="668" t="s">
        <v>6211</v>
      </c>
      <c r="C824" s="589" t="s">
        <v>2346</v>
      </c>
      <c r="D824" s="641" t="s">
        <v>5038</v>
      </c>
      <c r="E824" s="669">
        <v>3000.0</v>
      </c>
      <c r="F824" s="641" t="s">
        <v>6214</v>
      </c>
      <c r="G824" s="641" t="s">
        <v>120</v>
      </c>
      <c r="H824" s="641" t="s">
        <v>91</v>
      </c>
      <c r="I824" s="641" t="s">
        <v>521</v>
      </c>
      <c r="J824" s="667">
        <v>44322.0</v>
      </c>
      <c r="K824" s="641" t="s">
        <v>2341</v>
      </c>
      <c r="L824" s="666"/>
      <c r="M824" s="666"/>
      <c r="N824" s="666"/>
      <c r="O824" s="666"/>
      <c r="P824" s="666"/>
      <c r="Q824" s="666"/>
      <c r="R824" s="666"/>
      <c r="S824" s="666"/>
      <c r="T824" s="666"/>
      <c r="U824" s="666"/>
      <c r="V824" s="666"/>
      <c r="W824" s="666"/>
      <c r="X824" s="666"/>
      <c r="Y824" s="666"/>
      <c r="Z824" s="666"/>
      <c r="AA824" s="666"/>
      <c r="AB824" s="666"/>
      <c r="AC824" s="666"/>
      <c r="AD824" s="666"/>
      <c r="AE824" s="666"/>
      <c r="AF824" s="666"/>
      <c r="AG824" s="666"/>
      <c r="AH824" s="666"/>
      <c r="AI824" s="666"/>
      <c r="AJ824" s="666"/>
      <c r="AK824" s="666"/>
      <c r="AL824" s="666"/>
      <c r="AM824" s="666"/>
      <c r="AN824" s="666"/>
      <c r="AO824" s="666"/>
      <c r="AP824" s="666"/>
      <c r="AQ824" s="666"/>
      <c r="AR824" s="666"/>
      <c r="AS824" s="666"/>
      <c r="AT824" s="666"/>
      <c r="AU824" s="666"/>
    </row>
    <row r="825" ht="15.75" customHeight="1">
      <c r="A825" s="667">
        <v>44634.0</v>
      </c>
      <c r="B825" s="668" t="s">
        <v>7664</v>
      </c>
      <c r="C825" s="589" t="s">
        <v>2346</v>
      </c>
      <c r="D825" s="641" t="s">
        <v>427</v>
      </c>
      <c r="E825" s="669">
        <v>285598.0</v>
      </c>
      <c r="F825" s="589" t="s">
        <v>6495</v>
      </c>
      <c r="G825" s="641" t="s">
        <v>120</v>
      </c>
      <c r="H825" s="641" t="s">
        <v>91</v>
      </c>
      <c r="I825" s="641" t="s">
        <v>521</v>
      </c>
      <c r="J825" s="667">
        <v>44448.0</v>
      </c>
      <c r="K825" s="641" t="s">
        <v>2319</v>
      </c>
      <c r="L825" s="666"/>
      <c r="M825" s="666"/>
      <c r="N825" s="666"/>
      <c r="O825" s="666"/>
      <c r="P825" s="666"/>
      <c r="Q825" s="666"/>
      <c r="R825" s="666"/>
      <c r="S825" s="666"/>
      <c r="T825" s="666"/>
      <c r="U825" s="666"/>
      <c r="V825" s="666"/>
      <c r="W825" s="666"/>
      <c r="X825" s="666"/>
      <c r="Y825" s="666"/>
      <c r="Z825" s="666"/>
      <c r="AA825" s="666"/>
      <c r="AB825" s="666"/>
      <c r="AC825" s="666"/>
      <c r="AD825" s="666"/>
      <c r="AE825" s="666"/>
      <c r="AF825" s="666"/>
      <c r="AG825" s="666"/>
      <c r="AH825" s="666"/>
      <c r="AI825" s="666"/>
      <c r="AJ825" s="666"/>
      <c r="AK825" s="666"/>
      <c r="AL825" s="666"/>
      <c r="AM825" s="666"/>
      <c r="AN825" s="666"/>
      <c r="AO825" s="666"/>
      <c r="AP825" s="666"/>
      <c r="AQ825" s="666"/>
      <c r="AR825" s="666"/>
      <c r="AS825" s="666"/>
      <c r="AT825" s="666"/>
      <c r="AU825" s="666"/>
    </row>
    <row r="826" ht="15.75" customHeight="1">
      <c r="A826" s="667">
        <v>44634.0</v>
      </c>
      <c r="B826" s="668" t="s">
        <v>7600</v>
      </c>
      <c r="C826" s="589" t="s">
        <v>2346</v>
      </c>
      <c r="D826" s="641" t="s">
        <v>5038</v>
      </c>
      <c r="E826" s="669">
        <v>15000.0</v>
      </c>
      <c r="F826" s="641" t="s">
        <v>7688</v>
      </c>
      <c r="G826" s="641" t="s">
        <v>669</v>
      </c>
      <c r="H826" s="641" t="s">
        <v>199</v>
      </c>
      <c r="I826" s="641" t="s">
        <v>1228</v>
      </c>
      <c r="J826" s="667">
        <v>43811.0</v>
      </c>
      <c r="K826" s="641" t="s">
        <v>2365</v>
      </c>
      <c r="L826" s="666"/>
      <c r="M826" s="666"/>
      <c r="N826" s="666"/>
      <c r="O826" s="666"/>
      <c r="P826" s="666"/>
      <c r="Q826" s="666"/>
      <c r="R826" s="666"/>
      <c r="S826" s="666"/>
      <c r="T826" s="666"/>
      <c r="U826" s="666"/>
      <c r="V826" s="666"/>
      <c r="W826" s="666"/>
      <c r="X826" s="666"/>
      <c r="Y826" s="666"/>
      <c r="Z826" s="666"/>
      <c r="AA826" s="666"/>
      <c r="AB826" s="666"/>
      <c r="AC826" s="666"/>
      <c r="AD826" s="666"/>
      <c r="AE826" s="666"/>
      <c r="AF826" s="666"/>
      <c r="AG826" s="666"/>
      <c r="AH826" s="666"/>
      <c r="AI826" s="666"/>
      <c r="AJ826" s="666"/>
      <c r="AK826" s="666"/>
      <c r="AL826" s="666"/>
      <c r="AM826" s="666"/>
      <c r="AN826" s="666"/>
      <c r="AO826" s="666"/>
      <c r="AP826" s="666"/>
      <c r="AQ826" s="666"/>
      <c r="AR826" s="666"/>
      <c r="AS826" s="666"/>
      <c r="AT826" s="666"/>
      <c r="AU826" s="666"/>
    </row>
    <row r="827" ht="15.75" customHeight="1">
      <c r="A827" s="713">
        <v>44634.0</v>
      </c>
      <c r="B827" s="801" t="s">
        <v>7722</v>
      </c>
      <c r="C827" s="715" t="s">
        <v>2346</v>
      </c>
      <c r="D827" s="641" t="s">
        <v>694</v>
      </c>
      <c r="E827" s="716"/>
      <c r="F827" s="641" t="s">
        <v>7134</v>
      </c>
      <c r="G827" s="667" t="s">
        <v>120</v>
      </c>
      <c r="H827" s="667" t="s">
        <v>91</v>
      </c>
      <c r="I827" s="667" t="s">
        <v>699</v>
      </c>
      <c r="J827" s="667">
        <v>44199.0</v>
      </c>
      <c r="K827" s="667" t="s">
        <v>2365</v>
      </c>
      <c r="L827" s="666"/>
      <c r="M827" s="666"/>
      <c r="N827" s="666"/>
      <c r="O827" s="666"/>
      <c r="P827" s="666"/>
      <c r="Q827" s="666"/>
      <c r="R827" s="666"/>
      <c r="S827" s="666"/>
      <c r="T827" s="666"/>
      <c r="U827" s="666"/>
      <c r="V827" s="666"/>
      <c r="W827" s="666"/>
      <c r="X827" s="666"/>
      <c r="Y827" s="666"/>
      <c r="Z827" s="666"/>
      <c r="AA827" s="666"/>
      <c r="AB827" s="666"/>
      <c r="AC827" s="666"/>
      <c r="AD827" s="666"/>
      <c r="AE827" s="666"/>
      <c r="AF827" s="666"/>
      <c r="AG827" s="666"/>
      <c r="AH827" s="666"/>
      <c r="AI827" s="666"/>
      <c r="AJ827" s="666"/>
      <c r="AK827" s="666"/>
      <c r="AL827" s="666"/>
      <c r="AM827" s="666"/>
      <c r="AN827" s="666"/>
      <c r="AO827" s="666"/>
      <c r="AP827" s="666"/>
      <c r="AQ827" s="666"/>
      <c r="AR827" s="666"/>
      <c r="AS827" s="666"/>
      <c r="AT827" s="666"/>
      <c r="AU827" s="666"/>
    </row>
    <row r="828" ht="15.75" customHeight="1">
      <c r="A828" s="667">
        <v>44636.0</v>
      </c>
      <c r="B828" s="668" t="s">
        <v>6222</v>
      </c>
      <c r="C828" s="589" t="s">
        <v>2346</v>
      </c>
      <c r="D828" s="641" t="s">
        <v>5038</v>
      </c>
      <c r="E828" s="669">
        <v>10000.0</v>
      </c>
      <c r="F828" s="589" t="s">
        <v>1489</v>
      </c>
      <c r="G828" s="641" t="s">
        <v>120</v>
      </c>
      <c r="H828" s="641" t="s">
        <v>91</v>
      </c>
      <c r="I828" s="641" t="s">
        <v>521</v>
      </c>
      <c r="J828" s="667">
        <v>44319.0</v>
      </c>
      <c r="K828" s="641" t="s">
        <v>2341</v>
      </c>
      <c r="L828" s="666"/>
      <c r="M828" s="666"/>
      <c r="N828" s="666"/>
      <c r="O828" s="666"/>
      <c r="P828" s="666"/>
      <c r="Q828" s="666"/>
      <c r="R828" s="666"/>
      <c r="S828" s="666"/>
      <c r="T828" s="666"/>
      <c r="U828" s="666"/>
      <c r="V828" s="666"/>
      <c r="W828" s="666"/>
      <c r="X828" s="666"/>
      <c r="Y828" s="666"/>
      <c r="Z828" s="666"/>
      <c r="AA828" s="666"/>
      <c r="AB828" s="666"/>
      <c r="AC828" s="666"/>
      <c r="AD828" s="666"/>
      <c r="AE828" s="666"/>
      <c r="AF828" s="666"/>
      <c r="AG828" s="666"/>
      <c r="AH828" s="666"/>
      <c r="AI828" s="666"/>
      <c r="AJ828" s="666"/>
      <c r="AK828" s="666"/>
      <c r="AL828" s="666"/>
      <c r="AM828" s="666"/>
      <c r="AN828" s="666"/>
      <c r="AO828" s="666"/>
      <c r="AP828" s="666"/>
      <c r="AQ828" s="666"/>
      <c r="AR828" s="666"/>
      <c r="AS828" s="666"/>
      <c r="AT828" s="666"/>
      <c r="AU828" s="666"/>
    </row>
    <row r="829" ht="15.75" customHeight="1">
      <c r="A829" s="667">
        <v>44636.0</v>
      </c>
      <c r="B829" s="668" t="s">
        <v>7600</v>
      </c>
      <c r="C829" s="589" t="s">
        <v>2346</v>
      </c>
      <c r="D829" s="641" t="s">
        <v>5038</v>
      </c>
      <c r="E829" s="669">
        <v>20000.0</v>
      </c>
      <c r="F829" s="641" t="s">
        <v>7688</v>
      </c>
      <c r="G829" s="641" t="s">
        <v>669</v>
      </c>
      <c r="H829" s="641" t="s">
        <v>199</v>
      </c>
      <c r="I829" s="641" t="s">
        <v>1228</v>
      </c>
      <c r="J829" s="667">
        <v>43811.0</v>
      </c>
      <c r="K829" s="641" t="s">
        <v>2365</v>
      </c>
      <c r="L829" s="666"/>
      <c r="M829" s="666"/>
      <c r="N829" s="666"/>
      <c r="O829" s="666"/>
      <c r="P829" s="666"/>
      <c r="Q829" s="666"/>
      <c r="R829" s="666"/>
      <c r="S829" s="666"/>
      <c r="T829" s="666"/>
      <c r="U829" s="666"/>
      <c r="V829" s="666"/>
      <c r="W829" s="666"/>
      <c r="X829" s="666"/>
      <c r="Y829" s="666"/>
      <c r="Z829" s="666"/>
      <c r="AA829" s="666"/>
      <c r="AB829" s="666"/>
      <c r="AC829" s="666"/>
      <c r="AD829" s="666"/>
      <c r="AE829" s="666"/>
      <c r="AF829" s="666"/>
      <c r="AG829" s="666"/>
      <c r="AH829" s="666"/>
      <c r="AI829" s="666"/>
      <c r="AJ829" s="666"/>
      <c r="AK829" s="666"/>
      <c r="AL829" s="666"/>
      <c r="AM829" s="666"/>
      <c r="AN829" s="666"/>
      <c r="AO829" s="666"/>
      <c r="AP829" s="666"/>
      <c r="AQ829" s="666"/>
      <c r="AR829" s="666"/>
      <c r="AS829" s="666"/>
      <c r="AT829" s="666"/>
      <c r="AU829" s="666"/>
    </row>
    <row r="830" ht="15.75" customHeight="1">
      <c r="A830" s="667">
        <v>44636.0</v>
      </c>
      <c r="B830" s="668" t="s">
        <v>6447</v>
      </c>
      <c r="C830" s="589" t="s">
        <v>2346</v>
      </c>
      <c r="D830" s="641" t="s">
        <v>5038</v>
      </c>
      <c r="E830" s="669">
        <v>1000000.0</v>
      </c>
      <c r="F830" s="641" t="s">
        <v>6448</v>
      </c>
      <c r="G830" s="641" t="s">
        <v>120</v>
      </c>
      <c r="H830" s="641" t="s">
        <v>91</v>
      </c>
      <c r="I830" s="641" t="s">
        <v>521</v>
      </c>
      <c r="J830" s="667">
        <v>44321.0</v>
      </c>
      <c r="K830" s="641" t="s">
        <v>2356</v>
      </c>
      <c r="L830" s="666"/>
      <c r="M830" s="666"/>
      <c r="N830" s="666"/>
      <c r="O830" s="666"/>
      <c r="P830" s="666"/>
      <c r="Q830" s="666"/>
      <c r="R830" s="666"/>
      <c r="S830" s="666"/>
      <c r="T830" s="666"/>
      <c r="U830" s="666"/>
      <c r="V830" s="666"/>
      <c r="W830" s="666"/>
      <c r="X830" s="666"/>
      <c r="Y830" s="666"/>
      <c r="Z830" s="666"/>
      <c r="AA830" s="666"/>
      <c r="AB830" s="666"/>
      <c r="AC830" s="666"/>
      <c r="AD830" s="666"/>
      <c r="AE830" s="666"/>
      <c r="AF830" s="666"/>
      <c r="AG830" s="666"/>
      <c r="AH830" s="666"/>
      <c r="AI830" s="666"/>
      <c r="AJ830" s="666"/>
      <c r="AK830" s="666"/>
      <c r="AL830" s="666"/>
      <c r="AM830" s="666"/>
      <c r="AN830" s="666"/>
      <c r="AO830" s="666"/>
      <c r="AP830" s="666"/>
      <c r="AQ830" s="666"/>
      <c r="AR830" s="666"/>
      <c r="AS830" s="666"/>
      <c r="AT830" s="666"/>
      <c r="AU830" s="666"/>
    </row>
    <row r="831" ht="15.75" customHeight="1">
      <c r="A831" s="667">
        <v>44637.0</v>
      </c>
      <c r="B831" s="718" t="s">
        <v>7735</v>
      </c>
      <c r="C831" s="641" t="s">
        <v>98</v>
      </c>
      <c r="D831" s="641" t="s">
        <v>5038</v>
      </c>
      <c r="E831" s="669">
        <v>7000.0</v>
      </c>
      <c r="F831" s="641" t="s">
        <v>5344</v>
      </c>
      <c r="G831" s="626" t="s">
        <v>120</v>
      </c>
      <c r="H831" s="641" t="s">
        <v>54</v>
      </c>
      <c r="I831" s="641" t="s">
        <v>348</v>
      </c>
      <c r="J831" s="667">
        <v>44615.0</v>
      </c>
      <c r="K831" s="822" t="s">
        <v>2341</v>
      </c>
      <c r="L831" s="666"/>
      <c r="M831" s="666"/>
      <c r="N831" s="666"/>
      <c r="O831" s="666"/>
      <c r="P831" s="666"/>
      <c r="Q831" s="666"/>
      <c r="R831" s="666"/>
      <c r="S831" s="666"/>
      <c r="T831" s="666"/>
      <c r="U831" s="666"/>
      <c r="V831" s="666"/>
      <c r="W831" s="666"/>
      <c r="X831" s="666"/>
      <c r="Y831" s="666"/>
      <c r="Z831" s="666"/>
      <c r="AA831" s="666"/>
      <c r="AB831" s="666"/>
      <c r="AC831" s="666"/>
      <c r="AD831" s="666"/>
      <c r="AE831" s="666"/>
      <c r="AF831" s="666"/>
      <c r="AG831" s="666"/>
      <c r="AH831" s="666"/>
      <c r="AI831" s="666"/>
      <c r="AJ831" s="666"/>
      <c r="AK831" s="666"/>
      <c r="AL831" s="666"/>
      <c r="AM831" s="666"/>
      <c r="AN831" s="666"/>
      <c r="AO831" s="666"/>
      <c r="AP831" s="666"/>
      <c r="AQ831" s="666"/>
      <c r="AR831" s="666"/>
      <c r="AS831" s="666"/>
      <c r="AT831" s="666"/>
      <c r="AU831" s="666"/>
    </row>
    <row r="832" ht="15.75" customHeight="1">
      <c r="A832" s="667">
        <v>44641.0</v>
      </c>
      <c r="B832" s="714" t="s">
        <v>7740</v>
      </c>
      <c r="C832" s="641" t="s">
        <v>98</v>
      </c>
      <c r="D832" s="641" t="s">
        <v>427</v>
      </c>
      <c r="E832" s="669">
        <v>100351.65</v>
      </c>
      <c r="F832" s="641" t="s">
        <v>4250</v>
      </c>
      <c r="G832" s="626" t="s">
        <v>120</v>
      </c>
      <c r="H832" s="834" t="s">
        <v>199</v>
      </c>
      <c r="I832" s="641" t="s">
        <v>7742</v>
      </c>
      <c r="J832" s="741">
        <v>44365.0</v>
      </c>
      <c r="K832" s="589" t="s">
        <v>2452</v>
      </c>
      <c r="L832" s="666"/>
      <c r="M832" s="666"/>
      <c r="N832" s="666"/>
      <c r="O832" s="666"/>
      <c r="P832" s="666"/>
      <c r="Q832" s="666"/>
      <c r="R832" s="666"/>
      <c r="S832" s="666"/>
      <c r="T832" s="666"/>
      <c r="U832" s="666"/>
      <c r="V832" s="666"/>
      <c r="W832" s="666"/>
      <c r="X832" s="666"/>
      <c r="Y832" s="666"/>
      <c r="Z832" s="666"/>
      <c r="AA832" s="666"/>
      <c r="AB832" s="666"/>
      <c r="AC832" s="666"/>
      <c r="AD832" s="666"/>
      <c r="AE832" s="666"/>
      <c r="AF832" s="666"/>
      <c r="AG832" s="666"/>
      <c r="AH832" s="666"/>
      <c r="AI832" s="666"/>
      <c r="AJ832" s="666"/>
      <c r="AK832" s="666"/>
      <c r="AL832" s="666"/>
      <c r="AM832" s="666"/>
      <c r="AN832" s="666"/>
      <c r="AO832" s="666"/>
      <c r="AP832" s="666"/>
      <c r="AQ832" s="666"/>
      <c r="AR832" s="666"/>
      <c r="AS832" s="666"/>
      <c r="AT832" s="666"/>
      <c r="AU832" s="666"/>
    </row>
    <row r="833" ht="15.75" customHeight="1">
      <c r="A833" s="667">
        <v>44641.0</v>
      </c>
      <c r="B833" s="714" t="s">
        <v>7745</v>
      </c>
      <c r="C833" s="641" t="s">
        <v>98</v>
      </c>
      <c r="D833" s="641" t="s">
        <v>427</v>
      </c>
      <c r="E833" s="669">
        <v>169950.33</v>
      </c>
      <c r="F833" s="589" t="s">
        <v>7286</v>
      </c>
      <c r="G833" s="626" t="s">
        <v>120</v>
      </c>
      <c r="H833" s="834" t="s">
        <v>622</v>
      </c>
      <c r="I833" s="834" t="s">
        <v>4668</v>
      </c>
      <c r="J833" s="741">
        <v>44298.0</v>
      </c>
      <c r="K833" s="750" t="s">
        <v>2341</v>
      </c>
      <c r="L833" s="666"/>
      <c r="M833" s="666"/>
      <c r="N833" s="666"/>
      <c r="O833" s="666"/>
      <c r="P833" s="666"/>
      <c r="Q833" s="666"/>
      <c r="R833" s="666"/>
      <c r="S833" s="666"/>
      <c r="T833" s="666"/>
      <c r="U833" s="666"/>
      <c r="V833" s="666"/>
      <c r="W833" s="666"/>
      <c r="X833" s="666"/>
      <c r="Y833" s="666"/>
      <c r="Z833" s="666"/>
      <c r="AA833" s="666"/>
      <c r="AB833" s="666"/>
      <c r="AC833" s="666"/>
      <c r="AD833" s="666"/>
      <c r="AE833" s="666"/>
      <c r="AF833" s="666"/>
      <c r="AG833" s="666"/>
      <c r="AH833" s="666"/>
      <c r="AI833" s="666"/>
      <c r="AJ833" s="666"/>
      <c r="AK833" s="666"/>
      <c r="AL833" s="666"/>
      <c r="AM833" s="666"/>
      <c r="AN833" s="666"/>
      <c r="AO833" s="666"/>
      <c r="AP833" s="666"/>
      <c r="AQ833" s="666"/>
      <c r="AR833" s="666"/>
      <c r="AS833" s="666"/>
      <c r="AT833" s="666"/>
      <c r="AU833" s="666"/>
    </row>
    <row r="834" ht="15.75" customHeight="1">
      <c r="A834" s="667">
        <v>44641.0</v>
      </c>
      <c r="B834" s="834">
        <v>226343.0</v>
      </c>
      <c r="C834" s="641" t="s">
        <v>98</v>
      </c>
      <c r="D834" s="641" t="s">
        <v>427</v>
      </c>
      <c r="E834" s="669">
        <v>103307.43</v>
      </c>
      <c r="F834" s="641" t="s">
        <v>7751</v>
      </c>
      <c r="G834" s="626" t="s">
        <v>120</v>
      </c>
      <c r="H834" s="641" t="s">
        <v>54</v>
      </c>
      <c r="I834" s="626" t="s">
        <v>4057</v>
      </c>
      <c r="J834" s="667">
        <v>44469.0</v>
      </c>
      <c r="K834" s="589" t="s">
        <v>2319</v>
      </c>
      <c r="L834" s="666"/>
      <c r="M834" s="666"/>
      <c r="N834" s="666"/>
      <c r="O834" s="666"/>
      <c r="P834" s="666"/>
      <c r="Q834" s="666"/>
      <c r="R834" s="666"/>
      <c r="S834" s="666"/>
      <c r="T834" s="666"/>
      <c r="U834" s="666"/>
      <c r="V834" s="666"/>
      <c r="W834" s="666"/>
      <c r="X834" s="666"/>
      <c r="Y834" s="666"/>
      <c r="Z834" s="666"/>
      <c r="AA834" s="666"/>
      <c r="AB834" s="666"/>
      <c r="AC834" s="666"/>
      <c r="AD834" s="666"/>
      <c r="AE834" s="666"/>
      <c r="AF834" s="666"/>
      <c r="AG834" s="666"/>
      <c r="AH834" s="666"/>
      <c r="AI834" s="666"/>
      <c r="AJ834" s="666"/>
      <c r="AK834" s="666"/>
      <c r="AL834" s="666"/>
      <c r="AM834" s="666"/>
      <c r="AN834" s="666"/>
      <c r="AO834" s="666"/>
      <c r="AP834" s="666"/>
      <c r="AQ834" s="666"/>
      <c r="AR834" s="666"/>
      <c r="AS834" s="666"/>
      <c r="AT834" s="666"/>
      <c r="AU834" s="666"/>
    </row>
    <row r="835" ht="15.75" customHeight="1">
      <c r="A835" s="667">
        <v>44641.0</v>
      </c>
      <c r="B835" s="822">
        <v>6986262.0</v>
      </c>
      <c r="C835" s="641" t="s">
        <v>98</v>
      </c>
      <c r="D835" s="641" t="s">
        <v>5038</v>
      </c>
      <c r="E835" s="669">
        <v>25000.0</v>
      </c>
      <c r="F835" s="641" t="s">
        <v>4790</v>
      </c>
      <c r="G835" s="626" t="s">
        <v>120</v>
      </c>
      <c r="H835" s="641" t="s">
        <v>54</v>
      </c>
      <c r="I835" s="641" t="s">
        <v>4057</v>
      </c>
      <c r="J835" s="667">
        <v>44503.0</v>
      </c>
      <c r="K835" s="589" t="s">
        <v>2452</v>
      </c>
      <c r="L835" s="666"/>
      <c r="M835" s="666"/>
      <c r="N835" s="666"/>
      <c r="O835" s="666"/>
      <c r="P835" s="666"/>
      <c r="Q835" s="666"/>
      <c r="R835" s="666"/>
      <c r="S835" s="666"/>
      <c r="T835" s="666"/>
      <c r="U835" s="666"/>
      <c r="V835" s="666"/>
      <c r="W835" s="666"/>
      <c r="X835" s="666"/>
      <c r="Y835" s="666"/>
      <c r="Z835" s="666"/>
      <c r="AA835" s="666"/>
      <c r="AB835" s="666"/>
      <c r="AC835" s="666"/>
      <c r="AD835" s="666"/>
      <c r="AE835" s="666"/>
      <c r="AF835" s="666"/>
      <c r="AG835" s="666"/>
      <c r="AH835" s="666"/>
      <c r="AI835" s="666"/>
      <c r="AJ835" s="666"/>
      <c r="AK835" s="666"/>
      <c r="AL835" s="666"/>
      <c r="AM835" s="666"/>
      <c r="AN835" s="666"/>
      <c r="AO835" s="666"/>
      <c r="AP835" s="666"/>
      <c r="AQ835" s="666"/>
      <c r="AR835" s="666"/>
      <c r="AS835" s="666"/>
      <c r="AT835" s="666"/>
      <c r="AU835" s="666"/>
    </row>
    <row r="836" ht="15.75" customHeight="1">
      <c r="A836" s="667">
        <v>44641.0</v>
      </c>
      <c r="B836" s="718" t="s">
        <v>7756</v>
      </c>
      <c r="C836" s="641" t="s">
        <v>98</v>
      </c>
      <c r="D836" s="641" t="s">
        <v>427</v>
      </c>
      <c r="E836" s="669">
        <v>175092.43</v>
      </c>
      <c r="F836" s="641" t="s">
        <v>4929</v>
      </c>
      <c r="G836" s="626" t="s">
        <v>255</v>
      </c>
      <c r="H836" s="626" t="s">
        <v>199</v>
      </c>
      <c r="I836" s="626" t="s">
        <v>548</v>
      </c>
      <c r="J836" s="667">
        <v>44075.0</v>
      </c>
      <c r="K836" s="822" t="s">
        <v>2341</v>
      </c>
      <c r="L836" s="666"/>
      <c r="M836" s="666"/>
      <c r="N836" s="666"/>
      <c r="O836" s="666"/>
      <c r="P836" s="666"/>
      <c r="Q836" s="666"/>
      <c r="R836" s="666"/>
      <c r="S836" s="666"/>
      <c r="T836" s="666"/>
      <c r="U836" s="666"/>
      <c r="V836" s="666"/>
      <c r="W836" s="666"/>
      <c r="X836" s="666"/>
      <c r="Y836" s="666"/>
      <c r="Z836" s="666"/>
      <c r="AA836" s="666"/>
      <c r="AB836" s="666"/>
      <c r="AC836" s="666"/>
      <c r="AD836" s="666"/>
      <c r="AE836" s="666"/>
      <c r="AF836" s="666"/>
      <c r="AG836" s="666"/>
      <c r="AH836" s="666"/>
      <c r="AI836" s="666"/>
      <c r="AJ836" s="666"/>
      <c r="AK836" s="666"/>
      <c r="AL836" s="666"/>
      <c r="AM836" s="666"/>
      <c r="AN836" s="666"/>
      <c r="AO836" s="666"/>
      <c r="AP836" s="666"/>
      <c r="AQ836" s="666"/>
      <c r="AR836" s="666"/>
      <c r="AS836" s="666"/>
      <c r="AT836" s="666"/>
      <c r="AU836" s="666"/>
    </row>
    <row r="837" ht="15.75" customHeight="1">
      <c r="A837" s="667">
        <v>44643.0</v>
      </c>
      <c r="B837" s="718" t="s">
        <v>7759</v>
      </c>
      <c r="C837" s="641" t="s">
        <v>98</v>
      </c>
      <c r="D837" s="641" t="s">
        <v>427</v>
      </c>
      <c r="E837" s="669">
        <v>101496.62</v>
      </c>
      <c r="F837" s="641" t="s">
        <v>7761</v>
      </c>
      <c r="G837" s="626" t="s">
        <v>255</v>
      </c>
      <c r="H837" s="641" t="s">
        <v>622</v>
      </c>
      <c r="I837" s="641" t="s">
        <v>4668</v>
      </c>
      <c r="J837" s="667">
        <v>44256.0</v>
      </c>
      <c r="K837" s="822" t="s">
        <v>2319</v>
      </c>
      <c r="L837" s="666"/>
      <c r="M837" s="666"/>
      <c r="N837" s="666"/>
      <c r="O837" s="666"/>
      <c r="P837" s="666"/>
      <c r="Q837" s="666"/>
      <c r="R837" s="666"/>
      <c r="S837" s="666"/>
      <c r="T837" s="666"/>
      <c r="U837" s="666"/>
      <c r="V837" s="666"/>
      <c r="W837" s="666"/>
      <c r="X837" s="666"/>
      <c r="Y837" s="666"/>
      <c r="Z837" s="666"/>
      <c r="AA837" s="666"/>
      <c r="AB837" s="666"/>
      <c r="AC837" s="666"/>
      <c r="AD837" s="666"/>
      <c r="AE837" s="666"/>
      <c r="AF837" s="666"/>
      <c r="AG837" s="666"/>
      <c r="AH837" s="666"/>
      <c r="AI837" s="666"/>
      <c r="AJ837" s="666"/>
      <c r="AK837" s="666"/>
      <c r="AL837" s="666"/>
      <c r="AM837" s="666"/>
      <c r="AN837" s="666"/>
      <c r="AO837" s="666"/>
      <c r="AP837" s="666"/>
      <c r="AQ837" s="666"/>
      <c r="AR837" s="666"/>
      <c r="AS837" s="666"/>
      <c r="AT837" s="666"/>
      <c r="AU837" s="666"/>
    </row>
    <row r="838" ht="15.75" customHeight="1">
      <c r="A838" s="667">
        <v>44644.0</v>
      </c>
      <c r="B838" s="668" t="s">
        <v>7525</v>
      </c>
      <c r="C838" s="589" t="s">
        <v>2346</v>
      </c>
      <c r="D838" s="641" t="s">
        <v>5038</v>
      </c>
      <c r="E838" s="669">
        <v>10000.0</v>
      </c>
      <c r="F838" s="641" t="s">
        <v>4890</v>
      </c>
      <c r="G838" s="641" t="s">
        <v>120</v>
      </c>
      <c r="H838" s="641" t="s">
        <v>91</v>
      </c>
      <c r="I838" s="641" t="s">
        <v>521</v>
      </c>
      <c r="J838" s="667">
        <v>44280.0</v>
      </c>
      <c r="K838" s="641" t="s">
        <v>2319</v>
      </c>
      <c r="L838" s="666"/>
      <c r="M838" s="666"/>
      <c r="N838" s="666"/>
      <c r="O838" s="666"/>
      <c r="P838" s="666"/>
      <c r="Q838" s="666"/>
      <c r="R838" s="666"/>
      <c r="S838" s="666"/>
      <c r="T838" s="666"/>
      <c r="U838" s="666"/>
      <c r="V838" s="666"/>
      <c r="W838" s="666"/>
      <c r="X838" s="666"/>
      <c r="Y838" s="666"/>
      <c r="Z838" s="666"/>
      <c r="AA838" s="666"/>
      <c r="AB838" s="666"/>
      <c r="AC838" s="666"/>
      <c r="AD838" s="666"/>
      <c r="AE838" s="666"/>
      <c r="AF838" s="666"/>
      <c r="AG838" s="666"/>
      <c r="AH838" s="666"/>
      <c r="AI838" s="666"/>
      <c r="AJ838" s="666"/>
      <c r="AK838" s="666"/>
      <c r="AL838" s="666"/>
      <c r="AM838" s="666"/>
      <c r="AN838" s="666"/>
      <c r="AO838" s="666"/>
      <c r="AP838" s="666"/>
      <c r="AQ838" s="666"/>
      <c r="AR838" s="666"/>
      <c r="AS838" s="666"/>
      <c r="AT838" s="666"/>
      <c r="AU838" s="666"/>
    </row>
    <row r="839" ht="15.75" customHeight="1">
      <c r="A839" s="667">
        <v>44644.0</v>
      </c>
      <c r="B839" s="668" t="s">
        <v>7722</v>
      </c>
      <c r="C839" s="589" t="s">
        <v>2346</v>
      </c>
      <c r="D839" s="641" t="s">
        <v>427</v>
      </c>
      <c r="E839" s="669">
        <v>117357.0</v>
      </c>
      <c r="F839" s="641" t="s">
        <v>7134</v>
      </c>
      <c r="G839" s="641" t="s">
        <v>120</v>
      </c>
      <c r="H839" s="641" t="s">
        <v>91</v>
      </c>
      <c r="I839" s="641" t="s">
        <v>699</v>
      </c>
      <c r="J839" s="667">
        <v>44330.0</v>
      </c>
      <c r="K839" s="641" t="s">
        <v>2365</v>
      </c>
      <c r="L839" s="666"/>
      <c r="M839" s="666"/>
      <c r="N839" s="666"/>
      <c r="O839" s="666"/>
      <c r="P839" s="666"/>
      <c r="Q839" s="666"/>
      <c r="R839" s="666"/>
      <c r="S839" s="666"/>
      <c r="T839" s="666"/>
      <c r="U839" s="666"/>
      <c r="V839" s="666"/>
      <c r="W839" s="666"/>
      <c r="X839" s="666"/>
      <c r="Y839" s="666"/>
      <c r="Z839" s="666"/>
      <c r="AA839" s="666"/>
      <c r="AB839" s="666"/>
      <c r="AC839" s="666"/>
      <c r="AD839" s="666"/>
      <c r="AE839" s="666"/>
      <c r="AF839" s="666"/>
      <c r="AG839" s="666"/>
      <c r="AH839" s="666"/>
      <c r="AI839" s="666"/>
      <c r="AJ839" s="666"/>
      <c r="AK839" s="666"/>
      <c r="AL839" s="666"/>
      <c r="AM839" s="666"/>
      <c r="AN839" s="666"/>
      <c r="AO839" s="666"/>
      <c r="AP839" s="666"/>
      <c r="AQ839" s="666"/>
      <c r="AR839" s="666"/>
      <c r="AS839" s="666"/>
      <c r="AT839" s="666"/>
      <c r="AU839" s="666"/>
    </row>
    <row r="840" ht="15.75" customHeight="1">
      <c r="A840" s="667">
        <v>44644.0</v>
      </c>
      <c r="B840" s="668" t="s">
        <v>7773</v>
      </c>
      <c r="C840" s="589" t="s">
        <v>2346</v>
      </c>
      <c r="D840" s="641" t="s">
        <v>5038</v>
      </c>
      <c r="E840" s="669">
        <v>19000.0</v>
      </c>
      <c r="F840" s="641" t="s">
        <v>1017</v>
      </c>
      <c r="G840" s="641" t="s">
        <v>120</v>
      </c>
      <c r="H840" s="641" t="s">
        <v>91</v>
      </c>
      <c r="I840" s="641" t="s">
        <v>699</v>
      </c>
      <c r="J840" s="667">
        <v>44263.0</v>
      </c>
      <c r="K840" s="641" t="s">
        <v>2341</v>
      </c>
      <c r="L840" s="666"/>
      <c r="M840" s="666"/>
      <c r="N840" s="666"/>
      <c r="O840" s="666"/>
      <c r="P840" s="666"/>
      <c r="Q840" s="666"/>
      <c r="R840" s="666"/>
      <c r="S840" s="666"/>
      <c r="T840" s="666"/>
      <c r="U840" s="666"/>
      <c r="V840" s="666"/>
      <c r="W840" s="666"/>
      <c r="X840" s="666"/>
      <c r="Y840" s="666"/>
      <c r="Z840" s="666"/>
      <c r="AA840" s="666"/>
      <c r="AB840" s="666"/>
      <c r="AC840" s="666"/>
      <c r="AD840" s="666"/>
      <c r="AE840" s="666"/>
      <c r="AF840" s="666"/>
      <c r="AG840" s="666"/>
      <c r="AH840" s="666"/>
      <c r="AI840" s="666"/>
      <c r="AJ840" s="666"/>
      <c r="AK840" s="666"/>
      <c r="AL840" s="666"/>
      <c r="AM840" s="666"/>
      <c r="AN840" s="666"/>
      <c r="AO840" s="666"/>
      <c r="AP840" s="666"/>
      <c r="AQ840" s="666"/>
      <c r="AR840" s="666"/>
      <c r="AS840" s="666"/>
      <c r="AT840" s="666"/>
      <c r="AU840" s="666"/>
    </row>
    <row r="841" ht="15.75" customHeight="1">
      <c r="A841" s="667">
        <v>44644.0</v>
      </c>
      <c r="B841" s="668" t="s">
        <v>7780</v>
      </c>
      <c r="C841" s="589" t="s">
        <v>2346</v>
      </c>
      <c r="D841" s="641" t="s">
        <v>5038</v>
      </c>
      <c r="E841" s="669">
        <v>14000.0</v>
      </c>
      <c r="F841" s="641" t="s">
        <v>7781</v>
      </c>
      <c r="G841" s="641" t="s">
        <v>669</v>
      </c>
      <c r="H841" s="641" t="s">
        <v>199</v>
      </c>
      <c r="I841" s="641" t="s">
        <v>1228</v>
      </c>
      <c r="J841" s="667">
        <v>43605.0</v>
      </c>
      <c r="K841" s="641" t="s">
        <v>2372</v>
      </c>
      <c r="L841" s="666"/>
      <c r="M841" s="666"/>
      <c r="N841" s="666"/>
      <c r="O841" s="666"/>
      <c r="P841" s="666"/>
      <c r="Q841" s="666"/>
      <c r="R841" s="666"/>
      <c r="S841" s="666"/>
      <c r="T841" s="666"/>
      <c r="U841" s="666"/>
      <c r="V841" s="666"/>
      <c r="W841" s="666"/>
      <c r="X841" s="666"/>
      <c r="Y841" s="666"/>
      <c r="Z841" s="666"/>
      <c r="AA841" s="666"/>
      <c r="AB841" s="666"/>
      <c r="AC841" s="666"/>
      <c r="AD841" s="666"/>
      <c r="AE841" s="666"/>
      <c r="AF841" s="666"/>
      <c r="AG841" s="666"/>
      <c r="AH841" s="666"/>
      <c r="AI841" s="666"/>
      <c r="AJ841" s="666"/>
      <c r="AK841" s="666"/>
      <c r="AL841" s="666"/>
      <c r="AM841" s="666"/>
      <c r="AN841" s="666"/>
      <c r="AO841" s="666"/>
      <c r="AP841" s="666"/>
      <c r="AQ841" s="666"/>
      <c r="AR841" s="666"/>
      <c r="AS841" s="666"/>
      <c r="AT841" s="666"/>
      <c r="AU841" s="666"/>
    </row>
    <row r="842" ht="15.75" customHeight="1">
      <c r="A842" s="667">
        <v>44644.0</v>
      </c>
      <c r="B842" s="668" t="s">
        <v>6959</v>
      </c>
      <c r="C842" s="589" t="s">
        <v>2346</v>
      </c>
      <c r="D842" s="641" t="s">
        <v>5038</v>
      </c>
      <c r="E842" s="669">
        <v>5000.0</v>
      </c>
      <c r="F842" s="641" t="s">
        <v>2299</v>
      </c>
      <c r="G842" s="641" t="s">
        <v>120</v>
      </c>
      <c r="H842" s="641" t="s">
        <v>91</v>
      </c>
      <c r="I842" s="641" t="s">
        <v>521</v>
      </c>
      <c r="J842" s="667">
        <v>44421.0</v>
      </c>
      <c r="K842" s="641" t="s">
        <v>2341</v>
      </c>
      <c r="L842" s="666"/>
      <c r="M842" s="666"/>
      <c r="N842" s="666"/>
      <c r="O842" s="666"/>
      <c r="P842" s="666"/>
      <c r="Q842" s="666"/>
      <c r="R842" s="666"/>
      <c r="S842" s="666"/>
      <c r="T842" s="666"/>
      <c r="U842" s="666"/>
      <c r="V842" s="666"/>
      <c r="W842" s="666"/>
      <c r="X842" s="666"/>
      <c r="Y842" s="666"/>
      <c r="Z842" s="666"/>
      <c r="AA842" s="666"/>
      <c r="AB842" s="666"/>
      <c r="AC842" s="666"/>
      <c r="AD842" s="666"/>
      <c r="AE842" s="666"/>
      <c r="AF842" s="666"/>
      <c r="AG842" s="666"/>
      <c r="AH842" s="666"/>
      <c r="AI842" s="666"/>
      <c r="AJ842" s="666"/>
      <c r="AK842" s="666"/>
      <c r="AL842" s="666"/>
      <c r="AM842" s="666"/>
      <c r="AN842" s="666"/>
      <c r="AO842" s="666"/>
      <c r="AP842" s="666"/>
      <c r="AQ842" s="666"/>
      <c r="AR842" s="666"/>
      <c r="AS842" s="666"/>
      <c r="AT842" s="666"/>
      <c r="AU842" s="666"/>
    </row>
    <row r="843" ht="15.75" customHeight="1">
      <c r="A843" s="667">
        <v>44644.0</v>
      </c>
      <c r="B843" s="668" t="s">
        <v>7678</v>
      </c>
      <c r="C843" s="589" t="s">
        <v>2346</v>
      </c>
      <c r="D843" s="641" t="s">
        <v>5038</v>
      </c>
      <c r="E843" s="669">
        <v>25000.0</v>
      </c>
      <c r="F843" s="641" t="s">
        <v>6769</v>
      </c>
      <c r="G843" s="641" t="s">
        <v>120</v>
      </c>
      <c r="H843" s="641" t="s">
        <v>91</v>
      </c>
      <c r="I843" s="641" t="s">
        <v>521</v>
      </c>
      <c r="J843" s="667">
        <v>44585.0</v>
      </c>
      <c r="K843" s="641" t="s">
        <v>2356</v>
      </c>
      <c r="L843" s="666"/>
      <c r="M843" s="666"/>
      <c r="N843" s="666"/>
      <c r="O843" s="666"/>
      <c r="P843" s="666"/>
      <c r="Q843" s="666"/>
      <c r="R843" s="666"/>
      <c r="S843" s="666"/>
      <c r="T843" s="666"/>
      <c r="U843" s="666"/>
      <c r="V843" s="666"/>
      <c r="W843" s="666"/>
      <c r="X843" s="666"/>
      <c r="Y843" s="666"/>
      <c r="Z843" s="666"/>
      <c r="AA843" s="666"/>
      <c r="AB843" s="666"/>
      <c r="AC843" s="666"/>
      <c r="AD843" s="666"/>
      <c r="AE843" s="666"/>
      <c r="AF843" s="666"/>
      <c r="AG843" s="666"/>
      <c r="AH843" s="666"/>
      <c r="AI843" s="666"/>
      <c r="AJ843" s="666"/>
      <c r="AK843" s="666"/>
      <c r="AL843" s="666"/>
      <c r="AM843" s="666"/>
      <c r="AN843" s="666"/>
      <c r="AO843" s="666"/>
      <c r="AP843" s="666"/>
      <c r="AQ843" s="666"/>
      <c r="AR843" s="666"/>
      <c r="AS843" s="666"/>
      <c r="AT843" s="666"/>
      <c r="AU843" s="666"/>
    </row>
    <row r="844" ht="15.75" customHeight="1">
      <c r="A844" s="667">
        <v>44644.0</v>
      </c>
      <c r="B844" s="668" t="s">
        <v>7787</v>
      </c>
      <c r="C844" s="589" t="s">
        <v>2346</v>
      </c>
      <c r="D844" s="641" t="s">
        <v>5038</v>
      </c>
      <c r="E844" s="669">
        <v>300000.0</v>
      </c>
      <c r="F844" s="641" t="s">
        <v>6043</v>
      </c>
      <c r="G844" s="641" t="s">
        <v>120</v>
      </c>
      <c r="H844" s="641" t="s">
        <v>91</v>
      </c>
      <c r="I844" s="641" t="s">
        <v>521</v>
      </c>
      <c r="J844" s="773"/>
      <c r="K844" s="641"/>
      <c r="L844" s="666"/>
      <c r="M844" s="666"/>
      <c r="N844" s="666"/>
      <c r="O844" s="666"/>
      <c r="P844" s="666"/>
      <c r="Q844" s="666"/>
      <c r="R844" s="666"/>
      <c r="S844" s="666"/>
      <c r="T844" s="666"/>
      <c r="U844" s="666"/>
      <c r="V844" s="666"/>
      <c r="W844" s="666"/>
      <c r="X844" s="666"/>
      <c r="Y844" s="666"/>
      <c r="Z844" s="666"/>
      <c r="AA844" s="666"/>
      <c r="AB844" s="666"/>
      <c r="AC844" s="666"/>
      <c r="AD844" s="666"/>
      <c r="AE844" s="666"/>
      <c r="AF844" s="666"/>
      <c r="AG844" s="666"/>
      <c r="AH844" s="666"/>
      <c r="AI844" s="666"/>
      <c r="AJ844" s="666"/>
      <c r="AK844" s="666"/>
      <c r="AL844" s="666"/>
      <c r="AM844" s="666"/>
      <c r="AN844" s="666"/>
      <c r="AO844" s="666"/>
      <c r="AP844" s="666"/>
      <c r="AQ844" s="666"/>
      <c r="AR844" s="666"/>
      <c r="AS844" s="666"/>
      <c r="AT844" s="666"/>
      <c r="AU844" s="666"/>
    </row>
    <row r="845" ht="15.75" customHeight="1">
      <c r="A845" s="667">
        <v>44648.0</v>
      </c>
      <c r="B845" s="718" t="s">
        <v>7643</v>
      </c>
      <c r="C845" s="641" t="s">
        <v>98</v>
      </c>
      <c r="D845" s="641" t="s">
        <v>5038</v>
      </c>
      <c r="E845" s="669">
        <v>15000.0</v>
      </c>
      <c r="F845" s="641" t="s">
        <v>6087</v>
      </c>
      <c r="G845" s="626" t="s">
        <v>120</v>
      </c>
      <c r="H845" s="626" t="s">
        <v>199</v>
      </c>
      <c r="I845" s="626" t="s">
        <v>7647</v>
      </c>
      <c r="J845" s="667">
        <v>44594.0</v>
      </c>
      <c r="K845" s="822" t="s">
        <v>2356</v>
      </c>
      <c r="L845" s="666"/>
      <c r="M845" s="666"/>
      <c r="N845" s="666"/>
      <c r="O845" s="666"/>
      <c r="P845" s="666"/>
      <c r="Q845" s="666"/>
      <c r="R845" s="666"/>
      <c r="S845" s="666"/>
      <c r="T845" s="666"/>
      <c r="U845" s="666"/>
      <c r="V845" s="666"/>
      <c r="W845" s="666"/>
      <c r="X845" s="666"/>
      <c r="Y845" s="666"/>
      <c r="Z845" s="666"/>
      <c r="AA845" s="666"/>
      <c r="AB845" s="666"/>
      <c r="AC845" s="666"/>
      <c r="AD845" s="666"/>
      <c r="AE845" s="666"/>
      <c r="AF845" s="666"/>
      <c r="AG845" s="666"/>
      <c r="AH845" s="666"/>
      <c r="AI845" s="666"/>
      <c r="AJ845" s="666"/>
      <c r="AK845" s="666"/>
      <c r="AL845" s="666"/>
      <c r="AM845" s="666"/>
      <c r="AN845" s="666"/>
      <c r="AO845" s="666"/>
      <c r="AP845" s="666"/>
      <c r="AQ845" s="666"/>
      <c r="AR845" s="666"/>
      <c r="AS845" s="666"/>
      <c r="AT845" s="666"/>
      <c r="AU845" s="666"/>
    </row>
    <row r="846" ht="15.75" customHeight="1">
      <c r="A846" s="667">
        <v>44648.0</v>
      </c>
      <c r="B846" s="804" t="s">
        <v>6323</v>
      </c>
      <c r="C846" s="641" t="s">
        <v>98</v>
      </c>
      <c r="D846" s="641" t="s">
        <v>427</v>
      </c>
      <c r="E846" s="669">
        <v>2232.0</v>
      </c>
      <c r="F846" s="750" t="s">
        <v>5006</v>
      </c>
      <c r="G846" s="626" t="s">
        <v>255</v>
      </c>
      <c r="H846" s="626" t="s">
        <v>199</v>
      </c>
      <c r="I846" s="626" t="s">
        <v>3979</v>
      </c>
      <c r="J846" s="726">
        <v>44145.0</v>
      </c>
      <c r="K846" s="822" t="s">
        <v>2319</v>
      </c>
      <c r="L846" s="666"/>
      <c r="M846" s="666"/>
      <c r="N846" s="666"/>
      <c r="O846" s="666"/>
      <c r="P846" s="666"/>
      <c r="Q846" s="666"/>
      <c r="R846" s="666"/>
      <c r="S846" s="666"/>
      <c r="T846" s="666"/>
      <c r="U846" s="666"/>
      <c r="V846" s="666"/>
      <c r="W846" s="666"/>
      <c r="X846" s="666"/>
      <c r="Y846" s="666"/>
      <c r="Z846" s="666"/>
      <c r="AA846" s="666"/>
      <c r="AB846" s="666"/>
      <c r="AC846" s="666"/>
      <c r="AD846" s="666"/>
      <c r="AE846" s="666"/>
      <c r="AF846" s="666"/>
      <c r="AG846" s="666"/>
      <c r="AH846" s="666"/>
      <c r="AI846" s="666"/>
      <c r="AJ846" s="666"/>
      <c r="AK846" s="666"/>
      <c r="AL846" s="666"/>
      <c r="AM846" s="666"/>
      <c r="AN846" s="666"/>
      <c r="AO846" s="666"/>
      <c r="AP846" s="666"/>
      <c r="AQ846" s="666"/>
      <c r="AR846" s="666"/>
      <c r="AS846" s="666"/>
      <c r="AT846" s="666"/>
      <c r="AU846" s="666"/>
    </row>
    <row r="847" ht="15.75" customHeight="1">
      <c r="A847" s="667">
        <v>44650.0</v>
      </c>
      <c r="B847" s="804" t="s">
        <v>7794</v>
      </c>
      <c r="C847" s="641" t="s">
        <v>98</v>
      </c>
      <c r="D847" s="641" t="s">
        <v>694</v>
      </c>
      <c r="E847" s="669">
        <v>129000.0</v>
      </c>
      <c r="F847" s="750" t="s">
        <v>6653</v>
      </c>
      <c r="G847" s="626" t="s">
        <v>255</v>
      </c>
      <c r="H847" s="641" t="s">
        <v>622</v>
      </c>
      <c r="I847" s="626" t="s">
        <v>4650</v>
      </c>
      <c r="J847" s="726">
        <v>44216.0</v>
      </c>
      <c r="K847" s="822" t="s">
        <v>2319</v>
      </c>
      <c r="L847" s="666"/>
      <c r="M847" s="666"/>
      <c r="N847" s="666"/>
      <c r="O847" s="666"/>
      <c r="P847" s="666"/>
      <c r="Q847" s="666"/>
      <c r="R847" s="666"/>
      <c r="S847" s="666"/>
      <c r="T847" s="666"/>
      <c r="U847" s="666"/>
      <c r="V847" s="666"/>
      <c r="W847" s="666"/>
      <c r="X847" s="666"/>
      <c r="Y847" s="666"/>
      <c r="Z847" s="666"/>
      <c r="AA847" s="666"/>
      <c r="AB847" s="666"/>
      <c r="AC847" s="666"/>
      <c r="AD847" s="666"/>
      <c r="AE847" s="666"/>
      <c r="AF847" s="666"/>
      <c r="AG847" s="666"/>
      <c r="AH847" s="666"/>
      <c r="AI847" s="666"/>
      <c r="AJ847" s="666"/>
      <c r="AK847" s="666"/>
      <c r="AL847" s="666"/>
      <c r="AM847" s="666"/>
      <c r="AN847" s="666"/>
      <c r="AO847" s="666"/>
      <c r="AP847" s="666"/>
      <c r="AQ847" s="666"/>
      <c r="AR847" s="666"/>
      <c r="AS847" s="666"/>
      <c r="AT847" s="666"/>
      <c r="AU847" s="666"/>
    </row>
    <row r="848" ht="15.75" customHeight="1">
      <c r="A848" s="667">
        <v>44650.0</v>
      </c>
      <c r="B848" s="804" t="s">
        <v>7797</v>
      </c>
      <c r="C848" s="641" t="s">
        <v>98</v>
      </c>
      <c r="D848" s="641" t="s">
        <v>694</v>
      </c>
      <c r="E848" s="669">
        <v>630477.0</v>
      </c>
      <c r="F848" s="750" t="s">
        <v>6653</v>
      </c>
      <c r="G848" s="626" t="s">
        <v>255</v>
      </c>
      <c r="H848" s="641" t="s">
        <v>622</v>
      </c>
      <c r="I848" s="626" t="s">
        <v>4650</v>
      </c>
      <c r="J848" s="726">
        <v>44207.0</v>
      </c>
      <c r="K848" s="822" t="s">
        <v>2452</v>
      </c>
      <c r="L848" s="666"/>
      <c r="M848" s="666"/>
      <c r="N848" s="666"/>
      <c r="O848" s="666"/>
      <c r="P848" s="666"/>
      <c r="Q848" s="666"/>
      <c r="R848" s="666"/>
      <c r="S848" s="666"/>
      <c r="T848" s="666"/>
      <c r="U848" s="666"/>
      <c r="V848" s="666"/>
      <c r="W848" s="666"/>
      <c r="X848" s="666"/>
      <c r="Y848" s="666"/>
      <c r="Z848" s="666"/>
      <c r="AA848" s="666"/>
      <c r="AB848" s="666"/>
      <c r="AC848" s="666"/>
      <c r="AD848" s="666"/>
      <c r="AE848" s="666"/>
      <c r="AF848" s="666"/>
      <c r="AG848" s="666"/>
      <c r="AH848" s="666"/>
      <c r="AI848" s="666"/>
      <c r="AJ848" s="666"/>
      <c r="AK848" s="666"/>
      <c r="AL848" s="666"/>
      <c r="AM848" s="666"/>
      <c r="AN848" s="666"/>
      <c r="AO848" s="666"/>
      <c r="AP848" s="666"/>
      <c r="AQ848" s="666"/>
      <c r="AR848" s="666"/>
      <c r="AS848" s="666"/>
      <c r="AT848" s="666"/>
      <c r="AU848" s="666"/>
    </row>
    <row r="849" ht="15.75" customHeight="1">
      <c r="A849" s="667">
        <v>44650.0</v>
      </c>
      <c r="B849" s="804" t="s">
        <v>7801</v>
      </c>
      <c r="C849" s="641" t="s">
        <v>98</v>
      </c>
      <c r="D849" s="641" t="s">
        <v>694</v>
      </c>
      <c r="E849" s="669">
        <v>152856.49</v>
      </c>
      <c r="F849" s="589" t="s">
        <v>3953</v>
      </c>
      <c r="G849" s="626" t="s">
        <v>255</v>
      </c>
      <c r="H849" s="641" t="s">
        <v>622</v>
      </c>
      <c r="I849" s="626" t="s">
        <v>4650</v>
      </c>
      <c r="J849" s="726">
        <v>44385.0</v>
      </c>
      <c r="K849" s="822" t="s">
        <v>2319</v>
      </c>
      <c r="L849" s="666"/>
      <c r="M849" s="666"/>
      <c r="N849" s="666"/>
      <c r="O849" s="666"/>
      <c r="P849" s="666"/>
      <c r="Q849" s="666"/>
      <c r="R849" s="666"/>
      <c r="S849" s="666"/>
      <c r="T849" s="666"/>
      <c r="U849" s="666"/>
      <c r="V849" s="666"/>
      <c r="W849" s="666"/>
      <c r="X849" s="666"/>
      <c r="Y849" s="666"/>
      <c r="Z849" s="666"/>
      <c r="AA849" s="666"/>
      <c r="AB849" s="666"/>
      <c r="AC849" s="666"/>
      <c r="AD849" s="666"/>
      <c r="AE849" s="666"/>
      <c r="AF849" s="666"/>
      <c r="AG849" s="666"/>
      <c r="AH849" s="666"/>
      <c r="AI849" s="666"/>
      <c r="AJ849" s="666"/>
      <c r="AK849" s="666"/>
      <c r="AL849" s="666"/>
      <c r="AM849" s="666"/>
      <c r="AN849" s="666"/>
      <c r="AO849" s="666"/>
      <c r="AP849" s="666"/>
      <c r="AQ849" s="666"/>
      <c r="AR849" s="666"/>
      <c r="AS849" s="666"/>
      <c r="AT849" s="666"/>
      <c r="AU849" s="666"/>
    </row>
    <row r="850" ht="15.75" customHeight="1">
      <c r="A850" s="667">
        <v>44650.0</v>
      </c>
      <c r="B850" s="668" t="s">
        <v>7804</v>
      </c>
      <c r="C850" s="589" t="s">
        <v>98</v>
      </c>
      <c r="D850" s="641" t="s">
        <v>5038</v>
      </c>
      <c r="E850" s="669">
        <v>22140.93</v>
      </c>
      <c r="F850" s="641" t="s">
        <v>7805</v>
      </c>
      <c r="G850" s="641" t="s">
        <v>120</v>
      </c>
      <c r="H850" s="641" t="s">
        <v>54</v>
      </c>
      <c r="I850" s="641" t="s">
        <v>348</v>
      </c>
      <c r="J850" s="667">
        <v>44656.0</v>
      </c>
      <c r="K850" s="641" t="s">
        <v>2341</v>
      </c>
      <c r="L850" s="666"/>
      <c r="M850" s="666"/>
      <c r="N850" s="666"/>
      <c r="O850" s="666"/>
      <c r="P850" s="666"/>
      <c r="Q850" s="666"/>
      <c r="R850" s="666"/>
      <c r="S850" s="666"/>
      <c r="T850" s="666"/>
      <c r="U850" s="666"/>
      <c r="V850" s="666"/>
      <c r="W850" s="666"/>
      <c r="X850" s="666"/>
      <c r="Y850" s="666"/>
      <c r="Z850" s="666"/>
      <c r="AA850" s="666"/>
      <c r="AB850" s="666"/>
      <c r="AC850" s="666"/>
      <c r="AD850" s="666"/>
      <c r="AE850" s="666"/>
      <c r="AF850" s="666"/>
      <c r="AG850" s="666"/>
      <c r="AH850" s="666"/>
      <c r="AI850" s="666"/>
      <c r="AJ850" s="666"/>
      <c r="AK850" s="666"/>
      <c r="AL850" s="666"/>
      <c r="AM850" s="666"/>
      <c r="AN850" s="666"/>
      <c r="AO850" s="666"/>
      <c r="AP850" s="666"/>
      <c r="AQ850" s="666"/>
      <c r="AR850" s="666"/>
      <c r="AS850" s="666"/>
      <c r="AT850" s="666"/>
      <c r="AU850" s="666"/>
    </row>
    <row r="851" ht="15.75" customHeight="1">
      <c r="A851" s="667">
        <v>44651.0</v>
      </c>
      <c r="B851" s="804" t="s">
        <v>7810</v>
      </c>
      <c r="C851" s="641" t="s">
        <v>98</v>
      </c>
      <c r="D851" s="641" t="s">
        <v>694</v>
      </c>
      <c r="E851" s="669">
        <v>230428.79</v>
      </c>
      <c r="F851" s="843" t="s">
        <v>7811</v>
      </c>
      <c r="G851" s="626" t="s">
        <v>255</v>
      </c>
      <c r="H851" s="641" t="s">
        <v>622</v>
      </c>
      <c r="I851" s="626" t="s">
        <v>4650</v>
      </c>
      <c r="J851" s="726">
        <v>44294.0</v>
      </c>
      <c r="K851" s="822" t="s">
        <v>2319</v>
      </c>
      <c r="L851" s="666"/>
      <c r="M851" s="666"/>
      <c r="N851" s="666"/>
      <c r="O851" s="666"/>
      <c r="P851" s="666"/>
      <c r="Q851" s="666"/>
      <c r="R851" s="666"/>
      <c r="S851" s="666"/>
      <c r="T851" s="666"/>
      <c r="U851" s="666"/>
      <c r="V851" s="666"/>
      <c r="W851" s="666"/>
      <c r="X851" s="666"/>
      <c r="Y851" s="666"/>
      <c r="Z851" s="666"/>
      <c r="AA851" s="666"/>
      <c r="AB851" s="666"/>
      <c r="AC851" s="666"/>
      <c r="AD851" s="666"/>
      <c r="AE851" s="666"/>
      <c r="AF851" s="666"/>
      <c r="AG851" s="666"/>
      <c r="AH851" s="666"/>
      <c r="AI851" s="666"/>
      <c r="AJ851" s="666"/>
      <c r="AK851" s="666"/>
      <c r="AL851" s="666"/>
      <c r="AM851" s="666"/>
      <c r="AN851" s="666"/>
      <c r="AO851" s="666"/>
      <c r="AP851" s="666"/>
      <c r="AQ851" s="666"/>
      <c r="AR851" s="666"/>
      <c r="AS851" s="666"/>
      <c r="AT851" s="666"/>
      <c r="AU851" s="666"/>
    </row>
    <row r="852" ht="15.75" customHeight="1">
      <c r="A852" s="667">
        <v>44651.0</v>
      </c>
      <c r="B852" s="718" t="s">
        <v>7814</v>
      </c>
      <c r="C852" s="641" t="s">
        <v>98</v>
      </c>
      <c r="D852" s="641" t="s">
        <v>694</v>
      </c>
      <c r="E852" s="669">
        <v>281890.89</v>
      </c>
      <c r="F852" s="641" t="s">
        <v>4704</v>
      </c>
      <c r="G852" s="626" t="s">
        <v>120</v>
      </c>
      <c r="H852" s="626" t="s">
        <v>54</v>
      </c>
      <c r="I852" s="626" t="s">
        <v>379</v>
      </c>
      <c r="J852" s="667">
        <v>44300.0</v>
      </c>
      <c r="K852" s="822" t="s">
        <v>2341</v>
      </c>
      <c r="L852" s="666"/>
      <c r="M852" s="666"/>
      <c r="N852" s="666"/>
      <c r="O852" s="666"/>
      <c r="P852" s="666"/>
      <c r="Q852" s="666"/>
      <c r="R852" s="666"/>
      <c r="S852" s="666"/>
      <c r="T852" s="666"/>
      <c r="U852" s="666"/>
      <c r="V852" s="666"/>
      <c r="W852" s="666"/>
      <c r="X852" s="666"/>
      <c r="Y852" s="666"/>
      <c r="Z852" s="666"/>
      <c r="AA852" s="666"/>
      <c r="AB852" s="666"/>
      <c r="AC852" s="666"/>
      <c r="AD852" s="666"/>
      <c r="AE852" s="666"/>
      <c r="AF852" s="666"/>
      <c r="AG852" s="666"/>
      <c r="AH852" s="666"/>
      <c r="AI852" s="666"/>
      <c r="AJ852" s="666"/>
      <c r="AK852" s="666"/>
      <c r="AL852" s="666"/>
      <c r="AM852" s="666"/>
      <c r="AN852" s="666"/>
      <c r="AO852" s="666"/>
      <c r="AP852" s="666"/>
      <c r="AQ852" s="666"/>
      <c r="AR852" s="666"/>
      <c r="AS852" s="666"/>
      <c r="AT852" s="666"/>
      <c r="AU852" s="666"/>
    </row>
    <row r="853" ht="15.75" customHeight="1">
      <c r="A853" s="667">
        <v>44651.0</v>
      </c>
      <c r="B853" s="668">
        <v>804771.0</v>
      </c>
      <c r="C853" s="589" t="s">
        <v>2346</v>
      </c>
      <c r="D853" s="641" t="s">
        <v>427</v>
      </c>
      <c r="E853" s="669">
        <v>84500.0</v>
      </c>
      <c r="F853" s="641" t="s">
        <v>5390</v>
      </c>
      <c r="G853" s="641" t="s">
        <v>1096</v>
      </c>
      <c r="H853" s="641" t="s">
        <v>199</v>
      </c>
      <c r="I853" s="641" t="s">
        <v>1096</v>
      </c>
      <c r="J853" s="773">
        <v>43441.0</v>
      </c>
      <c r="K853" s="641" t="s">
        <v>2372</v>
      </c>
      <c r="L853" s="666"/>
      <c r="M853" s="666"/>
      <c r="N853" s="666"/>
      <c r="O853" s="666"/>
      <c r="P853" s="666"/>
      <c r="Q853" s="666"/>
      <c r="R853" s="666"/>
      <c r="S853" s="666"/>
      <c r="T853" s="666"/>
      <c r="U853" s="666"/>
      <c r="V853" s="666"/>
      <c r="W853" s="666"/>
      <c r="X853" s="666"/>
      <c r="Y853" s="666"/>
      <c r="Z853" s="666"/>
      <c r="AA853" s="666"/>
      <c r="AB853" s="666"/>
      <c r="AC853" s="666"/>
      <c r="AD853" s="666"/>
      <c r="AE853" s="666"/>
      <c r="AF853" s="666"/>
      <c r="AG853" s="666"/>
      <c r="AH853" s="666"/>
      <c r="AI853" s="666"/>
      <c r="AJ853" s="666"/>
      <c r="AK853" s="666"/>
      <c r="AL853" s="666"/>
      <c r="AM853" s="666"/>
      <c r="AN853" s="666"/>
      <c r="AO853" s="666"/>
      <c r="AP853" s="666"/>
      <c r="AQ853" s="666"/>
      <c r="AR853" s="666"/>
      <c r="AS853" s="666"/>
      <c r="AT853" s="666"/>
      <c r="AU853" s="666"/>
    </row>
    <row r="854" ht="15.75" customHeight="1">
      <c r="A854" s="667">
        <v>44651.0</v>
      </c>
      <c r="B854" s="668" t="s">
        <v>6285</v>
      </c>
      <c r="C854" s="589" t="s">
        <v>2346</v>
      </c>
      <c r="D854" s="641" t="s">
        <v>427</v>
      </c>
      <c r="E854" s="669">
        <v>32277.0</v>
      </c>
      <c r="F854" s="641" t="s">
        <v>2441</v>
      </c>
      <c r="G854" s="641" t="s">
        <v>669</v>
      </c>
      <c r="H854" s="641" t="s">
        <v>199</v>
      </c>
      <c r="I854" s="641" t="s">
        <v>1228</v>
      </c>
      <c r="J854" s="667">
        <v>43753.0</v>
      </c>
      <c r="K854" s="641" t="s">
        <v>2341</v>
      </c>
      <c r="L854" s="666"/>
      <c r="M854" s="666"/>
      <c r="N854" s="666"/>
      <c r="O854" s="666"/>
      <c r="P854" s="666"/>
      <c r="Q854" s="666"/>
      <c r="R854" s="666"/>
      <c r="S854" s="666"/>
      <c r="T854" s="666"/>
      <c r="U854" s="666"/>
      <c r="V854" s="666"/>
      <c r="W854" s="666"/>
      <c r="X854" s="666"/>
      <c r="Y854" s="666"/>
      <c r="Z854" s="666"/>
      <c r="AA854" s="666"/>
      <c r="AB854" s="666"/>
      <c r="AC854" s="666"/>
      <c r="AD854" s="666"/>
      <c r="AE854" s="666"/>
      <c r="AF854" s="666"/>
      <c r="AG854" s="666"/>
      <c r="AH854" s="666"/>
      <c r="AI854" s="666"/>
      <c r="AJ854" s="666"/>
      <c r="AK854" s="666"/>
      <c r="AL854" s="666"/>
      <c r="AM854" s="666"/>
      <c r="AN854" s="666"/>
      <c r="AO854" s="666"/>
      <c r="AP854" s="666"/>
      <c r="AQ854" s="666"/>
      <c r="AR854" s="666"/>
      <c r="AS854" s="666"/>
      <c r="AT854" s="666"/>
      <c r="AU854" s="666"/>
    </row>
    <row r="855" ht="15.75" customHeight="1">
      <c r="A855" s="667">
        <v>44652.0</v>
      </c>
      <c r="B855" s="668" t="s">
        <v>6211</v>
      </c>
      <c r="C855" s="589" t="s">
        <v>2346</v>
      </c>
      <c r="D855" s="641" t="s">
        <v>694</v>
      </c>
      <c r="E855" s="669">
        <v>15091.06</v>
      </c>
      <c r="F855" s="641" t="s">
        <v>6214</v>
      </c>
      <c r="G855" s="641" t="s">
        <v>120</v>
      </c>
      <c r="H855" s="641" t="s">
        <v>91</v>
      </c>
      <c r="I855" s="641" t="s">
        <v>193</v>
      </c>
      <c r="J855" s="667">
        <v>44322.0</v>
      </c>
      <c r="K855" s="667" t="s">
        <v>2341</v>
      </c>
      <c r="L855" s="666"/>
      <c r="M855" s="666"/>
      <c r="N855" s="666"/>
      <c r="O855" s="666"/>
      <c r="P855" s="666"/>
      <c r="Q855" s="666"/>
      <c r="R855" s="666"/>
      <c r="S855" s="666"/>
      <c r="T855" s="666"/>
      <c r="U855" s="666"/>
      <c r="V855" s="666"/>
      <c r="W855" s="666"/>
      <c r="X855" s="666"/>
      <c r="Y855" s="666"/>
      <c r="Z855" s="666"/>
      <c r="AA855" s="666"/>
      <c r="AB855" s="666"/>
      <c r="AC855" s="666"/>
      <c r="AD855" s="666"/>
      <c r="AE855" s="666"/>
      <c r="AF855" s="666"/>
      <c r="AG855" s="666"/>
      <c r="AH855" s="666"/>
      <c r="AI855" s="666"/>
      <c r="AJ855" s="666"/>
      <c r="AK855" s="666"/>
      <c r="AL855" s="666"/>
      <c r="AM855" s="666"/>
      <c r="AN855" s="666"/>
      <c r="AO855" s="666"/>
      <c r="AP855" s="666"/>
      <c r="AQ855" s="666"/>
      <c r="AR855" s="666"/>
      <c r="AS855" s="666"/>
      <c r="AT855" s="666"/>
      <c r="AU855" s="666"/>
    </row>
    <row r="856" ht="15.75" customHeight="1">
      <c r="A856" s="667">
        <v>44652.0</v>
      </c>
      <c r="B856" s="668" t="s">
        <v>7692</v>
      </c>
      <c r="C856" s="589" t="s">
        <v>98</v>
      </c>
      <c r="D856" s="641" t="s">
        <v>5038</v>
      </c>
      <c r="E856" s="669">
        <v>31400.0</v>
      </c>
      <c r="F856" s="641" t="s">
        <v>2434</v>
      </c>
      <c r="G856" s="641" t="s">
        <v>120</v>
      </c>
      <c r="H856" s="641" t="s">
        <v>54</v>
      </c>
      <c r="I856" s="667" t="s">
        <v>348</v>
      </c>
      <c r="J856" s="667">
        <v>44609.0</v>
      </c>
      <c r="K856" s="641" t="s">
        <v>2365</v>
      </c>
      <c r="L856" s="666"/>
      <c r="M856" s="666"/>
      <c r="N856" s="666"/>
      <c r="O856" s="666"/>
      <c r="P856" s="666"/>
      <c r="Q856" s="666"/>
      <c r="R856" s="666"/>
      <c r="S856" s="666"/>
      <c r="T856" s="666"/>
      <c r="U856" s="666"/>
      <c r="V856" s="666"/>
      <c r="W856" s="666"/>
      <c r="X856" s="666"/>
      <c r="Y856" s="666"/>
      <c r="Z856" s="666"/>
      <c r="AA856" s="666"/>
      <c r="AB856" s="666"/>
      <c r="AC856" s="666"/>
      <c r="AD856" s="666"/>
      <c r="AE856" s="666"/>
      <c r="AF856" s="666"/>
      <c r="AG856" s="666"/>
      <c r="AH856" s="666"/>
      <c r="AI856" s="666"/>
      <c r="AJ856" s="666"/>
      <c r="AK856" s="666"/>
      <c r="AL856" s="666"/>
      <c r="AM856" s="666"/>
      <c r="AN856" s="666"/>
      <c r="AO856" s="666"/>
      <c r="AP856" s="666"/>
      <c r="AQ856" s="666"/>
      <c r="AR856" s="666"/>
      <c r="AS856" s="666"/>
      <c r="AT856" s="666"/>
      <c r="AU856" s="666"/>
    </row>
    <row r="857" ht="15.75" customHeight="1">
      <c r="A857" s="667">
        <v>44655.0</v>
      </c>
      <c r="B857" s="668" t="s">
        <v>5711</v>
      </c>
      <c r="C857" s="589" t="s">
        <v>2346</v>
      </c>
      <c r="D857" s="641" t="s">
        <v>5038</v>
      </c>
      <c r="E857" s="669">
        <v>40000.0</v>
      </c>
      <c r="F857" s="589" t="s">
        <v>7823</v>
      </c>
      <c r="G857" s="641" t="s">
        <v>120</v>
      </c>
      <c r="H857" s="641" t="s">
        <v>91</v>
      </c>
      <c r="I857" s="641" t="s">
        <v>521</v>
      </c>
      <c r="J857" s="667">
        <v>44321.0</v>
      </c>
      <c r="K857" s="641" t="s">
        <v>2341</v>
      </c>
      <c r="L857" s="666"/>
      <c r="M857" s="666"/>
      <c r="N857" s="666"/>
      <c r="O857" s="666"/>
      <c r="P857" s="666"/>
      <c r="Q857" s="666"/>
      <c r="R857" s="666"/>
      <c r="S857" s="666"/>
      <c r="T857" s="666"/>
      <c r="U857" s="666"/>
      <c r="V857" s="666"/>
      <c r="W857" s="666"/>
      <c r="X857" s="666"/>
      <c r="Y857" s="666"/>
      <c r="Z857" s="666"/>
      <c r="AA857" s="666"/>
      <c r="AB857" s="666"/>
      <c r="AC857" s="666"/>
      <c r="AD857" s="666"/>
      <c r="AE857" s="666"/>
      <c r="AF857" s="666"/>
      <c r="AG857" s="666"/>
      <c r="AH857" s="666"/>
      <c r="AI857" s="666"/>
      <c r="AJ857" s="666"/>
      <c r="AK857" s="666"/>
      <c r="AL857" s="666"/>
      <c r="AM857" s="666"/>
      <c r="AN857" s="666"/>
      <c r="AO857" s="666"/>
      <c r="AP857" s="666"/>
      <c r="AQ857" s="666"/>
      <c r="AR857" s="666"/>
      <c r="AS857" s="666"/>
      <c r="AT857" s="666"/>
      <c r="AU857" s="666"/>
    </row>
    <row r="858" ht="15.75" customHeight="1">
      <c r="A858" s="667">
        <v>44656.0</v>
      </c>
      <c r="B858" s="668" t="s">
        <v>7825</v>
      </c>
      <c r="C858" s="589" t="s">
        <v>98</v>
      </c>
      <c r="D858" s="641" t="s">
        <v>694</v>
      </c>
      <c r="E858" s="669">
        <v>171724.96</v>
      </c>
      <c r="F858" s="641" t="s">
        <v>6071</v>
      </c>
      <c r="G858" s="641" t="s">
        <v>120</v>
      </c>
      <c r="H858" s="641" t="s">
        <v>54</v>
      </c>
      <c r="I858" s="667" t="s">
        <v>379</v>
      </c>
      <c r="J858" s="667">
        <v>44274.0</v>
      </c>
      <c r="K858" s="641" t="s">
        <v>2341</v>
      </c>
      <c r="L858" s="666"/>
      <c r="M858" s="666"/>
      <c r="N858" s="666"/>
      <c r="O858" s="666"/>
      <c r="P858" s="666"/>
      <c r="Q858" s="666"/>
      <c r="R858" s="666"/>
      <c r="S858" s="666"/>
      <c r="T858" s="666"/>
      <c r="U858" s="666"/>
      <c r="V858" s="666"/>
      <c r="W858" s="666"/>
      <c r="X858" s="666"/>
      <c r="Y858" s="666"/>
      <c r="Z858" s="666"/>
      <c r="AA858" s="666"/>
      <c r="AB858" s="666"/>
      <c r="AC858" s="666"/>
      <c r="AD858" s="666"/>
      <c r="AE858" s="666"/>
      <c r="AF858" s="666"/>
      <c r="AG858" s="666"/>
      <c r="AH858" s="666"/>
      <c r="AI858" s="666"/>
      <c r="AJ858" s="666"/>
      <c r="AK858" s="666"/>
      <c r="AL858" s="666"/>
      <c r="AM858" s="666"/>
      <c r="AN858" s="666"/>
      <c r="AO858" s="666"/>
      <c r="AP858" s="666"/>
      <c r="AQ858" s="666"/>
      <c r="AR858" s="666"/>
      <c r="AS858" s="666"/>
      <c r="AT858" s="666"/>
      <c r="AU858" s="666"/>
    </row>
    <row r="859" ht="15.75" customHeight="1">
      <c r="A859" s="667">
        <v>44656.0</v>
      </c>
      <c r="B859" s="668" t="s">
        <v>7678</v>
      </c>
      <c r="C859" s="589" t="s">
        <v>2346</v>
      </c>
      <c r="D859" s="641" t="s">
        <v>5038</v>
      </c>
      <c r="E859" s="669">
        <v>25000.0</v>
      </c>
      <c r="F859" s="589" t="s">
        <v>7828</v>
      </c>
      <c r="G859" s="641" t="s">
        <v>120</v>
      </c>
      <c r="H859" s="641" t="s">
        <v>91</v>
      </c>
      <c r="I859" s="641" t="s">
        <v>521</v>
      </c>
      <c r="J859" s="667">
        <v>44263.0</v>
      </c>
      <c r="K859" s="641" t="s">
        <v>2365</v>
      </c>
      <c r="L859" s="666"/>
      <c r="M859" s="666"/>
      <c r="N859" s="666"/>
      <c r="O859" s="666"/>
      <c r="P859" s="666"/>
      <c r="Q859" s="666"/>
      <c r="R859" s="666"/>
      <c r="S859" s="666"/>
      <c r="T859" s="666"/>
      <c r="U859" s="666"/>
      <c r="V859" s="666"/>
      <c r="W859" s="666"/>
      <c r="X859" s="666"/>
      <c r="Y859" s="666"/>
      <c r="Z859" s="666"/>
      <c r="AA859" s="666"/>
      <c r="AB859" s="666"/>
      <c r="AC859" s="666"/>
      <c r="AD859" s="666"/>
      <c r="AE859" s="666"/>
      <c r="AF859" s="666"/>
      <c r="AG859" s="666"/>
      <c r="AH859" s="666"/>
      <c r="AI859" s="666"/>
      <c r="AJ859" s="666"/>
      <c r="AK859" s="666"/>
      <c r="AL859" s="666"/>
      <c r="AM859" s="666"/>
      <c r="AN859" s="666"/>
      <c r="AO859" s="666"/>
      <c r="AP859" s="666"/>
      <c r="AQ859" s="666"/>
      <c r="AR859" s="666"/>
      <c r="AS859" s="666"/>
      <c r="AT859" s="666"/>
      <c r="AU859" s="666"/>
    </row>
    <row r="860" ht="15.75" customHeight="1">
      <c r="A860" s="667">
        <v>44657.0</v>
      </c>
      <c r="B860" s="668" t="s">
        <v>7834</v>
      </c>
      <c r="C860" s="589" t="s">
        <v>98</v>
      </c>
      <c r="D860" s="641" t="s">
        <v>694</v>
      </c>
      <c r="E860" s="669">
        <v>221711.79</v>
      </c>
      <c r="F860" s="641" t="s">
        <v>3658</v>
      </c>
      <c r="G860" s="641" t="s">
        <v>120</v>
      </c>
      <c r="H860" s="641" t="s">
        <v>622</v>
      </c>
      <c r="I860" s="667" t="s">
        <v>4650</v>
      </c>
      <c r="J860" s="667">
        <v>44252.0</v>
      </c>
      <c r="K860" s="641" t="s">
        <v>2319</v>
      </c>
      <c r="L860" s="666"/>
      <c r="M860" s="666"/>
      <c r="N860" s="666"/>
      <c r="O860" s="666"/>
      <c r="P860" s="666"/>
      <c r="Q860" s="666"/>
      <c r="R860" s="666"/>
      <c r="S860" s="666"/>
      <c r="T860" s="666"/>
      <c r="U860" s="666"/>
      <c r="V860" s="666"/>
      <c r="W860" s="666"/>
      <c r="X860" s="666"/>
      <c r="Y860" s="666"/>
      <c r="Z860" s="666"/>
      <c r="AA860" s="666"/>
      <c r="AB860" s="666"/>
      <c r="AC860" s="666"/>
      <c r="AD860" s="666"/>
      <c r="AE860" s="666"/>
      <c r="AF860" s="666"/>
      <c r="AG860" s="666"/>
      <c r="AH860" s="666"/>
      <c r="AI860" s="666"/>
      <c r="AJ860" s="666"/>
      <c r="AK860" s="666"/>
      <c r="AL860" s="666"/>
      <c r="AM860" s="666"/>
      <c r="AN860" s="666"/>
      <c r="AO860" s="666"/>
      <c r="AP860" s="666"/>
      <c r="AQ860" s="666"/>
      <c r="AR860" s="666"/>
      <c r="AS860" s="666"/>
      <c r="AT860" s="666"/>
      <c r="AU860" s="666"/>
    </row>
    <row r="861" ht="15.75" customHeight="1">
      <c r="A861" s="667">
        <v>44657.0</v>
      </c>
      <c r="B861" s="668" t="s">
        <v>7837</v>
      </c>
      <c r="C861" s="589" t="s">
        <v>2346</v>
      </c>
      <c r="D861" s="641" t="s">
        <v>5038</v>
      </c>
      <c r="E861" s="669">
        <v>31000.0</v>
      </c>
      <c r="F861" s="589" t="s">
        <v>7838</v>
      </c>
      <c r="G861" s="641" t="s">
        <v>120</v>
      </c>
      <c r="H861" s="641" t="s">
        <v>91</v>
      </c>
      <c r="I861" s="641" t="s">
        <v>193</v>
      </c>
      <c r="J861" s="667">
        <v>44382.0</v>
      </c>
      <c r="K861" s="641" t="s">
        <v>2319</v>
      </c>
      <c r="L861" s="666"/>
      <c r="M861" s="666"/>
      <c r="N861" s="666"/>
      <c r="O861" s="666"/>
      <c r="P861" s="666"/>
      <c r="Q861" s="666"/>
      <c r="R861" s="666"/>
      <c r="S861" s="666"/>
      <c r="T861" s="666"/>
      <c r="U861" s="666"/>
      <c r="V861" s="666"/>
      <c r="W861" s="666"/>
      <c r="X861" s="666"/>
      <c r="Y861" s="666"/>
      <c r="Z861" s="666"/>
      <c r="AA861" s="666"/>
      <c r="AB861" s="666"/>
      <c r="AC861" s="666"/>
      <c r="AD861" s="666"/>
      <c r="AE861" s="666"/>
      <c r="AF861" s="666"/>
      <c r="AG861" s="666"/>
      <c r="AH861" s="666"/>
      <c r="AI861" s="666"/>
      <c r="AJ861" s="666"/>
      <c r="AK861" s="666"/>
      <c r="AL861" s="666"/>
      <c r="AM861" s="666"/>
      <c r="AN861" s="666"/>
      <c r="AO861" s="666"/>
      <c r="AP861" s="666"/>
      <c r="AQ861" s="666"/>
      <c r="AR861" s="666"/>
      <c r="AS861" s="666"/>
      <c r="AT861" s="666"/>
      <c r="AU861" s="666"/>
    </row>
    <row r="862" ht="15.75" customHeight="1">
      <c r="A862" s="667">
        <v>44658.0</v>
      </c>
      <c r="B862" s="668" t="s">
        <v>7841</v>
      </c>
      <c r="C862" s="589" t="s">
        <v>2346</v>
      </c>
      <c r="D862" s="641" t="s">
        <v>5038</v>
      </c>
      <c r="E862" s="669">
        <v>105000.0</v>
      </c>
      <c r="F862" s="641" t="s">
        <v>883</v>
      </c>
      <c r="G862" s="641" t="s">
        <v>120</v>
      </c>
      <c r="H862" s="641" t="s">
        <v>91</v>
      </c>
      <c r="I862" s="667" t="s">
        <v>884</v>
      </c>
      <c r="J862" s="667">
        <v>44677.0</v>
      </c>
      <c r="K862" s="641" t="s">
        <v>2356</v>
      </c>
      <c r="L862" s="666"/>
      <c r="M862" s="666"/>
      <c r="N862" s="666"/>
      <c r="O862" s="666"/>
      <c r="P862" s="666"/>
      <c r="Q862" s="666"/>
      <c r="R862" s="666"/>
      <c r="S862" s="666"/>
      <c r="T862" s="666"/>
      <c r="U862" s="666"/>
      <c r="V862" s="666"/>
      <c r="W862" s="666"/>
      <c r="X862" s="666"/>
      <c r="Y862" s="666"/>
      <c r="Z862" s="666"/>
      <c r="AA862" s="666"/>
      <c r="AB862" s="666"/>
      <c r="AC862" s="666"/>
      <c r="AD862" s="666"/>
      <c r="AE862" s="666"/>
      <c r="AF862" s="666"/>
      <c r="AG862" s="666"/>
      <c r="AH862" s="666"/>
      <c r="AI862" s="666"/>
      <c r="AJ862" s="666"/>
      <c r="AK862" s="666"/>
      <c r="AL862" s="666"/>
      <c r="AM862" s="666"/>
      <c r="AN862" s="666"/>
      <c r="AO862" s="666"/>
      <c r="AP862" s="666"/>
      <c r="AQ862" s="666"/>
      <c r="AR862" s="666"/>
      <c r="AS862" s="666"/>
      <c r="AT862" s="666"/>
      <c r="AU862" s="666"/>
    </row>
    <row r="863" ht="15.75" customHeight="1">
      <c r="A863" s="667">
        <v>44658.0</v>
      </c>
      <c r="B863" s="668" t="s">
        <v>7643</v>
      </c>
      <c r="C863" s="589" t="s">
        <v>98</v>
      </c>
      <c r="D863" s="641" t="s">
        <v>5038</v>
      </c>
      <c r="E863" s="669">
        <v>25000.0</v>
      </c>
      <c r="F863" s="641" t="s">
        <v>6087</v>
      </c>
      <c r="G863" s="641" t="s">
        <v>120</v>
      </c>
      <c r="H863" s="641" t="s">
        <v>199</v>
      </c>
      <c r="I863" s="667" t="s">
        <v>4797</v>
      </c>
      <c r="J863" s="667">
        <v>44594.0</v>
      </c>
      <c r="K863" s="641" t="s">
        <v>2356</v>
      </c>
      <c r="L863" s="666"/>
      <c r="M863" s="666"/>
      <c r="N863" s="666"/>
      <c r="O863" s="666"/>
      <c r="P863" s="666"/>
      <c r="Q863" s="666"/>
      <c r="R863" s="666"/>
      <c r="S863" s="666"/>
      <c r="T863" s="666"/>
      <c r="U863" s="666"/>
      <c r="V863" s="666"/>
      <c r="W863" s="666"/>
      <c r="X863" s="666"/>
      <c r="Y863" s="666"/>
      <c r="Z863" s="666"/>
      <c r="AA863" s="666"/>
      <c r="AB863" s="666"/>
      <c r="AC863" s="666"/>
      <c r="AD863" s="666"/>
      <c r="AE863" s="666"/>
      <c r="AF863" s="666"/>
      <c r="AG863" s="666"/>
      <c r="AH863" s="666"/>
      <c r="AI863" s="666"/>
      <c r="AJ863" s="666"/>
      <c r="AK863" s="666"/>
      <c r="AL863" s="666"/>
      <c r="AM863" s="666"/>
      <c r="AN863" s="666"/>
      <c r="AO863" s="666"/>
      <c r="AP863" s="666"/>
      <c r="AQ863" s="666"/>
      <c r="AR863" s="666"/>
      <c r="AS863" s="666"/>
      <c r="AT863" s="666"/>
      <c r="AU863" s="666"/>
    </row>
    <row r="864" ht="15.75" customHeight="1">
      <c r="A864" s="667">
        <v>44658.0</v>
      </c>
      <c r="B864" s="668" t="s">
        <v>7848</v>
      </c>
      <c r="C864" s="589" t="s">
        <v>2346</v>
      </c>
      <c r="D864" s="641" t="s">
        <v>5038</v>
      </c>
      <c r="E864" s="669">
        <v>15000.0</v>
      </c>
      <c r="F864" s="589" t="s">
        <v>4779</v>
      </c>
      <c r="G864" s="641" t="s">
        <v>120</v>
      </c>
      <c r="H864" s="641" t="s">
        <v>91</v>
      </c>
      <c r="I864" s="641" t="s">
        <v>193</v>
      </c>
      <c r="J864" s="667">
        <v>44602.0</v>
      </c>
      <c r="K864" s="641" t="s">
        <v>2341</v>
      </c>
      <c r="L864" s="666"/>
      <c r="M864" s="666"/>
      <c r="N864" s="666"/>
      <c r="O864" s="666"/>
      <c r="P864" s="666"/>
      <c r="Q864" s="666"/>
      <c r="R864" s="666"/>
      <c r="S864" s="666"/>
      <c r="T864" s="666"/>
      <c r="U864" s="666"/>
      <c r="V864" s="666"/>
      <c r="W864" s="666"/>
      <c r="X864" s="666"/>
      <c r="Y864" s="666"/>
      <c r="Z864" s="666"/>
      <c r="AA864" s="666"/>
      <c r="AB864" s="666"/>
      <c r="AC864" s="666"/>
      <c r="AD864" s="666"/>
      <c r="AE864" s="666"/>
      <c r="AF864" s="666"/>
      <c r="AG864" s="666"/>
      <c r="AH864" s="666"/>
      <c r="AI864" s="666"/>
      <c r="AJ864" s="666"/>
      <c r="AK864" s="666"/>
      <c r="AL864" s="666"/>
      <c r="AM864" s="666"/>
      <c r="AN864" s="666"/>
      <c r="AO864" s="666"/>
      <c r="AP864" s="666"/>
      <c r="AQ864" s="666"/>
      <c r="AR864" s="666"/>
      <c r="AS864" s="666"/>
      <c r="AT864" s="666"/>
      <c r="AU864" s="666"/>
    </row>
    <row r="865" ht="15.75" customHeight="1">
      <c r="A865" s="667">
        <v>44658.0</v>
      </c>
      <c r="B865" s="668" t="s">
        <v>6192</v>
      </c>
      <c r="C865" s="589" t="s">
        <v>2346</v>
      </c>
      <c r="D865" s="641" t="s">
        <v>5038</v>
      </c>
      <c r="E865" s="669">
        <v>24500.0</v>
      </c>
      <c r="F865" s="589" t="s">
        <v>7851</v>
      </c>
      <c r="G865" s="641" t="s">
        <v>120</v>
      </c>
      <c r="H865" s="641" t="s">
        <v>91</v>
      </c>
      <c r="I865" s="641" t="s">
        <v>193</v>
      </c>
      <c r="J865" s="667">
        <v>44439.0</v>
      </c>
      <c r="K865" s="641" t="s">
        <v>2365</v>
      </c>
      <c r="L865" s="666"/>
      <c r="M865" s="666"/>
      <c r="N865" s="666"/>
      <c r="O865" s="666"/>
      <c r="P865" s="666"/>
      <c r="Q865" s="666"/>
      <c r="R865" s="666"/>
      <c r="S865" s="666"/>
      <c r="T865" s="666"/>
      <c r="U865" s="666"/>
      <c r="V865" s="666"/>
      <c r="W865" s="666"/>
      <c r="X865" s="666"/>
      <c r="Y865" s="666"/>
      <c r="Z865" s="666"/>
      <c r="AA865" s="666"/>
      <c r="AB865" s="666"/>
      <c r="AC865" s="666"/>
      <c r="AD865" s="666"/>
      <c r="AE865" s="666"/>
      <c r="AF865" s="666"/>
      <c r="AG865" s="666"/>
      <c r="AH865" s="666"/>
      <c r="AI865" s="666"/>
      <c r="AJ865" s="666"/>
      <c r="AK865" s="666"/>
      <c r="AL865" s="666"/>
      <c r="AM865" s="666"/>
      <c r="AN865" s="666"/>
      <c r="AO865" s="666"/>
      <c r="AP865" s="666"/>
      <c r="AQ865" s="666"/>
      <c r="AR865" s="666"/>
      <c r="AS865" s="666"/>
      <c r="AT865" s="666"/>
      <c r="AU865" s="666"/>
    </row>
    <row r="866" ht="15.75" customHeight="1">
      <c r="A866" s="713">
        <v>44658.0</v>
      </c>
      <c r="B866" s="801" t="s">
        <v>7855</v>
      </c>
      <c r="C866" s="715" t="s">
        <v>2346</v>
      </c>
      <c r="D866" s="641" t="s">
        <v>694</v>
      </c>
      <c r="E866" s="716" t="s">
        <v>7857</v>
      </c>
      <c r="F866" s="641" t="s">
        <v>6097</v>
      </c>
      <c r="G866" s="667" t="s">
        <v>120</v>
      </c>
      <c r="H866" s="667" t="s">
        <v>91</v>
      </c>
      <c r="I866" s="667" t="s">
        <v>193</v>
      </c>
      <c r="J866" s="667">
        <v>44440.0</v>
      </c>
      <c r="K866" s="667" t="s">
        <v>2341</v>
      </c>
      <c r="L866" s="666"/>
      <c r="M866" s="666"/>
      <c r="N866" s="666"/>
      <c r="O866" s="666"/>
      <c r="P866" s="666"/>
      <c r="Q866" s="666"/>
      <c r="R866" s="666"/>
      <c r="S866" s="666"/>
      <c r="T866" s="666"/>
      <c r="U866" s="666"/>
      <c r="V866" s="666"/>
      <c r="W866" s="666"/>
      <c r="X866" s="666"/>
      <c r="Y866" s="666"/>
      <c r="Z866" s="666"/>
      <c r="AA866" s="666"/>
      <c r="AB866" s="666"/>
      <c r="AC866" s="666"/>
      <c r="AD866" s="666"/>
      <c r="AE866" s="666"/>
      <c r="AF866" s="666"/>
      <c r="AG866" s="666"/>
      <c r="AH866" s="666"/>
      <c r="AI866" s="666"/>
      <c r="AJ866" s="666"/>
      <c r="AK866" s="666"/>
      <c r="AL866" s="666"/>
      <c r="AM866" s="666"/>
      <c r="AN866" s="666"/>
      <c r="AO866" s="666"/>
      <c r="AP866" s="666"/>
      <c r="AQ866" s="666"/>
      <c r="AR866" s="666"/>
      <c r="AS866" s="666"/>
      <c r="AT866" s="666"/>
      <c r="AU866" s="666"/>
    </row>
    <row r="867" ht="15.75" customHeight="1">
      <c r="A867" s="667">
        <v>44659.0</v>
      </c>
      <c r="B867" s="668" t="s">
        <v>7863</v>
      </c>
      <c r="C867" s="589" t="s">
        <v>98</v>
      </c>
      <c r="D867" s="641" t="s">
        <v>694</v>
      </c>
      <c r="E867" s="669">
        <v>2966054.05</v>
      </c>
      <c r="F867" s="641" t="s">
        <v>3699</v>
      </c>
      <c r="G867" s="641" t="s">
        <v>120</v>
      </c>
      <c r="H867" s="641" t="s">
        <v>622</v>
      </c>
      <c r="I867" s="667" t="s">
        <v>4650</v>
      </c>
      <c r="J867" s="667">
        <v>44426.0</v>
      </c>
      <c r="K867" s="641" t="s">
        <v>3706</v>
      </c>
      <c r="L867" s="666"/>
      <c r="M867" s="666"/>
      <c r="N867" s="666"/>
      <c r="O867" s="666"/>
      <c r="P867" s="666"/>
      <c r="Q867" s="666"/>
      <c r="R867" s="666"/>
      <c r="S867" s="666"/>
      <c r="T867" s="666"/>
      <c r="U867" s="666"/>
      <c r="V867" s="666"/>
      <c r="W867" s="666"/>
      <c r="X867" s="666"/>
      <c r="Y867" s="666"/>
      <c r="Z867" s="666"/>
      <c r="AA867" s="666"/>
      <c r="AB867" s="666"/>
      <c r="AC867" s="666"/>
      <c r="AD867" s="666"/>
      <c r="AE867" s="666"/>
      <c r="AF867" s="666"/>
      <c r="AG867" s="666"/>
      <c r="AH867" s="666"/>
      <c r="AI867" s="666"/>
      <c r="AJ867" s="666"/>
      <c r="AK867" s="666"/>
      <c r="AL867" s="666"/>
      <c r="AM867" s="666"/>
      <c r="AN867" s="666"/>
      <c r="AO867" s="666"/>
      <c r="AP867" s="666"/>
      <c r="AQ867" s="666"/>
      <c r="AR867" s="666"/>
      <c r="AS867" s="666"/>
      <c r="AT867" s="666"/>
      <c r="AU867" s="666"/>
    </row>
    <row r="868" ht="15.75" customHeight="1">
      <c r="A868" s="667">
        <v>44659.0</v>
      </c>
      <c r="B868" s="668" t="s">
        <v>6824</v>
      </c>
      <c r="C868" s="589" t="s">
        <v>98</v>
      </c>
      <c r="D868" s="641" t="s">
        <v>694</v>
      </c>
      <c r="E868" s="669">
        <v>2132.55</v>
      </c>
      <c r="F868" s="641" t="s">
        <v>3699</v>
      </c>
      <c r="G868" s="641" t="s">
        <v>120</v>
      </c>
      <c r="H868" s="641" t="s">
        <v>622</v>
      </c>
      <c r="I868" s="667" t="s">
        <v>4650</v>
      </c>
      <c r="J868" s="667">
        <v>44204.0</v>
      </c>
      <c r="K868" s="641" t="s">
        <v>3701</v>
      </c>
      <c r="L868" s="666"/>
      <c r="M868" s="666"/>
      <c r="N868" s="666"/>
      <c r="O868" s="666"/>
      <c r="P868" s="666"/>
      <c r="Q868" s="666"/>
      <c r="R868" s="666"/>
      <c r="S868" s="666"/>
      <c r="T868" s="666"/>
      <c r="U868" s="666"/>
      <c r="V868" s="666"/>
      <c r="W868" s="666"/>
      <c r="X868" s="666"/>
      <c r="Y868" s="666"/>
      <c r="Z868" s="666"/>
      <c r="AA868" s="666"/>
      <c r="AB868" s="666"/>
      <c r="AC868" s="666"/>
      <c r="AD868" s="666"/>
      <c r="AE868" s="666"/>
      <c r="AF868" s="666"/>
      <c r="AG868" s="666"/>
      <c r="AH868" s="666"/>
      <c r="AI868" s="666"/>
      <c r="AJ868" s="666"/>
      <c r="AK868" s="666"/>
      <c r="AL868" s="666"/>
      <c r="AM868" s="666"/>
      <c r="AN868" s="666"/>
      <c r="AO868" s="666"/>
      <c r="AP868" s="666"/>
      <c r="AQ868" s="666"/>
      <c r="AR868" s="666"/>
      <c r="AS868" s="666"/>
      <c r="AT868" s="666"/>
      <c r="AU868" s="666"/>
    </row>
    <row r="869" ht="15.75" customHeight="1">
      <c r="A869" s="667">
        <v>44659.0</v>
      </c>
      <c r="B869" s="668" t="s">
        <v>6251</v>
      </c>
      <c r="C869" s="589" t="s">
        <v>98</v>
      </c>
      <c r="D869" s="641" t="s">
        <v>694</v>
      </c>
      <c r="E869" s="669">
        <v>2832.67</v>
      </c>
      <c r="F869" s="641" t="s">
        <v>3405</v>
      </c>
      <c r="G869" s="641" t="s">
        <v>120</v>
      </c>
      <c r="H869" s="641" t="s">
        <v>622</v>
      </c>
      <c r="I869" s="667" t="s">
        <v>4650</v>
      </c>
      <c r="J869" s="667">
        <v>44298.0</v>
      </c>
      <c r="K869" s="641" t="s">
        <v>2365</v>
      </c>
      <c r="L869" s="666"/>
      <c r="M869" s="666"/>
      <c r="N869" s="666"/>
      <c r="O869" s="666"/>
      <c r="P869" s="666"/>
      <c r="Q869" s="666"/>
      <c r="R869" s="666"/>
      <c r="S869" s="666"/>
      <c r="T869" s="666"/>
      <c r="U869" s="666"/>
      <c r="V869" s="666"/>
      <c r="W869" s="666"/>
      <c r="X869" s="666"/>
      <c r="Y869" s="666"/>
      <c r="Z869" s="666"/>
      <c r="AA869" s="666"/>
      <c r="AB869" s="666"/>
      <c r="AC869" s="666"/>
      <c r="AD869" s="666"/>
      <c r="AE869" s="666"/>
      <c r="AF869" s="666"/>
      <c r="AG869" s="666"/>
      <c r="AH869" s="666"/>
      <c r="AI869" s="666"/>
      <c r="AJ869" s="666"/>
      <c r="AK869" s="666"/>
      <c r="AL869" s="666"/>
      <c r="AM869" s="666"/>
      <c r="AN869" s="666"/>
      <c r="AO869" s="666"/>
      <c r="AP869" s="666"/>
      <c r="AQ869" s="666"/>
      <c r="AR869" s="666"/>
      <c r="AS869" s="666"/>
      <c r="AT869" s="666"/>
      <c r="AU869" s="666"/>
    </row>
    <row r="870" ht="15.75" customHeight="1">
      <c r="A870" s="667">
        <v>44659.0</v>
      </c>
      <c r="B870" s="668" t="s">
        <v>7869</v>
      </c>
      <c r="C870" s="589" t="s">
        <v>98</v>
      </c>
      <c r="D870" s="641" t="s">
        <v>694</v>
      </c>
      <c r="E870" s="669">
        <v>815208.64</v>
      </c>
      <c r="F870" s="641" t="s">
        <v>3840</v>
      </c>
      <c r="G870" s="641" t="s">
        <v>120</v>
      </c>
      <c r="H870" s="641" t="s">
        <v>54</v>
      </c>
      <c r="I870" s="667" t="s">
        <v>4650</v>
      </c>
      <c r="J870" s="667">
        <v>44445.0</v>
      </c>
      <c r="K870" s="641" t="s">
        <v>3706</v>
      </c>
      <c r="L870" s="666"/>
      <c r="M870" s="666"/>
      <c r="N870" s="666"/>
      <c r="O870" s="666"/>
      <c r="P870" s="666"/>
      <c r="Q870" s="666"/>
      <c r="R870" s="666"/>
      <c r="S870" s="666"/>
      <c r="T870" s="666"/>
      <c r="U870" s="666"/>
      <c r="V870" s="666"/>
      <c r="W870" s="666"/>
      <c r="X870" s="666"/>
      <c r="Y870" s="666"/>
      <c r="Z870" s="666"/>
      <c r="AA870" s="666"/>
      <c r="AB870" s="666"/>
      <c r="AC870" s="666"/>
      <c r="AD870" s="666"/>
      <c r="AE870" s="666"/>
      <c r="AF870" s="666"/>
      <c r="AG870" s="666"/>
      <c r="AH870" s="666"/>
      <c r="AI870" s="666"/>
      <c r="AJ870" s="666"/>
      <c r="AK870" s="666"/>
      <c r="AL870" s="666"/>
      <c r="AM870" s="666"/>
      <c r="AN870" s="666"/>
      <c r="AO870" s="666"/>
      <c r="AP870" s="666"/>
      <c r="AQ870" s="666"/>
      <c r="AR870" s="666"/>
      <c r="AS870" s="666"/>
      <c r="AT870" s="666"/>
      <c r="AU870" s="666"/>
    </row>
    <row r="871" ht="15.75" customHeight="1">
      <c r="A871" s="667">
        <v>44662.0</v>
      </c>
      <c r="B871" s="668" t="s">
        <v>510</v>
      </c>
      <c r="C871" s="589" t="s">
        <v>202</v>
      </c>
      <c r="D871" s="641" t="s">
        <v>5038</v>
      </c>
      <c r="E871" s="669">
        <v>3000.0</v>
      </c>
      <c r="F871" s="641" t="s">
        <v>508</v>
      </c>
      <c r="G871" s="641" t="s">
        <v>120</v>
      </c>
      <c r="H871" s="641" t="s">
        <v>120</v>
      </c>
      <c r="I871" s="667" t="s">
        <v>4632</v>
      </c>
      <c r="J871" s="667">
        <v>44062.0</v>
      </c>
      <c r="K871" s="641" t="s">
        <v>2341</v>
      </c>
      <c r="L871" s="666"/>
      <c r="M871" s="666"/>
      <c r="N871" s="666"/>
      <c r="O871" s="666"/>
      <c r="P871" s="666"/>
      <c r="Q871" s="666"/>
      <c r="R871" s="666"/>
      <c r="S871" s="666"/>
      <c r="T871" s="666"/>
      <c r="U871" s="666"/>
      <c r="V871" s="666"/>
      <c r="W871" s="666"/>
      <c r="X871" s="666"/>
      <c r="Y871" s="666"/>
      <c r="Z871" s="666"/>
      <c r="AA871" s="666"/>
      <c r="AB871" s="666"/>
      <c r="AC871" s="666"/>
      <c r="AD871" s="666"/>
      <c r="AE871" s="666"/>
      <c r="AF871" s="666"/>
      <c r="AG871" s="666"/>
      <c r="AH871" s="666"/>
      <c r="AI871" s="666"/>
      <c r="AJ871" s="666"/>
      <c r="AK871" s="666"/>
      <c r="AL871" s="666"/>
      <c r="AM871" s="666"/>
      <c r="AN871" s="666"/>
      <c r="AO871" s="666"/>
      <c r="AP871" s="666"/>
      <c r="AQ871" s="666"/>
      <c r="AR871" s="666"/>
      <c r="AS871" s="666"/>
      <c r="AT871" s="666"/>
      <c r="AU871" s="666"/>
    </row>
    <row r="872" ht="15.75" customHeight="1">
      <c r="A872" s="667">
        <v>44662.0</v>
      </c>
      <c r="B872" s="668" t="s">
        <v>7722</v>
      </c>
      <c r="C872" s="589" t="s">
        <v>2346</v>
      </c>
      <c r="D872" s="641" t="s">
        <v>427</v>
      </c>
      <c r="E872" s="669">
        <v>119000.0</v>
      </c>
      <c r="F872" s="589" t="s">
        <v>7134</v>
      </c>
      <c r="G872" s="641" t="s">
        <v>120</v>
      </c>
      <c r="H872" s="641" t="s">
        <v>91</v>
      </c>
      <c r="I872" s="641" t="s">
        <v>699</v>
      </c>
      <c r="J872" s="667">
        <v>44199.0</v>
      </c>
      <c r="K872" s="667" t="s">
        <v>2365</v>
      </c>
      <c r="L872" s="666"/>
      <c r="M872" s="666"/>
      <c r="N872" s="666"/>
      <c r="O872" s="666"/>
      <c r="P872" s="666"/>
      <c r="Q872" s="666"/>
      <c r="R872" s="666"/>
      <c r="S872" s="666"/>
      <c r="T872" s="666"/>
      <c r="U872" s="666"/>
      <c r="V872" s="666"/>
      <c r="W872" s="666"/>
      <c r="X872" s="666"/>
      <c r="Y872" s="666"/>
      <c r="Z872" s="666"/>
      <c r="AA872" s="666"/>
      <c r="AB872" s="666"/>
      <c r="AC872" s="666"/>
      <c r="AD872" s="666"/>
      <c r="AE872" s="666"/>
      <c r="AF872" s="666"/>
      <c r="AG872" s="666"/>
      <c r="AH872" s="666"/>
      <c r="AI872" s="666"/>
      <c r="AJ872" s="666"/>
      <c r="AK872" s="666"/>
      <c r="AL872" s="666"/>
      <c r="AM872" s="666"/>
      <c r="AN872" s="666"/>
      <c r="AO872" s="666"/>
      <c r="AP872" s="666"/>
      <c r="AQ872" s="666"/>
      <c r="AR872" s="666"/>
      <c r="AS872" s="666"/>
      <c r="AT872" s="666"/>
      <c r="AU872" s="666"/>
    </row>
    <row r="873" ht="15.75" customHeight="1">
      <c r="A873" s="667">
        <v>44663.0</v>
      </c>
      <c r="B873" s="668" t="s">
        <v>7877</v>
      </c>
      <c r="C873" s="589" t="s">
        <v>98</v>
      </c>
      <c r="D873" s="641" t="s">
        <v>5038</v>
      </c>
      <c r="E873" s="669">
        <v>50000.0</v>
      </c>
      <c r="F873" s="589" t="s">
        <v>6553</v>
      </c>
      <c r="G873" s="641" t="s">
        <v>120</v>
      </c>
      <c r="H873" s="641" t="s">
        <v>54</v>
      </c>
      <c r="I873" s="641" t="s">
        <v>348</v>
      </c>
      <c r="J873" s="667">
        <v>44614.0</v>
      </c>
      <c r="K873" s="641" t="s">
        <v>2341</v>
      </c>
      <c r="L873" s="666"/>
      <c r="M873" s="666"/>
      <c r="N873" s="666"/>
      <c r="O873" s="666"/>
      <c r="P873" s="666"/>
      <c r="Q873" s="666"/>
      <c r="R873" s="666"/>
      <c r="S873" s="666"/>
      <c r="T873" s="666"/>
      <c r="U873" s="666"/>
      <c r="V873" s="666"/>
      <c r="W873" s="666"/>
      <c r="X873" s="666"/>
      <c r="Y873" s="666"/>
      <c r="Z873" s="666"/>
      <c r="AA873" s="666"/>
      <c r="AB873" s="666"/>
      <c r="AC873" s="666"/>
      <c r="AD873" s="666"/>
      <c r="AE873" s="666"/>
      <c r="AF873" s="666"/>
      <c r="AG873" s="666"/>
      <c r="AH873" s="666"/>
      <c r="AI873" s="666"/>
      <c r="AJ873" s="666"/>
      <c r="AK873" s="666"/>
      <c r="AL873" s="666"/>
      <c r="AM873" s="666"/>
      <c r="AN873" s="666"/>
      <c r="AO873" s="666"/>
      <c r="AP873" s="666"/>
      <c r="AQ873" s="666"/>
      <c r="AR873" s="666"/>
      <c r="AS873" s="666"/>
      <c r="AT873" s="666"/>
      <c r="AU873" s="666"/>
    </row>
    <row r="874" ht="15.75" customHeight="1">
      <c r="A874" s="667">
        <v>44663.0</v>
      </c>
      <c r="B874" s="668" t="s">
        <v>7882</v>
      </c>
      <c r="C874" s="589" t="s">
        <v>2346</v>
      </c>
      <c r="D874" s="641" t="s">
        <v>5038</v>
      </c>
      <c r="E874" s="669">
        <v>33000.0</v>
      </c>
      <c r="F874" s="589" t="s">
        <v>7883</v>
      </c>
      <c r="G874" s="641" t="s">
        <v>120</v>
      </c>
      <c r="H874" s="641" t="s">
        <v>91</v>
      </c>
      <c r="I874" s="641" t="s">
        <v>193</v>
      </c>
      <c r="J874" s="667">
        <v>44615.0</v>
      </c>
      <c r="K874" s="641" t="s">
        <v>2365</v>
      </c>
      <c r="L874" s="666"/>
      <c r="M874" s="666"/>
      <c r="N874" s="666"/>
      <c r="O874" s="666"/>
      <c r="P874" s="666"/>
      <c r="Q874" s="666"/>
      <c r="R874" s="666"/>
      <c r="S874" s="666"/>
      <c r="T874" s="666"/>
      <c r="U874" s="666"/>
      <c r="V874" s="666"/>
      <c r="W874" s="666"/>
      <c r="X874" s="666"/>
      <c r="Y874" s="666"/>
      <c r="Z874" s="666"/>
      <c r="AA874" s="666"/>
      <c r="AB874" s="666"/>
      <c r="AC874" s="666"/>
      <c r="AD874" s="666"/>
      <c r="AE874" s="666"/>
      <c r="AF874" s="666"/>
      <c r="AG874" s="666"/>
      <c r="AH874" s="666"/>
      <c r="AI874" s="666"/>
      <c r="AJ874" s="666"/>
      <c r="AK874" s="666"/>
      <c r="AL874" s="666"/>
      <c r="AM874" s="666"/>
      <c r="AN874" s="666"/>
      <c r="AO874" s="666"/>
      <c r="AP874" s="666"/>
      <c r="AQ874" s="666"/>
      <c r="AR874" s="666"/>
      <c r="AS874" s="666"/>
      <c r="AT874" s="666"/>
      <c r="AU874" s="666"/>
    </row>
    <row r="875" ht="15.75" customHeight="1">
      <c r="A875" s="667">
        <v>44663.0</v>
      </c>
      <c r="B875" s="668" t="s">
        <v>7884</v>
      </c>
      <c r="C875" s="589" t="s">
        <v>98</v>
      </c>
      <c r="D875" s="641" t="s">
        <v>5038</v>
      </c>
      <c r="E875" s="669">
        <v>129700.0</v>
      </c>
      <c r="F875" s="589" t="s">
        <v>7172</v>
      </c>
      <c r="G875" s="641" t="s">
        <v>255</v>
      </c>
      <c r="H875" s="641" t="s">
        <v>199</v>
      </c>
      <c r="I875" s="641" t="s">
        <v>4044</v>
      </c>
      <c r="J875" s="667">
        <v>44320.0</v>
      </c>
      <c r="K875" s="641" t="s">
        <v>2319</v>
      </c>
      <c r="L875" s="666"/>
      <c r="M875" s="666"/>
      <c r="N875" s="666"/>
      <c r="O875" s="666"/>
      <c r="P875" s="666"/>
      <c r="Q875" s="666"/>
      <c r="R875" s="666"/>
      <c r="S875" s="666"/>
      <c r="T875" s="666"/>
      <c r="U875" s="666"/>
      <c r="V875" s="666"/>
      <c r="W875" s="666"/>
      <c r="X875" s="666"/>
      <c r="Y875" s="666"/>
      <c r="Z875" s="666"/>
      <c r="AA875" s="666"/>
      <c r="AB875" s="666"/>
      <c r="AC875" s="666"/>
      <c r="AD875" s="666"/>
      <c r="AE875" s="666"/>
      <c r="AF875" s="666"/>
      <c r="AG875" s="666"/>
      <c r="AH875" s="666"/>
      <c r="AI875" s="666"/>
      <c r="AJ875" s="666"/>
      <c r="AK875" s="666"/>
      <c r="AL875" s="666"/>
      <c r="AM875" s="666"/>
      <c r="AN875" s="666"/>
      <c r="AO875" s="666"/>
      <c r="AP875" s="666"/>
      <c r="AQ875" s="666"/>
      <c r="AR875" s="666"/>
      <c r="AS875" s="666"/>
      <c r="AT875" s="666"/>
      <c r="AU875" s="666"/>
    </row>
    <row r="876" ht="15.75" customHeight="1">
      <c r="A876" s="667">
        <v>44663.0</v>
      </c>
      <c r="B876" s="668" t="s">
        <v>5065</v>
      </c>
      <c r="C876" s="589" t="s">
        <v>2346</v>
      </c>
      <c r="D876" s="641" t="s">
        <v>5038</v>
      </c>
      <c r="E876" s="669">
        <v>6000.0</v>
      </c>
      <c r="F876" s="589" t="s">
        <v>5066</v>
      </c>
      <c r="G876" s="641" t="s">
        <v>669</v>
      </c>
      <c r="H876" s="641" t="s">
        <v>199</v>
      </c>
      <c r="I876" s="641" t="s">
        <v>1228</v>
      </c>
      <c r="J876" s="667">
        <v>43703.0</v>
      </c>
      <c r="K876" s="667" t="s">
        <v>4383</v>
      </c>
      <c r="L876" s="666"/>
      <c r="M876" s="666"/>
      <c r="N876" s="666"/>
      <c r="O876" s="666"/>
      <c r="P876" s="666"/>
      <c r="Q876" s="666"/>
      <c r="R876" s="666"/>
      <c r="S876" s="666"/>
      <c r="T876" s="666"/>
      <c r="U876" s="666"/>
      <c r="V876" s="666"/>
      <c r="W876" s="666"/>
      <c r="X876" s="666"/>
      <c r="Y876" s="666"/>
      <c r="Z876" s="666"/>
      <c r="AA876" s="666"/>
      <c r="AB876" s="666"/>
      <c r="AC876" s="666"/>
      <c r="AD876" s="666"/>
      <c r="AE876" s="666"/>
      <c r="AF876" s="666"/>
      <c r="AG876" s="666"/>
      <c r="AH876" s="666"/>
      <c r="AI876" s="666"/>
      <c r="AJ876" s="666"/>
      <c r="AK876" s="666"/>
      <c r="AL876" s="666"/>
      <c r="AM876" s="666"/>
      <c r="AN876" s="666"/>
      <c r="AO876" s="666"/>
      <c r="AP876" s="666"/>
      <c r="AQ876" s="666"/>
      <c r="AR876" s="666"/>
      <c r="AS876" s="666"/>
      <c r="AT876" s="666"/>
      <c r="AU876" s="666"/>
    </row>
    <row r="877" ht="15.75" customHeight="1">
      <c r="A877" s="667">
        <v>44665.0</v>
      </c>
      <c r="B877" s="668" t="s">
        <v>7890</v>
      </c>
      <c r="C877" s="589" t="s">
        <v>98</v>
      </c>
      <c r="D877" s="641" t="s">
        <v>694</v>
      </c>
      <c r="E877" s="669">
        <v>66169.95</v>
      </c>
      <c r="F877" s="641" t="s">
        <v>2467</v>
      </c>
      <c r="G877" s="641" t="s">
        <v>120</v>
      </c>
      <c r="H877" s="641" t="s">
        <v>54</v>
      </c>
      <c r="I877" s="667" t="s">
        <v>379</v>
      </c>
      <c r="J877" s="667">
        <v>44547.0</v>
      </c>
      <c r="K877" s="641" t="s">
        <v>2372</v>
      </c>
      <c r="L877" s="666"/>
      <c r="M877" s="666"/>
      <c r="N877" s="666"/>
      <c r="O877" s="666"/>
      <c r="P877" s="666"/>
      <c r="Q877" s="666"/>
      <c r="R877" s="666"/>
      <c r="S877" s="666"/>
      <c r="T877" s="666"/>
      <c r="U877" s="666"/>
      <c r="V877" s="666"/>
      <c r="W877" s="666"/>
      <c r="X877" s="666"/>
      <c r="Y877" s="666"/>
      <c r="Z877" s="666"/>
      <c r="AA877" s="666"/>
      <c r="AB877" s="666"/>
      <c r="AC877" s="666"/>
      <c r="AD877" s="666"/>
      <c r="AE877" s="666"/>
      <c r="AF877" s="666"/>
      <c r="AG877" s="666"/>
      <c r="AH877" s="666"/>
      <c r="AI877" s="666"/>
      <c r="AJ877" s="666"/>
      <c r="AK877" s="666"/>
      <c r="AL877" s="666"/>
      <c r="AM877" s="666"/>
      <c r="AN877" s="666"/>
      <c r="AO877" s="666"/>
      <c r="AP877" s="666"/>
      <c r="AQ877" s="666"/>
      <c r="AR877" s="666"/>
      <c r="AS877" s="666"/>
      <c r="AT877" s="666"/>
      <c r="AU877" s="666"/>
    </row>
    <row r="878" ht="15.75" customHeight="1">
      <c r="A878" s="667">
        <v>44669.0</v>
      </c>
      <c r="B878" s="668" t="s">
        <v>7891</v>
      </c>
      <c r="C878" s="589" t="s">
        <v>98</v>
      </c>
      <c r="D878" s="641" t="s">
        <v>694</v>
      </c>
      <c r="E878" s="669">
        <v>154271.19</v>
      </c>
      <c r="F878" s="641" t="s">
        <v>5850</v>
      </c>
      <c r="G878" s="641" t="s">
        <v>120</v>
      </c>
      <c r="H878" s="641" t="s">
        <v>199</v>
      </c>
      <c r="I878" s="667" t="s">
        <v>3885</v>
      </c>
      <c r="J878" s="667">
        <v>44389.0</v>
      </c>
      <c r="K878" s="641" t="s">
        <v>2319</v>
      </c>
      <c r="L878" s="666"/>
      <c r="M878" s="666"/>
      <c r="N878" s="666"/>
      <c r="O878" s="666"/>
      <c r="P878" s="666"/>
      <c r="Q878" s="666"/>
      <c r="R878" s="666"/>
      <c r="S878" s="666"/>
      <c r="T878" s="666"/>
      <c r="U878" s="666"/>
      <c r="V878" s="666"/>
      <c r="W878" s="666"/>
      <c r="X878" s="666"/>
      <c r="Y878" s="666"/>
      <c r="Z878" s="666"/>
      <c r="AA878" s="666"/>
      <c r="AB878" s="666"/>
      <c r="AC878" s="666"/>
      <c r="AD878" s="666"/>
      <c r="AE878" s="666"/>
      <c r="AF878" s="666"/>
      <c r="AG878" s="666"/>
      <c r="AH878" s="666"/>
      <c r="AI878" s="666"/>
      <c r="AJ878" s="666"/>
      <c r="AK878" s="666"/>
      <c r="AL878" s="666"/>
      <c r="AM878" s="666"/>
      <c r="AN878" s="666"/>
      <c r="AO878" s="666"/>
      <c r="AP878" s="666"/>
      <c r="AQ878" s="666"/>
      <c r="AR878" s="666"/>
      <c r="AS878" s="666"/>
      <c r="AT878" s="666"/>
      <c r="AU878" s="666"/>
    </row>
    <row r="879" ht="15.75" customHeight="1">
      <c r="A879" s="667">
        <v>44669.0</v>
      </c>
      <c r="B879" s="668" t="s">
        <v>7896</v>
      </c>
      <c r="C879" s="589" t="s">
        <v>98</v>
      </c>
      <c r="D879" s="641" t="s">
        <v>5038</v>
      </c>
      <c r="E879" s="669">
        <v>20000.0</v>
      </c>
      <c r="F879" s="641" t="s">
        <v>4590</v>
      </c>
      <c r="G879" s="641" t="s">
        <v>120</v>
      </c>
      <c r="H879" s="641" t="s">
        <v>199</v>
      </c>
      <c r="I879" s="667" t="s">
        <v>628</v>
      </c>
      <c r="J879" s="667">
        <v>44424.0</v>
      </c>
      <c r="K879" s="641" t="s">
        <v>2365</v>
      </c>
      <c r="L879" s="666"/>
      <c r="M879" s="666"/>
      <c r="N879" s="666"/>
      <c r="O879" s="666"/>
      <c r="P879" s="666"/>
      <c r="Q879" s="666"/>
      <c r="R879" s="666"/>
      <c r="S879" s="666"/>
      <c r="T879" s="666"/>
      <c r="U879" s="666"/>
      <c r="V879" s="666"/>
      <c r="W879" s="666"/>
      <c r="X879" s="666"/>
      <c r="Y879" s="666"/>
      <c r="Z879" s="666"/>
      <c r="AA879" s="666"/>
      <c r="AB879" s="666"/>
      <c r="AC879" s="666"/>
      <c r="AD879" s="666"/>
      <c r="AE879" s="666"/>
      <c r="AF879" s="666"/>
      <c r="AG879" s="666"/>
      <c r="AH879" s="666"/>
      <c r="AI879" s="666"/>
      <c r="AJ879" s="666"/>
      <c r="AK879" s="666"/>
      <c r="AL879" s="666"/>
      <c r="AM879" s="666"/>
      <c r="AN879" s="666"/>
      <c r="AO879" s="666"/>
      <c r="AP879" s="666"/>
      <c r="AQ879" s="666"/>
      <c r="AR879" s="666"/>
      <c r="AS879" s="666"/>
      <c r="AT879" s="666"/>
      <c r="AU879" s="666"/>
    </row>
    <row r="880" ht="15.75" customHeight="1">
      <c r="A880" s="667">
        <v>44669.0</v>
      </c>
      <c r="B880" s="668" t="s">
        <v>5724</v>
      </c>
      <c r="C880" s="589" t="s">
        <v>98</v>
      </c>
      <c r="D880" s="641" t="s">
        <v>5038</v>
      </c>
      <c r="E880" s="669">
        <v>25000.0</v>
      </c>
      <c r="F880" s="641" t="s">
        <v>5042</v>
      </c>
      <c r="G880" s="641" t="s">
        <v>255</v>
      </c>
      <c r="H880" s="641" t="s">
        <v>199</v>
      </c>
      <c r="I880" s="667" t="s">
        <v>2587</v>
      </c>
      <c r="J880" s="667">
        <v>44263.0</v>
      </c>
      <c r="K880" s="641" t="s">
        <v>2341</v>
      </c>
      <c r="L880" s="666"/>
      <c r="M880" s="666"/>
      <c r="N880" s="666"/>
      <c r="O880" s="666"/>
      <c r="P880" s="666"/>
      <c r="Q880" s="666"/>
      <c r="R880" s="666"/>
      <c r="S880" s="666"/>
      <c r="T880" s="666"/>
      <c r="U880" s="666"/>
      <c r="V880" s="666"/>
      <c r="W880" s="666"/>
      <c r="X880" s="666"/>
      <c r="Y880" s="666"/>
      <c r="Z880" s="666"/>
      <c r="AA880" s="666"/>
      <c r="AB880" s="666"/>
      <c r="AC880" s="666"/>
      <c r="AD880" s="666"/>
      <c r="AE880" s="666"/>
      <c r="AF880" s="666"/>
      <c r="AG880" s="666"/>
      <c r="AH880" s="666"/>
      <c r="AI880" s="666"/>
      <c r="AJ880" s="666"/>
      <c r="AK880" s="666"/>
      <c r="AL880" s="666"/>
      <c r="AM880" s="666"/>
      <c r="AN880" s="666"/>
      <c r="AO880" s="666"/>
      <c r="AP880" s="666"/>
      <c r="AQ880" s="666"/>
      <c r="AR880" s="666"/>
      <c r="AS880" s="666"/>
      <c r="AT880" s="666"/>
      <c r="AU880" s="666"/>
    </row>
    <row r="881" ht="15.75" customHeight="1">
      <c r="A881" s="667">
        <v>44669.0</v>
      </c>
      <c r="B881" s="668" t="s">
        <v>7804</v>
      </c>
      <c r="C881" s="589" t="s">
        <v>98</v>
      </c>
      <c r="D881" s="641" t="s">
        <v>5038</v>
      </c>
      <c r="E881" s="669">
        <v>10000.0</v>
      </c>
      <c r="F881" s="589" t="s">
        <v>7805</v>
      </c>
      <c r="G881" s="641" t="s">
        <v>120</v>
      </c>
      <c r="H881" s="641" t="s">
        <v>54</v>
      </c>
      <c r="I881" s="641" t="s">
        <v>348</v>
      </c>
      <c r="J881" s="667">
        <v>44656.0</v>
      </c>
      <c r="K881" s="641" t="s">
        <v>2341</v>
      </c>
      <c r="L881" s="666"/>
      <c r="M881" s="666"/>
      <c r="N881" s="666"/>
      <c r="O881" s="666"/>
      <c r="P881" s="666"/>
      <c r="Q881" s="666"/>
      <c r="R881" s="666"/>
      <c r="S881" s="666"/>
      <c r="T881" s="666"/>
      <c r="U881" s="666"/>
      <c r="V881" s="666"/>
      <c r="W881" s="666"/>
      <c r="X881" s="666"/>
      <c r="Y881" s="666"/>
      <c r="Z881" s="666"/>
      <c r="AA881" s="666"/>
      <c r="AB881" s="666"/>
      <c r="AC881" s="666"/>
      <c r="AD881" s="666"/>
      <c r="AE881" s="666"/>
      <c r="AF881" s="666"/>
      <c r="AG881" s="666"/>
      <c r="AH881" s="666"/>
      <c r="AI881" s="666"/>
      <c r="AJ881" s="666"/>
      <c r="AK881" s="666"/>
      <c r="AL881" s="666"/>
      <c r="AM881" s="666"/>
      <c r="AN881" s="666"/>
      <c r="AO881" s="666"/>
      <c r="AP881" s="666"/>
      <c r="AQ881" s="666"/>
      <c r="AR881" s="666"/>
      <c r="AS881" s="666"/>
      <c r="AT881" s="666"/>
      <c r="AU881" s="666"/>
    </row>
    <row r="882" ht="15.75" customHeight="1">
      <c r="A882" s="667">
        <v>44669.0</v>
      </c>
      <c r="B882" s="668">
        <v>7542389.0</v>
      </c>
      <c r="C882" s="589" t="s">
        <v>98</v>
      </c>
      <c r="D882" s="641" t="s">
        <v>5038</v>
      </c>
      <c r="E882" s="669">
        <v>1000.0</v>
      </c>
      <c r="F882" s="589" t="s">
        <v>6342</v>
      </c>
      <c r="G882" s="641" t="s">
        <v>255</v>
      </c>
      <c r="H882" s="641" t="s">
        <v>199</v>
      </c>
      <c r="I882" s="641" t="s">
        <v>2489</v>
      </c>
      <c r="J882" s="667">
        <v>44579.0</v>
      </c>
      <c r="K882" s="641" t="s">
        <v>4116</v>
      </c>
      <c r="L882" s="666"/>
      <c r="M882" s="666"/>
      <c r="N882" s="666"/>
      <c r="O882" s="666"/>
      <c r="P882" s="666"/>
      <c r="Q882" s="666"/>
      <c r="R882" s="666"/>
      <c r="S882" s="666"/>
      <c r="T882" s="666"/>
      <c r="U882" s="666"/>
      <c r="V882" s="666"/>
      <c r="W882" s="666"/>
      <c r="X882" s="666"/>
      <c r="Y882" s="666"/>
      <c r="Z882" s="666"/>
      <c r="AA882" s="666"/>
      <c r="AB882" s="666"/>
      <c r="AC882" s="666"/>
      <c r="AD882" s="666"/>
      <c r="AE882" s="666"/>
      <c r="AF882" s="666"/>
      <c r="AG882" s="666"/>
      <c r="AH882" s="666"/>
      <c r="AI882" s="666"/>
      <c r="AJ882" s="666"/>
      <c r="AK882" s="666"/>
      <c r="AL882" s="666"/>
      <c r="AM882" s="666"/>
      <c r="AN882" s="666"/>
      <c r="AO882" s="666"/>
      <c r="AP882" s="666"/>
      <c r="AQ882" s="666"/>
      <c r="AR882" s="666"/>
      <c r="AS882" s="666"/>
      <c r="AT882" s="666"/>
      <c r="AU882" s="666"/>
    </row>
    <row r="883" ht="15.75" customHeight="1">
      <c r="A883" s="667">
        <v>44669.0</v>
      </c>
      <c r="B883" s="668" t="s">
        <v>5960</v>
      </c>
      <c r="C883" s="589" t="s">
        <v>98</v>
      </c>
      <c r="D883" s="641" t="s">
        <v>5038</v>
      </c>
      <c r="E883" s="669">
        <v>5000.0</v>
      </c>
      <c r="F883" s="589" t="s">
        <v>5963</v>
      </c>
      <c r="G883" s="641" t="s">
        <v>255</v>
      </c>
      <c r="H883" s="641" t="s">
        <v>199</v>
      </c>
      <c r="I883" s="641" t="s">
        <v>4761</v>
      </c>
      <c r="J883" s="667">
        <v>44180.0</v>
      </c>
      <c r="K883" s="641" t="s">
        <v>2341</v>
      </c>
      <c r="L883" s="666"/>
      <c r="M883" s="666"/>
      <c r="N883" s="666"/>
      <c r="O883" s="666"/>
      <c r="P883" s="666"/>
      <c r="Q883" s="666"/>
      <c r="R883" s="666"/>
      <c r="S883" s="666"/>
      <c r="T883" s="666"/>
      <c r="U883" s="666"/>
      <c r="V883" s="666"/>
      <c r="W883" s="666"/>
      <c r="X883" s="666"/>
      <c r="Y883" s="666"/>
      <c r="Z883" s="666"/>
      <c r="AA883" s="666"/>
      <c r="AB883" s="666"/>
      <c r="AC883" s="666"/>
      <c r="AD883" s="666"/>
      <c r="AE883" s="666"/>
      <c r="AF883" s="666"/>
      <c r="AG883" s="666"/>
      <c r="AH883" s="666"/>
      <c r="AI883" s="666"/>
      <c r="AJ883" s="666"/>
      <c r="AK883" s="666"/>
      <c r="AL883" s="666"/>
      <c r="AM883" s="666"/>
      <c r="AN883" s="666"/>
      <c r="AO883" s="666"/>
      <c r="AP883" s="666"/>
      <c r="AQ883" s="666"/>
      <c r="AR883" s="666"/>
      <c r="AS883" s="666"/>
      <c r="AT883" s="666"/>
      <c r="AU883" s="666"/>
    </row>
    <row r="884" ht="15.75" customHeight="1">
      <c r="A884" s="667">
        <v>44670.0</v>
      </c>
      <c r="B884" s="668" t="s">
        <v>7600</v>
      </c>
      <c r="C884" s="589" t="s">
        <v>2346</v>
      </c>
      <c r="D884" s="641" t="s">
        <v>5038</v>
      </c>
      <c r="E884" s="669">
        <v>62000.0</v>
      </c>
      <c r="F884" s="589" t="s">
        <v>7905</v>
      </c>
      <c r="G884" s="641" t="s">
        <v>669</v>
      </c>
      <c r="H884" s="641" t="s">
        <v>199</v>
      </c>
      <c r="I884" s="641" t="s">
        <v>1228</v>
      </c>
      <c r="J884" s="667">
        <v>43811.0</v>
      </c>
      <c r="K884" s="641" t="s">
        <v>2365</v>
      </c>
      <c r="L884" s="666"/>
      <c r="M884" s="666"/>
      <c r="N884" s="666"/>
      <c r="O884" s="666"/>
      <c r="P884" s="666"/>
      <c r="Q884" s="666"/>
      <c r="R884" s="666"/>
      <c r="S884" s="666"/>
      <c r="T884" s="666"/>
      <c r="U884" s="666"/>
      <c r="V884" s="666"/>
      <c r="W884" s="666"/>
      <c r="X884" s="666"/>
      <c r="Y884" s="666"/>
      <c r="Z884" s="666"/>
      <c r="AA884" s="666"/>
      <c r="AB884" s="666"/>
      <c r="AC884" s="666"/>
      <c r="AD884" s="666"/>
      <c r="AE884" s="666"/>
      <c r="AF884" s="666"/>
      <c r="AG884" s="666"/>
      <c r="AH884" s="666"/>
      <c r="AI884" s="666"/>
      <c r="AJ884" s="666"/>
      <c r="AK884" s="666"/>
      <c r="AL884" s="666"/>
      <c r="AM884" s="666"/>
      <c r="AN884" s="666"/>
      <c r="AO884" s="666"/>
      <c r="AP884" s="666"/>
      <c r="AQ884" s="666"/>
      <c r="AR884" s="666"/>
      <c r="AS884" s="666"/>
      <c r="AT884" s="666"/>
      <c r="AU884" s="666"/>
    </row>
    <row r="885" ht="15.75" customHeight="1">
      <c r="A885" s="667">
        <v>44671.0</v>
      </c>
      <c r="B885" s="668" t="s">
        <v>7911</v>
      </c>
      <c r="C885" s="589" t="s">
        <v>98</v>
      </c>
      <c r="D885" s="641" t="s">
        <v>427</v>
      </c>
      <c r="E885" s="669">
        <v>581895.17</v>
      </c>
      <c r="F885" s="589" t="s">
        <v>2370</v>
      </c>
      <c r="G885" s="641" t="s">
        <v>120</v>
      </c>
      <c r="H885" s="641" t="s">
        <v>54</v>
      </c>
      <c r="I885" s="641" t="s">
        <v>4617</v>
      </c>
      <c r="J885" s="667">
        <v>44084.0</v>
      </c>
      <c r="K885" s="641" t="s">
        <v>2372</v>
      </c>
      <c r="L885" s="666"/>
      <c r="M885" s="666"/>
      <c r="N885" s="666"/>
      <c r="O885" s="666"/>
      <c r="P885" s="666"/>
      <c r="Q885" s="666"/>
      <c r="R885" s="666"/>
      <c r="S885" s="666"/>
      <c r="T885" s="666"/>
      <c r="U885" s="666"/>
      <c r="V885" s="666"/>
      <c r="W885" s="666"/>
      <c r="X885" s="666"/>
      <c r="Y885" s="666"/>
      <c r="Z885" s="666"/>
      <c r="AA885" s="666"/>
      <c r="AB885" s="666"/>
      <c r="AC885" s="666"/>
      <c r="AD885" s="666"/>
      <c r="AE885" s="666"/>
      <c r="AF885" s="666"/>
      <c r="AG885" s="666"/>
      <c r="AH885" s="666"/>
      <c r="AI885" s="666"/>
      <c r="AJ885" s="666"/>
      <c r="AK885" s="666"/>
      <c r="AL885" s="666"/>
      <c r="AM885" s="666"/>
      <c r="AN885" s="666"/>
      <c r="AO885" s="666"/>
      <c r="AP885" s="666"/>
      <c r="AQ885" s="666"/>
      <c r="AR885" s="666"/>
      <c r="AS885" s="666"/>
      <c r="AT885" s="666"/>
      <c r="AU885" s="666"/>
    </row>
    <row r="886" ht="15.75" customHeight="1">
      <c r="A886" s="667">
        <v>44671.0</v>
      </c>
      <c r="B886" s="668" t="s">
        <v>7913</v>
      </c>
      <c r="C886" s="589" t="s">
        <v>98</v>
      </c>
      <c r="D886" s="641" t="s">
        <v>5038</v>
      </c>
      <c r="E886" s="669">
        <v>10000.0</v>
      </c>
      <c r="F886" s="589" t="s">
        <v>5986</v>
      </c>
      <c r="G886" s="641" t="s">
        <v>120</v>
      </c>
      <c r="H886" s="641" t="s">
        <v>54</v>
      </c>
      <c r="I886" s="641" t="s">
        <v>125</v>
      </c>
      <c r="J886" s="667">
        <v>44645.0</v>
      </c>
      <c r="K886" s="641" t="s">
        <v>2356</v>
      </c>
      <c r="L886" s="666"/>
      <c r="M886" s="666"/>
      <c r="N886" s="666"/>
      <c r="O886" s="666"/>
      <c r="P886" s="666"/>
      <c r="Q886" s="666"/>
      <c r="R886" s="666"/>
      <c r="S886" s="666"/>
      <c r="T886" s="666"/>
      <c r="U886" s="666"/>
      <c r="V886" s="666"/>
      <c r="W886" s="666"/>
      <c r="X886" s="666"/>
      <c r="Y886" s="666"/>
      <c r="Z886" s="666"/>
      <c r="AA886" s="666"/>
      <c r="AB886" s="666"/>
      <c r="AC886" s="666"/>
      <c r="AD886" s="666"/>
      <c r="AE886" s="666"/>
      <c r="AF886" s="666"/>
      <c r="AG886" s="666"/>
      <c r="AH886" s="666"/>
      <c r="AI886" s="666"/>
      <c r="AJ886" s="666"/>
      <c r="AK886" s="666"/>
      <c r="AL886" s="666"/>
      <c r="AM886" s="666"/>
      <c r="AN886" s="666"/>
      <c r="AO886" s="666"/>
      <c r="AP886" s="666"/>
      <c r="AQ886" s="666"/>
      <c r="AR886" s="666"/>
      <c r="AS886" s="666"/>
      <c r="AT886" s="666"/>
      <c r="AU886" s="666"/>
    </row>
    <row r="887" ht="15.75" customHeight="1">
      <c r="A887" s="667">
        <v>44671.0</v>
      </c>
      <c r="B887" s="668" t="s">
        <v>6222</v>
      </c>
      <c r="C887" s="589" t="s">
        <v>2346</v>
      </c>
      <c r="D887" s="641" t="s">
        <v>5038</v>
      </c>
      <c r="E887" s="669">
        <v>15000.0</v>
      </c>
      <c r="F887" s="589" t="s">
        <v>7914</v>
      </c>
      <c r="G887" s="641" t="s">
        <v>120</v>
      </c>
      <c r="H887" s="641" t="s">
        <v>91</v>
      </c>
      <c r="I887" s="641" t="s">
        <v>193</v>
      </c>
      <c r="J887" s="667">
        <v>44319.0</v>
      </c>
      <c r="K887" s="641" t="s">
        <v>2341</v>
      </c>
      <c r="L887" s="666"/>
      <c r="M887" s="666"/>
      <c r="N887" s="666"/>
      <c r="O887" s="666"/>
      <c r="P887" s="666"/>
      <c r="Q887" s="666"/>
      <c r="R887" s="666"/>
      <c r="S887" s="666"/>
      <c r="T887" s="666"/>
      <c r="U887" s="666"/>
      <c r="V887" s="666"/>
      <c r="W887" s="666"/>
      <c r="X887" s="666"/>
      <c r="Y887" s="666"/>
      <c r="Z887" s="666"/>
      <c r="AA887" s="666"/>
      <c r="AB887" s="666"/>
      <c r="AC887" s="666"/>
      <c r="AD887" s="666"/>
      <c r="AE887" s="666"/>
      <c r="AF887" s="666"/>
      <c r="AG887" s="666"/>
      <c r="AH887" s="666"/>
      <c r="AI887" s="666"/>
      <c r="AJ887" s="666"/>
      <c r="AK887" s="666"/>
      <c r="AL887" s="666"/>
      <c r="AM887" s="666"/>
      <c r="AN887" s="666"/>
      <c r="AO887" s="666"/>
      <c r="AP887" s="666"/>
      <c r="AQ887" s="666"/>
      <c r="AR887" s="666"/>
      <c r="AS887" s="666"/>
      <c r="AT887" s="666"/>
      <c r="AU887" s="666"/>
    </row>
    <row r="888" ht="15.75" customHeight="1">
      <c r="A888" s="667">
        <v>44671.0</v>
      </c>
      <c r="B888" s="668" t="s">
        <v>6558</v>
      </c>
      <c r="C888" s="589" t="s">
        <v>2346</v>
      </c>
      <c r="D888" s="641" t="s">
        <v>5038</v>
      </c>
      <c r="E888" s="669">
        <v>911.9</v>
      </c>
      <c r="F888" s="589" t="s">
        <v>4142</v>
      </c>
      <c r="G888" s="641" t="s">
        <v>120</v>
      </c>
      <c r="H888" s="641" t="s">
        <v>91</v>
      </c>
      <c r="I888" s="641" t="s">
        <v>521</v>
      </c>
      <c r="J888" s="667">
        <v>44280.0</v>
      </c>
      <c r="K888" s="641" t="s">
        <v>2341</v>
      </c>
      <c r="L888" s="666"/>
      <c r="M888" s="666"/>
      <c r="N888" s="666"/>
      <c r="O888" s="666"/>
      <c r="P888" s="666"/>
      <c r="Q888" s="666"/>
      <c r="R888" s="666"/>
      <c r="S888" s="666"/>
      <c r="T888" s="666"/>
      <c r="U888" s="666"/>
      <c r="V888" s="666"/>
      <c r="W888" s="666"/>
      <c r="X888" s="666"/>
      <c r="Y888" s="666"/>
      <c r="Z888" s="666"/>
      <c r="AA888" s="666"/>
      <c r="AB888" s="666"/>
      <c r="AC888" s="666"/>
      <c r="AD888" s="666"/>
      <c r="AE888" s="666"/>
      <c r="AF888" s="666"/>
      <c r="AG888" s="666"/>
      <c r="AH888" s="666"/>
      <c r="AI888" s="666"/>
      <c r="AJ888" s="666"/>
      <c r="AK888" s="666"/>
      <c r="AL888" s="666"/>
      <c r="AM888" s="666"/>
      <c r="AN888" s="666"/>
      <c r="AO888" s="666"/>
      <c r="AP888" s="666"/>
      <c r="AQ888" s="666"/>
      <c r="AR888" s="666"/>
      <c r="AS888" s="666"/>
      <c r="AT888" s="666"/>
      <c r="AU888" s="666"/>
    </row>
    <row r="889" ht="15.75" customHeight="1">
      <c r="A889" s="667">
        <v>44673.0</v>
      </c>
      <c r="B889" s="668" t="s">
        <v>7735</v>
      </c>
      <c r="C889" s="589" t="s">
        <v>98</v>
      </c>
      <c r="D889" s="641" t="s">
        <v>5038</v>
      </c>
      <c r="E889" s="669">
        <v>146000.0</v>
      </c>
      <c r="F889" s="589" t="s">
        <v>5344</v>
      </c>
      <c r="G889" s="641" t="s">
        <v>120</v>
      </c>
      <c r="H889" s="641" t="s">
        <v>54</v>
      </c>
      <c r="I889" s="641" t="s">
        <v>348</v>
      </c>
      <c r="J889" s="667">
        <v>44615.0</v>
      </c>
      <c r="K889" s="641" t="s">
        <v>2341</v>
      </c>
      <c r="L889" s="666"/>
      <c r="M889" s="666"/>
      <c r="N889" s="666"/>
      <c r="O889" s="666"/>
      <c r="P889" s="666"/>
      <c r="Q889" s="666"/>
      <c r="R889" s="666"/>
      <c r="S889" s="666"/>
      <c r="T889" s="666"/>
      <c r="U889" s="666"/>
      <c r="V889" s="666"/>
      <c r="W889" s="666"/>
      <c r="X889" s="666"/>
      <c r="Y889" s="666"/>
      <c r="Z889" s="666"/>
      <c r="AA889" s="666"/>
      <c r="AB889" s="666"/>
      <c r="AC889" s="666"/>
      <c r="AD889" s="666"/>
      <c r="AE889" s="666"/>
      <c r="AF889" s="666"/>
      <c r="AG889" s="666"/>
      <c r="AH889" s="666"/>
      <c r="AI889" s="666"/>
      <c r="AJ889" s="666"/>
      <c r="AK889" s="666"/>
      <c r="AL889" s="666"/>
      <c r="AM889" s="666"/>
      <c r="AN889" s="666"/>
      <c r="AO889" s="666"/>
      <c r="AP889" s="666"/>
      <c r="AQ889" s="666"/>
      <c r="AR889" s="666"/>
      <c r="AS889" s="666"/>
      <c r="AT889" s="666"/>
      <c r="AU889" s="666"/>
    </row>
    <row r="890" ht="15.75" customHeight="1">
      <c r="A890" s="667">
        <v>44673.0</v>
      </c>
      <c r="B890" s="668" t="s">
        <v>7933</v>
      </c>
      <c r="C890" s="589" t="s">
        <v>98</v>
      </c>
      <c r="D890" s="641" t="s">
        <v>694</v>
      </c>
      <c r="E890" s="669">
        <v>114850.92</v>
      </c>
      <c r="F890" s="589" t="s">
        <v>5170</v>
      </c>
      <c r="G890" s="641" t="s">
        <v>120</v>
      </c>
      <c r="H890" s="641" t="s">
        <v>54</v>
      </c>
      <c r="I890" s="641" t="s">
        <v>379</v>
      </c>
      <c r="J890" s="667">
        <v>44462.0</v>
      </c>
      <c r="K890" s="641" t="s">
        <v>2341</v>
      </c>
      <c r="L890" s="666"/>
      <c r="M890" s="666"/>
      <c r="N890" s="666"/>
      <c r="O890" s="666"/>
      <c r="P890" s="666"/>
      <c r="Q890" s="666"/>
      <c r="R890" s="666"/>
      <c r="S890" s="666"/>
      <c r="T890" s="666"/>
      <c r="U890" s="666"/>
      <c r="V890" s="666"/>
      <c r="W890" s="666"/>
      <c r="X890" s="666"/>
      <c r="Y890" s="666"/>
      <c r="Z890" s="666"/>
      <c r="AA890" s="666"/>
      <c r="AB890" s="666"/>
      <c r="AC890" s="666"/>
      <c r="AD890" s="666"/>
      <c r="AE890" s="666"/>
      <c r="AF890" s="666"/>
      <c r="AG890" s="666"/>
      <c r="AH890" s="666"/>
      <c r="AI890" s="666"/>
      <c r="AJ890" s="666"/>
      <c r="AK890" s="666"/>
      <c r="AL890" s="666"/>
      <c r="AM890" s="666"/>
      <c r="AN890" s="666"/>
      <c r="AO890" s="666"/>
      <c r="AP890" s="666"/>
      <c r="AQ890" s="666"/>
      <c r="AR890" s="666"/>
      <c r="AS890" s="666"/>
      <c r="AT890" s="666"/>
      <c r="AU890" s="666"/>
    </row>
    <row r="891" ht="15.75" customHeight="1">
      <c r="A891" s="667">
        <v>44673.0</v>
      </c>
      <c r="B891" s="668" t="s">
        <v>7936</v>
      </c>
      <c r="C891" s="589" t="s">
        <v>98</v>
      </c>
      <c r="D891" s="641" t="s">
        <v>5038</v>
      </c>
      <c r="E891" s="669">
        <v>100000.0</v>
      </c>
      <c r="F891" s="589" t="s">
        <v>7938</v>
      </c>
      <c r="G891" s="641" t="s">
        <v>120</v>
      </c>
      <c r="H891" s="641" t="s">
        <v>54</v>
      </c>
      <c r="I891" s="667" t="s">
        <v>4846</v>
      </c>
      <c r="J891" s="667">
        <v>44454.0</v>
      </c>
      <c r="K891" s="641" t="s">
        <v>2341</v>
      </c>
      <c r="L891" s="666"/>
      <c r="M891" s="666"/>
      <c r="N891" s="666"/>
      <c r="O891" s="666"/>
      <c r="P891" s="666"/>
      <c r="Q891" s="666"/>
      <c r="R891" s="666"/>
      <c r="S891" s="666"/>
      <c r="T891" s="666"/>
      <c r="U891" s="666"/>
      <c r="V891" s="666"/>
      <c r="W891" s="666"/>
      <c r="X891" s="666"/>
      <c r="Y891" s="666"/>
      <c r="Z891" s="666"/>
      <c r="AA891" s="666"/>
      <c r="AB891" s="666"/>
      <c r="AC891" s="666"/>
      <c r="AD891" s="666"/>
      <c r="AE891" s="666"/>
      <c r="AF891" s="666"/>
      <c r="AG891" s="666"/>
      <c r="AH891" s="666"/>
      <c r="AI891" s="666"/>
      <c r="AJ891" s="666"/>
      <c r="AK891" s="666"/>
      <c r="AL891" s="666"/>
      <c r="AM891" s="666"/>
      <c r="AN891" s="666"/>
      <c r="AO891" s="666"/>
      <c r="AP891" s="666"/>
      <c r="AQ891" s="666"/>
      <c r="AR891" s="666"/>
      <c r="AS891" s="666"/>
      <c r="AT891" s="666"/>
      <c r="AU891" s="666"/>
    </row>
    <row r="892" ht="15.75" customHeight="1">
      <c r="A892" s="667">
        <v>44673.0</v>
      </c>
      <c r="B892" s="668" t="s">
        <v>6435</v>
      </c>
      <c r="C892" s="589" t="s">
        <v>2346</v>
      </c>
      <c r="D892" s="641" t="s">
        <v>5038</v>
      </c>
      <c r="E892" s="669">
        <v>100000.0</v>
      </c>
      <c r="F892" s="589" t="s">
        <v>7941</v>
      </c>
      <c r="G892" s="641" t="s">
        <v>120</v>
      </c>
      <c r="H892" s="641" t="s">
        <v>91</v>
      </c>
      <c r="I892" s="641" t="s">
        <v>193</v>
      </c>
      <c r="J892" s="667">
        <v>44321.0</v>
      </c>
      <c r="K892" s="641" t="s">
        <v>2365</v>
      </c>
      <c r="L892" s="666"/>
      <c r="M892" s="666"/>
      <c r="N892" s="666"/>
      <c r="O892" s="666"/>
      <c r="P892" s="666"/>
      <c r="Q892" s="666"/>
      <c r="R892" s="666"/>
      <c r="S892" s="666"/>
      <c r="T892" s="666"/>
      <c r="U892" s="666"/>
      <c r="V892" s="666"/>
      <c r="W892" s="666"/>
      <c r="X892" s="666"/>
      <c r="Y892" s="666"/>
      <c r="Z892" s="666"/>
      <c r="AA892" s="666"/>
      <c r="AB892" s="666"/>
      <c r="AC892" s="666"/>
      <c r="AD892" s="666"/>
      <c r="AE892" s="666"/>
      <c r="AF892" s="666"/>
      <c r="AG892" s="666"/>
      <c r="AH892" s="666"/>
      <c r="AI892" s="666"/>
      <c r="AJ892" s="666"/>
      <c r="AK892" s="666"/>
      <c r="AL892" s="666"/>
      <c r="AM892" s="666"/>
      <c r="AN892" s="666"/>
      <c r="AO892" s="666"/>
      <c r="AP892" s="666"/>
      <c r="AQ892" s="666"/>
      <c r="AR892" s="666"/>
      <c r="AS892" s="666"/>
      <c r="AT892" s="666"/>
      <c r="AU892" s="666"/>
    </row>
    <row r="893" ht="15.75" customHeight="1">
      <c r="A893" s="667">
        <v>44676.0</v>
      </c>
      <c r="B893" s="668" t="s">
        <v>7586</v>
      </c>
      <c r="C893" s="589" t="s">
        <v>2346</v>
      </c>
      <c r="D893" s="641" t="s">
        <v>5038</v>
      </c>
      <c r="E893" s="669">
        <v>20000.0</v>
      </c>
      <c r="F893" s="589" t="s">
        <v>5908</v>
      </c>
      <c r="G893" s="641" t="s">
        <v>120</v>
      </c>
      <c r="H893" s="641" t="s">
        <v>91</v>
      </c>
      <c r="I893" s="641" t="s">
        <v>193</v>
      </c>
      <c r="J893" s="667">
        <v>44333.0</v>
      </c>
      <c r="K893" s="641" t="s">
        <v>2365</v>
      </c>
      <c r="L893" s="666"/>
      <c r="M893" s="666"/>
      <c r="N893" s="666"/>
      <c r="O893" s="666"/>
      <c r="P893" s="666"/>
      <c r="Q893" s="666"/>
      <c r="R893" s="666"/>
      <c r="S893" s="666"/>
      <c r="T893" s="666"/>
      <c r="U893" s="666"/>
      <c r="V893" s="666"/>
      <c r="W893" s="666"/>
      <c r="X893" s="666"/>
      <c r="Y893" s="666"/>
      <c r="Z893" s="666"/>
      <c r="AA893" s="666"/>
      <c r="AB893" s="666"/>
      <c r="AC893" s="666"/>
      <c r="AD893" s="666"/>
      <c r="AE893" s="666"/>
      <c r="AF893" s="666"/>
      <c r="AG893" s="666"/>
      <c r="AH893" s="666"/>
      <c r="AI893" s="666"/>
      <c r="AJ893" s="666"/>
      <c r="AK893" s="666"/>
      <c r="AL893" s="666"/>
      <c r="AM893" s="666"/>
      <c r="AN893" s="666"/>
      <c r="AO893" s="666"/>
      <c r="AP893" s="666"/>
      <c r="AQ893" s="666"/>
      <c r="AR893" s="666"/>
      <c r="AS893" s="666"/>
      <c r="AT893" s="666"/>
      <c r="AU893" s="666"/>
    </row>
    <row r="894" ht="15.75" customHeight="1">
      <c r="A894" s="713">
        <v>44676.0</v>
      </c>
      <c r="B894" s="801" t="s">
        <v>7943</v>
      </c>
      <c r="C894" s="715" t="s">
        <v>2346</v>
      </c>
      <c r="D894" s="641" t="s">
        <v>694</v>
      </c>
      <c r="E894" s="716" t="s">
        <v>7944</v>
      </c>
      <c r="F894" s="641" t="s">
        <v>4170</v>
      </c>
      <c r="G894" s="667" t="s">
        <v>120</v>
      </c>
      <c r="H894" s="667" t="s">
        <v>91</v>
      </c>
      <c r="I894" s="667" t="s">
        <v>521</v>
      </c>
      <c r="J894" s="667">
        <v>44263.0</v>
      </c>
      <c r="K894" s="667" t="s">
        <v>2372</v>
      </c>
      <c r="L894" s="666"/>
      <c r="M894" s="666"/>
      <c r="N894" s="666"/>
      <c r="O894" s="666"/>
      <c r="P894" s="666"/>
      <c r="Q894" s="666"/>
      <c r="R894" s="666"/>
      <c r="S894" s="666"/>
      <c r="T894" s="666"/>
      <c r="U894" s="666"/>
      <c r="V894" s="666"/>
      <c r="W894" s="666"/>
      <c r="X894" s="666"/>
      <c r="Y894" s="666"/>
      <c r="Z894" s="666"/>
      <c r="AA894" s="666"/>
      <c r="AB894" s="666"/>
      <c r="AC894" s="666"/>
      <c r="AD894" s="666"/>
      <c r="AE894" s="666"/>
      <c r="AF894" s="666"/>
      <c r="AG894" s="666"/>
      <c r="AH894" s="666"/>
      <c r="AI894" s="666"/>
      <c r="AJ894" s="666"/>
      <c r="AK894" s="666"/>
      <c r="AL894" s="666"/>
      <c r="AM894" s="666"/>
      <c r="AN894" s="666"/>
      <c r="AO894" s="666"/>
      <c r="AP894" s="666"/>
      <c r="AQ894" s="666"/>
      <c r="AR894" s="666"/>
      <c r="AS894" s="666"/>
      <c r="AT894" s="666"/>
      <c r="AU894" s="666"/>
    </row>
    <row r="895" ht="15.75" customHeight="1">
      <c r="A895" s="667">
        <v>44677.0</v>
      </c>
      <c r="B895" s="668" t="s">
        <v>7946</v>
      </c>
      <c r="C895" s="589" t="s">
        <v>2346</v>
      </c>
      <c r="D895" s="641" t="s">
        <v>5038</v>
      </c>
      <c r="E895" s="669">
        <v>62000.0</v>
      </c>
      <c r="F895" s="641" t="s">
        <v>5966</v>
      </c>
      <c r="G895" s="641" t="s">
        <v>1096</v>
      </c>
      <c r="H895" s="641" t="s">
        <v>199</v>
      </c>
      <c r="I895" s="667" t="s">
        <v>1096</v>
      </c>
      <c r="J895" s="667">
        <v>43439.0</v>
      </c>
      <c r="K895" s="641" t="s">
        <v>2372</v>
      </c>
      <c r="L895" s="666"/>
      <c r="M895" s="666"/>
      <c r="N895" s="666"/>
      <c r="O895" s="666"/>
      <c r="P895" s="666"/>
      <c r="Q895" s="666"/>
      <c r="R895" s="666"/>
      <c r="S895" s="666"/>
      <c r="T895" s="666"/>
      <c r="U895" s="666"/>
      <c r="V895" s="666"/>
      <c r="W895" s="666"/>
      <c r="X895" s="666"/>
      <c r="Y895" s="666"/>
      <c r="Z895" s="666"/>
      <c r="AA895" s="666"/>
      <c r="AB895" s="666"/>
      <c r="AC895" s="666"/>
      <c r="AD895" s="666"/>
      <c r="AE895" s="666"/>
      <c r="AF895" s="666"/>
      <c r="AG895" s="666"/>
      <c r="AH895" s="666"/>
      <c r="AI895" s="666"/>
      <c r="AJ895" s="666"/>
      <c r="AK895" s="666"/>
      <c r="AL895" s="666"/>
      <c r="AM895" s="666"/>
      <c r="AN895" s="666"/>
      <c r="AO895" s="666"/>
      <c r="AP895" s="666"/>
      <c r="AQ895" s="666"/>
      <c r="AR895" s="666"/>
      <c r="AS895" s="666"/>
      <c r="AT895" s="666"/>
      <c r="AU895" s="666"/>
    </row>
    <row r="896" ht="15.75" customHeight="1">
      <c r="A896" s="667">
        <v>44677.0</v>
      </c>
      <c r="B896" s="668" t="s">
        <v>510</v>
      </c>
      <c r="C896" s="589" t="s">
        <v>202</v>
      </c>
      <c r="D896" s="641" t="s">
        <v>5038</v>
      </c>
      <c r="E896" s="669">
        <v>3000.0</v>
      </c>
      <c r="F896" s="589" t="s">
        <v>508</v>
      </c>
      <c r="G896" s="641" t="s">
        <v>120</v>
      </c>
      <c r="H896" s="641" t="s">
        <v>120</v>
      </c>
      <c r="I896" s="667" t="s">
        <v>4632</v>
      </c>
      <c r="J896" s="667">
        <v>44062.0</v>
      </c>
      <c r="K896" s="641" t="s">
        <v>2341</v>
      </c>
      <c r="L896" s="666"/>
      <c r="M896" s="666"/>
      <c r="N896" s="666"/>
      <c r="O896" s="666"/>
      <c r="P896" s="666"/>
      <c r="Q896" s="666"/>
      <c r="R896" s="666"/>
      <c r="S896" s="666"/>
      <c r="T896" s="666"/>
      <c r="U896" s="666"/>
      <c r="V896" s="666"/>
      <c r="W896" s="666"/>
      <c r="X896" s="666"/>
      <c r="Y896" s="666"/>
      <c r="Z896" s="666"/>
      <c r="AA896" s="666"/>
      <c r="AB896" s="666"/>
      <c r="AC896" s="666"/>
      <c r="AD896" s="666"/>
      <c r="AE896" s="666"/>
      <c r="AF896" s="666"/>
      <c r="AG896" s="666"/>
      <c r="AH896" s="666"/>
      <c r="AI896" s="666"/>
      <c r="AJ896" s="666"/>
      <c r="AK896" s="666"/>
      <c r="AL896" s="666"/>
      <c r="AM896" s="666"/>
      <c r="AN896" s="666"/>
      <c r="AO896" s="666"/>
      <c r="AP896" s="666"/>
      <c r="AQ896" s="666"/>
      <c r="AR896" s="666"/>
      <c r="AS896" s="666"/>
      <c r="AT896" s="666"/>
      <c r="AU896" s="666"/>
    </row>
    <row r="897" ht="15.75" customHeight="1">
      <c r="A897" s="667">
        <v>44677.0</v>
      </c>
      <c r="B897" s="712" t="s">
        <v>7952</v>
      </c>
      <c r="C897" s="866" t="s">
        <v>98</v>
      </c>
      <c r="D897" s="867" t="s">
        <v>427</v>
      </c>
      <c r="E897" s="868">
        <v>118629.88</v>
      </c>
      <c r="F897" s="866" t="s">
        <v>5020</v>
      </c>
      <c r="G897" s="867" t="s">
        <v>120</v>
      </c>
      <c r="H897" s="867" t="s">
        <v>199</v>
      </c>
      <c r="I897" s="867" t="s">
        <v>1174</v>
      </c>
      <c r="J897" s="869">
        <v>44405.0</v>
      </c>
      <c r="K897" s="867" t="s">
        <v>2372</v>
      </c>
      <c r="L897" s="666"/>
      <c r="M897" s="666"/>
      <c r="N897" s="666"/>
      <c r="O897" s="666"/>
      <c r="P897" s="666"/>
      <c r="Q897" s="666"/>
      <c r="R897" s="666"/>
      <c r="S897" s="666"/>
      <c r="T897" s="666"/>
      <c r="U897" s="666"/>
      <c r="V897" s="666"/>
      <c r="W897" s="666"/>
      <c r="X897" s="666"/>
      <c r="Y897" s="666"/>
      <c r="Z897" s="666"/>
      <c r="AA897" s="666"/>
      <c r="AB897" s="666"/>
      <c r="AC897" s="666"/>
      <c r="AD897" s="666"/>
      <c r="AE897" s="666"/>
      <c r="AF897" s="666"/>
      <c r="AG897" s="666"/>
      <c r="AH897" s="666"/>
      <c r="AI897" s="666"/>
      <c r="AJ897" s="666"/>
      <c r="AK897" s="666"/>
      <c r="AL897" s="666"/>
      <c r="AM897" s="666"/>
      <c r="AN897" s="666"/>
      <c r="AO897" s="666"/>
      <c r="AP897" s="666"/>
      <c r="AQ897" s="666"/>
      <c r="AR897" s="666"/>
      <c r="AS897" s="666"/>
      <c r="AT897" s="666"/>
      <c r="AU897" s="666"/>
    </row>
    <row r="898" ht="15.75" customHeight="1">
      <c r="A898" s="667">
        <v>44677.0</v>
      </c>
      <c r="B898" s="668" t="s">
        <v>6293</v>
      </c>
      <c r="C898" s="589" t="s">
        <v>2346</v>
      </c>
      <c r="D898" s="641" t="s">
        <v>5038</v>
      </c>
      <c r="E898" s="669">
        <v>31000.0</v>
      </c>
      <c r="F898" s="589" t="s">
        <v>922</v>
      </c>
      <c r="G898" s="641" t="s">
        <v>120</v>
      </c>
      <c r="H898" s="641" t="s">
        <v>91</v>
      </c>
      <c r="I898" s="641" t="s">
        <v>521</v>
      </c>
      <c r="J898" s="667">
        <v>44319.0</v>
      </c>
      <c r="K898" s="641" t="s">
        <v>2341</v>
      </c>
      <c r="L898" s="666"/>
      <c r="M898" s="666"/>
      <c r="N898" s="666"/>
      <c r="O898" s="666"/>
      <c r="P898" s="666"/>
      <c r="Q898" s="666"/>
      <c r="R898" s="666"/>
      <c r="S898" s="666"/>
      <c r="T898" s="666"/>
      <c r="U898" s="666"/>
      <c r="V898" s="666"/>
      <c r="W898" s="666"/>
      <c r="X898" s="666"/>
      <c r="Y898" s="666"/>
      <c r="Z898" s="666"/>
      <c r="AA898" s="666"/>
      <c r="AB898" s="666"/>
      <c r="AC898" s="666"/>
      <c r="AD898" s="666"/>
      <c r="AE898" s="666"/>
      <c r="AF898" s="666"/>
      <c r="AG898" s="666"/>
      <c r="AH898" s="666"/>
      <c r="AI898" s="666"/>
      <c r="AJ898" s="666"/>
      <c r="AK898" s="666"/>
      <c r="AL898" s="666"/>
      <c r="AM898" s="666"/>
      <c r="AN898" s="666"/>
      <c r="AO898" s="666"/>
      <c r="AP898" s="666"/>
      <c r="AQ898" s="666"/>
      <c r="AR898" s="666"/>
      <c r="AS898" s="666"/>
      <c r="AT898" s="666"/>
      <c r="AU898" s="666"/>
    </row>
    <row r="899" ht="15.75" customHeight="1">
      <c r="A899" s="667">
        <v>44679.0</v>
      </c>
      <c r="B899" s="668" t="s">
        <v>7191</v>
      </c>
      <c r="C899" s="589" t="s">
        <v>2346</v>
      </c>
      <c r="D899" s="641" t="s">
        <v>5038</v>
      </c>
      <c r="E899" s="669">
        <v>15000.0</v>
      </c>
      <c r="F899" s="589" t="s">
        <v>7959</v>
      </c>
      <c r="G899" s="641" t="s">
        <v>120</v>
      </c>
      <c r="H899" s="641" t="s">
        <v>91</v>
      </c>
      <c r="I899" s="641" t="s">
        <v>521</v>
      </c>
      <c r="J899" s="667">
        <v>44323.0</v>
      </c>
      <c r="K899" s="641" t="s">
        <v>2452</v>
      </c>
      <c r="L899" s="666"/>
      <c r="M899" s="666"/>
      <c r="N899" s="666"/>
      <c r="O899" s="666"/>
      <c r="P899" s="666"/>
      <c r="Q899" s="666"/>
      <c r="R899" s="666"/>
      <c r="S899" s="666"/>
      <c r="T899" s="666"/>
      <c r="U899" s="666"/>
      <c r="V899" s="666"/>
      <c r="W899" s="666"/>
      <c r="X899" s="666"/>
      <c r="Y899" s="666"/>
      <c r="Z899" s="666"/>
      <c r="AA899" s="666"/>
      <c r="AB899" s="666"/>
      <c r="AC899" s="666"/>
      <c r="AD899" s="666"/>
      <c r="AE899" s="666"/>
      <c r="AF899" s="666"/>
      <c r="AG899" s="666"/>
      <c r="AH899" s="666"/>
      <c r="AI899" s="666"/>
      <c r="AJ899" s="666"/>
      <c r="AK899" s="666"/>
      <c r="AL899" s="666"/>
      <c r="AM899" s="666"/>
      <c r="AN899" s="666"/>
      <c r="AO899" s="666"/>
      <c r="AP899" s="666"/>
      <c r="AQ899" s="666"/>
      <c r="AR899" s="666"/>
      <c r="AS899" s="666"/>
      <c r="AT899" s="666"/>
      <c r="AU899" s="666"/>
    </row>
    <row r="900" ht="15.75" customHeight="1">
      <c r="A900" s="667">
        <v>44679.0</v>
      </c>
      <c r="B900" s="668" t="s">
        <v>7965</v>
      </c>
      <c r="C900" s="589" t="s">
        <v>2346</v>
      </c>
      <c r="D900" s="641" t="s">
        <v>5038</v>
      </c>
      <c r="E900" s="669">
        <v>75000.0</v>
      </c>
      <c r="F900" s="589" t="s">
        <v>7968</v>
      </c>
      <c r="G900" s="641" t="s">
        <v>120</v>
      </c>
      <c r="H900" s="641" t="s">
        <v>91</v>
      </c>
      <c r="I900" s="641" t="s">
        <v>699</v>
      </c>
      <c r="J900" s="667">
        <v>44644.0</v>
      </c>
      <c r="K900" s="641" t="s">
        <v>2365</v>
      </c>
      <c r="L900" s="666"/>
      <c r="M900" s="666"/>
      <c r="N900" s="666"/>
      <c r="O900" s="666"/>
      <c r="P900" s="666"/>
      <c r="Q900" s="666"/>
      <c r="R900" s="666"/>
      <c r="S900" s="666"/>
      <c r="T900" s="666"/>
      <c r="U900" s="666"/>
      <c r="V900" s="666"/>
      <c r="W900" s="666"/>
      <c r="X900" s="666"/>
      <c r="Y900" s="666"/>
      <c r="Z900" s="666"/>
      <c r="AA900" s="666"/>
      <c r="AB900" s="666"/>
      <c r="AC900" s="666"/>
      <c r="AD900" s="666"/>
      <c r="AE900" s="666"/>
      <c r="AF900" s="666"/>
      <c r="AG900" s="666"/>
      <c r="AH900" s="666"/>
      <c r="AI900" s="666"/>
      <c r="AJ900" s="666"/>
      <c r="AK900" s="666"/>
      <c r="AL900" s="666"/>
      <c r="AM900" s="666"/>
      <c r="AN900" s="666"/>
      <c r="AO900" s="666"/>
      <c r="AP900" s="666"/>
      <c r="AQ900" s="666"/>
      <c r="AR900" s="666"/>
      <c r="AS900" s="666"/>
      <c r="AT900" s="666"/>
      <c r="AU900" s="666"/>
    </row>
    <row r="901" ht="15.75" customHeight="1">
      <c r="A901" s="667">
        <v>44680.0</v>
      </c>
      <c r="B901" s="668" t="s">
        <v>7971</v>
      </c>
      <c r="C901" s="589" t="s">
        <v>2346</v>
      </c>
      <c r="D901" s="641" t="s">
        <v>5038</v>
      </c>
      <c r="E901" s="669">
        <v>31000.0</v>
      </c>
      <c r="F901" s="589" t="s">
        <v>7972</v>
      </c>
      <c r="G901" s="641" t="s">
        <v>120</v>
      </c>
      <c r="H901" s="641" t="s">
        <v>91</v>
      </c>
      <c r="I901" s="641" t="s">
        <v>699</v>
      </c>
      <c r="J901" s="667">
        <v>44568.0</v>
      </c>
      <c r="K901" s="641" t="s">
        <v>2356</v>
      </c>
      <c r="L901" s="666"/>
      <c r="M901" s="666"/>
      <c r="N901" s="666"/>
      <c r="O901" s="666"/>
      <c r="P901" s="666"/>
      <c r="Q901" s="666"/>
      <c r="R901" s="666"/>
      <c r="S901" s="666"/>
      <c r="T901" s="666"/>
      <c r="U901" s="666"/>
      <c r="V901" s="666"/>
      <c r="W901" s="666"/>
      <c r="X901" s="666"/>
      <c r="Y901" s="666"/>
      <c r="Z901" s="666"/>
      <c r="AA901" s="666"/>
      <c r="AB901" s="666"/>
      <c r="AC901" s="666"/>
      <c r="AD901" s="666"/>
      <c r="AE901" s="666"/>
      <c r="AF901" s="666"/>
      <c r="AG901" s="666"/>
      <c r="AH901" s="666"/>
      <c r="AI901" s="666"/>
      <c r="AJ901" s="666"/>
      <c r="AK901" s="666"/>
      <c r="AL901" s="666"/>
      <c r="AM901" s="666"/>
      <c r="AN901" s="666"/>
      <c r="AO901" s="666"/>
      <c r="AP901" s="666"/>
      <c r="AQ901" s="666"/>
      <c r="AR901" s="666"/>
      <c r="AS901" s="666"/>
      <c r="AT901" s="666"/>
      <c r="AU901" s="666"/>
    </row>
    <row r="902" ht="15.75" customHeight="1">
      <c r="A902" s="757">
        <v>44680.0</v>
      </c>
      <c r="B902" s="870" t="s">
        <v>7975</v>
      </c>
      <c r="C902" s="759" t="s">
        <v>98</v>
      </c>
      <c r="D902" s="760" t="s">
        <v>694</v>
      </c>
      <c r="E902" s="761">
        <v>288923.9</v>
      </c>
      <c r="F902" s="759" t="s">
        <v>7979</v>
      </c>
      <c r="G902" s="760" t="s">
        <v>120</v>
      </c>
      <c r="H902" s="760" t="s">
        <v>54</v>
      </c>
      <c r="I902" s="760" t="s">
        <v>4057</v>
      </c>
      <c r="J902" s="762">
        <v>44398.0</v>
      </c>
      <c r="K902" s="759" t="s">
        <v>2356</v>
      </c>
      <c r="L902" s="666"/>
      <c r="M902" s="666"/>
      <c r="N902" s="666"/>
      <c r="O902" s="666"/>
      <c r="P902" s="666"/>
      <c r="Q902" s="666"/>
      <c r="R902" s="666"/>
      <c r="S902" s="666"/>
      <c r="T902" s="666"/>
      <c r="U902" s="666"/>
      <c r="V902" s="666"/>
      <c r="W902" s="666"/>
      <c r="X902" s="666"/>
      <c r="Y902" s="666"/>
      <c r="Z902" s="666"/>
      <c r="AA902" s="666"/>
      <c r="AB902" s="666"/>
      <c r="AC902" s="666"/>
      <c r="AD902" s="666"/>
      <c r="AE902" s="666"/>
      <c r="AF902" s="666"/>
      <c r="AG902" s="666"/>
      <c r="AH902" s="666"/>
      <c r="AI902" s="666"/>
      <c r="AJ902" s="666"/>
      <c r="AK902" s="666"/>
      <c r="AL902" s="666"/>
      <c r="AM902" s="666"/>
      <c r="AN902" s="666"/>
      <c r="AO902" s="666"/>
      <c r="AP902" s="666"/>
      <c r="AQ902" s="666"/>
      <c r="AR902" s="666"/>
      <c r="AS902" s="666"/>
      <c r="AT902" s="666"/>
      <c r="AU902" s="666"/>
    </row>
    <row r="903" ht="15.75" customHeight="1">
      <c r="A903" s="667">
        <v>44682.0</v>
      </c>
      <c r="B903" s="589" t="s">
        <v>6750</v>
      </c>
      <c r="C903" s="589" t="s">
        <v>2346</v>
      </c>
      <c r="D903" s="641" t="s">
        <v>694</v>
      </c>
      <c r="E903" s="669">
        <v>7399239.36</v>
      </c>
      <c r="F903" s="834" t="s">
        <v>5549</v>
      </c>
      <c r="G903" s="626" t="s">
        <v>1096</v>
      </c>
      <c r="H903" s="834" t="s">
        <v>199</v>
      </c>
      <c r="I903" s="626" t="s">
        <v>1096</v>
      </c>
      <c r="J903" s="741">
        <v>44021.0</v>
      </c>
      <c r="K903" s="750" t="s">
        <v>2341</v>
      </c>
      <c r="L903" s="666"/>
      <c r="M903" s="666"/>
      <c r="N903" s="666"/>
      <c r="O903" s="666"/>
      <c r="P903" s="666"/>
      <c r="Q903" s="666"/>
      <c r="R903" s="666"/>
      <c r="S903" s="666"/>
      <c r="T903" s="666"/>
      <c r="U903" s="666"/>
      <c r="V903" s="666"/>
      <c r="W903" s="666"/>
      <c r="X903" s="666"/>
      <c r="Y903" s="666"/>
      <c r="Z903" s="666"/>
      <c r="AA903" s="666"/>
      <c r="AB903" s="666"/>
      <c r="AC903" s="666"/>
      <c r="AD903" s="666"/>
      <c r="AE903" s="666"/>
      <c r="AF903" s="666"/>
      <c r="AG903" s="666"/>
      <c r="AH903" s="666"/>
      <c r="AI903" s="666"/>
      <c r="AJ903" s="666"/>
      <c r="AK903" s="666"/>
      <c r="AL903" s="666"/>
      <c r="AM903" s="666"/>
      <c r="AN903" s="666"/>
      <c r="AO903" s="666"/>
      <c r="AP903" s="666"/>
      <c r="AQ903" s="666"/>
      <c r="AR903" s="666"/>
      <c r="AS903" s="666"/>
      <c r="AT903" s="666"/>
      <c r="AU903" s="666"/>
    </row>
    <row r="904" ht="15.75" customHeight="1">
      <c r="A904" s="667">
        <v>44682.0</v>
      </c>
      <c r="B904" s="589" t="s">
        <v>7985</v>
      </c>
      <c r="C904" s="589" t="s">
        <v>2346</v>
      </c>
      <c r="D904" s="641" t="s">
        <v>694</v>
      </c>
      <c r="E904" s="669">
        <v>4668228.61</v>
      </c>
      <c r="F904" s="834" t="s">
        <v>5549</v>
      </c>
      <c r="G904" s="626" t="s">
        <v>1096</v>
      </c>
      <c r="H904" s="834" t="s">
        <v>199</v>
      </c>
      <c r="I904" s="626" t="s">
        <v>1096</v>
      </c>
      <c r="J904" s="741">
        <v>44029.0</v>
      </c>
      <c r="K904" s="750" t="s">
        <v>2372</v>
      </c>
      <c r="L904" s="666"/>
      <c r="M904" s="666"/>
      <c r="N904" s="666"/>
      <c r="O904" s="666"/>
      <c r="P904" s="666"/>
      <c r="Q904" s="666"/>
      <c r="R904" s="666"/>
      <c r="S904" s="666"/>
      <c r="T904" s="666"/>
      <c r="U904" s="666"/>
      <c r="V904" s="666"/>
      <c r="W904" s="666"/>
      <c r="X904" s="666"/>
      <c r="Y904" s="666"/>
      <c r="Z904" s="666"/>
      <c r="AA904" s="666"/>
      <c r="AB904" s="666"/>
      <c r="AC904" s="666"/>
      <c r="AD904" s="666"/>
      <c r="AE904" s="666"/>
      <c r="AF904" s="666"/>
      <c r="AG904" s="666"/>
      <c r="AH904" s="666"/>
      <c r="AI904" s="666"/>
      <c r="AJ904" s="666"/>
      <c r="AK904" s="666"/>
      <c r="AL904" s="666"/>
      <c r="AM904" s="666"/>
      <c r="AN904" s="666"/>
      <c r="AO904" s="666"/>
      <c r="AP904" s="666"/>
      <c r="AQ904" s="666"/>
      <c r="AR904" s="666"/>
      <c r="AS904" s="666"/>
      <c r="AT904" s="666"/>
      <c r="AU904" s="666"/>
    </row>
    <row r="905" ht="15.75" customHeight="1">
      <c r="A905" s="667">
        <v>44683.0</v>
      </c>
      <c r="B905" s="668" t="s">
        <v>6788</v>
      </c>
      <c r="C905" s="589" t="s">
        <v>98</v>
      </c>
      <c r="D905" s="641" t="s">
        <v>694</v>
      </c>
      <c r="E905" s="669">
        <v>160249.53</v>
      </c>
      <c r="F905" s="589" t="s">
        <v>3370</v>
      </c>
      <c r="G905" s="641" t="s">
        <v>255</v>
      </c>
      <c r="H905" s="641" t="s">
        <v>199</v>
      </c>
      <c r="I905" s="641" t="s">
        <v>548</v>
      </c>
      <c r="J905" s="667">
        <v>44362.0</v>
      </c>
      <c r="K905" s="641" t="s">
        <v>2365</v>
      </c>
      <c r="L905" s="666"/>
      <c r="M905" s="666"/>
      <c r="N905" s="666"/>
      <c r="O905" s="666"/>
      <c r="P905" s="666"/>
      <c r="Q905" s="666"/>
      <c r="R905" s="666"/>
      <c r="S905" s="666"/>
      <c r="T905" s="666"/>
      <c r="U905" s="666"/>
      <c r="V905" s="666"/>
      <c r="W905" s="666"/>
      <c r="X905" s="666"/>
      <c r="Y905" s="666"/>
      <c r="Z905" s="666"/>
      <c r="AA905" s="666"/>
      <c r="AB905" s="666"/>
      <c r="AC905" s="666"/>
      <c r="AD905" s="666"/>
      <c r="AE905" s="666"/>
      <c r="AF905" s="666"/>
      <c r="AG905" s="666"/>
      <c r="AH905" s="666"/>
      <c r="AI905" s="666"/>
      <c r="AJ905" s="666"/>
      <c r="AK905" s="666"/>
      <c r="AL905" s="666"/>
      <c r="AM905" s="666"/>
      <c r="AN905" s="666"/>
      <c r="AO905" s="666"/>
      <c r="AP905" s="666"/>
      <c r="AQ905" s="666"/>
      <c r="AR905" s="666"/>
      <c r="AS905" s="666"/>
      <c r="AT905" s="666"/>
      <c r="AU905" s="666"/>
    </row>
    <row r="906" ht="15.75" customHeight="1">
      <c r="A906" s="667">
        <v>44683.0</v>
      </c>
      <c r="B906" s="668" t="s">
        <v>7990</v>
      </c>
      <c r="C906" s="589" t="s">
        <v>98</v>
      </c>
      <c r="D906" s="641" t="s">
        <v>694</v>
      </c>
      <c r="E906" s="669">
        <v>128785.37</v>
      </c>
      <c r="F906" s="589" t="s">
        <v>7991</v>
      </c>
      <c r="G906" s="641" t="s">
        <v>120</v>
      </c>
      <c r="H906" s="641" t="s">
        <v>54</v>
      </c>
      <c r="I906" s="641" t="s">
        <v>379</v>
      </c>
      <c r="J906" s="667">
        <v>44355.0</v>
      </c>
      <c r="K906" s="750" t="s">
        <v>2356</v>
      </c>
      <c r="L906" s="666"/>
      <c r="M906" s="666"/>
      <c r="N906" s="666"/>
      <c r="O906" s="666"/>
      <c r="P906" s="666"/>
      <c r="Q906" s="666"/>
      <c r="R906" s="666"/>
      <c r="S906" s="666"/>
      <c r="T906" s="666"/>
      <c r="U906" s="666"/>
      <c r="V906" s="666"/>
      <c r="W906" s="666"/>
      <c r="X906" s="666"/>
      <c r="Y906" s="666"/>
      <c r="Z906" s="666"/>
      <c r="AA906" s="666"/>
      <c r="AB906" s="666"/>
      <c r="AC906" s="666"/>
      <c r="AD906" s="666"/>
      <c r="AE906" s="666"/>
      <c r="AF906" s="666"/>
      <c r="AG906" s="666"/>
      <c r="AH906" s="666"/>
      <c r="AI906" s="666"/>
      <c r="AJ906" s="666"/>
      <c r="AK906" s="666"/>
      <c r="AL906" s="666"/>
      <c r="AM906" s="666"/>
      <c r="AN906" s="666"/>
      <c r="AO906" s="666"/>
      <c r="AP906" s="666"/>
      <c r="AQ906" s="666"/>
      <c r="AR906" s="666"/>
      <c r="AS906" s="666"/>
      <c r="AT906" s="666"/>
      <c r="AU906" s="666"/>
    </row>
    <row r="907" ht="15.75" customHeight="1">
      <c r="A907" s="667">
        <v>44683.0</v>
      </c>
      <c r="B907" s="668" t="s">
        <v>7992</v>
      </c>
      <c r="C907" s="589" t="s">
        <v>98</v>
      </c>
      <c r="D907" s="641" t="s">
        <v>694</v>
      </c>
      <c r="E907" s="669">
        <v>158853.29</v>
      </c>
      <c r="F907" s="589" t="s">
        <v>7809</v>
      </c>
      <c r="G907" s="626" t="s">
        <v>120</v>
      </c>
      <c r="H907" s="834" t="s">
        <v>54</v>
      </c>
      <c r="I907" s="626" t="s">
        <v>379</v>
      </c>
      <c r="J907" s="741">
        <v>44229.0</v>
      </c>
      <c r="K907" s="750" t="s">
        <v>2319</v>
      </c>
      <c r="L907" s="666"/>
      <c r="M907" s="666"/>
      <c r="N907" s="666"/>
      <c r="O907" s="666"/>
      <c r="P907" s="666"/>
      <c r="Q907" s="666"/>
      <c r="R907" s="666"/>
      <c r="S907" s="666"/>
      <c r="T907" s="666"/>
      <c r="U907" s="666"/>
      <c r="V907" s="666"/>
      <c r="W907" s="666"/>
      <c r="X907" s="666"/>
      <c r="Y907" s="666"/>
      <c r="Z907" s="666"/>
      <c r="AA907" s="666"/>
      <c r="AB907" s="666"/>
      <c r="AC907" s="666"/>
      <c r="AD907" s="666"/>
      <c r="AE907" s="666"/>
      <c r="AF907" s="666"/>
      <c r="AG907" s="666"/>
      <c r="AH907" s="666"/>
      <c r="AI907" s="666"/>
      <c r="AJ907" s="666"/>
      <c r="AK907" s="666"/>
      <c r="AL907" s="666"/>
      <c r="AM907" s="666"/>
      <c r="AN907" s="666"/>
      <c r="AO907" s="666"/>
      <c r="AP907" s="666"/>
      <c r="AQ907" s="666"/>
      <c r="AR907" s="666"/>
      <c r="AS907" s="666"/>
      <c r="AT907" s="666"/>
      <c r="AU907" s="666"/>
    </row>
    <row r="908" ht="15.75" customHeight="1">
      <c r="A908" s="667">
        <v>44683.0</v>
      </c>
      <c r="B908" s="668" t="s">
        <v>7877</v>
      </c>
      <c r="C908" s="589" t="s">
        <v>98</v>
      </c>
      <c r="D908" s="641" t="s">
        <v>5038</v>
      </c>
      <c r="E908" s="669">
        <v>11329.01</v>
      </c>
      <c r="F908" s="589" t="s">
        <v>6553</v>
      </c>
      <c r="G908" s="626" t="s">
        <v>120</v>
      </c>
      <c r="H908" s="834" t="s">
        <v>54</v>
      </c>
      <c r="I908" s="626" t="s">
        <v>348</v>
      </c>
      <c r="J908" s="741">
        <v>44614.0</v>
      </c>
      <c r="K908" s="750" t="s">
        <v>2341</v>
      </c>
      <c r="L908" s="666"/>
      <c r="M908" s="666"/>
      <c r="N908" s="666"/>
      <c r="O908" s="666"/>
      <c r="P908" s="666"/>
      <c r="Q908" s="666"/>
      <c r="R908" s="666"/>
      <c r="S908" s="666"/>
      <c r="T908" s="666"/>
      <c r="U908" s="666"/>
      <c r="V908" s="666"/>
      <c r="W908" s="666"/>
      <c r="X908" s="666"/>
      <c r="Y908" s="666"/>
      <c r="Z908" s="666"/>
      <c r="AA908" s="666"/>
      <c r="AB908" s="666"/>
      <c r="AC908" s="666"/>
      <c r="AD908" s="666"/>
      <c r="AE908" s="666"/>
      <c r="AF908" s="666"/>
      <c r="AG908" s="666"/>
      <c r="AH908" s="666"/>
      <c r="AI908" s="666"/>
      <c r="AJ908" s="666"/>
      <c r="AK908" s="666"/>
      <c r="AL908" s="666"/>
      <c r="AM908" s="666"/>
      <c r="AN908" s="666"/>
      <c r="AO908" s="666"/>
      <c r="AP908" s="666"/>
      <c r="AQ908" s="666"/>
      <c r="AR908" s="666"/>
      <c r="AS908" s="666"/>
      <c r="AT908" s="666"/>
      <c r="AU908" s="666"/>
    </row>
    <row r="909" ht="15.75" customHeight="1">
      <c r="A909" s="667">
        <v>44683.0</v>
      </c>
      <c r="B909" s="668">
        <v>350690.0</v>
      </c>
      <c r="C909" s="589" t="s">
        <v>2346</v>
      </c>
      <c r="D909" s="641" t="s">
        <v>5038</v>
      </c>
      <c r="E909" s="669">
        <v>100000.0</v>
      </c>
      <c r="F909" s="589" t="s">
        <v>3912</v>
      </c>
      <c r="G909" s="626" t="s">
        <v>120</v>
      </c>
      <c r="H909" s="834" t="s">
        <v>91</v>
      </c>
      <c r="I909" s="626" t="s">
        <v>193</v>
      </c>
      <c r="J909" s="741">
        <v>44438.0</v>
      </c>
      <c r="K909" s="750" t="s">
        <v>2341</v>
      </c>
      <c r="L909" s="666"/>
      <c r="M909" s="666"/>
      <c r="N909" s="666"/>
      <c r="O909" s="666"/>
      <c r="P909" s="666"/>
      <c r="Q909" s="666"/>
      <c r="R909" s="666"/>
      <c r="S909" s="666"/>
      <c r="T909" s="666"/>
      <c r="U909" s="666"/>
      <c r="V909" s="666"/>
      <c r="W909" s="666"/>
      <c r="X909" s="666"/>
      <c r="Y909" s="666"/>
      <c r="Z909" s="666"/>
      <c r="AA909" s="666"/>
      <c r="AB909" s="666"/>
      <c r="AC909" s="666"/>
      <c r="AD909" s="666"/>
      <c r="AE909" s="666"/>
      <c r="AF909" s="666"/>
      <c r="AG909" s="666"/>
      <c r="AH909" s="666"/>
      <c r="AI909" s="666"/>
      <c r="AJ909" s="666"/>
      <c r="AK909" s="666"/>
      <c r="AL909" s="666"/>
      <c r="AM909" s="666"/>
      <c r="AN909" s="666"/>
      <c r="AO909" s="666"/>
      <c r="AP909" s="666"/>
      <c r="AQ909" s="666"/>
      <c r="AR909" s="666"/>
      <c r="AS909" s="666"/>
      <c r="AT909" s="666"/>
      <c r="AU909" s="666"/>
    </row>
    <row r="910" ht="15.75" customHeight="1">
      <c r="A910" s="667">
        <v>44683.0</v>
      </c>
      <c r="B910" s="668" t="s">
        <v>5711</v>
      </c>
      <c r="C910" s="589" t="s">
        <v>2346</v>
      </c>
      <c r="D910" s="641" t="s">
        <v>5038</v>
      </c>
      <c r="E910" s="669">
        <v>40000.0</v>
      </c>
      <c r="F910" s="589" t="s">
        <v>7823</v>
      </c>
      <c r="G910" s="626" t="s">
        <v>120</v>
      </c>
      <c r="H910" s="834" t="s">
        <v>91</v>
      </c>
      <c r="I910" s="626" t="s">
        <v>521</v>
      </c>
      <c r="J910" s="741">
        <v>44321.0</v>
      </c>
      <c r="K910" s="750" t="s">
        <v>2341</v>
      </c>
      <c r="L910" s="666"/>
      <c r="M910" s="666"/>
      <c r="N910" s="666"/>
      <c r="O910" s="666"/>
      <c r="P910" s="666"/>
      <c r="Q910" s="666"/>
      <c r="R910" s="666"/>
      <c r="S910" s="666"/>
      <c r="T910" s="666"/>
      <c r="U910" s="666"/>
      <c r="V910" s="666"/>
      <c r="W910" s="666"/>
      <c r="X910" s="666"/>
      <c r="Y910" s="666"/>
      <c r="Z910" s="666"/>
      <c r="AA910" s="666"/>
      <c r="AB910" s="666"/>
      <c r="AC910" s="666"/>
      <c r="AD910" s="666"/>
      <c r="AE910" s="666"/>
      <c r="AF910" s="666"/>
      <c r="AG910" s="666"/>
      <c r="AH910" s="666"/>
      <c r="AI910" s="666"/>
      <c r="AJ910" s="666"/>
      <c r="AK910" s="666"/>
      <c r="AL910" s="666"/>
      <c r="AM910" s="666"/>
      <c r="AN910" s="666"/>
      <c r="AO910" s="666"/>
      <c r="AP910" s="666"/>
      <c r="AQ910" s="666"/>
      <c r="AR910" s="666"/>
      <c r="AS910" s="666"/>
      <c r="AT910" s="666"/>
      <c r="AU910" s="666"/>
    </row>
    <row r="911" ht="15.75" customHeight="1">
      <c r="A911" s="667">
        <v>44683.0</v>
      </c>
      <c r="B911" s="668" t="s">
        <v>7678</v>
      </c>
      <c r="C911" s="589" t="s">
        <v>2346</v>
      </c>
      <c r="D911" s="641" t="s">
        <v>5038</v>
      </c>
      <c r="E911" s="669">
        <v>25000.0</v>
      </c>
      <c r="F911" s="589" t="s">
        <v>7828</v>
      </c>
      <c r="G911" s="626" t="s">
        <v>120</v>
      </c>
      <c r="H911" s="834" t="s">
        <v>91</v>
      </c>
      <c r="I911" s="626" t="s">
        <v>521</v>
      </c>
      <c r="J911" s="741">
        <v>44263.0</v>
      </c>
      <c r="K911" s="750" t="s">
        <v>2365</v>
      </c>
      <c r="L911" s="666"/>
      <c r="M911" s="666"/>
      <c r="N911" s="666"/>
      <c r="O911" s="666"/>
      <c r="P911" s="666"/>
      <c r="Q911" s="666"/>
      <c r="R911" s="666"/>
      <c r="S911" s="666"/>
      <c r="T911" s="666"/>
      <c r="U911" s="666"/>
      <c r="V911" s="666"/>
      <c r="W911" s="666"/>
      <c r="X911" s="666"/>
      <c r="Y911" s="666"/>
      <c r="Z911" s="666"/>
      <c r="AA911" s="666"/>
      <c r="AB911" s="666"/>
      <c r="AC911" s="666"/>
      <c r="AD911" s="666"/>
      <c r="AE911" s="666"/>
      <c r="AF911" s="666"/>
      <c r="AG911" s="666"/>
      <c r="AH911" s="666"/>
      <c r="AI911" s="666"/>
      <c r="AJ911" s="666"/>
      <c r="AK911" s="666"/>
      <c r="AL911" s="666"/>
      <c r="AM911" s="666"/>
      <c r="AN911" s="666"/>
      <c r="AO911" s="666"/>
      <c r="AP911" s="666"/>
      <c r="AQ911" s="666"/>
      <c r="AR911" s="666"/>
      <c r="AS911" s="666"/>
      <c r="AT911" s="666"/>
      <c r="AU911" s="666"/>
    </row>
    <row r="912" ht="15.75" customHeight="1">
      <c r="A912" s="667">
        <v>44683.0</v>
      </c>
      <c r="B912" s="668" t="s">
        <v>7780</v>
      </c>
      <c r="C912" s="589" t="s">
        <v>2346</v>
      </c>
      <c r="D912" s="641" t="s">
        <v>5038</v>
      </c>
      <c r="E912" s="669">
        <v>14000.0</v>
      </c>
      <c r="F912" s="589" t="s">
        <v>956</v>
      </c>
      <c r="G912" s="626" t="s">
        <v>669</v>
      </c>
      <c r="H912" s="834" t="s">
        <v>199</v>
      </c>
      <c r="I912" s="626" t="s">
        <v>1228</v>
      </c>
      <c r="J912" s="741">
        <v>43605.0</v>
      </c>
      <c r="K912" s="750" t="s">
        <v>2372</v>
      </c>
      <c r="L912" s="666"/>
      <c r="M912" s="666"/>
      <c r="N912" s="666"/>
      <c r="O912" s="666"/>
      <c r="P912" s="666"/>
      <c r="Q912" s="666"/>
      <c r="R912" s="666"/>
      <c r="S912" s="666"/>
      <c r="T912" s="666"/>
      <c r="U912" s="666"/>
      <c r="V912" s="666"/>
      <c r="W912" s="666"/>
      <c r="X912" s="666"/>
      <c r="Y912" s="666"/>
      <c r="Z912" s="666"/>
      <c r="AA912" s="666"/>
      <c r="AB912" s="666"/>
      <c r="AC912" s="666"/>
      <c r="AD912" s="666"/>
      <c r="AE912" s="666"/>
      <c r="AF912" s="666"/>
      <c r="AG912" s="666"/>
      <c r="AH912" s="666"/>
      <c r="AI912" s="666"/>
      <c r="AJ912" s="666"/>
      <c r="AK912" s="666"/>
      <c r="AL912" s="666"/>
      <c r="AM912" s="666"/>
      <c r="AN912" s="666"/>
      <c r="AO912" s="666"/>
      <c r="AP912" s="666"/>
      <c r="AQ912" s="666"/>
      <c r="AR912" s="666"/>
      <c r="AS912" s="666"/>
      <c r="AT912" s="666"/>
      <c r="AU912" s="666"/>
    </row>
    <row r="913" ht="15.75" customHeight="1">
      <c r="A913" s="667">
        <v>44684.0</v>
      </c>
      <c r="B913" s="668" t="s">
        <v>8007</v>
      </c>
      <c r="C913" s="589" t="s">
        <v>98</v>
      </c>
      <c r="D913" s="641" t="s">
        <v>694</v>
      </c>
      <c r="E913" s="669">
        <v>398221.67</v>
      </c>
      <c r="F913" s="589" t="s">
        <v>5084</v>
      </c>
      <c r="G913" s="626" t="s">
        <v>120</v>
      </c>
      <c r="H913" s="834" t="s">
        <v>54</v>
      </c>
      <c r="I913" s="626" t="s">
        <v>4057</v>
      </c>
      <c r="J913" s="741">
        <v>44454.0</v>
      </c>
      <c r="K913" s="750" t="s">
        <v>2356</v>
      </c>
      <c r="L913" s="666"/>
      <c r="M913" s="666"/>
      <c r="N913" s="666"/>
      <c r="O913" s="666"/>
      <c r="P913" s="666"/>
      <c r="Q913" s="666"/>
      <c r="R913" s="666"/>
      <c r="S913" s="666"/>
      <c r="T913" s="666"/>
      <c r="U913" s="666"/>
      <c r="V913" s="666"/>
      <c r="W913" s="666"/>
      <c r="X913" s="666"/>
      <c r="Y913" s="666"/>
      <c r="Z913" s="666"/>
      <c r="AA913" s="666"/>
      <c r="AB913" s="666"/>
      <c r="AC913" s="666"/>
      <c r="AD913" s="666"/>
      <c r="AE913" s="666"/>
      <c r="AF913" s="666"/>
      <c r="AG913" s="666"/>
      <c r="AH913" s="666"/>
      <c r="AI913" s="666"/>
      <c r="AJ913" s="666"/>
      <c r="AK913" s="666"/>
      <c r="AL913" s="666"/>
      <c r="AM913" s="666"/>
      <c r="AN913" s="666"/>
      <c r="AO913" s="666"/>
      <c r="AP913" s="666"/>
      <c r="AQ913" s="666"/>
      <c r="AR913" s="666"/>
      <c r="AS913" s="666"/>
      <c r="AT913" s="666"/>
      <c r="AU913" s="666"/>
    </row>
    <row r="914" ht="15.75" customHeight="1">
      <c r="A914" s="667">
        <v>44685.0</v>
      </c>
      <c r="B914" s="834">
        <v>4740849.0</v>
      </c>
      <c r="C914" s="589" t="s">
        <v>98</v>
      </c>
      <c r="D914" s="641" t="s">
        <v>427</v>
      </c>
      <c r="E914" s="669">
        <v>83984.54000000001</v>
      </c>
      <c r="F914" s="589" t="s">
        <v>7172</v>
      </c>
      <c r="G914" s="626" t="s">
        <v>255</v>
      </c>
      <c r="H914" s="834" t="s">
        <v>199</v>
      </c>
      <c r="I914" s="626" t="s">
        <v>4044</v>
      </c>
      <c r="J914" s="741">
        <v>44320.0</v>
      </c>
      <c r="K914" s="750" t="s">
        <v>2319</v>
      </c>
      <c r="L914" s="666"/>
      <c r="M914" s="666"/>
      <c r="N914" s="666"/>
      <c r="O914" s="666"/>
      <c r="P914" s="666"/>
      <c r="Q914" s="666"/>
      <c r="R914" s="666"/>
      <c r="S914" s="666"/>
      <c r="T914" s="666"/>
      <c r="U914" s="666"/>
      <c r="V914" s="666"/>
      <c r="W914" s="666"/>
      <c r="X914" s="666"/>
      <c r="Y914" s="666"/>
      <c r="Z914" s="666"/>
      <c r="AA914" s="666"/>
      <c r="AB914" s="666"/>
      <c r="AC914" s="666"/>
      <c r="AD914" s="666"/>
      <c r="AE914" s="666"/>
      <c r="AF914" s="666"/>
      <c r="AG914" s="666"/>
      <c r="AH914" s="666"/>
      <c r="AI914" s="666"/>
      <c r="AJ914" s="666"/>
      <c r="AK914" s="666"/>
      <c r="AL914" s="666"/>
      <c r="AM914" s="666"/>
      <c r="AN914" s="666"/>
      <c r="AO914" s="666"/>
      <c r="AP914" s="666"/>
      <c r="AQ914" s="666"/>
      <c r="AR914" s="666"/>
      <c r="AS914" s="666"/>
      <c r="AT914" s="666"/>
      <c r="AU914" s="666"/>
    </row>
    <row r="915" ht="15.75" customHeight="1">
      <c r="A915" s="667">
        <v>44685.0</v>
      </c>
      <c r="B915" s="834" t="s">
        <v>8012</v>
      </c>
      <c r="C915" s="589" t="s">
        <v>98</v>
      </c>
      <c r="D915" s="641" t="s">
        <v>5038</v>
      </c>
      <c r="E915" s="669">
        <v>60000.0</v>
      </c>
      <c r="F915" s="589" t="s">
        <v>8013</v>
      </c>
      <c r="G915" s="626" t="s">
        <v>120</v>
      </c>
      <c r="H915" s="834" t="s">
        <v>199</v>
      </c>
      <c r="I915" s="626" t="s">
        <v>439</v>
      </c>
      <c r="J915" s="741">
        <v>44294.0</v>
      </c>
      <c r="K915" s="750" t="s">
        <v>5361</v>
      </c>
      <c r="L915" s="666"/>
      <c r="M915" s="666"/>
      <c r="N915" s="666"/>
      <c r="O915" s="666"/>
      <c r="P915" s="666"/>
      <c r="Q915" s="666"/>
      <c r="R915" s="666"/>
      <c r="S915" s="666"/>
      <c r="T915" s="666"/>
      <c r="U915" s="666"/>
      <c r="V915" s="666"/>
      <c r="W915" s="666"/>
      <c r="X915" s="666"/>
      <c r="Y915" s="666"/>
      <c r="Z915" s="666"/>
      <c r="AA915" s="666"/>
      <c r="AB915" s="666"/>
      <c r="AC915" s="666"/>
      <c r="AD915" s="666"/>
      <c r="AE915" s="666"/>
      <c r="AF915" s="666"/>
      <c r="AG915" s="666"/>
      <c r="AH915" s="666"/>
      <c r="AI915" s="666"/>
      <c r="AJ915" s="666"/>
      <c r="AK915" s="666"/>
      <c r="AL915" s="666"/>
      <c r="AM915" s="666"/>
      <c r="AN915" s="666"/>
      <c r="AO915" s="666"/>
      <c r="AP915" s="666"/>
      <c r="AQ915" s="666"/>
      <c r="AR915" s="666"/>
      <c r="AS915" s="666"/>
      <c r="AT915" s="666"/>
      <c r="AU915" s="666"/>
    </row>
    <row r="916" ht="15.75" customHeight="1">
      <c r="A916" s="667">
        <v>44685.0</v>
      </c>
      <c r="B916" s="834">
        <v>6121090.0</v>
      </c>
      <c r="C916" s="589" t="s">
        <v>98</v>
      </c>
      <c r="D916" s="641" t="s">
        <v>694</v>
      </c>
      <c r="E916" s="669">
        <v>46583.9</v>
      </c>
      <c r="F916" s="589" t="s">
        <v>4684</v>
      </c>
      <c r="G916" s="626" t="s">
        <v>120</v>
      </c>
      <c r="H916" s="834" t="s">
        <v>54</v>
      </c>
      <c r="I916" s="626" t="s">
        <v>379</v>
      </c>
      <c r="J916" s="741">
        <v>44421.0</v>
      </c>
      <c r="K916" s="750" t="s">
        <v>2319</v>
      </c>
      <c r="L916" s="666"/>
      <c r="M916" s="666"/>
      <c r="N916" s="666"/>
      <c r="O916" s="666"/>
      <c r="P916" s="666"/>
      <c r="Q916" s="666"/>
      <c r="R916" s="666"/>
      <c r="S916" s="666"/>
      <c r="T916" s="666"/>
      <c r="U916" s="666"/>
      <c r="V916" s="666"/>
      <c r="W916" s="666"/>
      <c r="X916" s="666"/>
      <c r="Y916" s="666"/>
      <c r="Z916" s="666"/>
      <c r="AA916" s="666"/>
      <c r="AB916" s="666"/>
      <c r="AC916" s="666"/>
      <c r="AD916" s="666"/>
      <c r="AE916" s="666"/>
      <c r="AF916" s="666"/>
      <c r="AG916" s="666"/>
      <c r="AH916" s="666"/>
      <c r="AI916" s="666"/>
      <c r="AJ916" s="666"/>
      <c r="AK916" s="666"/>
      <c r="AL916" s="666"/>
      <c r="AM916" s="666"/>
      <c r="AN916" s="666"/>
      <c r="AO916" s="666"/>
      <c r="AP916" s="666"/>
      <c r="AQ916" s="666"/>
      <c r="AR916" s="666"/>
      <c r="AS916" s="666"/>
      <c r="AT916" s="666"/>
      <c r="AU916" s="666"/>
    </row>
    <row r="917" ht="15.75" customHeight="1">
      <c r="A917" s="667">
        <v>44686.0</v>
      </c>
      <c r="B917" s="834">
        <v>3600186.0</v>
      </c>
      <c r="C917" s="589" t="s">
        <v>98</v>
      </c>
      <c r="D917" s="641" t="s">
        <v>694</v>
      </c>
      <c r="E917" s="669">
        <v>1122976.82</v>
      </c>
      <c r="F917" s="589" t="s">
        <v>7706</v>
      </c>
      <c r="G917" s="626" t="s">
        <v>120</v>
      </c>
      <c r="H917" s="834" t="s">
        <v>54</v>
      </c>
      <c r="I917" s="626" t="s">
        <v>4057</v>
      </c>
      <c r="J917" s="741">
        <v>44454.0</v>
      </c>
      <c r="K917" s="750" t="s">
        <v>2356</v>
      </c>
      <c r="L917" s="666"/>
      <c r="M917" s="666"/>
      <c r="N917" s="666"/>
      <c r="O917" s="666"/>
      <c r="P917" s="666"/>
      <c r="Q917" s="666"/>
      <c r="R917" s="666"/>
      <c r="S917" s="666"/>
      <c r="T917" s="666"/>
      <c r="U917" s="666"/>
      <c r="V917" s="666"/>
      <c r="W917" s="666"/>
      <c r="X917" s="666"/>
      <c r="Y917" s="666"/>
      <c r="Z917" s="666"/>
      <c r="AA917" s="666"/>
      <c r="AB917" s="666"/>
      <c r="AC917" s="666"/>
      <c r="AD917" s="666"/>
      <c r="AE917" s="666"/>
      <c r="AF917" s="666"/>
      <c r="AG917" s="666"/>
      <c r="AH917" s="666"/>
      <c r="AI917" s="666"/>
      <c r="AJ917" s="666"/>
      <c r="AK917" s="666"/>
      <c r="AL917" s="666"/>
      <c r="AM917" s="666"/>
      <c r="AN917" s="666"/>
      <c r="AO917" s="666"/>
      <c r="AP917" s="666"/>
      <c r="AQ917" s="666"/>
      <c r="AR917" s="666"/>
      <c r="AS917" s="666"/>
      <c r="AT917" s="666"/>
      <c r="AU917" s="666"/>
    </row>
    <row r="918" ht="15.75" customHeight="1">
      <c r="A918" s="667">
        <v>44686.0</v>
      </c>
      <c r="B918" s="834" t="s">
        <v>8016</v>
      </c>
      <c r="C918" s="589" t="s">
        <v>98</v>
      </c>
      <c r="D918" s="641" t="s">
        <v>5038</v>
      </c>
      <c r="E918" s="669">
        <v>50000.87</v>
      </c>
      <c r="F918" s="589" t="s">
        <v>6284</v>
      </c>
      <c r="G918" s="626" t="s">
        <v>120</v>
      </c>
      <c r="H918" s="834" t="s">
        <v>54</v>
      </c>
      <c r="I918" s="626" t="s">
        <v>379</v>
      </c>
      <c r="J918" s="741">
        <v>44379.0</v>
      </c>
      <c r="K918" s="750" t="s">
        <v>2319</v>
      </c>
      <c r="L918" s="666"/>
      <c r="M918" s="666"/>
      <c r="N918" s="666"/>
      <c r="O918" s="666"/>
      <c r="P918" s="666"/>
      <c r="Q918" s="666"/>
      <c r="R918" s="666"/>
      <c r="S918" s="666"/>
      <c r="T918" s="666"/>
      <c r="U918" s="666"/>
      <c r="V918" s="666"/>
      <c r="W918" s="666"/>
      <c r="X918" s="666"/>
      <c r="Y918" s="666"/>
      <c r="Z918" s="666"/>
      <c r="AA918" s="666"/>
      <c r="AB918" s="666"/>
      <c r="AC918" s="666"/>
      <c r="AD918" s="666"/>
      <c r="AE918" s="666"/>
      <c r="AF918" s="666"/>
      <c r="AG918" s="666"/>
      <c r="AH918" s="666"/>
      <c r="AI918" s="666"/>
      <c r="AJ918" s="666"/>
      <c r="AK918" s="666"/>
      <c r="AL918" s="666"/>
      <c r="AM918" s="666"/>
      <c r="AN918" s="666"/>
      <c r="AO918" s="666"/>
      <c r="AP918" s="666"/>
      <c r="AQ918" s="666"/>
      <c r="AR918" s="666"/>
      <c r="AS918" s="666"/>
      <c r="AT918" s="666"/>
      <c r="AU918" s="666"/>
    </row>
    <row r="919" ht="15.75" customHeight="1">
      <c r="A919" s="667">
        <v>44686.0</v>
      </c>
      <c r="B919" s="834">
        <v>4920156.0</v>
      </c>
      <c r="C919" s="589" t="s">
        <v>98</v>
      </c>
      <c r="D919" s="641" t="s">
        <v>5038</v>
      </c>
      <c r="E919" s="669">
        <v>10000.0</v>
      </c>
      <c r="F919" s="589" t="s">
        <v>5042</v>
      </c>
      <c r="G919" s="626" t="s">
        <v>255</v>
      </c>
      <c r="H919" s="834" t="s">
        <v>199</v>
      </c>
      <c r="I919" s="626" t="s">
        <v>2587</v>
      </c>
      <c r="J919" s="741">
        <v>44263.0</v>
      </c>
      <c r="K919" s="750" t="s">
        <v>2341</v>
      </c>
      <c r="L919" s="666"/>
      <c r="M919" s="666"/>
      <c r="N919" s="666"/>
      <c r="O919" s="666"/>
      <c r="P919" s="666"/>
      <c r="Q919" s="666"/>
      <c r="R919" s="666"/>
      <c r="S919" s="666"/>
      <c r="T919" s="666"/>
      <c r="U919" s="666"/>
      <c r="V919" s="666"/>
      <c r="W919" s="666"/>
      <c r="X919" s="666"/>
      <c r="Y919" s="666"/>
      <c r="Z919" s="666"/>
      <c r="AA919" s="666"/>
      <c r="AB919" s="666"/>
      <c r="AC919" s="666"/>
      <c r="AD919" s="666"/>
      <c r="AE919" s="666"/>
      <c r="AF919" s="666"/>
      <c r="AG919" s="666"/>
      <c r="AH919" s="666"/>
      <c r="AI919" s="666"/>
      <c r="AJ919" s="666"/>
      <c r="AK919" s="666"/>
      <c r="AL919" s="666"/>
      <c r="AM919" s="666"/>
      <c r="AN919" s="666"/>
      <c r="AO919" s="666"/>
      <c r="AP919" s="666"/>
      <c r="AQ919" s="666"/>
      <c r="AR919" s="666"/>
      <c r="AS919" s="666"/>
      <c r="AT919" s="666"/>
      <c r="AU919" s="666"/>
    </row>
    <row r="920" ht="15.75" customHeight="1">
      <c r="A920" s="667">
        <v>44687.0</v>
      </c>
      <c r="B920" s="589" t="s">
        <v>6562</v>
      </c>
      <c r="C920" s="589" t="s">
        <v>2346</v>
      </c>
      <c r="D920" s="641" t="s">
        <v>5038</v>
      </c>
      <c r="E920" s="669">
        <v>10000.0</v>
      </c>
      <c r="F920" s="834" t="s">
        <v>4520</v>
      </c>
      <c r="G920" s="626" t="s">
        <v>120</v>
      </c>
      <c r="H920" s="834" t="s">
        <v>91</v>
      </c>
      <c r="I920" s="626" t="s">
        <v>193</v>
      </c>
      <c r="J920" s="741">
        <v>44328.0</v>
      </c>
      <c r="K920" s="750" t="s">
        <v>2319</v>
      </c>
      <c r="L920" s="666"/>
      <c r="M920" s="666"/>
      <c r="N920" s="666"/>
      <c r="O920" s="666"/>
      <c r="P920" s="666"/>
      <c r="Q920" s="666"/>
      <c r="R920" s="666"/>
      <c r="S920" s="666"/>
      <c r="T920" s="666"/>
      <c r="U920" s="666"/>
      <c r="V920" s="666"/>
      <c r="W920" s="666"/>
      <c r="X920" s="666"/>
      <c r="Y920" s="666"/>
      <c r="Z920" s="666"/>
      <c r="AA920" s="666"/>
      <c r="AB920" s="666"/>
      <c r="AC920" s="666"/>
      <c r="AD920" s="666"/>
      <c r="AE920" s="666"/>
      <c r="AF920" s="666"/>
      <c r="AG920" s="666"/>
      <c r="AH920" s="666"/>
      <c r="AI920" s="666"/>
      <c r="AJ920" s="666"/>
      <c r="AK920" s="666"/>
      <c r="AL920" s="666"/>
      <c r="AM920" s="666"/>
      <c r="AN920" s="666"/>
      <c r="AO920" s="666"/>
      <c r="AP920" s="666"/>
      <c r="AQ920" s="666"/>
      <c r="AR920" s="666"/>
      <c r="AS920" s="666"/>
      <c r="AT920" s="666"/>
      <c r="AU920" s="666"/>
    </row>
    <row r="921" ht="15.75" customHeight="1">
      <c r="A921" s="667">
        <v>44687.0</v>
      </c>
      <c r="B921" s="589" t="s">
        <v>7191</v>
      </c>
      <c r="C921" s="589" t="s">
        <v>2346</v>
      </c>
      <c r="D921" s="641" t="s">
        <v>5038</v>
      </c>
      <c r="E921" s="669">
        <v>100000.0</v>
      </c>
      <c r="F921" s="834" t="s">
        <v>6341</v>
      </c>
      <c r="G921" s="626" t="s">
        <v>120</v>
      </c>
      <c r="H921" s="834" t="s">
        <v>91</v>
      </c>
      <c r="I921" s="626" t="s">
        <v>521</v>
      </c>
      <c r="J921" s="741">
        <v>44323.0</v>
      </c>
      <c r="K921" s="750" t="s">
        <v>2452</v>
      </c>
      <c r="L921" s="666"/>
      <c r="M921" s="666"/>
      <c r="N921" s="666"/>
      <c r="O921" s="666"/>
      <c r="P921" s="666"/>
      <c r="Q921" s="666"/>
      <c r="R921" s="666"/>
      <c r="S921" s="666"/>
      <c r="T921" s="666"/>
      <c r="U921" s="666"/>
      <c r="V921" s="666"/>
      <c r="W921" s="666"/>
      <c r="X921" s="666"/>
      <c r="Y921" s="666"/>
      <c r="Z921" s="666"/>
      <c r="AA921" s="666"/>
      <c r="AB921" s="666"/>
      <c r="AC921" s="666"/>
      <c r="AD921" s="666"/>
      <c r="AE921" s="666"/>
      <c r="AF921" s="666"/>
      <c r="AG921" s="666"/>
      <c r="AH921" s="666"/>
      <c r="AI921" s="666"/>
      <c r="AJ921" s="666"/>
      <c r="AK921" s="666"/>
      <c r="AL921" s="666"/>
      <c r="AM921" s="666"/>
      <c r="AN921" s="666"/>
      <c r="AO921" s="666"/>
      <c r="AP921" s="666"/>
      <c r="AQ921" s="666"/>
      <c r="AR921" s="666"/>
      <c r="AS921" s="666"/>
      <c r="AT921" s="666"/>
      <c r="AU921" s="666"/>
    </row>
    <row r="922" ht="15.75" customHeight="1">
      <c r="A922" s="667">
        <v>44687.0</v>
      </c>
      <c r="B922" s="834">
        <v>4862815.0</v>
      </c>
      <c r="C922" s="589" t="s">
        <v>98</v>
      </c>
      <c r="D922" s="641" t="s">
        <v>5038</v>
      </c>
      <c r="E922" s="669">
        <v>70000.0</v>
      </c>
      <c r="F922" s="589" t="s">
        <v>8028</v>
      </c>
      <c r="G922" s="626" t="s">
        <v>120</v>
      </c>
      <c r="H922" s="834" t="s">
        <v>54</v>
      </c>
      <c r="I922" s="626" t="s">
        <v>379</v>
      </c>
      <c r="J922" s="741">
        <v>44251.0</v>
      </c>
      <c r="K922" s="750" t="s">
        <v>2372</v>
      </c>
      <c r="L922" s="666"/>
      <c r="M922" s="666"/>
      <c r="N922" s="666"/>
      <c r="O922" s="666"/>
      <c r="P922" s="666"/>
      <c r="Q922" s="666"/>
      <c r="R922" s="666"/>
      <c r="S922" s="666"/>
      <c r="T922" s="666"/>
      <c r="U922" s="666"/>
      <c r="V922" s="666"/>
      <c r="W922" s="666"/>
      <c r="X922" s="666"/>
      <c r="Y922" s="666"/>
      <c r="Z922" s="666"/>
      <c r="AA922" s="666"/>
      <c r="AB922" s="666"/>
      <c r="AC922" s="666"/>
      <c r="AD922" s="666"/>
      <c r="AE922" s="666"/>
      <c r="AF922" s="666"/>
      <c r="AG922" s="666"/>
      <c r="AH922" s="666"/>
      <c r="AI922" s="666"/>
      <c r="AJ922" s="666"/>
      <c r="AK922" s="666"/>
      <c r="AL922" s="666"/>
      <c r="AM922" s="666"/>
      <c r="AN922" s="666"/>
      <c r="AO922" s="666"/>
      <c r="AP922" s="666"/>
      <c r="AQ922" s="666"/>
      <c r="AR922" s="666"/>
      <c r="AS922" s="666"/>
      <c r="AT922" s="666"/>
      <c r="AU922" s="666"/>
    </row>
    <row r="923" ht="15.75" customHeight="1">
      <c r="A923" s="667">
        <v>44691.0</v>
      </c>
      <c r="B923" s="834">
        <v>4345500.0</v>
      </c>
      <c r="C923" s="589" t="s">
        <v>2346</v>
      </c>
      <c r="D923" s="641" t="s">
        <v>5038</v>
      </c>
      <c r="E923" s="669">
        <v>35000.0</v>
      </c>
      <c r="F923" s="589" t="s">
        <v>5066</v>
      </c>
      <c r="G923" s="626" t="s">
        <v>669</v>
      </c>
      <c r="H923" s="834" t="s">
        <v>199</v>
      </c>
      <c r="I923" s="626" t="s">
        <v>1228</v>
      </c>
      <c r="J923" s="741">
        <v>43703.0</v>
      </c>
      <c r="K923" s="750" t="s">
        <v>4383</v>
      </c>
      <c r="L923" s="666"/>
      <c r="M923" s="666"/>
      <c r="N923" s="666"/>
      <c r="O923" s="666"/>
      <c r="P923" s="666"/>
      <c r="Q923" s="666"/>
      <c r="R923" s="666"/>
      <c r="S923" s="666"/>
      <c r="T923" s="666"/>
      <c r="U923" s="666"/>
      <c r="V923" s="666"/>
      <c r="W923" s="666"/>
      <c r="X923" s="666"/>
      <c r="Y923" s="666"/>
      <c r="Z923" s="666"/>
      <c r="AA923" s="666"/>
      <c r="AB923" s="666"/>
      <c r="AC923" s="666"/>
      <c r="AD923" s="666"/>
      <c r="AE923" s="666"/>
      <c r="AF923" s="666"/>
      <c r="AG923" s="666"/>
      <c r="AH923" s="666"/>
      <c r="AI923" s="666"/>
      <c r="AJ923" s="666"/>
      <c r="AK923" s="666"/>
      <c r="AL923" s="666"/>
      <c r="AM923" s="666"/>
      <c r="AN923" s="666"/>
      <c r="AO923" s="666"/>
      <c r="AP923" s="666"/>
      <c r="AQ923" s="666"/>
      <c r="AR923" s="666"/>
      <c r="AS923" s="666"/>
      <c r="AT923" s="666"/>
      <c r="AU923" s="666"/>
    </row>
    <row r="924" ht="15.75" customHeight="1">
      <c r="A924" s="667">
        <v>44691.0</v>
      </c>
      <c r="B924" s="589">
        <v>3952119.0</v>
      </c>
      <c r="C924" s="589" t="s">
        <v>98</v>
      </c>
      <c r="D924" s="641" t="s">
        <v>5038</v>
      </c>
      <c r="E924" s="669">
        <v>7000.0</v>
      </c>
      <c r="F924" s="834" t="s">
        <v>1093</v>
      </c>
      <c r="G924" s="626" t="s">
        <v>120</v>
      </c>
      <c r="H924" s="834" t="s">
        <v>199</v>
      </c>
      <c r="I924" s="626" t="s">
        <v>4866</v>
      </c>
      <c r="J924" s="741">
        <v>44335.0</v>
      </c>
      <c r="K924" s="750" t="s">
        <v>2452</v>
      </c>
      <c r="L924" s="666"/>
      <c r="M924" s="666"/>
      <c r="N924" s="666"/>
      <c r="O924" s="666"/>
      <c r="P924" s="666"/>
      <c r="Q924" s="666"/>
      <c r="R924" s="666"/>
      <c r="S924" s="666"/>
      <c r="T924" s="666"/>
      <c r="U924" s="666"/>
      <c r="V924" s="666"/>
      <c r="W924" s="666"/>
      <c r="X924" s="666"/>
      <c r="Y924" s="666"/>
      <c r="Z924" s="666"/>
      <c r="AA924" s="666"/>
      <c r="AB924" s="666"/>
      <c r="AC924" s="666"/>
      <c r="AD924" s="666"/>
      <c r="AE924" s="666"/>
      <c r="AF924" s="666"/>
      <c r="AG924" s="666"/>
      <c r="AH924" s="666"/>
      <c r="AI924" s="666"/>
      <c r="AJ924" s="666"/>
      <c r="AK924" s="666"/>
      <c r="AL924" s="666"/>
      <c r="AM924" s="666"/>
      <c r="AN924" s="666"/>
      <c r="AO924" s="666"/>
      <c r="AP924" s="666"/>
      <c r="AQ924" s="666"/>
      <c r="AR924" s="666"/>
      <c r="AS924" s="666"/>
      <c r="AT924" s="666"/>
      <c r="AU924" s="666"/>
    </row>
    <row r="925" ht="15.75" customHeight="1">
      <c r="A925" s="667">
        <v>44691.0</v>
      </c>
      <c r="B925" s="589">
        <v>5681841.0</v>
      </c>
      <c r="C925" s="589" t="s">
        <v>98</v>
      </c>
      <c r="D925" s="641" t="s">
        <v>5038</v>
      </c>
      <c r="E925" s="669">
        <v>50000.0</v>
      </c>
      <c r="F925" s="834" t="s">
        <v>7581</v>
      </c>
      <c r="G925" s="626" t="s">
        <v>120</v>
      </c>
      <c r="H925" s="641" t="s">
        <v>54</v>
      </c>
      <c r="I925" s="641" t="s">
        <v>125</v>
      </c>
      <c r="J925" s="773">
        <v>44469.0</v>
      </c>
      <c r="K925" s="750" t="s">
        <v>2365</v>
      </c>
      <c r="L925" s="666"/>
      <c r="M925" s="666"/>
      <c r="N925" s="666"/>
      <c r="O925" s="666"/>
      <c r="P925" s="666"/>
      <c r="Q925" s="666"/>
      <c r="R925" s="666"/>
      <c r="S925" s="666"/>
      <c r="T925" s="666"/>
      <c r="U925" s="666"/>
      <c r="V925" s="666"/>
      <c r="W925" s="666"/>
      <c r="X925" s="666"/>
      <c r="Y925" s="666"/>
      <c r="Z925" s="666"/>
      <c r="AA925" s="666"/>
      <c r="AB925" s="666"/>
      <c r="AC925" s="666"/>
      <c r="AD925" s="666"/>
      <c r="AE925" s="666"/>
      <c r="AF925" s="666"/>
      <c r="AG925" s="666"/>
      <c r="AH925" s="666"/>
      <c r="AI925" s="666"/>
      <c r="AJ925" s="666"/>
      <c r="AK925" s="666"/>
      <c r="AL925" s="666"/>
      <c r="AM925" s="666"/>
      <c r="AN925" s="666"/>
      <c r="AO925" s="666"/>
      <c r="AP925" s="666"/>
      <c r="AQ925" s="666"/>
      <c r="AR925" s="666"/>
      <c r="AS925" s="666"/>
      <c r="AT925" s="666"/>
      <c r="AU925" s="666"/>
    </row>
    <row r="926" ht="15.75" customHeight="1">
      <c r="A926" s="667">
        <v>44691.0</v>
      </c>
      <c r="B926" s="589">
        <v>322629.0</v>
      </c>
      <c r="C926" s="589" t="s">
        <v>2346</v>
      </c>
      <c r="D926" s="641" t="s">
        <v>5038</v>
      </c>
      <c r="E926" s="669">
        <v>520000.0</v>
      </c>
      <c r="F926" s="834" t="s">
        <v>609</v>
      </c>
      <c r="G926" s="626" t="s">
        <v>120</v>
      </c>
      <c r="H926" s="641" t="s">
        <v>91</v>
      </c>
      <c r="I926" s="641" t="s">
        <v>521</v>
      </c>
      <c r="J926" s="773">
        <v>44267.0</v>
      </c>
      <c r="K926" s="750" t="s">
        <v>2341</v>
      </c>
      <c r="L926" s="666"/>
      <c r="M926" s="666"/>
      <c r="N926" s="666"/>
      <c r="O926" s="666"/>
      <c r="P926" s="666"/>
      <c r="Q926" s="666"/>
      <c r="R926" s="666"/>
      <c r="S926" s="666"/>
      <c r="T926" s="666"/>
      <c r="U926" s="666"/>
      <c r="V926" s="666"/>
      <c r="W926" s="666"/>
      <c r="X926" s="666"/>
      <c r="Y926" s="666"/>
      <c r="Z926" s="666"/>
      <c r="AA926" s="666"/>
      <c r="AB926" s="666"/>
      <c r="AC926" s="666"/>
      <c r="AD926" s="666"/>
      <c r="AE926" s="666"/>
      <c r="AF926" s="666"/>
      <c r="AG926" s="666"/>
      <c r="AH926" s="666"/>
      <c r="AI926" s="666"/>
      <c r="AJ926" s="666"/>
      <c r="AK926" s="666"/>
      <c r="AL926" s="666"/>
      <c r="AM926" s="666"/>
      <c r="AN926" s="666"/>
      <c r="AO926" s="666"/>
      <c r="AP926" s="666"/>
      <c r="AQ926" s="666"/>
      <c r="AR926" s="666"/>
      <c r="AS926" s="666"/>
      <c r="AT926" s="666"/>
      <c r="AU926" s="666"/>
    </row>
    <row r="927" ht="15.75" customHeight="1">
      <c r="A927" s="667">
        <v>44691.0</v>
      </c>
      <c r="B927" s="589" t="s">
        <v>6558</v>
      </c>
      <c r="C927" s="589" t="s">
        <v>2346</v>
      </c>
      <c r="D927" s="641" t="s">
        <v>5038</v>
      </c>
      <c r="E927" s="669">
        <v>30995.22</v>
      </c>
      <c r="F927" s="834" t="s">
        <v>4142</v>
      </c>
      <c r="G927" s="626" t="s">
        <v>120</v>
      </c>
      <c r="H927" s="834" t="s">
        <v>91</v>
      </c>
      <c r="I927" s="626" t="s">
        <v>521</v>
      </c>
      <c r="J927" s="741">
        <v>44280.0</v>
      </c>
      <c r="K927" s="750" t="s">
        <v>2341</v>
      </c>
      <c r="L927" s="666"/>
      <c r="M927" s="666"/>
      <c r="N927" s="666"/>
      <c r="O927" s="666"/>
      <c r="P927" s="666"/>
      <c r="Q927" s="666"/>
      <c r="R927" s="666"/>
      <c r="S927" s="666"/>
      <c r="T927" s="666"/>
      <c r="U927" s="666"/>
      <c r="V927" s="666"/>
      <c r="W927" s="666"/>
      <c r="X927" s="666"/>
      <c r="Y927" s="666"/>
      <c r="Z927" s="666"/>
      <c r="AA927" s="666"/>
      <c r="AB927" s="666"/>
      <c r="AC927" s="666"/>
      <c r="AD927" s="666"/>
      <c r="AE927" s="666"/>
      <c r="AF927" s="666"/>
      <c r="AG927" s="666"/>
      <c r="AH927" s="666"/>
      <c r="AI927" s="666"/>
      <c r="AJ927" s="666"/>
      <c r="AK927" s="666"/>
      <c r="AL927" s="666"/>
      <c r="AM927" s="666"/>
      <c r="AN927" s="666"/>
      <c r="AO927" s="666"/>
      <c r="AP927" s="666"/>
      <c r="AQ927" s="666"/>
      <c r="AR927" s="666"/>
      <c r="AS927" s="666"/>
      <c r="AT927" s="666"/>
      <c r="AU927" s="666"/>
    </row>
    <row r="928" ht="15.75" customHeight="1">
      <c r="A928" s="667">
        <v>44692.0</v>
      </c>
      <c r="B928" s="589">
        <v>461432.0</v>
      </c>
      <c r="C928" s="589" t="s">
        <v>2346</v>
      </c>
      <c r="D928" s="641" t="s">
        <v>5038</v>
      </c>
      <c r="E928" s="669">
        <v>89300.0</v>
      </c>
      <c r="F928" s="834" t="s">
        <v>1593</v>
      </c>
      <c r="G928" s="626" t="s">
        <v>120</v>
      </c>
      <c r="H928" s="641" t="s">
        <v>91</v>
      </c>
      <c r="I928" s="641" t="s">
        <v>193</v>
      </c>
      <c r="J928" s="773">
        <v>44319.0</v>
      </c>
      <c r="K928" s="750" t="s">
        <v>2372</v>
      </c>
      <c r="L928" s="666"/>
      <c r="M928" s="666"/>
      <c r="N928" s="666"/>
      <c r="O928" s="666"/>
      <c r="P928" s="666"/>
      <c r="Q928" s="666"/>
      <c r="R928" s="666"/>
      <c r="S928" s="666"/>
      <c r="T928" s="666"/>
      <c r="U928" s="666"/>
      <c r="V928" s="666"/>
      <c r="W928" s="666"/>
      <c r="X928" s="666"/>
      <c r="Y928" s="666"/>
      <c r="Z928" s="666"/>
      <c r="AA928" s="666"/>
      <c r="AB928" s="666"/>
      <c r="AC928" s="666"/>
      <c r="AD928" s="666"/>
      <c r="AE928" s="666"/>
      <c r="AF928" s="666"/>
      <c r="AG928" s="666"/>
      <c r="AH928" s="666"/>
      <c r="AI928" s="666"/>
      <c r="AJ928" s="666"/>
      <c r="AK928" s="666"/>
      <c r="AL928" s="666"/>
      <c r="AM928" s="666"/>
      <c r="AN928" s="666"/>
      <c r="AO928" s="666"/>
      <c r="AP928" s="666"/>
      <c r="AQ928" s="666"/>
      <c r="AR928" s="666"/>
      <c r="AS928" s="666"/>
      <c r="AT928" s="666"/>
      <c r="AU928" s="666"/>
    </row>
    <row r="929" ht="15.75" customHeight="1">
      <c r="A929" s="667">
        <v>44692.0</v>
      </c>
      <c r="B929" s="668" t="s">
        <v>7643</v>
      </c>
      <c r="C929" s="589" t="s">
        <v>98</v>
      </c>
      <c r="D929" s="641" t="s">
        <v>5038</v>
      </c>
      <c r="E929" s="669">
        <v>30000.0</v>
      </c>
      <c r="F929" s="641" t="s">
        <v>6087</v>
      </c>
      <c r="G929" s="719" t="s">
        <v>120</v>
      </c>
      <c r="H929" s="641" t="s">
        <v>199</v>
      </c>
      <c r="I929" s="667" t="s">
        <v>4797</v>
      </c>
      <c r="J929" s="667">
        <v>44594.0</v>
      </c>
      <c r="K929" s="641" t="s">
        <v>2356</v>
      </c>
      <c r="L929" s="666"/>
      <c r="M929" s="666"/>
      <c r="N929" s="666"/>
      <c r="O929" s="666"/>
      <c r="P929" s="666"/>
      <c r="Q929" s="666"/>
      <c r="R929" s="666"/>
      <c r="S929" s="666"/>
      <c r="T929" s="666"/>
      <c r="U929" s="666"/>
      <c r="V929" s="666"/>
      <c r="W929" s="666"/>
      <c r="X929" s="666"/>
      <c r="Y929" s="666"/>
      <c r="Z929" s="666"/>
      <c r="AA929" s="666"/>
      <c r="AB929" s="666"/>
      <c r="AC929" s="666"/>
      <c r="AD929" s="666"/>
      <c r="AE929" s="666"/>
      <c r="AF929" s="666"/>
      <c r="AG929" s="666"/>
      <c r="AH929" s="666"/>
      <c r="AI929" s="666"/>
      <c r="AJ929" s="666"/>
      <c r="AK929" s="666"/>
      <c r="AL929" s="666"/>
      <c r="AM929" s="666"/>
      <c r="AN929" s="666"/>
      <c r="AO929" s="666"/>
      <c r="AP929" s="666"/>
      <c r="AQ929" s="666"/>
      <c r="AR929" s="666"/>
      <c r="AS929" s="666"/>
      <c r="AT929" s="666"/>
      <c r="AU929" s="666"/>
    </row>
    <row r="930" ht="15.75" customHeight="1">
      <c r="A930" s="667">
        <v>44693.0</v>
      </c>
      <c r="B930" s="589">
        <v>2214585.0</v>
      </c>
      <c r="C930" s="589" t="s">
        <v>98</v>
      </c>
      <c r="D930" s="641" t="s">
        <v>5038</v>
      </c>
      <c r="E930" s="669">
        <v>296037.19</v>
      </c>
      <c r="F930" s="834" t="s">
        <v>6747</v>
      </c>
      <c r="G930" s="626" t="s">
        <v>255</v>
      </c>
      <c r="H930" s="641" t="s">
        <v>199</v>
      </c>
      <c r="I930" s="641" t="s">
        <v>3606</v>
      </c>
      <c r="J930" s="773">
        <v>44085.0</v>
      </c>
      <c r="K930" s="750" t="s">
        <v>2319</v>
      </c>
      <c r="L930" s="666"/>
      <c r="M930" s="666"/>
      <c r="N930" s="666"/>
      <c r="O930" s="666"/>
      <c r="P930" s="666"/>
      <c r="Q930" s="666"/>
      <c r="R930" s="666"/>
      <c r="S930" s="666"/>
      <c r="T930" s="666"/>
      <c r="U930" s="666"/>
      <c r="V930" s="666"/>
      <c r="W930" s="666"/>
      <c r="X930" s="666"/>
      <c r="Y930" s="666"/>
      <c r="Z930" s="666"/>
      <c r="AA930" s="666"/>
      <c r="AB930" s="666"/>
      <c r="AC930" s="666"/>
      <c r="AD930" s="666"/>
      <c r="AE930" s="666"/>
      <c r="AF930" s="666"/>
      <c r="AG930" s="666"/>
      <c r="AH930" s="666"/>
      <c r="AI930" s="666"/>
      <c r="AJ930" s="666"/>
      <c r="AK930" s="666"/>
      <c r="AL930" s="666"/>
      <c r="AM930" s="666"/>
      <c r="AN930" s="666"/>
      <c r="AO930" s="666"/>
      <c r="AP930" s="666"/>
      <c r="AQ930" s="666"/>
      <c r="AR930" s="666"/>
      <c r="AS930" s="666"/>
      <c r="AT930" s="666"/>
      <c r="AU930" s="666"/>
    </row>
    <row r="931" ht="15.75" customHeight="1">
      <c r="A931" s="667">
        <v>44693.0</v>
      </c>
      <c r="B931" s="589">
        <v>4886679.0</v>
      </c>
      <c r="C931" s="589" t="s">
        <v>98</v>
      </c>
      <c r="D931" s="641" t="s">
        <v>5038</v>
      </c>
      <c r="E931" s="669">
        <v>187153.1</v>
      </c>
      <c r="F931" s="834" t="s">
        <v>6755</v>
      </c>
      <c r="G931" s="626" t="s">
        <v>255</v>
      </c>
      <c r="H931" s="641" t="s">
        <v>199</v>
      </c>
      <c r="I931" s="641" t="s">
        <v>548</v>
      </c>
      <c r="J931" s="641">
        <v>0.0</v>
      </c>
      <c r="K931" s="750" t="s">
        <v>2452</v>
      </c>
      <c r="L931" s="666"/>
      <c r="M931" s="666"/>
      <c r="N931" s="666"/>
      <c r="O931" s="666"/>
      <c r="P931" s="666"/>
      <c r="Q931" s="666"/>
      <c r="R931" s="666"/>
      <c r="S931" s="666"/>
      <c r="T931" s="666"/>
      <c r="U931" s="666"/>
      <c r="V931" s="666"/>
      <c r="W931" s="666"/>
      <c r="X931" s="666"/>
      <c r="Y931" s="666"/>
      <c r="Z931" s="666"/>
      <c r="AA931" s="666"/>
      <c r="AB931" s="666"/>
      <c r="AC931" s="666"/>
      <c r="AD931" s="666"/>
      <c r="AE931" s="666"/>
      <c r="AF931" s="666"/>
      <c r="AG931" s="666"/>
      <c r="AH931" s="666"/>
      <c r="AI931" s="666"/>
      <c r="AJ931" s="666"/>
      <c r="AK931" s="666"/>
      <c r="AL931" s="666"/>
      <c r="AM931" s="666"/>
      <c r="AN931" s="666"/>
      <c r="AO931" s="666"/>
      <c r="AP931" s="666"/>
      <c r="AQ931" s="666"/>
      <c r="AR931" s="666"/>
      <c r="AS931" s="666"/>
      <c r="AT931" s="666"/>
      <c r="AU931" s="666"/>
    </row>
    <row r="932" ht="15.75" customHeight="1">
      <c r="A932" s="667">
        <v>44693.0</v>
      </c>
      <c r="B932" s="589">
        <v>4084071.0</v>
      </c>
      <c r="C932" s="589" t="s">
        <v>98</v>
      </c>
      <c r="D932" s="641" t="s">
        <v>5038</v>
      </c>
      <c r="E932" s="669">
        <v>15000.0</v>
      </c>
      <c r="F932" s="834" t="s">
        <v>2354</v>
      </c>
      <c r="G932" s="626" t="s">
        <v>120</v>
      </c>
      <c r="H932" s="834" t="s">
        <v>199</v>
      </c>
      <c r="I932" s="626" t="s">
        <v>2355</v>
      </c>
      <c r="J932" s="741">
        <v>44326.0</v>
      </c>
      <c r="K932" s="750" t="s">
        <v>2341</v>
      </c>
      <c r="L932" s="666"/>
      <c r="M932" s="666"/>
      <c r="N932" s="666"/>
      <c r="O932" s="666"/>
      <c r="P932" s="666"/>
      <c r="Q932" s="666"/>
      <c r="R932" s="666"/>
      <c r="S932" s="666"/>
      <c r="T932" s="666"/>
      <c r="U932" s="666"/>
      <c r="V932" s="666"/>
      <c r="W932" s="666"/>
      <c r="X932" s="666"/>
      <c r="Y932" s="666"/>
      <c r="Z932" s="666"/>
      <c r="AA932" s="666"/>
      <c r="AB932" s="666"/>
      <c r="AC932" s="666"/>
      <c r="AD932" s="666"/>
      <c r="AE932" s="666"/>
      <c r="AF932" s="666"/>
      <c r="AG932" s="666"/>
      <c r="AH932" s="666"/>
      <c r="AI932" s="666"/>
      <c r="AJ932" s="666"/>
      <c r="AK932" s="666"/>
      <c r="AL932" s="666"/>
      <c r="AM932" s="666"/>
      <c r="AN932" s="666"/>
      <c r="AO932" s="666"/>
      <c r="AP932" s="666"/>
      <c r="AQ932" s="666"/>
      <c r="AR932" s="666"/>
      <c r="AS932" s="666"/>
      <c r="AT932" s="666"/>
      <c r="AU932" s="666"/>
    </row>
    <row r="933" ht="15.75" customHeight="1">
      <c r="A933" s="667">
        <v>44693.0</v>
      </c>
      <c r="B933" s="714" t="s">
        <v>6215</v>
      </c>
      <c r="C933" s="715" t="s">
        <v>2346</v>
      </c>
      <c r="D933" s="641" t="s">
        <v>5038</v>
      </c>
      <c r="E933" s="716">
        <v>10000.0</v>
      </c>
      <c r="F933" s="641" t="s">
        <v>5675</v>
      </c>
      <c r="G933" s="667" t="s">
        <v>120</v>
      </c>
      <c r="H933" s="667" t="s">
        <v>91</v>
      </c>
      <c r="I933" s="667" t="s">
        <v>699</v>
      </c>
      <c r="J933" s="667">
        <v>44266.0</v>
      </c>
      <c r="K933" s="667" t="s">
        <v>2365</v>
      </c>
      <c r="L933" s="666"/>
      <c r="M933" s="666"/>
      <c r="N933" s="666"/>
      <c r="O933" s="666"/>
      <c r="P933" s="666"/>
      <c r="Q933" s="666"/>
      <c r="R933" s="666"/>
      <c r="S933" s="666"/>
      <c r="T933" s="666"/>
      <c r="U933" s="666"/>
      <c r="V933" s="666"/>
      <c r="W933" s="666"/>
      <c r="X933" s="666"/>
      <c r="Y933" s="666"/>
      <c r="Z933" s="666"/>
      <c r="AA933" s="666"/>
      <c r="AB933" s="666"/>
      <c r="AC933" s="666"/>
      <c r="AD933" s="666"/>
      <c r="AE933" s="666"/>
      <c r="AF933" s="666"/>
      <c r="AG933" s="666"/>
      <c r="AH933" s="666"/>
      <c r="AI933" s="666"/>
      <c r="AJ933" s="666"/>
      <c r="AK933" s="666"/>
      <c r="AL933" s="666"/>
      <c r="AM933" s="666"/>
      <c r="AN933" s="666"/>
      <c r="AO933" s="666"/>
      <c r="AP933" s="666"/>
      <c r="AQ933" s="666"/>
      <c r="AR933" s="666"/>
      <c r="AS933" s="666"/>
      <c r="AT933" s="666"/>
      <c r="AU933" s="666"/>
    </row>
    <row r="934" ht="15.75" customHeight="1">
      <c r="A934" s="667">
        <v>44694.0</v>
      </c>
      <c r="B934" s="589">
        <v>4401235.0</v>
      </c>
      <c r="C934" s="589" t="s">
        <v>98</v>
      </c>
      <c r="D934" s="641" t="s">
        <v>5038</v>
      </c>
      <c r="E934" s="669">
        <v>59000.0</v>
      </c>
      <c r="F934" s="834" t="s">
        <v>8041</v>
      </c>
      <c r="G934" s="760" t="s">
        <v>120</v>
      </c>
      <c r="H934" s="760" t="s">
        <v>199</v>
      </c>
      <c r="I934" s="760" t="s">
        <v>4081</v>
      </c>
      <c r="J934" s="741">
        <v>44089.0</v>
      </c>
      <c r="K934" s="750" t="s">
        <v>2356</v>
      </c>
      <c r="L934" s="666"/>
      <c r="M934" s="666"/>
      <c r="N934" s="666"/>
      <c r="O934" s="666"/>
      <c r="P934" s="666"/>
      <c r="Q934" s="666"/>
      <c r="R934" s="666"/>
      <c r="S934" s="666"/>
      <c r="T934" s="666"/>
      <c r="U934" s="666"/>
      <c r="V934" s="666"/>
      <c r="W934" s="666"/>
      <c r="X934" s="666"/>
      <c r="Y934" s="666"/>
      <c r="Z934" s="666"/>
      <c r="AA934" s="666"/>
      <c r="AB934" s="666"/>
      <c r="AC934" s="666"/>
      <c r="AD934" s="666"/>
      <c r="AE934" s="666"/>
      <c r="AF934" s="666"/>
      <c r="AG934" s="666"/>
      <c r="AH934" s="666"/>
      <c r="AI934" s="666"/>
      <c r="AJ934" s="666"/>
      <c r="AK934" s="666"/>
      <c r="AL934" s="666"/>
      <c r="AM934" s="666"/>
      <c r="AN934" s="666"/>
      <c r="AO934" s="666"/>
      <c r="AP934" s="666"/>
      <c r="AQ934" s="666"/>
      <c r="AR934" s="666"/>
      <c r="AS934" s="666"/>
      <c r="AT934" s="666"/>
      <c r="AU934" s="666"/>
    </row>
    <row r="935" ht="15.75" customHeight="1">
      <c r="A935" s="667">
        <v>44694.0</v>
      </c>
      <c r="B935" s="589">
        <v>7438369.0</v>
      </c>
      <c r="C935" s="589" t="s">
        <v>98</v>
      </c>
      <c r="D935" s="641" t="s">
        <v>694</v>
      </c>
      <c r="E935" s="669">
        <v>28617.08</v>
      </c>
      <c r="F935" s="834" t="s">
        <v>6342</v>
      </c>
      <c r="G935" s="626" t="s">
        <v>255</v>
      </c>
      <c r="H935" s="834" t="s">
        <v>199</v>
      </c>
      <c r="I935" s="626" t="s">
        <v>2489</v>
      </c>
      <c r="J935" s="741">
        <v>44551.0</v>
      </c>
      <c r="K935" s="750" t="s">
        <v>2372</v>
      </c>
      <c r="L935" s="666"/>
      <c r="M935" s="666"/>
      <c r="N935" s="666"/>
      <c r="O935" s="666"/>
      <c r="P935" s="666"/>
      <c r="Q935" s="666"/>
      <c r="R935" s="666"/>
      <c r="S935" s="666"/>
      <c r="T935" s="666"/>
      <c r="U935" s="666"/>
      <c r="V935" s="666"/>
      <c r="W935" s="666"/>
      <c r="X935" s="666"/>
      <c r="Y935" s="666"/>
      <c r="Z935" s="666"/>
      <c r="AA935" s="666"/>
      <c r="AB935" s="666"/>
      <c r="AC935" s="666"/>
      <c r="AD935" s="666"/>
      <c r="AE935" s="666"/>
      <c r="AF935" s="666"/>
      <c r="AG935" s="666"/>
      <c r="AH935" s="666"/>
      <c r="AI935" s="666"/>
      <c r="AJ935" s="666"/>
      <c r="AK935" s="666"/>
      <c r="AL935" s="666"/>
      <c r="AM935" s="666"/>
      <c r="AN935" s="666"/>
      <c r="AO935" s="666"/>
      <c r="AP935" s="666"/>
      <c r="AQ935" s="666"/>
      <c r="AR935" s="666"/>
      <c r="AS935" s="666"/>
      <c r="AT935" s="666"/>
      <c r="AU935" s="666"/>
    </row>
    <row r="936" ht="15.75" customHeight="1">
      <c r="A936" s="667">
        <v>44694.0</v>
      </c>
      <c r="B936" s="589">
        <v>7542389.0</v>
      </c>
      <c r="C936" s="589" t="s">
        <v>98</v>
      </c>
      <c r="D936" s="641" t="s">
        <v>694</v>
      </c>
      <c r="E936" s="669">
        <v>131457.67</v>
      </c>
      <c r="F936" s="834" t="s">
        <v>6342</v>
      </c>
      <c r="G936" s="626" t="s">
        <v>255</v>
      </c>
      <c r="H936" s="834" t="s">
        <v>199</v>
      </c>
      <c r="I936" s="626" t="s">
        <v>2489</v>
      </c>
      <c r="J936" s="741">
        <v>44579.0</v>
      </c>
      <c r="K936" s="750" t="s">
        <v>2356</v>
      </c>
      <c r="L936" s="666"/>
      <c r="M936" s="666"/>
      <c r="N936" s="666"/>
      <c r="O936" s="666"/>
      <c r="P936" s="666"/>
      <c r="Q936" s="666"/>
      <c r="R936" s="666"/>
      <c r="S936" s="666"/>
      <c r="T936" s="666"/>
      <c r="U936" s="666"/>
      <c r="V936" s="666"/>
      <c r="W936" s="666"/>
      <c r="X936" s="666"/>
      <c r="Y936" s="666"/>
      <c r="Z936" s="666"/>
      <c r="AA936" s="666"/>
      <c r="AB936" s="666"/>
      <c r="AC936" s="666"/>
      <c r="AD936" s="666"/>
      <c r="AE936" s="666"/>
      <c r="AF936" s="666"/>
      <c r="AG936" s="666"/>
      <c r="AH936" s="666"/>
      <c r="AI936" s="666"/>
      <c r="AJ936" s="666"/>
      <c r="AK936" s="666"/>
      <c r="AL936" s="666"/>
      <c r="AM936" s="666"/>
      <c r="AN936" s="666"/>
      <c r="AO936" s="666"/>
      <c r="AP936" s="666"/>
      <c r="AQ936" s="666"/>
      <c r="AR936" s="666"/>
      <c r="AS936" s="666"/>
      <c r="AT936" s="666"/>
      <c r="AU936" s="666"/>
    </row>
    <row r="937" ht="15.75" customHeight="1">
      <c r="A937" s="667">
        <v>44694.0</v>
      </c>
      <c r="B937" s="589">
        <v>461432.0</v>
      </c>
      <c r="C937" s="589" t="s">
        <v>2346</v>
      </c>
      <c r="D937" s="641" t="s">
        <v>5038</v>
      </c>
      <c r="E937" s="669">
        <v>1000.0</v>
      </c>
      <c r="F937" s="834" t="s">
        <v>1593</v>
      </c>
      <c r="G937" s="626" t="s">
        <v>120</v>
      </c>
      <c r="H937" s="641" t="s">
        <v>91</v>
      </c>
      <c r="I937" s="641" t="s">
        <v>193</v>
      </c>
      <c r="J937" s="773">
        <v>44319.0</v>
      </c>
      <c r="K937" s="750" t="s">
        <v>2372</v>
      </c>
      <c r="L937" s="666"/>
      <c r="M937" s="666"/>
      <c r="N937" s="666"/>
      <c r="O937" s="666"/>
      <c r="P937" s="666"/>
      <c r="Q937" s="666"/>
      <c r="R937" s="666"/>
      <c r="S937" s="666"/>
      <c r="T937" s="666"/>
      <c r="U937" s="666"/>
      <c r="V937" s="666"/>
      <c r="W937" s="666"/>
      <c r="X937" s="666"/>
      <c r="Y937" s="666"/>
      <c r="Z937" s="666"/>
      <c r="AA937" s="666"/>
      <c r="AB937" s="666"/>
      <c r="AC937" s="666"/>
      <c r="AD937" s="666"/>
      <c r="AE937" s="666"/>
      <c r="AF937" s="666"/>
      <c r="AG937" s="666"/>
      <c r="AH937" s="666"/>
      <c r="AI937" s="666"/>
      <c r="AJ937" s="666"/>
      <c r="AK937" s="666"/>
      <c r="AL937" s="666"/>
      <c r="AM937" s="666"/>
      <c r="AN937" s="666"/>
      <c r="AO937" s="666"/>
      <c r="AP937" s="666"/>
      <c r="AQ937" s="666"/>
      <c r="AR937" s="666"/>
      <c r="AS937" s="666"/>
      <c r="AT937" s="666"/>
      <c r="AU937" s="666"/>
    </row>
    <row r="938" ht="15.75" customHeight="1">
      <c r="A938" s="667">
        <v>44694.0</v>
      </c>
      <c r="B938" s="834" t="s">
        <v>7678</v>
      </c>
      <c r="C938" s="589" t="s">
        <v>2346</v>
      </c>
      <c r="D938" s="641" t="s">
        <v>5038</v>
      </c>
      <c r="E938" s="669">
        <v>20000.0</v>
      </c>
      <c r="F938" s="589" t="s">
        <v>7828</v>
      </c>
      <c r="G938" s="626" t="s">
        <v>120</v>
      </c>
      <c r="H938" s="834" t="s">
        <v>91</v>
      </c>
      <c r="I938" s="626" t="s">
        <v>521</v>
      </c>
      <c r="J938" s="741">
        <v>44263.0</v>
      </c>
      <c r="K938" s="750" t="s">
        <v>2365</v>
      </c>
      <c r="L938" s="666"/>
      <c r="M938" s="666"/>
      <c r="N938" s="666"/>
      <c r="O938" s="666"/>
      <c r="P938" s="666"/>
      <c r="Q938" s="666"/>
      <c r="R938" s="666"/>
      <c r="S938" s="666"/>
      <c r="T938" s="666"/>
      <c r="U938" s="666"/>
      <c r="V938" s="666"/>
      <c r="W938" s="666"/>
      <c r="X938" s="666"/>
      <c r="Y938" s="666"/>
      <c r="Z938" s="666"/>
      <c r="AA938" s="666"/>
      <c r="AB938" s="666"/>
      <c r="AC938" s="666"/>
      <c r="AD938" s="666"/>
      <c r="AE938" s="666"/>
      <c r="AF938" s="666"/>
      <c r="AG938" s="666"/>
      <c r="AH938" s="666"/>
      <c r="AI938" s="666"/>
      <c r="AJ938" s="666"/>
      <c r="AK938" s="666"/>
      <c r="AL938" s="666"/>
      <c r="AM938" s="666"/>
      <c r="AN938" s="666"/>
      <c r="AO938" s="666"/>
      <c r="AP938" s="666"/>
      <c r="AQ938" s="666"/>
      <c r="AR938" s="666"/>
      <c r="AS938" s="666"/>
      <c r="AT938" s="666"/>
      <c r="AU938" s="666"/>
    </row>
    <row r="939" ht="15.75" customHeight="1">
      <c r="A939" s="667">
        <v>44698.0</v>
      </c>
      <c r="B939" s="589">
        <v>320910.0</v>
      </c>
      <c r="C939" s="589" t="s">
        <v>2346</v>
      </c>
      <c r="D939" s="641" t="s">
        <v>5038</v>
      </c>
      <c r="E939" s="669">
        <v>54000.0</v>
      </c>
      <c r="F939" s="834" t="s">
        <v>8047</v>
      </c>
      <c r="G939" s="626" t="s">
        <v>120</v>
      </c>
      <c r="H939" s="834" t="s">
        <v>91</v>
      </c>
      <c r="I939" s="626" t="s">
        <v>521</v>
      </c>
      <c r="J939" s="741">
        <v>44328.0</v>
      </c>
      <c r="K939" s="750" t="s">
        <v>2341</v>
      </c>
      <c r="L939" s="666"/>
      <c r="M939" s="666"/>
      <c r="N939" s="666"/>
      <c r="O939" s="666"/>
      <c r="P939" s="666"/>
      <c r="Q939" s="666"/>
      <c r="R939" s="666"/>
      <c r="S939" s="666"/>
      <c r="T939" s="666"/>
      <c r="U939" s="666"/>
      <c r="V939" s="666"/>
      <c r="W939" s="666"/>
      <c r="X939" s="666"/>
      <c r="Y939" s="666"/>
      <c r="Z939" s="666"/>
      <c r="AA939" s="666"/>
      <c r="AB939" s="666"/>
      <c r="AC939" s="666"/>
      <c r="AD939" s="666"/>
      <c r="AE939" s="666"/>
      <c r="AF939" s="666"/>
      <c r="AG939" s="666"/>
      <c r="AH939" s="666"/>
      <c r="AI939" s="666"/>
      <c r="AJ939" s="666"/>
      <c r="AK939" s="666"/>
      <c r="AL939" s="666"/>
      <c r="AM939" s="666"/>
      <c r="AN939" s="666"/>
      <c r="AO939" s="666"/>
      <c r="AP939" s="666"/>
      <c r="AQ939" s="666"/>
      <c r="AR939" s="666"/>
      <c r="AS939" s="666"/>
      <c r="AT939" s="666"/>
      <c r="AU939" s="666"/>
    </row>
    <row r="940" ht="15.75" customHeight="1">
      <c r="A940" s="757">
        <v>44701.0</v>
      </c>
      <c r="B940" s="758" t="s">
        <v>6897</v>
      </c>
      <c r="C940" s="759" t="s">
        <v>2346</v>
      </c>
      <c r="D940" s="760" t="s">
        <v>694</v>
      </c>
      <c r="E940" s="761">
        <v>120119.71</v>
      </c>
      <c r="F940" s="760" t="s">
        <v>6658</v>
      </c>
      <c r="G940" s="760" t="s">
        <v>120</v>
      </c>
      <c r="H940" s="760" t="s">
        <v>91</v>
      </c>
      <c r="I940" s="760" t="s">
        <v>193</v>
      </c>
      <c r="J940" s="762">
        <v>44391.0</v>
      </c>
      <c r="K940" s="759" t="s">
        <v>2341</v>
      </c>
      <c r="L940" s="666"/>
      <c r="M940" s="666"/>
      <c r="N940" s="666"/>
      <c r="O940" s="666"/>
      <c r="P940" s="666"/>
      <c r="Q940" s="666"/>
      <c r="R940" s="666"/>
      <c r="S940" s="666"/>
      <c r="T940" s="666"/>
      <c r="U940" s="666"/>
      <c r="V940" s="666"/>
      <c r="W940" s="666"/>
      <c r="X940" s="666"/>
      <c r="Y940" s="666"/>
      <c r="Z940" s="666"/>
      <c r="AA940" s="666"/>
      <c r="AB940" s="666"/>
      <c r="AC940" s="666"/>
      <c r="AD940" s="666"/>
      <c r="AE940" s="666"/>
      <c r="AF940" s="666"/>
      <c r="AG940" s="666"/>
      <c r="AH940" s="666"/>
      <c r="AI940" s="666"/>
      <c r="AJ940" s="666"/>
      <c r="AK940" s="666"/>
      <c r="AL940" s="666"/>
      <c r="AM940" s="666"/>
      <c r="AN940" s="666"/>
      <c r="AO940" s="666"/>
      <c r="AP940" s="666"/>
      <c r="AQ940" s="666"/>
      <c r="AR940" s="666"/>
      <c r="AS940" s="666"/>
      <c r="AT940" s="666"/>
      <c r="AU940" s="666"/>
    </row>
    <row r="941" ht="15.75" customHeight="1">
      <c r="A941" s="667">
        <v>44704.0</v>
      </c>
      <c r="B941" s="589">
        <v>461432.0</v>
      </c>
      <c r="C941" s="589" t="s">
        <v>2346</v>
      </c>
      <c r="D941" s="641" t="s">
        <v>5038</v>
      </c>
      <c r="E941" s="669">
        <v>12200.0</v>
      </c>
      <c r="F941" s="834" t="s">
        <v>1593</v>
      </c>
      <c r="G941" s="626" t="s">
        <v>120</v>
      </c>
      <c r="H941" s="641" t="s">
        <v>91</v>
      </c>
      <c r="I941" s="641" t="s">
        <v>193</v>
      </c>
      <c r="J941" s="773">
        <v>44319.0</v>
      </c>
      <c r="K941" s="750" t="s">
        <v>2372</v>
      </c>
      <c r="L941" s="666"/>
      <c r="M941" s="666"/>
      <c r="N941" s="666"/>
      <c r="O941" s="666"/>
      <c r="P941" s="666"/>
      <c r="Q941" s="666"/>
      <c r="R941" s="666"/>
      <c r="S941" s="666"/>
      <c r="T941" s="666"/>
      <c r="U941" s="666"/>
      <c r="V941" s="666"/>
      <c r="W941" s="666"/>
      <c r="X941" s="666"/>
      <c r="Y941" s="666"/>
      <c r="Z941" s="666"/>
      <c r="AA941" s="666"/>
      <c r="AB941" s="666"/>
      <c r="AC941" s="666"/>
      <c r="AD941" s="666"/>
      <c r="AE941" s="666"/>
      <c r="AF941" s="666"/>
      <c r="AG941" s="666"/>
      <c r="AH941" s="666"/>
      <c r="AI941" s="666"/>
      <c r="AJ941" s="666"/>
      <c r="AK941" s="666"/>
      <c r="AL941" s="666"/>
      <c r="AM941" s="666"/>
      <c r="AN941" s="666"/>
      <c r="AO941" s="666"/>
      <c r="AP941" s="666"/>
      <c r="AQ941" s="666"/>
      <c r="AR941" s="666"/>
      <c r="AS941" s="666"/>
      <c r="AT941" s="666"/>
      <c r="AU941" s="666"/>
    </row>
    <row r="942" ht="15.75" customHeight="1">
      <c r="A942" s="667">
        <v>44704.0</v>
      </c>
      <c r="B942" s="589">
        <v>5593800.0</v>
      </c>
      <c r="C942" s="589" t="s">
        <v>98</v>
      </c>
      <c r="D942" s="641" t="s">
        <v>694</v>
      </c>
      <c r="E942" s="669">
        <v>97983.24</v>
      </c>
      <c r="F942" s="834" t="s">
        <v>8052</v>
      </c>
      <c r="G942" s="626" t="s">
        <v>120</v>
      </c>
      <c r="H942" s="834" t="s">
        <v>54</v>
      </c>
      <c r="I942" s="626" t="s">
        <v>379</v>
      </c>
      <c r="J942" s="741">
        <v>44344.0</v>
      </c>
      <c r="K942" s="589" t="s">
        <v>2319</v>
      </c>
      <c r="L942" s="666"/>
      <c r="M942" s="666"/>
      <c r="N942" s="666"/>
      <c r="O942" s="666"/>
      <c r="P942" s="666"/>
      <c r="Q942" s="666"/>
      <c r="R942" s="666"/>
      <c r="S942" s="666"/>
      <c r="T942" s="666"/>
      <c r="U942" s="666"/>
      <c r="V942" s="666"/>
      <c r="W942" s="666"/>
      <c r="X942" s="666"/>
      <c r="Y942" s="666"/>
      <c r="Z942" s="666"/>
      <c r="AA942" s="666"/>
      <c r="AB942" s="666"/>
      <c r="AC942" s="666"/>
      <c r="AD942" s="666"/>
      <c r="AE942" s="666"/>
      <c r="AF942" s="666"/>
      <c r="AG942" s="666"/>
      <c r="AH942" s="666"/>
      <c r="AI942" s="666"/>
      <c r="AJ942" s="666"/>
      <c r="AK942" s="666"/>
      <c r="AL942" s="666"/>
      <c r="AM942" s="666"/>
      <c r="AN942" s="666"/>
      <c r="AO942" s="666"/>
      <c r="AP942" s="666"/>
      <c r="AQ942" s="666"/>
      <c r="AR942" s="666"/>
      <c r="AS942" s="666"/>
      <c r="AT942" s="666"/>
      <c r="AU942" s="666"/>
    </row>
    <row r="943" ht="15.75" customHeight="1">
      <c r="A943" s="667">
        <v>44704.0</v>
      </c>
      <c r="B943" s="589">
        <v>6986262.0</v>
      </c>
      <c r="C943" s="589" t="s">
        <v>98</v>
      </c>
      <c r="D943" s="641" t="s">
        <v>5038</v>
      </c>
      <c r="E943" s="669">
        <v>20000.0</v>
      </c>
      <c r="F943" s="834" t="s">
        <v>4790</v>
      </c>
      <c r="G943" s="626" t="s">
        <v>120</v>
      </c>
      <c r="H943" s="834" t="s">
        <v>54</v>
      </c>
      <c r="I943" s="626" t="s">
        <v>4057</v>
      </c>
      <c r="J943" s="741">
        <v>44503.0</v>
      </c>
      <c r="K943" s="589" t="s">
        <v>2452</v>
      </c>
      <c r="L943" s="666"/>
      <c r="M943" s="666"/>
      <c r="N943" s="666"/>
      <c r="O943" s="666"/>
      <c r="P943" s="666"/>
      <c r="Q943" s="666"/>
      <c r="R943" s="666"/>
      <c r="S943" s="666"/>
      <c r="T943" s="666"/>
      <c r="U943" s="666"/>
      <c r="V943" s="666"/>
      <c r="W943" s="666"/>
      <c r="X943" s="666"/>
      <c r="Y943" s="666"/>
      <c r="Z943" s="666"/>
      <c r="AA943" s="666"/>
      <c r="AB943" s="666"/>
      <c r="AC943" s="666"/>
      <c r="AD943" s="666"/>
      <c r="AE943" s="666"/>
      <c r="AF943" s="666"/>
      <c r="AG943" s="666"/>
      <c r="AH943" s="666"/>
      <c r="AI943" s="666"/>
      <c r="AJ943" s="666"/>
      <c r="AK943" s="666"/>
      <c r="AL943" s="666"/>
      <c r="AM943" s="666"/>
      <c r="AN943" s="666"/>
      <c r="AO943" s="666"/>
      <c r="AP943" s="666"/>
      <c r="AQ943" s="666"/>
      <c r="AR943" s="666"/>
      <c r="AS943" s="666"/>
      <c r="AT943" s="666"/>
      <c r="AU943" s="666"/>
    </row>
    <row r="944" ht="15.75" customHeight="1">
      <c r="A944" s="667">
        <v>44705.0</v>
      </c>
      <c r="B944" s="882" t="s">
        <v>8057</v>
      </c>
      <c r="C944" s="866" t="s">
        <v>98</v>
      </c>
      <c r="D944" s="867" t="s">
        <v>5038</v>
      </c>
      <c r="E944" s="868">
        <v>150000.0</v>
      </c>
      <c r="F944" s="883" t="s">
        <v>3895</v>
      </c>
      <c r="G944" s="816" t="s">
        <v>120</v>
      </c>
      <c r="H944" s="883" t="s">
        <v>54</v>
      </c>
      <c r="I944" s="816" t="s">
        <v>4846</v>
      </c>
      <c r="J944" s="884">
        <v>44130.0</v>
      </c>
      <c r="K944" s="866" t="s">
        <v>2341</v>
      </c>
      <c r="L944" s="666"/>
      <c r="M944" s="666"/>
      <c r="N944" s="666"/>
      <c r="O944" s="666"/>
      <c r="P944" s="666"/>
      <c r="Q944" s="666"/>
      <c r="R944" s="666"/>
      <c r="S944" s="666"/>
      <c r="T944" s="666"/>
      <c r="U944" s="666"/>
      <c r="V944" s="666"/>
      <c r="W944" s="666"/>
      <c r="X944" s="666"/>
      <c r="Y944" s="666"/>
      <c r="Z944" s="666"/>
      <c r="AA944" s="666"/>
      <c r="AB944" s="666"/>
      <c r="AC944" s="666"/>
      <c r="AD944" s="666"/>
      <c r="AE944" s="666"/>
      <c r="AF944" s="666"/>
      <c r="AG944" s="666"/>
      <c r="AH944" s="666"/>
      <c r="AI944" s="666"/>
      <c r="AJ944" s="666"/>
      <c r="AK944" s="666"/>
      <c r="AL944" s="666"/>
      <c r="AM944" s="666"/>
      <c r="AN944" s="666"/>
      <c r="AO944" s="666"/>
      <c r="AP944" s="666"/>
      <c r="AQ944" s="666"/>
      <c r="AR944" s="666"/>
      <c r="AS944" s="666"/>
      <c r="AT944" s="666"/>
      <c r="AU944" s="666"/>
    </row>
    <row r="945" ht="15.75" customHeight="1">
      <c r="A945" s="667">
        <v>44707.0</v>
      </c>
      <c r="B945" s="866">
        <v>6866947.0</v>
      </c>
      <c r="C945" s="866" t="s">
        <v>98</v>
      </c>
      <c r="D945" s="867" t="s">
        <v>5038</v>
      </c>
      <c r="E945" s="868">
        <v>5000.0</v>
      </c>
      <c r="F945" s="883" t="s">
        <v>3825</v>
      </c>
      <c r="G945" s="816" t="s">
        <v>120</v>
      </c>
      <c r="H945" s="883" t="s">
        <v>54</v>
      </c>
      <c r="I945" s="816" t="s">
        <v>379</v>
      </c>
      <c r="J945" s="884">
        <v>44497.0</v>
      </c>
      <c r="K945" s="866" t="s">
        <v>2365</v>
      </c>
      <c r="L945" s="666"/>
      <c r="M945" s="666"/>
      <c r="N945" s="666"/>
      <c r="O945" s="666"/>
      <c r="P945" s="666"/>
      <c r="Q945" s="666"/>
      <c r="R945" s="666"/>
      <c r="S945" s="666"/>
      <c r="T945" s="666"/>
      <c r="U945" s="666"/>
      <c r="V945" s="666"/>
      <c r="W945" s="666"/>
      <c r="X945" s="666"/>
      <c r="Y945" s="666"/>
      <c r="Z945" s="666"/>
      <c r="AA945" s="666"/>
      <c r="AB945" s="666"/>
      <c r="AC945" s="666"/>
      <c r="AD945" s="666"/>
      <c r="AE945" s="666"/>
      <c r="AF945" s="666"/>
      <c r="AG945" s="666"/>
      <c r="AH945" s="666"/>
      <c r="AI945" s="666"/>
      <c r="AJ945" s="666"/>
      <c r="AK945" s="666"/>
      <c r="AL945" s="666"/>
      <c r="AM945" s="666"/>
      <c r="AN945" s="666"/>
      <c r="AO945" s="666"/>
      <c r="AP945" s="666"/>
      <c r="AQ945" s="666"/>
      <c r="AR945" s="666"/>
      <c r="AS945" s="666"/>
      <c r="AT945" s="666"/>
      <c r="AU945" s="666"/>
    </row>
    <row r="946" ht="15.75" customHeight="1">
      <c r="A946" s="667">
        <v>44707.0</v>
      </c>
      <c r="B946" s="866">
        <v>385035.0</v>
      </c>
      <c r="C946" s="866" t="s">
        <v>2346</v>
      </c>
      <c r="D946" s="867" t="s">
        <v>5038</v>
      </c>
      <c r="E946" s="868">
        <v>53252.0</v>
      </c>
      <c r="F946" s="883" t="s">
        <v>8060</v>
      </c>
      <c r="G946" s="867" t="s">
        <v>669</v>
      </c>
      <c r="H946" s="867" t="s">
        <v>199</v>
      </c>
      <c r="I946" s="867" t="s">
        <v>1228</v>
      </c>
      <c r="J946" s="885">
        <v>43811.0</v>
      </c>
      <c r="K946" s="886" t="s">
        <v>2365</v>
      </c>
      <c r="L946" s="666"/>
      <c r="M946" s="666"/>
      <c r="N946" s="666"/>
      <c r="O946" s="666"/>
      <c r="P946" s="666"/>
      <c r="Q946" s="666"/>
      <c r="R946" s="666"/>
      <c r="S946" s="666"/>
      <c r="T946" s="666"/>
      <c r="U946" s="666"/>
      <c r="V946" s="666"/>
      <c r="W946" s="666"/>
      <c r="X946" s="666"/>
      <c r="Y946" s="666"/>
      <c r="Z946" s="666"/>
      <c r="AA946" s="666"/>
      <c r="AB946" s="666"/>
      <c r="AC946" s="666"/>
      <c r="AD946" s="666"/>
      <c r="AE946" s="666"/>
      <c r="AF946" s="666"/>
      <c r="AG946" s="666"/>
      <c r="AH946" s="666"/>
      <c r="AI946" s="666"/>
      <c r="AJ946" s="666"/>
      <c r="AK946" s="666"/>
      <c r="AL946" s="666"/>
      <c r="AM946" s="666"/>
      <c r="AN946" s="666"/>
      <c r="AO946" s="666"/>
      <c r="AP946" s="666"/>
      <c r="AQ946" s="666"/>
      <c r="AR946" s="666"/>
      <c r="AS946" s="666"/>
      <c r="AT946" s="666"/>
      <c r="AU946" s="666"/>
    </row>
    <row r="947" ht="15.75" customHeight="1">
      <c r="A947" s="667">
        <v>44707.0</v>
      </c>
      <c r="B947" s="866">
        <v>798500.0</v>
      </c>
      <c r="C947" s="866" t="s">
        <v>2346</v>
      </c>
      <c r="D947" s="867" t="s">
        <v>5038</v>
      </c>
      <c r="E947" s="868">
        <v>15000.0</v>
      </c>
      <c r="F947" s="883" t="s">
        <v>8063</v>
      </c>
      <c r="G947" s="816" t="s">
        <v>120</v>
      </c>
      <c r="H947" s="867" t="s">
        <v>91</v>
      </c>
      <c r="I947" s="867" t="s">
        <v>699</v>
      </c>
      <c r="J947" s="887">
        <v>44299.0</v>
      </c>
      <c r="K947" s="886" t="s">
        <v>2341</v>
      </c>
      <c r="L947" s="666"/>
      <c r="M947" s="666"/>
      <c r="N947" s="666"/>
      <c r="O947" s="666"/>
      <c r="P947" s="666"/>
      <c r="Q947" s="666"/>
      <c r="R947" s="666"/>
      <c r="S947" s="666"/>
      <c r="T947" s="666"/>
      <c r="U947" s="666"/>
      <c r="V947" s="666"/>
      <c r="W947" s="666"/>
      <c r="X947" s="666"/>
      <c r="Y947" s="666"/>
      <c r="Z947" s="666"/>
      <c r="AA947" s="666"/>
      <c r="AB947" s="666"/>
      <c r="AC947" s="666"/>
      <c r="AD947" s="666"/>
      <c r="AE947" s="666"/>
      <c r="AF947" s="666"/>
      <c r="AG947" s="666"/>
      <c r="AH947" s="666"/>
      <c r="AI947" s="666"/>
      <c r="AJ947" s="666"/>
      <c r="AK947" s="666"/>
      <c r="AL947" s="666"/>
      <c r="AM947" s="666"/>
      <c r="AN947" s="666"/>
      <c r="AO947" s="666"/>
      <c r="AP947" s="666"/>
      <c r="AQ947" s="666"/>
      <c r="AR947" s="666"/>
      <c r="AS947" s="666"/>
      <c r="AT947" s="666"/>
      <c r="AU947" s="666"/>
    </row>
    <row r="948" ht="15.75" customHeight="1">
      <c r="A948" s="667">
        <v>44713.0</v>
      </c>
      <c r="B948" s="866">
        <v>4681835.0</v>
      </c>
      <c r="C948" s="866" t="s">
        <v>98</v>
      </c>
      <c r="D948" s="867" t="s">
        <v>694</v>
      </c>
      <c r="E948" s="868">
        <v>93639.74</v>
      </c>
      <c r="F948" s="883" t="s">
        <v>6413</v>
      </c>
      <c r="G948" s="816" t="s">
        <v>255</v>
      </c>
      <c r="H948" s="867" t="s">
        <v>199</v>
      </c>
      <c r="I948" s="867" t="s">
        <v>3606</v>
      </c>
      <c r="J948" s="887">
        <v>44204.0</v>
      </c>
      <c r="K948" s="886" t="s">
        <v>2319</v>
      </c>
      <c r="L948" s="666"/>
      <c r="M948" s="666"/>
      <c r="N948" s="666"/>
      <c r="O948" s="666"/>
      <c r="P948" s="666"/>
      <c r="Q948" s="666"/>
      <c r="R948" s="666"/>
      <c r="S948" s="666"/>
      <c r="T948" s="666"/>
      <c r="U948" s="666"/>
      <c r="V948" s="666"/>
      <c r="W948" s="666"/>
      <c r="X948" s="666"/>
      <c r="Y948" s="666"/>
      <c r="Z948" s="666"/>
      <c r="AA948" s="666"/>
      <c r="AB948" s="666"/>
      <c r="AC948" s="666"/>
      <c r="AD948" s="666"/>
      <c r="AE948" s="666"/>
      <c r="AF948" s="666"/>
      <c r="AG948" s="666"/>
      <c r="AH948" s="666"/>
      <c r="AI948" s="666"/>
      <c r="AJ948" s="666"/>
      <c r="AK948" s="666"/>
      <c r="AL948" s="666"/>
      <c r="AM948" s="666"/>
      <c r="AN948" s="666"/>
      <c r="AO948" s="666"/>
      <c r="AP948" s="666"/>
      <c r="AQ948" s="666"/>
      <c r="AR948" s="666"/>
      <c r="AS948" s="666"/>
      <c r="AT948" s="666"/>
      <c r="AU948" s="666"/>
    </row>
    <row r="949" ht="15.75" customHeight="1">
      <c r="A949" s="757">
        <v>44713.0</v>
      </c>
      <c r="B949" s="888" t="s">
        <v>6525</v>
      </c>
      <c r="C949" s="889" t="s">
        <v>98</v>
      </c>
      <c r="D949" s="890" t="s">
        <v>5038</v>
      </c>
      <c r="E949" s="891">
        <v>4000.0</v>
      </c>
      <c r="F949" s="890" t="s">
        <v>3934</v>
      </c>
      <c r="G949" s="890" t="s">
        <v>120</v>
      </c>
      <c r="H949" s="890" t="s">
        <v>54</v>
      </c>
      <c r="I949" s="890" t="s">
        <v>379</v>
      </c>
      <c r="J949" s="892">
        <v>44407.0</v>
      </c>
      <c r="K949" s="889" t="s">
        <v>3701</v>
      </c>
      <c r="L949" s="666"/>
      <c r="M949" s="666"/>
      <c r="N949" s="666"/>
      <c r="O949" s="666"/>
      <c r="P949" s="666"/>
      <c r="Q949" s="666"/>
      <c r="R949" s="666"/>
      <c r="S949" s="666"/>
      <c r="T949" s="666"/>
      <c r="U949" s="666"/>
      <c r="V949" s="666"/>
      <c r="W949" s="666"/>
      <c r="X949" s="666"/>
      <c r="Y949" s="666"/>
      <c r="Z949" s="666"/>
      <c r="AA949" s="666"/>
      <c r="AB949" s="666"/>
      <c r="AC949" s="666"/>
      <c r="AD949" s="666"/>
      <c r="AE949" s="666"/>
      <c r="AF949" s="666"/>
      <c r="AG949" s="666"/>
      <c r="AH949" s="666"/>
      <c r="AI949" s="666"/>
      <c r="AJ949" s="666"/>
      <c r="AK949" s="666"/>
      <c r="AL949" s="666"/>
      <c r="AM949" s="666"/>
      <c r="AN949" s="666"/>
      <c r="AO949" s="666"/>
      <c r="AP949" s="666"/>
      <c r="AQ949" s="666"/>
      <c r="AR949" s="666"/>
      <c r="AS949" s="666"/>
      <c r="AT949" s="666"/>
      <c r="AU949" s="666"/>
    </row>
    <row r="950" ht="15.75" customHeight="1">
      <c r="A950" s="667">
        <v>44714.0</v>
      </c>
      <c r="B950" s="866">
        <v>2956150.0</v>
      </c>
      <c r="C950" s="866" t="s">
        <v>202</v>
      </c>
      <c r="D950" s="867" t="s">
        <v>5038</v>
      </c>
      <c r="E950" s="868">
        <v>3000.0</v>
      </c>
      <c r="F950" s="883" t="s">
        <v>508</v>
      </c>
      <c r="G950" s="816" t="s">
        <v>120</v>
      </c>
      <c r="H950" s="867" t="s">
        <v>199</v>
      </c>
      <c r="I950" s="867" t="s">
        <v>4632</v>
      </c>
      <c r="J950" s="887">
        <v>44062.0</v>
      </c>
      <c r="K950" s="886" t="s">
        <v>2341</v>
      </c>
      <c r="L950" s="666"/>
      <c r="M950" s="666"/>
      <c r="N950" s="666"/>
      <c r="O950" s="666"/>
      <c r="P950" s="666"/>
      <c r="Q950" s="666"/>
      <c r="R950" s="666"/>
      <c r="S950" s="666"/>
      <c r="T950" s="666"/>
      <c r="U950" s="666"/>
      <c r="V950" s="666"/>
      <c r="W950" s="666"/>
      <c r="X950" s="666"/>
      <c r="Y950" s="666"/>
      <c r="Z950" s="666"/>
      <c r="AA950" s="666"/>
      <c r="AB950" s="666"/>
      <c r="AC950" s="666"/>
      <c r="AD950" s="666"/>
      <c r="AE950" s="666"/>
      <c r="AF950" s="666"/>
      <c r="AG950" s="666"/>
      <c r="AH950" s="666"/>
      <c r="AI950" s="666"/>
      <c r="AJ950" s="666"/>
      <c r="AK950" s="666"/>
      <c r="AL950" s="666"/>
      <c r="AM950" s="666"/>
      <c r="AN950" s="666"/>
      <c r="AO950" s="666"/>
      <c r="AP950" s="666"/>
      <c r="AQ950" s="666"/>
      <c r="AR950" s="666"/>
      <c r="AS950" s="666"/>
      <c r="AT950" s="666"/>
      <c r="AU950" s="666"/>
    </row>
    <row r="951" ht="15.75" customHeight="1">
      <c r="A951" s="757">
        <v>44715.0</v>
      </c>
      <c r="B951" s="888">
        <v>3553004.0</v>
      </c>
      <c r="C951" s="889" t="s">
        <v>98</v>
      </c>
      <c r="D951" s="890" t="s">
        <v>427</v>
      </c>
      <c r="E951" s="891">
        <v>73682.14</v>
      </c>
      <c r="F951" s="890" t="s">
        <v>4378</v>
      </c>
      <c r="G951" s="890" t="s">
        <v>669</v>
      </c>
      <c r="H951" s="890" t="s">
        <v>199</v>
      </c>
      <c r="I951" s="890" t="s">
        <v>669</v>
      </c>
      <c r="J951" s="892">
        <v>43742.0</v>
      </c>
      <c r="K951" s="889" t="s">
        <v>4383</v>
      </c>
      <c r="L951" s="666"/>
      <c r="M951" s="666"/>
      <c r="N951" s="666"/>
      <c r="O951" s="666"/>
      <c r="P951" s="666"/>
      <c r="Q951" s="666"/>
      <c r="R951" s="666"/>
      <c r="S951" s="666"/>
      <c r="T951" s="666"/>
      <c r="U951" s="666"/>
      <c r="V951" s="666"/>
      <c r="W951" s="666"/>
      <c r="X951" s="666"/>
      <c r="Y951" s="666"/>
      <c r="Z951" s="666"/>
      <c r="AA951" s="666"/>
      <c r="AB951" s="666"/>
      <c r="AC951" s="666"/>
      <c r="AD951" s="666"/>
      <c r="AE951" s="666"/>
      <c r="AF951" s="666"/>
      <c r="AG951" s="666"/>
      <c r="AH951" s="666"/>
      <c r="AI951" s="666"/>
      <c r="AJ951" s="666"/>
      <c r="AK951" s="666"/>
      <c r="AL951" s="666"/>
      <c r="AM951" s="666"/>
      <c r="AN951" s="666"/>
      <c r="AO951" s="666"/>
      <c r="AP951" s="666"/>
      <c r="AQ951" s="666"/>
      <c r="AR951" s="666"/>
      <c r="AS951" s="666"/>
      <c r="AT951" s="666"/>
      <c r="AU951" s="666"/>
    </row>
    <row r="952" ht="15.75" customHeight="1">
      <c r="A952" s="757">
        <v>44718.0</v>
      </c>
      <c r="B952" s="888" t="s">
        <v>8068</v>
      </c>
      <c r="C952" s="889" t="s">
        <v>98</v>
      </c>
      <c r="D952" s="890" t="s">
        <v>694</v>
      </c>
      <c r="E952" s="891" t="s">
        <v>8069</v>
      </c>
      <c r="F952" s="890" t="s">
        <v>8070</v>
      </c>
      <c r="G952" s="890" t="s">
        <v>120</v>
      </c>
      <c r="H952" s="890" t="s">
        <v>54</v>
      </c>
      <c r="I952" s="890" t="s">
        <v>379</v>
      </c>
      <c r="J952" s="892">
        <v>44405.0</v>
      </c>
      <c r="K952" s="889" t="s">
        <v>2372</v>
      </c>
      <c r="L952" s="666"/>
      <c r="M952" s="666"/>
      <c r="N952" s="666"/>
      <c r="O952" s="666"/>
      <c r="P952" s="666"/>
      <c r="Q952" s="666"/>
      <c r="R952" s="666"/>
      <c r="S952" s="666"/>
      <c r="T952" s="666"/>
      <c r="U952" s="666"/>
      <c r="V952" s="666"/>
      <c r="W952" s="666"/>
      <c r="X952" s="666"/>
      <c r="Y952" s="666"/>
      <c r="Z952" s="666"/>
      <c r="AA952" s="666"/>
      <c r="AB952" s="666"/>
      <c r="AC952" s="666"/>
      <c r="AD952" s="666"/>
      <c r="AE952" s="666"/>
      <c r="AF952" s="666"/>
      <c r="AG952" s="666"/>
      <c r="AH952" s="666"/>
      <c r="AI952" s="666"/>
      <c r="AJ952" s="666"/>
      <c r="AK952" s="666"/>
      <c r="AL952" s="666"/>
      <c r="AM952" s="666"/>
      <c r="AN952" s="666"/>
      <c r="AO952" s="666"/>
      <c r="AP952" s="666"/>
      <c r="AQ952" s="666"/>
      <c r="AR952" s="666"/>
      <c r="AS952" s="666"/>
      <c r="AT952" s="666"/>
      <c r="AU952" s="666"/>
    </row>
    <row r="953" ht="15.75" customHeight="1">
      <c r="A953" s="757">
        <v>44718.0</v>
      </c>
      <c r="B953" s="888" t="s">
        <v>6722</v>
      </c>
      <c r="C953" s="889" t="s">
        <v>98</v>
      </c>
      <c r="D953" s="890" t="s">
        <v>5038</v>
      </c>
      <c r="E953" s="891">
        <v>127458.23</v>
      </c>
      <c r="F953" s="890" t="s">
        <v>2354</v>
      </c>
      <c r="G953" s="890" t="s">
        <v>120</v>
      </c>
      <c r="H953" s="890" t="s">
        <v>199</v>
      </c>
      <c r="I953" s="890" t="s">
        <v>2355</v>
      </c>
      <c r="J953" s="892">
        <v>44326.0</v>
      </c>
      <c r="K953" s="889" t="s">
        <v>2356</v>
      </c>
      <c r="L953" s="666"/>
      <c r="M953" s="666"/>
      <c r="N953" s="666"/>
      <c r="O953" s="666"/>
      <c r="P953" s="666"/>
      <c r="Q953" s="666"/>
      <c r="R953" s="666"/>
      <c r="S953" s="666"/>
      <c r="T953" s="666"/>
      <c r="U953" s="666"/>
      <c r="V953" s="666"/>
      <c r="W953" s="666"/>
      <c r="X953" s="666"/>
      <c r="Y953" s="666"/>
      <c r="Z953" s="666"/>
      <c r="AA953" s="666"/>
      <c r="AB953" s="666"/>
      <c r="AC953" s="666"/>
      <c r="AD953" s="666"/>
      <c r="AE953" s="666"/>
      <c r="AF953" s="666"/>
      <c r="AG953" s="666"/>
      <c r="AH953" s="666"/>
      <c r="AI953" s="666"/>
      <c r="AJ953" s="666"/>
      <c r="AK953" s="666"/>
      <c r="AL953" s="666"/>
      <c r="AM953" s="666"/>
      <c r="AN953" s="666"/>
      <c r="AO953" s="666"/>
      <c r="AP953" s="666"/>
      <c r="AQ953" s="666"/>
      <c r="AR953" s="666"/>
      <c r="AS953" s="666"/>
      <c r="AT953" s="666"/>
      <c r="AU953" s="666"/>
    </row>
    <row r="954" ht="15.75" customHeight="1">
      <c r="A954" s="757">
        <v>44719.0</v>
      </c>
      <c r="B954" s="888" t="s">
        <v>8072</v>
      </c>
      <c r="C954" s="889" t="s">
        <v>98</v>
      </c>
      <c r="D954" s="890" t="s">
        <v>427</v>
      </c>
      <c r="E954" s="891">
        <v>185758.05</v>
      </c>
      <c r="F954" s="890" t="s">
        <v>5705</v>
      </c>
      <c r="G954" s="890" t="s">
        <v>255</v>
      </c>
      <c r="H954" s="890" t="s">
        <v>199</v>
      </c>
      <c r="I954" s="890" t="s">
        <v>3979</v>
      </c>
      <c r="J954" s="892">
        <v>44218.0</v>
      </c>
      <c r="K954" s="889" t="s">
        <v>2372</v>
      </c>
      <c r="L954" s="666"/>
      <c r="M954" s="666"/>
      <c r="N954" s="666"/>
      <c r="O954" s="666"/>
      <c r="P954" s="666"/>
      <c r="Q954" s="666"/>
      <c r="R954" s="666"/>
      <c r="S954" s="666"/>
      <c r="T954" s="666"/>
      <c r="U954" s="666"/>
      <c r="V954" s="666"/>
      <c r="W954" s="666"/>
      <c r="X954" s="666"/>
      <c r="Y954" s="666"/>
      <c r="Z954" s="666"/>
      <c r="AA954" s="666"/>
      <c r="AB954" s="666"/>
      <c r="AC954" s="666"/>
      <c r="AD954" s="666"/>
      <c r="AE954" s="666"/>
      <c r="AF954" s="666"/>
      <c r="AG954" s="666"/>
      <c r="AH954" s="666"/>
      <c r="AI954" s="666"/>
      <c r="AJ954" s="666"/>
      <c r="AK954" s="666"/>
      <c r="AL954" s="666"/>
      <c r="AM954" s="666"/>
      <c r="AN954" s="666"/>
      <c r="AO954" s="666"/>
      <c r="AP954" s="666"/>
      <c r="AQ954" s="666"/>
      <c r="AR954" s="666"/>
      <c r="AS954" s="666"/>
      <c r="AT954" s="666"/>
      <c r="AU954" s="666"/>
    </row>
    <row r="955" ht="15.75" customHeight="1">
      <c r="A955" s="757">
        <v>44719.0</v>
      </c>
      <c r="B955" s="888" t="s">
        <v>8073</v>
      </c>
      <c r="C955" s="889" t="s">
        <v>98</v>
      </c>
      <c r="D955" s="890" t="s">
        <v>5038</v>
      </c>
      <c r="E955" s="891">
        <v>470001.08</v>
      </c>
      <c r="F955" s="890" t="s">
        <v>3854</v>
      </c>
      <c r="G955" s="890" t="s">
        <v>255</v>
      </c>
      <c r="H955" s="890" t="s">
        <v>199</v>
      </c>
      <c r="I955" s="890" t="s">
        <v>3855</v>
      </c>
      <c r="J955" s="892">
        <v>44103.0</v>
      </c>
      <c r="K955" s="889" t="s">
        <v>2365</v>
      </c>
      <c r="L955" s="666"/>
      <c r="M955" s="666"/>
      <c r="N955" s="666"/>
      <c r="O955" s="666"/>
      <c r="P955" s="666"/>
      <c r="Q955" s="666"/>
      <c r="R955" s="666"/>
      <c r="S955" s="666"/>
      <c r="T955" s="666"/>
      <c r="U955" s="666"/>
      <c r="V955" s="666"/>
      <c r="W955" s="666"/>
      <c r="X955" s="666"/>
      <c r="Y955" s="666"/>
      <c r="Z955" s="666"/>
      <c r="AA955" s="666"/>
      <c r="AB955" s="666"/>
      <c r="AC955" s="666"/>
      <c r="AD955" s="666"/>
      <c r="AE955" s="666"/>
      <c r="AF955" s="666"/>
      <c r="AG955" s="666"/>
      <c r="AH955" s="666"/>
      <c r="AI955" s="666"/>
      <c r="AJ955" s="666"/>
      <c r="AK955" s="666"/>
      <c r="AL955" s="666"/>
      <c r="AM955" s="666"/>
      <c r="AN955" s="666"/>
      <c r="AO955" s="666"/>
      <c r="AP955" s="666"/>
      <c r="AQ955" s="666"/>
      <c r="AR955" s="666"/>
      <c r="AS955" s="666"/>
      <c r="AT955" s="666"/>
      <c r="AU955" s="666"/>
    </row>
    <row r="956" ht="15.75" customHeight="1">
      <c r="A956" s="757">
        <v>44720.0</v>
      </c>
      <c r="B956" s="888" t="s">
        <v>7804</v>
      </c>
      <c r="C956" s="889" t="s">
        <v>98</v>
      </c>
      <c r="D956" s="890" t="s">
        <v>5038</v>
      </c>
      <c r="E956" s="891">
        <v>30000.0</v>
      </c>
      <c r="F956" s="890" t="s">
        <v>7805</v>
      </c>
      <c r="G956" s="890" t="s">
        <v>120</v>
      </c>
      <c r="H956" s="890" t="s">
        <v>54</v>
      </c>
      <c r="I956" s="890" t="s">
        <v>348</v>
      </c>
      <c r="J956" s="892">
        <v>44645.0</v>
      </c>
      <c r="K956" s="889" t="s">
        <v>2341</v>
      </c>
      <c r="L956" s="666"/>
      <c r="M956" s="666"/>
      <c r="N956" s="666"/>
      <c r="O956" s="666"/>
      <c r="P956" s="666"/>
      <c r="Q956" s="666"/>
      <c r="R956" s="666"/>
      <c r="S956" s="666"/>
      <c r="T956" s="666"/>
      <c r="U956" s="666"/>
      <c r="V956" s="666"/>
      <c r="W956" s="666"/>
      <c r="X956" s="666"/>
      <c r="Y956" s="666"/>
      <c r="Z956" s="666"/>
      <c r="AA956" s="666"/>
      <c r="AB956" s="666"/>
      <c r="AC956" s="666"/>
      <c r="AD956" s="666"/>
      <c r="AE956" s="666"/>
      <c r="AF956" s="666"/>
      <c r="AG956" s="666"/>
      <c r="AH956" s="666"/>
      <c r="AI956" s="666"/>
      <c r="AJ956" s="666"/>
      <c r="AK956" s="666"/>
      <c r="AL956" s="666"/>
      <c r="AM956" s="666"/>
      <c r="AN956" s="666"/>
      <c r="AO956" s="666"/>
      <c r="AP956" s="666"/>
      <c r="AQ956" s="666"/>
      <c r="AR956" s="666"/>
      <c r="AS956" s="666"/>
      <c r="AT956" s="666"/>
      <c r="AU956" s="666"/>
    </row>
    <row r="957" ht="15.75" customHeight="1">
      <c r="A957" s="757">
        <v>44721.0</v>
      </c>
      <c r="B957" s="888" t="s">
        <v>7287</v>
      </c>
      <c r="C957" s="889" t="s">
        <v>98</v>
      </c>
      <c r="D957" s="890" t="s">
        <v>5038</v>
      </c>
      <c r="E957" s="891">
        <v>20000.0</v>
      </c>
      <c r="F957" s="890" t="s">
        <v>4444</v>
      </c>
      <c r="G957" s="890" t="s">
        <v>120</v>
      </c>
      <c r="H957" s="890" t="s">
        <v>199</v>
      </c>
      <c r="I957" s="890" t="s">
        <v>439</v>
      </c>
      <c r="J957" s="892">
        <v>44399.0</v>
      </c>
      <c r="K957" s="889" t="s">
        <v>2341</v>
      </c>
      <c r="L957" s="666"/>
      <c r="M957" s="666"/>
      <c r="N957" s="666"/>
      <c r="O957" s="666"/>
      <c r="P957" s="666"/>
      <c r="Q957" s="666"/>
      <c r="R957" s="666"/>
      <c r="S957" s="666"/>
      <c r="T957" s="666"/>
      <c r="U957" s="666"/>
      <c r="V957" s="666"/>
      <c r="W957" s="666"/>
      <c r="X957" s="666"/>
      <c r="Y957" s="666"/>
      <c r="Z957" s="666"/>
      <c r="AA957" s="666"/>
      <c r="AB957" s="666"/>
      <c r="AC957" s="666"/>
      <c r="AD957" s="666"/>
      <c r="AE957" s="666"/>
      <c r="AF957" s="666"/>
      <c r="AG957" s="666"/>
      <c r="AH957" s="666"/>
      <c r="AI957" s="666"/>
      <c r="AJ957" s="666"/>
      <c r="AK957" s="666"/>
      <c r="AL957" s="666"/>
      <c r="AM957" s="666"/>
      <c r="AN957" s="666"/>
      <c r="AO957" s="666"/>
      <c r="AP957" s="666"/>
      <c r="AQ957" s="666"/>
      <c r="AR957" s="666"/>
      <c r="AS957" s="666"/>
      <c r="AT957" s="666"/>
      <c r="AU957" s="666"/>
    </row>
    <row r="958" ht="15.75" customHeight="1">
      <c r="A958" s="757">
        <v>44726.0</v>
      </c>
      <c r="B958" s="888" t="s">
        <v>7643</v>
      </c>
      <c r="C958" s="889" t="s">
        <v>98</v>
      </c>
      <c r="D958" s="890" t="s">
        <v>5038</v>
      </c>
      <c r="E958" s="891">
        <v>20000.0</v>
      </c>
      <c r="F958" s="890" t="s">
        <v>6087</v>
      </c>
      <c r="G958" s="890" t="s">
        <v>120</v>
      </c>
      <c r="H958" s="890" t="s">
        <v>199</v>
      </c>
      <c r="I958" s="890" t="s">
        <v>4797</v>
      </c>
      <c r="J958" s="892">
        <v>44594.0</v>
      </c>
      <c r="K958" s="889" t="s">
        <v>2356</v>
      </c>
      <c r="L958" s="666"/>
      <c r="M958" s="666"/>
      <c r="N958" s="666"/>
      <c r="O958" s="666"/>
      <c r="P958" s="666"/>
      <c r="Q958" s="666"/>
      <c r="R958" s="666"/>
      <c r="S958" s="666"/>
      <c r="T958" s="666"/>
      <c r="U958" s="666"/>
      <c r="V958" s="666"/>
      <c r="W958" s="666"/>
      <c r="X958" s="666"/>
      <c r="Y958" s="666"/>
      <c r="Z958" s="666"/>
      <c r="AA958" s="666"/>
      <c r="AB958" s="666"/>
      <c r="AC958" s="666"/>
      <c r="AD958" s="666"/>
      <c r="AE958" s="666"/>
      <c r="AF958" s="666"/>
      <c r="AG958" s="666"/>
      <c r="AH958" s="666"/>
      <c r="AI958" s="666"/>
      <c r="AJ958" s="666"/>
      <c r="AK958" s="666"/>
      <c r="AL958" s="666"/>
      <c r="AM958" s="666"/>
      <c r="AN958" s="666"/>
      <c r="AO958" s="666"/>
      <c r="AP958" s="666"/>
      <c r="AQ958" s="666"/>
      <c r="AR958" s="666"/>
      <c r="AS958" s="666"/>
      <c r="AT958" s="666"/>
      <c r="AU958" s="666"/>
    </row>
    <row r="959" ht="15.75" customHeight="1">
      <c r="A959" s="757">
        <v>44727.0</v>
      </c>
      <c r="B959" s="888" t="s">
        <v>8081</v>
      </c>
      <c r="C959" s="889" t="s">
        <v>98</v>
      </c>
      <c r="D959" s="890" t="s">
        <v>694</v>
      </c>
      <c r="E959" s="891">
        <v>9396.31</v>
      </c>
      <c r="F959" s="890" t="s">
        <v>4495</v>
      </c>
      <c r="G959" s="890" t="s">
        <v>120</v>
      </c>
      <c r="H959" s="890" t="s">
        <v>199</v>
      </c>
      <c r="I959" s="890" t="s">
        <v>4498</v>
      </c>
      <c r="J959" s="892">
        <v>44323.0</v>
      </c>
      <c r="K959" s="889" t="s">
        <v>2356</v>
      </c>
      <c r="L959" s="666"/>
      <c r="M959" s="666"/>
      <c r="N959" s="666"/>
      <c r="O959" s="666"/>
      <c r="P959" s="666"/>
      <c r="Q959" s="666"/>
      <c r="R959" s="666"/>
      <c r="S959" s="666"/>
      <c r="T959" s="666"/>
      <c r="U959" s="666"/>
      <c r="V959" s="666"/>
      <c r="W959" s="666"/>
      <c r="X959" s="666"/>
      <c r="Y959" s="666"/>
      <c r="Z959" s="666"/>
      <c r="AA959" s="666"/>
      <c r="AB959" s="666"/>
      <c r="AC959" s="666"/>
      <c r="AD959" s="666"/>
      <c r="AE959" s="666"/>
      <c r="AF959" s="666"/>
      <c r="AG959" s="666"/>
      <c r="AH959" s="666"/>
      <c r="AI959" s="666"/>
      <c r="AJ959" s="666"/>
      <c r="AK959" s="666"/>
      <c r="AL959" s="666"/>
      <c r="AM959" s="666"/>
      <c r="AN959" s="666"/>
      <c r="AO959" s="666"/>
      <c r="AP959" s="666"/>
      <c r="AQ959" s="666"/>
      <c r="AR959" s="666"/>
      <c r="AS959" s="666"/>
      <c r="AT959" s="666"/>
      <c r="AU959" s="666"/>
    </row>
    <row r="960" ht="15.75" customHeight="1">
      <c r="A960" s="757">
        <v>44727.0</v>
      </c>
      <c r="B960" s="888" t="s">
        <v>8083</v>
      </c>
      <c r="C960" s="889" t="s">
        <v>98</v>
      </c>
      <c r="D960" s="890" t="s">
        <v>5038</v>
      </c>
      <c r="E960" s="891">
        <v>44000.0</v>
      </c>
      <c r="F960" s="890" t="s">
        <v>5565</v>
      </c>
      <c r="G960" s="890" t="s">
        <v>255</v>
      </c>
      <c r="H960" s="890" t="s">
        <v>199</v>
      </c>
      <c r="I960" s="890">
        <v>4551730.0</v>
      </c>
      <c r="J960" s="892">
        <v>44138.0</v>
      </c>
      <c r="K960" s="889" t="s">
        <v>2365</v>
      </c>
      <c r="L960" s="666"/>
      <c r="M960" s="666"/>
      <c r="N960" s="666"/>
      <c r="O960" s="666"/>
      <c r="P960" s="666"/>
      <c r="Q960" s="666"/>
      <c r="R960" s="666"/>
      <c r="S960" s="666"/>
      <c r="T960" s="666"/>
      <c r="U960" s="666"/>
      <c r="V960" s="666"/>
      <c r="W960" s="666"/>
      <c r="X960" s="666"/>
      <c r="Y960" s="666"/>
      <c r="Z960" s="666"/>
      <c r="AA960" s="666"/>
      <c r="AB960" s="666"/>
      <c r="AC960" s="666"/>
      <c r="AD960" s="666"/>
      <c r="AE960" s="666"/>
      <c r="AF960" s="666"/>
      <c r="AG960" s="666"/>
      <c r="AH960" s="666"/>
      <c r="AI960" s="666"/>
      <c r="AJ960" s="666"/>
      <c r="AK960" s="666"/>
      <c r="AL960" s="666"/>
      <c r="AM960" s="666"/>
      <c r="AN960" s="666"/>
      <c r="AO960" s="666"/>
      <c r="AP960" s="666"/>
      <c r="AQ960" s="666"/>
      <c r="AR960" s="666"/>
      <c r="AS960" s="666"/>
      <c r="AT960" s="666"/>
      <c r="AU960" s="666"/>
    </row>
    <row r="961" ht="15.75" customHeight="1">
      <c r="A961" s="757">
        <v>44732.0</v>
      </c>
      <c r="B961" s="888">
        <v>4068685.0</v>
      </c>
      <c r="C961" s="889" t="s">
        <v>98</v>
      </c>
      <c r="D961" s="890" t="s">
        <v>5038</v>
      </c>
      <c r="E961" s="891">
        <v>250000.0</v>
      </c>
      <c r="F961" s="890" t="s">
        <v>3895</v>
      </c>
      <c r="G961" s="890" t="s">
        <v>120</v>
      </c>
      <c r="H961" s="890" t="s">
        <v>54</v>
      </c>
      <c r="I961" s="890" t="s">
        <v>4846</v>
      </c>
      <c r="J961" s="892">
        <v>44130.0</v>
      </c>
      <c r="K961" s="889" t="s">
        <v>2341</v>
      </c>
      <c r="L961" s="666"/>
      <c r="M961" s="666"/>
      <c r="N961" s="666"/>
      <c r="O961" s="666"/>
      <c r="P961" s="666"/>
      <c r="Q961" s="666"/>
      <c r="R961" s="666"/>
      <c r="S961" s="666"/>
      <c r="T961" s="666"/>
      <c r="U961" s="666"/>
      <c r="V961" s="666"/>
      <c r="W961" s="666"/>
      <c r="X961" s="666"/>
      <c r="Y961" s="666"/>
      <c r="Z961" s="666"/>
      <c r="AA961" s="666"/>
      <c r="AB961" s="666"/>
      <c r="AC961" s="666"/>
      <c r="AD961" s="666"/>
      <c r="AE961" s="666"/>
      <c r="AF961" s="666"/>
      <c r="AG961" s="666"/>
      <c r="AH961" s="666"/>
      <c r="AI961" s="666"/>
      <c r="AJ961" s="666"/>
      <c r="AK961" s="666"/>
      <c r="AL961" s="666"/>
      <c r="AM961" s="666"/>
      <c r="AN961" s="666"/>
      <c r="AO961" s="666"/>
      <c r="AP961" s="666"/>
      <c r="AQ961" s="666"/>
      <c r="AR961" s="666"/>
      <c r="AS961" s="666"/>
      <c r="AT961" s="666"/>
      <c r="AU961" s="666"/>
    </row>
    <row r="962" ht="15.75" customHeight="1">
      <c r="A962" s="757">
        <v>44734.0</v>
      </c>
      <c r="B962" s="888" t="s">
        <v>8073</v>
      </c>
      <c r="C962" s="889" t="s">
        <v>98</v>
      </c>
      <c r="D962" s="890" t="s">
        <v>5038</v>
      </c>
      <c r="E962" s="891">
        <v>823824.0</v>
      </c>
      <c r="F962" s="890" t="s">
        <v>3854</v>
      </c>
      <c r="G962" s="890" t="s">
        <v>255</v>
      </c>
      <c r="H962" s="890" t="s">
        <v>199</v>
      </c>
      <c r="I962" s="890" t="s">
        <v>3855</v>
      </c>
      <c r="J962" s="892">
        <v>44103.0</v>
      </c>
      <c r="K962" s="889" t="s">
        <v>2365</v>
      </c>
      <c r="L962" s="666"/>
      <c r="M962" s="666"/>
      <c r="N962" s="666"/>
      <c r="O962" s="666"/>
      <c r="P962" s="666"/>
      <c r="Q962" s="666"/>
      <c r="R962" s="666"/>
      <c r="S962" s="666"/>
      <c r="T962" s="666"/>
      <c r="U962" s="666"/>
      <c r="V962" s="666"/>
      <c r="W962" s="666"/>
      <c r="X962" s="666"/>
      <c r="Y962" s="666"/>
      <c r="Z962" s="666"/>
      <c r="AA962" s="666"/>
      <c r="AB962" s="666"/>
      <c r="AC962" s="666"/>
      <c r="AD962" s="666"/>
      <c r="AE962" s="666"/>
      <c r="AF962" s="666"/>
      <c r="AG962" s="666"/>
      <c r="AH962" s="666"/>
      <c r="AI962" s="666"/>
      <c r="AJ962" s="666"/>
      <c r="AK962" s="666"/>
      <c r="AL962" s="666"/>
      <c r="AM962" s="666"/>
      <c r="AN962" s="666"/>
      <c r="AO962" s="666"/>
      <c r="AP962" s="666"/>
      <c r="AQ962" s="666"/>
      <c r="AR962" s="666"/>
      <c r="AS962" s="666"/>
      <c r="AT962" s="666"/>
      <c r="AU962" s="666"/>
    </row>
    <row r="963" ht="15.75" customHeight="1">
      <c r="A963" s="757">
        <v>44735.0</v>
      </c>
      <c r="B963" s="888" t="s">
        <v>5527</v>
      </c>
      <c r="C963" s="889" t="s">
        <v>2346</v>
      </c>
      <c r="D963" s="890" t="s">
        <v>694</v>
      </c>
      <c r="E963" s="891">
        <v>64448.81</v>
      </c>
      <c r="F963" s="890" t="s">
        <v>3868</v>
      </c>
      <c r="G963" s="890" t="s">
        <v>669</v>
      </c>
      <c r="H963" s="890" t="s">
        <v>199</v>
      </c>
      <c r="I963" s="890" t="s">
        <v>1228</v>
      </c>
      <c r="J963" s="892">
        <v>43707.0</v>
      </c>
      <c r="K963" s="889" t="s">
        <v>2372</v>
      </c>
      <c r="L963" s="666"/>
      <c r="M963" s="666"/>
      <c r="N963" s="666"/>
      <c r="O963" s="666"/>
      <c r="P963" s="666"/>
      <c r="Q963" s="666"/>
      <c r="R963" s="666"/>
      <c r="S963" s="666"/>
      <c r="T963" s="666"/>
      <c r="U963" s="666"/>
      <c r="V963" s="666"/>
      <c r="W963" s="666"/>
      <c r="X963" s="666"/>
      <c r="Y963" s="666"/>
      <c r="Z963" s="666"/>
      <c r="AA963" s="666"/>
      <c r="AB963" s="666"/>
      <c r="AC963" s="666"/>
      <c r="AD963" s="666"/>
      <c r="AE963" s="666"/>
      <c r="AF963" s="666"/>
      <c r="AG963" s="666"/>
      <c r="AH963" s="666"/>
      <c r="AI963" s="666"/>
      <c r="AJ963" s="666"/>
      <c r="AK963" s="666"/>
      <c r="AL963" s="666"/>
      <c r="AM963" s="666"/>
      <c r="AN963" s="666"/>
      <c r="AO963" s="666"/>
      <c r="AP963" s="666"/>
      <c r="AQ963" s="666"/>
      <c r="AR963" s="666"/>
      <c r="AS963" s="666"/>
      <c r="AT963" s="666"/>
      <c r="AU963" s="666"/>
    </row>
    <row r="964" ht="15.75" customHeight="1">
      <c r="A964" s="757">
        <v>44739.0</v>
      </c>
      <c r="B964" s="888" t="s">
        <v>8088</v>
      </c>
      <c r="C964" s="889" t="s">
        <v>98</v>
      </c>
      <c r="D964" s="890" t="s">
        <v>5038</v>
      </c>
      <c r="E964" s="891">
        <v>10000.0</v>
      </c>
      <c r="F964" s="890" t="s">
        <v>8089</v>
      </c>
      <c r="G964" s="890" t="s">
        <v>120</v>
      </c>
      <c r="H964" s="890" t="s">
        <v>54</v>
      </c>
      <c r="I964" s="890" t="s">
        <v>348</v>
      </c>
      <c r="J964" s="892">
        <v>44715.0</v>
      </c>
      <c r="K964" s="889" t="s">
        <v>2365</v>
      </c>
      <c r="L964" s="666"/>
      <c r="M964" s="666"/>
      <c r="N964" s="666"/>
      <c r="O964" s="666"/>
      <c r="P964" s="666"/>
      <c r="Q964" s="666"/>
      <c r="R964" s="666"/>
      <c r="S964" s="666"/>
      <c r="T964" s="666"/>
      <c r="U964" s="666"/>
      <c r="V964" s="666"/>
      <c r="W964" s="666"/>
      <c r="X964" s="666"/>
      <c r="Y964" s="666"/>
      <c r="Z964" s="666"/>
      <c r="AA964" s="666"/>
      <c r="AB964" s="666"/>
      <c r="AC964" s="666"/>
      <c r="AD964" s="666"/>
      <c r="AE964" s="666"/>
      <c r="AF964" s="666"/>
      <c r="AG964" s="666"/>
      <c r="AH964" s="666"/>
      <c r="AI964" s="666"/>
      <c r="AJ964" s="666"/>
      <c r="AK964" s="666"/>
      <c r="AL964" s="666"/>
      <c r="AM964" s="666"/>
      <c r="AN964" s="666"/>
      <c r="AO964" s="666"/>
      <c r="AP964" s="666"/>
      <c r="AQ964" s="666"/>
      <c r="AR964" s="666"/>
      <c r="AS964" s="666"/>
      <c r="AT964" s="666"/>
      <c r="AU964" s="666"/>
    </row>
    <row r="965" ht="15.75" customHeight="1">
      <c r="A965" s="757">
        <v>44739.0</v>
      </c>
      <c r="B965" s="888" t="s">
        <v>8090</v>
      </c>
      <c r="C965" s="889" t="s">
        <v>98</v>
      </c>
      <c r="D965" s="890" t="s">
        <v>5038</v>
      </c>
      <c r="E965" s="891">
        <v>323000.0</v>
      </c>
      <c r="F965" s="890" t="s">
        <v>5114</v>
      </c>
      <c r="G965" s="890" t="s">
        <v>120</v>
      </c>
      <c r="H965" s="890" t="s">
        <v>54</v>
      </c>
      <c r="I965" s="890" t="s">
        <v>348</v>
      </c>
      <c r="J965" s="892">
        <v>44694.0</v>
      </c>
      <c r="K965" s="889" t="s">
        <v>2356</v>
      </c>
      <c r="L965" s="666"/>
      <c r="M965" s="666"/>
      <c r="N965" s="666"/>
      <c r="O965" s="666"/>
      <c r="P965" s="666"/>
      <c r="Q965" s="666"/>
      <c r="R965" s="666"/>
      <c r="S965" s="666"/>
      <c r="T965" s="666"/>
      <c r="U965" s="666"/>
      <c r="V965" s="666"/>
      <c r="W965" s="666"/>
      <c r="X965" s="666"/>
      <c r="Y965" s="666"/>
      <c r="Z965" s="666"/>
      <c r="AA965" s="666"/>
      <c r="AB965" s="666"/>
      <c r="AC965" s="666"/>
      <c r="AD965" s="666"/>
      <c r="AE965" s="666"/>
      <c r="AF965" s="666"/>
      <c r="AG965" s="666"/>
      <c r="AH965" s="666"/>
      <c r="AI965" s="666"/>
      <c r="AJ965" s="666"/>
      <c r="AK965" s="666"/>
      <c r="AL965" s="666"/>
      <c r="AM965" s="666"/>
      <c r="AN965" s="666"/>
      <c r="AO965" s="666"/>
      <c r="AP965" s="666"/>
      <c r="AQ965" s="666"/>
      <c r="AR965" s="666"/>
      <c r="AS965" s="666"/>
      <c r="AT965" s="666"/>
      <c r="AU965" s="666"/>
    </row>
    <row r="966" ht="15.75" customHeight="1">
      <c r="A966" s="757">
        <v>44740.0</v>
      </c>
      <c r="B966" s="888" t="s">
        <v>6323</v>
      </c>
      <c r="C966" s="889" t="s">
        <v>98</v>
      </c>
      <c r="D966" s="890" t="s">
        <v>427</v>
      </c>
      <c r="E966" s="891">
        <v>3147.95</v>
      </c>
      <c r="F966" s="890" t="s">
        <v>5006</v>
      </c>
      <c r="G966" s="890" t="s">
        <v>255</v>
      </c>
      <c r="H966" s="890" t="s">
        <v>199</v>
      </c>
      <c r="I966" s="890" t="s">
        <v>3979</v>
      </c>
      <c r="J966" s="892">
        <v>44145.0</v>
      </c>
      <c r="K966" s="889" t="s">
        <v>2319</v>
      </c>
      <c r="L966" s="666"/>
      <c r="M966" s="666"/>
      <c r="N966" s="666"/>
      <c r="O966" s="666"/>
      <c r="P966" s="666"/>
      <c r="Q966" s="666"/>
      <c r="R966" s="666"/>
      <c r="S966" s="666"/>
      <c r="T966" s="666"/>
      <c r="U966" s="666"/>
      <c r="V966" s="666"/>
      <c r="W966" s="666"/>
      <c r="X966" s="666"/>
      <c r="Y966" s="666"/>
      <c r="Z966" s="666"/>
      <c r="AA966" s="666"/>
      <c r="AB966" s="666"/>
      <c r="AC966" s="666"/>
      <c r="AD966" s="666"/>
      <c r="AE966" s="666"/>
      <c r="AF966" s="666"/>
      <c r="AG966" s="666"/>
      <c r="AH966" s="666"/>
      <c r="AI966" s="666"/>
      <c r="AJ966" s="666"/>
      <c r="AK966" s="666"/>
      <c r="AL966" s="666"/>
      <c r="AM966" s="666"/>
      <c r="AN966" s="666"/>
      <c r="AO966" s="666"/>
      <c r="AP966" s="666"/>
      <c r="AQ966" s="666"/>
      <c r="AR966" s="666"/>
      <c r="AS966" s="666"/>
      <c r="AT966" s="666"/>
      <c r="AU966" s="666"/>
    </row>
    <row r="967" ht="15.75" customHeight="1">
      <c r="A967" s="757">
        <v>44740.0</v>
      </c>
      <c r="B967" s="888" t="s">
        <v>8095</v>
      </c>
      <c r="C967" s="889" t="s">
        <v>98</v>
      </c>
      <c r="D967" s="890" t="s">
        <v>5038</v>
      </c>
      <c r="E967" s="891">
        <v>35000.0</v>
      </c>
      <c r="F967" s="890" t="s">
        <v>3967</v>
      </c>
      <c r="G967" s="890" t="s">
        <v>120</v>
      </c>
      <c r="H967" s="890" t="s">
        <v>54</v>
      </c>
      <c r="I967" s="890" t="s">
        <v>4705</v>
      </c>
      <c r="J967" s="892">
        <v>44445.0</v>
      </c>
      <c r="K967" s="889" t="s">
        <v>2356</v>
      </c>
      <c r="L967" s="666"/>
      <c r="M967" s="666"/>
      <c r="N967" s="666"/>
      <c r="O967" s="666"/>
      <c r="P967" s="666"/>
      <c r="Q967" s="666"/>
      <c r="R967" s="666"/>
      <c r="S967" s="666"/>
      <c r="T967" s="666"/>
      <c r="U967" s="666"/>
      <c r="V967" s="666"/>
      <c r="W967" s="666"/>
      <c r="X967" s="666"/>
      <c r="Y967" s="666"/>
      <c r="Z967" s="666"/>
      <c r="AA967" s="666"/>
      <c r="AB967" s="666"/>
      <c r="AC967" s="666"/>
      <c r="AD967" s="666"/>
      <c r="AE967" s="666"/>
      <c r="AF967" s="666"/>
      <c r="AG967" s="666"/>
      <c r="AH967" s="666"/>
      <c r="AI967" s="666"/>
      <c r="AJ967" s="666"/>
      <c r="AK967" s="666"/>
      <c r="AL967" s="666"/>
      <c r="AM967" s="666"/>
      <c r="AN967" s="666"/>
      <c r="AO967" s="666"/>
      <c r="AP967" s="666"/>
      <c r="AQ967" s="666"/>
      <c r="AR967" s="666"/>
      <c r="AS967" s="666"/>
      <c r="AT967" s="666"/>
      <c r="AU967" s="666"/>
    </row>
    <row r="968" ht="15.75" customHeight="1">
      <c r="A968" s="757">
        <v>44740.0</v>
      </c>
      <c r="B968" s="888" t="s">
        <v>8096</v>
      </c>
      <c r="C968" s="889" t="s">
        <v>98</v>
      </c>
      <c r="D968" s="890" t="s">
        <v>694</v>
      </c>
      <c r="E968" s="891" t="s">
        <v>8097</v>
      </c>
      <c r="F968" s="890" t="s">
        <v>3865</v>
      </c>
      <c r="G968" s="890" t="s">
        <v>120</v>
      </c>
      <c r="H968" s="890" t="s">
        <v>54</v>
      </c>
      <c r="I968" s="890" t="s">
        <v>379</v>
      </c>
      <c r="J968" s="892">
        <v>44466.0</v>
      </c>
      <c r="K968" s="889" t="s">
        <v>2372</v>
      </c>
      <c r="L968" s="666"/>
      <c r="M968" s="666"/>
      <c r="N968" s="666"/>
      <c r="O968" s="666"/>
      <c r="P968" s="666"/>
      <c r="Q968" s="666"/>
      <c r="R968" s="666"/>
      <c r="S968" s="666"/>
      <c r="T968" s="666"/>
      <c r="U968" s="666"/>
      <c r="V968" s="666"/>
      <c r="W968" s="666"/>
      <c r="X968" s="666"/>
      <c r="Y968" s="666"/>
      <c r="Z968" s="666"/>
      <c r="AA968" s="666"/>
      <c r="AB968" s="666"/>
      <c r="AC968" s="666"/>
      <c r="AD968" s="666"/>
      <c r="AE968" s="666"/>
      <c r="AF968" s="666"/>
      <c r="AG968" s="666"/>
      <c r="AH968" s="666"/>
      <c r="AI968" s="666"/>
      <c r="AJ968" s="666"/>
      <c r="AK968" s="666"/>
      <c r="AL968" s="666"/>
      <c r="AM968" s="666"/>
      <c r="AN968" s="666"/>
      <c r="AO968" s="666"/>
      <c r="AP968" s="666"/>
      <c r="AQ968" s="666"/>
      <c r="AR968" s="666"/>
      <c r="AS968" s="666"/>
      <c r="AT968" s="666"/>
      <c r="AU968" s="666"/>
    </row>
    <row r="969" ht="15.75" customHeight="1">
      <c r="A969" s="757">
        <v>44741.0</v>
      </c>
      <c r="B969" s="888" t="s">
        <v>8098</v>
      </c>
      <c r="C969" s="889" t="s">
        <v>98</v>
      </c>
      <c r="D969" s="890" t="s">
        <v>5038</v>
      </c>
      <c r="E969" s="891">
        <v>350000.0</v>
      </c>
      <c r="F969" s="890" t="s">
        <v>2163</v>
      </c>
      <c r="G969" s="890" t="s">
        <v>120</v>
      </c>
      <c r="H969" s="890" t="s">
        <v>54</v>
      </c>
      <c r="I969" s="890" t="s">
        <v>125</v>
      </c>
      <c r="J969" s="892">
        <v>44568.0</v>
      </c>
      <c r="K969" s="889" t="s">
        <v>5294</v>
      </c>
      <c r="L969" s="666"/>
      <c r="M969" s="666"/>
      <c r="N969" s="666"/>
      <c r="O969" s="666"/>
      <c r="P969" s="666"/>
      <c r="Q969" s="666"/>
      <c r="R969" s="666"/>
      <c r="S969" s="666"/>
      <c r="T969" s="666"/>
      <c r="U969" s="666"/>
      <c r="V969" s="666"/>
      <c r="W969" s="666"/>
      <c r="X969" s="666"/>
      <c r="Y969" s="666"/>
      <c r="Z969" s="666"/>
      <c r="AA969" s="666"/>
      <c r="AB969" s="666"/>
      <c r="AC969" s="666"/>
      <c r="AD969" s="666"/>
      <c r="AE969" s="666"/>
      <c r="AF969" s="666"/>
      <c r="AG969" s="666"/>
      <c r="AH969" s="666"/>
      <c r="AI969" s="666"/>
      <c r="AJ969" s="666"/>
      <c r="AK969" s="666"/>
      <c r="AL969" s="666"/>
      <c r="AM969" s="666"/>
      <c r="AN969" s="666"/>
      <c r="AO969" s="666"/>
      <c r="AP969" s="666"/>
      <c r="AQ969" s="666"/>
      <c r="AR969" s="666"/>
      <c r="AS969" s="666"/>
      <c r="AT969" s="666"/>
      <c r="AU969" s="666"/>
    </row>
    <row r="970" ht="15.75" customHeight="1">
      <c r="A970" s="757">
        <v>44741.0</v>
      </c>
      <c r="B970" s="888" t="s">
        <v>8103</v>
      </c>
      <c r="C970" s="889" t="s">
        <v>98</v>
      </c>
      <c r="D970" s="890" t="s">
        <v>5038</v>
      </c>
      <c r="E970" s="891">
        <v>15000.0</v>
      </c>
      <c r="F970" s="890" t="s">
        <v>6020</v>
      </c>
      <c r="G970" s="890" t="s">
        <v>120</v>
      </c>
      <c r="H970" s="890" t="s">
        <v>54</v>
      </c>
      <c r="I970" s="890" t="s">
        <v>4846</v>
      </c>
      <c r="J970" s="892">
        <v>44679.0</v>
      </c>
      <c r="K970" s="889" t="s">
        <v>2341</v>
      </c>
      <c r="L970" s="666"/>
      <c r="M970" s="666"/>
      <c r="N970" s="666"/>
      <c r="O970" s="666"/>
      <c r="P970" s="666"/>
      <c r="Q970" s="666"/>
      <c r="R970" s="666"/>
      <c r="S970" s="666"/>
      <c r="T970" s="666"/>
      <c r="U970" s="666"/>
      <c r="V970" s="666"/>
      <c r="W970" s="666"/>
      <c r="X970" s="666"/>
      <c r="Y970" s="666"/>
      <c r="Z970" s="666"/>
      <c r="AA970" s="666"/>
      <c r="AB970" s="666"/>
      <c r="AC970" s="666"/>
      <c r="AD970" s="666"/>
      <c r="AE970" s="666"/>
      <c r="AF970" s="666"/>
      <c r="AG970" s="666"/>
      <c r="AH970" s="666"/>
      <c r="AI970" s="666"/>
      <c r="AJ970" s="666"/>
      <c r="AK970" s="666"/>
      <c r="AL970" s="666"/>
      <c r="AM970" s="666"/>
      <c r="AN970" s="666"/>
      <c r="AO970" s="666"/>
      <c r="AP970" s="666"/>
      <c r="AQ970" s="666"/>
      <c r="AR970" s="666"/>
      <c r="AS970" s="666"/>
      <c r="AT970" s="666"/>
      <c r="AU970" s="666"/>
    </row>
    <row r="971" ht="15.75" customHeight="1">
      <c r="A971" s="757">
        <v>44746.0</v>
      </c>
      <c r="B971" s="888" t="s">
        <v>8104</v>
      </c>
      <c r="C971" s="889" t="s">
        <v>2346</v>
      </c>
      <c r="D971" s="890" t="s">
        <v>694</v>
      </c>
      <c r="E971" s="891">
        <v>53398.09</v>
      </c>
      <c r="F971" s="890" t="s">
        <v>7492</v>
      </c>
      <c r="G971" s="890" t="s">
        <v>120</v>
      </c>
      <c r="H971" s="890" t="s">
        <v>91</v>
      </c>
      <c r="I971" s="890" t="s">
        <v>193</v>
      </c>
      <c r="J971" s="892">
        <v>44335.0</v>
      </c>
      <c r="K971" s="889" t="s">
        <v>2341</v>
      </c>
      <c r="L971" s="666"/>
      <c r="M971" s="666"/>
      <c r="N971" s="666"/>
      <c r="O971" s="666"/>
      <c r="P971" s="666"/>
      <c r="Q971" s="666"/>
      <c r="R971" s="666"/>
      <c r="S971" s="666"/>
      <c r="T971" s="666"/>
      <c r="U971" s="666"/>
      <c r="V971" s="666"/>
      <c r="W971" s="666"/>
      <c r="X971" s="666"/>
      <c r="Y971" s="666"/>
      <c r="Z971" s="666"/>
      <c r="AA971" s="666"/>
      <c r="AB971" s="666"/>
      <c r="AC971" s="666"/>
      <c r="AD971" s="666"/>
      <c r="AE971" s="666"/>
      <c r="AF971" s="666"/>
      <c r="AG971" s="666"/>
      <c r="AH971" s="666"/>
      <c r="AI971" s="666"/>
      <c r="AJ971" s="666"/>
      <c r="AK971" s="666"/>
      <c r="AL971" s="666"/>
      <c r="AM971" s="666"/>
      <c r="AN971" s="666"/>
      <c r="AO971" s="666"/>
      <c r="AP971" s="666"/>
      <c r="AQ971" s="666"/>
      <c r="AR971" s="666"/>
      <c r="AS971" s="666"/>
      <c r="AT971" s="666"/>
      <c r="AU971" s="666"/>
    </row>
    <row r="972" ht="15.75" customHeight="1">
      <c r="A972" s="757">
        <v>44753.0</v>
      </c>
      <c r="B972" s="888" t="s">
        <v>8108</v>
      </c>
      <c r="C972" s="889" t="s">
        <v>98</v>
      </c>
      <c r="D972" s="890" t="s">
        <v>694</v>
      </c>
      <c r="E972" s="891">
        <v>102018.55</v>
      </c>
      <c r="F972" s="890" t="s">
        <v>8109</v>
      </c>
      <c r="G972" s="890" t="s">
        <v>120</v>
      </c>
      <c r="H972" s="890" t="s">
        <v>199</v>
      </c>
      <c r="I972" s="890" t="s">
        <v>290</v>
      </c>
      <c r="J972" s="892">
        <v>44655.0</v>
      </c>
      <c r="K972" s="889" t="s">
        <v>2341</v>
      </c>
      <c r="L972" s="666"/>
      <c r="M972" s="666"/>
      <c r="N972" s="666"/>
      <c r="O972" s="666"/>
      <c r="P972" s="666"/>
      <c r="Q972" s="666"/>
      <c r="R972" s="666"/>
      <c r="S972" s="666"/>
      <c r="T972" s="666"/>
      <c r="U972" s="666"/>
      <c r="V972" s="666"/>
      <c r="W972" s="666"/>
      <c r="X972" s="666"/>
      <c r="Y972" s="666"/>
      <c r="Z972" s="666"/>
      <c r="AA972" s="666"/>
      <c r="AB972" s="666"/>
      <c r="AC972" s="666"/>
      <c r="AD972" s="666"/>
      <c r="AE972" s="666"/>
      <c r="AF972" s="666"/>
      <c r="AG972" s="666"/>
      <c r="AH972" s="666"/>
      <c r="AI972" s="666"/>
      <c r="AJ972" s="666"/>
      <c r="AK972" s="666"/>
      <c r="AL972" s="666"/>
      <c r="AM972" s="666"/>
      <c r="AN972" s="666"/>
      <c r="AO972" s="666"/>
      <c r="AP972" s="666"/>
      <c r="AQ972" s="666"/>
      <c r="AR972" s="666"/>
      <c r="AS972" s="666"/>
      <c r="AT972" s="666"/>
      <c r="AU972" s="666"/>
    </row>
    <row r="973" ht="15.75" customHeight="1">
      <c r="A973" s="757">
        <v>44753.0</v>
      </c>
      <c r="B973" s="888" t="s">
        <v>5724</v>
      </c>
      <c r="C973" s="889" t="s">
        <v>98</v>
      </c>
      <c r="D973" s="890" t="s">
        <v>5038</v>
      </c>
      <c r="E973" s="891">
        <v>5000.0</v>
      </c>
      <c r="F973" s="890" t="s">
        <v>5042</v>
      </c>
      <c r="G973" s="890" t="s">
        <v>120</v>
      </c>
      <c r="H973" s="890" t="s">
        <v>54</v>
      </c>
      <c r="I973" s="890" t="s">
        <v>2587</v>
      </c>
      <c r="J973" s="892">
        <v>44263.0</v>
      </c>
      <c r="K973" s="889" t="s">
        <v>2356</v>
      </c>
      <c r="L973" s="666"/>
      <c r="M973" s="666"/>
      <c r="N973" s="666"/>
      <c r="O973" s="666"/>
      <c r="P973" s="666"/>
      <c r="Q973" s="666"/>
      <c r="R973" s="666"/>
      <c r="S973" s="666"/>
      <c r="T973" s="666"/>
      <c r="U973" s="666"/>
      <c r="V973" s="666"/>
      <c r="W973" s="666"/>
      <c r="X973" s="666"/>
      <c r="Y973" s="666"/>
      <c r="Z973" s="666"/>
      <c r="AA973" s="666"/>
      <c r="AB973" s="666"/>
      <c r="AC973" s="666"/>
      <c r="AD973" s="666"/>
      <c r="AE973" s="666"/>
      <c r="AF973" s="666"/>
      <c r="AG973" s="666"/>
      <c r="AH973" s="666"/>
      <c r="AI973" s="666"/>
      <c r="AJ973" s="666"/>
      <c r="AK973" s="666"/>
      <c r="AL973" s="666"/>
      <c r="AM973" s="666"/>
      <c r="AN973" s="666"/>
      <c r="AO973" s="666"/>
      <c r="AP973" s="666"/>
      <c r="AQ973" s="666"/>
      <c r="AR973" s="666"/>
      <c r="AS973" s="666"/>
      <c r="AT973" s="666"/>
      <c r="AU973" s="666"/>
    </row>
    <row r="974" ht="15.75" customHeight="1">
      <c r="A974" s="757">
        <v>44754.0</v>
      </c>
      <c r="B974" s="888" t="s">
        <v>8088</v>
      </c>
      <c r="C974" s="889" t="s">
        <v>98</v>
      </c>
      <c r="D974" s="890" t="s">
        <v>5038</v>
      </c>
      <c r="E974" s="891">
        <v>10000.0</v>
      </c>
      <c r="F974" s="890" t="s">
        <v>8089</v>
      </c>
      <c r="G974" s="890" t="s">
        <v>120</v>
      </c>
      <c r="H974" s="890" t="s">
        <v>54</v>
      </c>
      <c r="I974" s="890" t="s">
        <v>348</v>
      </c>
      <c r="J974" s="892">
        <v>44715.0</v>
      </c>
      <c r="K974" s="889" t="s">
        <v>2365</v>
      </c>
      <c r="L974" s="666"/>
      <c r="M974" s="666"/>
      <c r="N974" s="666"/>
      <c r="O974" s="666"/>
      <c r="P974" s="666"/>
      <c r="Q974" s="666"/>
      <c r="R974" s="666"/>
      <c r="S974" s="666"/>
      <c r="T974" s="666"/>
      <c r="U974" s="666"/>
      <c r="V974" s="666"/>
      <c r="W974" s="666"/>
      <c r="X974" s="666"/>
      <c r="Y974" s="666"/>
      <c r="Z974" s="666"/>
      <c r="AA974" s="666"/>
      <c r="AB974" s="666"/>
      <c r="AC974" s="666"/>
      <c r="AD974" s="666"/>
      <c r="AE974" s="666"/>
      <c r="AF974" s="666"/>
      <c r="AG974" s="666"/>
      <c r="AH974" s="666"/>
      <c r="AI974" s="666"/>
      <c r="AJ974" s="666"/>
      <c r="AK974" s="666"/>
      <c r="AL974" s="666"/>
      <c r="AM974" s="666"/>
      <c r="AN974" s="666"/>
      <c r="AO974" s="666"/>
      <c r="AP974" s="666"/>
      <c r="AQ974" s="666"/>
      <c r="AR974" s="666"/>
      <c r="AS974" s="666"/>
      <c r="AT974" s="666"/>
      <c r="AU974" s="666"/>
    </row>
    <row r="975" ht="15.75" customHeight="1">
      <c r="A975" s="757">
        <v>44754.0</v>
      </c>
      <c r="B975" s="888" t="s">
        <v>8088</v>
      </c>
      <c r="C975" s="889" t="s">
        <v>98</v>
      </c>
      <c r="D975" s="890" t="s">
        <v>5038</v>
      </c>
      <c r="E975" s="891">
        <v>10000.0</v>
      </c>
      <c r="F975" s="890" t="s">
        <v>8089</v>
      </c>
      <c r="G975" s="890" t="s">
        <v>120</v>
      </c>
      <c r="H975" s="890" t="s">
        <v>54</v>
      </c>
      <c r="I975" s="890" t="s">
        <v>348</v>
      </c>
      <c r="J975" s="892">
        <v>44715.0</v>
      </c>
      <c r="K975" s="889" t="s">
        <v>2365</v>
      </c>
      <c r="L975" s="666"/>
      <c r="M975" s="666"/>
      <c r="N975" s="666"/>
      <c r="O975" s="666"/>
      <c r="P975" s="666"/>
      <c r="Q975" s="666"/>
      <c r="R975" s="666"/>
      <c r="S975" s="666"/>
      <c r="T975" s="666"/>
      <c r="U975" s="666"/>
      <c r="V975" s="666"/>
      <c r="W975" s="666"/>
      <c r="X975" s="666"/>
      <c r="Y975" s="666"/>
      <c r="Z975" s="666"/>
      <c r="AA975" s="666"/>
      <c r="AB975" s="666"/>
      <c r="AC975" s="666"/>
      <c r="AD975" s="666"/>
      <c r="AE975" s="666"/>
      <c r="AF975" s="666"/>
      <c r="AG975" s="666"/>
      <c r="AH975" s="666"/>
      <c r="AI975" s="666"/>
      <c r="AJ975" s="666"/>
      <c r="AK975" s="666"/>
      <c r="AL975" s="666"/>
      <c r="AM975" s="666"/>
      <c r="AN975" s="666"/>
      <c r="AO975" s="666"/>
      <c r="AP975" s="666"/>
      <c r="AQ975" s="666"/>
      <c r="AR975" s="666"/>
      <c r="AS975" s="666"/>
      <c r="AT975" s="666"/>
      <c r="AU975" s="666"/>
    </row>
    <row r="976" ht="15.75" customHeight="1">
      <c r="A976" s="757">
        <v>44756.0</v>
      </c>
      <c r="B976" s="888" t="s">
        <v>7911</v>
      </c>
      <c r="C976" s="889" t="s">
        <v>98</v>
      </c>
      <c r="D976" s="890" t="s">
        <v>5038</v>
      </c>
      <c r="E976" s="891">
        <v>7141.5</v>
      </c>
      <c r="F976" s="890" t="s">
        <v>2370</v>
      </c>
      <c r="G976" s="890" t="s">
        <v>120</v>
      </c>
      <c r="H976" s="890" t="s">
        <v>54</v>
      </c>
      <c r="I976" s="890" t="s">
        <v>379</v>
      </c>
      <c r="J976" s="892">
        <v>44084.0</v>
      </c>
      <c r="K976" s="889" t="s">
        <v>2372</v>
      </c>
      <c r="L976" s="666"/>
      <c r="M976" s="666"/>
      <c r="N976" s="666"/>
      <c r="O976" s="666"/>
      <c r="P976" s="666"/>
      <c r="Q976" s="666"/>
      <c r="R976" s="666"/>
      <c r="S976" s="666"/>
      <c r="T976" s="666"/>
      <c r="U976" s="666"/>
      <c r="V976" s="666"/>
      <c r="W976" s="666"/>
      <c r="X976" s="666"/>
      <c r="Y976" s="666"/>
      <c r="Z976" s="666"/>
      <c r="AA976" s="666"/>
      <c r="AB976" s="666"/>
      <c r="AC976" s="666"/>
      <c r="AD976" s="666"/>
      <c r="AE976" s="666"/>
      <c r="AF976" s="666"/>
      <c r="AG976" s="666"/>
      <c r="AH976" s="666"/>
      <c r="AI976" s="666"/>
      <c r="AJ976" s="666"/>
      <c r="AK976" s="666"/>
      <c r="AL976" s="666"/>
      <c r="AM976" s="666"/>
      <c r="AN976" s="666"/>
      <c r="AO976" s="666"/>
      <c r="AP976" s="666"/>
      <c r="AQ976" s="666"/>
      <c r="AR976" s="666"/>
      <c r="AS976" s="666"/>
      <c r="AT976" s="666"/>
      <c r="AU976" s="666"/>
    </row>
    <row r="977" ht="15.75" customHeight="1">
      <c r="A977" s="757">
        <v>44760.0</v>
      </c>
      <c r="B977" s="888" t="s">
        <v>8119</v>
      </c>
      <c r="C977" s="889" t="s">
        <v>98</v>
      </c>
      <c r="D977" s="890" t="s">
        <v>427</v>
      </c>
      <c r="E977" s="891">
        <v>39350.99</v>
      </c>
      <c r="F977" s="890" t="s">
        <v>5141</v>
      </c>
      <c r="G977" s="890" t="s">
        <v>120</v>
      </c>
      <c r="H977" s="890" t="s">
        <v>199</v>
      </c>
      <c r="I977" s="890" t="s">
        <v>290</v>
      </c>
      <c r="J977" s="892">
        <v>44615.0</v>
      </c>
      <c r="K977" s="889" t="s">
        <v>2356</v>
      </c>
      <c r="L977" s="666"/>
      <c r="M977" s="666"/>
      <c r="N977" s="666"/>
      <c r="O977" s="666"/>
      <c r="P977" s="666"/>
      <c r="Q977" s="666"/>
      <c r="R977" s="666"/>
      <c r="S977" s="666"/>
      <c r="T977" s="666"/>
      <c r="U977" s="666"/>
      <c r="V977" s="666"/>
      <c r="W977" s="666"/>
      <c r="X977" s="666"/>
      <c r="Y977" s="666"/>
      <c r="Z977" s="666"/>
      <c r="AA977" s="666"/>
      <c r="AB977" s="666"/>
      <c r="AC977" s="666"/>
      <c r="AD977" s="666"/>
      <c r="AE977" s="666"/>
      <c r="AF977" s="666"/>
      <c r="AG977" s="666"/>
      <c r="AH977" s="666"/>
      <c r="AI977" s="666"/>
      <c r="AJ977" s="666"/>
      <c r="AK977" s="666"/>
      <c r="AL977" s="666"/>
      <c r="AM977" s="666"/>
      <c r="AN977" s="666"/>
      <c r="AO977" s="666"/>
      <c r="AP977" s="666"/>
      <c r="AQ977" s="666"/>
      <c r="AR977" s="666"/>
      <c r="AS977" s="666"/>
      <c r="AT977" s="666"/>
      <c r="AU977" s="666"/>
    </row>
    <row r="978" ht="15.75" customHeight="1">
      <c r="A978" s="757">
        <v>44760.0</v>
      </c>
      <c r="B978" s="888" t="s">
        <v>8016</v>
      </c>
      <c r="C978" s="889" t="s">
        <v>98</v>
      </c>
      <c r="D978" s="890" t="s">
        <v>427</v>
      </c>
      <c r="E978" s="891">
        <v>10000.0</v>
      </c>
      <c r="F978" s="890" t="s">
        <v>6284</v>
      </c>
      <c r="G978" s="890" t="s">
        <v>120</v>
      </c>
      <c r="H978" s="890" t="s">
        <v>54</v>
      </c>
      <c r="I978" s="890" t="s">
        <v>379</v>
      </c>
      <c r="J978" s="892">
        <v>44744.0</v>
      </c>
      <c r="K978" s="889" t="s">
        <v>2319</v>
      </c>
      <c r="L978" s="666"/>
      <c r="M978" s="666"/>
      <c r="N978" s="666"/>
      <c r="O978" s="666"/>
      <c r="P978" s="666"/>
      <c r="Q978" s="666"/>
      <c r="R978" s="666"/>
      <c r="S978" s="666"/>
      <c r="T978" s="666"/>
      <c r="U978" s="666"/>
      <c r="V978" s="666"/>
      <c r="W978" s="666"/>
      <c r="X978" s="666"/>
      <c r="Y978" s="666"/>
      <c r="Z978" s="666"/>
      <c r="AA978" s="666"/>
      <c r="AB978" s="666"/>
      <c r="AC978" s="666"/>
      <c r="AD978" s="666"/>
      <c r="AE978" s="666"/>
      <c r="AF978" s="666"/>
      <c r="AG978" s="666"/>
      <c r="AH978" s="666"/>
      <c r="AI978" s="666"/>
      <c r="AJ978" s="666"/>
      <c r="AK978" s="666"/>
      <c r="AL978" s="666"/>
      <c r="AM978" s="666"/>
      <c r="AN978" s="666"/>
      <c r="AO978" s="666"/>
      <c r="AP978" s="666"/>
      <c r="AQ978" s="666"/>
      <c r="AR978" s="666"/>
      <c r="AS978" s="666"/>
      <c r="AT978" s="666"/>
      <c r="AU978" s="666"/>
    </row>
    <row r="979" ht="15.75" customHeight="1">
      <c r="A979" s="757">
        <v>44760.0</v>
      </c>
      <c r="B979" s="888" t="s">
        <v>8016</v>
      </c>
      <c r="C979" s="889" t="s">
        <v>98</v>
      </c>
      <c r="D979" s="890" t="s">
        <v>5038</v>
      </c>
      <c r="E979" s="891">
        <v>10000.0</v>
      </c>
      <c r="F979" s="890" t="s">
        <v>6284</v>
      </c>
      <c r="G979" s="890" t="s">
        <v>120</v>
      </c>
      <c r="H979" s="890" t="s">
        <v>54</v>
      </c>
      <c r="I979" s="890" t="s">
        <v>379</v>
      </c>
      <c r="J979" s="892" t="s">
        <v>8125</v>
      </c>
      <c r="K979" s="889" t="s">
        <v>3638</v>
      </c>
      <c r="L979" s="666"/>
      <c r="M979" s="666"/>
      <c r="N979" s="666"/>
      <c r="O979" s="666"/>
      <c r="P979" s="666"/>
      <c r="Q979" s="666"/>
      <c r="R979" s="666"/>
      <c r="S979" s="666"/>
      <c r="T979" s="666"/>
      <c r="U979" s="666"/>
      <c r="V979" s="666"/>
      <c r="W979" s="666"/>
      <c r="X979" s="666"/>
      <c r="Y979" s="666"/>
      <c r="Z979" s="666"/>
      <c r="AA979" s="666"/>
      <c r="AB979" s="666"/>
      <c r="AC979" s="666"/>
      <c r="AD979" s="666"/>
      <c r="AE979" s="666"/>
      <c r="AF979" s="666"/>
      <c r="AG979" s="666"/>
      <c r="AH979" s="666"/>
      <c r="AI979" s="666"/>
      <c r="AJ979" s="666"/>
      <c r="AK979" s="666"/>
      <c r="AL979" s="666"/>
      <c r="AM979" s="666"/>
      <c r="AN979" s="666"/>
      <c r="AO979" s="666"/>
      <c r="AP979" s="666"/>
      <c r="AQ979" s="666"/>
      <c r="AR979" s="666"/>
      <c r="AS979" s="666"/>
      <c r="AT979" s="666"/>
      <c r="AU979" s="666"/>
    </row>
    <row r="980" ht="15.75" customHeight="1">
      <c r="A980" s="757">
        <v>44760.0</v>
      </c>
      <c r="B980" s="888" t="s">
        <v>8126</v>
      </c>
      <c r="C980" s="889" t="s">
        <v>98</v>
      </c>
      <c r="D980" s="890" t="s">
        <v>5038</v>
      </c>
      <c r="E980" s="891">
        <v>15000.0</v>
      </c>
      <c r="F980" s="890" t="s">
        <v>4353</v>
      </c>
      <c r="G980" s="890" t="s">
        <v>120</v>
      </c>
      <c r="H980" s="890" t="s">
        <v>199</v>
      </c>
      <c r="I980" s="890" t="s">
        <v>803</v>
      </c>
      <c r="J980" s="892">
        <v>44462.0</v>
      </c>
      <c r="K980" s="889" t="s">
        <v>2319</v>
      </c>
      <c r="L980" s="666"/>
      <c r="M980" s="666"/>
      <c r="N980" s="666"/>
      <c r="O980" s="666"/>
      <c r="P980" s="666"/>
      <c r="Q980" s="666"/>
      <c r="R980" s="666"/>
      <c r="S980" s="666"/>
      <c r="T980" s="666"/>
      <c r="U980" s="666"/>
      <c r="V980" s="666"/>
      <c r="W980" s="666"/>
      <c r="X980" s="666"/>
      <c r="Y980" s="666"/>
      <c r="Z980" s="666"/>
      <c r="AA980" s="666"/>
      <c r="AB980" s="666"/>
      <c r="AC980" s="666"/>
      <c r="AD980" s="666"/>
      <c r="AE980" s="666"/>
      <c r="AF980" s="666"/>
      <c r="AG980" s="666"/>
      <c r="AH980" s="666"/>
      <c r="AI980" s="666"/>
      <c r="AJ980" s="666"/>
      <c r="AK980" s="666"/>
      <c r="AL980" s="666"/>
      <c r="AM980" s="666"/>
      <c r="AN980" s="666"/>
      <c r="AO980" s="666"/>
      <c r="AP980" s="666"/>
      <c r="AQ980" s="666"/>
      <c r="AR980" s="666"/>
      <c r="AS980" s="666"/>
      <c r="AT980" s="666"/>
      <c r="AU980" s="666"/>
    </row>
    <row r="981" ht="15.75" customHeight="1">
      <c r="A981" s="757">
        <v>44761.0</v>
      </c>
      <c r="B981" s="888" t="s">
        <v>7582</v>
      </c>
      <c r="C981" s="889" t="s">
        <v>98</v>
      </c>
      <c r="D981" s="890" t="s">
        <v>5038</v>
      </c>
      <c r="E981" s="891">
        <v>27000.0</v>
      </c>
      <c r="F981" s="890" t="s">
        <v>3519</v>
      </c>
      <c r="G981" s="890" t="s">
        <v>120</v>
      </c>
      <c r="H981" s="890" t="s">
        <v>199</v>
      </c>
      <c r="I981" s="890" t="s">
        <v>3521</v>
      </c>
      <c r="J981" s="892">
        <v>44061.0</v>
      </c>
      <c r="K981" s="889" t="s">
        <v>2341</v>
      </c>
      <c r="L981" s="666"/>
      <c r="M981" s="666"/>
      <c r="N981" s="666"/>
      <c r="O981" s="666"/>
      <c r="P981" s="666"/>
      <c r="Q981" s="666"/>
      <c r="R981" s="666"/>
      <c r="S981" s="666"/>
      <c r="T981" s="666"/>
      <c r="U981" s="666"/>
      <c r="V981" s="666"/>
      <c r="W981" s="666"/>
      <c r="X981" s="666"/>
      <c r="Y981" s="666"/>
      <c r="Z981" s="666"/>
      <c r="AA981" s="666"/>
      <c r="AB981" s="666"/>
      <c r="AC981" s="666"/>
      <c r="AD981" s="666"/>
      <c r="AE981" s="666"/>
      <c r="AF981" s="666"/>
      <c r="AG981" s="666"/>
      <c r="AH981" s="666"/>
      <c r="AI981" s="666"/>
      <c r="AJ981" s="666"/>
      <c r="AK981" s="666"/>
      <c r="AL981" s="666"/>
      <c r="AM981" s="666"/>
      <c r="AN981" s="666"/>
      <c r="AO981" s="666"/>
      <c r="AP981" s="666"/>
      <c r="AQ981" s="666"/>
      <c r="AR981" s="666"/>
      <c r="AS981" s="666"/>
      <c r="AT981" s="666"/>
      <c r="AU981" s="666"/>
    </row>
    <row r="982" ht="15.75" customHeight="1">
      <c r="A982" s="757">
        <v>44763.0</v>
      </c>
      <c r="B982" s="888" t="s">
        <v>5952</v>
      </c>
      <c r="C982" s="889" t="s">
        <v>98</v>
      </c>
      <c r="D982" s="890" t="s">
        <v>5038</v>
      </c>
      <c r="E982" s="891">
        <v>120000.0</v>
      </c>
      <c r="F982" s="890" t="s">
        <v>1822</v>
      </c>
      <c r="G982" s="890" t="s">
        <v>255</v>
      </c>
      <c r="H982" s="890" t="s">
        <v>199</v>
      </c>
      <c r="I982" s="890" t="s">
        <v>3885</v>
      </c>
      <c r="J982" s="892">
        <v>44134.0</v>
      </c>
      <c r="K982" s="889" t="s">
        <v>2319</v>
      </c>
      <c r="L982" s="666"/>
      <c r="M982" s="666"/>
      <c r="N982" s="666"/>
      <c r="O982" s="666"/>
      <c r="P982" s="666"/>
      <c r="Q982" s="666"/>
      <c r="R982" s="666"/>
      <c r="S982" s="666"/>
      <c r="T982" s="666"/>
      <c r="U982" s="666"/>
      <c r="V982" s="666"/>
      <c r="W982" s="666"/>
      <c r="X982" s="666"/>
      <c r="Y982" s="666"/>
      <c r="Z982" s="666"/>
      <c r="AA982" s="666"/>
      <c r="AB982" s="666"/>
      <c r="AC982" s="666"/>
      <c r="AD982" s="666"/>
      <c r="AE982" s="666"/>
      <c r="AF982" s="666"/>
      <c r="AG982" s="666"/>
      <c r="AH982" s="666"/>
      <c r="AI982" s="666"/>
      <c r="AJ982" s="666"/>
      <c r="AK982" s="666"/>
      <c r="AL982" s="666"/>
      <c r="AM982" s="666"/>
      <c r="AN982" s="666"/>
      <c r="AO982" s="666"/>
      <c r="AP982" s="666"/>
      <c r="AQ982" s="666"/>
      <c r="AR982" s="666"/>
      <c r="AS982" s="666"/>
      <c r="AT982" s="666"/>
      <c r="AU982" s="666"/>
    </row>
    <row r="983" ht="15.75" customHeight="1">
      <c r="A983" s="757">
        <v>44763.0</v>
      </c>
      <c r="B983" s="888" t="s">
        <v>8088</v>
      </c>
      <c r="C983" s="889" t="s">
        <v>98</v>
      </c>
      <c r="D983" s="890" t="s">
        <v>5038</v>
      </c>
      <c r="E983" s="891">
        <v>10000.0</v>
      </c>
      <c r="F983" s="890" t="s">
        <v>8089</v>
      </c>
      <c r="G983" s="890" t="s">
        <v>120</v>
      </c>
      <c r="H983" s="890" t="s">
        <v>54</v>
      </c>
      <c r="I983" s="890" t="s">
        <v>348</v>
      </c>
      <c r="J983" s="892">
        <v>44715.0</v>
      </c>
      <c r="K983" s="889" t="s">
        <v>2365</v>
      </c>
      <c r="L983" s="666"/>
      <c r="M983" s="666"/>
      <c r="N983" s="666"/>
      <c r="O983" s="666"/>
      <c r="P983" s="666"/>
      <c r="Q983" s="666"/>
      <c r="R983" s="666"/>
      <c r="S983" s="666"/>
      <c r="T983" s="666"/>
      <c r="U983" s="666"/>
      <c r="V983" s="666"/>
      <c r="W983" s="666"/>
      <c r="X983" s="666"/>
      <c r="Y983" s="666"/>
      <c r="Z983" s="666"/>
      <c r="AA983" s="666"/>
      <c r="AB983" s="666"/>
      <c r="AC983" s="666"/>
      <c r="AD983" s="666"/>
      <c r="AE983" s="666"/>
      <c r="AF983" s="666"/>
      <c r="AG983" s="666"/>
      <c r="AH983" s="666"/>
      <c r="AI983" s="666"/>
      <c r="AJ983" s="666"/>
      <c r="AK983" s="666"/>
      <c r="AL983" s="666"/>
      <c r="AM983" s="666"/>
      <c r="AN983" s="666"/>
      <c r="AO983" s="666"/>
      <c r="AP983" s="666"/>
      <c r="AQ983" s="666"/>
      <c r="AR983" s="666"/>
      <c r="AS983" s="666"/>
      <c r="AT983" s="666"/>
      <c r="AU983" s="666"/>
    </row>
    <row r="984" ht="15.75" customHeight="1">
      <c r="A984" s="757">
        <v>44764.0</v>
      </c>
      <c r="B984" s="888" t="s">
        <v>8130</v>
      </c>
      <c r="C984" s="889" t="s">
        <v>98</v>
      </c>
      <c r="D984" s="890" t="s">
        <v>694</v>
      </c>
      <c r="E984" s="891">
        <v>82162.42</v>
      </c>
      <c r="F984" s="890" t="s">
        <v>4940</v>
      </c>
      <c r="G984" s="890" t="s">
        <v>120</v>
      </c>
      <c r="H984" s="890" t="s">
        <v>199</v>
      </c>
      <c r="I984" s="890" t="s">
        <v>4786</v>
      </c>
      <c r="J984" s="892">
        <v>44623.0</v>
      </c>
      <c r="K984" s="889" t="s">
        <v>2356</v>
      </c>
      <c r="L984" s="666"/>
      <c r="M984" s="666"/>
      <c r="N984" s="666"/>
      <c r="O984" s="666"/>
      <c r="P984" s="666"/>
      <c r="Q984" s="666"/>
      <c r="R984" s="666"/>
      <c r="S984" s="666"/>
      <c r="T984" s="666"/>
      <c r="U984" s="666"/>
      <c r="V984" s="666"/>
      <c r="W984" s="666"/>
      <c r="X984" s="666"/>
      <c r="Y984" s="666"/>
      <c r="Z984" s="666"/>
      <c r="AA984" s="666"/>
      <c r="AB984" s="666"/>
      <c r="AC984" s="666"/>
      <c r="AD984" s="666"/>
      <c r="AE984" s="666"/>
      <c r="AF984" s="666"/>
      <c r="AG984" s="666"/>
      <c r="AH984" s="666"/>
      <c r="AI984" s="666"/>
      <c r="AJ984" s="666"/>
      <c r="AK984" s="666"/>
      <c r="AL984" s="666"/>
      <c r="AM984" s="666"/>
      <c r="AN984" s="666"/>
      <c r="AO984" s="666"/>
      <c r="AP984" s="666"/>
      <c r="AQ984" s="666"/>
      <c r="AR984" s="666"/>
      <c r="AS984" s="666"/>
      <c r="AT984" s="666"/>
      <c r="AU984" s="666"/>
    </row>
    <row r="985" ht="15.75" customHeight="1">
      <c r="A985" s="757">
        <v>44764.0</v>
      </c>
      <c r="B985" s="888" t="s">
        <v>8131</v>
      </c>
      <c r="C985" s="889" t="s">
        <v>98</v>
      </c>
      <c r="D985" s="890" t="s">
        <v>694</v>
      </c>
      <c r="E985" s="891">
        <v>545597.31</v>
      </c>
      <c r="F985" s="890" t="s">
        <v>6797</v>
      </c>
      <c r="G985" s="890" t="s">
        <v>120</v>
      </c>
      <c r="H985" s="890" t="s">
        <v>199</v>
      </c>
      <c r="I985" s="890" t="s">
        <v>4786</v>
      </c>
      <c r="J985" s="892">
        <v>44434.0</v>
      </c>
      <c r="K985" s="889" t="s">
        <v>2356</v>
      </c>
      <c r="L985" s="666"/>
      <c r="M985" s="666"/>
      <c r="N985" s="666"/>
      <c r="O985" s="666"/>
      <c r="P985" s="666"/>
      <c r="Q985" s="666"/>
      <c r="R985" s="666"/>
      <c r="S985" s="666"/>
      <c r="T985" s="666"/>
      <c r="U985" s="666"/>
      <c r="V985" s="666"/>
      <c r="W985" s="666"/>
      <c r="X985" s="666"/>
      <c r="Y985" s="666"/>
      <c r="Z985" s="666"/>
      <c r="AA985" s="666"/>
      <c r="AB985" s="666"/>
      <c r="AC985" s="666"/>
      <c r="AD985" s="666"/>
      <c r="AE985" s="666"/>
      <c r="AF985" s="666"/>
      <c r="AG985" s="666"/>
      <c r="AH985" s="666"/>
      <c r="AI985" s="666"/>
      <c r="AJ985" s="666"/>
      <c r="AK985" s="666"/>
      <c r="AL985" s="666"/>
      <c r="AM985" s="666"/>
      <c r="AN985" s="666"/>
      <c r="AO985" s="666"/>
      <c r="AP985" s="666"/>
      <c r="AQ985" s="666"/>
      <c r="AR985" s="666"/>
      <c r="AS985" s="666"/>
      <c r="AT985" s="666"/>
      <c r="AU985" s="666"/>
    </row>
    <row r="986" ht="15.75" customHeight="1">
      <c r="A986" s="757">
        <v>44764.0</v>
      </c>
      <c r="B986" s="888" t="s">
        <v>7692</v>
      </c>
      <c r="C986" s="889" t="s">
        <v>98</v>
      </c>
      <c r="D986" s="890" t="s">
        <v>5038</v>
      </c>
      <c r="E986" s="891">
        <v>100000.0</v>
      </c>
      <c r="F986" s="890" t="s">
        <v>2434</v>
      </c>
      <c r="G986" s="890" t="s">
        <v>120</v>
      </c>
      <c r="H986" s="890" t="s">
        <v>54</v>
      </c>
      <c r="I986" s="890" t="s">
        <v>348</v>
      </c>
      <c r="J986" s="892">
        <v>44609.0</v>
      </c>
      <c r="K986" s="889" t="s">
        <v>2365</v>
      </c>
      <c r="L986" s="666"/>
      <c r="M986" s="666"/>
      <c r="N986" s="666"/>
      <c r="O986" s="666"/>
      <c r="P986" s="666"/>
      <c r="Q986" s="666"/>
      <c r="R986" s="666"/>
      <c r="S986" s="666"/>
      <c r="T986" s="666"/>
      <c r="U986" s="666"/>
      <c r="V986" s="666"/>
      <c r="W986" s="666"/>
      <c r="X986" s="666"/>
      <c r="Y986" s="666"/>
      <c r="Z986" s="666"/>
      <c r="AA986" s="666"/>
      <c r="AB986" s="666"/>
      <c r="AC986" s="666"/>
      <c r="AD986" s="666"/>
      <c r="AE986" s="666"/>
      <c r="AF986" s="666"/>
      <c r="AG986" s="666"/>
      <c r="AH986" s="666"/>
      <c r="AI986" s="666"/>
      <c r="AJ986" s="666"/>
      <c r="AK986" s="666"/>
      <c r="AL986" s="666"/>
      <c r="AM986" s="666"/>
      <c r="AN986" s="666"/>
      <c r="AO986" s="666"/>
      <c r="AP986" s="666"/>
      <c r="AQ986" s="666"/>
      <c r="AR986" s="666"/>
      <c r="AS986" s="666"/>
      <c r="AT986" s="666"/>
      <c r="AU986" s="666"/>
    </row>
    <row r="987" ht="15.75" customHeight="1">
      <c r="A987" s="757">
        <v>44765.0</v>
      </c>
      <c r="B987" s="888" t="s">
        <v>8138</v>
      </c>
      <c r="C987" s="889" t="s">
        <v>98</v>
      </c>
      <c r="D987" s="890" t="s">
        <v>694</v>
      </c>
      <c r="E987" s="891">
        <v>674420.41</v>
      </c>
      <c r="F987" s="890" t="s">
        <v>8139</v>
      </c>
      <c r="G987" s="890" t="s">
        <v>120</v>
      </c>
      <c r="H987" s="890" t="s">
        <v>199</v>
      </c>
      <c r="I987" s="890" t="s">
        <v>4786</v>
      </c>
      <c r="J987" s="892">
        <v>44370.0</v>
      </c>
      <c r="K987" s="889" t="s">
        <v>2356</v>
      </c>
      <c r="L987" s="666"/>
      <c r="M987" s="666"/>
      <c r="N987" s="666"/>
      <c r="O987" s="666"/>
      <c r="P987" s="666"/>
      <c r="Q987" s="666"/>
      <c r="R987" s="666"/>
      <c r="S987" s="666"/>
      <c r="T987" s="666"/>
      <c r="U987" s="666"/>
      <c r="V987" s="666"/>
      <c r="W987" s="666"/>
      <c r="X987" s="666"/>
      <c r="Y987" s="666"/>
      <c r="Z987" s="666"/>
      <c r="AA987" s="666"/>
      <c r="AB987" s="666"/>
      <c r="AC987" s="666"/>
      <c r="AD987" s="666"/>
      <c r="AE987" s="666"/>
      <c r="AF987" s="666"/>
      <c r="AG987" s="666"/>
      <c r="AH987" s="666"/>
      <c r="AI987" s="666"/>
      <c r="AJ987" s="666"/>
      <c r="AK987" s="666"/>
      <c r="AL987" s="666"/>
      <c r="AM987" s="666"/>
      <c r="AN987" s="666"/>
      <c r="AO987" s="666"/>
      <c r="AP987" s="666"/>
      <c r="AQ987" s="666"/>
      <c r="AR987" s="666"/>
      <c r="AS987" s="666"/>
      <c r="AT987" s="666"/>
      <c r="AU987" s="666"/>
    </row>
    <row r="988" ht="15.75" customHeight="1">
      <c r="A988" s="757">
        <v>44767.0</v>
      </c>
      <c r="B988" s="888" t="s">
        <v>8144</v>
      </c>
      <c r="C988" s="889" t="s">
        <v>98</v>
      </c>
      <c r="D988" s="890" t="s">
        <v>427</v>
      </c>
      <c r="E988" s="891">
        <v>152231.41</v>
      </c>
      <c r="F988" s="890" t="s">
        <v>4884</v>
      </c>
      <c r="G988" s="890" t="s">
        <v>120</v>
      </c>
      <c r="H988" s="890" t="s">
        <v>54</v>
      </c>
      <c r="I988" s="890" t="s">
        <v>379</v>
      </c>
      <c r="J988" s="892">
        <v>44251.0</v>
      </c>
      <c r="K988" s="889" t="s">
        <v>2372</v>
      </c>
      <c r="L988" s="666"/>
      <c r="M988" s="666"/>
      <c r="N988" s="666"/>
      <c r="O988" s="666"/>
      <c r="P988" s="666"/>
      <c r="Q988" s="666"/>
      <c r="R988" s="666"/>
      <c r="S988" s="666"/>
      <c r="T988" s="666"/>
      <c r="U988" s="666"/>
      <c r="V988" s="666"/>
      <c r="W988" s="666"/>
      <c r="X988" s="666"/>
      <c r="Y988" s="666"/>
      <c r="Z988" s="666"/>
      <c r="AA988" s="666"/>
      <c r="AB988" s="666"/>
      <c r="AC988" s="666"/>
      <c r="AD988" s="666"/>
      <c r="AE988" s="666"/>
      <c r="AF988" s="666"/>
      <c r="AG988" s="666"/>
      <c r="AH988" s="666"/>
      <c r="AI988" s="666"/>
      <c r="AJ988" s="666"/>
      <c r="AK988" s="666"/>
      <c r="AL988" s="666"/>
      <c r="AM988" s="666"/>
      <c r="AN988" s="666"/>
      <c r="AO988" s="666"/>
      <c r="AP988" s="666"/>
      <c r="AQ988" s="666"/>
      <c r="AR988" s="666"/>
      <c r="AS988" s="666"/>
      <c r="AT988" s="666"/>
      <c r="AU988" s="666"/>
    </row>
    <row r="989" ht="15.75" customHeight="1">
      <c r="A989" s="757">
        <v>44768.0</v>
      </c>
      <c r="B989" s="888" t="s">
        <v>7735</v>
      </c>
      <c r="C989" s="889" t="s">
        <v>98</v>
      </c>
      <c r="D989" s="890" t="s">
        <v>5038</v>
      </c>
      <c r="E989" s="891">
        <v>10000.0</v>
      </c>
      <c r="F989" s="890" t="s">
        <v>5344</v>
      </c>
      <c r="G989" s="890" t="s">
        <v>120</v>
      </c>
      <c r="H989" s="890" t="s">
        <v>54</v>
      </c>
      <c r="I989" s="890" t="s">
        <v>348</v>
      </c>
      <c r="J989" s="892">
        <v>44615.0</v>
      </c>
      <c r="K989" s="889" t="s">
        <v>2341</v>
      </c>
      <c r="L989" s="666"/>
      <c r="M989" s="666"/>
      <c r="N989" s="666"/>
      <c r="O989" s="666"/>
      <c r="P989" s="666"/>
      <c r="Q989" s="666"/>
      <c r="R989" s="666"/>
      <c r="S989" s="666"/>
      <c r="T989" s="666"/>
      <c r="U989" s="666"/>
      <c r="V989" s="666"/>
      <c r="W989" s="666"/>
      <c r="X989" s="666"/>
      <c r="Y989" s="666"/>
      <c r="Z989" s="666"/>
      <c r="AA989" s="666"/>
      <c r="AB989" s="666"/>
      <c r="AC989" s="666"/>
      <c r="AD989" s="666"/>
      <c r="AE989" s="666"/>
      <c r="AF989" s="666"/>
      <c r="AG989" s="666"/>
      <c r="AH989" s="666"/>
      <c r="AI989" s="666"/>
      <c r="AJ989" s="666"/>
      <c r="AK989" s="666"/>
      <c r="AL989" s="666"/>
      <c r="AM989" s="666"/>
      <c r="AN989" s="666"/>
      <c r="AO989" s="666"/>
      <c r="AP989" s="666"/>
      <c r="AQ989" s="666"/>
      <c r="AR989" s="666"/>
      <c r="AS989" s="666"/>
      <c r="AT989" s="666"/>
      <c r="AU989" s="666"/>
    </row>
    <row r="990" ht="15.75" customHeight="1">
      <c r="A990" s="757">
        <v>44768.0</v>
      </c>
      <c r="B990" s="888" t="s">
        <v>8149</v>
      </c>
      <c r="C990" s="889" t="s">
        <v>98</v>
      </c>
      <c r="D990" s="890" t="s">
        <v>5038</v>
      </c>
      <c r="E990" s="891">
        <v>20000.0</v>
      </c>
      <c r="F990" s="890" t="s">
        <v>8150</v>
      </c>
      <c r="G990" s="890" t="s">
        <v>120</v>
      </c>
      <c r="H990" s="890" t="s">
        <v>199</v>
      </c>
      <c r="I990" s="890" t="s">
        <v>803</v>
      </c>
      <c r="J990" s="892">
        <v>44460.0</v>
      </c>
      <c r="K990" s="889" t="s">
        <v>2356</v>
      </c>
      <c r="L990" s="666"/>
      <c r="M990" s="666"/>
      <c r="N990" s="666"/>
      <c r="O990" s="666"/>
      <c r="P990" s="666"/>
      <c r="Q990" s="666"/>
      <c r="R990" s="666"/>
      <c r="S990" s="666"/>
      <c r="T990" s="666"/>
      <c r="U990" s="666"/>
      <c r="V990" s="666"/>
      <c r="W990" s="666"/>
      <c r="X990" s="666"/>
      <c r="Y990" s="666"/>
      <c r="Z990" s="666"/>
      <c r="AA990" s="666"/>
      <c r="AB990" s="666"/>
      <c r="AC990" s="666"/>
      <c r="AD990" s="666"/>
      <c r="AE990" s="666"/>
      <c r="AF990" s="666"/>
      <c r="AG990" s="666"/>
      <c r="AH990" s="666"/>
      <c r="AI990" s="666"/>
      <c r="AJ990" s="666"/>
      <c r="AK990" s="666"/>
      <c r="AL990" s="666"/>
      <c r="AM990" s="666"/>
      <c r="AN990" s="666"/>
      <c r="AO990" s="666"/>
      <c r="AP990" s="666"/>
      <c r="AQ990" s="666"/>
      <c r="AR990" s="666"/>
      <c r="AS990" s="666"/>
      <c r="AT990" s="666"/>
      <c r="AU990" s="666"/>
    </row>
    <row r="991" ht="15.75" customHeight="1">
      <c r="A991" s="757">
        <v>44768.0</v>
      </c>
      <c r="B991" s="888" t="s">
        <v>8155</v>
      </c>
      <c r="C991" s="889" t="s">
        <v>98</v>
      </c>
      <c r="D991" s="890" t="s">
        <v>5038</v>
      </c>
      <c r="E991" s="891">
        <v>3000.0</v>
      </c>
      <c r="F991" s="890" t="s">
        <v>5934</v>
      </c>
      <c r="G991" s="890" t="s">
        <v>120</v>
      </c>
      <c r="H991" s="890" t="s">
        <v>199</v>
      </c>
      <c r="I991" s="890" t="s">
        <v>439</v>
      </c>
      <c r="J991" s="892">
        <v>44393.0</v>
      </c>
      <c r="K991" s="889" t="s">
        <v>2319</v>
      </c>
      <c r="L991" s="666"/>
      <c r="M991" s="666"/>
      <c r="N991" s="666"/>
      <c r="O991" s="666"/>
      <c r="P991" s="666"/>
      <c r="Q991" s="666"/>
      <c r="R991" s="666"/>
      <c r="S991" s="666"/>
      <c r="T991" s="666"/>
      <c r="U991" s="666"/>
      <c r="V991" s="666"/>
      <c r="W991" s="666"/>
      <c r="X991" s="666"/>
      <c r="Y991" s="666"/>
      <c r="Z991" s="666"/>
      <c r="AA991" s="666"/>
      <c r="AB991" s="666"/>
      <c r="AC991" s="666"/>
      <c r="AD991" s="666"/>
      <c r="AE991" s="666"/>
      <c r="AF991" s="666"/>
      <c r="AG991" s="666"/>
      <c r="AH991" s="666"/>
      <c r="AI991" s="666"/>
      <c r="AJ991" s="666"/>
      <c r="AK991" s="666"/>
      <c r="AL991" s="666"/>
      <c r="AM991" s="666"/>
      <c r="AN991" s="666"/>
      <c r="AO991" s="666"/>
      <c r="AP991" s="666"/>
      <c r="AQ991" s="666"/>
      <c r="AR991" s="666"/>
      <c r="AS991" s="666"/>
      <c r="AT991" s="666"/>
      <c r="AU991" s="666"/>
    </row>
    <row r="992" ht="15.75" customHeight="1">
      <c r="A992" s="757">
        <v>44768.0</v>
      </c>
      <c r="B992" s="888" t="s">
        <v>8156</v>
      </c>
      <c r="C992" s="889" t="s">
        <v>98</v>
      </c>
      <c r="D992" s="890" t="s">
        <v>5038</v>
      </c>
      <c r="E992" s="891">
        <v>5000.0</v>
      </c>
      <c r="F992" s="890" t="s">
        <v>1093</v>
      </c>
      <c r="G992" s="890" t="s">
        <v>120</v>
      </c>
      <c r="H992" s="890" t="s">
        <v>199</v>
      </c>
      <c r="I992" s="890" t="s">
        <v>1340</v>
      </c>
      <c r="J992" s="892">
        <v>44335.0</v>
      </c>
      <c r="K992" s="889" t="s">
        <v>2452</v>
      </c>
      <c r="L992" s="666"/>
      <c r="M992" s="666"/>
      <c r="N992" s="666"/>
      <c r="O992" s="666"/>
      <c r="P992" s="666"/>
      <c r="Q992" s="666"/>
      <c r="R992" s="666"/>
      <c r="S992" s="666"/>
      <c r="T992" s="666"/>
      <c r="U992" s="666"/>
      <c r="V992" s="666"/>
      <c r="W992" s="666"/>
      <c r="X992" s="666"/>
      <c r="Y992" s="666"/>
      <c r="Z992" s="666"/>
      <c r="AA992" s="666"/>
      <c r="AB992" s="666"/>
      <c r="AC992" s="666"/>
      <c r="AD992" s="666"/>
      <c r="AE992" s="666"/>
      <c r="AF992" s="666"/>
      <c r="AG992" s="666"/>
      <c r="AH992" s="666"/>
      <c r="AI992" s="666"/>
      <c r="AJ992" s="666"/>
      <c r="AK992" s="666"/>
      <c r="AL992" s="666"/>
      <c r="AM992" s="666"/>
      <c r="AN992" s="666"/>
      <c r="AO992" s="666"/>
      <c r="AP992" s="666"/>
      <c r="AQ992" s="666"/>
      <c r="AR992" s="666"/>
      <c r="AS992" s="666"/>
      <c r="AT992" s="666"/>
      <c r="AU992" s="666"/>
    </row>
    <row r="993" ht="15.75" customHeight="1">
      <c r="A993" s="757">
        <v>44768.0</v>
      </c>
      <c r="B993" s="888" t="s">
        <v>8158</v>
      </c>
      <c r="C993" s="889" t="s">
        <v>98</v>
      </c>
      <c r="D993" s="890" t="s">
        <v>5038</v>
      </c>
      <c r="E993" s="891">
        <v>18000.0</v>
      </c>
      <c r="F993" s="890" t="s">
        <v>4790</v>
      </c>
      <c r="G993" s="890" t="s">
        <v>120</v>
      </c>
      <c r="H993" s="890" t="s">
        <v>54</v>
      </c>
      <c r="I993" s="890" t="s">
        <v>4057</v>
      </c>
      <c r="J993" s="892">
        <v>44503.0</v>
      </c>
      <c r="K993" s="889" t="s">
        <v>2452</v>
      </c>
      <c r="L993" s="666"/>
      <c r="M993" s="666"/>
      <c r="N993" s="666"/>
      <c r="O993" s="666"/>
      <c r="P993" s="666"/>
      <c r="Q993" s="666"/>
      <c r="R993" s="666"/>
      <c r="S993" s="666"/>
      <c r="T993" s="666"/>
      <c r="U993" s="666"/>
      <c r="V993" s="666"/>
      <c r="W993" s="666"/>
      <c r="X993" s="666"/>
      <c r="Y993" s="666"/>
      <c r="Z993" s="666"/>
      <c r="AA993" s="666"/>
      <c r="AB993" s="666"/>
      <c r="AC993" s="666"/>
      <c r="AD993" s="666"/>
      <c r="AE993" s="666"/>
      <c r="AF993" s="666"/>
      <c r="AG993" s="666"/>
      <c r="AH993" s="666"/>
      <c r="AI993" s="666"/>
      <c r="AJ993" s="666"/>
      <c r="AK993" s="666"/>
      <c r="AL993" s="666"/>
      <c r="AM993" s="666"/>
      <c r="AN993" s="666"/>
      <c r="AO993" s="666"/>
      <c r="AP993" s="666"/>
      <c r="AQ993" s="666"/>
      <c r="AR993" s="666"/>
      <c r="AS993" s="666"/>
      <c r="AT993" s="666"/>
      <c r="AU993" s="666"/>
    </row>
    <row r="994" ht="15.75" customHeight="1">
      <c r="A994" s="757">
        <v>44769.0</v>
      </c>
      <c r="B994" s="888" t="s">
        <v>8160</v>
      </c>
      <c r="C994" s="889" t="s">
        <v>98</v>
      </c>
      <c r="D994" s="890" t="s">
        <v>694</v>
      </c>
      <c r="E994" s="891">
        <v>101231.24</v>
      </c>
      <c r="F994" s="890" t="s">
        <v>4539</v>
      </c>
      <c r="G994" s="890" t="s">
        <v>120</v>
      </c>
      <c r="H994" s="890" t="s">
        <v>54</v>
      </c>
      <c r="I994" s="890" t="s">
        <v>4057</v>
      </c>
      <c r="J994" s="892">
        <v>44462.0</v>
      </c>
      <c r="K994" s="889" t="s">
        <v>2341</v>
      </c>
      <c r="L994" s="666"/>
      <c r="M994" s="666"/>
      <c r="N994" s="666"/>
      <c r="O994" s="666"/>
      <c r="P994" s="666"/>
      <c r="Q994" s="666"/>
      <c r="R994" s="666"/>
      <c r="S994" s="666"/>
      <c r="T994" s="666"/>
      <c r="U994" s="666"/>
      <c r="V994" s="666"/>
      <c r="W994" s="666"/>
      <c r="X994" s="666"/>
      <c r="Y994" s="666"/>
      <c r="Z994" s="666"/>
      <c r="AA994" s="666"/>
      <c r="AB994" s="666"/>
      <c r="AC994" s="666"/>
      <c r="AD994" s="666"/>
      <c r="AE994" s="666"/>
      <c r="AF994" s="666"/>
      <c r="AG994" s="666"/>
      <c r="AH994" s="666"/>
      <c r="AI994" s="666"/>
      <c r="AJ994" s="666"/>
      <c r="AK994" s="666"/>
      <c r="AL994" s="666"/>
      <c r="AM994" s="666"/>
      <c r="AN994" s="666"/>
      <c r="AO994" s="666"/>
      <c r="AP994" s="666"/>
      <c r="AQ994" s="666"/>
      <c r="AR994" s="666"/>
      <c r="AS994" s="666"/>
      <c r="AT994" s="666"/>
      <c r="AU994" s="666"/>
    </row>
    <row r="995" ht="15.75" customHeight="1">
      <c r="A995" s="757">
        <v>44769.0</v>
      </c>
      <c r="B995" s="888" t="s">
        <v>510</v>
      </c>
      <c r="C995" s="889" t="s">
        <v>202</v>
      </c>
      <c r="D995" s="890" t="s">
        <v>5038</v>
      </c>
      <c r="E995" s="891">
        <v>8500.0</v>
      </c>
      <c r="F995" s="890" t="s">
        <v>508</v>
      </c>
      <c r="G995" s="890" t="s">
        <v>120</v>
      </c>
      <c r="H995" s="890" t="s">
        <v>199</v>
      </c>
      <c r="I995" s="890" t="s">
        <v>4632</v>
      </c>
      <c r="J995" s="892">
        <v>44062.0</v>
      </c>
      <c r="K995" s="889" t="s">
        <v>2341</v>
      </c>
      <c r="L995" s="666"/>
      <c r="M995" s="666"/>
      <c r="N995" s="666"/>
      <c r="O995" s="666"/>
      <c r="P995" s="666"/>
      <c r="Q995" s="666"/>
      <c r="R995" s="666"/>
      <c r="S995" s="666"/>
      <c r="T995" s="666"/>
      <c r="U995" s="666"/>
      <c r="V995" s="666"/>
      <c r="W995" s="666"/>
      <c r="X995" s="666"/>
      <c r="Y995" s="666"/>
      <c r="Z995" s="666"/>
      <c r="AA995" s="666"/>
      <c r="AB995" s="666"/>
      <c r="AC995" s="666"/>
      <c r="AD995" s="666"/>
      <c r="AE995" s="666"/>
      <c r="AF995" s="666"/>
      <c r="AG995" s="666"/>
      <c r="AH995" s="666"/>
      <c r="AI995" s="666"/>
      <c r="AJ995" s="666"/>
      <c r="AK995" s="666"/>
      <c r="AL995" s="666"/>
      <c r="AM995" s="666"/>
      <c r="AN995" s="666"/>
      <c r="AO995" s="666"/>
      <c r="AP995" s="666"/>
      <c r="AQ995" s="666"/>
      <c r="AR995" s="666"/>
      <c r="AS995" s="666"/>
      <c r="AT995" s="666"/>
      <c r="AU995" s="666"/>
    </row>
    <row r="996" ht="15.75" customHeight="1">
      <c r="A996" s="757">
        <v>44769.0</v>
      </c>
      <c r="B996" s="888" t="s">
        <v>7804</v>
      </c>
      <c r="C996" s="889" t="s">
        <v>98</v>
      </c>
      <c r="D996" s="890" t="s">
        <v>5038</v>
      </c>
      <c r="E996" s="891">
        <v>90000.0</v>
      </c>
      <c r="F996" s="890" t="s">
        <v>7805</v>
      </c>
      <c r="G996" s="890" t="s">
        <v>120</v>
      </c>
      <c r="H996" s="890" t="s">
        <v>54</v>
      </c>
      <c r="I996" s="890" t="s">
        <v>348</v>
      </c>
      <c r="J996" s="892">
        <v>44645.0</v>
      </c>
      <c r="K996" s="889" t="s">
        <v>2341</v>
      </c>
      <c r="L996" s="666"/>
      <c r="M996" s="666"/>
      <c r="N996" s="666"/>
      <c r="O996" s="666"/>
      <c r="P996" s="666"/>
      <c r="Q996" s="666"/>
      <c r="R996" s="666"/>
      <c r="S996" s="666"/>
      <c r="T996" s="666"/>
      <c r="U996" s="666"/>
      <c r="V996" s="666"/>
      <c r="W996" s="666"/>
      <c r="X996" s="666"/>
      <c r="Y996" s="666"/>
      <c r="Z996" s="666"/>
      <c r="AA996" s="666"/>
      <c r="AB996" s="666"/>
      <c r="AC996" s="666"/>
      <c r="AD996" s="666"/>
      <c r="AE996" s="666"/>
      <c r="AF996" s="666"/>
      <c r="AG996" s="666"/>
      <c r="AH996" s="666"/>
      <c r="AI996" s="666"/>
      <c r="AJ996" s="666"/>
      <c r="AK996" s="666"/>
      <c r="AL996" s="666"/>
      <c r="AM996" s="666"/>
      <c r="AN996" s="666"/>
      <c r="AO996" s="666"/>
      <c r="AP996" s="666"/>
      <c r="AQ996" s="666"/>
      <c r="AR996" s="666"/>
      <c r="AS996" s="666"/>
      <c r="AT996" s="666"/>
      <c r="AU996" s="666"/>
    </row>
    <row r="997" ht="15.75" customHeight="1">
      <c r="A997" s="757">
        <v>44769.0</v>
      </c>
      <c r="B997" s="888" t="s">
        <v>8167</v>
      </c>
      <c r="C997" s="889" t="s">
        <v>98</v>
      </c>
      <c r="D997" s="890" t="s">
        <v>694</v>
      </c>
      <c r="E997" s="891">
        <v>5000.0</v>
      </c>
      <c r="F997" s="890" t="s">
        <v>6570</v>
      </c>
      <c r="G997" s="890" t="s">
        <v>120</v>
      </c>
      <c r="H997" s="890" t="s">
        <v>54</v>
      </c>
      <c r="I997" s="890" t="s">
        <v>379</v>
      </c>
      <c r="J997" s="892">
        <v>44619.0</v>
      </c>
      <c r="K997" s="889" t="s">
        <v>2372</v>
      </c>
      <c r="L997" s="666"/>
      <c r="M997" s="666"/>
      <c r="N997" s="666"/>
      <c r="O997" s="666"/>
      <c r="P997" s="666"/>
      <c r="Q997" s="666"/>
      <c r="R997" s="666"/>
      <c r="S997" s="666"/>
      <c r="T997" s="666"/>
      <c r="U997" s="666"/>
      <c r="V997" s="666"/>
      <c r="W997" s="666"/>
      <c r="X997" s="666"/>
      <c r="Y997" s="666"/>
      <c r="Z997" s="666"/>
      <c r="AA997" s="666"/>
      <c r="AB997" s="666"/>
      <c r="AC997" s="666"/>
      <c r="AD997" s="666"/>
      <c r="AE997" s="666"/>
      <c r="AF997" s="666"/>
      <c r="AG997" s="666"/>
      <c r="AH997" s="666"/>
      <c r="AI997" s="666"/>
      <c r="AJ997" s="666"/>
      <c r="AK997" s="666"/>
      <c r="AL997" s="666"/>
      <c r="AM997" s="666"/>
      <c r="AN997" s="666"/>
      <c r="AO997" s="666"/>
      <c r="AP997" s="666"/>
      <c r="AQ997" s="666"/>
      <c r="AR997" s="666"/>
      <c r="AS997" s="666"/>
      <c r="AT997" s="666"/>
      <c r="AU997" s="666"/>
    </row>
    <row r="998" ht="15.75" customHeight="1">
      <c r="A998" s="713">
        <v>44769.0</v>
      </c>
      <c r="B998" s="894" t="s">
        <v>8168</v>
      </c>
      <c r="C998" s="895" t="s">
        <v>98</v>
      </c>
      <c r="D998" s="867" t="s">
        <v>5038</v>
      </c>
      <c r="E998" s="896">
        <v>55000.0</v>
      </c>
      <c r="F998" s="867" t="s">
        <v>6708</v>
      </c>
      <c r="G998" s="869" t="s">
        <v>120</v>
      </c>
      <c r="H998" s="869" t="s">
        <v>54</v>
      </c>
      <c r="I998" s="869" t="s">
        <v>348</v>
      </c>
      <c r="J998" s="869">
        <v>44613.0</v>
      </c>
      <c r="K998" s="869" t="s">
        <v>3716</v>
      </c>
      <c r="L998" s="666"/>
      <c r="M998" s="666"/>
      <c r="N998" s="666"/>
      <c r="O998" s="666"/>
      <c r="P998" s="666"/>
      <c r="Q998" s="666"/>
      <c r="R998" s="666"/>
      <c r="S998" s="666"/>
      <c r="T998" s="666"/>
      <c r="U998" s="666"/>
      <c r="V998" s="666"/>
      <c r="W998" s="666"/>
      <c r="X998" s="666"/>
      <c r="Y998" s="666"/>
      <c r="Z998" s="666"/>
      <c r="AA998" s="666"/>
      <c r="AB998" s="666"/>
      <c r="AC998" s="666"/>
      <c r="AD998" s="666"/>
      <c r="AE998" s="666"/>
      <c r="AF998" s="666"/>
      <c r="AG998" s="666"/>
      <c r="AH998" s="666"/>
      <c r="AI998" s="666"/>
      <c r="AJ998" s="666"/>
      <c r="AK998" s="666"/>
      <c r="AL998" s="666"/>
      <c r="AM998" s="666"/>
      <c r="AN998" s="666"/>
      <c r="AO998" s="666"/>
      <c r="AP998" s="666"/>
      <c r="AQ998" s="666"/>
      <c r="AR998" s="666"/>
      <c r="AS998" s="666"/>
      <c r="AT998" s="666"/>
      <c r="AU998" s="666"/>
    </row>
    <row r="999" ht="15.75" customHeight="1">
      <c r="A999" s="713">
        <v>44769.0</v>
      </c>
      <c r="B999" s="894" t="s">
        <v>8171</v>
      </c>
      <c r="C999" s="895" t="s">
        <v>98</v>
      </c>
      <c r="D999" s="867" t="s">
        <v>5038</v>
      </c>
      <c r="E999" s="896">
        <v>10000.0</v>
      </c>
      <c r="F999" s="867" t="s">
        <v>8172</v>
      </c>
      <c r="G999" s="869" t="s">
        <v>120</v>
      </c>
      <c r="H999" s="869" t="s">
        <v>54</v>
      </c>
      <c r="I999" s="869" t="s">
        <v>379</v>
      </c>
      <c r="J999" s="869">
        <v>44824.0</v>
      </c>
      <c r="K999" s="869" t="s">
        <v>2356</v>
      </c>
      <c r="L999" s="666"/>
      <c r="M999" s="666"/>
      <c r="N999" s="666"/>
      <c r="O999" s="666"/>
      <c r="P999" s="666"/>
      <c r="Q999" s="666"/>
      <c r="R999" s="666"/>
      <c r="S999" s="666"/>
      <c r="T999" s="666"/>
      <c r="U999" s="666"/>
      <c r="V999" s="666"/>
      <c r="W999" s="666"/>
      <c r="X999" s="666"/>
      <c r="Y999" s="666"/>
      <c r="Z999" s="666"/>
      <c r="AA999" s="666"/>
      <c r="AB999" s="666"/>
      <c r="AC999" s="666"/>
      <c r="AD999" s="666"/>
      <c r="AE999" s="666"/>
      <c r="AF999" s="666"/>
      <c r="AG999" s="666"/>
      <c r="AH999" s="666"/>
      <c r="AI999" s="666"/>
      <c r="AJ999" s="666"/>
      <c r="AK999" s="666"/>
      <c r="AL999" s="666"/>
      <c r="AM999" s="666"/>
      <c r="AN999" s="666"/>
      <c r="AO999" s="666"/>
      <c r="AP999" s="666"/>
      <c r="AQ999" s="666"/>
      <c r="AR999" s="666"/>
      <c r="AS999" s="666"/>
      <c r="AT999" s="666"/>
      <c r="AU999" s="666"/>
    </row>
    <row r="1000" ht="15.75" customHeight="1">
      <c r="A1000" s="757">
        <v>44774.0</v>
      </c>
      <c r="B1000" s="888" t="s">
        <v>5724</v>
      </c>
      <c r="C1000" s="889" t="s">
        <v>98</v>
      </c>
      <c r="D1000" s="890" t="s">
        <v>5038</v>
      </c>
      <c r="E1000" s="891">
        <v>25000.0</v>
      </c>
      <c r="F1000" s="890" t="s">
        <v>5042</v>
      </c>
      <c r="G1000" s="890" t="s">
        <v>255</v>
      </c>
      <c r="H1000" s="890" t="s">
        <v>199</v>
      </c>
      <c r="I1000" s="890" t="s">
        <v>2587</v>
      </c>
      <c r="J1000" s="892">
        <v>44263.0</v>
      </c>
      <c r="K1000" s="889" t="s">
        <v>2341</v>
      </c>
      <c r="L1000" s="666"/>
      <c r="M1000" s="666"/>
      <c r="N1000" s="666"/>
      <c r="O1000" s="666"/>
      <c r="P1000" s="666"/>
      <c r="Q1000" s="666"/>
      <c r="R1000" s="666"/>
      <c r="S1000" s="666"/>
      <c r="T1000" s="666"/>
      <c r="U1000" s="666"/>
      <c r="V1000" s="666"/>
      <c r="W1000" s="666"/>
      <c r="X1000" s="666"/>
      <c r="Y1000" s="666"/>
      <c r="Z1000" s="666"/>
      <c r="AA1000" s="666"/>
      <c r="AB1000" s="666"/>
      <c r="AC1000" s="666"/>
      <c r="AD1000" s="666"/>
      <c r="AE1000" s="666"/>
      <c r="AF1000" s="666"/>
      <c r="AG1000" s="666"/>
      <c r="AH1000" s="666"/>
      <c r="AI1000" s="666"/>
      <c r="AJ1000" s="666"/>
      <c r="AK1000" s="666"/>
      <c r="AL1000" s="666"/>
      <c r="AM1000" s="666"/>
      <c r="AN1000" s="666"/>
      <c r="AO1000" s="666"/>
      <c r="AP1000" s="666"/>
      <c r="AQ1000" s="666"/>
      <c r="AR1000" s="666"/>
      <c r="AS1000" s="666"/>
      <c r="AT1000" s="666"/>
      <c r="AU1000" s="666"/>
    </row>
    <row r="1001" ht="15.75" customHeight="1">
      <c r="A1001" s="757">
        <v>44774.0</v>
      </c>
      <c r="B1001" s="888" t="s">
        <v>8176</v>
      </c>
      <c r="C1001" s="889" t="s">
        <v>98</v>
      </c>
      <c r="D1001" s="890" t="s">
        <v>694</v>
      </c>
      <c r="E1001" s="891">
        <v>120608.02</v>
      </c>
      <c r="F1001" s="890" t="s">
        <v>8177</v>
      </c>
      <c r="G1001" s="890" t="s">
        <v>120</v>
      </c>
      <c r="H1001" s="890" t="s">
        <v>199</v>
      </c>
      <c r="I1001" s="890" t="s">
        <v>4786</v>
      </c>
      <c r="J1001" s="892">
        <v>44623.0</v>
      </c>
      <c r="K1001" s="889" t="s">
        <v>2356</v>
      </c>
      <c r="L1001" s="666"/>
      <c r="M1001" s="666"/>
      <c r="N1001" s="666"/>
      <c r="O1001" s="666"/>
      <c r="P1001" s="666"/>
      <c r="Q1001" s="666"/>
      <c r="R1001" s="666"/>
      <c r="S1001" s="666"/>
      <c r="T1001" s="666"/>
      <c r="U1001" s="666"/>
      <c r="V1001" s="666"/>
      <c r="W1001" s="666"/>
      <c r="X1001" s="666"/>
      <c r="Y1001" s="666"/>
      <c r="Z1001" s="666"/>
      <c r="AA1001" s="666"/>
      <c r="AB1001" s="666"/>
      <c r="AC1001" s="666"/>
      <c r="AD1001" s="666"/>
      <c r="AE1001" s="666"/>
      <c r="AF1001" s="666"/>
      <c r="AG1001" s="666"/>
      <c r="AH1001" s="666"/>
      <c r="AI1001" s="666"/>
      <c r="AJ1001" s="666"/>
      <c r="AK1001" s="666"/>
      <c r="AL1001" s="666"/>
      <c r="AM1001" s="666"/>
      <c r="AN1001" s="666"/>
      <c r="AO1001" s="666"/>
      <c r="AP1001" s="666"/>
      <c r="AQ1001" s="666"/>
      <c r="AR1001" s="666"/>
      <c r="AS1001" s="666"/>
      <c r="AT1001" s="666"/>
      <c r="AU1001" s="666"/>
    </row>
    <row r="1002" ht="15.75" customHeight="1">
      <c r="A1002" s="757">
        <v>44775.0</v>
      </c>
      <c r="B1002" s="888" t="s">
        <v>8183</v>
      </c>
      <c r="C1002" s="889" t="s">
        <v>98</v>
      </c>
      <c r="D1002" s="890" t="s">
        <v>694</v>
      </c>
      <c r="E1002" s="891">
        <v>181532.44</v>
      </c>
      <c r="F1002" s="890" t="s">
        <v>6176</v>
      </c>
      <c r="G1002" s="890" t="s">
        <v>120</v>
      </c>
      <c r="H1002" s="890" t="s">
        <v>54</v>
      </c>
      <c r="I1002" s="890" t="s">
        <v>4777</v>
      </c>
      <c r="J1002" s="892">
        <v>44376.0</v>
      </c>
      <c r="K1002" s="889" t="s">
        <v>2372</v>
      </c>
      <c r="L1002" s="666"/>
      <c r="M1002" s="666"/>
      <c r="N1002" s="666"/>
      <c r="O1002" s="666"/>
      <c r="P1002" s="666"/>
      <c r="Q1002" s="666"/>
      <c r="R1002" s="666"/>
      <c r="S1002" s="666"/>
      <c r="T1002" s="666"/>
      <c r="U1002" s="666"/>
      <c r="V1002" s="666"/>
      <c r="W1002" s="666"/>
      <c r="X1002" s="666"/>
      <c r="Y1002" s="666"/>
      <c r="Z1002" s="666"/>
      <c r="AA1002" s="666"/>
      <c r="AB1002" s="666"/>
      <c r="AC1002" s="666"/>
      <c r="AD1002" s="666"/>
      <c r="AE1002" s="666"/>
      <c r="AF1002" s="666"/>
      <c r="AG1002" s="666"/>
      <c r="AH1002" s="666"/>
      <c r="AI1002" s="666"/>
      <c r="AJ1002" s="666"/>
      <c r="AK1002" s="666"/>
      <c r="AL1002" s="666"/>
      <c r="AM1002" s="666"/>
      <c r="AN1002" s="666"/>
      <c r="AO1002" s="666"/>
      <c r="AP1002" s="666"/>
      <c r="AQ1002" s="666"/>
      <c r="AR1002" s="666"/>
      <c r="AS1002" s="666"/>
      <c r="AT1002" s="666"/>
      <c r="AU1002" s="666"/>
    </row>
    <row r="1003" ht="15.75" customHeight="1">
      <c r="A1003" s="757">
        <v>44776.0</v>
      </c>
      <c r="B1003" s="888" t="s">
        <v>7936</v>
      </c>
      <c r="C1003" s="889" t="s">
        <v>98</v>
      </c>
      <c r="D1003" s="890" t="s">
        <v>5038</v>
      </c>
      <c r="E1003" s="891">
        <v>200000.0</v>
      </c>
      <c r="F1003" s="890" t="s">
        <v>7938</v>
      </c>
      <c r="G1003" s="890" t="s">
        <v>120</v>
      </c>
      <c r="H1003" s="890" t="s">
        <v>54</v>
      </c>
      <c r="I1003" s="890" t="s">
        <v>4846</v>
      </c>
      <c r="J1003" s="892">
        <v>44454.0</v>
      </c>
      <c r="K1003" s="889" t="s">
        <v>2341</v>
      </c>
      <c r="L1003" s="666"/>
      <c r="M1003" s="666"/>
      <c r="N1003" s="666"/>
      <c r="O1003" s="666"/>
      <c r="P1003" s="666"/>
      <c r="Q1003" s="666"/>
      <c r="R1003" s="666"/>
      <c r="S1003" s="666"/>
      <c r="T1003" s="666"/>
      <c r="U1003" s="666"/>
      <c r="V1003" s="666"/>
      <c r="W1003" s="666"/>
      <c r="X1003" s="666"/>
      <c r="Y1003" s="666"/>
      <c r="Z1003" s="666"/>
      <c r="AA1003" s="666"/>
      <c r="AB1003" s="666"/>
      <c r="AC1003" s="666"/>
      <c r="AD1003" s="666"/>
      <c r="AE1003" s="666"/>
      <c r="AF1003" s="666"/>
      <c r="AG1003" s="666"/>
      <c r="AH1003" s="666"/>
      <c r="AI1003" s="666"/>
      <c r="AJ1003" s="666"/>
      <c r="AK1003" s="666"/>
      <c r="AL1003" s="666"/>
      <c r="AM1003" s="666"/>
      <c r="AN1003" s="666"/>
      <c r="AO1003" s="666"/>
      <c r="AP1003" s="666"/>
      <c r="AQ1003" s="666"/>
      <c r="AR1003" s="666"/>
      <c r="AS1003" s="666"/>
      <c r="AT1003" s="666"/>
      <c r="AU1003" s="666"/>
    </row>
    <row r="1004" ht="15.75" customHeight="1">
      <c r="A1004" s="757">
        <v>44777.0</v>
      </c>
      <c r="B1004" s="888" t="s">
        <v>8188</v>
      </c>
      <c r="C1004" s="889" t="s">
        <v>98</v>
      </c>
      <c r="D1004" s="890" t="s">
        <v>5038</v>
      </c>
      <c r="E1004" s="891">
        <v>25000.0</v>
      </c>
      <c r="F1004" s="890" t="s">
        <v>6666</v>
      </c>
      <c r="G1004" s="890" t="s">
        <v>120</v>
      </c>
      <c r="H1004" s="890" t="s">
        <v>199</v>
      </c>
      <c r="I1004" s="890" t="s">
        <v>212</v>
      </c>
      <c r="J1004" s="892">
        <v>44385.0</v>
      </c>
      <c r="K1004" s="889" t="s">
        <v>2452</v>
      </c>
      <c r="L1004" s="666"/>
      <c r="M1004" s="666"/>
      <c r="N1004" s="666"/>
      <c r="O1004" s="666"/>
      <c r="P1004" s="666"/>
      <c r="Q1004" s="666"/>
      <c r="R1004" s="666"/>
      <c r="S1004" s="666"/>
      <c r="T1004" s="666"/>
      <c r="U1004" s="666"/>
      <c r="V1004" s="666"/>
      <c r="W1004" s="666"/>
      <c r="X1004" s="666"/>
      <c r="Y1004" s="666"/>
      <c r="Z1004" s="666"/>
      <c r="AA1004" s="666"/>
      <c r="AB1004" s="666"/>
      <c r="AC1004" s="666"/>
      <c r="AD1004" s="666"/>
      <c r="AE1004" s="666"/>
      <c r="AF1004" s="666"/>
      <c r="AG1004" s="666"/>
      <c r="AH1004" s="666"/>
      <c r="AI1004" s="666"/>
      <c r="AJ1004" s="666"/>
      <c r="AK1004" s="666"/>
      <c r="AL1004" s="666"/>
      <c r="AM1004" s="666"/>
      <c r="AN1004" s="666"/>
      <c r="AO1004" s="666"/>
      <c r="AP1004" s="666"/>
      <c r="AQ1004" s="666"/>
      <c r="AR1004" s="666"/>
      <c r="AS1004" s="666"/>
      <c r="AT1004" s="666"/>
      <c r="AU1004" s="666"/>
    </row>
    <row r="1005" ht="15.75" customHeight="1">
      <c r="A1005" s="757">
        <v>44777.0</v>
      </c>
      <c r="B1005" s="888" t="s">
        <v>8144</v>
      </c>
      <c r="C1005" s="889" t="s">
        <v>98</v>
      </c>
      <c r="D1005" s="890" t="s">
        <v>694</v>
      </c>
      <c r="E1005" s="891">
        <v>1473.07</v>
      </c>
      <c r="F1005" s="890" t="s">
        <v>4884</v>
      </c>
      <c r="G1005" s="890" t="s">
        <v>120</v>
      </c>
      <c r="H1005" s="890" t="s">
        <v>54</v>
      </c>
      <c r="I1005" s="890" t="s">
        <v>379</v>
      </c>
      <c r="J1005" s="892">
        <v>44251.0</v>
      </c>
      <c r="K1005" s="889" t="s">
        <v>2372</v>
      </c>
      <c r="L1005" s="666"/>
      <c r="M1005" s="666"/>
      <c r="N1005" s="666"/>
      <c r="O1005" s="666"/>
      <c r="P1005" s="666"/>
      <c r="Q1005" s="666"/>
      <c r="R1005" s="666"/>
      <c r="S1005" s="666"/>
      <c r="T1005" s="666"/>
      <c r="U1005" s="666"/>
      <c r="V1005" s="666"/>
      <c r="W1005" s="666"/>
      <c r="X1005" s="666"/>
      <c r="Y1005" s="666"/>
      <c r="Z1005" s="666"/>
      <c r="AA1005" s="666"/>
      <c r="AB1005" s="666"/>
      <c r="AC1005" s="666"/>
      <c r="AD1005" s="666"/>
      <c r="AE1005" s="666"/>
      <c r="AF1005" s="666"/>
      <c r="AG1005" s="666"/>
      <c r="AH1005" s="666"/>
      <c r="AI1005" s="666"/>
      <c r="AJ1005" s="666"/>
      <c r="AK1005" s="666"/>
      <c r="AL1005" s="666"/>
      <c r="AM1005" s="666"/>
      <c r="AN1005" s="666"/>
      <c r="AO1005" s="666"/>
      <c r="AP1005" s="666"/>
      <c r="AQ1005" s="666"/>
      <c r="AR1005" s="666"/>
      <c r="AS1005" s="666"/>
      <c r="AT1005" s="666"/>
      <c r="AU1005" s="666"/>
    </row>
    <row r="1006" ht="15.75" customHeight="1">
      <c r="A1006" s="757">
        <v>44777.0</v>
      </c>
      <c r="B1006" s="888" t="s">
        <v>7971</v>
      </c>
      <c r="C1006" s="889" t="s">
        <v>2346</v>
      </c>
      <c r="D1006" s="890" t="s">
        <v>694</v>
      </c>
      <c r="E1006" s="891">
        <v>74385.52</v>
      </c>
      <c r="F1006" s="890" t="s">
        <v>6282</v>
      </c>
      <c r="G1006" s="890" t="s">
        <v>120</v>
      </c>
      <c r="H1006" s="890" t="s">
        <v>91</v>
      </c>
      <c r="I1006" s="890" t="s">
        <v>699</v>
      </c>
      <c r="J1006" s="892">
        <v>44568.0</v>
      </c>
      <c r="K1006" s="889" t="s">
        <v>2356</v>
      </c>
      <c r="L1006" s="666"/>
      <c r="M1006" s="666"/>
      <c r="N1006" s="666"/>
      <c r="O1006" s="666"/>
      <c r="P1006" s="666"/>
      <c r="Q1006" s="666"/>
      <c r="R1006" s="666"/>
      <c r="S1006" s="666"/>
      <c r="T1006" s="666"/>
      <c r="U1006" s="666"/>
      <c r="V1006" s="666"/>
      <c r="W1006" s="666"/>
      <c r="X1006" s="666"/>
      <c r="Y1006" s="666"/>
      <c r="Z1006" s="666"/>
      <c r="AA1006" s="666"/>
      <c r="AB1006" s="666"/>
      <c r="AC1006" s="666"/>
      <c r="AD1006" s="666"/>
      <c r="AE1006" s="666"/>
      <c r="AF1006" s="666"/>
      <c r="AG1006" s="666"/>
      <c r="AH1006" s="666"/>
      <c r="AI1006" s="666"/>
      <c r="AJ1006" s="666"/>
      <c r="AK1006" s="666"/>
      <c r="AL1006" s="666"/>
      <c r="AM1006" s="666"/>
      <c r="AN1006" s="666"/>
      <c r="AO1006" s="666"/>
      <c r="AP1006" s="666"/>
      <c r="AQ1006" s="666"/>
      <c r="AR1006" s="666"/>
      <c r="AS1006" s="666"/>
      <c r="AT1006" s="666"/>
      <c r="AU1006" s="666"/>
    </row>
    <row r="1007" ht="15.75" customHeight="1">
      <c r="A1007" s="757">
        <v>44781.0</v>
      </c>
      <c r="B1007" s="888" t="s">
        <v>8194</v>
      </c>
      <c r="C1007" s="889" t="s">
        <v>98</v>
      </c>
      <c r="D1007" s="890" t="s">
        <v>5038</v>
      </c>
      <c r="E1007" s="891">
        <v>7000.0</v>
      </c>
      <c r="F1007" s="890" t="s">
        <v>8195</v>
      </c>
      <c r="G1007" s="890" t="s">
        <v>120</v>
      </c>
      <c r="H1007" s="890" t="s">
        <v>54</v>
      </c>
      <c r="I1007" s="890" t="s">
        <v>348</v>
      </c>
      <c r="J1007" s="892">
        <v>44673.0</v>
      </c>
      <c r="K1007" s="889" t="s">
        <v>2365</v>
      </c>
      <c r="L1007" s="666"/>
      <c r="M1007" s="666"/>
      <c r="N1007" s="666"/>
      <c r="O1007" s="666"/>
      <c r="P1007" s="666"/>
      <c r="Q1007" s="666"/>
      <c r="R1007" s="666"/>
      <c r="S1007" s="666"/>
      <c r="T1007" s="666"/>
      <c r="U1007" s="666"/>
      <c r="V1007" s="666"/>
      <c r="W1007" s="666"/>
      <c r="X1007" s="666"/>
      <c r="Y1007" s="666"/>
      <c r="Z1007" s="666"/>
      <c r="AA1007" s="666"/>
      <c r="AB1007" s="666"/>
      <c r="AC1007" s="666"/>
      <c r="AD1007" s="666"/>
      <c r="AE1007" s="666"/>
      <c r="AF1007" s="666"/>
      <c r="AG1007" s="666"/>
      <c r="AH1007" s="666"/>
      <c r="AI1007" s="666"/>
      <c r="AJ1007" s="666"/>
      <c r="AK1007" s="666"/>
      <c r="AL1007" s="666"/>
      <c r="AM1007" s="666"/>
      <c r="AN1007" s="666"/>
      <c r="AO1007" s="666"/>
      <c r="AP1007" s="666"/>
      <c r="AQ1007" s="666"/>
      <c r="AR1007" s="666"/>
      <c r="AS1007" s="666"/>
      <c r="AT1007" s="666"/>
      <c r="AU1007" s="666"/>
    </row>
    <row r="1008" ht="15.75" customHeight="1">
      <c r="A1008" s="757">
        <v>44781.0</v>
      </c>
      <c r="B1008" s="888" t="s">
        <v>8196</v>
      </c>
      <c r="C1008" s="889" t="s">
        <v>98</v>
      </c>
      <c r="D1008" s="890" t="s">
        <v>694</v>
      </c>
      <c r="E1008" s="891">
        <v>157156.82</v>
      </c>
      <c r="F1008" s="890" t="s">
        <v>8197</v>
      </c>
      <c r="G1008" s="890" t="s">
        <v>120</v>
      </c>
      <c r="H1008" s="890" t="s">
        <v>199</v>
      </c>
      <c r="I1008" s="890" t="s">
        <v>4715</v>
      </c>
      <c r="J1008" s="892">
        <v>44277.0</v>
      </c>
      <c r="K1008" s="889" t="s">
        <v>2365</v>
      </c>
      <c r="L1008" s="666"/>
      <c r="M1008" s="666"/>
      <c r="N1008" s="666"/>
      <c r="O1008" s="666"/>
      <c r="P1008" s="666"/>
      <c r="Q1008" s="666"/>
      <c r="R1008" s="666"/>
      <c r="S1008" s="666"/>
      <c r="T1008" s="666"/>
      <c r="U1008" s="666"/>
      <c r="V1008" s="666"/>
      <c r="W1008" s="666"/>
      <c r="X1008" s="666"/>
      <c r="Y1008" s="666"/>
      <c r="Z1008" s="666"/>
      <c r="AA1008" s="666"/>
      <c r="AB1008" s="666"/>
      <c r="AC1008" s="666"/>
      <c r="AD1008" s="666"/>
      <c r="AE1008" s="666"/>
      <c r="AF1008" s="666"/>
      <c r="AG1008" s="666"/>
      <c r="AH1008" s="666"/>
      <c r="AI1008" s="666"/>
      <c r="AJ1008" s="666"/>
      <c r="AK1008" s="666"/>
      <c r="AL1008" s="666"/>
      <c r="AM1008" s="666"/>
      <c r="AN1008" s="666"/>
      <c r="AO1008" s="666"/>
      <c r="AP1008" s="666"/>
      <c r="AQ1008" s="666"/>
      <c r="AR1008" s="666"/>
      <c r="AS1008" s="666"/>
      <c r="AT1008" s="666"/>
      <c r="AU1008" s="666"/>
    </row>
    <row r="1009" ht="15.75" customHeight="1">
      <c r="A1009" s="757">
        <v>44781.0</v>
      </c>
      <c r="B1009" s="888" t="s">
        <v>8201</v>
      </c>
      <c r="C1009" s="889" t="s">
        <v>2346</v>
      </c>
      <c r="D1009" s="890" t="s">
        <v>694</v>
      </c>
      <c r="E1009" s="891">
        <v>101893.24</v>
      </c>
      <c r="F1009" s="890" t="s">
        <v>4616</v>
      </c>
      <c r="G1009" s="890" t="s">
        <v>120</v>
      </c>
      <c r="H1009" s="890" t="s">
        <v>91</v>
      </c>
      <c r="I1009" s="890" t="s">
        <v>521</v>
      </c>
      <c r="J1009" s="892">
        <v>44365.0</v>
      </c>
      <c r="K1009" s="889" t="s">
        <v>2341</v>
      </c>
      <c r="L1009" s="666"/>
      <c r="M1009" s="666"/>
      <c r="N1009" s="666"/>
      <c r="O1009" s="666"/>
      <c r="P1009" s="666"/>
      <c r="Q1009" s="666"/>
      <c r="R1009" s="666"/>
      <c r="S1009" s="666"/>
      <c r="T1009" s="666"/>
      <c r="U1009" s="666"/>
      <c r="V1009" s="666"/>
      <c r="W1009" s="666"/>
      <c r="X1009" s="666"/>
      <c r="Y1009" s="666"/>
      <c r="Z1009" s="666"/>
      <c r="AA1009" s="666"/>
      <c r="AB1009" s="666"/>
      <c r="AC1009" s="666"/>
      <c r="AD1009" s="666"/>
      <c r="AE1009" s="666"/>
      <c r="AF1009" s="666"/>
      <c r="AG1009" s="666"/>
      <c r="AH1009" s="666"/>
      <c r="AI1009" s="666"/>
      <c r="AJ1009" s="666"/>
      <c r="AK1009" s="666"/>
      <c r="AL1009" s="666"/>
      <c r="AM1009" s="666"/>
      <c r="AN1009" s="666"/>
      <c r="AO1009" s="666"/>
      <c r="AP1009" s="666"/>
      <c r="AQ1009" s="666"/>
      <c r="AR1009" s="666"/>
      <c r="AS1009" s="666"/>
      <c r="AT1009" s="666"/>
      <c r="AU1009" s="666"/>
    </row>
    <row r="1010" ht="15.75" customHeight="1">
      <c r="A1010" s="757">
        <v>44783.0</v>
      </c>
      <c r="B1010" s="888" t="s">
        <v>7370</v>
      </c>
      <c r="C1010" s="889" t="s">
        <v>98</v>
      </c>
      <c r="D1010" s="890" t="s">
        <v>5038</v>
      </c>
      <c r="E1010" s="891">
        <v>5500.0</v>
      </c>
      <c r="F1010" s="890" t="s">
        <v>7238</v>
      </c>
      <c r="G1010" s="890" t="s">
        <v>120</v>
      </c>
      <c r="H1010" s="890" t="s">
        <v>199</v>
      </c>
      <c r="I1010" s="890" t="s">
        <v>439</v>
      </c>
      <c r="J1010" s="892">
        <v>44293.0</v>
      </c>
      <c r="K1010" s="889" t="s">
        <v>2319</v>
      </c>
      <c r="L1010" s="666"/>
      <c r="M1010" s="666"/>
      <c r="N1010" s="666"/>
      <c r="O1010" s="666"/>
      <c r="P1010" s="666"/>
      <c r="Q1010" s="666"/>
      <c r="R1010" s="666"/>
      <c r="S1010" s="666"/>
      <c r="T1010" s="666"/>
      <c r="U1010" s="666"/>
      <c r="V1010" s="666"/>
      <c r="W1010" s="666"/>
      <c r="X1010" s="666"/>
      <c r="Y1010" s="666"/>
      <c r="Z1010" s="666"/>
      <c r="AA1010" s="666"/>
      <c r="AB1010" s="666"/>
      <c r="AC1010" s="666"/>
      <c r="AD1010" s="666"/>
      <c r="AE1010" s="666"/>
      <c r="AF1010" s="666"/>
      <c r="AG1010" s="666"/>
      <c r="AH1010" s="666"/>
      <c r="AI1010" s="666"/>
      <c r="AJ1010" s="666"/>
      <c r="AK1010" s="666"/>
      <c r="AL1010" s="666"/>
      <c r="AM1010" s="666"/>
      <c r="AN1010" s="666"/>
      <c r="AO1010" s="666"/>
      <c r="AP1010" s="666"/>
      <c r="AQ1010" s="666"/>
      <c r="AR1010" s="666"/>
      <c r="AS1010" s="666"/>
      <c r="AT1010" s="666"/>
      <c r="AU1010" s="666"/>
    </row>
    <row r="1011" ht="15.75" customHeight="1">
      <c r="A1011" s="757">
        <v>44783.0</v>
      </c>
      <c r="B1011" s="888" t="s">
        <v>8208</v>
      </c>
      <c r="C1011" s="889" t="s">
        <v>2346</v>
      </c>
      <c r="D1011" s="890" t="s">
        <v>694</v>
      </c>
      <c r="E1011" s="891">
        <v>111338.29</v>
      </c>
      <c r="F1011" s="890" t="s">
        <v>6198</v>
      </c>
      <c r="G1011" s="890" t="s">
        <v>120</v>
      </c>
      <c r="H1011" s="890" t="s">
        <v>91</v>
      </c>
      <c r="I1011" s="890" t="s">
        <v>193</v>
      </c>
      <c r="J1011" s="892">
        <v>44600.0</v>
      </c>
      <c r="K1011" s="889" t="s">
        <v>2365</v>
      </c>
      <c r="L1011" s="666"/>
      <c r="M1011" s="666"/>
      <c r="N1011" s="666"/>
      <c r="O1011" s="666"/>
      <c r="P1011" s="666"/>
      <c r="Q1011" s="666"/>
      <c r="R1011" s="666"/>
      <c r="S1011" s="666"/>
      <c r="T1011" s="666"/>
      <c r="U1011" s="666"/>
      <c r="V1011" s="666"/>
      <c r="W1011" s="666"/>
      <c r="X1011" s="666"/>
      <c r="Y1011" s="666"/>
      <c r="Z1011" s="666"/>
      <c r="AA1011" s="666"/>
      <c r="AB1011" s="666"/>
      <c r="AC1011" s="666"/>
      <c r="AD1011" s="666"/>
      <c r="AE1011" s="666"/>
      <c r="AF1011" s="666"/>
      <c r="AG1011" s="666"/>
      <c r="AH1011" s="666"/>
      <c r="AI1011" s="666"/>
      <c r="AJ1011" s="666"/>
      <c r="AK1011" s="666"/>
      <c r="AL1011" s="666"/>
      <c r="AM1011" s="666"/>
      <c r="AN1011" s="666"/>
      <c r="AO1011" s="666"/>
      <c r="AP1011" s="666"/>
      <c r="AQ1011" s="666"/>
      <c r="AR1011" s="666"/>
      <c r="AS1011" s="666"/>
      <c r="AT1011" s="666"/>
      <c r="AU1011" s="666"/>
    </row>
    <row r="1012" ht="15.75" customHeight="1">
      <c r="A1012" s="757">
        <v>44784.0</v>
      </c>
      <c r="B1012" s="888" t="s">
        <v>8210</v>
      </c>
      <c r="C1012" s="889" t="s">
        <v>98</v>
      </c>
      <c r="D1012" s="890" t="s">
        <v>694</v>
      </c>
      <c r="E1012" s="891" t="s">
        <v>8211</v>
      </c>
      <c r="F1012" s="890" t="s">
        <v>5249</v>
      </c>
      <c r="G1012" s="890" t="s">
        <v>255</v>
      </c>
      <c r="H1012" s="890" t="s">
        <v>199</v>
      </c>
      <c r="I1012" s="890" t="s">
        <v>4809</v>
      </c>
      <c r="J1012" s="892">
        <v>44211.0</v>
      </c>
      <c r="K1012" s="889" t="s">
        <v>2372</v>
      </c>
      <c r="L1012" s="666"/>
      <c r="M1012" s="666"/>
      <c r="N1012" s="666"/>
      <c r="O1012" s="666"/>
      <c r="P1012" s="666"/>
      <c r="Q1012" s="666"/>
      <c r="R1012" s="666"/>
      <c r="S1012" s="666"/>
      <c r="T1012" s="666"/>
      <c r="U1012" s="666"/>
      <c r="V1012" s="666"/>
      <c r="W1012" s="666"/>
      <c r="X1012" s="666"/>
      <c r="Y1012" s="666"/>
      <c r="Z1012" s="666"/>
      <c r="AA1012" s="666"/>
      <c r="AB1012" s="666"/>
      <c r="AC1012" s="666"/>
      <c r="AD1012" s="666"/>
      <c r="AE1012" s="666"/>
      <c r="AF1012" s="666"/>
      <c r="AG1012" s="666"/>
      <c r="AH1012" s="666"/>
      <c r="AI1012" s="666"/>
      <c r="AJ1012" s="666"/>
      <c r="AK1012" s="666"/>
      <c r="AL1012" s="666"/>
      <c r="AM1012" s="666"/>
      <c r="AN1012" s="666"/>
      <c r="AO1012" s="666"/>
      <c r="AP1012" s="666"/>
      <c r="AQ1012" s="666"/>
      <c r="AR1012" s="666"/>
      <c r="AS1012" s="666"/>
      <c r="AT1012" s="666"/>
      <c r="AU1012" s="666"/>
    </row>
    <row r="1013" ht="15.75" customHeight="1">
      <c r="A1013" s="757">
        <v>44784.0</v>
      </c>
      <c r="B1013" s="888" t="s">
        <v>7643</v>
      </c>
      <c r="C1013" s="889" t="s">
        <v>98</v>
      </c>
      <c r="D1013" s="890" t="s">
        <v>5038</v>
      </c>
      <c r="E1013" s="891">
        <v>30000.0</v>
      </c>
      <c r="F1013" s="890" t="s">
        <v>6087</v>
      </c>
      <c r="G1013" s="890" t="s">
        <v>120</v>
      </c>
      <c r="H1013" s="890" t="s">
        <v>199</v>
      </c>
      <c r="I1013" s="890" t="s">
        <v>4797</v>
      </c>
      <c r="J1013" s="892">
        <v>44594.0</v>
      </c>
      <c r="K1013" s="889" t="s">
        <v>2356</v>
      </c>
      <c r="L1013" s="666"/>
      <c r="M1013" s="666"/>
      <c r="N1013" s="666"/>
      <c r="O1013" s="666"/>
      <c r="P1013" s="666"/>
      <c r="Q1013" s="666"/>
      <c r="R1013" s="666"/>
      <c r="S1013" s="666"/>
      <c r="T1013" s="666"/>
      <c r="U1013" s="666"/>
      <c r="V1013" s="666"/>
      <c r="W1013" s="666"/>
      <c r="X1013" s="666"/>
      <c r="Y1013" s="666"/>
      <c r="Z1013" s="666"/>
      <c r="AA1013" s="666"/>
      <c r="AB1013" s="666"/>
      <c r="AC1013" s="666"/>
      <c r="AD1013" s="666"/>
      <c r="AE1013" s="666"/>
      <c r="AF1013" s="666"/>
      <c r="AG1013" s="666"/>
      <c r="AH1013" s="666"/>
      <c r="AI1013" s="666"/>
      <c r="AJ1013" s="666"/>
      <c r="AK1013" s="666"/>
      <c r="AL1013" s="666"/>
      <c r="AM1013" s="666"/>
      <c r="AN1013" s="666"/>
      <c r="AO1013" s="666"/>
      <c r="AP1013" s="666"/>
      <c r="AQ1013" s="666"/>
      <c r="AR1013" s="666"/>
      <c r="AS1013" s="666"/>
      <c r="AT1013" s="666"/>
      <c r="AU1013" s="666"/>
    </row>
    <row r="1014" ht="15.75" customHeight="1">
      <c r="A1014" s="713">
        <v>44784.0</v>
      </c>
      <c r="B1014" s="801" t="s">
        <v>7936</v>
      </c>
      <c r="C1014" s="715" t="s">
        <v>98</v>
      </c>
      <c r="D1014" s="641" t="s">
        <v>5038</v>
      </c>
      <c r="E1014" s="716">
        <v>125000.0</v>
      </c>
      <c r="F1014" s="641" t="s">
        <v>7938</v>
      </c>
      <c r="G1014" s="667" t="s">
        <v>120</v>
      </c>
      <c r="H1014" s="667" t="s">
        <v>54</v>
      </c>
      <c r="I1014" s="667" t="s">
        <v>4846</v>
      </c>
      <c r="J1014" s="667">
        <v>44454.0</v>
      </c>
      <c r="K1014" s="667" t="s">
        <v>2341</v>
      </c>
      <c r="L1014" s="666"/>
      <c r="M1014" s="666"/>
      <c r="N1014" s="666"/>
      <c r="O1014" s="666"/>
      <c r="P1014" s="666"/>
      <c r="Q1014" s="666"/>
      <c r="R1014" s="666"/>
      <c r="S1014" s="666"/>
      <c r="T1014" s="666"/>
      <c r="U1014" s="666"/>
      <c r="V1014" s="666"/>
      <c r="W1014" s="666"/>
      <c r="X1014" s="666"/>
      <c r="Y1014" s="666"/>
      <c r="Z1014" s="666"/>
      <c r="AA1014" s="666"/>
      <c r="AB1014" s="666"/>
      <c r="AC1014" s="666"/>
      <c r="AD1014" s="666"/>
      <c r="AE1014" s="666"/>
      <c r="AF1014" s="666"/>
      <c r="AG1014" s="666"/>
      <c r="AH1014" s="666"/>
      <c r="AI1014" s="666"/>
      <c r="AJ1014" s="666"/>
      <c r="AK1014" s="666"/>
      <c r="AL1014" s="666"/>
      <c r="AM1014" s="666"/>
      <c r="AN1014" s="666"/>
      <c r="AO1014" s="666"/>
      <c r="AP1014" s="666"/>
      <c r="AQ1014" s="666"/>
      <c r="AR1014" s="666"/>
      <c r="AS1014" s="666"/>
      <c r="AT1014" s="666"/>
      <c r="AU1014" s="666"/>
    </row>
    <row r="1015" ht="15.75" customHeight="1">
      <c r="A1015" s="713">
        <v>44786.0</v>
      </c>
      <c r="B1015" s="801" t="s">
        <v>8217</v>
      </c>
      <c r="C1015" s="715" t="s">
        <v>98</v>
      </c>
      <c r="D1015" s="641" t="s">
        <v>694</v>
      </c>
      <c r="E1015" s="716">
        <v>444418.17</v>
      </c>
      <c r="F1015" s="641" t="s">
        <v>7210</v>
      </c>
      <c r="G1015" s="667" t="s">
        <v>120</v>
      </c>
      <c r="H1015" s="667" t="s">
        <v>54</v>
      </c>
      <c r="I1015" s="667" t="s">
        <v>4057</v>
      </c>
      <c r="J1015" s="667">
        <v>44421.0</v>
      </c>
      <c r="K1015" s="667" t="s">
        <v>2356</v>
      </c>
      <c r="L1015" s="666"/>
      <c r="M1015" s="666"/>
      <c r="N1015" s="666"/>
      <c r="O1015" s="666"/>
      <c r="P1015" s="666"/>
      <c r="Q1015" s="666"/>
      <c r="R1015" s="666"/>
      <c r="S1015" s="666"/>
      <c r="T1015" s="666"/>
      <c r="U1015" s="666"/>
      <c r="V1015" s="666"/>
      <c r="W1015" s="666"/>
      <c r="X1015" s="666"/>
      <c r="Y1015" s="666"/>
      <c r="Z1015" s="666"/>
      <c r="AA1015" s="666"/>
      <c r="AB1015" s="666"/>
      <c r="AC1015" s="666"/>
      <c r="AD1015" s="666"/>
      <c r="AE1015" s="666"/>
      <c r="AF1015" s="666"/>
      <c r="AG1015" s="666"/>
      <c r="AH1015" s="666"/>
      <c r="AI1015" s="666"/>
      <c r="AJ1015" s="666"/>
      <c r="AK1015" s="666"/>
      <c r="AL1015" s="666"/>
      <c r="AM1015" s="666"/>
      <c r="AN1015" s="666"/>
      <c r="AO1015" s="666"/>
      <c r="AP1015" s="666"/>
      <c r="AQ1015" s="666"/>
      <c r="AR1015" s="666"/>
      <c r="AS1015" s="666"/>
      <c r="AT1015" s="666"/>
      <c r="AU1015" s="666"/>
    </row>
    <row r="1016" ht="15.75" customHeight="1">
      <c r="A1016" s="757">
        <v>44788.0</v>
      </c>
      <c r="B1016" s="758" t="s">
        <v>7913</v>
      </c>
      <c r="C1016" s="759" t="s">
        <v>98</v>
      </c>
      <c r="D1016" s="760" t="s">
        <v>5038</v>
      </c>
      <c r="E1016" s="761">
        <v>10000.0</v>
      </c>
      <c r="F1016" s="760" t="s">
        <v>8223</v>
      </c>
      <c r="G1016" s="760" t="s">
        <v>120</v>
      </c>
      <c r="H1016" s="760" t="s">
        <v>54</v>
      </c>
      <c r="I1016" s="760" t="s">
        <v>125</v>
      </c>
      <c r="J1016" s="762">
        <v>44645.0</v>
      </c>
      <c r="K1016" s="759" t="s">
        <v>2356</v>
      </c>
      <c r="L1016" s="666"/>
      <c r="M1016" s="666"/>
      <c r="N1016" s="666"/>
      <c r="O1016" s="666"/>
      <c r="P1016" s="666"/>
      <c r="Q1016" s="666"/>
      <c r="R1016" s="666"/>
      <c r="S1016" s="666"/>
      <c r="T1016" s="666"/>
      <c r="U1016" s="666"/>
      <c r="V1016" s="666"/>
      <c r="W1016" s="666"/>
      <c r="X1016" s="666"/>
      <c r="Y1016" s="666"/>
      <c r="Z1016" s="666"/>
      <c r="AA1016" s="666"/>
      <c r="AB1016" s="666"/>
      <c r="AC1016" s="666"/>
      <c r="AD1016" s="666"/>
      <c r="AE1016" s="666"/>
      <c r="AF1016" s="666"/>
      <c r="AG1016" s="666"/>
      <c r="AH1016" s="666"/>
      <c r="AI1016" s="666"/>
      <c r="AJ1016" s="666"/>
      <c r="AK1016" s="666"/>
      <c r="AL1016" s="666"/>
      <c r="AM1016" s="666"/>
      <c r="AN1016" s="666"/>
      <c r="AO1016" s="666"/>
      <c r="AP1016" s="666"/>
      <c r="AQ1016" s="666"/>
      <c r="AR1016" s="666"/>
      <c r="AS1016" s="666"/>
      <c r="AT1016" s="666"/>
      <c r="AU1016" s="666"/>
    </row>
    <row r="1017" ht="15.75" customHeight="1">
      <c r="A1017" s="757">
        <v>44788.0</v>
      </c>
      <c r="B1017" s="758" t="s">
        <v>8225</v>
      </c>
      <c r="C1017" s="759" t="s">
        <v>98</v>
      </c>
      <c r="D1017" s="760" t="s">
        <v>694</v>
      </c>
      <c r="E1017" s="761">
        <v>608381.09</v>
      </c>
      <c r="F1017" s="760" t="s">
        <v>6264</v>
      </c>
      <c r="G1017" s="760" t="s">
        <v>120</v>
      </c>
      <c r="H1017" s="760" t="s">
        <v>199</v>
      </c>
      <c r="I1017" s="760" t="s">
        <v>1174</v>
      </c>
      <c r="J1017" s="762">
        <v>44341.0</v>
      </c>
      <c r="K1017" s="759" t="s">
        <v>6268</v>
      </c>
      <c r="L1017" s="666"/>
      <c r="M1017" s="666"/>
      <c r="N1017" s="666"/>
      <c r="O1017" s="666"/>
      <c r="P1017" s="666"/>
      <c r="Q1017" s="666"/>
      <c r="R1017" s="666"/>
      <c r="S1017" s="666"/>
      <c r="T1017" s="666"/>
      <c r="U1017" s="666"/>
      <c r="V1017" s="666"/>
      <c r="W1017" s="666"/>
      <c r="X1017" s="666"/>
      <c r="Y1017" s="666"/>
      <c r="Z1017" s="666"/>
      <c r="AA1017" s="666"/>
      <c r="AB1017" s="666"/>
      <c r="AC1017" s="666"/>
      <c r="AD1017" s="666"/>
      <c r="AE1017" s="666"/>
      <c r="AF1017" s="666"/>
      <c r="AG1017" s="666"/>
      <c r="AH1017" s="666"/>
      <c r="AI1017" s="666"/>
      <c r="AJ1017" s="666"/>
      <c r="AK1017" s="666"/>
      <c r="AL1017" s="666"/>
      <c r="AM1017" s="666"/>
      <c r="AN1017" s="666"/>
      <c r="AO1017" s="666"/>
      <c r="AP1017" s="666"/>
      <c r="AQ1017" s="666"/>
      <c r="AR1017" s="666"/>
      <c r="AS1017" s="666"/>
      <c r="AT1017" s="666"/>
      <c r="AU1017" s="666"/>
    </row>
    <row r="1018" ht="15.75" customHeight="1">
      <c r="A1018" s="757">
        <v>44789.0</v>
      </c>
      <c r="B1018" s="758" t="s">
        <v>8083</v>
      </c>
      <c r="C1018" s="759" t="s">
        <v>98</v>
      </c>
      <c r="D1018" s="760" t="s">
        <v>5038</v>
      </c>
      <c r="E1018" s="761">
        <v>5000.0</v>
      </c>
      <c r="F1018" s="760" t="s">
        <v>5565</v>
      </c>
      <c r="G1018" s="760" t="s">
        <v>255</v>
      </c>
      <c r="H1018" s="760" t="s">
        <v>199</v>
      </c>
      <c r="I1018" s="760" t="s">
        <v>548</v>
      </c>
      <c r="J1018" s="762">
        <v>44138.0</v>
      </c>
      <c r="K1018" s="759" t="s">
        <v>2365</v>
      </c>
      <c r="L1018" s="666"/>
      <c r="M1018" s="666"/>
      <c r="N1018" s="666"/>
      <c r="O1018" s="666"/>
      <c r="P1018" s="666"/>
      <c r="Q1018" s="666"/>
      <c r="R1018" s="666"/>
      <c r="S1018" s="666"/>
      <c r="T1018" s="666"/>
      <c r="U1018" s="666"/>
      <c r="V1018" s="666"/>
      <c r="W1018" s="666"/>
      <c r="X1018" s="666"/>
      <c r="Y1018" s="666"/>
      <c r="Z1018" s="666"/>
      <c r="AA1018" s="666"/>
      <c r="AB1018" s="666"/>
      <c r="AC1018" s="666"/>
      <c r="AD1018" s="666"/>
      <c r="AE1018" s="666"/>
      <c r="AF1018" s="666"/>
      <c r="AG1018" s="666"/>
      <c r="AH1018" s="666"/>
      <c r="AI1018" s="666"/>
      <c r="AJ1018" s="666"/>
      <c r="AK1018" s="666"/>
      <c r="AL1018" s="666"/>
      <c r="AM1018" s="666"/>
      <c r="AN1018" s="666"/>
      <c r="AO1018" s="666"/>
      <c r="AP1018" s="666"/>
      <c r="AQ1018" s="666"/>
      <c r="AR1018" s="666"/>
      <c r="AS1018" s="666"/>
      <c r="AT1018" s="666"/>
      <c r="AU1018" s="666"/>
    </row>
    <row r="1019" ht="15.75" customHeight="1">
      <c r="A1019" s="757">
        <v>44790.0</v>
      </c>
      <c r="B1019" s="758" t="s">
        <v>7913</v>
      </c>
      <c r="C1019" s="759" t="s">
        <v>98</v>
      </c>
      <c r="D1019" s="760" t="s">
        <v>5038</v>
      </c>
      <c r="E1019" s="761">
        <v>5000.0</v>
      </c>
      <c r="F1019" s="760" t="s">
        <v>8223</v>
      </c>
      <c r="G1019" s="760" t="s">
        <v>120</v>
      </c>
      <c r="H1019" s="760" t="s">
        <v>54</v>
      </c>
      <c r="I1019" s="760" t="s">
        <v>125</v>
      </c>
      <c r="J1019" s="762">
        <v>44645.0</v>
      </c>
      <c r="K1019" s="759" t="s">
        <v>2356</v>
      </c>
      <c r="L1019" s="666"/>
      <c r="M1019" s="666"/>
      <c r="N1019" s="666"/>
      <c r="O1019" s="666"/>
      <c r="P1019" s="666"/>
      <c r="Q1019" s="666"/>
      <c r="R1019" s="666"/>
      <c r="S1019" s="666"/>
      <c r="T1019" s="666"/>
      <c r="U1019" s="666"/>
      <c r="V1019" s="666"/>
      <c r="W1019" s="666"/>
      <c r="X1019" s="666"/>
      <c r="Y1019" s="666"/>
      <c r="Z1019" s="666"/>
      <c r="AA1019" s="666"/>
      <c r="AB1019" s="666"/>
      <c r="AC1019" s="666"/>
      <c r="AD1019" s="666"/>
      <c r="AE1019" s="666"/>
      <c r="AF1019" s="666"/>
      <c r="AG1019" s="666"/>
      <c r="AH1019" s="666"/>
      <c r="AI1019" s="666"/>
      <c r="AJ1019" s="666"/>
      <c r="AK1019" s="666"/>
      <c r="AL1019" s="666"/>
      <c r="AM1019" s="666"/>
      <c r="AN1019" s="666"/>
      <c r="AO1019" s="666"/>
      <c r="AP1019" s="666"/>
      <c r="AQ1019" s="666"/>
      <c r="AR1019" s="666"/>
      <c r="AS1019" s="666"/>
      <c r="AT1019" s="666"/>
      <c r="AU1019" s="666"/>
    </row>
    <row r="1020" ht="15.75" customHeight="1">
      <c r="A1020" s="757">
        <v>44791.0</v>
      </c>
      <c r="B1020" s="758" t="s">
        <v>7582</v>
      </c>
      <c r="C1020" s="759" t="s">
        <v>98</v>
      </c>
      <c r="D1020" s="760" t="s">
        <v>5038</v>
      </c>
      <c r="E1020" s="761">
        <v>25000.0</v>
      </c>
      <c r="F1020" s="760" t="s">
        <v>3519</v>
      </c>
      <c r="G1020" s="760" t="s">
        <v>120</v>
      </c>
      <c r="H1020" s="760" t="s">
        <v>199</v>
      </c>
      <c r="I1020" s="760" t="s">
        <v>3521</v>
      </c>
      <c r="J1020" s="762">
        <v>44061.0</v>
      </c>
      <c r="K1020" s="759" t="s">
        <v>2341</v>
      </c>
      <c r="L1020" s="666"/>
      <c r="M1020" s="666"/>
      <c r="N1020" s="666"/>
      <c r="O1020" s="666"/>
      <c r="P1020" s="666"/>
      <c r="Q1020" s="666"/>
      <c r="R1020" s="666"/>
      <c r="S1020" s="666"/>
      <c r="T1020" s="666"/>
      <c r="U1020" s="666"/>
      <c r="V1020" s="666"/>
      <c r="W1020" s="666"/>
      <c r="X1020" s="666"/>
      <c r="Y1020" s="666"/>
      <c r="Z1020" s="666"/>
      <c r="AA1020" s="666"/>
      <c r="AB1020" s="666"/>
      <c r="AC1020" s="666"/>
      <c r="AD1020" s="666"/>
      <c r="AE1020" s="666"/>
      <c r="AF1020" s="666"/>
      <c r="AG1020" s="666"/>
      <c r="AH1020" s="666"/>
      <c r="AI1020" s="666"/>
      <c r="AJ1020" s="666"/>
      <c r="AK1020" s="666"/>
      <c r="AL1020" s="666"/>
      <c r="AM1020" s="666"/>
      <c r="AN1020" s="666"/>
      <c r="AO1020" s="666"/>
      <c r="AP1020" s="666"/>
      <c r="AQ1020" s="666"/>
      <c r="AR1020" s="666"/>
      <c r="AS1020" s="666"/>
      <c r="AT1020" s="666"/>
      <c r="AU1020" s="666"/>
    </row>
    <row r="1021" ht="15.75" customHeight="1">
      <c r="A1021" s="713">
        <v>44796.0</v>
      </c>
      <c r="B1021" s="801" t="s">
        <v>8231</v>
      </c>
      <c r="C1021" s="715" t="s">
        <v>98</v>
      </c>
      <c r="D1021" s="641" t="s">
        <v>694</v>
      </c>
      <c r="E1021" s="716">
        <v>835364.29</v>
      </c>
      <c r="F1021" s="641" t="s">
        <v>4008</v>
      </c>
      <c r="G1021" s="667" t="s">
        <v>120</v>
      </c>
      <c r="H1021" s="667" t="s">
        <v>54</v>
      </c>
      <c r="I1021" s="667" t="s">
        <v>348</v>
      </c>
      <c r="J1021" s="667">
        <v>44648.0</v>
      </c>
      <c r="K1021" s="667" t="s">
        <v>2341</v>
      </c>
      <c r="L1021" s="666"/>
      <c r="M1021" s="666"/>
      <c r="N1021" s="666"/>
      <c r="O1021" s="666"/>
      <c r="P1021" s="666"/>
      <c r="Q1021" s="666"/>
      <c r="R1021" s="666"/>
      <c r="S1021" s="666"/>
      <c r="T1021" s="666"/>
      <c r="U1021" s="666"/>
      <c r="V1021" s="666"/>
      <c r="W1021" s="666"/>
      <c r="X1021" s="666"/>
      <c r="Y1021" s="666"/>
      <c r="Z1021" s="666"/>
      <c r="AA1021" s="666"/>
      <c r="AB1021" s="666"/>
      <c r="AC1021" s="666"/>
      <c r="AD1021" s="666"/>
      <c r="AE1021" s="666"/>
      <c r="AF1021" s="666"/>
      <c r="AG1021" s="666"/>
      <c r="AH1021" s="666"/>
      <c r="AI1021" s="666"/>
      <c r="AJ1021" s="666"/>
      <c r="AK1021" s="666"/>
      <c r="AL1021" s="666"/>
      <c r="AM1021" s="666"/>
      <c r="AN1021" s="666"/>
      <c r="AO1021" s="666"/>
      <c r="AP1021" s="666"/>
      <c r="AQ1021" s="666"/>
      <c r="AR1021" s="666"/>
      <c r="AS1021" s="666"/>
      <c r="AT1021" s="666"/>
      <c r="AU1021" s="666"/>
    </row>
    <row r="1022" ht="15.75" customHeight="1">
      <c r="A1022" s="713">
        <v>44796.0</v>
      </c>
      <c r="B1022" s="801" t="s">
        <v>8234</v>
      </c>
      <c r="C1022" s="715" t="s">
        <v>98</v>
      </c>
      <c r="D1022" s="641" t="s">
        <v>694</v>
      </c>
      <c r="E1022" s="716">
        <v>1652454.72</v>
      </c>
      <c r="F1022" s="641" t="s">
        <v>4008</v>
      </c>
      <c r="G1022" s="667" t="s">
        <v>120</v>
      </c>
      <c r="H1022" s="667" t="s">
        <v>54</v>
      </c>
      <c r="I1022" s="667" t="s">
        <v>348</v>
      </c>
      <c r="J1022" s="667">
        <v>44648.0</v>
      </c>
      <c r="K1022" s="667" t="s">
        <v>2341</v>
      </c>
      <c r="L1022" s="666"/>
      <c r="M1022" s="666"/>
      <c r="N1022" s="666"/>
      <c r="O1022" s="666"/>
      <c r="P1022" s="666"/>
      <c r="Q1022" s="666"/>
      <c r="R1022" s="666"/>
      <c r="S1022" s="666"/>
      <c r="T1022" s="666"/>
      <c r="U1022" s="666"/>
      <c r="V1022" s="666"/>
      <c r="W1022" s="666"/>
      <c r="X1022" s="666"/>
      <c r="Y1022" s="666"/>
      <c r="Z1022" s="666"/>
      <c r="AA1022" s="666"/>
      <c r="AB1022" s="666"/>
      <c r="AC1022" s="666"/>
      <c r="AD1022" s="666"/>
      <c r="AE1022" s="666"/>
      <c r="AF1022" s="666"/>
      <c r="AG1022" s="666"/>
      <c r="AH1022" s="666"/>
      <c r="AI1022" s="666"/>
      <c r="AJ1022" s="666"/>
      <c r="AK1022" s="666"/>
      <c r="AL1022" s="666"/>
      <c r="AM1022" s="666"/>
      <c r="AN1022" s="666"/>
      <c r="AO1022" s="666"/>
      <c r="AP1022" s="666"/>
      <c r="AQ1022" s="666"/>
      <c r="AR1022" s="666"/>
      <c r="AS1022" s="666"/>
      <c r="AT1022" s="666"/>
      <c r="AU1022" s="666"/>
    </row>
    <row r="1023" ht="15.75" customHeight="1">
      <c r="A1023" s="713">
        <v>44796.0</v>
      </c>
      <c r="B1023" s="801" t="s">
        <v>8236</v>
      </c>
      <c r="C1023" s="715" t="s">
        <v>98</v>
      </c>
      <c r="D1023" s="641" t="s">
        <v>5038</v>
      </c>
      <c r="E1023" s="716">
        <v>10000.0</v>
      </c>
      <c r="F1023" s="641" t="s">
        <v>5861</v>
      </c>
      <c r="G1023" s="667" t="s">
        <v>120</v>
      </c>
      <c r="H1023" s="667" t="s">
        <v>54</v>
      </c>
      <c r="I1023" s="667" t="s">
        <v>8237</v>
      </c>
      <c r="J1023" s="667"/>
      <c r="K1023" s="667"/>
      <c r="L1023" s="666"/>
      <c r="M1023" s="666"/>
      <c r="N1023" s="666"/>
      <c r="O1023" s="666"/>
      <c r="P1023" s="666"/>
      <c r="Q1023" s="666"/>
      <c r="R1023" s="666"/>
      <c r="S1023" s="666"/>
      <c r="T1023" s="666"/>
      <c r="U1023" s="666"/>
      <c r="V1023" s="666"/>
      <c r="W1023" s="666"/>
      <c r="X1023" s="666"/>
      <c r="Y1023" s="666"/>
      <c r="Z1023" s="666"/>
      <c r="AA1023" s="666"/>
      <c r="AB1023" s="666"/>
      <c r="AC1023" s="666"/>
      <c r="AD1023" s="666"/>
      <c r="AE1023" s="666"/>
      <c r="AF1023" s="666"/>
      <c r="AG1023" s="666"/>
      <c r="AH1023" s="666"/>
      <c r="AI1023" s="666"/>
      <c r="AJ1023" s="666"/>
      <c r="AK1023" s="666"/>
      <c r="AL1023" s="666"/>
      <c r="AM1023" s="666"/>
      <c r="AN1023" s="666"/>
      <c r="AO1023" s="666"/>
      <c r="AP1023" s="666"/>
      <c r="AQ1023" s="666"/>
      <c r="AR1023" s="666"/>
      <c r="AS1023" s="666"/>
      <c r="AT1023" s="666"/>
      <c r="AU1023" s="666"/>
    </row>
    <row r="1024" ht="15.75" customHeight="1">
      <c r="A1024" s="713">
        <v>44803.0</v>
      </c>
      <c r="B1024" s="801" t="s">
        <v>8239</v>
      </c>
      <c r="C1024" s="715" t="s">
        <v>98</v>
      </c>
      <c r="D1024" s="641" t="s">
        <v>694</v>
      </c>
      <c r="E1024" s="716">
        <v>352012.79</v>
      </c>
      <c r="F1024" s="641" t="s">
        <v>4022</v>
      </c>
      <c r="G1024" s="667" t="s">
        <v>255</v>
      </c>
      <c r="H1024" s="667" t="s">
        <v>199</v>
      </c>
      <c r="I1024" s="667" t="s">
        <v>3877</v>
      </c>
      <c r="J1024" s="667">
        <v>44186.0</v>
      </c>
      <c r="K1024" s="667" t="s">
        <v>2365</v>
      </c>
      <c r="L1024" s="666"/>
      <c r="M1024" s="666"/>
      <c r="N1024" s="666"/>
      <c r="O1024" s="666"/>
      <c r="P1024" s="666"/>
      <c r="Q1024" s="666"/>
      <c r="R1024" s="666"/>
      <c r="S1024" s="666"/>
      <c r="T1024" s="666"/>
      <c r="U1024" s="666"/>
      <c r="V1024" s="666"/>
      <c r="W1024" s="666"/>
      <c r="X1024" s="666"/>
      <c r="Y1024" s="666"/>
      <c r="Z1024" s="666"/>
      <c r="AA1024" s="666"/>
      <c r="AB1024" s="666"/>
      <c r="AC1024" s="666"/>
      <c r="AD1024" s="666"/>
      <c r="AE1024" s="666"/>
      <c r="AF1024" s="666"/>
      <c r="AG1024" s="666"/>
      <c r="AH1024" s="666"/>
      <c r="AI1024" s="666"/>
      <c r="AJ1024" s="666"/>
      <c r="AK1024" s="666"/>
      <c r="AL1024" s="666"/>
      <c r="AM1024" s="666"/>
      <c r="AN1024" s="666"/>
      <c r="AO1024" s="666"/>
      <c r="AP1024" s="666"/>
      <c r="AQ1024" s="666"/>
      <c r="AR1024" s="666"/>
      <c r="AS1024" s="666"/>
      <c r="AT1024" s="666"/>
      <c r="AU1024" s="666"/>
    </row>
    <row r="1025" ht="15.75" customHeight="1">
      <c r="A1025" s="713">
        <v>44803.0</v>
      </c>
      <c r="B1025" s="801" t="s">
        <v>8240</v>
      </c>
      <c r="C1025" s="715" t="s">
        <v>98</v>
      </c>
      <c r="D1025" s="641" t="s">
        <v>694</v>
      </c>
      <c r="E1025" s="716">
        <v>130273.59</v>
      </c>
      <c r="F1025" s="641" t="s">
        <v>4750</v>
      </c>
      <c r="G1025" s="667" t="s">
        <v>255</v>
      </c>
      <c r="H1025" s="667" t="s">
        <v>199</v>
      </c>
      <c r="I1025" s="667" t="s">
        <v>548</v>
      </c>
      <c r="J1025" s="667">
        <v>44211.0</v>
      </c>
      <c r="K1025" s="667" t="s">
        <v>2341</v>
      </c>
      <c r="L1025" s="666"/>
      <c r="M1025" s="666"/>
      <c r="N1025" s="666"/>
      <c r="O1025" s="666"/>
      <c r="P1025" s="666"/>
      <c r="Q1025" s="666"/>
      <c r="R1025" s="666"/>
      <c r="S1025" s="666"/>
      <c r="T1025" s="666"/>
      <c r="U1025" s="666"/>
      <c r="V1025" s="666"/>
      <c r="W1025" s="666"/>
      <c r="X1025" s="666"/>
      <c r="Y1025" s="666"/>
      <c r="Z1025" s="666"/>
      <c r="AA1025" s="666"/>
      <c r="AB1025" s="666"/>
      <c r="AC1025" s="666"/>
      <c r="AD1025" s="666"/>
      <c r="AE1025" s="666"/>
      <c r="AF1025" s="666"/>
      <c r="AG1025" s="666"/>
      <c r="AH1025" s="666"/>
      <c r="AI1025" s="666"/>
      <c r="AJ1025" s="666"/>
      <c r="AK1025" s="666"/>
      <c r="AL1025" s="666"/>
      <c r="AM1025" s="666"/>
      <c r="AN1025" s="666"/>
      <c r="AO1025" s="666"/>
      <c r="AP1025" s="666"/>
      <c r="AQ1025" s="666"/>
      <c r="AR1025" s="666"/>
      <c r="AS1025" s="666"/>
      <c r="AT1025" s="666"/>
      <c r="AU1025" s="666"/>
    </row>
    <row r="1026" ht="15.75" customHeight="1">
      <c r="A1026" s="713">
        <v>44803.0</v>
      </c>
      <c r="B1026" s="801" t="s">
        <v>8241</v>
      </c>
      <c r="C1026" s="715" t="s">
        <v>98</v>
      </c>
      <c r="D1026" s="641" t="s">
        <v>5038</v>
      </c>
      <c r="E1026" s="716">
        <v>10000.0</v>
      </c>
      <c r="F1026" s="641" t="s">
        <v>3924</v>
      </c>
      <c r="G1026" s="667" t="s">
        <v>120</v>
      </c>
      <c r="H1026" s="667" t="s">
        <v>54</v>
      </c>
      <c r="I1026" s="667" t="s">
        <v>348</v>
      </c>
      <c r="J1026" s="667">
        <v>44762.0</v>
      </c>
      <c r="K1026" s="667" t="s">
        <v>2365</v>
      </c>
      <c r="L1026" s="666"/>
      <c r="M1026" s="666"/>
      <c r="N1026" s="666"/>
      <c r="O1026" s="666"/>
      <c r="P1026" s="666"/>
      <c r="Q1026" s="666"/>
      <c r="R1026" s="666"/>
      <c r="S1026" s="666"/>
      <c r="T1026" s="666"/>
      <c r="U1026" s="666"/>
      <c r="V1026" s="666"/>
      <c r="W1026" s="666"/>
      <c r="X1026" s="666"/>
      <c r="Y1026" s="666"/>
      <c r="Z1026" s="666"/>
      <c r="AA1026" s="666"/>
      <c r="AB1026" s="666"/>
      <c r="AC1026" s="666"/>
      <c r="AD1026" s="666"/>
      <c r="AE1026" s="666"/>
      <c r="AF1026" s="666"/>
      <c r="AG1026" s="666"/>
      <c r="AH1026" s="666"/>
      <c r="AI1026" s="666"/>
      <c r="AJ1026" s="666"/>
      <c r="AK1026" s="666"/>
      <c r="AL1026" s="666"/>
      <c r="AM1026" s="666"/>
      <c r="AN1026" s="666"/>
      <c r="AO1026" s="666"/>
      <c r="AP1026" s="666"/>
      <c r="AQ1026" s="666"/>
      <c r="AR1026" s="666"/>
      <c r="AS1026" s="666"/>
      <c r="AT1026" s="666"/>
      <c r="AU1026" s="666"/>
    </row>
    <row r="1027" ht="15.75" customHeight="1">
      <c r="A1027" s="713">
        <v>44806.0</v>
      </c>
      <c r="B1027" s="801" t="s">
        <v>6155</v>
      </c>
      <c r="C1027" s="715" t="s">
        <v>98</v>
      </c>
      <c r="D1027" s="641" t="s">
        <v>694</v>
      </c>
      <c r="E1027" s="716">
        <v>41167.95</v>
      </c>
      <c r="F1027" s="641" t="s">
        <v>3761</v>
      </c>
      <c r="G1027" s="667" t="s">
        <v>255</v>
      </c>
      <c r="H1027" s="667" t="s">
        <v>199</v>
      </c>
      <c r="I1027" s="667" t="s">
        <v>548</v>
      </c>
      <c r="J1027" s="667">
        <v>44160.0</v>
      </c>
      <c r="K1027" s="667"/>
      <c r="L1027" s="666"/>
      <c r="M1027" s="666"/>
      <c r="N1027" s="666"/>
      <c r="O1027" s="666"/>
      <c r="P1027" s="666"/>
      <c r="Q1027" s="666"/>
      <c r="R1027" s="666"/>
      <c r="S1027" s="666"/>
      <c r="T1027" s="666"/>
      <c r="U1027" s="666"/>
      <c r="V1027" s="666"/>
      <c r="W1027" s="666"/>
      <c r="X1027" s="666"/>
      <c r="Y1027" s="666"/>
      <c r="Z1027" s="666"/>
      <c r="AA1027" s="666"/>
      <c r="AB1027" s="666"/>
      <c r="AC1027" s="666"/>
      <c r="AD1027" s="666"/>
      <c r="AE1027" s="666"/>
      <c r="AF1027" s="666"/>
      <c r="AG1027" s="666"/>
      <c r="AH1027" s="666"/>
      <c r="AI1027" s="666"/>
      <c r="AJ1027" s="666"/>
      <c r="AK1027" s="666"/>
      <c r="AL1027" s="666"/>
      <c r="AM1027" s="666"/>
      <c r="AN1027" s="666"/>
      <c r="AO1027" s="666"/>
      <c r="AP1027" s="666"/>
      <c r="AQ1027" s="666"/>
      <c r="AR1027" s="666"/>
      <c r="AS1027" s="666"/>
      <c r="AT1027" s="666"/>
      <c r="AU1027" s="666"/>
    </row>
    <row r="1028" ht="15.75" customHeight="1">
      <c r="A1028" s="713">
        <v>44810.0</v>
      </c>
      <c r="B1028" s="801" t="s">
        <v>8241</v>
      </c>
      <c r="C1028" s="715" t="s">
        <v>98</v>
      </c>
      <c r="D1028" s="641" t="s">
        <v>5038</v>
      </c>
      <c r="E1028" s="716">
        <v>10000.0</v>
      </c>
      <c r="F1028" s="641" t="s">
        <v>3924</v>
      </c>
      <c r="G1028" s="667" t="s">
        <v>120</v>
      </c>
      <c r="H1028" s="667" t="s">
        <v>54</v>
      </c>
      <c r="I1028" s="667" t="s">
        <v>348</v>
      </c>
      <c r="J1028" s="667">
        <v>44762.0</v>
      </c>
      <c r="K1028" s="667" t="s">
        <v>2365</v>
      </c>
      <c r="L1028" s="666"/>
      <c r="M1028" s="666"/>
      <c r="N1028" s="666"/>
      <c r="O1028" s="666"/>
      <c r="P1028" s="666"/>
      <c r="Q1028" s="666"/>
      <c r="R1028" s="666"/>
      <c r="S1028" s="666"/>
      <c r="T1028" s="666"/>
      <c r="U1028" s="666"/>
      <c r="V1028" s="666"/>
      <c r="W1028" s="666"/>
      <c r="X1028" s="666"/>
      <c r="Y1028" s="666"/>
      <c r="Z1028" s="666"/>
      <c r="AA1028" s="666"/>
      <c r="AB1028" s="666"/>
      <c r="AC1028" s="666"/>
      <c r="AD1028" s="666"/>
      <c r="AE1028" s="666"/>
      <c r="AF1028" s="666"/>
      <c r="AG1028" s="666"/>
      <c r="AH1028" s="666"/>
      <c r="AI1028" s="666"/>
      <c r="AJ1028" s="666"/>
      <c r="AK1028" s="666"/>
      <c r="AL1028" s="666"/>
      <c r="AM1028" s="666"/>
      <c r="AN1028" s="666"/>
      <c r="AO1028" s="666"/>
      <c r="AP1028" s="666"/>
      <c r="AQ1028" s="666"/>
      <c r="AR1028" s="666"/>
      <c r="AS1028" s="666"/>
      <c r="AT1028" s="666"/>
      <c r="AU1028" s="666"/>
    </row>
    <row r="1029" ht="15.75" customHeight="1">
      <c r="A1029" s="713">
        <v>44810.0</v>
      </c>
      <c r="B1029" s="801" t="s">
        <v>8243</v>
      </c>
      <c r="C1029" s="715" t="s">
        <v>98</v>
      </c>
      <c r="D1029" s="641" t="s">
        <v>5038</v>
      </c>
      <c r="E1029" s="716">
        <v>4000.0</v>
      </c>
      <c r="F1029" s="641" t="s">
        <v>3825</v>
      </c>
      <c r="G1029" s="667" t="s">
        <v>120</v>
      </c>
      <c r="H1029" s="667" t="s">
        <v>54</v>
      </c>
      <c r="I1029" s="667" t="s">
        <v>379</v>
      </c>
      <c r="J1029" s="667">
        <v>44497.0</v>
      </c>
      <c r="K1029" s="667" t="s">
        <v>2365</v>
      </c>
      <c r="L1029" s="666"/>
      <c r="M1029" s="666"/>
      <c r="N1029" s="666"/>
      <c r="O1029" s="666"/>
      <c r="P1029" s="666"/>
      <c r="Q1029" s="666"/>
      <c r="R1029" s="666"/>
      <c r="S1029" s="666"/>
      <c r="T1029" s="666"/>
      <c r="U1029" s="666"/>
      <c r="V1029" s="666"/>
      <c r="W1029" s="666"/>
      <c r="X1029" s="666"/>
      <c r="Y1029" s="666"/>
      <c r="Z1029" s="666"/>
      <c r="AA1029" s="666"/>
      <c r="AB1029" s="666"/>
      <c r="AC1029" s="666"/>
      <c r="AD1029" s="666"/>
      <c r="AE1029" s="666"/>
      <c r="AF1029" s="666"/>
      <c r="AG1029" s="666"/>
      <c r="AH1029" s="666"/>
      <c r="AI1029" s="666"/>
      <c r="AJ1029" s="666"/>
      <c r="AK1029" s="666"/>
      <c r="AL1029" s="666"/>
      <c r="AM1029" s="666"/>
      <c r="AN1029" s="666"/>
      <c r="AO1029" s="666"/>
      <c r="AP1029" s="666"/>
      <c r="AQ1029" s="666"/>
      <c r="AR1029" s="666"/>
      <c r="AS1029" s="666"/>
      <c r="AT1029" s="666"/>
      <c r="AU1029" s="666"/>
    </row>
    <row r="1030" ht="15.75" customHeight="1">
      <c r="A1030" s="713">
        <v>44810.0</v>
      </c>
      <c r="B1030" s="801" t="s">
        <v>8247</v>
      </c>
      <c r="C1030" s="715" t="s">
        <v>98</v>
      </c>
      <c r="D1030" s="641" t="s">
        <v>694</v>
      </c>
      <c r="E1030" s="716">
        <v>160322.21</v>
      </c>
      <c r="F1030" s="641" t="s">
        <v>6096</v>
      </c>
      <c r="G1030" s="667" t="s">
        <v>120</v>
      </c>
      <c r="H1030" s="667" t="s">
        <v>54</v>
      </c>
      <c r="I1030" s="667" t="s">
        <v>4057</v>
      </c>
      <c r="J1030" s="667">
        <v>44487.0</v>
      </c>
      <c r="K1030" s="667" t="s">
        <v>2341</v>
      </c>
      <c r="L1030" s="666"/>
      <c r="M1030" s="666"/>
      <c r="N1030" s="666"/>
      <c r="O1030" s="666"/>
      <c r="P1030" s="666"/>
      <c r="Q1030" s="666"/>
      <c r="R1030" s="666"/>
      <c r="S1030" s="666"/>
      <c r="T1030" s="666"/>
      <c r="U1030" s="666"/>
      <c r="V1030" s="666"/>
      <c r="W1030" s="666"/>
      <c r="X1030" s="666"/>
      <c r="Y1030" s="666"/>
      <c r="Z1030" s="666"/>
      <c r="AA1030" s="666"/>
      <c r="AB1030" s="666"/>
      <c r="AC1030" s="666"/>
      <c r="AD1030" s="666"/>
      <c r="AE1030" s="666"/>
      <c r="AF1030" s="666"/>
      <c r="AG1030" s="666"/>
      <c r="AH1030" s="666"/>
      <c r="AI1030" s="666"/>
      <c r="AJ1030" s="666"/>
      <c r="AK1030" s="666"/>
      <c r="AL1030" s="666"/>
      <c r="AM1030" s="666"/>
      <c r="AN1030" s="666"/>
      <c r="AO1030" s="666"/>
      <c r="AP1030" s="666"/>
      <c r="AQ1030" s="666"/>
      <c r="AR1030" s="666"/>
      <c r="AS1030" s="666"/>
      <c r="AT1030" s="666"/>
      <c r="AU1030" s="666"/>
    </row>
    <row r="1031" ht="15.75" customHeight="1">
      <c r="A1031" s="713">
        <v>44812.0</v>
      </c>
      <c r="B1031" s="801" t="s">
        <v>8250</v>
      </c>
      <c r="C1031" s="715" t="s">
        <v>98</v>
      </c>
      <c r="D1031" s="641" t="s">
        <v>5038</v>
      </c>
      <c r="E1031" s="716">
        <v>96000.0</v>
      </c>
      <c r="F1031" s="641" t="s">
        <v>6390</v>
      </c>
      <c r="G1031" s="667" t="s">
        <v>120</v>
      </c>
      <c r="H1031" s="667" t="s">
        <v>54</v>
      </c>
      <c r="I1031" s="667" t="s">
        <v>1393</v>
      </c>
      <c r="J1031" s="667">
        <v>44698.0</v>
      </c>
      <c r="K1031" s="667" t="s">
        <v>2372</v>
      </c>
      <c r="L1031" s="666"/>
      <c r="M1031" s="666"/>
      <c r="N1031" s="666"/>
      <c r="O1031" s="666"/>
      <c r="P1031" s="666"/>
      <c r="Q1031" s="666"/>
      <c r="R1031" s="666"/>
      <c r="S1031" s="666"/>
      <c r="T1031" s="666"/>
      <c r="U1031" s="666"/>
      <c r="V1031" s="666"/>
      <c r="W1031" s="666"/>
      <c r="X1031" s="666"/>
      <c r="Y1031" s="666"/>
      <c r="Z1031" s="666"/>
      <c r="AA1031" s="666"/>
      <c r="AB1031" s="666"/>
      <c r="AC1031" s="666"/>
      <c r="AD1031" s="666"/>
      <c r="AE1031" s="666"/>
      <c r="AF1031" s="666"/>
      <c r="AG1031" s="666"/>
      <c r="AH1031" s="666"/>
      <c r="AI1031" s="666"/>
      <c r="AJ1031" s="666"/>
      <c r="AK1031" s="666"/>
      <c r="AL1031" s="666"/>
      <c r="AM1031" s="666"/>
      <c r="AN1031" s="666"/>
      <c r="AO1031" s="666"/>
      <c r="AP1031" s="666"/>
      <c r="AQ1031" s="666"/>
      <c r="AR1031" s="666"/>
      <c r="AS1031" s="666"/>
      <c r="AT1031" s="666"/>
      <c r="AU1031" s="666"/>
    </row>
    <row r="1032" ht="15.75" customHeight="1">
      <c r="A1032" s="713">
        <v>44812.0</v>
      </c>
      <c r="B1032" s="801" t="s">
        <v>8255</v>
      </c>
      <c r="C1032" s="715" t="s">
        <v>98</v>
      </c>
      <c r="D1032" s="641" t="s">
        <v>694</v>
      </c>
      <c r="E1032" s="716">
        <v>217697.33</v>
      </c>
      <c r="F1032" s="641" t="s">
        <v>7835</v>
      </c>
      <c r="G1032" s="667" t="s">
        <v>120</v>
      </c>
      <c r="H1032" s="667" t="s">
        <v>54</v>
      </c>
      <c r="I1032" s="667" t="s">
        <v>4057</v>
      </c>
      <c r="J1032" s="667">
        <v>44426.0</v>
      </c>
      <c r="K1032" s="667" t="s">
        <v>2365</v>
      </c>
      <c r="L1032" s="666"/>
      <c r="M1032" s="666"/>
      <c r="N1032" s="666"/>
      <c r="O1032" s="666"/>
      <c r="P1032" s="666"/>
      <c r="Q1032" s="666"/>
      <c r="R1032" s="666"/>
      <c r="S1032" s="666"/>
      <c r="T1032" s="666"/>
      <c r="U1032" s="666"/>
      <c r="V1032" s="666"/>
      <c r="W1032" s="666"/>
      <c r="X1032" s="666"/>
      <c r="Y1032" s="666"/>
      <c r="Z1032" s="666"/>
      <c r="AA1032" s="666"/>
      <c r="AB1032" s="666"/>
      <c r="AC1032" s="666"/>
      <c r="AD1032" s="666"/>
      <c r="AE1032" s="666"/>
      <c r="AF1032" s="666"/>
      <c r="AG1032" s="666"/>
      <c r="AH1032" s="666"/>
      <c r="AI1032" s="666"/>
      <c r="AJ1032" s="666"/>
      <c r="AK1032" s="666"/>
      <c r="AL1032" s="666"/>
      <c r="AM1032" s="666"/>
      <c r="AN1032" s="666"/>
      <c r="AO1032" s="666"/>
      <c r="AP1032" s="666"/>
      <c r="AQ1032" s="666"/>
      <c r="AR1032" s="666"/>
      <c r="AS1032" s="666"/>
      <c r="AT1032" s="666"/>
      <c r="AU1032" s="666"/>
    </row>
    <row r="1033" ht="15.75" customHeight="1">
      <c r="A1033" s="713">
        <v>44812.0</v>
      </c>
      <c r="B1033" s="801" t="s">
        <v>8257</v>
      </c>
      <c r="C1033" s="715" t="s">
        <v>2346</v>
      </c>
      <c r="D1033" s="641" t="s">
        <v>694</v>
      </c>
      <c r="E1033" s="716">
        <v>865757.17</v>
      </c>
      <c r="F1033" s="641" t="s">
        <v>3646</v>
      </c>
      <c r="G1033" s="667" t="s">
        <v>120</v>
      </c>
      <c r="H1033" s="667" t="s">
        <v>91</v>
      </c>
      <c r="I1033" s="667" t="s">
        <v>699</v>
      </c>
      <c r="J1033" s="667">
        <v>44263.0</v>
      </c>
      <c r="K1033" s="667" t="s">
        <v>2356</v>
      </c>
      <c r="L1033" s="666"/>
      <c r="M1033" s="666"/>
      <c r="N1033" s="666"/>
      <c r="O1033" s="666"/>
      <c r="P1033" s="666"/>
      <c r="Q1033" s="666"/>
      <c r="R1033" s="666"/>
      <c r="S1033" s="666"/>
      <c r="T1033" s="666"/>
      <c r="U1033" s="666"/>
      <c r="V1033" s="666"/>
      <c r="W1033" s="666"/>
      <c r="X1033" s="666"/>
      <c r="Y1033" s="666"/>
      <c r="Z1033" s="666"/>
      <c r="AA1033" s="666"/>
      <c r="AB1033" s="666"/>
      <c r="AC1033" s="666"/>
      <c r="AD1033" s="666"/>
      <c r="AE1033" s="666"/>
      <c r="AF1033" s="666"/>
      <c r="AG1033" s="666"/>
      <c r="AH1033" s="666"/>
      <c r="AI1033" s="666"/>
      <c r="AJ1033" s="666"/>
      <c r="AK1033" s="666"/>
      <c r="AL1033" s="666"/>
      <c r="AM1033" s="666"/>
      <c r="AN1033" s="666"/>
      <c r="AO1033" s="666"/>
      <c r="AP1033" s="666"/>
      <c r="AQ1033" s="666"/>
      <c r="AR1033" s="666"/>
      <c r="AS1033" s="666"/>
      <c r="AT1033" s="666"/>
      <c r="AU1033" s="666"/>
    </row>
    <row r="1034" ht="15.75" customHeight="1">
      <c r="A1034" s="713">
        <v>44816.0</v>
      </c>
      <c r="B1034" s="801" t="s">
        <v>8261</v>
      </c>
      <c r="C1034" s="715" t="s">
        <v>98</v>
      </c>
      <c r="D1034" s="641" t="s">
        <v>694</v>
      </c>
      <c r="E1034" s="716">
        <v>662610.46</v>
      </c>
      <c r="F1034" s="641" t="s">
        <v>6450</v>
      </c>
      <c r="G1034" s="667" t="s">
        <v>120</v>
      </c>
      <c r="H1034" s="667" t="s">
        <v>54</v>
      </c>
      <c r="I1034" s="667" t="s">
        <v>4057</v>
      </c>
      <c r="J1034" s="667">
        <v>44517.0</v>
      </c>
      <c r="K1034" s="641" t="s">
        <v>2452</v>
      </c>
      <c r="L1034" s="666"/>
      <c r="M1034" s="666"/>
      <c r="N1034" s="666"/>
      <c r="O1034" s="666"/>
      <c r="P1034" s="666"/>
      <c r="Q1034" s="666"/>
      <c r="R1034" s="666"/>
      <c r="S1034" s="666"/>
      <c r="T1034" s="666"/>
      <c r="U1034" s="666"/>
      <c r="V1034" s="666"/>
      <c r="W1034" s="666"/>
      <c r="X1034" s="666"/>
      <c r="Y1034" s="666"/>
      <c r="Z1034" s="666"/>
      <c r="AA1034" s="666"/>
      <c r="AB1034" s="666"/>
      <c r="AC1034" s="666"/>
      <c r="AD1034" s="666"/>
      <c r="AE1034" s="666"/>
      <c r="AF1034" s="666"/>
      <c r="AG1034" s="666"/>
      <c r="AH1034" s="666"/>
      <c r="AI1034" s="666"/>
      <c r="AJ1034" s="666"/>
      <c r="AK1034" s="666"/>
      <c r="AL1034" s="666"/>
      <c r="AM1034" s="666"/>
      <c r="AN1034" s="666"/>
      <c r="AO1034" s="666"/>
      <c r="AP1034" s="666"/>
      <c r="AQ1034" s="666"/>
      <c r="AR1034" s="666"/>
      <c r="AS1034" s="666"/>
      <c r="AT1034" s="666"/>
      <c r="AU1034" s="666"/>
    </row>
    <row r="1035" ht="15.75" customHeight="1">
      <c r="A1035" s="713">
        <v>44816.0</v>
      </c>
      <c r="B1035" s="801" t="s">
        <v>8263</v>
      </c>
      <c r="C1035" s="715" t="s">
        <v>98</v>
      </c>
      <c r="D1035" s="641" t="s">
        <v>5038</v>
      </c>
      <c r="E1035" s="716">
        <v>17000.0</v>
      </c>
      <c r="F1035" s="641" t="s">
        <v>7739</v>
      </c>
      <c r="G1035" s="667" t="s">
        <v>255</v>
      </c>
      <c r="H1035" s="667" t="s">
        <v>199</v>
      </c>
      <c r="I1035" s="667" t="s">
        <v>3885</v>
      </c>
      <c r="J1035" s="667">
        <v>44147.0</v>
      </c>
      <c r="K1035" s="667" t="s">
        <v>2372</v>
      </c>
      <c r="L1035" s="666"/>
      <c r="M1035" s="666"/>
      <c r="N1035" s="666"/>
      <c r="O1035" s="666"/>
      <c r="P1035" s="666"/>
      <c r="Q1035" s="666"/>
      <c r="R1035" s="666"/>
      <c r="S1035" s="666"/>
      <c r="T1035" s="666"/>
      <c r="U1035" s="666"/>
      <c r="V1035" s="666"/>
      <c r="W1035" s="666"/>
      <c r="X1035" s="666"/>
      <c r="Y1035" s="666"/>
      <c r="Z1035" s="666"/>
      <c r="AA1035" s="666"/>
      <c r="AB1035" s="666"/>
      <c r="AC1035" s="666"/>
      <c r="AD1035" s="666"/>
      <c r="AE1035" s="666"/>
      <c r="AF1035" s="666"/>
      <c r="AG1035" s="666"/>
      <c r="AH1035" s="666"/>
      <c r="AI1035" s="666"/>
      <c r="AJ1035" s="666"/>
      <c r="AK1035" s="666"/>
      <c r="AL1035" s="666"/>
      <c r="AM1035" s="666"/>
      <c r="AN1035" s="666"/>
      <c r="AO1035" s="666"/>
      <c r="AP1035" s="666"/>
      <c r="AQ1035" s="666"/>
      <c r="AR1035" s="666"/>
      <c r="AS1035" s="666"/>
      <c r="AT1035" s="666"/>
      <c r="AU1035" s="666"/>
    </row>
    <row r="1036" ht="15.75" customHeight="1">
      <c r="A1036" s="713">
        <v>44817.0</v>
      </c>
      <c r="B1036" s="801" t="s">
        <v>8083</v>
      </c>
      <c r="C1036" s="715" t="s">
        <v>98</v>
      </c>
      <c r="D1036" s="641" t="s">
        <v>5038</v>
      </c>
      <c r="E1036" s="716">
        <v>20000.0</v>
      </c>
      <c r="F1036" s="641" t="s">
        <v>5565</v>
      </c>
      <c r="G1036" s="667" t="s">
        <v>255</v>
      </c>
      <c r="H1036" s="667" t="s">
        <v>199</v>
      </c>
      <c r="I1036" s="667" t="s">
        <v>548</v>
      </c>
      <c r="J1036" s="667">
        <v>44138.0</v>
      </c>
      <c r="K1036" s="667" t="s">
        <v>2365</v>
      </c>
      <c r="L1036" s="666"/>
      <c r="M1036" s="666"/>
      <c r="N1036" s="666"/>
      <c r="O1036" s="666"/>
      <c r="P1036" s="666"/>
      <c r="Q1036" s="666"/>
      <c r="R1036" s="666"/>
      <c r="S1036" s="666"/>
      <c r="T1036" s="666"/>
      <c r="U1036" s="666"/>
      <c r="V1036" s="666"/>
      <c r="W1036" s="666"/>
      <c r="X1036" s="666"/>
      <c r="Y1036" s="666"/>
      <c r="Z1036" s="666"/>
      <c r="AA1036" s="666"/>
      <c r="AB1036" s="666"/>
      <c r="AC1036" s="666"/>
      <c r="AD1036" s="666"/>
      <c r="AE1036" s="666"/>
      <c r="AF1036" s="666"/>
      <c r="AG1036" s="666"/>
      <c r="AH1036" s="666"/>
      <c r="AI1036" s="666"/>
      <c r="AJ1036" s="666"/>
      <c r="AK1036" s="666"/>
      <c r="AL1036" s="666"/>
      <c r="AM1036" s="666"/>
      <c r="AN1036" s="666"/>
      <c r="AO1036" s="666"/>
      <c r="AP1036" s="666"/>
      <c r="AQ1036" s="666"/>
      <c r="AR1036" s="666"/>
      <c r="AS1036" s="666"/>
      <c r="AT1036" s="666"/>
      <c r="AU1036" s="666"/>
    </row>
    <row r="1037" ht="15.75" customHeight="1">
      <c r="A1037" s="713">
        <v>44817.0</v>
      </c>
      <c r="B1037" s="801" t="s">
        <v>7582</v>
      </c>
      <c r="C1037" s="715" t="s">
        <v>98</v>
      </c>
      <c r="D1037" s="641" t="s">
        <v>5038</v>
      </c>
      <c r="E1037" s="716">
        <v>25000.0</v>
      </c>
      <c r="F1037" s="641" t="s">
        <v>3519</v>
      </c>
      <c r="G1037" s="667" t="s">
        <v>120</v>
      </c>
      <c r="H1037" s="667" t="s">
        <v>199</v>
      </c>
      <c r="I1037" s="667" t="s">
        <v>3521</v>
      </c>
      <c r="J1037" s="667">
        <v>44061.0</v>
      </c>
      <c r="K1037" s="667" t="s">
        <v>2341</v>
      </c>
      <c r="L1037" s="666"/>
      <c r="M1037" s="666"/>
      <c r="N1037" s="666"/>
      <c r="O1037" s="666"/>
      <c r="P1037" s="666"/>
      <c r="Q1037" s="666"/>
      <c r="R1037" s="666"/>
      <c r="S1037" s="666"/>
      <c r="T1037" s="666"/>
      <c r="U1037" s="666"/>
      <c r="V1037" s="666"/>
      <c r="W1037" s="666"/>
      <c r="X1037" s="666"/>
      <c r="Y1037" s="666"/>
      <c r="Z1037" s="666"/>
      <c r="AA1037" s="666"/>
      <c r="AB1037" s="666"/>
      <c r="AC1037" s="666"/>
      <c r="AD1037" s="666"/>
      <c r="AE1037" s="666"/>
      <c r="AF1037" s="666"/>
      <c r="AG1037" s="666"/>
      <c r="AH1037" s="666"/>
      <c r="AI1037" s="666"/>
      <c r="AJ1037" s="666"/>
      <c r="AK1037" s="666"/>
      <c r="AL1037" s="666"/>
      <c r="AM1037" s="666"/>
      <c r="AN1037" s="666"/>
      <c r="AO1037" s="666"/>
      <c r="AP1037" s="666"/>
      <c r="AQ1037" s="666"/>
      <c r="AR1037" s="666"/>
      <c r="AS1037" s="666"/>
      <c r="AT1037" s="666"/>
      <c r="AU1037" s="666"/>
    </row>
    <row r="1038" ht="15.75" customHeight="1">
      <c r="A1038" s="713">
        <v>44818.0</v>
      </c>
      <c r="B1038" s="801" t="s">
        <v>8268</v>
      </c>
      <c r="C1038" s="715" t="s">
        <v>98</v>
      </c>
      <c r="D1038" s="641" t="s">
        <v>694</v>
      </c>
      <c r="E1038" s="716">
        <v>384533.87</v>
      </c>
      <c r="F1038" s="641" t="s">
        <v>7680</v>
      </c>
      <c r="G1038" s="667" t="s">
        <v>120</v>
      </c>
      <c r="H1038" s="667" t="s">
        <v>54</v>
      </c>
      <c r="I1038" s="667" t="s">
        <v>4057</v>
      </c>
      <c r="J1038" s="667">
        <v>44421.0</v>
      </c>
      <c r="K1038" s="667" t="s">
        <v>2365</v>
      </c>
      <c r="L1038" s="666"/>
      <c r="M1038" s="666"/>
      <c r="N1038" s="666"/>
      <c r="O1038" s="666"/>
      <c r="P1038" s="666"/>
      <c r="Q1038" s="666"/>
      <c r="R1038" s="666"/>
      <c r="S1038" s="666"/>
      <c r="T1038" s="666"/>
      <c r="U1038" s="666"/>
      <c r="V1038" s="666"/>
      <c r="W1038" s="666"/>
      <c r="X1038" s="666"/>
      <c r="Y1038" s="666"/>
      <c r="Z1038" s="666"/>
      <c r="AA1038" s="666"/>
      <c r="AB1038" s="666"/>
      <c r="AC1038" s="666"/>
      <c r="AD1038" s="666"/>
      <c r="AE1038" s="666"/>
      <c r="AF1038" s="666"/>
      <c r="AG1038" s="666"/>
      <c r="AH1038" s="666"/>
      <c r="AI1038" s="666"/>
      <c r="AJ1038" s="666"/>
      <c r="AK1038" s="666"/>
      <c r="AL1038" s="666"/>
      <c r="AM1038" s="666"/>
      <c r="AN1038" s="666"/>
      <c r="AO1038" s="666"/>
      <c r="AP1038" s="666"/>
      <c r="AQ1038" s="666"/>
      <c r="AR1038" s="666"/>
      <c r="AS1038" s="666"/>
      <c r="AT1038" s="666"/>
      <c r="AU1038" s="666"/>
    </row>
    <row r="1039" ht="15.75" customHeight="1">
      <c r="A1039" s="713">
        <v>44819.0</v>
      </c>
      <c r="B1039" s="801" t="s">
        <v>7643</v>
      </c>
      <c r="C1039" s="715" t="s">
        <v>98</v>
      </c>
      <c r="D1039" s="641" t="s">
        <v>5038</v>
      </c>
      <c r="E1039" s="716">
        <v>30000.0</v>
      </c>
      <c r="F1039" s="641" t="s">
        <v>6087</v>
      </c>
      <c r="G1039" s="667" t="s">
        <v>120</v>
      </c>
      <c r="H1039" s="667" t="s">
        <v>199</v>
      </c>
      <c r="I1039" s="667" t="s">
        <v>4880</v>
      </c>
      <c r="J1039" s="667">
        <v>44594.0</v>
      </c>
      <c r="K1039" s="667" t="s">
        <v>2356</v>
      </c>
      <c r="L1039" s="666"/>
      <c r="M1039" s="666"/>
      <c r="N1039" s="666"/>
      <c r="O1039" s="666"/>
      <c r="P1039" s="666"/>
      <c r="Q1039" s="666"/>
      <c r="R1039" s="666"/>
      <c r="S1039" s="666"/>
      <c r="T1039" s="666"/>
      <c r="U1039" s="666"/>
      <c r="V1039" s="666"/>
      <c r="W1039" s="666"/>
      <c r="X1039" s="666"/>
      <c r="Y1039" s="666"/>
      <c r="Z1039" s="666"/>
      <c r="AA1039" s="666"/>
      <c r="AB1039" s="666"/>
      <c r="AC1039" s="666"/>
      <c r="AD1039" s="666"/>
      <c r="AE1039" s="666"/>
      <c r="AF1039" s="666"/>
      <c r="AG1039" s="666"/>
      <c r="AH1039" s="666"/>
      <c r="AI1039" s="666"/>
      <c r="AJ1039" s="666"/>
      <c r="AK1039" s="666"/>
      <c r="AL1039" s="666"/>
      <c r="AM1039" s="666"/>
      <c r="AN1039" s="666"/>
      <c r="AO1039" s="666"/>
      <c r="AP1039" s="666"/>
      <c r="AQ1039" s="666"/>
      <c r="AR1039" s="666"/>
      <c r="AS1039" s="666"/>
      <c r="AT1039" s="666"/>
      <c r="AU1039" s="666"/>
    </row>
    <row r="1040" ht="15.75" customHeight="1">
      <c r="A1040" s="713">
        <v>44820.0</v>
      </c>
      <c r="B1040" s="801" t="s">
        <v>8270</v>
      </c>
      <c r="C1040" s="715" t="s">
        <v>98</v>
      </c>
      <c r="D1040" s="641" t="s">
        <v>427</v>
      </c>
      <c r="E1040" s="716">
        <v>190943.67</v>
      </c>
      <c r="F1040" s="641" t="s">
        <v>8271</v>
      </c>
      <c r="G1040" s="667" t="s">
        <v>669</v>
      </c>
      <c r="H1040" s="667" t="s">
        <v>199</v>
      </c>
      <c r="I1040" s="667" t="s">
        <v>669</v>
      </c>
      <c r="J1040" s="667">
        <v>44361.0</v>
      </c>
      <c r="K1040" s="667" t="s">
        <v>2365</v>
      </c>
      <c r="L1040" s="666"/>
      <c r="M1040" s="666"/>
      <c r="N1040" s="666"/>
      <c r="O1040" s="666"/>
      <c r="P1040" s="666"/>
      <c r="Q1040" s="666"/>
      <c r="R1040" s="666"/>
      <c r="S1040" s="666"/>
      <c r="T1040" s="666"/>
      <c r="U1040" s="666"/>
      <c r="V1040" s="666"/>
      <c r="W1040" s="666"/>
      <c r="X1040" s="666"/>
      <c r="Y1040" s="666"/>
      <c r="Z1040" s="666"/>
      <c r="AA1040" s="666"/>
      <c r="AB1040" s="666"/>
      <c r="AC1040" s="666"/>
      <c r="AD1040" s="666"/>
      <c r="AE1040" s="666"/>
      <c r="AF1040" s="666"/>
      <c r="AG1040" s="666"/>
      <c r="AH1040" s="666"/>
      <c r="AI1040" s="666"/>
      <c r="AJ1040" s="666"/>
      <c r="AK1040" s="666"/>
      <c r="AL1040" s="666"/>
      <c r="AM1040" s="666"/>
      <c r="AN1040" s="666"/>
      <c r="AO1040" s="666"/>
      <c r="AP1040" s="666"/>
      <c r="AQ1040" s="666"/>
      <c r="AR1040" s="666"/>
      <c r="AS1040" s="666"/>
      <c r="AT1040" s="666"/>
      <c r="AU1040" s="666"/>
    </row>
    <row r="1041" ht="15.75" customHeight="1">
      <c r="A1041" s="713">
        <v>44820.0</v>
      </c>
      <c r="B1041" s="801" t="s">
        <v>8272</v>
      </c>
      <c r="C1041" s="715" t="s">
        <v>98</v>
      </c>
      <c r="D1041" s="641" t="s">
        <v>694</v>
      </c>
      <c r="E1041" s="716">
        <v>32923.57</v>
      </c>
      <c r="F1041" s="641" t="s">
        <v>6874</v>
      </c>
      <c r="G1041" s="667" t="s">
        <v>120</v>
      </c>
      <c r="H1041" s="667" t="s">
        <v>54</v>
      </c>
      <c r="I1041" s="667" t="s">
        <v>4705</v>
      </c>
      <c r="J1041" s="667">
        <v>44623.0</v>
      </c>
      <c r="K1041" s="641" t="s">
        <v>8273</v>
      </c>
      <c r="L1041" s="666"/>
      <c r="M1041" s="666"/>
      <c r="N1041" s="666"/>
      <c r="O1041" s="666"/>
      <c r="P1041" s="666"/>
      <c r="Q1041" s="666"/>
      <c r="R1041" s="666"/>
      <c r="S1041" s="666"/>
      <c r="T1041" s="666"/>
      <c r="U1041" s="666"/>
      <c r="V1041" s="666"/>
      <c r="W1041" s="666"/>
      <c r="X1041" s="666"/>
      <c r="Y1041" s="666"/>
      <c r="Z1041" s="666"/>
      <c r="AA1041" s="666"/>
      <c r="AB1041" s="666"/>
      <c r="AC1041" s="666"/>
      <c r="AD1041" s="666"/>
      <c r="AE1041" s="666"/>
      <c r="AF1041" s="666"/>
      <c r="AG1041" s="666"/>
      <c r="AH1041" s="666"/>
      <c r="AI1041" s="666"/>
      <c r="AJ1041" s="666"/>
      <c r="AK1041" s="666"/>
      <c r="AL1041" s="666"/>
      <c r="AM1041" s="666"/>
      <c r="AN1041" s="666"/>
      <c r="AO1041" s="666"/>
      <c r="AP1041" s="666"/>
      <c r="AQ1041" s="666"/>
      <c r="AR1041" s="666"/>
      <c r="AS1041" s="666"/>
      <c r="AT1041" s="666"/>
      <c r="AU1041" s="666"/>
    </row>
    <row r="1042" ht="15.75" customHeight="1">
      <c r="A1042" s="713">
        <v>44824.0</v>
      </c>
      <c r="B1042" s="801" t="s">
        <v>8241</v>
      </c>
      <c r="C1042" s="715" t="s">
        <v>98</v>
      </c>
      <c r="D1042" s="641" t="s">
        <v>5038</v>
      </c>
      <c r="E1042" s="716">
        <v>10000.0</v>
      </c>
      <c r="F1042" s="641" t="s">
        <v>3924</v>
      </c>
      <c r="G1042" s="667" t="s">
        <v>120</v>
      </c>
      <c r="H1042" s="667" t="s">
        <v>54</v>
      </c>
      <c r="I1042" s="667" t="s">
        <v>348</v>
      </c>
      <c r="J1042" s="667">
        <v>44762.0</v>
      </c>
      <c r="K1042" s="667" t="s">
        <v>2365</v>
      </c>
      <c r="L1042" s="666"/>
      <c r="M1042" s="666"/>
      <c r="N1042" s="666"/>
      <c r="O1042" s="666"/>
      <c r="P1042" s="666"/>
      <c r="Q1042" s="666"/>
      <c r="R1042" s="666"/>
      <c r="S1042" s="666"/>
      <c r="T1042" s="666"/>
      <c r="U1042" s="666"/>
      <c r="V1042" s="666"/>
      <c r="W1042" s="666"/>
      <c r="X1042" s="666"/>
      <c r="Y1042" s="666"/>
      <c r="Z1042" s="666"/>
      <c r="AA1042" s="666"/>
      <c r="AB1042" s="666"/>
      <c r="AC1042" s="666"/>
      <c r="AD1042" s="666"/>
      <c r="AE1042" s="666"/>
      <c r="AF1042" s="666"/>
      <c r="AG1042" s="666"/>
      <c r="AH1042" s="666"/>
      <c r="AI1042" s="666"/>
      <c r="AJ1042" s="666"/>
      <c r="AK1042" s="666"/>
      <c r="AL1042" s="666"/>
      <c r="AM1042" s="666"/>
      <c r="AN1042" s="666"/>
      <c r="AO1042" s="666"/>
      <c r="AP1042" s="666"/>
      <c r="AQ1042" s="666"/>
      <c r="AR1042" s="666"/>
      <c r="AS1042" s="666"/>
      <c r="AT1042" s="666"/>
      <c r="AU1042" s="666"/>
    </row>
    <row r="1043" ht="15.75" customHeight="1">
      <c r="A1043" s="713">
        <v>44824.0</v>
      </c>
      <c r="B1043" s="801" t="s">
        <v>8275</v>
      </c>
      <c r="C1043" s="715" t="s">
        <v>98</v>
      </c>
      <c r="D1043" s="641" t="s">
        <v>5038</v>
      </c>
      <c r="E1043" s="716">
        <v>96196.0</v>
      </c>
      <c r="F1043" s="641" t="s">
        <v>5440</v>
      </c>
      <c r="G1043" s="667" t="s">
        <v>120</v>
      </c>
      <c r="H1043" s="667" t="s">
        <v>199</v>
      </c>
      <c r="I1043" s="667" t="s">
        <v>4044</v>
      </c>
      <c r="J1043" s="667">
        <v>44218.0</v>
      </c>
      <c r="K1043" s="667" t="s">
        <v>2319</v>
      </c>
      <c r="L1043" s="666"/>
      <c r="M1043" s="666"/>
      <c r="N1043" s="666"/>
      <c r="O1043" s="666"/>
      <c r="P1043" s="666"/>
      <c r="Q1043" s="666"/>
      <c r="R1043" s="666"/>
      <c r="S1043" s="666"/>
      <c r="T1043" s="666"/>
      <c r="U1043" s="666"/>
      <c r="V1043" s="666"/>
      <c r="W1043" s="666"/>
      <c r="X1043" s="666"/>
      <c r="Y1043" s="666"/>
      <c r="Z1043" s="666"/>
      <c r="AA1043" s="666"/>
      <c r="AB1043" s="666"/>
      <c r="AC1043" s="666"/>
      <c r="AD1043" s="666"/>
      <c r="AE1043" s="666"/>
      <c r="AF1043" s="666"/>
      <c r="AG1043" s="666"/>
      <c r="AH1043" s="666"/>
      <c r="AI1043" s="666"/>
      <c r="AJ1043" s="666"/>
      <c r="AK1043" s="666"/>
      <c r="AL1043" s="666"/>
      <c r="AM1043" s="666"/>
      <c r="AN1043" s="666"/>
      <c r="AO1043" s="666"/>
      <c r="AP1043" s="666"/>
      <c r="AQ1043" s="666"/>
      <c r="AR1043" s="666"/>
      <c r="AS1043" s="666"/>
      <c r="AT1043" s="666"/>
      <c r="AU1043" s="666"/>
    </row>
    <row r="1044" ht="15.75" customHeight="1">
      <c r="A1044" s="713">
        <v>44825.0</v>
      </c>
      <c r="B1044" s="801">
        <v>5663320.0</v>
      </c>
      <c r="C1044" s="715" t="s">
        <v>98</v>
      </c>
      <c r="D1044" s="641" t="s">
        <v>5038</v>
      </c>
      <c r="E1044" s="716">
        <v>21000.0</v>
      </c>
      <c r="F1044" s="641" t="s">
        <v>6666</v>
      </c>
      <c r="G1044" s="667" t="s">
        <v>120</v>
      </c>
      <c r="H1044" s="667" t="s">
        <v>199</v>
      </c>
      <c r="I1044" s="667" t="s">
        <v>212</v>
      </c>
      <c r="J1044" s="667">
        <v>44385.0</v>
      </c>
      <c r="K1044" s="667" t="s">
        <v>2452</v>
      </c>
      <c r="L1044" s="666"/>
      <c r="M1044" s="666"/>
      <c r="N1044" s="666"/>
      <c r="O1044" s="666"/>
      <c r="P1044" s="666"/>
      <c r="Q1044" s="666"/>
      <c r="R1044" s="666"/>
      <c r="S1044" s="666"/>
      <c r="T1044" s="666"/>
      <c r="U1044" s="666"/>
      <c r="V1044" s="666"/>
      <c r="W1044" s="666"/>
      <c r="X1044" s="666"/>
      <c r="Y1044" s="666"/>
      <c r="Z1044" s="666"/>
      <c r="AA1044" s="666"/>
      <c r="AB1044" s="666"/>
      <c r="AC1044" s="666"/>
      <c r="AD1044" s="666"/>
      <c r="AE1044" s="666"/>
      <c r="AF1044" s="666"/>
      <c r="AG1044" s="666"/>
      <c r="AH1044" s="666"/>
      <c r="AI1044" s="666"/>
      <c r="AJ1044" s="666"/>
      <c r="AK1044" s="666"/>
      <c r="AL1044" s="666"/>
      <c r="AM1044" s="666"/>
      <c r="AN1044" s="666"/>
      <c r="AO1044" s="666"/>
      <c r="AP1044" s="666"/>
      <c r="AQ1044" s="666"/>
      <c r="AR1044" s="666"/>
      <c r="AS1044" s="666"/>
      <c r="AT1044" s="666"/>
      <c r="AU1044" s="666"/>
    </row>
    <row r="1045" ht="15.75" customHeight="1">
      <c r="A1045" s="713">
        <v>44826.0</v>
      </c>
      <c r="B1045" s="801" t="s">
        <v>8278</v>
      </c>
      <c r="C1045" s="715" t="s">
        <v>98</v>
      </c>
      <c r="D1045" s="641" t="s">
        <v>694</v>
      </c>
      <c r="E1045" s="716" t="s">
        <v>3320</v>
      </c>
      <c r="F1045" s="641" t="s">
        <v>8279</v>
      </c>
      <c r="G1045" s="667" t="s">
        <v>120</v>
      </c>
      <c r="H1045" s="667" t="s">
        <v>91</v>
      </c>
      <c r="I1045" s="667" t="s">
        <v>193</v>
      </c>
      <c r="J1045" s="667">
        <v>44824.0</v>
      </c>
      <c r="K1045" s="667" t="s">
        <v>2372</v>
      </c>
      <c r="L1045" s="666"/>
      <c r="M1045" s="666"/>
      <c r="N1045" s="666"/>
      <c r="O1045" s="666"/>
      <c r="P1045" s="666"/>
      <c r="Q1045" s="666"/>
      <c r="R1045" s="666"/>
      <c r="S1045" s="666"/>
      <c r="T1045" s="666"/>
      <c r="U1045" s="666"/>
      <c r="V1045" s="666"/>
      <c r="W1045" s="666"/>
      <c r="X1045" s="666"/>
      <c r="Y1045" s="666"/>
      <c r="Z1045" s="666"/>
      <c r="AA1045" s="666"/>
      <c r="AB1045" s="666"/>
      <c r="AC1045" s="666"/>
      <c r="AD1045" s="666"/>
      <c r="AE1045" s="666"/>
      <c r="AF1045" s="666"/>
      <c r="AG1045" s="666"/>
      <c r="AH1045" s="666"/>
      <c r="AI1045" s="666"/>
      <c r="AJ1045" s="666"/>
      <c r="AK1045" s="666"/>
      <c r="AL1045" s="666"/>
      <c r="AM1045" s="666"/>
      <c r="AN1045" s="666"/>
      <c r="AO1045" s="666"/>
      <c r="AP1045" s="666"/>
      <c r="AQ1045" s="666"/>
      <c r="AR1045" s="666"/>
      <c r="AS1045" s="666"/>
      <c r="AT1045" s="666"/>
      <c r="AU1045" s="666"/>
    </row>
    <row r="1046" ht="15.75" customHeight="1">
      <c r="A1046" s="713">
        <v>44827.0</v>
      </c>
      <c r="B1046" s="801" t="s">
        <v>8282</v>
      </c>
      <c r="C1046" s="715" t="s">
        <v>98</v>
      </c>
      <c r="D1046" s="641" t="s">
        <v>5038</v>
      </c>
      <c r="E1046" s="716">
        <v>60000.0</v>
      </c>
      <c r="F1046" s="641" t="s">
        <v>2423</v>
      </c>
      <c r="G1046" s="667" t="s">
        <v>120</v>
      </c>
      <c r="H1046" s="667" t="s">
        <v>199</v>
      </c>
      <c r="I1046" s="667" t="s">
        <v>212</v>
      </c>
      <c r="J1046" s="667">
        <v>44652.0</v>
      </c>
      <c r="K1046" s="667" t="s">
        <v>2356</v>
      </c>
      <c r="L1046" s="666"/>
      <c r="M1046" s="666"/>
      <c r="N1046" s="666"/>
      <c r="O1046" s="666"/>
      <c r="P1046" s="666"/>
      <c r="Q1046" s="666"/>
      <c r="R1046" s="666"/>
      <c r="S1046" s="666"/>
      <c r="T1046" s="666"/>
      <c r="U1046" s="666"/>
      <c r="V1046" s="666"/>
      <c r="W1046" s="666"/>
      <c r="X1046" s="666"/>
      <c r="Y1046" s="666"/>
      <c r="Z1046" s="666"/>
      <c r="AA1046" s="666"/>
      <c r="AB1046" s="666"/>
      <c r="AC1046" s="666"/>
      <c r="AD1046" s="666"/>
      <c r="AE1046" s="666"/>
      <c r="AF1046" s="666"/>
      <c r="AG1046" s="666"/>
      <c r="AH1046" s="666"/>
      <c r="AI1046" s="666"/>
      <c r="AJ1046" s="666"/>
      <c r="AK1046" s="666"/>
      <c r="AL1046" s="666"/>
      <c r="AM1046" s="666"/>
      <c r="AN1046" s="666"/>
      <c r="AO1046" s="666"/>
      <c r="AP1046" s="666"/>
      <c r="AQ1046" s="666"/>
      <c r="AR1046" s="666"/>
      <c r="AS1046" s="666"/>
      <c r="AT1046" s="666"/>
      <c r="AU1046" s="666"/>
    </row>
    <row r="1047" ht="15.75" customHeight="1">
      <c r="A1047" s="713">
        <v>44827.0</v>
      </c>
      <c r="B1047" s="801" t="s">
        <v>8236</v>
      </c>
      <c r="C1047" s="715" t="s">
        <v>98</v>
      </c>
      <c r="D1047" s="641" t="s">
        <v>5038</v>
      </c>
      <c r="E1047" s="716">
        <v>18000.0</v>
      </c>
      <c r="F1047" s="641" t="s">
        <v>5861</v>
      </c>
      <c r="G1047" s="667" t="s">
        <v>120</v>
      </c>
      <c r="H1047" s="667" t="s">
        <v>54</v>
      </c>
      <c r="I1047" s="667" t="s">
        <v>8237</v>
      </c>
      <c r="J1047" s="667">
        <v>44776.0</v>
      </c>
      <c r="K1047" s="667" t="s">
        <v>2372</v>
      </c>
      <c r="L1047" s="666"/>
      <c r="M1047" s="666"/>
      <c r="N1047" s="666"/>
      <c r="O1047" s="666"/>
      <c r="P1047" s="666"/>
      <c r="Q1047" s="666"/>
      <c r="R1047" s="666"/>
      <c r="S1047" s="666"/>
      <c r="T1047" s="666"/>
      <c r="U1047" s="666"/>
      <c r="V1047" s="666"/>
      <c r="W1047" s="666"/>
      <c r="X1047" s="666"/>
      <c r="Y1047" s="666"/>
      <c r="Z1047" s="666"/>
      <c r="AA1047" s="666"/>
      <c r="AB1047" s="666"/>
      <c r="AC1047" s="666"/>
      <c r="AD1047" s="666"/>
      <c r="AE1047" s="666"/>
      <c r="AF1047" s="666"/>
      <c r="AG1047" s="666"/>
      <c r="AH1047" s="666"/>
      <c r="AI1047" s="666"/>
      <c r="AJ1047" s="666"/>
      <c r="AK1047" s="666"/>
      <c r="AL1047" s="666"/>
      <c r="AM1047" s="666"/>
      <c r="AN1047" s="666"/>
      <c r="AO1047" s="666"/>
      <c r="AP1047" s="666"/>
      <c r="AQ1047" s="666"/>
      <c r="AR1047" s="666"/>
      <c r="AS1047" s="666"/>
      <c r="AT1047" s="666"/>
      <c r="AU1047" s="666"/>
    </row>
    <row r="1048" ht="15.75" customHeight="1">
      <c r="A1048" s="713">
        <v>44830.0</v>
      </c>
      <c r="B1048" s="801" t="s">
        <v>8285</v>
      </c>
      <c r="C1048" s="715" t="s">
        <v>98</v>
      </c>
      <c r="D1048" s="641" t="s">
        <v>694</v>
      </c>
      <c r="E1048" s="716">
        <v>156696.82</v>
      </c>
      <c r="F1048" s="641" t="s">
        <v>8286</v>
      </c>
      <c r="G1048" s="667" t="s">
        <v>120</v>
      </c>
      <c r="H1048" s="667" t="s">
        <v>54</v>
      </c>
      <c r="I1048" s="667" t="s">
        <v>4057</v>
      </c>
      <c r="J1048" s="667">
        <v>44461.0</v>
      </c>
      <c r="K1048" s="667" t="s">
        <v>2356</v>
      </c>
      <c r="L1048" s="666"/>
      <c r="M1048" s="666"/>
      <c r="N1048" s="666"/>
      <c r="O1048" s="666"/>
      <c r="P1048" s="666"/>
      <c r="Q1048" s="666"/>
      <c r="R1048" s="666"/>
      <c r="S1048" s="666"/>
      <c r="T1048" s="666"/>
      <c r="U1048" s="666"/>
      <c r="V1048" s="666"/>
      <c r="W1048" s="666"/>
      <c r="X1048" s="666"/>
      <c r="Y1048" s="666"/>
      <c r="Z1048" s="666"/>
      <c r="AA1048" s="666"/>
      <c r="AB1048" s="666"/>
      <c r="AC1048" s="666"/>
      <c r="AD1048" s="666"/>
      <c r="AE1048" s="666"/>
      <c r="AF1048" s="666"/>
      <c r="AG1048" s="666"/>
      <c r="AH1048" s="666"/>
      <c r="AI1048" s="666"/>
      <c r="AJ1048" s="666"/>
      <c r="AK1048" s="666"/>
      <c r="AL1048" s="666"/>
      <c r="AM1048" s="666"/>
      <c r="AN1048" s="666"/>
      <c r="AO1048" s="666"/>
      <c r="AP1048" s="666"/>
      <c r="AQ1048" s="666"/>
      <c r="AR1048" s="666"/>
      <c r="AS1048" s="666"/>
      <c r="AT1048" s="666"/>
      <c r="AU1048" s="666"/>
    </row>
    <row r="1049" ht="15.75" customHeight="1">
      <c r="A1049" s="713">
        <v>44837.0</v>
      </c>
      <c r="B1049" s="801" t="s">
        <v>8287</v>
      </c>
      <c r="C1049" s="715" t="s">
        <v>98</v>
      </c>
      <c r="D1049" s="641" t="s">
        <v>5038</v>
      </c>
      <c r="E1049" s="716">
        <v>4800.0</v>
      </c>
      <c r="F1049" s="641" t="s">
        <v>3788</v>
      </c>
      <c r="G1049" s="667" t="s">
        <v>120</v>
      </c>
      <c r="H1049" s="667" t="s">
        <v>199</v>
      </c>
      <c r="I1049" s="667" t="s">
        <v>290</v>
      </c>
      <c r="J1049" s="667">
        <v>44819.0</v>
      </c>
      <c r="K1049" s="667" t="s">
        <v>2365</v>
      </c>
      <c r="L1049" s="666"/>
      <c r="M1049" s="666"/>
      <c r="N1049" s="666"/>
      <c r="O1049" s="666"/>
      <c r="P1049" s="666"/>
      <c r="Q1049" s="666"/>
      <c r="R1049" s="666"/>
      <c r="S1049" s="666"/>
      <c r="T1049" s="666"/>
      <c r="U1049" s="666"/>
      <c r="V1049" s="666"/>
      <c r="W1049" s="666"/>
      <c r="X1049" s="666"/>
      <c r="Y1049" s="666"/>
      <c r="Z1049" s="666"/>
      <c r="AA1049" s="666"/>
      <c r="AB1049" s="666"/>
      <c r="AC1049" s="666"/>
      <c r="AD1049" s="666"/>
      <c r="AE1049" s="666"/>
      <c r="AF1049" s="666"/>
      <c r="AG1049" s="666"/>
      <c r="AH1049" s="666"/>
      <c r="AI1049" s="666"/>
      <c r="AJ1049" s="666"/>
      <c r="AK1049" s="666"/>
      <c r="AL1049" s="666"/>
      <c r="AM1049" s="666"/>
      <c r="AN1049" s="666"/>
      <c r="AO1049" s="666"/>
      <c r="AP1049" s="666"/>
      <c r="AQ1049" s="666"/>
      <c r="AR1049" s="666"/>
      <c r="AS1049" s="666"/>
      <c r="AT1049" s="666"/>
      <c r="AU1049" s="666"/>
    </row>
    <row r="1050" ht="15.75" customHeight="1">
      <c r="A1050" s="713">
        <v>44837.0</v>
      </c>
      <c r="B1050" s="801" t="s">
        <v>8287</v>
      </c>
      <c r="C1050" s="715" t="s">
        <v>98</v>
      </c>
      <c r="D1050" s="641" t="s">
        <v>5038</v>
      </c>
      <c r="E1050" s="716">
        <v>7477.76</v>
      </c>
      <c r="F1050" s="641" t="s">
        <v>3788</v>
      </c>
      <c r="G1050" s="667" t="s">
        <v>120</v>
      </c>
      <c r="H1050" s="667" t="s">
        <v>199</v>
      </c>
      <c r="I1050" s="667" t="s">
        <v>290</v>
      </c>
      <c r="J1050" s="667">
        <v>44819.0</v>
      </c>
      <c r="K1050" s="667" t="s">
        <v>2365</v>
      </c>
      <c r="L1050" s="666"/>
      <c r="M1050" s="666"/>
      <c r="N1050" s="666"/>
      <c r="O1050" s="666"/>
      <c r="P1050" s="666"/>
      <c r="Q1050" s="666"/>
      <c r="R1050" s="666"/>
      <c r="S1050" s="666"/>
      <c r="T1050" s="666"/>
      <c r="U1050" s="666"/>
      <c r="V1050" s="666"/>
      <c r="W1050" s="666"/>
      <c r="X1050" s="666"/>
      <c r="Y1050" s="666"/>
      <c r="Z1050" s="666"/>
      <c r="AA1050" s="666"/>
      <c r="AB1050" s="666"/>
      <c r="AC1050" s="666"/>
      <c r="AD1050" s="666"/>
      <c r="AE1050" s="666"/>
      <c r="AF1050" s="666"/>
      <c r="AG1050" s="666"/>
      <c r="AH1050" s="666"/>
      <c r="AI1050" s="666"/>
      <c r="AJ1050" s="666"/>
      <c r="AK1050" s="666"/>
      <c r="AL1050" s="666"/>
      <c r="AM1050" s="666"/>
      <c r="AN1050" s="666"/>
      <c r="AO1050" s="666"/>
      <c r="AP1050" s="666"/>
      <c r="AQ1050" s="666"/>
      <c r="AR1050" s="666"/>
      <c r="AS1050" s="666"/>
      <c r="AT1050" s="666"/>
      <c r="AU1050" s="666"/>
    </row>
    <row r="1051" ht="15.75" customHeight="1">
      <c r="A1051" s="713">
        <v>44837.0</v>
      </c>
      <c r="B1051" s="801" t="s">
        <v>8293</v>
      </c>
      <c r="C1051" s="715" t="s">
        <v>98</v>
      </c>
      <c r="D1051" s="641" t="s">
        <v>5038</v>
      </c>
      <c r="E1051" s="716">
        <v>199998.0</v>
      </c>
      <c r="F1051" s="641" t="s">
        <v>5532</v>
      </c>
      <c r="G1051" s="667" t="s">
        <v>120</v>
      </c>
      <c r="H1051" s="667" t="s">
        <v>54</v>
      </c>
      <c r="I1051" s="667" t="s">
        <v>379</v>
      </c>
      <c r="J1051" s="667">
        <v>44739.0</v>
      </c>
      <c r="K1051" s="667" t="s">
        <v>2356</v>
      </c>
      <c r="L1051" s="666"/>
      <c r="M1051" s="666"/>
      <c r="N1051" s="666"/>
      <c r="O1051" s="666"/>
      <c r="P1051" s="666"/>
      <c r="Q1051" s="666"/>
      <c r="R1051" s="666"/>
      <c r="S1051" s="666"/>
      <c r="T1051" s="666"/>
      <c r="U1051" s="666"/>
      <c r="V1051" s="666"/>
      <c r="W1051" s="666"/>
      <c r="X1051" s="666"/>
      <c r="Y1051" s="666"/>
      <c r="Z1051" s="666"/>
      <c r="AA1051" s="666"/>
      <c r="AB1051" s="666"/>
      <c r="AC1051" s="666"/>
      <c r="AD1051" s="666"/>
      <c r="AE1051" s="666"/>
      <c r="AF1051" s="666"/>
      <c r="AG1051" s="666"/>
      <c r="AH1051" s="666"/>
      <c r="AI1051" s="666"/>
      <c r="AJ1051" s="666"/>
      <c r="AK1051" s="666"/>
      <c r="AL1051" s="666"/>
      <c r="AM1051" s="666"/>
      <c r="AN1051" s="666"/>
      <c r="AO1051" s="666"/>
      <c r="AP1051" s="666"/>
      <c r="AQ1051" s="666"/>
      <c r="AR1051" s="666"/>
      <c r="AS1051" s="666"/>
      <c r="AT1051" s="666"/>
      <c r="AU1051" s="666"/>
    </row>
    <row r="1052" ht="15.75" customHeight="1">
      <c r="A1052" s="713">
        <v>44838.0</v>
      </c>
      <c r="B1052" s="801" t="s">
        <v>8296</v>
      </c>
      <c r="C1052" s="715" t="s">
        <v>98</v>
      </c>
      <c r="D1052" s="641" t="s">
        <v>694</v>
      </c>
      <c r="E1052" s="716">
        <v>104271.35</v>
      </c>
      <c r="F1052" s="641" t="s">
        <v>3166</v>
      </c>
      <c r="G1052" s="667" t="s">
        <v>120</v>
      </c>
      <c r="H1052" s="667" t="s">
        <v>54</v>
      </c>
      <c r="I1052" s="667" t="s">
        <v>379</v>
      </c>
      <c r="J1052" s="667">
        <v>44460.0</v>
      </c>
      <c r="K1052" s="667" t="s">
        <v>3177</v>
      </c>
      <c r="L1052" s="666"/>
      <c r="M1052" s="666"/>
      <c r="N1052" s="666"/>
      <c r="O1052" s="666"/>
      <c r="P1052" s="666"/>
      <c r="Q1052" s="666"/>
      <c r="R1052" s="666"/>
      <c r="S1052" s="666"/>
      <c r="T1052" s="666"/>
      <c r="U1052" s="666"/>
      <c r="V1052" s="666"/>
      <c r="W1052" s="666"/>
      <c r="X1052" s="666"/>
      <c r="Y1052" s="666"/>
      <c r="Z1052" s="666"/>
      <c r="AA1052" s="666"/>
      <c r="AB1052" s="666"/>
      <c r="AC1052" s="666"/>
      <c r="AD1052" s="666"/>
      <c r="AE1052" s="666"/>
      <c r="AF1052" s="666"/>
      <c r="AG1052" s="666"/>
      <c r="AH1052" s="666"/>
      <c r="AI1052" s="666"/>
      <c r="AJ1052" s="666"/>
      <c r="AK1052" s="666"/>
      <c r="AL1052" s="666"/>
      <c r="AM1052" s="666"/>
      <c r="AN1052" s="666"/>
      <c r="AO1052" s="666"/>
      <c r="AP1052" s="666"/>
      <c r="AQ1052" s="666"/>
      <c r="AR1052" s="666"/>
      <c r="AS1052" s="666"/>
      <c r="AT1052" s="666"/>
      <c r="AU1052" s="666"/>
    </row>
    <row r="1053" ht="15.75" customHeight="1">
      <c r="A1053" s="713">
        <v>44839.0</v>
      </c>
      <c r="B1053" s="801" t="s">
        <v>8250</v>
      </c>
      <c r="C1053" s="715" t="s">
        <v>98</v>
      </c>
      <c r="D1053" s="641" t="s">
        <v>5038</v>
      </c>
      <c r="E1053" s="716">
        <v>400000.0</v>
      </c>
      <c r="F1053" s="641" t="s">
        <v>8298</v>
      </c>
      <c r="G1053" s="667" t="s">
        <v>120</v>
      </c>
      <c r="H1053" s="667" t="s">
        <v>54</v>
      </c>
      <c r="I1053" s="667" t="s">
        <v>1393</v>
      </c>
      <c r="J1053" s="667">
        <v>44698.0</v>
      </c>
      <c r="K1053" s="667" t="s">
        <v>2372</v>
      </c>
      <c r="L1053" s="666"/>
      <c r="M1053" s="666"/>
      <c r="N1053" s="666"/>
      <c r="O1053" s="666"/>
      <c r="P1053" s="666"/>
      <c r="Q1053" s="666"/>
      <c r="R1053" s="666"/>
      <c r="S1053" s="666"/>
      <c r="T1053" s="666"/>
      <c r="U1053" s="666"/>
      <c r="V1053" s="666"/>
      <c r="W1053" s="666"/>
      <c r="X1053" s="666"/>
      <c r="Y1053" s="666"/>
      <c r="Z1053" s="666"/>
      <c r="AA1053" s="666"/>
      <c r="AB1053" s="666"/>
      <c r="AC1053" s="666"/>
      <c r="AD1053" s="666"/>
      <c r="AE1053" s="666"/>
      <c r="AF1053" s="666"/>
      <c r="AG1053" s="666"/>
      <c r="AH1053" s="666"/>
      <c r="AI1053" s="666"/>
      <c r="AJ1053" s="666"/>
      <c r="AK1053" s="666"/>
      <c r="AL1053" s="666"/>
      <c r="AM1053" s="666"/>
      <c r="AN1053" s="666"/>
      <c r="AO1053" s="666"/>
      <c r="AP1053" s="666"/>
      <c r="AQ1053" s="666"/>
      <c r="AR1053" s="666"/>
      <c r="AS1053" s="666"/>
      <c r="AT1053" s="666"/>
      <c r="AU1053" s="666"/>
    </row>
    <row r="1054" ht="15.75" customHeight="1">
      <c r="A1054" s="713">
        <v>44839.0</v>
      </c>
      <c r="B1054" s="801" t="s">
        <v>5724</v>
      </c>
      <c r="C1054" s="715" t="s">
        <v>98</v>
      </c>
      <c r="D1054" s="641" t="s">
        <v>5038</v>
      </c>
      <c r="E1054" s="716">
        <v>10000.0</v>
      </c>
      <c r="F1054" s="641" t="s">
        <v>5042</v>
      </c>
      <c r="G1054" s="667" t="s">
        <v>255</v>
      </c>
      <c r="H1054" s="667" t="s">
        <v>199</v>
      </c>
      <c r="I1054" s="667" t="s">
        <v>2587</v>
      </c>
      <c r="J1054" s="667">
        <v>44263.0</v>
      </c>
      <c r="K1054" s="667" t="s">
        <v>2341</v>
      </c>
      <c r="L1054" s="666"/>
      <c r="M1054" s="666"/>
      <c r="N1054" s="666"/>
      <c r="O1054" s="666"/>
      <c r="P1054" s="666"/>
      <c r="Q1054" s="666"/>
      <c r="R1054" s="666"/>
      <c r="S1054" s="666"/>
      <c r="T1054" s="666"/>
      <c r="U1054" s="666"/>
      <c r="V1054" s="666"/>
      <c r="W1054" s="666"/>
      <c r="X1054" s="666"/>
      <c r="Y1054" s="666"/>
      <c r="Z1054" s="666"/>
      <c r="AA1054" s="666"/>
      <c r="AB1054" s="666"/>
      <c r="AC1054" s="666"/>
      <c r="AD1054" s="666"/>
      <c r="AE1054" s="666"/>
      <c r="AF1054" s="666"/>
      <c r="AG1054" s="666"/>
      <c r="AH1054" s="666"/>
      <c r="AI1054" s="666"/>
      <c r="AJ1054" s="666"/>
      <c r="AK1054" s="666"/>
      <c r="AL1054" s="666"/>
      <c r="AM1054" s="666"/>
      <c r="AN1054" s="666"/>
      <c r="AO1054" s="666"/>
      <c r="AP1054" s="666"/>
      <c r="AQ1054" s="666"/>
      <c r="AR1054" s="666"/>
      <c r="AS1054" s="666"/>
      <c r="AT1054" s="666"/>
      <c r="AU1054" s="666"/>
    </row>
    <row r="1055" ht="15.75" customHeight="1">
      <c r="A1055" s="713">
        <v>44844.0</v>
      </c>
      <c r="B1055" s="801" t="s">
        <v>7643</v>
      </c>
      <c r="C1055" s="715" t="s">
        <v>98</v>
      </c>
      <c r="D1055" s="641" t="s">
        <v>5038</v>
      </c>
      <c r="E1055" s="716">
        <v>30000.0</v>
      </c>
      <c r="F1055" s="641" t="s">
        <v>6087</v>
      </c>
      <c r="G1055" s="667" t="s">
        <v>120</v>
      </c>
      <c r="H1055" s="667" t="s">
        <v>199</v>
      </c>
      <c r="I1055" s="667" t="s">
        <v>4880</v>
      </c>
      <c r="J1055" s="667">
        <v>44594.0</v>
      </c>
      <c r="K1055" s="667" t="s">
        <v>2356</v>
      </c>
      <c r="L1055" s="666"/>
      <c r="M1055" s="666"/>
      <c r="N1055" s="666"/>
      <c r="O1055" s="666"/>
      <c r="P1055" s="666"/>
      <c r="Q1055" s="666"/>
      <c r="R1055" s="666"/>
      <c r="S1055" s="666"/>
      <c r="T1055" s="666"/>
      <c r="U1055" s="666"/>
      <c r="V1055" s="666"/>
      <c r="W1055" s="666"/>
      <c r="X1055" s="666"/>
      <c r="Y1055" s="666"/>
      <c r="Z1055" s="666"/>
      <c r="AA1055" s="666"/>
      <c r="AB1055" s="666"/>
      <c r="AC1055" s="666"/>
      <c r="AD1055" s="666"/>
      <c r="AE1055" s="666"/>
      <c r="AF1055" s="666"/>
      <c r="AG1055" s="666"/>
      <c r="AH1055" s="666"/>
      <c r="AI1055" s="666"/>
      <c r="AJ1055" s="666"/>
      <c r="AK1055" s="666"/>
      <c r="AL1055" s="666"/>
      <c r="AM1055" s="666"/>
      <c r="AN1055" s="666"/>
      <c r="AO1055" s="666"/>
      <c r="AP1055" s="666"/>
      <c r="AQ1055" s="666"/>
      <c r="AR1055" s="666"/>
      <c r="AS1055" s="666"/>
      <c r="AT1055" s="666"/>
      <c r="AU1055" s="666"/>
    </row>
    <row r="1056" ht="15.75" customHeight="1">
      <c r="A1056" s="713">
        <v>44845.0</v>
      </c>
      <c r="B1056" s="801" t="s">
        <v>8306</v>
      </c>
      <c r="C1056" s="715" t="s">
        <v>98</v>
      </c>
      <c r="D1056" s="641" t="s">
        <v>5038</v>
      </c>
      <c r="E1056" s="716">
        <v>10000.0</v>
      </c>
      <c r="F1056" s="641" t="s">
        <v>3305</v>
      </c>
      <c r="G1056" s="667" t="s">
        <v>255</v>
      </c>
      <c r="H1056" s="667" t="s">
        <v>199</v>
      </c>
      <c r="I1056" s="667" t="s">
        <v>548</v>
      </c>
      <c r="J1056" s="667">
        <v>44217.0</v>
      </c>
      <c r="K1056" s="667" t="s">
        <v>2341</v>
      </c>
      <c r="L1056" s="666"/>
      <c r="M1056" s="666"/>
      <c r="N1056" s="666"/>
      <c r="O1056" s="666"/>
      <c r="P1056" s="666"/>
      <c r="Q1056" s="666"/>
      <c r="R1056" s="666"/>
      <c r="S1056" s="666"/>
      <c r="T1056" s="666"/>
      <c r="U1056" s="666"/>
      <c r="V1056" s="666"/>
      <c r="W1056" s="666"/>
      <c r="X1056" s="666"/>
      <c r="Y1056" s="666"/>
      <c r="Z1056" s="666"/>
      <c r="AA1056" s="666"/>
      <c r="AB1056" s="666"/>
      <c r="AC1056" s="666"/>
      <c r="AD1056" s="666"/>
      <c r="AE1056" s="666"/>
      <c r="AF1056" s="666"/>
      <c r="AG1056" s="666"/>
      <c r="AH1056" s="666"/>
      <c r="AI1056" s="666"/>
      <c r="AJ1056" s="666"/>
      <c r="AK1056" s="666"/>
      <c r="AL1056" s="666"/>
      <c r="AM1056" s="666"/>
      <c r="AN1056" s="666"/>
      <c r="AO1056" s="666"/>
      <c r="AP1056" s="666"/>
      <c r="AQ1056" s="666"/>
      <c r="AR1056" s="666"/>
      <c r="AS1056" s="666"/>
      <c r="AT1056" s="666"/>
      <c r="AU1056" s="666"/>
    </row>
    <row r="1057" ht="15.75" customHeight="1">
      <c r="A1057" s="713">
        <v>44845.0</v>
      </c>
      <c r="B1057" s="801" t="s">
        <v>8307</v>
      </c>
      <c r="C1057" s="715" t="s">
        <v>98</v>
      </c>
      <c r="D1057" s="641" t="s">
        <v>5038</v>
      </c>
      <c r="E1057" s="716">
        <v>2000.0</v>
      </c>
      <c r="F1057" s="641" t="s">
        <v>4258</v>
      </c>
      <c r="G1057" s="667" t="s">
        <v>255</v>
      </c>
      <c r="H1057" s="667" t="s">
        <v>199</v>
      </c>
      <c r="I1057" s="667" t="s">
        <v>4737</v>
      </c>
      <c r="J1057" s="667">
        <v>44421.0</v>
      </c>
      <c r="K1057" s="667" t="s">
        <v>2341</v>
      </c>
      <c r="L1057" s="666"/>
      <c r="M1057" s="666"/>
      <c r="N1057" s="666"/>
      <c r="O1057" s="666"/>
      <c r="P1057" s="666"/>
      <c r="Q1057" s="666"/>
      <c r="R1057" s="666"/>
      <c r="S1057" s="666"/>
      <c r="T1057" s="666"/>
      <c r="U1057" s="666"/>
      <c r="V1057" s="666"/>
      <c r="W1057" s="666"/>
      <c r="X1057" s="666"/>
      <c r="Y1057" s="666"/>
      <c r="Z1057" s="666"/>
      <c r="AA1057" s="666"/>
      <c r="AB1057" s="666"/>
      <c r="AC1057" s="666"/>
      <c r="AD1057" s="666"/>
      <c r="AE1057" s="666"/>
      <c r="AF1057" s="666"/>
      <c r="AG1057" s="666"/>
      <c r="AH1057" s="666"/>
      <c r="AI1057" s="666"/>
      <c r="AJ1057" s="666"/>
      <c r="AK1057" s="666"/>
      <c r="AL1057" s="666"/>
      <c r="AM1057" s="666"/>
      <c r="AN1057" s="666"/>
      <c r="AO1057" s="666"/>
      <c r="AP1057" s="666"/>
      <c r="AQ1057" s="666"/>
      <c r="AR1057" s="666"/>
      <c r="AS1057" s="666"/>
      <c r="AT1057" s="666"/>
      <c r="AU1057" s="666"/>
    </row>
    <row r="1058" ht="15.75" customHeight="1">
      <c r="A1058" s="713">
        <v>44847.0</v>
      </c>
      <c r="B1058" s="801" t="s">
        <v>8250</v>
      </c>
      <c r="C1058" s="715" t="s">
        <v>98</v>
      </c>
      <c r="D1058" s="641" t="s">
        <v>5038</v>
      </c>
      <c r="E1058" s="716">
        <v>122000.0</v>
      </c>
      <c r="F1058" s="641" t="s">
        <v>6390</v>
      </c>
      <c r="G1058" s="667" t="s">
        <v>120</v>
      </c>
      <c r="H1058" s="667" t="s">
        <v>54</v>
      </c>
      <c r="I1058" s="667" t="s">
        <v>1393</v>
      </c>
      <c r="J1058" s="667">
        <v>44698.0</v>
      </c>
      <c r="K1058" s="667" t="s">
        <v>2372</v>
      </c>
      <c r="L1058" s="666"/>
      <c r="M1058" s="666"/>
      <c r="N1058" s="666"/>
      <c r="O1058" s="666"/>
      <c r="P1058" s="666"/>
      <c r="Q1058" s="666"/>
      <c r="R1058" s="666"/>
      <c r="S1058" s="666"/>
      <c r="T1058" s="666"/>
      <c r="U1058" s="666"/>
      <c r="V1058" s="666"/>
      <c r="W1058" s="666"/>
      <c r="X1058" s="666"/>
      <c r="Y1058" s="666"/>
      <c r="Z1058" s="666"/>
      <c r="AA1058" s="666"/>
      <c r="AB1058" s="666"/>
      <c r="AC1058" s="666"/>
      <c r="AD1058" s="666"/>
      <c r="AE1058" s="666"/>
      <c r="AF1058" s="666"/>
      <c r="AG1058" s="666"/>
      <c r="AH1058" s="666"/>
      <c r="AI1058" s="666"/>
      <c r="AJ1058" s="666"/>
      <c r="AK1058" s="666"/>
      <c r="AL1058" s="666"/>
      <c r="AM1058" s="666"/>
      <c r="AN1058" s="666"/>
      <c r="AO1058" s="666"/>
      <c r="AP1058" s="666"/>
      <c r="AQ1058" s="666"/>
      <c r="AR1058" s="666"/>
      <c r="AS1058" s="666"/>
      <c r="AT1058" s="666"/>
      <c r="AU1058" s="666"/>
    </row>
    <row r="1059" ht="15.75" customHeight="1">
      <c r="A1059" s="713">
        <v>44848.0</v>
      </c>
      <c r="B1059" s="801" t="s">
        <v>8250</v>
      </c>
      <c r="C1059" s="715" t="s">
        <v>98</v>
      </c>
      <c r="D1059" s="641" t="s">
        <v>5038</v>
      </c>
      <c r="E1059" s="716">
        <v>13000.0</v>
      </c>
      <c r="F1059" s="641" t="s">
        <v>6390</v>
      </c>
      <c r="G1059" s="667" t="s">
        <v>120</v>
      </c>
      <c r="H1059" s="667" t="s">
        <v>54</v>
      </c>
      <c r="I1059" s="667" t="s">
        <v>1393</v>
      </c>
      <c r="J1059" s="667">
        <v>44698.0</v>
      </c>
      <c r="K1059" s="667" t="s">
        <v>2372</v>
      </c>
      <c r="L1059" s="666"/>
      <c r="M1059" s="666"/>
      <c r="N1059" s="666"/>
      <c r="O1059" s="666"/>
      <c r="P1059" s="666"/>
      <c r="Q1059" s="666"/>
      <c r="R1059" s="666"/>
      <c r="S1059" s="666"/>
      <c r="T1059" s="666"/>
      <c r="U1059" s="666"/>
      <c r="V1059" s="666"/>
      <c r="W1059" s="666"/>
      <c r="X1059" s="666"/>
      <c r="Y1059" s="666"/>
      <c r="Z1059" s="666"/>
      <c r="AA1059" s="666"/>
      <c r="AB1059" s="666"/>
      <c r="AC1059" s="666"/>
      <c r="AD1059" s="666"/>
      <c r="AE1059" s="666"/>
      <c r="AF1059" s="666"/>
      <c r="AG1059" s="666"/>
      <c r="AH1059" s="666"/>
      <c r="AI1059" s="666"/>
      <c r="AJ1059" s="666"/>
      <c r="AK1059" s="666"/>
      <c r="AL1059" s="666"/>
      <c r="AM1059" s="666"/>
      <c r="AN1059" s="666"/>
      <c r="AO1059" s="666"/>
      <c r="AP1059" s="666"/>
      <c r="AQ1059" s="666"/>
      <c r="AR1059" s="666"/>
      <c r="AS1059" s="666"/>
      <c r="AT1059" s="666"/>
      <c r="AU1059" s="666"/>
    </row>
    <row r="1060" ht="15.75" customHeight="1">
      <c r="A1060" s="713">
        <v>44848.0</v>
      </c>
      <c r="B1060" s="801" t="s">
        <v>7582</v>
      </c>
      <c r="C1060" s="715" t="s">
        <v>98</v>
      </c>
      <c r="D1060" s="641" t="s">
        <v>5038</v>
      </c>
      <c r="E1060" s="716">
        <v>25000.0</v>
      </c>
      <c r="F1060" s="641" t="s">
        <v>3519</v>
      </c>
      <c r="G1060" s="667" t="s">
        <v>120</v>
      </c>
      <c r="H1060" s="667" t="s">
        <v>199</v>
      </c>
      <c r="I1060" s="667" t="s">
        <v>3521</v>
      </c>
      <c r="J1060" s="667">
        <v>44061.0</v>
      </c>
      <c r="K1060" s="667" t="s">
        <v>2341</v>
      </c>
      <c r="L1060" s="666"/>
      <c r="M1060" s="666"/>
      <c r="N1060" s="666"/>
      <c r="O1060" s="666"/>
      <c r="P1060" s="666"/>
      <c r="Q1060" s="666"/>
      <c r="R1060" s="666"/>
      <c r="S1060" s="666"/>
      <c r="T1060" s="666"/>
      <c r="U1060" s="666"/>
      <c r="V1060" s="666"/>
      <c r="W1060" s="666"/>
      <c r="X1060" s="666"/>
      <c r="Y1060" s="666"/>
      <c r="Z1060" s="666"/>
      <c r="AA1060" s="666"/>
      <c r="AB1060" s="666"/>
      <c r="AC1060" s="666"/>
      <c r="AD1060" s="666"/>
      <c r="AE1060" s="666"/>
      <c r="AF1060" s="666"/>
      <c r="AG1060" s="666"/>
      <c r="AH1060" s="666"/>
      <c r="AI1060" s="666"/>
      <c r="AJ1060" s="666"/>
      <c r="AK1060" s="666"/>
      <c r="AL1060" s="666"/>
      <c r="AM1060" s="666"/>
      <c r="AN1060" s="666"/>
      <c r="AO1060" s="666"/>
      <c r="AP1060" s="666"/>
      <c r="AQ1060" s="666"/>
      <c r="AR1060" s="666"/>
      <c r="AS1060" s="666"/>
      <c r="AT1060" s="666"/>
      <c r="AU1060" s="666"/>
    </row>
    <row r="1061" ht="15.75" customHeight="1">
      <c r="A1061" s="667">
        <v>44851.0</v>
      </c>
      <c r="B1061" s="668" t="s">
        <v>7877</v>
      </c>
      <c r="C1061" s="589" t="s">
        <v>98</v>
      </c>
      <c r="D1061" s="641" t="s">
        <v>5038</v>
      </c>
      <c r="E1061" s="669">
        <v>50000.0</v>
      </c>
      <c r="F1061" s="589" t="s">
        <v>6553</v>
      </c>
      <c r="G1061" s="641" t="s">
        <v>120</v>
      </c>
      <c r="H1061" s="641" t="s">
        <v>54</v>
      </c>
      <c r="I1061" s="641" t="s">
        <v>348</v>
      </c>
      <c r="J1061" s="667">
        <v>44614.0</v>
      </c>
      <c r="K1061" s="750" t="s">
        <v>2341</v>
      </c>
      <c r="L1061" s="666"/>
      <c r="M1061" s="666"/>
      <c r="N1061" s="666"/>
      <c r="O1061" s="666"/>
      <c r="P1061" s="666"/>
      <c r="Q1061" s="666"/>
      <c r="R1061" s="666"/>
      <c r="S1061" s="666"/>
      <c r="T1061" s="666"/>
      <c r="U1061" s="666"/>
      <c r="V1061" s="666"/>
      <c r="W1061" s="666"/>
      <c r="X1061" s="666"/>
      <c r="Y1061" s="666"/>
      <c r="Z1061" s="666"/>
      <c r="AA1061" s="666"/>
      <c r="AB1061" s="666"/>
      <c r="AC1061" s="666"/>
      <c r="AD1061" s="666"/>
      <c r="AE1061" s="666"/>
      <c r="AF1061" s="666"/>
      <c r="AG1061" s="666"/>
      <c r="AH1061" s="666"/>
      <c r="AI1061" s="666"/>
      <c r="AJ1061" s="666"/>
      <c r="AK1061" s="666"/>
      <c r="AL1061" s="666"/>
      <c r="AM1061" s="666"/>
      <c r="AN1061" s="666"/>
      <c r="AO1061" s="666"/>
      <c r="AP1061" s="666"/>
      <c r="AQ1061" s="666"/>
      <c r="AR1061" s="666"/>
      <c r="AS1061" s="666"/>
      <c r="AT1061" s="666"/>
      <c r="AU1061" s="666"/>
    </row>
    <row r="1062" ht="15.75" customHeight="1">
      <c r="A1062" s="757">
        <v>44852.0</v>
      </c>
      <c r="B1062" s="758" t="s">
        <v>7692</v>
      </c>
      <c r="C1062" s="759" t="s">
        <v>98</v>
      </c>
      <c r="D1062" s="760" t="s">
        <v>5038</v>
      </c>
      <c r="E1062" s="761">
        <v>18000.0</v>
      </c>
      <c r="F1062" s="760" t="s">
        <v>2434</v>
      </c>
      <c r="G1062" s="760" t="s">
        <v>120</v>
      </c>
      <c r="H1062" s="760" t="s">
        <v>54</v>
      </c>
      <c r="I1062" s="760" t="s">
        <v>348</v>
      </c>
      <c r="J1062" s="762">
        <v>44609.0</v>
      </c>
      <c r="K1062" s="759" t="s">
        <v>2365</v>
      </c>
      <c r="L1062" s="666"/>
      <c r="M1062" s="666"/>
      <c r="N1062" s="666"/>
      <c r="O1062" s="666"/>
      <c r="P1062" s="666"/>
      <c r="Q1062" s="666"/>
      <c r="R1062" s="666"/>
      <c r="S1062" s="666"/>
      <c r="T1062" s="666"/>
      <c r="U1062" s="666"/>
      <c r="V1062" s="666"/>
      <c r="W1062" s="666"/>
      <c r="X1062" s="666"/>
      <c r="Y1062" s="666"/>
      <c r="Z1062" s="666"/>
      <c r="AA1062" s="666"/>
      <c r="AB1062" s="666"/>
      <c r="AC1062" s="666"/>
      <c r="AD1062" s="666"/>
      <c r="AE1062" s="666"/>
      <c r="AF1062" s="666"/>
      <c r="AG1062" s="666"/>
      <c r="AH1062" s="666"/>
      <c r="AI1062" s="666"/>
      <c r="AJ1062" s="666"/>
      <c r="AK1062" s="666"/>
      <c r="AL1062" s="666"/>
      <c r="AM1062" s="666"/>
      <c r="AN1062" s="666"/>
      <c r="AO1062" s="666"/>
      <c r="AP1062" s="666"/>
      <c r="AQ1062" s="666"/>
      <c r="AR1062" s="666"/>
      <c r="AS1062" s="666"/>
      <c r="AT1062" s="666"/>
      <c r="AU1062" s="666"/>
    </row>
    <row r="1063" ht="15.75" customHeight="1">
      <c r="A1063" s="757">
        <v>44853.0</v>
      </c>
      <c r="B1063" s="758" t="s">
        <v>8315</v>
      </c>
      <c r="C1063" s="759" t="s">
        <v>98</v>
      </c>
      <c r="D1063" s="760" t="s">
        <v>5038</v>
      </c>
      <c r="E1063" s="761">
        <v>50000.0</v>
      </c>
      <c r="F1063" s="760" t="s">
        <v>8316</v>
      </c>
      <c r="G1063" s="760" t="s">
        <v>120</v>
      </c>
      <c r="H1063" s="760" t="s">
        <v>199</v>
      </c>
      <c r="I1063" s="760" t="s">
        <v>803</v>
      </c>
      <c r="J1063" s="762">
        <v>44831.0</v>
      </c>
      <c r="K1063" s="667" t="s">
        <v>2319</v>
      </c>
      <c r="L1063" s="666"/>
      <c r="M1063" s="666"/>
      <c r="N1063" s="666"/>
      <c r="O1063" s="666"/>
      <c r="P1063" s="666"/>
      <c r="Q1063" s="666"/>
      <c r="R1063" s="666"/>
      <c r="S1063" s="666"/>
      <c r="T1063" s="666"/>
      <c r="U1063" s="666"/>
      <c r="V1063" s="666"/>
      <c r="W1063" s="666"/>
      <c r="X1063" s="666"/>
      <c r="Y1063" s="666"/>
      <c r="Z1063" s="666"/>
      <c r="AA1063" s="666"/>
      <c r="AB1063" s="666"/>
      <c r="AC1063" s="666"/>
      <c r="AD1063" s="666"/>
      <c r="AE1063" s="666"/>
      <c r="AF1063" s="666"/>
      <c r="AG1063" s="666"/>
      <c r="AH1063" s="666"/>
      <c r="AI1063" s="666"/>
      <c r="AJ1063" s="666"/>
      <c r="AK1063" s="666"/>
      <c r="AL1063" s="666"/>
      <c r="AM1063" s="666"/>
      <c r="AN1063" s="666"/>
      <c r="AO1063" s="666"/>
      <c r="AP1063" s="666"/>
      <c r="AQ1063" s="666"/>
      <c r="AR1063" s="666"/>
      <c r="AS1063" s="666"/>
      <c r="AT1063" s="666"/>
      <c r="AU1063" s="666"/>
    </row>
    <row r="1064" ht="15.75" customHeight="1">
      <c r="A1064" s="667">
        <v>44855.0</v>
      </c>
      <c r="B1064" s="668" t="s">
        <v>8317</v>
      </c>
      <c r="C1064" s="641" t="s">
        <v>98</v>
      </c>
      <c r="D1064" s="641" t="s">
        <v>5038</v>
      </c>
      <c r="E1064" s="761">
        <v>10000.0</v>
      </c>
      <c r="F1064" s="760" t="s">
        <v>5760</v>
      </c>
      <c r="G1064" s="641" t="s">
        <v>120</v>
      </c>
      <c r="H1064" s="641" t="s">
        <v>54</v>
      </c>
      <c r="I1064" s="641" t="s">
        <v>8237</v>
      </c>
      <c r="J1064" s="667">
        <v>44733.0</v>
      </c>
      <c r="K1064" s="641" t="s">
        <v>2365</v>
      </c>
      <c r="L1064" s="666"/>
      <c r="M1064" s="666"/>
      <c r="N1064" s="666"/>
      <c r="O1064" s="666"/>
      <c r="P1064" s="666"/>
      <c r="Q1064" s="666"/>
      <c r="R1064" s="666"/>
      <c r="S1064" s="666"/>
      <c r="T1064" s="666"/>
      <c r="U1064" s="666"/>
      <c r="V1064" s="666"/>
      <c r="W1064" s="666"/>
      <c r="X1064" s="666"/>
      <c r="Y1064" s="666"/>
      <c r="Z1064" s="666"/>
      <c r="AA1064" s="666"/>
      <c r="AB1064" s="666"/>
      <c r="AC1064" s="666"/>
      <c r="AD1064" s="666"/>
      <c r="AE1064" s="666"/>
      <c r="AF1064" s="666"/>
      <c r="AG1064" s="666"/>
      <c r="AH1064" s="666"/>
      <c r="AI1064" s="666"/>
      <c r="AJ1064" s="666"/>
      <c r="AK1064" s="666"/>
      <c r="AL1064" s="666"/>
      <c r="AM1064" s="666"/>
      <c r="AN1064" s="666"/>
      <c r="AO1064" s="666"/>
      <c r="AP1064" s="666"/>
      <c r="AQ1064" s="666"/>
      <c r="AR1064" s="666"/>
      <c r="AS1064" s="666"/>
      <c r="AT1064" s="666"/>
      <c r="AU1064" s="666"/>
    </row>
    <row r="1065" ht="15.75" customHeight="1">
      <c r="A1065" s="757">
        <v>44860.0</v>
      </c>
      <c r="B1065" s="758" t="s">
        <v>7692</v>
      </c>
      <c r="C1065" s="759" t="s">
        <v>98</v>
      </c>
      <c r="D1065" s="760" t="s">
        <v>5038</v>
      </c>
      <c r="E1065" s="761">
        <v>20000.0</v>
      </c>
      <c r="F1065" s="760" t="s">
        <v>2434</v>
      </c>
      <c r="G1065" s="760" t="s">
        <v>120</v>
      </c>
      <c r="H1065" s="760" t="s">
        <v>54</v>
      </c>
      <c r="I1065" s="760" t="s">
        <v>348</v>
      </c>
      <c r="J1065" s="762">
        <v>44609.0</v>
      </c>
      <c r="K1065" s="759" t="s">
        <v>2365</v>
      </c>
      <c r="L1065" s="666"/>
      <c r="M1065" s="666"/>
      <c r="N1065" s="666"/>
      <c r="O1065" s="666"/>
      <c r="P1065" s="666"/>
      <c r="Q1065" s="666"/>
      <c r="R1065" s="666"/>
      <c r="S1065" s="666"/>
      <c r="T1065" s="666"/>
      <c r="U1065" s="666"/>
      <c r="V1065" s="666"/>
      <c r="W1065" s="666"/>
      <c r="X1065" s="666"/>
      <c r="Y1065" s="666"/>
      <c r="Z1065" s="666"/>
      <c r="AA1065" s="666"/>
      <c r="AB1065" s="666"/>
      <c r="AC1065" s="666"/>
      <c r="AD1065" s="666"/>
      <c r="AE1065" s="666"/>
      <c r="AF1065" s="666"/>
      <c r="AG1065" s="666"/>
      <c r="AH1065" s="666"/>
      <c r="AI1065" s="666"/>
      <c r="AJ1065" s="666"/>
      <c r="AK1065" s="666"/>
      <c r="AL1065" s="666"/>
      <c r="AM1065" s="666"/>
      <c r="AN1065" s="666"/>
      <c r="AO1065" s="666"/>
      <c r="AP1065" s="666"/>
      <c r="AQ1065" s="666"/>
      <c r="AR1065" s="666"/>
      <c r="AS1065" s="666"/>
      <c r="AT1065" s="666"/>
      <c r="AU1065" s="666"/>
    </row>
    <row r="1066" ht="15.75" customHeight="1">
      <c r="A1066" s="667">
        <v>44861.0</v>
      </c>
      <c r="B1066" s="589">
        <v>5681841.0</v>
      </c>
      <c r="C1066" s="589" t="s">
        <v>98</v>
      </c>
      <c r="D1066" s="641" t="s">
        <v>5038</v>
      </c>
      <c r="E1066" s="669">
        <v>50000.0</v>
      </c>
      <c r="F1066" s="834" t="s">
        <v>7581</v>
      </c>
      <c r="G1066" s="626" t="s">
        <v>120</v>
      </c>
      <c r="H1066" s="641" t="s">
        <v>54</v>
      </c>
      <c r="I1066" s="641" t="s">
        <v>125</v>
      </c>
      <c r="J1066" s="773">
        <v>44469.0</v>
      </c>
      <c r="K1066" s="750" t="s">
        <v>2365</v>
      </c>
      <c r="L1066" s="666"/>
      <c r="M1066" s="666"/>
      <c r="N1066" s="666"/>
      <c r="O1066" s="666"/>
      <c r="P1066" s="666"/>
      <c r="Q1066" s="666"/>
      <c r="R1066" s="666"/>
      <c r="S1066" s="666"/>
      <c r="T1066" s="666"/>
      <c r="U1066" s="666"/>
      <c r="V1066" s="666"/>
      <c r="W1066" s="666"/>
      <c r="X1066" s="666"/>
      <c r="Y1066" s="666"/>
      <c r="Z1066" s="666"/>
      <c r="AA1066" s="666"/>
      <c r="AB1066" s="666"/>
      <c r="AC1066" s="666"/>
      <c r="AD1066" s="666"/>
      <c r="AE1066" s="666"/>
      <c r="AF1066" s="666"/>
      <c r="AG1066" s="666"/>
      <c r="AH1066" s="666"/>
      <c r="AI1066" s="666"/>
      <c r="AJ1066" s="666"/>
      <c r="AK1066" s="666"/>
      <c r="AL1066" s="666"/>
      <c r="AM1066" s="666"/>
      <c r="AN1066" s="666"/>
      <c r="AO1066" s="666"/>
      <c r="AP1066" s="666"/>
      <c r="AQ1066" s="666"/>
      <c r="AR1066" s="666"/>
      <c r="AS1066" s="666"/>
      <c r="AT1066" s="666"/>
      <c r="AU1066" s="666"/>
    </row>
    <row r="1067" ht="15.75" customHeight="1">
      <c r="A1067" s="667">
        <v>44865.0</v>
      </c>
      <c r="B1067" s="668" t="s">
        <v>8325</v>
      </c>
      <c r="C1067" s="641" t="s">
        <v>98</v>
      </c>
      <c r="D1067" s="641" t="s">
        <v>5038</v>
      </c>
      <c r="E1067" s="669">
        <v>10000.0</v>
      </c>
      <c r="F1067" s="641" t="s">
        <v>4861</v>
      </c>
      <c r="G1067" s="641" t="s">
        <v>120</v>
      </c>
      <c r="H1067" s="641" t="s">
        <v>622</v>
      </c>
      <c r="I1067" s="641" t="s">
        <v>4747</v>
      </c>
      <c r="J1067" s="667">
        <v>44260.0</v>
      </c>
      <c r="K1067" s="641" t="s">
        <v>2372</v>
      </c>
      <c r="L1067" s="666"/>
      <c r="M1067" s="666"/>
      <c r="N1067" s="666"/>
      <c r="O1067" s="666"/>
      <c r="P1067" s="666"/>
      <c r="Q1067" s="666"/>
      <c r="R1067" s="666"/>
      <c r="S1067" s="666"/>
      <c r="T1067" s="666"/>
      <c r="U1067" s="666"/>
      <c r="V1067" s="666"/>
      <c r="W1067" s="666"/>
      <c r="X1067" s="666"/>
      <c r="Y1067" s="666"/>
      <c r="Z1067" s="666"/>
      <c r="AA1067" s="666"/>
      <c r="AB1067" s="666"/>
      <c r="AC1067" s="666"/>
      <c r="AD1067" s="666"/>
      <c r="AE1067" s="666"/>
      <c r="AF1067" s="666"/>
      <c r="AG1067" s="666"/>
      <c r="AH1067" s="666"/>
      <c r="AI1067" s="666"/>
      <c r="AJ1067" s="666"/>
      <c r="AK1067" s="666"/>
      <c r="AL1067" s="666"/>
      <c r="AM1067" s="666"/>
      <c r="AN1067" s="666"/>
      <c r="AO1067" s="666"/>
      <c r="AP1067" s="666"/>
      <c r="AQ1067" s="666"/>
      <c r="AR1067" s="666"/>
      <c r="AS1067" s="666"/>
      <c r="AT1067" s="666"/>
      <c r="AU1067" s="666"/>
    </row>
    <row r="1068" ht="15.75" customHeight="1">
      <c r="A1068" s="667">
        <v>44865.0</v>
      </c>
      <c r="B1068" s="668" t="s">
        <v>8327</v>
      </c>
      <c r="C1068" s="641" t="s">
        <v>98</v>
      </c>
      <c r="D1068" s="641" t="s">
        <v>5038</v>
      </c>
      <c r="E1068" s="669">
        <v>4000.0</v>
      </c>
      <c r="F1068" s="641" t="s">
        <v>6474</v>
      </c>
      <c r="G1068" s="641" t="s">
        <v>120</v>
      </c>
      <c r="H1068" s="641" t="s">
        <v>199</v>
      </c>
      <c r="I1068" s="641" t="s">
        <v>125</v>
      </c>
      <c r="J1068" s="667">
        <v>44749.0</v>
      </c>
      <c r="K1068" s="641" t="s">
        <v>2356</v>
      </c>
      <c r="L1068" s="666"/>
      <c r="M1068" s="666"/>
      <c r="N1068" s="666"/>
      <c r="O1068" s="666"/>
      <c r="P1068" s="666"/>
      <c r="Q1068" s="666"/>
      <c r="R1068" s="666"/>
      <c r="S1068" s="666"/>
      <c r="T1068" s="666"/>
      <c r="U1068" s="666"/>
      <c r="V1068" s="666"/>
      <c r="W1068" s="666"/>
      <c r="X1068" s="666"/>
      <c r="Y1068" s="666"/>
      <c r="Z1068" s="666"/>
      <c r="AA1068" s="666"/>
      <c r="AB1068" s="666"/>
      <c r="AC1068" s="666"/>
      <c r="AD1068" s="666"/>
      <c r="AE1068" s="666"/>
      <c r="AF1068" s="666"/>
      <c r="AG1068" s="666"/>
      <c r="AH1068" s="666"/>
      <c r="AI1068" s="666"/>
      <c r="AJ1068" s="666"/>
      <c r="AK1068" s="666"/>
      <c r="AL1068" s="666"/>
      <c r="AM1068" s="666"/>
      <c r="AN1068" s="666"/>
      <c r="AO1068" s="666"/>
      <c r="AP1068" s="666"/>
      <c r="AQ1068" s="666"/>
      <c r="AR1068" s="666"/>
      <c r="AS1068" s="666"/>
      <c r="AT1068" s="666"/>
      <c r="AU1068" s="666"/>
    </row>
    <row r="1069" ht="15.75" customHeight="1">
      <c r="A1069" s="757">
        <v>44865.0</v>
      </c>
      <c r="B1069" s="758" t="s">
        <v>8098</v>
      </c>
      <c r="C1069" s="759" t="s">
        <v>98</v>
      </c>
      <c r="D1069" s="760" t="s">
        <v>5038</v>
      </c>
      <c r="E1069" s="761">
        <v>30000.0</v>
      </c>
      <c r="F1069" s="760" t="s">
        <v>2163</v>
      </c>
      <c r="G1069" s="760" t="s">
        <v>120</v>
      </c>
      <c r="H1069" s="760" t="s">
        <v>54</v>
      </c>
      <c r="I1069" s="760" t="s">
        <v>125</v>
      </c>
      <c r="J1069" s="762">
        <v>44568.0</v>
      </c>
      <c r="K1069" s="759" t="s">
        <v>5294</v>
      </c>
      <c r="L1069" s="666"/>
      <c r="M1069" s="666"/>
      <c r="N1069" s="666"/>
      <c r="O1069" s="666"/>
      <c r="P1069" s="666"/>
      <c r="Q1069" s="666"/>
      <c r="R1069" s="666"/>
      <c r="S1069" s="666"/>
      <c r="T1069" s="666"/>
      <c r="U1069" s="666"/>
      <c r="V1069" s="666"/>
      <c r="W1069" s="666"/>
      <c r="X1069" s="666"/>
      <c r="Y1069" s="666"/>
      <c r="Z1069" s="666"/>
      <c r="AA1069" s="666"/>
      <c r="AB1069" s="666"/>
      <c r="AC1069" s="666"/>
      <c r="AD1069" s="666"/>
      <c r="AE1069" s="666"/>
      <c r="AF1069" s="666"/>
      <c r="AG1069" s="666"/>
      <c r="AH1069" s="666"/>
      <c r="AI1069" s="666"/>
      <c r="AJ1069" s="666"/>
      <c r="AK1069" s="666"/>
      <c r="AL1069" s="666"/>
      <c r="AM1069" s="666"/>
      <c r="AN1069" s="666"/>
      <c r="AO1069" s="666"/>
      <c r="AP1069" s="666"/>
      <c r="AQ1069" s="666"/>
      <c r="AR1069" s="666"/>
      <c r="AS1069" s="666"/>
      <c r="AT1069" s="666"/>
      <c r="AU1069" s="666"/>
    </row>
    <row r="1070" ht="15.75" customHeight="1">
      <c r="A1070" s="667">
        <v>44866.0</v>
      </c>
      <c r="B1070" s="822">
        <v>6986262.0</v>
      </c>
      <c r="C1070" s="641" t="s">
        <v>98</v>
      </c>
      <c r="D1070" s="641" t="s">
        <v>5038</v>
      </c>
      <c r="E1070" s="669">
        <v>500.0</v>
      </c>
      <c r="F1070" s="641" t="s">
        <v>4790</v>
      </c>
      <c r="G1070" s="626" t="s">
        <v>120</v>
      </c>
      <c r="H1070" s="641" t="s">
        <v>54</v>
      </c>
      <c r="I1070" s="641" t="s">
        <v>4057</v>
      </c>
      <c r="J1070" s="667">
        <v>44503.0</v>
      </c>
      <c r="K1070" s="589" t="s">
        <v>2452</v>
      </c>
      <c r="L1070" s="666"/>
      <c r="M1070" s="666"/>
      <c r="N1070" s="666"/>
      <c r="O1070" s="666"/>
      <c r="P1070" s="666"/>
      <c r="Q1070" s="666"/>
      <c r="R1070" s="666"/>
      <c r="S1070" s="666"/>
      <c r="T1070" s="666"/>
      <c r="U1070" s="666"/>
      <c r="V1070" s="666"/>
      <c r="W1070" s="666"/>
      <c r="X1070" s="666"/>
      <c r="Y1070" s="666"/>
      <c r="Z1070" s="666"/>
      <c r="AA1070" s="666"/>
      <c r="AB1070" s="666"/>
      <c r="AC1070" s="666"/>
      <c r="AD1070" s="666"/>
      <c r="AE1070" s="666"/>
      <c r="AF1070" s="666"/>
      <c r="AG1070" s="666"/>
      <c r="AH1070" s="666"/>
      <c r="AI1070" s="666"/>
      <c r="AJ1070" s="666"/>
      <c r="AK1070" s="666"/>
      <c r="AL1070" s="666"/>
      <c r="AM1070" s="666"/>
      <c r="AN1070" s="666"/>
      <c r="AO1070" s="666"/>
      <c r="AP1070" s="666"/>
      <c r="AQ1070" s="666"/>
      <c r="AR1070" s="666"/>
      <c r="AS1070" s="666"/>
      <c r="AT1070" s="666"/>
      <c r="AU1070" s="666"/>
    </row>
    <row r="1071" ht="15.75" customHeight="1">
      <c r="A1071" s="667">
        <v>44866.0</v>
      </c>
      <c r="B1071" s="668" t="s">
        <v>8335</v>
      </c>
      <c r="C1071" s="641" t="s">
        <v>98</v>
      </c>
      <c r="D1071" s="641" t="s">
        <v>5038</v>
      </c>
      <c r="E1071" s="669">
        <v>15000.0</v>
      </c>
      <c r="F1071" s="641" t="s">
        <v>2585</v>
      </c>
      <c r="G1071" s="641" t="s">
        <v>255</v>
      </c>
      <c r="H1071" s="641" t="s">
        <v>199</v>
      </c>
      <c r="I1071" s="641" t="s">
        <v>4641</v>
      </c>
      <c r="J1071" s="667">
        <v>44085.0</v>
      </c>
      <c r="K1071" s="641" t="s">
        <v>2341</v>
      </c>
      <c r="L1071" s="666"/>
      <c r="M1071" s="666"/>
      <c r="N1071" s="666"/>
      <c r="O1071" s="666"/>
      <c r="P1071" s="666"/>
      <c r="Q1071" s="666"/>
      <c r="R1071" s="666"/>
      <c r="S1071" s="666"/>
      <c r="T1071" s="666"/>
      <c r="U1071" s="666"/>
      <c r="V1071" s="666"/>
      <c r="W1071" s="666"/>
      <c r="X1071" s="666"/>
      <c r="Y1071" s="666"/>
      <c r="Z1071" s="666"/>
      <c r="AA1071" s="666"/>
      <c r="AB1071" s="666"/>
      <c r="AC1071" s="666"/>
      <c r="AD1071" s="666"/>
      <c r="AE1071" s="666"/>
      <c r="AF1071" s="666"/>
      <c r="AG1071" s="666"/>
      <c r="AH1071" s="666"/>
      <c r="AI1071" s="666"/>
      <c r="AJ1071" s="666"/>
      <c r="AK1071" s="666"/>
      <c r="AL1071" s="666"/>
      <c r="AM1071" s="666"/>
      <c r="AN1071" s="666"/>
      <c r="AO1071" s="666"/>
      <c r="AP1071" s="666"/>
      <c r="AQ1071" s="666"/>
      <c r="AR1071" s="666"/>
      <c r="AS1071" s="666"/>
      <c r="AT1071" s="666"/>
      <c r="AU1071" s="666"/>
    </row>
    <row r="1072" ht="15.75" customHeight="1">
      <c r="A1072" s="667">
        <v>44868.0</v>
      </c>
      <c r="B1072" s="668" t="s">
        <v>8287</v>
      </c>
      <c r="C1072" s="641" t="s">
        <v>98</v>
      </c>
      <c r="D1072" s="641" t="s">
        <v>5038</v>
      </c>
      <c r="E1072" s="669">
        <v>4500.0</v>
      </c>
      <c r="F1072" s="641" t="s">
        <v>3788</v>
      </c>
      <c r="G1072" s="641" t="s">
        <v>120</v>
      </c>
      <c r="H1072" s="641" t="s">
        <v>199</v>
      </c>
      <c r="I1072" s="641" t="s">
        <v>290</v>
      </c>
      <c r="J1072" s="667">
        <v>44819.0</v>
      </c>
      <c r="K1072" s="641" t="s">
        <v>2365</v>
      </c>
      <c r="L1072" s="666"/>
      <c r="M1072" s="666"/>
      <c r="N1072" s="666"/>
      <c r="O1072" s="666"/>
      <c r="P1072" s="666"/>
      <c r="Q1072" s="666"/>
      <c r="R1072" s="666"/>
      <c r="S1072" s="666"/>
      <c r="T1072" s="666"/>
      <c r="U1072" s="666"/>
      <c r="V1072" s="666"/>
      <c r="W1072" s="666"/>
      <c r="X1072" s="666"/>
      <c r="Y1072" s="666"/>
      <c r="Z1072" s="666"/>
      <c r="AA1072" s="666"/>
      <c r="AB1072" s="666"/>
      <c r="AC1072" s="666"/>
      <c r="AD1072" s="666"/>
      <c r="AE1072" s="666"/>
      <c r="AF1072" s="666"/>
      <c r="AG1072" s="666"/>
      <c r="AH1072" s="666"/>
      <c r="AI1072" s="666"/>
      <c r="AJ1072" s="666"/>
      <c r="AK1072" s="666"/>
      <c r="AL1072" s="666"/>
      <c r="AM1072" s="666"/>
      <c r="AN1072" s="666"/>
      <c r="AO1072" s="666"/>
      <c r="AP1072" s="666"/>
      <c r="AQ1072" s="666"/>
      <c r="AR1072" s="666"/>
      <c r="AS1072" s="666"/>
      <c r="AT1072" s="666"/>
      <c r="AU1072" s="666"/>
    </row>
    <row r="1073" ht="15.75" customHeight="1">
      <c r="A1073" s="667">
        <v>44872.0</v>
      </c>
      <c r="B1073" s="668" t="s">
        <v>8327</v>
      </c>
      <c r="C1073" s="641" t="s">
        <v>98</v>
      </c>
      <c r="D1073" s="641" t="s">
        <v>5038</v>
      </c>
      <c r="E1073" s="669">
        <v>6500.0</v>
      </c>
      <c r="F1073" s="641" t="s">
        <v>6474</v>
      </c>
      <c r="G1073" s="641" t="s">
        <v>120</v>
      </c>
      <c r="H1073" s="641" t="s">
        <v>199</v>
      </c>
      <c r="I1073" s="641" t="s">
        <v>125</v>
      </c>
      <c r="J1073" s="667">
        <v>44749.0</v>
      </c>
      <c r="K1073" s="641" t="s">
        <v>2356</v>
      </c>
      <c r="L1073" s="666"/>
      <c r="M1073" s="666"/>
      <c r="N1073" s="666"/>
      <c r="O1073" s="666"/>
      <c r="P1073" s="666"/>
      <c r="Q1073" s="666"/>
      <c r="R1073" s="666"/>
      <c r="S1073" s="666"/>
      <c r="T1073" s="666"/>
      <c r="U1073" s="666"/>
      <c r="V1073" s="666"/>
      <c r="W1073" s="666"/>
      <c r="X1073" s="666"/>
      <c r="Y1073" s="666"/>
      <c r="Z1073" s="666"/>
      <c r="AA1073" s="666"/>
      <c r="AB1073" s="666"/>
      <c r="AC1073" s="666"/>
      <c r="AD1073" s="666"/>
      <c r="AE1073" s="666"/>
      <c r="AF1073" s="666"/>
      <c r="AG1073" s="666"/>
      <c r="AH1073" s="666"/>
      <c r="AI1073" s="666"/>
      <c r="AJ1073" s="666"/>
      <c r="AK1073" s="666"/>
      <c r="AL1073" s="666"/>
      <c r="AM1073" s="666"/>
      <c r="AN1073" s="666"/>
      <c r="AO1073" s="666"/>
      <c r="AP1073" s="666"/>
      <c r="AQ1073" s="666"/>
      <c r="AR1073" s="666"/>
      <c r="AS1073" s="666"/>
      <c r="AT1073" s="666"/>
      <c r="AU1073" s="666"/>
    </row>
    <row r="1074" ht="15.75" customHeight="1">
      <c r="A1074" s="667">
        <v>44873.0</v>
      </c>
      <c r="B1074" s="668" t="s">
        <v>8343</v>
      </c>
      <c r="C1074" s="641" t="s">
        <v>98</v>
      </c>
      <c r="D1074" s="641" t="s">
        <v>5038</v>
      </c>
      <c r="E1074" s="669">
        <v>100000.0</v>
      </c>
      <c r="F1074" s="641" t="s">
        <v>5992</v>
      </c>
      <c r="G1074" s="641" t="s">
        <v>120</v>
      </c>
      <c r="H1074" s="641" t="s">
        <v>54</v>
      </c>
      <c r="I1074" s="641" t="s">
        <v>1393</v>
      </c>
      <c r="J1074" s="667">
        <v>44790.0</v>
      </c>
      <c r="K1074" s="641" t="s">
        <v>2365</v>
      </c>
      <c r="L1074" s="666"/>
      <c r="M1074" s="666"/>
      <c r="N1074" s="666"/>
      <c r="O1074" s="666"/>
      <c r="P1074" s="666"/>
      <c r="Q1074" s="666"/>
      <c r="R1074" s="666"/>
      <c r="S1074" s="666"/>
      <c r="T1074" s="666"/>
      <c r="U1074" s="666"/>
      <c r="V1074" s="666"/>
      <c r="W1074" s="666"/>
      <c r="X1074" s="666"/>
      <c r="Y1074" s="666"/>
      <c r="Z1074" s="666"/>
      <c r="AA1074" s="666"/>
      <c r="AB1074" s="666"/>
      <c r="AC1074" s="666"/>
      <c r="AD1074" s="666"/>
      <c r="AE1074" s="666"/>
      <c r="AF1074" s="666"/>
      <c r="AG1074" s="666"/>
      <c r="AH1074" s="666"/>
      <c r="AI1074" s="666"/>
      <c r="AJ1074" s="666"/>
      <c r="AK1074" s="666"/>
      <c r="AL1074" s="666"/>
      <c r="AM1074" s="666"/>
      <c r="AN1074" s="666"/>
      <c r="AO1074" s="666"/>
      <c r="AP1074" s="666"/>
      <c r="AQ1074" s="666"/>
      <c r="AR1074" s="666"/>
      <c r="AS1074" s="666"/>
      <c r="AT1074" s="666"/>
      <c r="AU1074" s="666"/>
    </row>
    <row r="1075" ht="15.75" customHeight="1">
      <c r="A1075" s="667">
        <v>44873.0</v>
      </c>
      <c r="B1075" s="822" t="s">
        <v>7643</v>
      </c>
      <c r="C1075" s="641" t="s">
        <v>98</v>
      </c>
      <c r="D1075" s="641" t="s">
        <v>5038</v>
      </c>
      <c r="E1075" s="669">
        <v>30000.0</v>
      </c>
      <c r="F1075" s="641" t="s">
        <v>6087</v>
      </c>
      <c r="G1075" s="626" t="s">
        <v>120</v>
      </c>
      <c r="H1075" s="834" t="s">
        <v>199</v>
      </c>
      <c r="I1075" s="626" t="s">
        <v>7647</v>
      </c>
      <c r="J1075" s="741">
        <v>44594.0</v>
      </c>
      <c r="K1075" s="641" t="s">
        <v>2356</v>
      </c>
      <c r="L1075" s="666"/>
      <c r="M1075" s="666"/>
      <c r="N1075" s="666"/>
      <c r="O1075" s="666"/>
      <c r="P1075" s="666"/>
      <c r="Q1075" s="666"/>
      <c r="R1075" s="666"/>
      <c r="S1075" s="666"/>
      <c r="T1075" s="666"/>
      <c r="U1075" s="666"/>
      <c r="V1075" s="666"/>
      <c r="W1075" s="666"/>
      <c r="X1075" s="666"/>
      <c r="Y1075" s="666"/>
      <c r="Z1075" s="666"/>
      <c r="AA1075" s="666"/>
      <c r="AB1075" s="666"/>
      <c r="AC1075" s="666"/>
      <c r="AD1075" s="666"/>
      <c r="AE1075" s="666"/>
      <c r="AF1075" s="666"/>
      <c r="AG1075" s="666"/>
      <c r="AH1075" s="666"/>
      <c r="AI1075" s="666"/>
      <c r="AJ1075" s="666"/>
      <c r="AK1075" s="666"/>
      <c r="AL1075" s="666"/>
      <c r="AM1075" s="666"/>
      <c r="AN1075" s="666"/>
      <c r="AO1075" s="666"/>
      <c r="AP1075" s="666"/>
      <c r="AQ1075" s="666"/>
      <c r="AR1075" s="666"/>
      <c r="AS1075" s="666"/>
      <c r="AT1075" s="666"/>
      <c r="AU1075" s="666"/>
    </row>
    <row r="1076" ht="15.75" customHeight="1">
      <c r="A1076" s="667">
        <v>44874.0</v>
      </c>
      <c r="B1076" s="668" t="s">
        <v>8317</v>
      </c>
      <c r="C1076" s="641" t="s">
        <v>98</v>
      </c>
      <c r="D1076" s="641" t="s">
        <v>5038</v>
      </c>
      <c r="E1076" s="669">
        <v>1000.0</v>
      </c>
      <c r="F1076" s="641" t="s">
        <v>8348</v>
      </c>
      <c r="G1076" s="641" t="s">
        <v>120</v>
      </c>
      <c r="H1076" s="641" t="s">
        <v>54</v>
      </c>
      <c r="I1076" s="641" t="s">
        <v>8237</v>
      </c>
      <c r="J1076" s="667">
        <v>44733.0</v>
      </c>
      <c r="K1076" s="641" t="s">
        <v>2365</v>
      </c>
      <c r="L1076" s="666"/>
      <c r="M1076" s="666"/>
      <c r="N1076" s="666"/>
      <c r="O1076" s="666"/>
      <c r="P1076" s="666"/>
      <c r="Q1076" s="666"/>
      <c r="R1076" s="666"/>
      <c r="S1076" s="666"/>
      <c r="T1076" s="666"/>
      <c r="U1076" s="666"/>
      <c r="V1076" s="666"/>
      <c r="W1076" s="666"/>
      <c r="X1076" s="666"/>
      <c r="Y1076" s="666"/>
      <c r="Z1076" s="666"/>
      <c r="AA1076" s="666"/>
      <c r="AB1076" s="666"/>
      <c r="AC1076" s="666"/>
      <c r="AD1076" s="666"/>
      <c r="AE1076" s="666"/>
      <c r="AF1076" s="666"/>
      <c r="AG1076" s="666"/>
      <c r="AH1076" s="666"/>
      <c r="AI1076" s="666"/>
      <c r="AJ1076" s="666"/>
      <c r="AK1076" s="666"/>
      <c r="AL1076" s="666"/>
      <c r="AM1076" s="666"/>
      <c r="AN1076" s="666"/>
      <c r="AO1076" s="666"/>
      <c r="AP1076" s="666"/>
      <c r="AQ1076" s="666"/>
      <c r="AR1076" s="666"/>
      <c r="AS1076" s="666"/>
      <c r="AT1076" s="666"/>
      <c r="AU1076" s="666"/>
    </row>
    <row r="1077" ht="15.75" customHeight="1">
      <c r="A1077" s="667">
        <v>44874.0</v>
      </c>
      <c r="B1077" s="668" t="s">
        <v>8351</v>
      </c>
      <c r="C1077" s="641" t="s">
        <v>98</v>
      </c>
      <c r="D1077" s="641" t="s">
        <v>5038</v>
      </c>
      <c r="E1077" s="669">
        <v>60000.0</v>
      </c>
      <c r="F1077" s="641" t="s">
        <v>2378</v>
      </c>
      <c r="G1077" s="641" t="s">
        <v>120</v>
      </c>
      <c r="H1077" s="641" t="s">
        <v>199</v>
      </c>
      <c r="I1077" s="641" t="s">
        <v>212</v>
      </c>
      <c r="J1077" s="667">
        <v>44802.0</v>
      </c>
      <c r="K1077" s="641" t="s">
        <v>2356</v>
      </c>
      <c r="L1077" s="666"/>
      <c r="M1077" s="666"/>
      <c r="N1077" s="666"/>
      <c r="O1077" s="666"/>
      <c r="P1077" s="666"/>
      <c r="Q1077" s="666"/>
      <c r="R1077" s="666"/>
      <c r="S1077" s="666"/>
      <c r="T1077" s="666"/>
      <c r="U1077" s="666"/>
      <c r="V1077" s="666"/>
      <c r="W1077" s="666"/>
      <c r="X1077" s="666"/>
      <c r="Y1077" s="666"/>
      <c r="Z1077" s="666"/>
      <c r="AA1077" s="666"/>
      <c r="AB1077" s="666"/>
      <c r="AC1077" s="666"/>
      <c r="AD1077" s="666"/>
      <c r="AE1077" s="666"/>
      <c r="AF1077" s="666"/>
      <c r="AG1077" s="666"/>
      <c r="AH1077" s="666"/>
      <c r="AI1077" s="666"/>
      <c r="AJ1077" s="666"/>
      <c r="AK1077" s="666"/>
      <c r="AL1077" s="666"/>
      <c r="AM1077" s="666"/>
      <c r="AN1077" s="666"/>
      <c r="AO1077" s="666"/>
      <c r="AP1077" s="666"/>
      <c r="AQ1077" s="666"/>
      <c r="AR1077" s="666"/>
      <c r="AS1077" s="666"/>
      <c r="AT1077" s="666"/>
      <c r="AU1077" s="666"/>
    </row>
    <row r="1078" ht="15.75" customHeight="1">
      <c r="A1078" s="667">
        <v>44874.0</v>
      </c>
      <c r="B1078" s="668" t="s">
        <v>8155</v>
      </c>
      <c r="C1078" s="641" t="s">
        <v>98</v>
      </c>
      <c r="D1078" s="641" t="s">
        <v>5038</v>
      </c>
      <c r="E1078" s="669">
        <v>8000.0</v>
      </c>
      <c r="F1078" s="641" t="s">
        <v>5934</v>
      </c>
      <c r="G1078" s="641" t="s">
        <v>120</v>
      </c>
      <c r="H1078" s="641" t="s">
        <v>199</v>
      </c>
      <c r="I1078" s="641" t="s">
        <v>439</v>
      </c>
      <c r="J1078" s="667">
        <v>44393.0</v>
      </c>
      <c r="K1078" s="641" t="s">
        <v>2319</v>
      </c>
      <c r="L1078" s="666"/>
      <c r="M1078" s="666"/>
      <c r="N1078" s="666"/>
      <c r="O1078" s="666"/>
      <c r="P1078" s="666"/>
      <c r="Q1078" s="666"/>
      <c r="R1078" s="666"/>
      <c r="S1078" s="666"/>
      <c r="T1078" s="666"/>
      <c r="U1078" s="666"/>
      <c r="V1078" s="666"/>
      <c r="W1078" s="666"/>
      <c r="X1078" s="666"/>
      <c r="Y1078" s="666"/>
      <c r="Z1078" s="666"/>
      <c r="AA1078" s="666"/>
      <c r="AB1078" s="666"/>
      <c r="AC1078" s="666"/>
      <c r="AD1078" s="666"/>
      <c r="AE1078" s="666"/>
      <c r="AF1078" s="666"/>
      <c r="AG1078" s="666"/>
      <c r="AH1078" s="666"/>
      <c r="AI1078" s="666"/>
      <c r="AJ1078" s="666"/>
      <c r="AK1078" s="666"/>
      <c r="AL1078" s="666"/>
      <c r="AM1078" s="666"/>
      <c r="AN1078" s="666"/>
      <c r="AO1078" s="666"/>
      <c r="AP1078" s="666"/>
      <c r="AQ1078" s="666"/>
      <c r="AR1078" s="666"/>
      <c r="AS1078" s="666"/>
      <c r="AT1078" s="666"/>
      <c r="AU1078" s="666"/>
    </row>
    <row r="1079" ht="15.75" customHeight="1">
      <c r="A1079" s="667">
        <v>44875.0</v>
      </c>
      <c r="B1079" s="668" t="s">
        <v>8356</v>
      </c>
      <c r="C1079" s="641" t="s">
        <v>98</v>
      </c>
      <c r="D1079" s="641" t="s">
        <v>5038</v>
      </c>
      <c r="E1079" s="669">
        <v>6000.0</v>
      </c>
      <c r="F1079" s="641" t="s">
        <v>2017</v>
      </c>
      <c r="G1079" s="641" t="s">
        <v>120</v>
      </c>
      <c r="H1079" s="641" t="s">
        <v>54</v>
      </c>
      <c r="I1079" s="641" t="s">
        <v>125</v>
      </c>
      <c r="J1079" s="667">
        <v>44767.0</v>
      </c>
      <c r="K1079" s="641" t="s">
        <v>2356</v>
      </c>
      <c r="L1079" s="666"/>
      <c r="M1079" s="666"/>
      <c r="N1079" s="666"/>
      <c r="O1079" s="666"/>
      <c r="P1079" s="666"/>
      <c r="Q1079" s="666"/>
      <c r="R1079" s="666"/>
      <c r="S1079" s="666"/>
      <c r="T1079" s="666"/>
      <c r="U1079" s="666"/>
      <c r="V1079" s="666"/>
      <c r="W1079" s="666"/>
      <c r="X1079" s="666"/>
      <c r="Y1079" s="666"/>
      <c r="Z1079" s="666"/>
      <c r="AA1079" s="666"/>
      <c r="AB1079" s="666"/>
      <c r="AC1079" s="666"/>
      <c r="AD1079" s="666"/>
      <c r="AE1079" s="666"/>
      <c r="AF1079" s="666"/>
      <c r="AG1079" s="666"/>
      <c r="AH1079" s="666"/>
      <c r="AI1079" s="666"/>
      <c r="AJ1079" s="666"/>
      <c r="AK1079" s="666"/>
      <c r="AL1079" s="666"/>
      <c r="AM1079" s="666"/>
      <c r="AN1079" s="666"/>
      <c r="AO1079" s="666"/>
      <c r="AP1079" s="666"/>
      <c r="AQ1079" s="666"/>
      <c r="AR1079" s="666"/>
      <c r="AS1079" s="666"/>
      <c r="AT1079" s="666"/>
      <c r="AU1079" s="666"/>
    </row>
    <row r="1080" ht="15.75" customHeight="1">
      <c r="A1080" s="667">
        <v>44879.0</v>
      </c>
      <c r="B1080" s="801" t="s">
        <v>8250</v>
      </c>
      <c r="C1080" s="715" t="s">
        <v>98</v>
      </c>
      <c r="D1080" s="641" t="s">
        <v>5038</v>
      </c>
      <c r="E1080" s="716">
        <v>85000.0</v>
      </c>
      <c r="F1080" s="641" t="s">
        <v>6390</v>
      </c>
      <c r="G1080" s="667" t="s">
        <v>120</v>
      </c>
      <c r="H1080" s="667" t="s">
        <v>54</v>
      </c>
      <c r="I1080" s="667" t="s">
        <v>1393</v>
      </c>
      <c r="J1080" s="667">
        <v>44698.0</v>
      </c>
      <c r="K1080" s="667" t="s">
        <v>2372</v>
      </c>
      <c r="L1080" s="666"/>
      <c r="M1080" s="666"/>
      <c r="N1080" s="666"/>
      <c r="O1080" s="666"/>
      <c r="P1080" s="666"/>
      <c r="Q1080" s="666"/>
      <c r="R1080" s="666"/>
      <c r="S1080" s="666"/>
      <c r="T1080" s="666"/>
      <c r="U1080" s="666"/>
      <c r="V1080" s="666"/>
      <c r="W1080" s="666"/>
      <c r="X1080" s="666"/>
      <c r="Y1080" s="666"/>
      <c r="Z1080" s="666"/>
      <c r="AA1080" s="666"/>
      <c r="AB1080" s="666"/>
      <c r="AC1080" s="666"/>
      <c r="AD1080" s="666"/>
      <c r="AE1080" s="666"/>
      <c r="AF1080" s="666"/>
      <c r="AG1080" s="666"/>
      <c r="AH1080" s="666"/>
      <c r="AI1080" s="666"/>
      <c r="AJ1080" s="666"/>
      <c r="AK1080" s="666"/>
      <c r="AL1080" s="666"/>
      <c r="AM1080" s="666"/>
      <c r="AN1080" s="666"/>
      <c r="AO1080" s="666"/>
      <c r="AP1080" s="666"/>
      <c r="AQ1080" s="666"/>
      <c r="AR1080" s="666"/>
      <c r="AS1080" s="666"/>
      <c r="AT1080" s="666"/>
      <c r="AU1080" s="666"/>
    </row>
    <row r="1081" ht="15.75" customHeight="1">
      <c r="A1081" s="667">
        <v>44879.0</v>
      </c>
      <c r="B1081" s="589">
        <v>5681841.0</v>
      </c>
      <c r="C1081" s="589" t="s">
        <v>98</v>
      </c>
      <c r="D1081" s="641" t="s">
        <v>5038</v>
      </c>
      <c r="E1081" s="669">
        <v>100000.0</v>
      </c>
      <c r="F1081" s="834" t="s">
        <v>7581</v>
      </c>
      <c r="G1081" s="626" t="s">
        <v>120</v>
      </c>
      <c r="H1081" s="641" t="s">
        <v>54</v>
      </c>
      <c r="I1081" s="641" t="s">
        <v>125</v>
      </c>
      <c r="J1081" s="773">
        <v>44469.0</v>
      </c>
      <c r="K1081" s="750" t="s">
        <v>2365</v>
      </c>
      <c r="L1081" s="666"/>
      <c r="M1081" s="666"/>
      <c r="N1081" s="666"/>
      <c r="O1081" s="666"/>
      <c r="P1081" s="666"/>
      <c r="Q1081" s="666"/>
      <c r="R1081" s="666"/>
      <c r="S1081" s="666"/>
      <c r="T1081" s="666"/>
      <c r="U1081" s="666"/>
      <c r="V1081" s="666"/>
      <c r="W1081" s="666"/>
      <c r="X1081" s="666"/>
      <c r="Y1081" s="666"/>
      <c r="Z1081" s="666"/>
      <c r="AA1081" s="666"/>
      <c r="AB1081" s="666"/>
      <c r="AC1081" s="666"/>
      <c r="AD1081" s="666"/>
      <c r="AE1081" s="666"/>
      <c r="AF1081" s="666"/>
      <c r="AG1081" s="666"/>
      <c r="AH1081" s="666"/>
      <c r="AI1081" s="666"/>
      <c r="AJ1081" s="666"/>
      <c r="AK1081" s="666"/>
      <c r="AL1081" s="666"/>
      <c r="AM1081" s="666"/>
      <c r="AN1081" s="666"/>
      <c r="AO1081" s="666"/>
      <c r="AP1081" s="666"/>
      <c r="AQ1081" s="666"/>
      <c r="AR1081" s="666"/>
      <c r="AS1081" s="666"/>
      <c r="AT1081" s="666"/>
      <c r="AU1081" s="666"/>
    </row>
    <row r="1082" ht="15.75" customHeight="1">
      <c r="A1082" s="667">
        <v>44881.0</v>
      </c>
      <c r="B1082" s="668" t="s">
        <v>8362</v>
      </c>
      <c r="C1082" s="641" t="s">
        <v>98</v>
      </c>
      <c r="D1082" s="641" t="s">
        <v>5038</v>
      </c>
      <c r="E1082" s="669">
        <v>5000.0</v>
      </c>
      <c r="F1082" s="641" t="s">
        <v>1367</v>
      </c>
      <c r="G1082" s="641" t="s">
        <v>255</v>
      </c>
      <c r="H1082" s="641" t="s">
        <v>199</v>
      </c>
      <c r="I1082" s="641" t="s">
        <v>2489</v>
      </c>
      <c r="J1082" s="667">
        <v>44231.0</v>
      </c>
      <c r="K1082" s="641" t="s">
        <v>2372</v>
      </c>
      <c r="L1082" s="666"/>
      <c r="M1082" s="666"/>
      <c r="N1082" s="666"/>
      <c r="O1082" s="666"/>
      <c r="P1082" s="666"/>
      <c r="Q1082" s="666"/>
      <c r="R1082" s="666"/>
      <c r="S1082" s="666"/>
      <c r="T1082" s="666"/>
      <c r="U1082" s="666"/>
      <c r="V1082" s="666"/>
      <c r="W1082" s="666"/>
      <c r="X1082" s="666"/>
      <c r="Y1082" s="666"/>
      <c r="Z1082" s="666"/>
      <c r="AA1082" s="666"/>
      <c r="AB1082" s="666"/>
      <c r="AC1082" s="666"/>
      <c r="AD1082" s="666"/>
      <c r="AE1082" s="666"/>
      <c r="AF1082" s="666"/>
      <c r="AG1082" s="666"/>
      <c r="AH1082" s="666"/>
      <c r="AI1082" s="666"/>
      <c r="AJ1082" s="666"/>
      <c r="AK1082" s="666"/>
      <c r="AL1082" s="666"/>
      <c r="AM1082" s="666"/>
      <c r="AN1082" s="666"/>
      <c r="AO1082" s="666"/>
      <c r="AP1082" s="666"/>
      <c r="AQ1082" s="666"/>
      <c r="AR1082" s="666"/>
      <c r="AS1082" s="666"/>
      <c r="AT1082" s="666"/>
      <c r="AU1082" s="666"/>
    </row>
    <row r="1083" ht="15.75" customHeight="1">
      <c r="A1083" s="667">
        <v>44881.0</v>
      </c>
      <c r="B1083" s="804" t="s">
        <v>7582</v>
      </c>
      <c r="C1083" s="715" t="s">
        <v>98</v>
      </c>
      <c r="D1083" s="641" t="s">
        <v>5038</v>
      </c>
      <c r="E1083" s="716">
        <v>20000.0</v>
      </c>
      <c r="F1083" s="641" t="s">
        <v>3519</v>
      </c>
      <c r="G1083" s="641" t="s">
        <v>120</v>
      </c>
      <c r="H1083" s="641" t="s">
        <v>199</v>
      </c>
      <c r="I1083" s="641" t="s">
        <v>3521</v>
      </c>
      <c r="J1083" s="667">
        <v>44061.0</v>
      </c>
      <c r="K1083" s="641" t="s">
        <v>2341</v>
      </c>
      <c r="L1083" s="666"/>
      <c r="M1083" s="666"/>
      <c r="N1083" s="666"/>
      <c r="O1083" s="666"/>
      <c r="P1083" s="666"/>
      <c r="Q1083" s="666"/>
      <c r="R1083" s="666"/>
      <c r="S1083" s="666"/>
      <c r="T1083" s="666"/>
      <c r="U1083" s="666"/>
      <c r="V1083" s="666"/>
      <c r="W1083" s="666"/>
      <c r="X1083" s="666"/>
      <c r="Y1083" s="666"/>
      <c r="Z1083" s="666"/>
      <c r="AA1083" s="666"/>
      <c r="AB1083" s="666"/>
      <c r="AC1083" s="666"/>
      <c r="AD1083" s="666"/>
      <c r="AE1083" s="666"/>
      <c r="AF1083" s="666"/>
      <c r="AG1083" s="666"/>
      <c r="AH1083" s="666"/>
      <c r="AI1083" s="666"/>
      <c r="AJ1083" s="666"/>
      <c r="AK1083" s="666"/>
      <c r="AL1083" s="666"/>
      <c r="AM1083" s="666"/>
      <c r="AN1083" s="666"/>
      <c r="AO1083" s="666"/>
      <c r="AP1083" s="666"/>
      <c r="AQ1083" s="666"/>
      <c r="AR1083" s="666"/>
      <c r="AS1083" s="666"/>
      <c r="AT1083" s="666"/>
      <c r="AU1083" s="666"/>
    </row>
    <row r="1084" ht="15.75" customHeight="1">
      <c r="A1084" s="667">
        <v>44882.0</v>
      </c>
      <c r="B1084" s="668" t="s">
        <v>8367</v>
      </c>
      <c r="C1084" s="641" t="s">
        <v>98</v>
      </c>
      <c r="D1084" s="641" t="s">
        <v>5038</v>
      </c>
      <c r="E1084" s="669">
        <v>10000.0</v>
      </c>
      <c r="F1084" s="641" t="s">
        <v>749</v>
      </c>
      <c r="G1084" s="641" t="s">
        <v>120</v>
      </c>
      <c r="H1084" s="641" t="s">
        <v>199</v>
      </c>
      <c r="I1084" s="641" t="s">
        <v>212</v>
      </c>
      <c r="J1084" s="667">
        <v>44644.0</v>
      </c>
      <c r="K1084" s="641" t="s">
        <v>2356</v>
      </c>
      <c r="L1084" s="666"/>
      <c r="M1084" s="666"/>
      <c r="N1084" s="666"/>
      <c r="O1084" s="666"/>
      <c r="P1084" s="666"/>
      <c r="Q1084" s="666"/>
      <c r="R1084" s="666"/>
      <c r="S1084" s="666"/>
      <c r="T1084" s="666"/>
      <c r="U1084" s="666"/>
      <c r="V1084" s="666"/>
      <c r="W1084" s="666"/>
      <c r="X1084" s="666"/>
      <c r="Y1084" s="666"/>
      <c r="Z1084" s="666"/>
      <c r="AA1084" s="666"/>
      <c r="AB1084" s="666"/>
      <c r="AC1084" s="666"/>
      <c r="AD1084" s="666"/>
      <c r="AE1084" s="666"/>
      <c r="AF1084" s="666"/>
      <c r="AG1084" s="666"/>
      <c r="AH1084" s="666"/>
      <c r="AI1084" s="666"/>
      <c r="AJ1084" s="666"/>
      <c r="AK1084" s="666"/>
      <c r="AL1084" s="666"/>
      <c r="AM1084" s="666"/>
      <c r="AN1084" s="666"/>
      <c r="AO1084" s="666"/>
      <c r="AP1084" s="666"/>
      <c r="AQ1084" s="666"/>
      <c r="AR1084" s="666"/>
      <c r="AS1084" s="666"/>
      <c r="AT1084" s="666"/>
      <c r="AU1084" s="666"/>
    </row>
    <row r="1085" ht="15.75" customHeight="1">
      <c r="A1085" s="667">
        <v>44887.0</v>
      </c>
      <c r="B1085" s="668" t="s">
        <v>8370</v>
      </c>
      <c r="C1085" s="641" t="s">
        <v>98</v>
      </c>
      <c r="D1085" s="641" t="s">
        <v>5038</v>
      </c>
      <c r="E1085" s="669">
        <v>18042.73</v>
      </c>
      <c r="F1085" s="641" t="s">
        <v>5671</v>
      </c>
      <c r="G1085" s="641" t="s">
        <v>120</v>
      </c>
      <c r="H1085" s="641" t="s">
        <v>54</v>
      </c>
      <c r="I1085" s="641" t="s">
        <v>2393</v>
      </c>
      <c r="J1085" s="641" t="s">
        <v>3320</v>
      </c>
      <c r="K1085" s="641" t="s">
        <v>2356</v>
      </c>
      <c r="L1085" s="666"/>
      <c r="M1085" s="666"/>
      <c r="N1085" s="666"/>
      <c r="O1085" s="666"/>
      <c r="P1085" s="666"/>
      <c r="Q1085" s="666"/>
      <c r="R1085" s="666"/>
      <c r="S1085" s="666"/>
      <c r="T1085" s="666"/>
      <c r="U1085" s="666"/>
      <c r="V1085" s="666"/>
      <c r="W1085" s="666"/>
      <c r="X1085" s="666"/>
      <c r="Y1085" s="666"/>
      <c r="Z1085" s="666"/>
      <c r="AA1085" s="666"/>
      <c r="AB1085" s="666"/>
      <c r="AC1085" s="666"/>
      <c r="AD1085" s="666"/>
      <c r="AE1085" s="666"/>
      <c r="AF1085" s="666"/>
      <c r="AG1085" s="666"/>
      <c r="AH1085" s="666"/>
      <c r="AI1085" s="666"/>
      <c r="AJ1085" s="666"/>
      <c r="AK1085" s="666"/>
      <c r="AL1085" s="666"/>
      <c r="AM1085" s="666"/>
      <c r="AN1085" s="666"/>
      <c r="AO1085" s="666"/>
      <c r="AP1085" s="666"/>
      <c r="AQ1085" s="666"/>
      <c r="AR1085" s="666"/>
      <c r="AS1085" s="666"/>
      <c r="AT1085" s="666"/>
      <c r="AU1085" s="666"/>
    </row>
    <row r="1086" ht="15.75" customHeight="1">
      <c r="A1086" s="667">
        <v>44889.0</v>
      </c>
      <c r="B1086" s="668" t="s">
        <v>8155</v>
      </c>
      <c r="C1086" s="641" t="s">
        <v>98</v>
      </c>
      <c r="D1086" s="641" t="s">
        <v>5038</v>
      </c>
      <c r="E1086" s="669">
        <v>33000.0</v>
      </c>
      <c r="F1086" s="641" t="s">
        <v>5934</v>
      </c>
      <c r="G1086" s="641" t="s">
        <v>120</v>
      </c>
      <c r="H1086" s="641" t="s">
        <v>199</v>
      </c>
      <c r="I1086" s="641" t="s">
        <v>439</v>
      </c>
      <c r="J1086" s="667">
        <v>44393.0</v>
      </c>
      <c r="K1086" s="641" t="s">
        <v>2319</v>
      </c>
      <c r="L1086" s="666"/>
      <c r="M1086" s="666"/>
      <c r="N1086" s="666"/>
      <c r="O1086" s="666"/>
      <c r="P1086" s="666"/>
      <c r="Q1086" s="666"/>
      <c r="R1086" s="666"/>
      <c r="S1086" s="666"/>
      <c r="T1086" s="666"/>
      <c r="U1086" s="666"/>
      <c r="V1086" s="666"/>
      <c r="W1086" s="666"/>
      <c r="X1086" s="666"/>
      <c r="Y1086" s="666"/>
      <c r="Z1086" s="666"/>
      <c r="AA1086" s="666"/>
      <c r="AB1086" s="666"/>
      <c r="AC1086" s="666"/>
      <c r="AD1086" s="666"/>
      <c r="AE1086" s="666"/>
      <c r="AF1086" s="666"/>
      <c r="AG1086" s="666"/>
      <c r="AH1086" s="666"/>
      <c r="AI1086" s="666"/>
      <c r="AJ1086" s="666"/>
      <c r="AK1086" s="666"/>
      <c r="AL1086" s="666"/>
      <c r="AM1086" s="666"/>
      <c r="AN1086" s="666"/>
      <c r="AO1086" s="666"/>
      <c r="AP1086" s="666"/>
      <c r="AQ1086" s="666"/>
      <c r="AR1086" s="666"/>
      <c r="AS1086" s="666"/>
      <c r="AT1086" s="666"/>
      <c r="AU1086" s="666"/>
    </row>
    <row r="1087" ht="15.75" customHeight="1">
      <c r="A1087" s="757">
        <v>44889.0</v>
      </c>
      <c r="B1087" s="758" t="s">
        <v>7692</v>
      </c>
      <c r="C1087" s="759" t="s">
        <v>98</v>
      </c>
      <c r="D1087" s="760" t="s">
        <v>5038</v>
      </c>
      <c r="E1087" s="761">
        <v>7000.0</v>
      </c>
      <c r="F1087" s="760" t="s">
        <v>2434</v>
      </c>
      <c r="G1087" s="760" t="s">
        <v>120</v>
      </c>
      <c r="H1087" s="760" t="s">
        <v>54</v>
      </c>
      <c r="I1087" s="760" t="s">
        <v>348</v>
      </c>
      <c r="J1087" s="762">
        <v>44609.0</v>
      </c>
      <c r="K1087" s="759" t="s">
        <v>2365</v>
      </c>
      <c r="L1087" s="666"/>
      <c r="M1087" s="666"/>
      <c r="N1087" s="666"/>
      <c r="O1087" s="666"/>
      <c r="P1087" s="666"/>
      <c r="Q1087" s="666"/>
      <c r="R1087" s="666"/>
      <c r="S1087" s="666"/>
      <c r="T1087" s="666"/>
      <c r="U1087" s="666"/>
      <c r="V1087" s="666"/>
      <c r="W1087" s="666"/>
      <c r="X1087" s="666"/>
      <c r="Y1087" s="666"/>
      <c r="Z1087" s="666"/>
      <c r="AA1087" s="666"/>
      <c r="AB1087" s="666"/>
      <c r="AC1087" s="666"/>
      <c r="AD1087" s="666"/>
      <c r="AE1087" s="666"/>
      <c r="AF1087" s="666"/>
      <c r="AG1087" s="666"/>
      <c r="AH1087" s="666"/>
      <c r="AI1087" s="666"/>
      <c r="AJ1087" s="666"/>
      <c r="AK1087" s="666"/>
      <c r="AL1087" s="666"/>
      <c r="AM1087" s="666"/>
      <c r="AN1087" s="666"/>
      <c r="AO1087" s="666"/>
      <c r="AP1087" s="666"/>
      <c r="AQ1087" s="666"/>
      <c r="AR1087" s="666"/>
      <c r="AS1087" s="666"/>
      <c r="AT1087" s="666"/>
      <c r="AU1087" s="666"/>
    </row>
    <row r="1088" ht="15.75" customHeight="1">
      <c r="A1088" s="757">
        <v>44889.0</v>
      </c>
      <c r="B1088" s="758" t="s">
        <v>7692</v>
      </c>
      <c r="C1088" s="759" t="s">
        <v>98</v>
      </c>
      <c r="D1088" s="760" t="s">
        <v>5038</v>
      </c>
      <c r="E1088" s="761">
        <v>7000.0</v>
      </c>
      <c r="F1088" s="760" t="s">
        <v>2434</v>
      </c>
      <c r="G1088" s="760" t="s">
        <v>120</v>
      </c>
      <c r="H1088" s="760" t="s">
        <v>54</v>
      </c>
      <c r="I1088" s="760" t="s">
        <v>348</v>
      </c>
      <c r="J1088" s="762">
        <v>44609.0</v>
      </c>
      <c r="K1088" s="759" t="s">
        <v>2365</v>
      </c>
      <c r="L1088" s="666"/>
      <c r="M1088" s="666"/>
      <c r="N1088" s="666"/>
      <c r="O1088" s="666"/>
      <c r="P1088" s="666"/>
      <c r="Q1088" s="666"/>
      <c r="R1088" s="666"/>
      <c r="S1088" s="666"/>
      <c r="T1088" s="666"/>
      <c r="U1088" s="666"/>
      <c r="V1088" s="666"/>
      <c r="W1088" s="666"/>
      <c r="X1088" s="666"/>
      <c r="Y1088" s="666"/>
      <c r="Z1088" s="666"/>
      <c r="AA1088" s="666"/>
      <c r="AB1088" s="666"/>
      <c r="AC1088" s="666"/>
      <c r="AD1088" s="666"/>
      <c r="AE1088" s="666"/>
      <c r="AF1088" s="666"/>
      <c r="AG1088" s="666"/>
      <c r="AH1088" s="666"/>
      <c r="AI1088" s="666"/>
      <c r="AJ1088" s="666"/>
      <c r="AK1088" s="666"/>
      <c r="AL1088" s="666"/>
      <c r="AM1088" s="666"/>
      <c r="AN1088" s="666"/>
      <c r="AO1088" s="666"/>
      <c r="AP1088" s="666"/>
      <c r="AQ1088" s="666"/>
      <c r="AR1088" s="666"/>
      <c r="AS1088" s="666"/>
      <c r="AT1088" s="666"/>
      <c r="AU1088" s="666"/>
    </row>
    <row r="1089" ht="15.75" customHeight="1">
      <c r="A1089" s="667">
        <v>44890.0</v>
      </c>
      <c r="B1089" s="668" t="s">
        <v>8380</v>
      </c>
      <c r="C1089" s="641" t="s">
        <v>98</v>
      </c>
      <c r="D1089" s="641" t="s">
        <v>5038</v>
      </c>
      <c r="E1089" s="669">
        <v>3000.0</v>
      </c>
      <c r="F1089" s="641" t="s">
        <v>8381</v>
      </c>
      <c r="G1089" s="641" t="s">
        <v>255</v>
      </c>
      <c r="H1089" s="641" t="s">
        <v>199</v>
      </c>
      <c r="I1089" s="641" t="s">
        <v>4139</v>
      </c>
      <c r="J1089" s="667">
        <v>44840.0</v>
      </c>
      <c r="K1089" s="641" t="s">
        <v>2356</v>
      </c>
      <c r="L1089" s="666"/>
      <c r="M1089" s="666"/>
      <c r="N1089" s="666"/>
      <c r="O1089" s="666"/>
      <c r="P1089" s="666"/>
      <c r="Q1089" s="666"/>
      <c r="R1089" s="666"/>
      <c r="S1089" s="666"/>
      <c r="T1089" s="666"/>
      <c r="U1089" s="666"/>
      <c r="V1089" s="666"/>
      <c r="W1089" s="666"/>
      <c r="X1089" s="666"/>
      <c r="Y1089" s="666"/>
      <c r="Z1089" s="666"/>
      <c r="AA1089" s="666"/>
      <c r="AB1089" s="666"/>
      <c r="AC1089" s="666"/>
      <c r="AD1089" s="666"/>
      <c r="AE1089" s="666"/>
      <c r="AF1089" s="666"/>
      <c r="AG1089" s="666"/>
      <c r="AH1089" s="666"/>
      <c r="AI1089" s="666"/>
      <c r="AJ1089" s="666"/>
      <c r="AK1089" s="666"/>
      <c r="AL1089" s="666"/>
      <c r="AM1089" s="666"/>
      <c r="AN1089" s="666"/>
      <c r="AO1089" s="666"/>
      <c r="AP1089" s="666"/>
      <c r="AQ1089" s="666"/>
      <c r="AR1089" s="666"/>
      <c r="AS1089" s="666"/>
      <c r="AT1089" s="666"/>
      <c r="AU1089" s="666"/>
    </row>
    <row r="1090" ht="15.75" customHeight="1">
      <c r="A1090" s="667">
        <v>44890.0</v>
      </c>
      <c r="B1090" s="758" t="s">
        <v>8098</v>
      </c>
      <c r="C1090" s="759" t="s">
        <v>98</v>
      </c>
      <c r="D1090" s="760" t="s">
        <v>5038</v>
      </c>
      <c r="E1090" s="761">
        <v>300000.0</v>
      </c>
      <c r="F1090" s="760" t="s">
        <v>2163</v>
      </c>
      <c r="G1090" s="760" t="s">
        <v>120</v>
      </c>
      <c r="H1090" s="760" t="s">
        <v>54</v>
      </c>
      <c r="I1090" s="760" t="s">
        <v>125</v>
      </c>
      <c r="J1090" s="762">
        <v>44568.0</v>
      </c>
      <c r="K1090" s="759" t="s">
        <v>5294</v>
      </c>
      <c r="L1090" s="666"/>
      <c r="M1090" s="666"/>
      <c r="N1090" s="666"/>
      <c r="O1090" s="666"/>
      <c r="P1090" s="666"/>
      <c r="Q1090" s="666"/>
      <c r="R1090" s="666"/>
      <c r="S1090" s="666"/>
      <c r="T1090" s="666"/>
      <c r="U1090" s="666"/>
      <c r="V1090" s="666"/>
      <c r="W1090" s="666"/>
      <c r="X1090" s="666"/>
      <c r="Y1090" s="666"/>
      <c r="Z1090" s="666"/>
      <c r="AA1090" s="666"/>
      <c r="AB1090" s="666"/>
      <c r="AC1090" s="666"/>
      <c r="AD1090" s="666"/>
      <c r="AE1090" s="666"/>
      <c r="AF1090" s="666"/>
      <c r="AG1090" s="666"/>
      <c r="AH1090" s="666"/>
      <c r="AI1090" s="666"/>
      <c r="AJ1090" s="666"/>
      <c r="AK1090" s="666"/>
      <c r="AL1090" s="666"/>
      <c r="AM1090" s="666"/>
      <c r="AN1090" s="666"/>
      <c r="AO1090" s="666"/>
      <c r="AP1090" s="666"/>
      <c r="AQ1090" s="666"/>
      <c r="AR1090" s="666"/>
      <c r="AS1090" s="666"/>
      <c r="AT1090" s="666"/>
      <c r="AU1090" s="666"/>
    </row>
    <row r="1091" ht="15.75" customHeight="1">
      <c r="A1091" s="667">
        <v>44890.0</v>
      </c>
      <c r="B1091" s="668" t="s">
        <v>8149</v>
      </c>
      <c r="C1091" s="641" t="s">
        <v>98</v>
      </c>
      <c r="D1091" s="641" t="s">
        <v>5038</v>
      </c>
      <c r="E1091" s="669">
        <v>5000.0</v>
      </c>
      <c r="F1091" s="641" t="s">
        <v>8150</v>
      </c>
      <c r="G1091" s="641" t="s">
        <v>120</v>
      </c>
      <c r="H1091" s="641" t="s">
        <v>199</v>
      </c>
      <c r="I1091" s="641" t="s">
        <v>803</v>
      </c>
      <c r="J1091" s="667">
        <v>44460.0</v>
      </c>
      <c r="K1091" s="641" t="s">
        <v>2356</v>
      </c>
      <c r="L1091" s="666"/>
      <c r="M1091" s="666"/>
      <c r="N1091" s="666"/>
      <c r="O1091" s="666"/>
      <c r="P1091" s="666"/>
      <c r="Q1091" s="666"/>
      <c r="R1091" s="666"/>
      <c r="S1091" s="666"/>
      <c r="T1091" s="666"/>
      <c r="U1091" s="666"/>
      <c r="V1091" s="666"/>
      <c r="W1091" s="666"/>
      <c r="X1091" s="666"/>
      <c r="Y1091" s="666"/>
      <c r="Z1091" s="666"/>
      <c r="AA1091" s="666"/>
      <c r="AB1091" s="666"/>
      <c r="AC1091" s="666"/>
      <c r="AD1091" s="666"/>
      <c r="AE1091" s="666"/>
      <c r="AF1091" s="666"/>
      <c r="AG1091" s="666"/>
      <c r="AH1091" s="666"/>
      <c r="AI1091" s="666"/>
      <c r="AJ1091" s="666"/>
      <c r="AK1091" s="666"/>
      <c r="AL1091" s="666"/>
      <c r="AM1091" s="666"/>
      <c r="AN1091" s="666"/>
      <c r="AO1091" s="666"/>
      <c r="AP1091" s="666"/>
      <c r="AQ1091" s="666"/>
      <c r="AR1091" s="666"/>
      <c r="AS1091" s="666"/>
      <c r="AT1091" s="666"/>
      <c r="AU1091" s="666"/>
    </row>
    <row r="1092" ht="15.75" customHeight="1">
      <c r="A1092" s="667">
        <v>44893.0</v>
      </c>
      <c r="B1092" s="668" t="s">
        <v>8390</v>
      </c>
      <c r="C1092" s="641" t="s">
        <v>98</v>
      </c>
      <c r="D1092" s="641" t="s">
        <v>5038</v>
      </c>
      <c r="E1092" s="669">
        <v>30000.0</v>
      </c>
      <c r="F1092" s="641" t="s">
        <v>7375</v>
      </c>
      <c r="G1092" s="641" t="s">
        <v>120</v>
      </c>
      <c r="H1092" s="641" t="s">
        <v>54</v>
      </c>
      <c r="I1092" s="641" t="s">
        <v>548</v>
      </c>
      <c r="J1092" s="667">
        <v>44186.0</v>
      </c>
      <c r="K1092" s="641" t="s">
        <v>2319</v>
      </c>
      <c r="L1092" s="666"/>
      <c r="M1092" s="666"/>
      <c r="N1092" s="666"/>
      <c r="O1092" s="666"/>
      <c r="P1092" s="666"/>
      <c r="Q1092" s="666"/>
      <c r="R1092" s="666"/>
      <c r="S1092" s="666"/>
      <c r="T1092" s="666"/>
      <c r="U1092" s="666"/>
      <c r="V1092" s="666"/>
      <c r="W1092" s="666"/>
      <c r="X1092" s="666"/>
      <c r="Y1092" s="666"/>
      <c r="Z1092" s="666"/>
      <c r="AA1092" s="666"/>
      <c r="AB1092" s="666"/>
      <c r="AC1092" s="666"/>
      <c r="AD1092" s="666"/>
      <c r="AE1092" s="666"/>
      <c r="AF1092" s="666"/>
      <c r="AG1092" s="666"/>
      <c r="AH1092" s="666"/>
      <c r="AI1092" s="666"/>
      <c r="AJ1092" s="666"/>
      <c r="AK1092" s="666"/>
      <c r="AL1092" s="666"/>
      <c r="AM1092" s="666"/>
      <c r="AN1092" s="666"/>
      <c r="AO1092" s="666"/>
      <c r="AP1092" s="666"/>
      <c r="AQ1092" s="666"/>
      <c r="AR1092" s="666"/>
      <c r="AS1092" s="666"/>
      <c r="AT1092" s="666"/>
      <c r="AU1092" s="666"/>
    </row>
    <row r="1093" ht="15.75" customHeight="1">
      <c r="A1093" s="667">
        <v>44893.0</v>
      </c>
      <c r="B1093" s="822">
        <v>6986262.0</v>
      </c>
      <c r="C1093" s="641" t="s">
        <v>98</v>
      </c>
      <c r="D1093" s="641" t="s">
        <v>5038</v>
      </c>
      <c r="E1093" s="669">
        <v>4386.42</v>
      </c>
      <c r="F1093" s="641" t="s">
        <v>4790</v>
      </c>
      <c r="G1093" s="626" t="s">
        <v>120</v>
      </c>
      <c r="H1093" s="641" t="s">
        <v>54</v>
      </c>
      <c r="I1093" s="641" t="s">
        <v>4057</v>
      </c>
      <c r="J1093" s="667">
        <v>44503.0</v>
      </c>
      <c r="K1093" s="589" t="s">
        <v>2452</v>
      </c>
      <c r="L1093" s="666"/>
      <c r="M1093" s="666"/>
      <c r="N1093" s="666"/>
      <c r="O1093" s="666"/>
      <c r="P1093" s="666"/>
      <c r="Q1093" s="666"/>
      <c r="R1093" s="666"/>
      <c r="S1093" s="666"/>
      <c r="T1093" s="666"/>
      <c r="U1093" s="666"/>
      <c r="V1093" s="666"/>
      <c r="W1093" s="666"/>
      <c r="X1093" s="666"/>
      <c r="Y1093" s="666"/>
      <c r="Z1093" s="666"/>
      <c r="AA1093" s="666"/>
      <c r="AB1093" s="666"/>
      <c r="AC1093" s="666"/>
      <c r="AD1093" s="666"/>
      <c r="AE1093" s="666"/>
      <c r="AF1093" s="666"/>
      <c r="AG1093" s="666"/>
      <c r="AH1093" s="666"/>
      <c r="AI1093" s="666"/>
      <c r="AJ1093" s="666"/>
      <c r="AK1093" s="666"/>
      <c r="AL1093" s="666"/>
      <c r="AM1093" s="666"/>
      <c r="AN1093" s="666"/>
      <c r="AO1093" s="666"/>
      <c r="AP1093" s="666"/>
      <c r="AQ1093" s="666"/>
      <c r="AR1093" s="666"/>
      <c r="AS1093" s="666"/>
      <c r="AT1093" s="666"/>
      <c r="AU1093" s="666"/>
    </row>
    <row r="1094" ht="15.75" customHeight="1">
      <c r="A1094" s="667">
        <v>44894.0</v>
      </c>
      <c r="B1094" s="668" t="s">
        <v>8250</v>
      </c>
      <c r="C1094" s="641" t="s">
        <v>98</v>
      </c>
      <c r="D1094" s="641" t="s">
        <v>427</v>
      </c>
      <c r="E1094" s="669">
        <v>377183.5</v>
      </c>
      <c r="F1094" s="641" t="s">
        <v>6390</v>
      </c>
      <c r="G1094" s="641" t="s">
        <v>120</v>
      </c>
      <c r="H1094" s="641" t="s">
        <v>54</v>
      </c>
      <c r="I1094" s="641" t="s">
        <v>1393</v>
      </c>
      <c r="J1094" s="667">
        <v>44714.0</v>
      </c>
      <c r="K1094" s="641" t="s">
        <v>2372</v>
      </c>
      <c r="L1094" s="666"/>
      <c r="M1094" s="666"/>
      <c r="N1094" s="666"/>
      <c r="O1094" s="666"/>
      <c r="P1094" s="666"/>
      <c r="Q1094" s="666"/>
      <c r="R1094" s="666"/>
      <c r="S1094" s="666"/>
      <c r="T1094" s="666"/>
      <c r="U1094" s="666"/>
      <c r="V1094" s="666"/>
      <c r="W1094" s="666"/>
      <c r="X1094" s="666"/>
      <c r="Y1094" s="666"/>
      <c r="Z1094" s="666"/>
      <c r="AA1094" s="666"/>
      <c r="AB1094" s="666"/>
      <c r="AC1094" s="666"/>
      <c r="AD1094" s="666"/>
      <c r="AE1094" s="666"/>
      <c r="AF1094" s="666"/>
      <c r="AG1094" s="666"/>
      <c r="AH1094" s="666"/>
      <c r="AI1094" s="666"/>
      <c r="AJ1094" s="666"/>
      <c r="AK1094" s="666"/>
      <c r="AL1094" s="666"/>
      <c r="AM1094" s="666"/>
      <c r="AN1094" s="666"/>
      <c r="AO1094" s="666"/>
      <c r="AP1094" s="666"/>
      <c r="AQ1094" s="666"/>
      <c r="AR1094" s="666"/>
      <c r="AS1094" s="666"/>
      <c r="AT1094" s="666"/>
      <c r="AU1094" s="666"/>
    </row>
    <row r="1095" ht="15.75" customHeight="1">
      <c r="A1095" s="667">
        <v>44894.0</v>
      </c>
      <c r="B1095" s="668" t="s">
        <v>8394</v>
      </c>
      <c r="C1095" s="641" t="s">
        <v>98</v>
      </c>
      <c r="D1095" s="641" t="s">
        <v>5038</v>
      </c>
      <c r="E1095" s="669">
        <v>60000.0</v>
      </c>
      <c r="F1095" s="641" t="s">
        <v>6426</v>
      </c>
      <c r="G1095" s="641" t="s">
        <v>120</v>
      </c>
      <c r="H1095" s="641" t="s">
        <v>54</v>
      </c>
      <c r="I1095" s="641" t="s">
        <v>125</v>
      </c>
      <c r="J1095" s="667">
        <v>44714.0</v>
      </c>
      <c r="K1095" s="641" t="s">
        <v>2365</v>
      </c>
      <c r="L1095" s="666"/>
      <c r="M1095" s="666"/>
      <c r="N1095" s="666"/>
      <c r="O1095" s="666"/>
      <c r="P1095" s="666"/>
      <c r="Q1095" s="666"/>
      <c r="R1095" s="666"/>
      <c r="S1095" s="666"/>
      <c r="T1095" s="666"/>
      <c r="U1095" s="666"/>
      <c r="V1095" s="666"/>
      <c r="W1095" s="666"/>
      <c r="X1095" s="666"/>
      <c r="Y1095" s="666"/>
      <c r="Z1095" s="666"/>
      <c r="AA1095" s="666"/>
      <c r="AB1095" s="666"/>
      <c r="AC1095" s="666"/>
      <c r="AD1095" s="666"/>
      <c r="AE1095" s="666"/>
      <c r="AF1095" s="666"/>
      <c r="AG1095" s="666"/>
      <c r="AH1095" s="666"/>
      <c r="AI1095" s="666"/>
      <c r="AJ1095" s="666"/>
      <c r="AK1095" s="666"/>
      <c r="AL1095" s="666"/>
      <c r="AM1095" s="666"/>
      <c r="AN1095" s="666"/>
      <c r="AO1095" s="666"/>
      <c r="AP1095" s="666"/>
      <c r="AQ1095" s="666"/>
      <c r="AR1095" s="666"/>
      <c r="AS1095" s="666"/>
      <c r="AT1095" s="666"/>
      <c r="AU1095" s="666"/>
    </row>
    <row r="1096" ht="15.75" customHeight="1">
      <c r="A1096" s="667">
        <v>44895.0</v>
      </c>
      <c r="B1096" s="668" t="s">
        <v>7877</v>
      </c>
      <c r="C1096" s="589" t="s">
        <v>98</v>
      </c>
      <c r="D1096" s="641" t="s">
        <v>5038</v>
      </c>
      <c r="E1096" s="669">
        <v>15000.0</v>
      </c>
      <c r="F1096" s="589" t="s">
        <v>6553</v>
      </c>
      <c r="G1096" s="641" t="s">
        <v>120</v>
      </c>
      <c r="H1096" s="641" t="s">
        <v>54</v>
      </c>
      <c r="I1096" s="641" t="s">
        <v>348</v>
      </c>
      <c r="J1096" s="667">
        <v>44614.0</v>
      </c>
      <c r="K1096" s="750" t="s">
        <v>2341</v>
      </c>
      <c r="L1096" s="666"/>
      <c r="M1096" s="666"/>
      <c r="N1096" s="666"/>
      <c r="O1096" s="666"/>
      <c r="P1096" s="666"/>
      <c r="Q1096" s="666"/>
      <c r="R1096" s="666"/>
      <c r="S1096" s="666"/>
      <c r="T1096" s="666"/>
      <c r="U1096" s="666"/>
      <c r="V1096" s="666"/>
      <c r="W1096" s="666"/>
      <c r="X1096" s="666"/>
      <c r="Y1096" s="666"/>
      <c r="Z1096" s="666"/>
      <c r="AA1096" s="666"/>
      <c r="AB1096" s="666"/>
      <c r="AC1096" s="666"/>
      <c r="AD1096" s="666"/>
      <c r="AE1096" s="666"/>
      <c r="AF1096" s="666"/>
      <c r="AG1096" s="666"/>
      <c r="AH1096" s="666"/>
      <c r="AI1096" s="666"/>
      <c r="AJ1096" s="666"/>
      <c r="AK1096" s="666"/>
      <c r="AL1096" s="666"/>
      <c r="AM1096" s="666"/>
      <c r="AN1096" s="666"/>
      <c r="AO1096" s="666"/>
      <c r="AP1096" s="666"/>
      <c r="AQ1096" s="666"/>
      <c r="AR1096" s="666"/>
      <c r="AS1096" s="666"/>
      <c r="AT1096" s="666"/>
      <c r="AU1096" s="666"/>
    </row>
    <row r="1097" ht="15.75" customHeight="1">
      <c r="A1097" s="667">
        <v>44896.0</v>
      </c>
      <c r="B1097" s="801" t="s">
        <v>7643</v>
      </c>
      <c r="C1097" s="715" t="s">
        <v>98</v>
      </c>
      <c r="D1097" s="641" t="s">
        <v>5038</v>
      </c>
      <c r="E1097" s="716">
        <v>30000.0</v>
      </c>
      <c r="F1097" s="641" t="s">
        <v>6087</v>
      </c>
      <c r="G1097" s="667" t="s">
        <v>120</v>
      </c>
      <c r="H1097" s="667" t="s">
        <v>199</v>
      </c>
      <c r="I1097" s="667" t="s">
        <v>4880</v>
      </c>
      <c r="J1097" s="667">
        <v>44594.0</v>
      </c>
      <c r="K1097" s="667" t="s">
        <v>2356</v>
      </c>
      <c r="L1097" s="666"/>
      <c r="M1097" s="666"/>
      <c r="N1097" s="666"/>
      <c r="O1097" s="666"/>
      <c r="P1097" s="666"/>
      <c r="Q1097" s="666"/>
      <c r="R1097" s="666"/>
      <c r="S1097" s="666"/>
      <c r="T1097" s="666"/>
      <c r="U1097" s="666"/>
      <c r="V1097" s="666"/>
      <c r="W1097" s="666"/>
      <c r="X1097" s="666"/>
      <c r="Y1097" s="666"/>
      <c r="Z1097" s="666"/>
      <c r="AA1097" s="666"/>
      <c r="AB1097" s="666"/>
      <c r="AC1097" s="666"/>
      <c r="AD1097" s="666"/>
      <c r="AE1097" s="666"/>
      <c r="AF1097" s="666"/>
      <c r="AG1097" s="666"/>
      <c r="AH1097" s="666"/>
      <c r="AI1097" s="666"/>
      <c r="AJ1097" s="666"/>
      <c r="AK1097" s="666"/>
      <c r="AL1097" s="666"/>
      <c r="AM1097" s="666"/>
      <c r="AN1097" s="666"/>
      <c r="AO1097" s="666"/>
      <c r="AP1097" s="666"/>
      <c r="AQ1097" s="666"/>
      <c r="AR1097" s="666"/>
      <c r="AS1097" s="666"/>
      <c r="AT1097" s="666"/>
      <c r="AU1097" s="666"/>
    </row>
    <row r="1098" ht="15.75" customHeight="1">
      <c r="A1098" s="667">
        <v>44896.0</v>
      </c>
      <c r="B1098" s="668" t="s">
        <v>8394</v>
      </c>
      <c r="C1098" s="641" t="s">
        <v>98</v>
      </c>
      <c r="D1098" s="641" t="s">
        <v>5038</v>
      </c>
      <c r="E1098" s="669">
        <v>60000.0</v>
      </c>
      <c r="F1098" s="641" t="s">
        <v>6426</v>
      </c>
      <c r="G1098" s="641" t="s">
        <v>120</v>
      </c>
      <c r="H1098" s="641" t="s">
        <v>54</v>
      </c>
      <c r="I1098" s="641" t="s">
        <v>125</v>
      </c>
      <c r="J1098" s="667">
        <v>44714.0</v>
      </c>
      <c r="K1098" s="641" t="s">
        <v>2365</v>
      </c>
      <c r="L1098" s="666"/>
      <c r="M1098" s="666"/>
      <c r="N1098" s="666"/>
      <c r="O1098" s="666"/>
      <c r="P1098" s="666"/>
      <c r="Q1098" s="666"/>
      <c r="R1098" s="666"/>
      <c r="S1098" s="666"/>
      <c r="T1098" s="666"/>
      <c r="U1098" s="666"/>
      <c r="V1098" s="666"/>
      <c r="W1098" s="666"/>
      <c r="X1098" s="666"/>
      <c r="Y1098" s="666"/>
      <c r="Z1098" s="666"/>
      <c r="AA1098" s="666"/>
      <c r="AB1098" s="666"/>
      <c r="AC1098" s="666"/>
      <c r="AD1098" s="666"/>
      <c r="AE1098" s="666"/>
      <c r="AF1098" s="666"/>
      <c r="AG1098" s="666"/>
      <c r="AH1098" s="666"/>
      <c r="AI1098" s="666"/>
      <c r="AJ1098" s="666"/>
      <c r="AK1098" s="666"/>
      <c r="AL1098" s="666"/>
      <c r="AM1098" s="666"/>
      <c r="AN1098" s="666"/>
      <c r="AO1098" s="666"/>
      <c r="AP1098" s="666"/>
      <c r="AQ1098" s="666"/>
      <c r="AR1098" s="666"/>
      <c r="AS1098" s="666"/>
      <c r="AT1098" s="666"/>
      <c r="AU1098" s="666"/>
    </row>
    <row r="1099" ht="15.75" customHeight="1">
      <c r="A1099" s="667">
        <v>44897.0</v>
      </c>
      <c r="B1099" s="668" t="s">
        <v>8095</v>
      </c>
      <c r="C1099" s="641" t="s">
        <v>98</v>
      </c>
      <c r="D1099" s="641" t="s">
        <v>5038</v>
      </c>
      <c r="E1099" s="669">
        <v>30000.0</v>
      </c>
      <c r="F1099" s="641" t="s">
        <v>3967</v>
      </c>
      <c r="G1099" s="641" t="s">
        <v>120</v>
      </c>
      <c r="H1099" s="641" t="s">
        <v>54</v>
      </c>
      <c r="I1099" s="641" t="s">
        <v>4705</v>
      </c>
      <c r="J1099" s="667">
        <v>44445.0</v>
      </c>
      <c r="K1099" s="641" t="s">
        <v>2356</v>
      </c>
      <c r="L1099" s="666"/>
      <c r="M1099" s="666"/>
      <c r="N1099" s="666"/>
      <c r="O1099" s="666"/>
      <c r="P1099" s="666"/>
      <c r="Q1099" s="666"/>
      <c r="R1099" s="666"/>
      <c r="S1099" s="666"/>
      <c r="T1099" s="666"/>
      <c r="U1099" s="666"/>
      <c r="V1099" s="666"/>
      <c r="W1099" s="666"/>
      <c r="X1099" s="666"/>
      <c r="Y1099" s="666"/>
      <c r="Z1099" s="666"/>
      <c r="AA1099" s="666"/>
      <c r="AB1099" s="666"/>
      <c r="AC1099" s="666"/>
      <c r="AD1099" s="666"/>
      <c r="AE1099" s="666"/>
      <c r="AF1099" s="666"/>
      <c r="AG1099" s="666"/>
      <c r="AH1099" s="666"/>
      <c r="AI1099" s="666"/>
      <c r="AJ1099" s="666"/>
      <c r="AK1099" s="666"/>
      <c r="AL1099" s="666"/>
      <c r="AM1099" s="666"/>
      <c r="AN1099" s="666"/>
      <c r="AO1099" s="666"/>
      <c r="AP1099" s="666"/>
      <c r="AQ1099" s="666"/>
      <c r="AR1099" s="666"/>
      <c r="AS1099" s="666"/>
      <c r="AT1099" s="666"/>
      <c r="AU1099" s="666"/>
    </row>
    <row r="1100" ht="15.75" customHeight="1">
      <c r="A1100" s="667">
        <v>44901.0</v>
      </c>
      <c r="B1100" s="898">
        <v>3241823.0</v>
      </c>
      <c r="C1100" s="641" t="s">
        <v>98</v>
      </c>
      <c r="D1100" s="641" t="s">
        <v>5038</v>
      </c>
      <c r="E1100" s="669">
        <v>1620.0</v>
      </c>
      <c r="F1100" s="641" t="s">
        <v>3788</v>
      </c>
      <c r="G1100" s="641" t="s">
        <v>120</v>
      </c>
      <c r="H1100" s="641" t="s">
        <v>199</v>
      </c>
      <c r="I1100" s="641" t="s">
        <v>290</v>
      </c>
      <c r="J1100" s="667">
        <v>44819.0</v>
      </c>
      <c r="K1100" s="641" t="s">
        <v>2365</v>
      </c>
      <c r="L1100" s="666"/>
      <c r="M1100" s="666"/>
      <c r="N1100" s="666"/>
      <c r="O1100" s="666"/>
      <c r="P1100" s="666"/>
      <c r="Q1100" s="666"/>
      <c r="R1100" s="666"/>
      <c r="S1100" s="666"/>
      <c r="T1100" s="666"/>
      <c r="U1100" s="666"/>
      <c r="V1100" s="666"/>
      <c r="W1100" s="666"/>
      <c r="X1100" s="666"/>
      <c r="Y1100" s="666"/>
      <c r="Z1100" s="666"/>
      <c r="AA1100" s="666"/>
      <c r="AB1100" s="666"/>
      <c r="AC1100" s="666"/>
      <c r="AD1100" s="666"/>
      <c r="AE1100" s="666"/>
      <c r="AF1100" s="666"/>
      <c r="AG1100" s="666"/>
      <c r="AH1100" s="666"/>
      <c r="AI1100" s="666"/>
      <c r="AJ1100" s="666"/>
      <c r="AK1100" s="666"/>
      <c r="AL1100" s="666"/>
      <c r="AM1100" s="666"/>
      <c r="AN1100" s="666"/>
      <c r="AO1100" s="666"/>
      <c r="AP1100" s="666"/>
      <c r="AQ1100" s="666"/>
      <c r="AR1100" s="666"/>
      <c r="AS1100" s="666"/>
      <c r="AT1100" s="666"/>
      <c r="AU1100" s="666"/>
    </row>
    <row r="1101" ht="15.75" customHeight="1">
      <c r="A1101" s="667">
        <v>44901.0</v>
      </c>
      <c r="B1101" s="668" t="s">
        <v>8351</v>
      </c>
      <c r="C1101" s="641" t="s">
        <v>98</v>
      </c>
      <c r="D1101" s="641" t="s">
        <v>5038</v>
      </c>
      <c r="E1101" s="669">
        <v>80000.0</v>
      </c>
      <c r="F1101" s="641" t="s">
        <v>2378</v>
      </c>
      <c r="G1101" s="641" t="s">
        <v>120</v>
      </c>
      <c r="H1101" s="641" t="s">
        <v>199</v>
      </c>
      <c r="I1101" s="641" t="s">
        <v>212</v>
      </c>
      <c r="J1101" s="667">
        <v>44802.0</v>
      </c>
      <c r="K1101" s="641" t="s">
        <v>2356</v>
      </c>
      <c r="L1101" s="666"/>
      <c r="M1101" s="666"/>
      <c r="N1101" s="666"/>
      <c r="O1101" s="666"/>
      <c r="P1101" s="666"/>
      <c r="Q1101" s="666"/>
      <c r="R1101" s="666"/>
      <c r="S1101" s="666"/>
      <c r="T1101" s="666"/>
      <c r="U1101" s="666"/>
      <c r="V1101" s="666"/>
      <c r="W1101" s="666"/>
      <c r="X1101" s="666"/>
      <c r="Y1101" s="666"/>
      <c r="Z1101" s="666"/>
      <c r="AA1101" s="666"/>
      <c r="AB1101" s="666"/>
      <c r="AC1101" s="666"/>
      <c r="AD1101" s="666"/>
      <c r="AE1101" s="666"/>
      <c r="AF1101" s="666"/>
      <c r="AG1101" s="666"/>
      <c r="AH1101" s="666"/>
      <c r="AI1101" s="666"/>
      <c r="AJ1101" s="666"/>
      <c r="AK1101" s="666"/>
      <c r="AL1101" s="666"/>
      <c r="AM1101" s="666"/>
      <c r="AN1101" s="666"/>
      <c r="AO1101" s="666"/>
      <c r="AP1101" s="666"/>
      <c r="AQ1101" s="666"/>
      <c r="AR1101" s="666"/>
      <c r="AS1101" s="666"/>
      <c r="AT1101" s="666"/>
      <c r="AU1101" s="666"/>
    </row>
    <row r="1102" ht="15.75" customHeight="1">
      <c r="A1102" s="667">
        <v>44901.0</v>
      </c>
      <c r="B1102" s="668" t="s">
        <v>8390</v>
      </c>
      <c r="C1102" s="641" t="s">
        <v>98</v>
      </c>
      <c r="D1102" s="641" t="s">
        <v>694</v>
      </c>
      <c r="E1102" s="669">
        <v>159092.51</v>
      </c>
      <c r="F1102" s="641" t="s">
        <v>7375</v>
      </c>
      <c r="G1102" s="641" t="s">
        <v>120</v>
      </c>
      <c r="H1102" s="641" t="s">
        <v>54</v>
      </c>
      <c r="I1102" s="641" t="s">
        <v>548</v>
      </c>
      <c r="J1102" s="667">
        <v>44186.0</v>
      </c>
      <c r="K1102" s="641" t="s">
        <v>2319</v>
      </c>
      <c r="L1102" s="666"/>
      <c r="M1102" s="666"/>
      <c r="N1102" s="666"/>
      <c r="O1102" s="666"/>
      <c r="P1102" s="666"/>
      <c r="Q1102" s="666"/>
      <c r="R1102" s="666"/>
      <c r="S1102" s="666"/>
      <c r="T1102" s="666"/>
      <c r="U1102" s="666"/>
      <c r="V1102" s="666"/>
      <c r="W1102" s="666"/>
      <c r="X1102" s="666"/>
      <c r="Y1102" s="666"/>
      <c r="Z1102" s="666"/>
      <c r="AA1102" s="666"/>
      <c r="AB1102" s="666"/>
      <c r="AC1102" s="666"/>
      <c r="AD1102" s="666"/>
      <c r="AE1102" s="666"/>
      <c r="AF1102" s="666"/>
      <c r="AG1102" s="666"/>
      <c r="AH1102" s="666"/>
      <c r="AI1102" s="666"/>
      <c r="AJ1102" s="666"/>
      <c r="AK1102" s="666"/>
      <c r="AL1102" s="666"/>
      <c r="AM1102" s="666"/>
      <c r="AN1102" s="666"/>
      <c r="AO1102" s="666"/>
      <c r="AP1102" s="666"/>
      <c r="AQ1102" s="666"/>
      <c r="AR1102" s="666"/>
      <c r="AS1102" s="666"/>
      <c r="AT1102" s="666"/>
      <c r="AU1102" s="666"/>
    </row>
    <row r="1103" ht="15.75" customHeight="1">
      <c r="A1103" s="667">
        <v>44907.0</v>
      </c>
      <c r="B1103" s="668">
        <v>4432780.0</v>
      </c>
      <c r="C1103" s="641" t="s">
        <v>98</v>
      </c>
      <c r="D1103" s="641" t="s">
        <v>427</v>
      </c>
      <c r="E1103" s="669">
        <v>101114.41</v>
      </c>
      <c r="F1103" s="641" t="s">
        <v>3204</v>
      </c>
      <c r="G1103" s="641" t="s">
        <v>120</v>
      </c>
      <c r="H1103" s="641" t="s">
        <v>8405</v>
      </c>
      <c r="I1103" s="641" t="s">
        <v>8406</v>
      </c>
      <c r="J1103" s="667">
        <v>44078.0</v>
      </c>
      <c r="K1103" s="641" t="s">
        <v>2372</v>
      </c>
      <c r="L1103" s="666"/>
      <c r="M1103" s="666"/>
      <c r="N1103" s="666"/>
      <c r="O1103" s="666"/>
      <c r="P1103" s="666"/>
      <c r="Q1103" s="666"/>
      <c r="R1103" s="666"/>
      <c r="S1103" s="666"/>
      <c r="T1103" s="666"/>
      <c r="U1103" s="666"/>
      <c r="V1103" s="666"/>
      <c r="W1103" s="666"/>
      <c r="X1103" s="666"/>
      <c r="Y1103" s="666"/>
      <c r="Z1103" s="666"/>
      <c r="AA1103" s="666"/>
      <c r="AB1103" s="666"/>
      <c r="AC1103" s="666"/>
      <c r="AD1103" s="666"/>
      <c r="AE1103" s="666"/>
      <c r="AF1103" s="666"/>
      <c r="AG1103" s="666"/>
      <c r="AH1103" s="666"/>
      <c r="AI1103" s="666"/>
      <c r="AJ1103" s="666"/>
      <c r="AK1103" s="666"/>
      <c r="AL1103" s="666"/>
      <c r="AM1103" s="666"/>
      <c r="AN1103" s="666"/>
      <c r="AO1103" s="666"/>
      <c r="AP1103" s="666"/>
      <c r="AQ1103" s="666"/>
      <c r="AR1103" s="666"/>
      <c r="AS1103" s="666"/>
      <c r="AT1103" s="666"/>
      <c r="AU1103" s="666"/>
    </row>
    <row r="1104" ht="15.75" customHeight="1">
      <c r="A1104" s="667">
        <v>44896.0</v>
      </c>
      <c r="B1104" s="668" t="s">
        <v>8410</v>
      </c>
      <c r="C1104" s="641" t="s">
        <v>98</v>
      </c>
      <c r="D1104" s="641" t="s">
        <v>694</v>
      </c>
      <c r="E1104" s="669">
        <v>179504.09</v>
      </c>
      <c r="F1104" s="641" t="s">
        <v>5802</v>
      </c>
      <c r="G1104" s="641" t="s">
        <v>255</v>
      </c>
      <c r="H1104" s="641" t="s">
        <v>199</v>
      </c>
      <c r="I1104" s="641" t="s">
        <v>548</v>
      </c>
      <c r="J1104" s="667">
        <v>44246.0</v>
      </c>
      <c r="K1104" s="641" t="s">
        <v>2341</v>
      </c>
      <c r="L1104" s="666"/>
      <c r="M1104" s="666"/>
      <c r="N1104" s="666"/>
      <c r="O1104" s="666"/>
      <c r="P1104" s="666"/>
      <c r="Q1104" s="666"/>
      <c r="R1104" s="666"/>
      <c r="S1104" s="666"/>
      <c r="T1104" s="666"/>
      <c r="U1104" s="666"/>
      <c r="V1104" s="666"/>
      <c r="W1104" s="666"/>
      <c r="X1104" s="666"/>
      <c r="Y1104" s="666"/>
      <c r="Z1104" s="666"/>
      <c r="AA1104" s="666"/>
      <c r="AB1104" s="666"/>
      <c r="AC1104" s="666"/>
      <c r="AD1104" s="666"/>
      <c r="AE1104" s="666"/>
      <c r="AF1104" s="666"/>
      <c r="AG1104" s="666"/>
      <c r="AH1104" s="666"/>
      <c r="AI1104" s="666"/>
      <c r="AJ1104" s="666"/>
      <c r="AK1104" s="666"/>
      <c r="AL1104" s="666"/>
      <c r="AM1104" s="666"/>
      <c r="AN1104" s="666"/>
      <c r="AO1104" s="666"/>
      <c r="AP1104" s="666"/>
      <c r="AQ1104" s="666"/>
      <c r="AR1104" s="666"/>
      <c r="AS1104" s="666"/>
      <c r="AT1104" s="666"/>
      <c r="AU1104" s="666"/>
    </row>
    <row r="1105" ht="15.75" customHeight="1">
      <c r="A1105" s="667">
        <v>44895.0</v>
      </c>
      <c r="B1105" s="668" t="s">
        <v>8411</v>
      </c>
      <c r="C1105" s="641" t="s">
        <v>98</v>
      </c>
      <c r="D1105" s="641" t="s">
        <v>694</v>
      </c>
      <c r="E1105" s="669" t="s">
        <v>8412</v>
      </c>
      <c r="F1105" s="643" t="s">
        <v>7487</v>
      </c>
      <c r="G1105" s="641" t="s">
        <v>120</v>
      </c>
      <c r="H1105" s="641" t="s">
        <v>54</v>
      </c>
      <c r="I1105" s="641" t="s">
        <v>379</v>
      </c>
      <c r="J1105" s="667">
        <v>44390.0</v>
      </c>
      <c r="K1105" s="641" t="s">
        <v>2372</v>
      </c>
      <c r="L1105" s="666"/>
      <c r="M1105" s="666"/>
      <c r="N1105" s="666"/>
      <c r="O1105" s="666"/>
      <c r="P1105" s="666"/>
      <c r="Q1105" s="666"/>
      <c r="R1105" s="666"/>
      <c r="S1105" s="666"/>
      <c r="T1105" s="666"/>
      <c r="U1105" s="666"/>
      <c r="V1105" s="666"/>
      <c r="W1105" s="666"/>
      <c r="X1105" s="666"/>
      <c r="Y1105" s="666"/>
      <c r="Z1105" s="666"/>
      <c r="AA1105" s="666"/>
      <c r="AB1105" s="666"/>
      <c r="AC1105" s="666"/>
      <c r="AD1105" s="666"/>
      <c r="AE1105" s="666"/>
      <c r="AF1105" s="666"/>
      <c r="AG1105" s="666"/>
      <c r="AH1105" s="666"/>
      <c r="AI1105" s="666"/>
      <c r="AJ1105" s="666"/>
      <c r="AK1105" s="666"/>
      <c r="AL1105" s="666"/>
      <c r="AM1105" s="666"/>
      <c r="AN1105" s="666"/>
      <c r="AO1105" s="666"/>
      <c r="AP1105" s="666"/>
      <c r="AQ1105" s="666"/>
      <c r="AR1105" s="666"/>
      <c r="AS1105" s="666"/>
      <c r="AT1105" s="666"/>
      <c r="AU1105" s="666"/>
    </row>
    <row r="1106" ht="15.75" customHeight="1">
      <c r="A1106" s="667">
        <v>44901.0</v>
      </c>
      <c r="B1106" s="668" t="s">
        <v>8390</v>
      </c>
      <c r="C1106" s="641" t="s">
        <v>98</v>
      </c>
      <c r="D1106" s="641" t="s">
        <v>694</v>
      </c>
      <c r="E1106" s="669">
        <v>156195.12</v>
      </c>
      <c r="F1106" s="641" t="s">
        <v>7375</v>
      </c>
      <c r="G1106" s="641" t="s">
        <v>255</v>
      </c>
      <c r="H1106" s="641" t="s">
        <v>199</v>
      </c>
      <c r="I1106" s="641" t="s">
        <v>548</v>
      </c>
      <c r="J1106" s="667">
        <v>44186.0</v>
      </c>
      <c r="K1106" s="641" t="s">
        <v>2319</v>
      </c>
      <c r="L1106" s="666"/>
      <c r="M1106" s="666"/>
      <c r="N1106" s="666"/>
      <c r="O1106" s="666"/>
      <c r="P1106" s="666"/>
      <c r="Q1106" s="666"/>
      <c r="R1106" s="666"/>
      <c r="S1106" s="666"/>
      <c r="T1106" s="666"/>
      <c r="U1106" s="666"/>
      <c r="V1106" s="666"/>
      <c r="W1106" s="666"/>
      <c r="X1106" s="666"/>
      <c r="Y1106" s="666"/>
      <c r="Z1106" s="666"/>
      <c r="AA1106" s="666"/>
      <c r="AB1106" s="666"/>
      <c r="AC1106" s="666"/>
      <c r="AD1106" s="666"/>
      <c r="AE1106" s="666"/>
      <c r="AF1106" s="666"/>
      <c r="AG1106" s="666"/>
      <c r="AH1106" s="666"/>
      <c r="AI1106" s="666"/>
      <c r="AJ1106" s="666"/>
      <c r="AK1106" s="666"/>
      <c r="AL1106" s="666"/>
      <c r="AM1106" s="666"/>
      <c r="AN1106" s="666"/>
      <c r="AO1106" s="666"/>
      <c r="AP1106" s="666"/>
      <c r="AQ1106" s="666"/>
      <c r="AR1106" s="666"/>
      <c r="AS1106" s="666"/>
      <c r="AT1106" s="666"/>
      <c r="AU1106" s="666"/>
    </row>
    <row r="1107" ht="15.75" customHeight="1">
      <c r="A1107" s="667">
        <v>44896.0</v>
      </c>
      <c r="B1107" s="668" t="s">
        <v>7279</v>
      </c>
      <c r="C1107" s="641" t="s">
        <v>98</v>
      </c>
      <c r="D1107" s="641" t="s">
        <v>694</v>
      </c>
      <c r="E1107" s="669">
        <v>244812.62</v>
      </c>
      <c r="F1107" s="641" t="s">
        <v>7280</v>
      </c>
      <c r="G1107" s="641" t="s">
        <v>255</v>
      </c>
      <c r="H1107" s="641" t="s">
        <v>54</v>
      </c>
      <c r="I1107" s="641" t="s">
        <v>8406</v>
      </c>
      <c r="J1107" s="667">
        <v>44340.0</v>
      </c>
      <c r="K1107" s="641" t="s">
        <v>2372</v>
      </c>
      <c r="L1107" s="666"/>
      <c r="M1107" s="666"/>
      <c r="N1107" s="666"/>
      <c r="O1107" s="666"/>
      <c r="P1107" s="666"/>
      <c r="Q1107" s="666"/>
      <c r="R1107" s="666"/>
      <c r="S1107" s="666"/>
      <c r="T1107" s="666"/>
      <c r="U1107" s="666"/>
      <c r="V1107" s="666"/>
      <c r="W1107" s="666"/>
      <c r="X1107" s="666"/>
      <c r="Y1107" s="666"/>
      <c r="Z1107" s="666"/>
      <c r="AA1107" s="666"/>
      <c r="AB1107" s="666"/>
      <c r="AC1107" s="666"/>
      <c r="AD1107" s="666"/>
      <c r="AE1107" s="666"/>
      <c r="AF1107" s="666"/>
      <c r="AG1107" s="666"/>
      <c r="AH1107" s="666"/>
      <c r="AI1107" s="666"/>
      <c r="AJ1107" s="666"/>
      <c r="AK1107" s="666"/>
      <c r="AL1107" s="666"/>
      <c r="AM1107" s="666"/>
      <c r="AN1107" s="666"/>
      <c r="AO1107" s="666"/>
      <c r="AP1107" s="666"/>
      <c r="AQ1107" s="666"/>
      <c r="AR1107" s="666"/>
      <c r="AS1107" s="666"/>
      <c r="AT1107" s="666"/>
      <c r="AU1107" s="666"/>
    </row>
    <row r="1108" ht="15.75" customHeight="1">
      <c r="A1108" s="667">
        <v>44543.0</v>
      </c>
      <c r="B1108" s="668" t="s">
        <v>8414</v>
      </c>
      <c r="C1108" s="641" t="s">
        <v>98</v>
      </c>
      <c r="D1108" s="641" t="s">
        <v>5038</v>
      </c>
      <c r="E1108" s="669">
        <v>5000.0</v>
      </c>
      <c r="F1108" s="641" t="s">
        <v>7337</v>
      </c>
      <c r="G1108" s="641" t="s">
        <v>255</v>
      </c>
      <c r="H1108" s="641" t="s">
        <v>199</v>
      </c>
      <c r="I1108" s="641" t="s">
        <v>2489</v>
      </c>
      <c r="J1108" s="667">
        <v>44421.0</v>
      </c>
      <c r="K1108" s="641" t="s">
        <v>2372</v>
      </c>
      <c r="L1108" s="666"/>
      <c r="M1108" s="666"/>
      <c r="N1108" s="666"/>
      <c r="O1108" s="666"/>
      <c r="P1108" s="666"/>
      <c r="Q1108" s="666"/>
      <c r="R1108" s="666"/>
      <c r="S1108" s="666"/>
      <c r="T1108" s="666"/>
      <c r="U1108" s="666"/>
      <c r="V1108" s="666"/>
      <c r="W1108" s="666"/>
      <c r="X1108" s="666"/>
      <c r="Y1108" s="666"/>
      <c r="Z1108" s="666"/>
      <c r="AA1108" s="666"/>
      <c r="AB1108" s="666"/>
      <c r="AC1108" s="666"/>
      <c r="AD1108" s="666"/>
      <c r="AE1108" s="666"/>
      <c r="AF1108" s="666"/>
      <c r="AG1108" s="666"/>
      <c r="AH1108" s="666"/>
      <c r="AI1108" s="666"/>
      <c r="AJ1108" s="666"/>
      <c r="AK1108" s="666"/>
      <c r="AL1108" s="666"/>
      <c r="AM1108" s="666"/>
      <c r="AN1108" s="666"/>
      <c r="AO1108" s="666"/>
      <c r="AP1108" s="666"/>
      <c r="AQ1108" s="666"/>
      <c r="AR1108" s="666"/>
      <c r="AS1108" s="666"/>
      <c r="AT1108" s="666"/>
      <c r="AU1108" s="666"/>
    </row>
    <row r="1109" ht="15.75" customHeight="1">
      <c r="A1109" s="667">
        <v>44908.0</v>
      </c>
      <c r="B1109" s="668" t="s">
        <v>8420</v>
      </c>
      <c r="C1109" s="641" t="s">
        <v>98</v>
      </c>
      <c r="D1109" s="641" t="s">
        <v>5038</v>
      </c>
      <c r="E1109" s="669">
        <v>25000.0</v>
      </c>
      <c r="F1109" s="641" t="s">
        <v>7893</v>
      </c>
      <c r="G1109" s="641" t="s">
        <v>120</v>
      </c>
      <c r="H1109" s="641" t="s">
        <v>54</v>
      </c>
      <c r="I1109" s="641" t="s">
        <v>348</v>
      </c>
      <c r="J1109" s="667">
        <v>44655.0</v>
      </c>
      <c r="K1109" s="641" t="s">
        <v>2356</v>
      </c>
      <c r="L1109" s="666"/>
      <c r="M1109" s="666"/>
      <c r="N1109" s="666"/>
      <c r="O1109" s="666"/>
      <c r="P1109" s="666"/>
      <c r="Q1109" s="666"/>
      <c r="R1109" s="666"/>
      <c r="S1109" s="666"/>
      <c r="T1109" s="666"/>
      <c r="U1109" s="666"/>
      <c r="V1109" s="666"/>
      <c r="W1109" s="666"/>
      <c r="X1109" s="666"/>
      <c r="Y1109" s="666"/>
      <c r="Z1109" s="666"/>
      <c r="AA1109" s="666"/>
      <c r="AB1109" s="666"/>
      <c r="AC1109" s="666"/>
      <c r="AD1109" s="666"/>
      <c r="AE1109" s="666"/>
      <c r="AF1109" s="666"/>
      <c r="AG1109" s="666"/>
      <c r="AH1109" s="666"/>
      <c r="AI1109" s="666"/>
      <c r="AJ1109" s="666"/>
      <c r="AK1109" s="666"/>
      <c r="AL1109" s="666"/>
      <c r="AM1109" s="666"/>
      <c r="AN1109" s="666"/>
      <c r="AO1109" s="666"/>
      <c r="AP1109" s="666"/>
      <c r="AQ1109" s="666"/>
      <c r="AR1109" s="666"/>
      <c r="AS1109" s="666"/>
      <c r="AT1109" s="666"/>
      <c r="AU1109" s="666"/>
    </row>
    <row r="1110" ht="15.75" customHeight="1">
      <c r="A1110" s="667">
        <v>44908.0</v>
      </c>
      <c r="B1110" s="668" t="s">
        <v>6637</v>
      </c>
      <c r="C1110" s="641" t="s">
        <v>2346</v>
      </c>
      <c r="D1110" s="641" t="s">
        <v>694</v>
      </c>
      <c r="E1110" s="899">
        <v>70026.76</v>
      </c>
      <c r="F1110" s="644" t="s">
        <v>6638</v>
      </c>
      <c r="G1110" s="641" t="s">
        <v>120</v>
      </c>
      <c r="H1110" s="641" t="s">
        <v>91</v>
      </c>
      <c r="I1110" s="641" t="s">
        <v>699</v>
      </c>
      <c r="J1110" s="900">
        <v>44267.0</v>
      </c>
      <c r="K1110" s="641" t="s">
        <v>2341</v>
      </c>
      <c r="L1110" s="666"/>
      <c r="M1110" s="666"/>
      <c r="N1110" s="666"/>
      <c r="O1110" s="666"/>
      <c r="P1110" s="666"/>
      <c r="Q1110" s="666"/>
      <c r="R1110" s="666"/>
      <c r="S1110" s="666"/>
      <c r="T1110" s="666"/>
      <c r="U1110" s="666"/>
      <c r="V1110" s="666"/>
      <c r="W1110" s="666"/>
      <c r="X1110" s="666"/>
      <c r="Y1110" s="666"/>
      <c r="Z1110" s="666"/>
      <c r="AA1110" s="666"/>
      <c r="AB1110" s="666"/>
      <c r="AC1110" s="666"/>
      <c r="AD1110" s="666"/>
      <c r="AE1110" s="666"/>
      <c r="AF1110" s="666"/>
      <c r="AG1110" s="666"/>
      <c r="AH1110" s="666"/>
      <c r="AI1110" s="666"/>
      <c r="AJ1110" s="666"/>
      <c r="AK1110" s="666"/>
      <c r="AL1110" s="666"/>
      <c r="AM1110" s="666"/>
      <c r="AN1110" s="666"/>
      <c r="AO1110" s="666"/>
      <c r="AP1110" s="666"/>
      <c r="AQ1110" s="666"/>
      <c r="AR1110" s="666"/>
      <c r="AS1110" s="666"/>
      <c r="AT1110" s="666"/>
      <c r="AU1110" s="666"/>
    </row>
    <row r="1111" ht="15.75" customHeight="1">
      <c r="A1111" s="667">
        <v>44908.0</v>
      </c>
      <c r="B1111" s="668" t="s">
        <v>3320</v>
      </c>
      <c r="C1111" s="641" t="s">
        <v>2346</v>
      </c>
      <c r="D1111" s="641" t="s">
        <v>694</v>
      </c>
      <c r="E1111" s="669">
        <v>0.0</v>
      </c>
      <c r="F1111" s="643" t="s">
        <v>6638</v>
      </c>
      <c r="G1111" s="641" t="s">
        <v>120</v>
      </c>
      <c r="H1111" s="641" t="s">
        <v>91</v>
      </c>
      <c r="I1111" s="641" t="s">
        <v>699</v>
      </c>
      <c r="J1111" s="641" t="s">
        <v>3320</v>
      </c>
      <c r="K1111" s="641" t="s">
        <v>8273</v>
      </c>
      <c r="L1111" s="666"/>
      <c r="M1111" s="666"/>
      <c r="N1111" s="666"/>
      <c r="O1111" s="666"/>
      <c r="P1111" s="666"/>
      <c r="Q1111" s="666"/>
      <c r="R1111" s="666"/>
      <c r="S1111" s="666"/>
      <c r="T1111" s="666"/>
      <c r="U1111" s="666"/>
      <c r="V1111" s="666"/>
      <c r="W1111" s="666"/>
      <c r="X1111" s="666"/>
      <c r="Y1111" s="666"/>
      <c r="Z1111" s="666"/>
      <c r="AA1111" s="666"/>
      <c r="AB1111" s="666"/>
      <c r="AC1111" s="666"/>
      <c r="AD1111" s="666"/>
      <c r="AE1111" s="666"/>
      <c r="AF1111" s="666"/>
      <c r="AG1111" s="666"/>
      <c r="AH1111" s="666"/>
      <c r="AI1111" s="666"/>
      <c r="AJ1111" s="666"/>
      <c r="AK1111" s="666"/>
      <c r="AL1111" s="666"/>
      <c r="AM1111" s="666"/>
      <c r="AN1111" s="666"/>
      <c r="AO1111" s="666"/>
      <c r="AP1111" s="666"/>
      <c r="AQ1111" s="666"/>
      <c r="AR1111" s="666"/>
      <c r="AS1111" s="666"/>
      <c r="AT1111" s="666"/>
      <c r="AU1111" s="666"/>
    </row>
    <row r="1112" ht="15.75" customHeight="1">
      <c r="A1112" s="667">
        <v>44907.0</v>
      </c>
      <c r="B1112" s="668" t="s">
        <v>8424</v>
      </c>
      <c r="C1112" s="641" t="s">
        <v>2346</v>
      </c>
      <c r="D1112" s="641" t="s">
        <v>694</v>
      </c>
      <c r="E1112" s="669" t="s">
        <v>8425</v>
      </c>
      <c r="F1112" s="641" t="s">
        <v>8426</v>
      </c>
      <c r="G1112" s="641" t="s">
        <v>120</v>
      </c>
      <c r="H1112" s="641" t="s">
        <v>91</v>
      </c>
      <c r="I1112" s="641" t="s">
        <v>699</v>
      </c>
      <c r="J1112" s="667">
        <v>44733.0</v>
      </c>
      <c r="K1112" s="641" t="s">
        <v>2356</v>
      </c>
      <c r="L1112" s="666"/>
      <c r="M1112" s="666"/>
      <c r="N1112" s="666"/>
      <c r="O1112" s="666"/>
      <c r="P1112" s="666"/>
      <c r="Q1112" s="666"/>
      <c r="R1112" s="666"/>
      <c r="S1112" s="666"/>
      <c r="T1112" s="666"/>
      <c r="U1112" s="666"/>
      <c r="V1112" s="666"/>
      <c r="W1112" s="666"/>
      <c r="X1112" s="666"/>
      <c r="Y1112" s="666"/>
      <c r="Z1112" s="666"/>
      <c r="AA1112" s="666"/>
      <c r="AB1112" s="666"/>
      <c r="AC1112" s="666"/>
      <c r="AD1112" s="666"/>
      <c r="AE1112" s="666"/>
      <c r="AF1112" s="666"/>
      <c r="AG1112" s="666"/>
      <c r="AH1112" s="666"/>
      <c r="AI1112" s="666"/>
      <c r="AJ1112" s="666"/>
      <c r="AK1112" s="666"/>
      <c r="AL1112" s="666"/>
      <c r="AM1112" s="666"/>
      <c r="AN1112" s="666"/>
      <c r="AO1112" s="666"/>
      <c r="AP1112" s="666"/>
      <c r="AQ1112" s="666"/>
      <c r="AR1112" s="666"/>
      <c r="AS1112" s="666"/>
      <c r="AT1112" s="666"/>
      <c r="AU1112" s="666"/>
    </row>
    <row r="1113" ht="15.75" customHeight="1">
      <c r="A1113" s="667">
        <v>44890.0</v>
      </c>
      <c r="B1113" s="668" t="s">
        <v>8103</v>
      </c>
      <c r="C1113" s="641" t="s">
        <v>98</v>
      </c>
      <c r="D1113" s="641" t="s">
        <v>694</v>
      </c>
      <c r="E1113" s="669">
        <v>251143.6</v>
      </c>
      <c r="F1113" s="641" t="s">
        <v>6020</v>
      </c>
      <c r="G1113" s="641" t="s">
        <v>120</v>
      </c>
      <c r="H1113" s="641" t="s">
        <v>54</v>
      </c>
      <c r="I1113" s="641" t="s">
        <v>379</v>
      </c>
      <c r="J1113" s="667"/>
      <c r="K1113" s="667"/>
      <c r="L1113" s="666"/>
      <c r="M1113" s="666"/>
      <c r="N1113" s="666"/>
      <c r="O1113" s="666"/>
      <c r="P1113" s="666"/>
      <c r="Q1113" s="666"/>
      <c r="R1113" s="666"/>
      <c r="S1113" s="666"/>
      <c r="T1113" s="666"/>
      <c r="U1113" s="666"/>
      <c r="V1113" s="666"/>
      <c r="W1113" s="666"/>
      <c r="X1113" s="666"/>
      <c r="Y1113" s="666"/>
      <c r="Z1113" s="666"/>
      <c r="AA1113" s="666"/>
      <c r="AB1113" s="666"/>
      <c r="AC1113" s="666"/>
      <c r="AD1113" s="666"/>
      <c r="AE1113" s="666"/>
      <c r="AF1113" s="666"/>
      <c r="AG1113" s="666"/>
      <c r="AH1113" s="666"/>
      <c r="AI1113" s="666"/>
      <c r="AJ1113" s="666"/>
      <c r="AK1113" s="666"/>
      <c r="AL1113" s="666"/>
      <c r="AM1113" s="666"/>
      <c r="AN1113" s="666"/>
      <c r="AO1113" s="666"/>
      <c r="AP1113" s="666"/>
      <c r="AQ1113" s="666"/>
      <c r="AR1113" s="666"/>
      <c r="AS1113" s="666"/>
      <c r="AT1113" s="666"/>
      <c r="AU1113" s="666"/>
    </row>
    <row r="1114" ht="15.75" customHeight="1">
      <c r="A1114" s="757">
        <v>44909.0</v>
      </c>
      <c r="B1114" s="758" t="s">
        <v>7692</v>
      </c>
      <c r="C1114" s="759" t="s">
        <v>98</v>
      </c>
      <c r="D1114" s="760" t="s">
        <v>5038</v>
      </c>
      <c r="E1114" s="761">
        <v>10000.0</v>
      </c>
      <c r="F1114" s="760" t="s">
        <v>2434</v>
      </c>
      <c r="G1114" s="760" t="s">
        <v>120</v>
      </c>
      <c r="H1114" s="760" t="s">
        <v>54</v>
      </c>
      <c r="I1114" s="760" t="s">
        <v>348</v>
      </c>
      <c r="J1114" s="762">
        <v>44609.0</v>
      </c>
      <c r="K1114" s="759" t="s">
        <v>2365</v>
      </c>
      <c r="L1114" s="666"/>
      <c r="M1114" s="666"/>
      <c r="N1114" s="666"/>
      <c r="O1114" s="666"/>
      <c r="P1114" s="666"/>
      <c r="Q1114" s="666"/>
      <c r="R1114" s="666"/>
      <c r="S1114" s="666"/>
      <c r="T1114" s="666"/>
      <c r="U1114" s="666"/>
      <c r="V1114" s="666"/>
      <c r="W1114" s="666"/>
      <c r="X1114" s="666"/>
      <c r="Y1114" s="666"/>
      <c r="Z1114" s="666"/>
      <c r="AA1114" s="666"/>
      <c r="AB1114" s="666"/>
      <c r="AC1114" s="666"/>
      <c r="AD1114" s="666"/>
      <c r="AE1114" s="666"/>
      <c r="AF1114" s="666"/>
      <c r="AG1114" s="666"/>
      <c r="AH1114" s="666"/>
      <c r="AI1114" s="666"/>
      <c r="AJ1114" s="666"/>
      <c r="AK1114" s="666"/>
      <c r="AL1114" s="666"/>
      <c r="AM1114" s="666"/>
      <c r="AN1114" s="666"/>
      <c r="AO1114" s="666"/>
      <c r="AP1114" s="666"/>
      <c r="AQ1114" s="666"/>
      <c r="AR1114" s="666"/>
      <c r="AS1114" s="666"/>
      <c r="AT1114" s="666"/>
      <c r="AU1114" s="666"/>
    </row>
    <row r="1115" ht="15.75" customHeight="1">
      <c r="A1115" s="667">
        <v>44911.0</v>
      </c>
      <c r="B1115" s="668" t="s">
        <v>5976</v>
      </c>
      <c r="C1115" s="759" t="s">
        <v>98</v>
      </c>
      <c r="D1115" s="641" t="s">
        <v>694</v>
      </c>
      <c r="E1115" s="669">
        <v>115969.72</v>
      </c>
      <c r="F1115" s="641" t="s">
        <v>5977</v>
      </c>
      <c r="G1115" s="641" t="s">
        <v>255</v>
      </c>
      <c r="H1115" s="641" t="s">
        <v>199</v>
      </c>
      <c r="I1115" s="641" t="s">
        <v>8429</v>
      </c>
      <c r="J1115" s="773">
        <v>44203.0</v>
      </c>
      <c r="K1115" s="641" t="s">
        <v>2341</v>
      </c>
      <c r="L1115" s="666"/>
      <c r="M1115" s="666"/>
      <c r="N1115" s="666"/>
      <c r="O1115" s="666"/>
      <c r="P1115" s="666"/>
      <c r="Q1115" s="666"/>
      <c r="R1115" s="666"/>
      <c r="S1115" s="666"/>
      <c r="T1115" s="666"/>
      <c r="U1115" s="666"/>
      <c r="V1115" s="666"/>
      <c r="W1115" s="666"/>
      <c r="X1115" s="666"/>
      <c r="Y1115" s="666"/>
      <c r="Z1115" s="666"/>
      <c r="AA1115" s="666"/>
      <c r="AB1115" s="666"/>
      <c r="AC1115" s="666"/>
      <c r="AD1115" s="666"/>
      <c r="AE1115" s="666"/>
      <c r="AF1115" s="666"/>
      <c r="AG1115" s="666"/>
      <c r="AH1115" s="666"/>
      <c r="AI1115" s="666"/>
      <c r="AJ1115" s="666"/>
      <c r="AK1115" s="666"/>
      <c r="AL1115" s="666"/>
      <c r="AM1115" s="666"/>
      <c r="AN1115" s="666"/>
      <c r="AO1115" s="666"/>
      <c r="AP1115" s="666"/>
      <c r="AQ1115" s="666"/>
      <c r="AR1115" s="666"/>
      <c r="AS1115" s="666"/>
      <c r="AT1115" s="666"/>
      <c r="AU1115" s="666"/>
    </row>
    <row r="1116" ht="15.75" customHeight="1">
      <c r="A1116" s="667">
        <v>44911.0</v>
      </c>
      <c r="B1116" s="668" t="s">
        <v>8430</v>
      </c>
      <c r="C1116" s="641" t="s">
        <v>2346</v>
      </c>
      <c r="D1116" s="641" t="s">
        <v>694</v>
      </c>
      <c r="E1116" s="899">
        <v>6543.8</v>
      </c>
      <c r="F1116" s="641" t="s">
        <v>8431</v>
      </c>
      <c r="G1116" s="641" t="s">
        <v>120</v>
      </c>
      <c r="H1116" s="641" t="s">
        <v>91</v>
      </c>
      <c r="I1116" s="641" t="s">
        <v>521</v>
      </c>
      <c r="J1116" s="667">
        <v>44263.0</v>
      </c>
      <c r="K1116" s="641" t="s">
        <v>2319</v>
      </c>
      <c r="L1116" s="666"/>
      <c r="M1116" s="666"/>
      <c r="N1116" s="666"/>
      <c r="O1116" s="666"/>
      <c r="P1116" s="666"/>
      <c r="Q1116" s="666"/>
      <c r="R1116" s="666"/>
      <c r="S1116" s="666"/>
      <c r="T1116" s="666"/>
      <c r="U1116" s="666"/>
      <c r="V1116" s="666"/>
      <c r="W1116" s="666"/>
      <c r="X1116" s="666"/>
      <c r="Y1116" s="666"/>
      <c r="Z1116" s="666"/>
      <c r="AA1116" s="666"/>
      <c r="AB1116" s="666"/>
      <c r="AC1116" s="666"/>
      <c r="AD1116" s="666"/>
      <c r="AE1116" s="666"/>
      <c r="AF1116" s="666"/>
      <c r="AG1116" s="666"/>
      <c r="AH1116" s="666"/>
      <c r="AI1116" s="666"/>
      <c r="AJ1116" s="666"/>
      <c r="AK1116" s="666"/>
      <c r="AL1116" s="666"/>
      <c r="AM1116" s="666"/>
      <c r="AN1116" s="666"/>
      <c r="AO1116" s="666"/>
      <c r="AP1116" s="666"/>
      <c r="AQ1116" s="666"/>
      <c r="AR1116" s="666"/>
      <c r="AS1116" s="666"/>
      <c r="AT1116" s="666"/>
      <c r="AU1116" s="666"/>
    </row>
    <row r="1117" ht="15.75" customHeight="1">
      <c r="A1117" s="667">
        <v>44914.0</v>
      </c>
      <c r="B1117" s="668">
        <v>6604192.0</v>
      </c>
      <c r="C1117" s="641" t="s">
        <v>98</v>
      </c>
      <c r="D1117" s="641" t="s">
        <v>5038</v>
      </c>
      <c r="E1117" s="899">
        <v>3700.0</v>
      </c>
      <c r="F1117" s="641" t="s">
        <v>6469</v>
      </c>
      <c r="G1117" s="641" t="s">
        <v>120</v>
      </c>
      <c r="H1117" s="641" t="s">
        <v>199</v>
      </c>
      <c r="I1117" s="641" t="s">
        <v>803</v>
      </c>
      <c r="J1117" s="667">
        <v>44460.0</v>
      </c>
      <c r="K1117" s="641" t="s">
        <v>2356</v>
      </c>
      <c r="L1117" s="666"/>
      <c r="M1117" s="666"/>
      <c r="N1117" s="666"/>
      <c r="O1117" s="666"/>
      <c r="P1117" s="666"/>
      <c r="Q1117" s="666"/>
      <c r="R1117" s="666"/>
      <c r="S1117" s="666"/>
      <c r="T1117" s="666"/>
      <c r="U1117" s="666"/>
      <c r="V1117" s="666"/>
      <c r="W1117" s="666"/>
      <c r="X1117" s="666"/>
      <c r="Y1117" s="666"/>
      <c r="Z1117" s="666"/>
      <c r="AA1117" s="666"/>
      <c r="AB1117" s="666"/>
      <c r="AC1117" s="666"/>
      <c r="AD1117" s="666"/>
      <c r="AE1117" s="666"/>
      <c r="AF1117" s="666"/>
      <c r="AG1117" s="666"/>
      <c r="AH1117" s="666"/>
      <c r="AI1117" s="666"/>
      <c r="AJ1117" s="666"/>
      <c r="AK1117" s="666"/>
      <c r="AL1117" s="666"/>
      <c r="AM1117" s="666"/>
      <c r="AN1117" s="666"/>
      <c r="AO1117" s="666"/>
      <c r="AP1117" s="666"/>
      <c r="AQ1117" s="666"/>
      <c r="AR1117" s="666"/>
      <c r="AS1117" s="666"/>
      <c r="AT1117" s="666"/>
      <c r="AU1117" s="666"/>
    </row>
    <row r="1118" ht="15.75" customHeight="1">
      <c r="A1118" s="667">
        <v>44917.0</v>
      </c>
      <c r="B1118" s="668">
        <v>5371919.0</v>
      </c>
      <c r="C1118" s="641" t="s">
        <v>98</v>
      </c>
      <c r="D1118" s="641" t="s">
        <v>5038</v>
      </c>
      <c r="E1118" s="899">
        <v>250000.0</v>
      </c>
      <c r="F1118" s="641" t="s">
        <v>7510</v>
      </c>
      <c r="G1118" s="641" t="s">
        <v>255</v>
      </c>
      <c r="H1118" s="641" t="s">
        <v>199</v>
      </c>
      <c r="I1118" s="641" t="s">
        <v>4877</v>
      </c>
      <c r="J1118" s="773">
        <v>44714.0</v>
      </c>
      <c r="K1118" s="643" t="s">
        <v>2365</v>
      </c>
      <c r="L1118" s="666"/>
      <c r="M1118" s="666"/>
      <c r="N1118" s="666"/>
      <c r="O1118" s="666"/>
      <c r="P1118" s="666"/>
      <c r="Q1118" s="666"/>
      <c r="R1118" s="666"/>
      <c r="S1118" s="666"/>
      <c r="T1118" s="666"/>
      <c r="U1118" s="666"/>
      <c r="V1118" s="666"/>
      <c r="W1118" s="666"/>
      <c r="X1118" s="666"/>
      <c r="Y1118" s="666"/>
      <c r="Z1118" s="666"/>
      <c r="AA1118" s="666"/>
      <c r="AB1118" s="666"/>
      <c r="AC1118" s="666"/>
      <c r="AD1118" s="666"/>
      <c r="AE1118" s="666"/>
      <c r="AF1118" s="666"/>
      <c r="AG1118" s="666"/>
      <c r="AH1118" s="666"/>
      <c r="AI1118" s="666"/>
      <c r="AJ1118" s="666"/>
      <c r="AK1118" s="666"/>
      <c r="AL1118" s="666"/>
      <c r="AM1118" s="666"/>
      <c r="AN1118" s="666"/>
      <c r="AO1118" s="666"/>
      <c r="AP1118" s="666"/>
      <c r="AQ1118" s="666"/>
      <c r="AR1118" s="666"/>
      <c r="AS1118" s="666"/>
      <c r="AT1118" s="666"/>
      <c r="AU1118" s="666"/>
    </row>
    <row r="1119" ht="15.75" customHeight="1">
      <c r="A1119" s="667">
        <v>44917.0</v>
      </c>
      <c r="B1119" s="668">
        <v>3730315.0</v>
      </c>
      <c r="C1119" s="641" t="s">
        <v>98</v>
      </c>
      <c r="D1119" s="641" t="s">
        <v>5038</v>
      </c>
      <c r="E1119" s="899">
        <v>150000.0</v>
      </c>
      <c r="F1119" s="641" t="s">
        <v>7502</v>
      </c>
      <c r="G1119" s="641" t="s">
        <v>255</v>
      </c>
      <c r="H1119" s="641" t="s">
        <v>199</v>
      </c>
      <c r="I1119" s="641" t="s">
        <v>4877</v>
      </c>
      <c r="J1119" s="773">
        <v>44714.0</v>
      </c>
      <c r="K1119" s="643" t="s">
        <v>2365</v>
      </c>
      <c r="L1119" s="666"/>
      <c r="M1119" s="666"/>
      <c r="N1119" s="666"/>
      <c r="O1119" s="666"/>
      <c r="P1119" s="666"/>
      <c r="Q1119" s="666"/>
      <c r="R1119" s="666"/>
      <c r="S1119" s="666"/>
      <c r="T1119" s="666"/>
      <c r="U1119" s="666"/>
      <c r="V1119" s="666"/>
      <c r="W1119" s="666"/>
      <c r="X1119" s="666"/>
      <c r="Y1119" s="666"/>
      <c r="Z1119" s="666"/>
      <c r="AA1119" s="666"/>
      <c r="AB1119" s="666"/>
      <c r="AC1119" s="666"/>
      <c r="AD1119" s="666"/>
      <c r="AE1119" s="666"/>
      <c r="AF1119" s="666"/>
      <c r="AG1119" s="666"/>
      <c r="AH1119" s="666"/>
      <c r="AI1119" s="666"/>
      <c r="AJ1119" s="666"/>
      <c r="AK1119" s="666"/>
      <c r="AL1119" s="666"/>
      <c r="AM1119" s="666"/>
      <c r="AN1119" s="666"/>
      <c r="AO1119" s="666"/>
      <c r="AP1119" s="666"/>
      <c r="AQ1119" s="666"/>
      <c r="AR1119" s="666"/>
      <c r="AS1119" s="666"/>
      <c r="AT1119" s="666"/>
      <c r="AU1119" s="666"/>
    </row>
    <row r="1120" ht="15.75" customHeight="1">
      <c r="A1120" s="667">
        <v>44918.0</v>
      </c>
      <c r="B1120" s="668" t="s">
        <v>8432</v>
      </c>
      <c r="C1120" s="641" t="s">
        <v>98</v>
      </c>
      <c r="D1120" s="641" t="s">
        <v>5038</v>
      </c>
      <c r="E1120" s="669">
        <v>54000.0</v>
      </c>
      <c r="F1120" s="641" t="s">
        <v>1822</v>
      </c>
      <c r="G1120" s="641" t="s">
        <v>255</v>
      </c>
      <c r="H1120" s="641" t="s">
        <v>199</v>
      </c>
      <c r="I1120" s="641" t="s">
        <v>3885</v>
      </c>
      <c r="J1120" s="667">
        <v>44134.0</v>
      </c>
      <c r="K1120" s="641" t="s">
        <v>2319</v>
      </c>
      <c r="L1120" s="666"/>
      <c r="M1120" s="666"/>
      <c r="N1120" s="666"/>
      <c r="O1120" s="666"/>
      <c r="P1120" s="666"/>
      <c r="Q1120" s="666"/>
      <c r="R1120" s="666"/>
      <c r="S1120" s="666"/>
      <c r="T1120" s="666"/>
      <c r="U1120" s="666"/>
      <c r="V1120" s="666"/>
      <c r="W1120" s="666"/>
      <c r="X1120" s="666"/>
      <c r="Y1120" s="666"/>
      <c r="Z1120" s="666"/>
      <c r="AA1120" s="666"/>
      <c r="AB1120" s="666"/>
      <c r="AC1120" s="666"/>
      <c r="AD1120" s="666"/>
      <c r="AE1120" s="666"/>
      <c r="AF1120" s="666"/>
      <c r="AG1120" s="666"/>
      <c r="AH1120" s="666"/>
      <c r="AI1120" s="666"/>
      <c r="AJ1120" s="666"/>
      <c r="AK1120" s="666"/>
      <c r="AL1120" s="666"/>
      <c r="AM1120" s="666"/>
      <c r="AN1120" s="666"/>
      <c r="AO1120" s="666"/>
      <c r="AP1120" s="666"/>
      <c r="AQ1120" s="666"/>
      <c r="AR1120" s="666"/>
      <c r="AS1120" s="666"/>
      <c r="AT1120" s="666"/>
      <c r="AU1120" s="666"/>
    </row>
    <row r="1121" ht="15.75" customHeight="1">
      <c r="A1121" s="667">
        <v>44918.0</v>
      </c>
      <c r="B1121" s="668" t="s">
        <v>8434</v>
      </c>
      <c r="C1121" s="641" t="s">
        <v>98</v>
      </c>
      <c r="D1121" s="641" t="s">
        <v>427</v>
      </c>
      <c r="E1121" s="669">
        <v>105535.73</v>
      </c>
      <c r="F1121" s="641" t="s">
        <v>8435</v>
      </c>
      <c r="G1121" s="641" t="s">
        <v>255</v>
      </c>
      <c r="H1121" s="641" t="s">
        <v>199</v>
      </c>
      <c r="I1121" s="641" t="s">
        <v>4338</v>
      </c>
      <c r="J1121" s="901">
        <v>44361.0</v>
      </c>
      <c r="K1121" s="641" t="s">
        <v>2365</v>
      </c>
      <c r="L1121" s="666"/>
      <c r="M1121" s="666"/>
      <c r="N1121" s="666"/>
      <c r="O1121" s="666"/>
      <c r="P1121" s="666"/>
      <c r="Q1121" s="666"/>
      <c r="R1121" s="666"/>
      <c r="S1121" s="666"/>
      <c r="T1121" s="666"/>
      <c r="U1121" s="666"/>
      <c r="V1121" s="666"/>
      <c r="W1121" s="666"/>
      <c r="X1121" s="666"/>
      <c r="Y1121" s="666"/>
      <c r="Z1121" s="666"/>
      <c r="AA1121" s="666"/>
      <c r="AB1121" s="666"/>
      <c r="AC1121" s="666"/>
      <c r="AD1121" s="666"/>
      <c r="AE1121" s="666"/>
      <c r="AF1121" s="666"/>
      <c r="AG1121" s="666"/>
      <c r="AH1121" s="666"/>
      <c r="AI1121" s="666"/>
      <c r="AJ1121" s="666"/>
      <c r="AK1121" s="666"/>
      <c r="AL1121" s="666"/>
      <c r="AM1121" s="666"/>
      <c r="AN1121" s="666"/>
      <c r="AO1121" s="666"/>
      <c r="AP1121" s="666"/>
      <c r="AQ1121" s="666"/>
      <c r="AR1121" s="666"/>
      <c r="AS1121" s="666"/>
      <c r="AT1121" s="666"/>
      <c r="AU1121" s="666"/>
    </row>
    <row r="1122" ht="15.75" customHeight="1">
      <c r="A1122" s="667">
        <v>44918.0</v>
      </c>
      <c r="B1122" s="668" t="s">
        <v>7643</v>
      </c>
      <c r="C1122" s="641" t="s">
        <v>98</v>
      </c>
      <c r="D1122" s="641" t="s">
        <v>5038</v>
      </c>
      <c r="E1122" s="669">
        <v>30000.0</v>
      </c>
      <c r="F1122" s="641" t="s">
        <v>6087</v>
      </c>
      <c r="G1122" s="667" t="s">
        <v>120</v>
      </c>
      <c r="H1122" s="667" t="s">
        <v>199</v>
      </c>
      <c r="I1122" s="667" t="s">
        <v>4880</v>
      </c>
      <c r="J1122" s="667">
        <v>44594.0</v>
      </c>
      <c r="K1122" s="667" t="s">
        <v>2356</v>
      </c>
      <c r="L1122" s="666"/>
      <c r="M1122" s="666"/>
      <c r="N1122" s="666"/>
      <c r="O1122" s="666"/>
      <c r="P1122" s="666"/>
      <c r="Q1122" s="666"/>
      <c r="R1122" s="666"/>
      <c r="S1122" s="666"/>
      <c r="T1122" s="666"/>
      <c r="U1122" s="666"/>
      <c r="V1122" s="666"/>
      <c r="W1122" s="666"/>
      <c r="X1122" s="666"/>
      <c r="Y1122" s="666"/>
      <c r="Z1122" s="666"/>
      <c r="AA1122" s="666"/>
      <c r="AB1122" s="666"/>
      <c r="AC1122" s="666"/>
      <c r="AD1122" s="666"/>
      <c r="AE1122" s="666"/>
      <c r="AF1122" s="666"/>
      <c r="AG1122" s="666"/>
      <c r="AH1122" s="666"/>
      <c r="AI1122" s="666"/>
      <c r="AJ1122" s="666"/>
      <c r="AK1122" s="666"/>
      <c r="AL1122" s="666"/>
      <c r="AM1122" s="666"/>
      <c r="AN1122" s="666"/>
      <c r="AO1122" s="666"/>
      <c r="AP1122" s="666"/>
      <c r="AQ1122" s="666"/>
      <c r="AR1122" s="666"/>
      <c r="AS1122" s="666"/>
      <c r="AT1122" s="666"/>
      <c r="AU1122" s="666"/>
    </row>
    <row r="1123" ht="15.75" customHeight="1">
      <c r="A1123" s="667">
        <v>44921.0</v>
      </c>
      <c r="B1123" s="668" t="s">
        <v>8155</v>
      </c>
      <c r="C1123" s="641" t="s">
        <v>98</v>
      </c>
      <c r="D1123" s="641" t="s">
        <v>5038</v>
      </c>
      <c r="E1123" s="669">
        <v>11000.0</v>
      </c>
      <c r="F1123" s="641" t="s">
        <v>5934</v>
      </c>
      <c r="G1123" s="641" t="s">
        <v>120</v>
      </c>
      <c r="H1123" s="641" t="s">
        <v>199</v>
      </c>
      <c r="I1123" s="641" t="s">
        <v>439</v>
      </c>
      <c r="J1123" s="667">
        <v>44393.0</v>
      </c>
      <c r="K1123" s="641" t="s">
        <v>2319</v>
      </c>
      <c r="L1123" s="666"/>
      <c r="M1123" s="666"/>
      <c r="N1123" s="666"/>
      <c r="O1123" s="666"/>
      <c r="P1123" s="666"/>
      <c r="Q1123" s="666"/>
      <c r="R1123" s="666"/>
      <c r="S1123" s="666"/>
      <c r="T1123" s="666"/>
      <c r="U1123" s="666"/>
      <c r="V1123" s="666"/>
      <c r="W1123" s="666"/>
      <c r="X1123" s="666"/>
      <c r="Y1123" s="666"/>
      <c r="Z1123" s="666"/>
      <c r="AA1123" s="666"/>
      <c r="AB1123" s="666"/>
      <c r="AC1123" s="666"/>
      <c r="AD1123" s="666"/>
      <c r="AE1123" s="666"/>
      <c r="AF1123" s="666"/>
      <c r="AG1123" s="666"/>
      <c r="AH1123" s="666"/>
      <c r="AI1123" s="666"/>
      <c r="AJ1123" s="666"/>
      <c r="AK1123" s="666"/>
      <c r="AL1123" s="666"/>
      <c r="AM1123" s="666"/>
      <c r="AN1123" s="666"/>
      <c r="AO1123" s="666"/>
      <c r="AP1123" s="666"/>
      <c r="AQ1123" s="666"/>
      <c r="AR1123" s="666"/>
      <c r="AS1123" s="666"/>
      <c r="AT1123" s="666"/>
      <c r="AU1123" s="666"/>
    </row>
    <row r="1124" ht="15.75" customHeight="1">
      <c r="A1124" s="667">
        <v>44921.0</v>
      </c>
      <c r="B1124" s="668" t="s">
        <v>8442</v>
      </c>
      <c r="C1124" s="641" t="s">
        <v>98</v>
      </c>
      <c r="D1124" s="641" t="s">
        <v>5038</v>
      </c>
      <c r="E1124" s="669">
        <v>12000.0</v>
      </c>
      <c r="F1124" s="641" t="s">
        <v>8443</v>
      </c>
      <c r="G1124" s="641" t="s">
        <v>120</v>
      </c>
      <c r="H1124" s="641" t="s">
        <v>199</v>
      </c>
      <c r="I1124" s="641" t="s">
        <v>1914</v>
      </c>
      <c r="J1124" s="667">
        <v>44076.0</v>
      </c>
      <c r="K1124" s="641" t="s">
        <v>2365</v>
      </c>
      <c r="L1124" s="666"/>
      <c r="M1124" s="666"/>
      <c r="N1124" s="666"/>
      <c r="O1124" s="666"/>
      <c r="P1124" s="666"/>
      <c r="Q1124" s="666"/>
      <c r="R1124" s="666"/>
      <c r="S1124" s="666"/>
      <c r="T1124" s="666"/>
      <c r="U1124" s="666"/>
      <c r="V1124" s="666"/>
      <c r="W1124" s="666"/>
      <c r="X1124" s="666"/>
      <c r="Y1124" s="666"/>
      <c r="Z1124" s="666"/>
      <c r="AA1124" s="666"/>
      <c r="AB1124" s="666"/>
      <c r="AC1124" s="666"/>
      <c r="AD1124" s="666"/>
      <c r="AE1124" s="666"/>
      <c r="AF1124" s="666"/>
      <c r="AG1124" s="666"/>
      <c r="AH1124" s="666"/>
      <c r="AI1124" s="666"/>
      <c r="AJ1124" s="666"/>
      <c r="AK1124" s="666"/>
      <c r="AL1124" s="666"/>
      <c r="AM1124" s="666"/>
      <c r="AN1124" s="666"/>
      <c r="AO1124" s="666"/>
      <c r="AP1124" s="666"/>
      <c r="AQ1124" s="666"/>
      <c r="AR1124" s="666"/>
      <c r="AS1124" s="666"/>
      <c r="AT1124" s="666"/>
      <c r="AU1124" s="666"/>
    </row>
    <row r="1125" ht="15.75" customHeight="1">
      <c r="A1125" s="667">
        <v>44921.0</v>
      </c>
      <c r="B1125" s="668" t="s">
        <v>8445</v>
      </c>
      <c r="C1125" s="641" t="s">
        <v>98</v>
      </c>
      <c r="D1125" s="641" t="s">
        <v>5038</v>
      </c>
      <c r="E1125" s="669">
        <v>36019.28</v>
      </c>
      <c r="F1125" s="641" t="s">
        <v>5129</v>
      </c>
      <c r="G1125" s="667" t="s">
        <v>120</v>
      </c>
      <c r="H1125" s="667" t="s">
        <v>54</v>
      </c>
      <c r="I1125" s="667" t="s">
        <v>4705</v>
      </c>
      <c r="J1125" s="667">
        <v>44511.0</v>
      </c>
      <c r="K1125" s="667" t="s">
        <v>2341</v>
      </c>
      <c r="L1125" s="666"/>
      <c r="M1125" s="666"/>
      <c r="N1125" s="666"/>
      <c r="O1125" s="666"/>
      <c r="P1125" s="666"/>
      <c r="Q1125" s="666"/>
      <c r="R1125" s="666"/>
      <c r="S1125" s="666"/>
      <c r="T1125" s="666"/>
      <c r="U1125" s="666"/>
      <c r="V1125" s="666"/>
      <c r="W1125" s="666"/>
      <c r="X1125" s="666"/>
      <c r="Y1125" s="666"/>
      <c r="Z1125" s="666"/>
      <c r="AA1125" s="666"/>
      <c r="AB1125" s="666"/>
      <c r="AC1125" s="666"/>
      <c r="AD1125" s="666"/>
      <c r="AE1125" s="666"/>
      <c r="AF1125" s="666"/>
      <c r="AG1125" s="666"/>
      <c r="AH1125" s="666"/>
      <c r="AI1125" s="666"/>
      <c r="AJ1125" s="666"/>
      <c r="AK1125" s="666"/>
      <c r="AL1125" s="666"/>
      <c r="AM1125" s="666"/>
      <c r="AN1125" s="666"/>
      <c r="AO1125" s="666"/>
      <c r="AP1125" s="666"/>
      <c r="AQ1125" s="666"/>
      <c r="AR1125" s="666"/>
      <c r="AS1125" s="666"/>
      <c r="AT1125" s="666"/>
      <c r="AU1125" s="666"/>
    </row>
    <row r="1126" ht="15.75" customHeight="1">
      <c r="A1126" s="667">
        <v>44922.0</v>
      </c>
      <c r="B1126" s="668" t="s">
        <v>8098</v>
      </c>
      <c r="C1126" s="641" t="s">
        <v>98</v>
      </c>
      <c r="D1126" s="641" t="s">
        <v>5038</v>
      </c>
      <c r="E1126" s="669">
        <v>10000.0</v>
      </c>
      <c r="F1126" s="641" t="s">
        <v>2163</v>
      </c>
      <c r="G1126" s="760" t="s">
        <v>120</v>
      </c>
      <c r="H1126" s="760" t="s">
        <v>54</v>
      </c>
      <c r="I1126" s="760" t="s">
        <v>125</v>
      </c>
      <c r="J1126" s="762">
        <v>44568.0</v>
      </c>
      <c r="K1126" s="759" t="s">
        <v>5294</v>
      </c>
      <c r="L1126" s="666"/>
      <c r="M1126" s="666"/>
      <c r="N1126" s="666"/>
      <c r="O1126" s="666"/>
      <c r="P1126" s="666"/>
      <c r="Q1126" s="666"/>
      <c r="R1126" s="666"/>
      <c r="S1126" s="666"/>
      <c r="T1126" s="666"/>
      <c r="U1126" s="666"/>
      <c r="V1126" s="666"/>
      <c r="W1126" s="666"/>
      <c r="X1126" s="666"/>
      <c r="Y1126" s="666"/>
      <c r="Z1126" s="666"/>
      <c r="AA1126" s="666"/>
      <c r="AB1126" s="666"/>
      <c r="AC1126" s="666"/>
      <c r="AD1126" s="666"/>
      <c r="AE1126" s="666"/>
      <c r="AF1126" s="666"/>
      <c r="AG1126" s="666"/>
      <c r="AH1126" s="666"/>
      <c r="AI1126" s="666"/>
      <c r="AJ1126" s="666"/>
      <c r="AK1126" s="666"/>
      <c r="AL1126" s="666"/>
      <c r="AM1126" s="666"/>
      <c r="AN1126" s="666"/>
      <c r="AO1126" s="666"/>
      <c r="AP1126" s="666"/>
      <c r="AQ1126" s="666"/>
      <c r="AR1126" s="666"/>
      <c r="AS1126" s="666"/>
      <c r="AT1126" s="666"/>
      <c r="AU1126" s="666"/>
    </row>
    <row r="1127" ht="15.75" customHeight="1">
      <c r="A1127" s="667">
        <v>44922.0</v>
      </c>
      <c r="B1127" s="668" t="s">
        <v>8282</v>
      </c>
      <c r="C1127" s="641" t="s">
        <v>98</v>
      </c>
      <c r="D1127" s="641" t="s">
        <v>427</v>
      </c>
      <c r="E1127" s="669">
        <v>44803.44</v>
      </c>
      <c r="F1127" s="641" t="s">
        <v>2423</v>
      </c>
      <c r="G1127" s="641" t="s">
        <v>120</v>
      </c>
      <c r="H1127" s="641" t="s">
        <v>199</v>
      </c>
      <c r="I1127" s="641" t="s">
        <v>212</v>
      </c>
      <c r="J1127" s="902">
        <v>44652.0</v>
      </c>
      <c r="K1127" s="641" t="s">
        <v>2356</v>
      </c>
      <c r="L1127" s="666"/>
      <c r="M1127" s="666"/>
      <c r="N1127" s="666"/>
      <c r="O1127" s="666"/>
      <c r="P1127" s="666"/>
      <c r="Q1127" s="666"/>
      <c r="R1127" s="666"/>
      <c r="S1127" s="666"/>
      <c r="T1127" s="666"/>
      <c r="U1127" s="666"/>
      <c r="V1127" s="666"/>
      <c r="W1127" s="666"/>
      <c r="X1127" s="666"/>
      <c r="Y1127" s="666"/>
      <c r="Z1127" s="666"/>
      <c r="AA1127" s="666"/>
      <c r="AB1127" s="666"/>
      <c r="AC1127" s="666"/>
      <c r="AD1127" s="666"/>
      <c r="AE1127" s="666"/>
      <c r="AF1127" s="666"/>
      <c r="AG1127" s="666"/>
      <c r="AH1127" s="666"/>
      <c r="AI1127" s="666"/>
      <c r="AJ1127" s="666"/>
      <c r="AK1127" s="666"/>
      <c r="AL1127" s="666"/>
      <c r="AM1127" s="666"/>
      <c r="AN1127" s="666"/>
      <c r="AO1127" s="666"/>
      <c r="AP1127" s="666"/>
      <c r="AQ1127" s="666"/>
      <c r="AR1127" s="666"/>
      <c r="AS1127" s="666"/>
      <c r="AT1127" s="666"/>
      <c r="AU1127" s="666"/>
    </row>
    <row r="1128" ht="15.75" customHeight="1">
      <c r="A1128" s="667">
        <v>44922.0</v>
      </c>
      <c r="B1128" s="668" t="s">
        <v>7287</v>
      </c>
      <c r="C1128" s="641" t="s">
        <v>98</v>
      </c>
      <c r="D1128" s="641" t="s">
        <v>427</v>
      </c>
      <c r="E1128" s="669">
        <v>25323.14</v>
      </c>
      <c r="F1128" s="641" t="s">
        <v>8451</v>
      </c>
      <c r="G1128" s="641" t="s">
        <v>120</v>
      </c>
      <c r="H1128" s="641" t="s">
        <v>199</v>
      </c>
      <c r="I1128" s="641" t="s">
        <v>439</v>
      </c>
      <c r="J1128" s="773">
        <v>44399.0</v>
      </c>
      <c r="K1128" s="641" t="s">
        <v>2341</v>
      </c>
      <c r="L1128" s="666"/>
      <c r="M1128" s="666"/>
      <c r="N1128" s="666"/>
      <c r="O1128" s="666"/>
      <c r="P1128" s="666"/>
      <c r="Q1128" s="666"/>
      <c r="R1128" s="666"/>
      <c r="S1128" s="666"/>
      <c r="T1128" s="666"/>
      <c r="U1128" s="666"/>
      <c r="V1128" s="666"/>
      <c r="W1128" s="666"/>
      <c r="X1128" s="666"/>
      <c r="Y1128" s="666"/>
      <c r="Z1128" s="666"/>
      <c r="AA1128" s="666"/>
      <c r="AB1128" s="666"/>
      <c r="AC1128" s="666"/>
      <c r="AD1128" s="666"/>
      <c r="AE1128" s="666"/>
      <c r="AF1128" s="666"/>
      <c r="AG1128" s="666"/>
      <c r="AH1128" s="666"/>
      <c r="AI1128" s="666"/>
      <c r="AJ1128" s="666"/>
      <c r="AK1128" s="666"/>
      <c r="AL1128" s="666"/>
      <c r="AM1128" s="666"/>
      <c r="AN1128" s="666"/>
      <c r="AO1128" s="666"/>
      <c r="AP1128" s="666"/>
      <c r="AQ1128" s="666"/>
      <c r="AR1128" s="666"/>
      <c r="AS1128" s="666"/>
      <c r="AT1128" s="666"/>
      <c r="AU1128" s="666"/>
    </row>
    <row r="1129" ht="15.75" customHeight="1">
      <c r="A1129" s="667">
        <v>44930.0</v>
      </c>
      <c r="B1129" s="668" t="s">
        <v>8356</v>
      </c>
      <c r="C1129" s="641" t="s">
        <v>98</v>
      </c>
      <c r="D1129" s="641" t="s">
        <v>5038</v>
      </c>
      <c r="E1129" s="669">
        <v>5000.0</v>
      </c>
      <c r="F1129" s="641" t="s">
        <v>2017</v>
      </c>
      <c r="G1129" s="641" t="s">
        <v>120</v>
      </c>
      <c r="H1129" s="641" t="s">
        <v>54</v>
      </c>
      <c r="I1129" s="641" t="s">
        <v>125</v>
      </c>
      <c r="J1129" s="762">
        <v>44767.0</v>
      </c>
      <c r="K1129" s="757" t="s">
        <v>2356</v>
      </c>
      <c r="L1129" s="666"/>
      <c r="M1129" s="666"/>
      <c r="N1129" s="666"/>
      <c r="O1129" s="666"/>
      <c r="P1129" s="666"/>
      <c r="Q1129" s="666"/>
      <c r="R1129" s="666"/>
      <c r="S1129" s="666"/>
      <c r="T1129" s="666"/>
      <c r="U1129" s="666"/>
      <c r="V1129" s="666"/>
      <c r="W1129" s="666"/>
      <c r="X1129" s="666"/>
      <c r="Y1129" s="666"/>
      <c r="Z1129" s="666"/>
      <c r="AA1129" s="666"/>
      <c r="AB1129" s="666"/>
      <c r="AC1129" s="666"/>
      <c r="AD1129" s="666"/>
      <c r="AE1129" s="666"/>
      <c r="AF1129" s="666"/>
      <c r="AG1129" s="666"/>
      <c r="AH1129" s="666"/>
      <c r="AI1129" s="666"/>
      <c r="AJ1129" s="666"/>
      <c r="AK1129" s="666"/>
      <c r="AL1129" s="666"/>
      <c r="AM1129" s="666"/>
      <c r="AN1129" s="666"/>
      <c r="AO1129" s="666"/>
      <c r="AP1129" s="666"/>
      <c r="AQ1129" s="666"/>
      <c r="AR1129" s="666"/>
      <c r="AS1129" s="666"/>
      <c r="AT1129" s="666"/>
      <c r="AU1129" s="666"/>
    </row>
    <row r="1130" ht="15.75" customHeight="1">
      <c r="A1130" s="667">
        <v>44930.0</v>
      </c>
      <c r="B1130" s="668" t="s">
        <v>5779</v>
      </c>
      <c r="C1130" s="641" t="s">
        <v>98</v>
      </c>
      <c r="D1130" s="641" t="s">
        <v>694</v>
      </c>
      <c r="E1130" s="669">
        <v>47562.04</v>
      </c>
      <c r="F1130" s="641" t="s">
        <v>8454</v>
      </c>
      <c r="G1130" s="641" t="s">
        <v>120</v>
      </c>
      <c r="H1130" s="641" t="s">
        <v>199</v>
      </c>
      <c r="I1130" s="641" t="s">
        <v>212</v>
      </c>
      <c r="J1130" s="667">
        <v>44089.0</v>
      </c>
      <c r="K1130" s="641" t="s">
        <v>2356</v>
      </c>
      <c r="L1130" s="666"/>
      <c r="M1130" s="666"/>
      <c r="N1130" s="666"/>
      <c r="O1130" s="666"/>
      <c r="P1130" s="666"/>
      <c r="Q1130" s="666"/>
      <c r="R1130" s="666"/>
      <c r="S1130" s="666"/>
      <c r="T1130" s="666"/>
      <c r="U1130" s="666"/>
      <c r="V1130" s="666"/>
      <c r="W1130" s="666"/>
      <c r="X1130" s="666"/>
      <c r="Y1130" s="666"/>
      <c r="Z1130" s="666"/>
      <c r="AA1130" s="666"/>
      <c r="AB1130" s="666"/>
      <c r="AC1130" s="666"/>
      <c r="AD1130" s="666"/>
      <c r="AE1130" s="666"/>
      <c r="AF1130" s="666"/>
      <c r="AG1130" s="666"/>
      <c r="AH1130" s="666"/>
      <c r="AI1130" s="666"/>
      <c r="AJ1130" s="666"/>
      <c r="AK1130" s="666"/>
      <c r="AL1130" s="666"/>
      <c r="AM1130" s="666"/>
      <c r="AN1130" s="666"/>
      <c r="AO1130" s="666"/>
      <c r="AP1130" s="666"/>
      <c r="AQ1130" s="666"/>
      <c r="AR1130" s="666"/>
      <c r="AS1130" s="666"/>
      <c r="AT1130" s="666"/>
      <c r="AU1130" s="666"/>
    </row>
    <row r="1131" ht="15.75" customHeight="1">
      <c r="A1131" s="667">
        <v>44932.0</v>
      </c>
      <c r="B1131" s="668" t="s">
        <v>8457</v>
      </c>
      <c r="C1131" s="641" t="s">
        <v>98</v>
      </c>
      <c r="D1131" s="641" t="s">
        <v>5038</v>
      </c>
      <c r="E1131" s="669">
        <v>39735.11</v>
      </c>
      <c r="F1131" s="760" t="s">
        <v>7805</v>
      </c>
      <c r="G1131" s="760" t="s">
        <v>120</v>
      </c>
      <c r="H1131" s="760" t="s">
        <v>54</v>
      </c>
      <c r="I1131" s="760" t="s">
        <v>348</v>
      </c>
      <c r="J1131" s="762">
        <v>44645.0</v>
      </c>
      <c r="K1131" s="759" t="s">
        <v>2341</v>
      </c>
      <c r="L1131" s="666"/>
      <c r="M1131" s="666"/>
      <c r="N1131" s="666"/>
      <c r="O1131" s="666"/>
      <c r="P1131" s="666"/>
      <c r="Q1131" s="666"/>
      <c r="R1131" s="666"/>
      <c r="S1131" s="666"/>
      <c r="T1131" s="666"/>
      <c r="U1131" s="666"/>
      <c r="V1131" s="666"/>
      <c r="W1131" s="666"/>
      <c r="X1131" s="666"/>
      <c r="Y1131" s="666"/>
      <c r="Z1131" s="666"/>
      <c r="AA1131" s="666"/>
      <c r="AB1131" s="666"/>
      <c r="AC1131" s="666"/>
      <c r="AD1131" s="666"/>
      <c r="AE1131" s="666"/>
      <c r="AF1131" s="666"/>
      <c r="AG1131" s="666"/>
      <c r="AH1131" s="666"/>
      <c r="AI1131" s="666"/>
      <c r="AJ1131" s="666"/>
      <c r="AK1131" s="666"/>
      <c r="AL1131" s="666"/>
      <c r="AM1131" s="666"/>
      <c r="AN1131" s="666"/>
      <c r="AO1131" s="666"/>
      <c r="AP1131" s="666"/>
      <c r="AQ1131" s="666"/>
      <c r="AR1131" s="666"/>
      <c r="AS1131" s="666"/>
      <c r="AT1131" s="666"/>
      <c r="AU1131" s="666"/>
    </row>
    <row r="1132" ht="15.75" customHeight="1">
      <c r="A1132" s="667">
        <v>44565.0</v>
      </c>
      <c r="B1132" s="668" t="s">
        <v>8155</v>
      </c>
      <c r="C1132" s="641" t="s">
        <v>98</v>
      </c>
      <c r="D1132" s="641" t="s">
        <v>5038</v>
      </c>
      <c r="E1132" s="669">
        <v>18000.0</v>
      </c>
      <c r="F1132" s="641" t="s">
        <v>5934</v>
      </c>
      <c r="G1132" s="641" t="s">
        <v>120</v>
      </c>
      <c r="H1132" s="641" t="s">
        <v>199</v>
      </c>
      <c r="I1132" s="641" t="s">
        <v>439</v>
      </c>
      <c r="J1132" s="667">
        <v>44393.0</v>
      </c>
      <c r="K1132" s="641" t="s">
        <v>2319</v>
      </c>
      <c r="L1132" s="666"/>
      <c r="M1132" s="666"/>
      <c r="N1132" s="666"/>
      <c r="O1132" s="666"/>
      <c r="P1132" s="666"/>
      <c r="Q1132" s="666"/>
      <c r="R1132" s="666"/>
      <c r="S1132" s="666"/>
      <c r="T1132" s="666"/>
      <c r="U1132" s="666"/>
      <c r="V1132" s="666"/>
      <c r="W1132" s="666"/>
      <c r="X1132" s="666"/>
      <c r="Y1132" s="666"/>
      <c r="Z1132" s="666"/>
      <c r="AA1132" s="666"/>
      <c r="AB1132" s="666"/>
      <c r="AC1132" s="666"/>
      <c r="AD1132" s="666"/>
      <c r="AE1132" s="666"/>
      <c r="AF1132" s="666"/>
      <c r="AG1132" s="666"/>
      <c r="AH1132" s="666"/>
      <c r="AI1132" s="666"/>
      <c r="AJ1132" s="666"/>
      <c r="AK1132" s="666"/>
      <c r="AL1132" s="666"/>
      <c r="AM1132" s="666"/>
      <c r="AN1132" s="666"/>
      <c r="AO1132" s="666"/>
      <c r="AP1132" s="666"/>
      <c r="AQ1132" s="666"/>
      <c r="AR1132" s="666"/>
      <c r="AS1132" s="666"/>
      <c r="AT1132" s="666"/>
      <c r="AU1132" s="666"/>
    </row>
    <row r="1133" ht="15.75" customHeight="1">
      <c r="A1133" s="667">
        <v>44935.0</v>
      </c>
      <c r="B1133" s="668" t="s">
        <v>8460</v>
      </c>
      <c r="C1133" s="641" t="s">
        <v>24</v>
      </c>
      <c r="D1133" s="641" t="s">
        <v>5038</v>
      </c>
      <c r="E1133" s="669">
        <v>51409.52</v>
      </c>
      <c r="F1133" s="641" t="s">
        <v>8461</v>
      </c>
      <c r="G1133" s="641" t="s">
        <v>120</v>
      </c>
      <c r="H1133" s="641" t="s">
        <v>54</v>
      </c>
      <c r="I1133" s="641" t="s">
        <v>1393</v>
      </c>
      <c r="J1133" s="667">
        <v>44951.0</v>
      </c>
      <c r="K1133" s="641" t="s">
        <v>2356</v>
      </c>
      <c r="L1133" s="666"/>
      <c r="M1133" s="666"/>
      <c r="N1133" s="666"/>
      <c r="O1133" s="666"/>
      <c r="P1133" s="666"/>
      <c r="Q1133" s="666"/>
      <c r="R1133" s="666"/>
      <c r="S1133" s="666"/>
      <c r="T1133" s="666"/>
      <c r="U1133" s="666"/>
      <c r="V1133" s="666"/>
      <c r="W1133" s="666"/>
      <c r="X1133" s="666"/>
      <c r="Y1133" s="666"/>
      <c r="Z1133" s="666"/>
      <c r="AA1133" s="666"/>
      <c r="AB1133" s="666"/>
      <c r="AC1133" s="666"/>
      <c r="AD1133" s="666"/>
      <c r="AE1133" s="666"/>
      <c r="AF1133" s="666"/>
      <c r="AG1133" s="666"/>
      <c r="AH1133" s="666"/>
      <c r="AI1133" s="666"/>
      <c r="AJ1133" s="666"/>
      <c r="AK1133" s="666"/>
      <c r="AL1133" s="666"/>
      <c r="AM1133" s="666"/>
      <c r="AN1133" s="666"/>
      <c r="AO1133" s="666"/>
      <c r="AP1133" s="666"/>
      <c r="AQ1133" s="666"/>
      <c r="AR1133" s="666"/>
      <c r="AS1133" s="666"/>
      <c r="AT1133" s="666"/>
      <c r="AU1133" s="666"/>
    </row>
    <row r="1134" ht="15.75" customHeight="1">
      <c r="A1134" s="667"/>
      <c r="B1134" s="668" t="s">
        <v>4429</v>
      </c>
      <c r="C1134" s="641" t="s">
        <v>24</v>
      </c>
      <c r="D1134" s="641" t="s">
        <v>5038</v>
      </c>
      <c r="E1134" s="669">
        <v>9000.0</v>
      </c>
      <c r="F1134" s="641" t="s">
        <v>8466</v>
      </c>
      <c r="G1134" s="641" t="s">
        <v>120</v>
      </c>
      <c r="H1134" s="641" t="s">
        <v>199</v>
      </c>
      <c r="I1134" s="641" t="s">
        <v>212</v>
      </c>
      <c r="J1134" s="667">
        <v>44888.0</v>
      </c>
      <c r="K1134" s="641" t="s">
        <v>2356</v>
      </c>
      <c r="L1134" s="666"/>
      <c r="M1134" s="666"/>
      <c r="N1134" s="666"/>
      <c r="O1134" s="666"/>
      <c r="P1134" s="666"/>
      <c r="Q1134" s="666"/>
      <c r="R1134" s="666"/>
      <c r="S1134" s="666"/>
      <c r="T1134" s="666"/>
      <c r="U1134" s="666"/>
      <c r="V1134" s="666"/>
      <c r="W1134" s="666"/>
      <c r="X1134" s="666"/>
      <c r="Y1134" s="666"/>
      <c r="Z1134" s="666"/>
      <c r="AA1134" s="666"/>
      <c r="AB1134" s="666"/>
      <c r="AC1134" s="666"/>
      <c r="AD1134" s="666"/>
      <c r="AE1134" s="666"/>
      <c r="AF1134" s="666"/>
      <c r="AG1134" s="666"/>
      <c r="AH1134" s="666"/>
      <c r="AI1134" s="666"/>
      <c r="AJ1134" s="666"/>
      <c r="AK1134" s="666"/>
      <c r="AL1134" s="666"/>
      <c r="AM1134" s="666"/>
      <c r="AN1134" s="666"/>
      <c r="AO1134" s="666"/>
      <c r="AP1134" s="666"/>
      <c r="AQ1134" s="666"/>
      <c r="AR1134" s="666"/>
      <c r="AS1134" s="666"/>
      <c r="AT1134" s="666"/>
      <c r="AU1134" s="666"/>
    </row>
    <row r="1135" ht="15.75" customHeight="1">
      <c r="A1135" s="667">
        <v>44565.0</v>
      </c>
      <c r="B1135" s="668" t="s">
        <v>8155</v>
      </c>
      <c r="C1135" s="641" t="s">
        <v>98</v>
      </c>
      <c r="D1135" s="641" t="s">
        <v>5038</v>
      </c>
      <c r="E1135" s="669">
        <v>9500.0</v>
      </c>
      <c r="F1135" s="641" t="s">
        <v>5934</v>
      </c>
      <c r="G1135" s="641" t="s">
        <v>120</v>
      </c>
      <c r="H1135" s="641" t="s">
        <v>199</v>
      </c>
      <c r="I1135" s="641" t="s">
        <v>439</v>
      </c>
      <c r="J1135" s="667">
        <v>44393.0</v>
      </c>
      <c r="K1135" s="641" t="s">
        <v>2319</v>
      </c>
      <c r="L1135" s="666"/>
      <c r="M1135" s="666"/>
      <c r="N1135" s="666"/>
      <c r="O1135" s="666"/>
      <c r="P1135" s="666"/>
      <c r="Q1135" s="666"/>
      <c r="R1135" s="666"/>
      <c r="S1135" s="666"/>
      <c r="T1135" s="666"/>
      <c r="U1135" s="666"/>
      <c r="V1135" s="666"/>
      <c r="W1135" s="666"/>
      <c r="X1135" s="666"/>
      <c r="Y1135" s="666"/>
      <c r="Z1135" s="666"/>
      <c r="AA1135" s="666"/>
      <c r="AB1135" s="666"/>
      <c r="AC1135" s="666"/>
      <c r="AD1135" s="666"/>
      <c r="AE1135" s="666"/>
      <c r="AF1135" s="666"/>
      <c r="AG1135" s="666"/>
      <c r="AH1135" s="666"/>
      <c r="AI1135" s="666"/>
      <c r="AJ1135" s="666"/>
      <c r="AK1135" s="666"/>
      <c r="AL1135" s="666"/>
      <c r="AM1135" s="666"/>
      <c r="AN1135" s="666"/>
      <c r="AO1135" s="666"/>
      <c r="AP1135" s="666"/>
      <c r="AQ1135" s="666"/>
      <c r="AR1135" s="666"/>
      <c r="AS1135" s="666"/>
      <c r="AT1135" s="666"/>
      <c r="AU1135" s="666"/>
    </row>
    <row r="1136" ht="15.75" customHeight="1">
      <c r="A1136" s="667">
        <v>44937.0</v>
      </c>
      <c r="B1136" s="668" t="s">
        <v>410</v>
      </c>
      <c r="C1136" s="641" t="s">
        <v>202</v>
      </c>
      <c r="D1136" s="641" t="s">
        <v>5038</v>
      </c>
      <c r="E1136" s="669">
        <v>10000.0</v>
      </c>
      <c r="F1136" s="641" t="s">
        <v>8470</v>
      </c>
      <c r="G1136" s="641" t="s">
        <v>120</v>
      </c>
      <c r="H1136" s="641" t="s">
        <v>199</v>
      </c>
      <c r="I1136" s="641" t="s">
        <v>439</v>
      </c>
      <c r="J1136" s="667">
        <v>43934.0</v>
      </c>
      <c r="K1136" s="641" t="s">
        <v>2319</v>
      </c>
      <c r="L1136" s="666"/>
      <c r="M1136" s="666"/>
      <c r="N1136" s="666"/>
      <c r="O1136" s="666"/>
      <c r="P1136" s="666"/>
      <c r="Q1136" s="666"/>
      <c r="R1136" s="666"/>
      <c r="S1136" s="666"/>
      <c r="T1136" s="666"/>
      <c r="U1136" s="666"/>
      <c r="V1136" s="666"/>
      <c r="W1136" s="666"/>
      <c r="X1136" s="666"/>
      <c r="Y1136" s="666"/>
      <c r="Z1136" s="666"/>
      <c r="AA1136" s="666"/>
      <c r="AB1136" s="666"/>
      <c r="AC1136" s="666"/>
      <c r="AD1136" s="666"/>
      <c r="AE1136" s="666"/>
      <c r="AF1136" s="666"/>
      <c r="AG1136" s="666"/>
      <c r="AH1136" s="666"/>
      <c r="AI1136" s="666"/>
      <c r="AJ1136" s="666"/>
      <c r="AK1136" s="666"/>
      <c r="AL1136" s="666"/>
      <c r="AM1136" s="666"/>
      <c r="AN1136" s="666"/>
      <c r="AO1136" s="666"/>
      <c r="AP1136" s="666"/>
      <c r="AQ1136" s="666"/>
      <c r="AR1136" s="666"/>
      <c r="AS1136" s="666"/>
      <c r="AT1136" s="666"/>
      <c r="AU1136" s="666"/>
    </row>
    <row r="1137" ht="15.75" customHeight="1">
      <c r="A1137" s="667">
        <v>44935.0</v>
      </c>
      <c r="B1137" s="668" t="s">
        <v>8473</v>
      </c>
      <c r="C1137" s="641" t="s">
        <v>98</v>
      </c>
      <c r="D1137" s="641" t="s">
        <v>427</v>
      </c>
      <c r="E1137" s="669" t="s">
        <v>8476</v>
      </c>
      <c r="F1137" s="645" t="s">
        <v>7853</v>
      </c>
      <c r="G1137" s="641" t="s">
        <v>120</v>
      </c>
      <c r="H1137" s="641" t="s">
        <v>54</v>
      </c>
      <c r="I1137" s="641" t="s">
        <v>379</v>
      </c>
      <c r="J1137" s="641" t="s">
        <v>2324</v>
      </c>
      <c r="K1137" s="641" t="s">
        <v>2341</v>
      </c>
      <c r="L1137" s="666"/>
      <c r="M1137" s="666"/>
      <c r="N1137" s="666"/>
      <c r="O1137" s="666"/>
      <c r="P1137" s="666"/>
      <c r="Q1137" s="666"/>
      <c r="R1137" s="666"/>
      <c r="S1137" s="666"/>
      <c r="T1137" s="666"/>
      <c r="U1137" s="666"/>
      <c r="V1137" s="666"/>
      <c r="W1137" s="666"/>
      <c r="X1137" s="666"/>
      <c r="Y1137" s="666"/>
      <c r="Z1137" s="666"/>
      <c r="AA1137" s="666"/>
      <c r="AB1137" s="666"/>
      <c r="AC1137" s="666"/>
      <c r="AD1137" s="666"/>
      <c r="AE1137" s="666"/>
      <c r="AF1137" s="666"/>
      <c r="AG1137" s="666"/>
      <c r="AH1137" s="666"/>
      <c r="AI1137" s="666"/>
      <c r="AJ1137" s="666"/>
      <c r="AK1137" s="666"/>
      <c r="AL1137" s="666"/>
      <c r="AM1137" s="666"/>
      <c r="AN1137" s="666"/>
      <c r="AO1137" s="666"/>
      <c r="AP1137" s="666"/>
      <c r="AQ1137" s="666"/>
      <c r="AR1137" s="666"/>
      <c r="AS1137" s="666"/>
      <c r="AT1137" s="666"/>
      <c r="AU1137" s="666"/>
    </row>
    <row r="1138" ht="15.75" customHeight="1">
      <c r="A1138" s="667">
        <v>44949.0</v>
      </c>
      <c r="B1138" s="668" t="s">
        <v>8098</v>
      </c>
      <c r="C1138" s="641" t="s">
        <v>98</v>
      </c>
      <c r="D1138" s="641" t="s">
        <v>427</v>
      </c>
      <c r="E1138" s="669">
        <v>4119326.59</v>
      </c>
      <c r="F1138" s="641" t="s">
        <v>2163</v>
      </c>
      <c r="G1138" s="760" t="s">
        <v>120</v>
      </c>
      <c r="H1138" s="760" t="s">
        <v>54</v>
      </c>
      <c r="I1138" s="760" t="s">
        <v>125</v>
      </c>
      <c r="J1138" s="762">
        <v>44568.0</v>
      </c>
      <c r="K1138" s="759" t="s">
        <v>5294</v>
      </c>
      <c r="L1138" s="666"/>
      <c r="M1138" s="666"/>
      <c r="N1138" s="666"/>
      <c r="O1138" s="666"/>
      <c r="P1138" s="666"/>
      <c r="Q1138" s="666"/>
      <c r="R1138" s="666"/>
      <c r="S1138" s="666"/>
      <c r="T1138" s="666"/>
      <c r="U1138" s="666"/>
      <c r="V1138" s="666"/>
      <c r="W1138" s="666"/>
      <c r="X1138" s="666"/>
      <c r="Y1138" s="666"/>
      <c r="Z1138" s="666"/>
      <c r="AA1138" s="666"/>
      <c r="AB1138" s="666"/>
      <c r="AC1138" s="666"/>
      <c r="AD1138" s="666"/>
      <c r="AE1138" s="666"/>
      <c r="AF1138" s="666"/>
      <c r="AG1138" s="666"/>
      <c r="AH1138" s="666"/>
      <c r="AI1138" s="666"/>
      <c r="AJ1138" s="666"/>
      <c r="AK1138" s="666"/>
      <c r="AL1138" s="666"/>
      <c r="AM1138" s="666"/>
      <c r="AN1138" s="666"/>
      <c r="AO1138" s="666"/>
      <c r="AP1138" s="666"/>
      <c r="AQ1138" s="666"/>
      <c r="AR1138" s="666"/>
      <c r="AS1138" s="666"/>
      <c r="AT1138" s="666"/>
      <c r="AU1138" s="666"/>
    </row>
    <row r="1139" ht="15.75" customHeight="1">
      <c r="A1139" s="667">
        <v>44931.0</v>
      </c>
      <c r="B1139" s="903" t="s">
        <v>5960</v>
      </c>
      <c r="C1139" s="641" t="s">
        <v>98</v>
      </c>
      <c r="D1139" s="641" t="s">
        <v>427</v>
      </c>
      <c r="E1139" s="669">
        <v>97046.39</v>
      </c>
      <c r="F1139" s="644" t="s">
        <v>5963</v>
      </c>
      <c r="G1139" s="641" t="s">
        <v>255</v>
      </c>
      <c r="H1139" s="641" t="s">
        <v>199</v>
      </c>
      <c r="I1139" s="641" t="s">
        <v>2587</v>
      </c>
      <c r="J1139" s="667">
        <v>44180.0</v>
      </c>
      <c r="K1139" s="641" t="s">
        <v>2341</v>
      </c>
      <c r="L1139" s="666"/>
      <c r="M1139" s="666"/>
      <c r="N1139" s="666"/>
      <c r="O1139" s="666"/>
      <c r="P1139" s="666"/>
      <c r="Q1139" s="666"/>
      <c r="R1139" s="666"/>
      <c r="S1139" s="666"/>
      <c r="T1139" s="666"/>
      <c r="U1139" s="666"/>
      <c r="V1139" s="666"/>
      <c r="W1139" s="666"/>
      <c r="X1139" s="666"/>
      <c r="Y1139" s="666"/>
      <c r="Z1139" s="666"/>
      <c r="AA1139" s="666"/>
      <c r="AB1139" s="666"/>
      <c r="AC1139" s="666"/>
      <c r="AD1139" s="666"/>
      <c r="AE1139" s="666"/>
      <c r="AF1139" s="666"/>
      <c r="AG1139" s="666"/>
      <c r="AH1139" s="666"/>
      <c r="AI1139" s="666"/>
      <c r="AJ1139" s="666"/>
      <c r="AK1139" s="666"/>
      <c r="AL1139" s="666"/>
      <c r="AM1139" s="666"/>
      <c r="AN1139" s="666"/>
      <c r="AO1139" s="666"/>
      <c r="AP1139" s="666"/>
      <c r="AQ1139" s="666"/>
      <c r="AR1139" s="666"/>
      <c r="AS1139" s="666"/>
      <c r="AT1139" s="666"/>
      <c r="AU1139" s="666"/>
    </row>
    <row r="1140" ht="15.75" customHeight="1">
      <c r="A1140" s="667">
        <v>44938.0</v>
      </c>
      <c r="B1140" s="668" t="s">
        <v>6049</v>
      </c>
      <c r="C1140" s="641" t="s">
        <v>24</v>
      </c>
      <c r="D1140" s="641" t="s">
        <v>5038</v>
      </c>
      <c r="E1140" s="669">
        <v>13092.93</v>
      </c>
      <c r="F1140" s="641" t="s">
        <v>8477</v>
      </c>
      <c r="G1140" s="641" t="s">
        <v>120</v>
      </c>
      <c r="H1140" s="641" t="s">
        <v>54</v>
      </c>
      <c r="I1140" s="641" t="s">
        <v>379</v>
      </c>
      <c r="J1140" s="902">
        <v>44951.0</v>
      </c>
      <c r="K1140" s="641" t="s">
        <v>2356</v>
      </c>
      <c r="L1140" s="666"/>
      <c r="M1140" s="666"/>
      <c r="N1140" s="666"/>
      <c r="O1140" s="666"/>
      <c r="P1140" s="666"/>
      <c r="Q1140" s="666"/>
      <c r="R1140" s="666"/>
      <c r="S1140" s="666"/>
      <c r="T1140" s="666"/>
      <c r="U1140" s="666"/>
      <c r="V1140" s="666"/>
      <c r="W1140" s="666"/>
      <c r="X1140" s="666"/>
      <c r="Y1140" s="666"/>
      <c r="Z1140" s="666"/>
      <c r="AA1140" s="666"/>
      <c r="AB1140" s="666"/>
      <c r="AC1140" s="666"/>
      <c r="AD1140" s="666"/>
      <c r="AE1140" s="666"/>
      <c r="AF1140" s="666"/>
      <c r="AG1140" s="666"/>
      <c r="AH1140" s="666"/>
      <c r="AI1140" s="666"/>
      <c r="AJ1140" s="666"/>
      <c r="AK1140" s="666"/>
      <c r="AL1140" s="666"/>
      <c r="AM1140" s="666"/>
      <c r="AN1140" s="666"/>
      <c r="AO1140" s="666"/>
      <c r="AP1140" s="666"/>
      <c r="AQ1140" s="666"/>
      <c r="AR1140" s="666"/>
      <c r="AS1140" s="666"/>
      <c r="AT1140" s="666"/>
      <c r="AU1140" s="666"/>
    </row>
    <row r="1141" ht="15.75" customHeight="1">
      <c r="A1141" s="667">
        <v>44939.0</v>
      </c>
      <c r="B1141" s="668" t="s">
        <v>8356</v>
      </c>
      <c r="C1141" s="641" t="s">
        <v>98</v>
      </c>
      <c r="D1141" s="641" t="s">
        <v>5038</v>
      </c>
      <c r="E1141" s="669">
        <v>1000.0</v>
      </c>
      <c r="F1141" s="641" t="s">
        <v>2017</v>
      </c>
      <c r="G1141" s="641" t="s">
        <v>120</v>
      </c>
      <c r="H1141" s="641" t="s">
        <v>54</v>
      </c>
      <c r="I1141" s="641" t="s">
        <v>125</v>
      </c>
      <c r="J1141" s="902">
        <v>44767.0</v>
      </c>
      <c r="K1141" s="641" t="s">
        <v>2356</v>
      </c>
      <c r="L1141" s="666"/>
      <c r="M1141" s="666"/>
      <c r="N1141" s="666"/>
      <c r="O1141" s="666"/>
      <c r="P1141" s="666"/>
      <c r="Q1141" s="666"/>
      <c r="R1141" s="666"/>
      <c r="S1141" s="666"/>
      <c r="T1141" s="666"/>
      <c r="U1141" s="666"/>
      <c r="V1141" s="666"/>
      <c r="W1141" s="666"/>
      <c r="X1141" s="666"/>
      <c r="Y1141" s="666"/>
      <c r="Z1141" s="666"/>
      <c r="AA1141" s="666"/>
      <c r="AB1141" s="666"/>
      <c r="AC1141" s="666"/>
      <c r="AD1141" s="666"/>
      <c r="AE1141" s="666"/>
      <c r="AF1141" s="666"/>
      <c r="AG1141" s="666"/>
      <c r="AH1141" s="666"/>
      <c r="AI1141" s="666"/>
      <c r="AJ1141" s="666"/>
      <c r="AK1141" s="666"/>
      <c r="AL1141" s="666"/>
      <c r="AM1141" s="666"/>
      <c r="AN1141" s="666"/>
      <c r="AO1141" s="666"/>
      <c r="AP1141" s="666"/>
      <c r="AQ1141" s="666"/>
      <c r="AR1141" s="666"/>
      <c r="AS1141" s="666"/>
      <c r="AT1141" s="666"/>
      <c r="AU1141" s="666"/>
    </row>
    <row r="1142" ht="15.75" customHeight="1">
      <c r="A1142" s="743"/>
      <c r="B1142" s="688"/>
      <c r="C1142" s="719"/>
      <c r="D1142" s="719"/>
      <c r="E1142" s="679"/>
      <c r="F1142" s="743"/>
      <c r="G1142" s="743"/>
      <c r="H1142" s="743"/>
      <c r="I1142" s="743"/>
      <c r="J1142" s="743"/>
      <c r="K1142" s="743"/>
      <c r="L1142" s="666"/>
      <c r="M1142" s="666"/>
      <c r="N1142" s="666"/>
      <c r="O1142" s="666"/>
      <c r="P1142" s="666"/>
      <c r="Q1142" s="666"/>
      <c r="R1142" s="666"/>
      <c r="S1142" s="666"/>
      <c r="T1142" s="666"/>
      <c r="U1142" s="666"/>
      <c r="V1142" s="666"/>
      <c r="W1142" s="666"/>
      <c r="X1142" s="666"/>
      <c r="Y1142" s="666"/>
      <c r="Z1142" s="666"/>
      <c r="AA1142" s="666"/>
      <c r="AB1142" s="666"/>
      <c r="AC1142" s="666"/>
      <c r="AD1142" s="666"/>
      <c r="AE1142" s="666"/>
      <c r="AF1142" s="666"/>
      <c r="AG1142" s="666"/>
      <c r="AH1142" s="666"/>
      <c r="AI1142" s="666"/>
      <c r="AJ1142" s="666"/>
      <c r="AK1142" s="666"/>
      <c r="AL1142" s="666"/>
      <c r="AM1142" s="666"/>
      <c r="AN1142" s="666"/>
      <c r="AO1142" s="666"/>
      <c r="AP1142" s="666"/>
      <c r="AQ1142" s="666"/>
      <c r="AR1142" s="666"/>
      <c r="AS1142" s="666"/>
      <c r="AT1142" s="666"/>
      <c r="AU1142" s="666"/>
    </row>
    <row r="1143" ht="15.75" customHeight="1">
      <c r="A1143" s="743"/>
      <c r="B1143" s="688"/>
      <c r="C1143" s="719"/>
      <c r="D1143" s="719"/>
      <c r="E1143" s="679"/>
      <c r="F1143" s="743"/>
      <c r="G1143" s="743"/>
      <c r="H1143" s="743"/>
      <c r="I1143" s="743"/>
      <c r="J1143" s="743"/>
      <c r="K1143" s="743"/>
      <c r="L1143" s="666"/>
      <c r="M1143" s="666"/>
      <c r="N1143" s="666"/>
      <c r="O1143" s="666"/>
      <c r="P1143" s="666"/>
      <c r="Q1143" s="666"/>
      <c r="R1143" s="666"/>
      <c r="S1143" s="666"/>
      <c r="T1143" s="666"/>
      <c r="U1143" s="666"/>
      <c r="V1143" s="666"/>
      <c r="W1143" s="666"/>
      <c r="X1143" s="666"/>
      <c r="Y1143" s="666"/>
      <c r="Z1143" s="666"/>
      <c r="AA1143" s="666"/>
      <c r="AB1143" s="666"/>
      <c r="AC1143" s="666"/>
      <c r="AD1143" s="666"/>
      <c r="AE1143" s="666"/>
      <c r="AF1143" s="666"/>
      <c r="AG1143" s="666"/>
      <c r="AH1143" s="666"/>
      <c r="AI1143" s="666"/>
      <c r="AJ1143" s="666"/>
      <c r="AK1143" s="666"/>
      <c r="AL1143" s="666"/>
      <c r="AM1143" s="666"/>
      <c r="AN1143" s="666"/>
      <c r="AO1143" s="666"/>
      <c r="AP1143" s="666"/>
      <c r="AQ1143" s="666"/>
      <c r="AR1143" s="666"/>
      <c r="AS1143" s="666"/>
      <c r="AT1143" s="666"/>
      <c r="AU1143" s="666"/>
    </row>
    <row r="1144" ht="15.75" customHeight="1">
      <c r="A1144" s="743"/>
      <c r="B1144" s="688"/>
      <c r="C1144" s="719"/>
      <c r="D1144" s="719"/>
      <c r="E1144" s="679"/>
      <c r="F1144" s="743"/>
      <c r="G1144" s="743"/>
      <c r="H1144" s="743"/>
      <c r="I1144" s="743"/>
      <c r="J1144" s="743"/>
      <c r="K1144" s="743"/>
      <c r="L1144" s="666"/>
      <c r="M1144" s="666"/>
      <c r="N1144" s="666"/>
      <c r="O1144" s="666"/>
      <c r="P1144" s="666"/>
      <c r="Q1144" s="666"/>
      <c r="R1144" s="666"/>
      <c r="S1144" s="666"/>
      <c r="T1144" s="666"/>
      <c r="U1144" s="666"/>
      <c r="V1144" s="666"/>
      <c r="W1144" s="666"/>
      <c r="X1144" s="666"/>
      <c r="Y1144" s="666"/>
      <c r="Z1144" s="666"/>
      <c r="AA1144" s="666"/>
      <c r="AB1144" s="666"/>
      <c r="AC1144" s="666"/>
      <c r="AD1144" s="666"/>
      <c r="AE1144" s="666"/>
      <c r="AF1144" s="666"/>
      <c r="AG1144" s="666"/>
      <c r="AH1144" s="666"/>
      <c r="AI1144" s="666"/>
      <c r="AJ1144" s="666"/>
      <c r="AK1144" s="666"/>
      <c r="AL1144" s="666"/>
      <c r="AM1144" s="666"/>
      <c r="AN1144" s="666"/>
      <c r="AO1144" s="666"/>
      <c r="AP1144" s="666"/>
      <c r="AQ1144" s="666"/>
      <c r="AR1144" s="666"/>
      <c r="AS1144" s="666"/>
      <c r="AT1144" s="666"/>
      <c r="AU1144" s="666"/>
    </row>
    <row r="1145" ht="15.75" customHeight="1">
      <c r="A1145" s="743"/>
      <c r="B1145" s="688"/>
      <c r="C1145" s="719"/>
      <c r="D1145" s="719"/>
      <c r="E1145" s="679"/>
      <c r="F1145" s="743"/>
      <c r="G1145" s="743"/>
      <c r="H1145" s="743"/>
      <c r="I1145" s="743"/>
      <c r="J1145" s="743"/>
      <c r="K1145" s="743"/>
      <c r="L1145" s="666"/>
      <c r="M1145" s="666"/>
      <c r="N1145" s="666"/>
      <c r="O1145" s="666"/>
      <c r="P1145" s="666"/>
      <c r="Q1145" s="666"/>
      <c r="R1145" s="666"/>
      <c r="S1145" s="666"/>
      <c r="T1145" s="666"/>
      <c r="U1145" s="666"/>
      <c r="V1145" s="666"/>
      <c r="W1145" s="666"/>
      <c r="X1145" s="666"/>
      <c r="Y1145" s="666"/>
      <c r="Z1145" s="666"/>
      <c r="AA1145" s="666"/>
      <c r="AB1145" s="666"/>
      <c r="AC1145" s="666"/>
      <c r="AD1145" s="666"/>
      <c r="AE1145" s="666"/>
      <c r="AF1145" s="666"/>
      <c r="AG1145" s="666"/>
      <c r="AH1145" s="666"/>
      <c r="AI1145" s="666"/>
      <c r="AJ1145" s="666"/>
      <c r="AK1145" s="666"/>
      <c r="AL1145" s="666"/>
      <c r="AM1145" s="666"/>
      <c r="AN1145" s="666"/>
      <c r="AO1145" s="666"/>
      <c r="AP1145" s="666"/>
      <c r="AQ1145" s="666"/>
      <c r="AR1145" s="666"/>
      <c r="AS1145" s="666"/>
      <c r="AT1145" s="666"/>
      <c r="AU1145" s="666"/>
    </row>
    <row r="1146" ht="15.75" customHeight="1">
      <c r="A1146" s="743"/>
      <c r="B1146" s="688"/>
      <c r="C1146" s="719"/>
      <c r="D1146" s="719"/>
      <c r="E1146" s="679"/>
      <c r="F1146" s="743"/>
      <c r="G1146" s="743"/>
      <c r="H1146" s="743"/>
      <c r="I1146" s="743"/>
      <c r="J1146" s="743"/>
      <c r="K1146" s="743"/>
      <c r="L1146" s="666"/>
      <c r="M1146" s="666"/>
      <c r="N1146" s="666"/>
      <c r="O1146" s="666"/>
      <c r="P1146" s="666"/>
      <c r="Q1146" s="666"/>
      <c r="R1146" s="666"/>
      <c r="S1146" s="666"/>
      <c r="T1146" s="666"/>
      <c r="U1146" s="666"/>
      <c r="V1146" s="666"/>
      <c r="W1146" s="666"/>
      <c r="X1146" s="666"/>
      <c r="Y1146" s="666"/>
      <c r="Z1146" s="666"/>
      <c r="AA1146" s="666"/>
      <c r="AB1146" s="666"/>
      <c r="AC1146" s="666"/>
      <c r="AD1146" s="666"/>
      <c r="AE1146" s="666"/>
      <c r="AF1146" s="666"/>
      <c r="AG1146" s="666"/>
      <c r="AH1146" s="666"/>
      <c r="AI1146" s="666"/>
      <c r="AJ1146" s="666"/>
      <c r="AK1146" s="666"/>
      <c r="AL1146" s="666"/>
      <c r="AM1146" s="666"/>
      <c r="AN1146" s="666"/>
      <c r="AO1146" s="666"/>
      <c r="AP1146" s="666"/>
      <c r="AQ1146" s="666"/>
      <c r="AR1146" s="666"/>
      <c r="AS1146" s="666"/>
      <c r="AT1146" s="666"/>
      <c r="AU1146" s="666"/>
    </row>
    <row r="1147" ht="15.75" customHeight="1">
      <c r="A1147" s="743"/>
      <c r="B1147" s="688"/>
      <c r="C1147" s="719"/>
      <c r="D1147" s="719"/>
      <c r="E1147" s="679"/>
      <c r="F1147" s="743"/>
      <c r="G1147" s="743"/>
      <c r="H1147" s="743"/>
      <c r="I1147" s="743"/>
      <c r="J1147" s="743"/>
      <c r="K1147" s="743"/>
      <c r="L1147" s="666"/>
      <c r="M1147" s="666"/>
      <c r="N1147" s="666"/>
      <c r="O1147" s="666"/>
      <c r="P1147" s="666"/>
      <c r="Q1147" s="666"/>
      <c r="R1147" s="666"/>
      <c r="S1147" s="666"/>
      <c r="T1147" s="666"/>
      <c r="U1147" s="666"/>
      <c r="V1147" s="666"/>
      <c r="W1147" s="666"/>
      <c r="X1147" s="666"/>
      <c r="Y1147" s="666"/>
      <c r="Z1147" s="666"/>
      <c r="AA1147" s="666"/>
      <c r="AB1147" s="666"/>
      <c r="AC1147" s="666"/>
      <c r="AD1147" s="666"/>
      <c r="AE1147" s="666"/>
      <c r="AF1147" s="666"/>
      <c r="AG1147" s="666"/>
      <c r="AH1147" s="666"/>
      <c r="AI1147" s="666"/>
      <c r="AJ1147" s="666"/>
      <c r="AK1147" s="666"/>
      <c r="AL1147" s="666"/>
      <c r="AM1147" s="666"/>
      <c r="AN1147" s="666"/>
      <c r="AO1147" s="666"/>
      <c r="AP1147" s="666"/>
      <c r="AQ1147" s="666"/>
      <c r="AR1147" s="666"/>
      <c r="AS1147" s="666"/>
      <c r="AT1147" s="666"/>
      <c r="AU1147" s="666"/>
    </row>
    <row r="1148" ht="15.75" customHeight="1">
      <c r="A1148" s="743"/>
      <c r="B1148" s="688"/>
      <c r="C1148" s="719"/>
      <c r="D1148" s="719"/>
      <c r="E1148" s="679"/>
      <c r="F1148" s="743"/>
      <c r="G1148" s="743"/>
      <c r="H1148" s="743"/>
      <c r="I1148" s="743"/>
      <c r="J1148" s="743"/>
      <c r="K1148" s="743"/>
      <c r="L1148" s="666"/>
      <c r="M1148" s="666"/>
      <c r="N1148" s="666"/>
      <c r="O1148" s="666"/>
      <c r="P1148" s="666"/>
      <c r="Q1148" s="666"/>
      <c r="R1148" s="666"/>
      <c r="S1148" s="666"/>
      <c r="T1148" s="666"/>
      <c r="U1148" s="666"/>
      <c r="V1148" s="666"/>
      <c r="W1148" s="666"/>
      <c r="X1148" s="666"/>
      <c r="Y1148" s="666"/>
      <c r="Z1148" s="666"/>
      <c r="AA1148" s="666"/>
      <c r="AB1148" s="666"/>
      <c r="AC1148" s="666"/>
      <c r="AD1148" s="666"/>
      <c r="AE1148" s="666"/>
      <c r="AF1148" s="666"/>
      <c r="AG1148" s="666"/>
      <c r="AH1148" s="666"/>
      <c r="AI1148" s="666"/>
      <c r="AJ1148" s="666"/>
      <c r="AK1148" s="666"/>
      <c r="AL1148" s="666"/>
      <c r="AM1148" s="666"/>
      <c r="AN1148" s="666"/>
      <c r="AO1148" s="666"/>
      <c r="AP1148" s="666"/>
      <c r="AQ1148" s="666"/>
      <c r="AR1148" s="666"/>
      <c r="AS1148" s="666"/>
      <c r="AT1148" s="666"/>
      <c r="AU1148" s="666"/>
    </row>
    <row r="1149" ht="15.75" customHeight="1">
      <c r="A1149" s="743"/>
      <c r="B1149" s="688"/>
      <c r="C1149" s="719"/>
      <c r="D1149" s="719"/>
      <c r="E1149" s="679"/>
      <c r="F1149" s="743"/>
      <c r="G1149" s="743"/>
      <c r="H1149" s="743"/>
      <c r="I1149" s="743"/>
      <c r="J1149" s="743"/>
      <c r="K1149" s="743"/>
      <c r="L1149" s="666"/>
      <c r="M1149" s="666"/>
      <c r="N1149" s="666"/>
      <c r="O1149" s="666"/>
      <c r="P1149" s="666"/>
      <c r="Q1149" s="666"/>
      <c r="R1149" s="666"/>
      <c r="S1149" s="666"/>
      <c r="T1149" s="666"/>
      <c r="U1149" s="666"/>
      <c r="V1149" s="666"/>
      <c r="W1149" s="666"/>
      <c r="X1149" s="666"/>
      <c r="Y1149" s="666"/>
      <c r="Z1149" s="666"/>
      <c r="AA1149" s="666"/>
      <c r="AB1149" s="666"/>
      <c r="AC1149" s="666"/>
      <c r="AD1149" s="666"/>
      <c r="AE1149" s="666"/>
      <c r="AF1149" s="666"/>
      <c r="AG1149" s="666"/>
      <c r="AH1149" s="666"/>
      <c r="AI1149" s="666"/>
      <c r="AJ1149" s="666"/>
      <c r="AK1149" s="666"/>
      <c r="AL1149" s="666"/>
      <c r="AM1149" s="666"/>
      <c r="AN1149" s="666"/>
      <c r="AO1149" s="666"/>
      <c r="AP1149" s="666"/>
      <c r="AQ1149" s="666"/>
      <c r="AR1149" s="666"/>
      <c r="AS1149" s="666"/>
      <c r="AT1149" s="666"/>
      <c r="AU1149" s="666"/>
    </row>
    <row r="1150" ht="15.75" customHeight="1">
      <c r="A1150" s="743"/>
      <c r="B1150" s="688"/>
      <c r="C1150" s="719"/>
      <c r="D1150" s="719"/>
      <c r="E1150" s="679"/>
      <c r="F1150" s="743"/>
      <c r="G1150" s="743"/>
      <c r="H1150" s="743"/>
      <c r="I1150" s="743"/>
      <c r="J1150" s="743"/>
      <c r="K1150" s="743"/>
      <c r="L1150" s="666"/>
      <c r="M1150" s="666"/>
      <c r="N1150" s="666"/>
      <c r="O1150" s="666"/>
      <c r="P1150" s="666"/>
      <c r="Q1150" s="666"/>
      <c r="R1150" s="666"/>
      <c r="S1150" s="666"/>
      <c r="T1150" s="666"/>
      <c r="U1150" s="666"/>
      <c r="V1150" s="666"/>
      <c r="W1150" s="666"/>
      <c r="X1150" s="666"/>
      <c r="Y1150" s="666"/>
      <c r="Z1150" s="666"/>
      <c r="AA1150" s="666"/>
      <c r="AB1150" s="666"/>
      <c r="AC1150" s="666"/>
      <c r="AD1150" s="666"/>
      <c r="AE1150" s="666"/>
      <c r="AF1150" s="666"/>
      <c r="AG1150" s="666"/>
      <c r="AH1150" s="666"/>
      <c r="AI1150" s="666"/>
      <c r="AJ1150" s="666"/>
      <c r="AK1150" s="666"/>
      <c r="AL1150" s="666"/>
      <c r="AM1150" s="666"/>
      <c r="AN1150" s="666"/>
      <c r="AO1150" s="666"/>
      <c r="AP1150" s="666"/>
      <c r="AQ1150" s="666"/>
      <c r="AR1150" s="666"/>
      <c r="AS1150" s="666"/>
      <c r="AT1150" s="666"/>
      <c r="AU1150" s="666"/>
    </row>
    <row r="1151" ht="15.75" customHeight="1">
      <c r="A1151" s="743"/>
      <c r="B1151" s="688"/>
      <c r="C1151" s="719"/>
      <c r="D1151" s="719"/>
      <c r="E1151" s="679"/>
      <c r="F1151" s="743"/>
      <c r="G1151" s="743"/>
      <c r="H1151" s="743"/>
      <c r="I1151" s="743"/>
      <c r="J1151" s="743"/>
      <c r="K1151" s="743"/>
      <c r="L1151" s="666"/>
      <c r="M1151" s="666"/>
      <c r="N1151" s="666"/>
      <c r="O1151" s="666"/>
      <c r="P1151" s="666"/>
      <c r="Q1151" s="666"/>
      <c r="R1151" s="666"/>
      <c r="S1151" s="666"/>
      <c r="T1151" s="666"/>
      <c r="U1151" s="666"/>
      <c r="V1151" s="666"/>
      <c r="W1151" s="666"/>
      <c r="X1151" s="666"/>
      <c r="Y1151" s="666"/>
      <c r="Z1151" s="666"/>
      <c r="AA1151" s="666"/>
      <c r="AB1151" s="666"/>
      <c r="AC1151" s="666"/>
      <c r="AD1151" s="666"/>
      <c r="AE1151" s="666"/>
      <c r="AF1151" s="666"/>
      <c r="AG1151" s="666"/>
      <c r="AH1151" s="666"/>
      <c r="AI1151" s="666"/>
      <c r="AJ1151" s="666"/>
      <c r="AK1151" s="666"/>
      <c r="AL1151" s="666"/>
      <c r="AM1151" s="666"/>
      <c r="AN1151" s="666"/>
      <c r="AO1151" s="666"/>
      <c r="AP1151" s="666"/>
      <c r="AQ1151" s="666"/>
      <c r="AR1151" s="666"/>
      <c r="AS1151" s="666"/>
      <c r="AT1151" s="666"/>
      <c r="AU1151" s="666"/>
    </row>
    <row r="1152" ht="15.75" customHeight="1">
      <c r="A1152" s="743"/>
      <c r="B1152" s="688"/>
      <c r="C1152" s="719"/>
      <c r="D1152" s="719"/>
      <c r="E1152" s="679"/>
      <c r="F1152" s="743"/>
      <c r="G1152" s="743"/>
      <c r="H1152" s="743"/>
      <c r="I1152" s="743"/>
      <c r="J1152" s="743"/>
      <c r="K1152" s="743"/>
      <c r="L1152" s="666"/>
      <c r="M1152" s="666"/>
      <c r="N1152" s="666"/>
      <c r="O1152" s="666"/>
      <c r="P1152" s="666"/>
      <c r="Q1152" s="666"/>
      <c r="R1152" s="666"/>
      <c r="S1152" s="666"/>
      <c r="T1152" s="666"/>
      <c r="U1152" s="666"/>
      <c r="V1152" s="666"/>
      <c r="W1152" s="666"/>
      <c r="X1152" s="666"/>
      <c r="Y1152" s="666"/>
      <c r="Z1152" s="666"/>
      <c r="AA1152" s="666"/>
      <c r="AB1152" s="666"/>
      <c r="AC1152" s="666"/>
      <c r="AD1152" s="666"/>
      <c r="AE1152" s="666"/>
      <c r="AF1152" s="666"/>
      <c r="AG1152" s="666"/>
      <c r="AH1152" s="666"/>
      <c r="AI1152" s="666"/>
      <c r="AJ1152" s="666"/>
      <c r="AK1152" s="666"/>
      <c r="AL1152" s="666"/>
      <c r="AM1152" s="666"/>
      <c r="AN1152" s="666"/>
      <c r="AO1152" s="666"/>
      <c r="AP1152" s="666"/>
      <c r="AQ1152" s="666"/>
      <c r="AR1152" s="666"/>
      <c r="AS1152" s="666"/>
      <c r="AT1152" s="666"/>
      <c r="AU1152" s="666"/>
    </row>
    <row r="1153" ht="15.75" customHeight="1">
      <c r="A1153" s="743"/>
      <c r="B1153" s="688"/>
      <c r="C1153" s="719"/>
      <c r="D1153" s="719"/>
      <c r="E1153" s="679"/>
      <c r="F1153" s="743"/>
      <c r="G1153" s="743"/>
      <c r="H1153" s="743"/>
      <c r="I1153" s="743"/>
      <c r="J1153" s="743"/>
      <c r="K1153" s="743"/>
      <c r="L1153" s="666"/>
      <c r="M1153" s="666"/>
      <c r="N1153" s="666"/>
      <c r="O1153" s="666"/>
      <c r="P1153" s="666"/>
      <c r="Q1153" s="666"/>
      <c r="R1153" s="666"/>
      <c r="S1153" s="666"/>
      <c r="T1153" s="666"/>
      <c r="U1153" s="666"/>
      <c r="V1153" s="666"/>
      <c r="W1153" s="666"/>
      <c r="X1153" s="666"/>
      <c r="Y1153" s="666"/>
      <c r="Z1153" s="666"/>
      <c r="AA1153" s="666"/>
      <c r="AB1153" s="666"/>
      <c r="AC1153" s="666"/>
      <c r="AD1153" s="666"/>
      <c r="AE1153" s="666"/>
      <c r="AF1153" s="666"/>
      <c r="AG1153" s="666"/>
      <c r="AH1153" s="666"/>
      <c r="AI1153" s="666"/>
      <c r="AJ1153" s="666"/>
      <c r="AK1153" s="666"/>
      <c r="AL1153" s="666"/>
      <c r="AM1153" s="666"/>
      <c r="AN1153" s="666"/>
      <c r="AO1153" s="666"/>
      <c r="AP1153" s="666"/>
      <c r="AQ1153" s="666"/>
      <c r="AR1153" s="666"/>
      <c r="AS1153" s="666"/>
      <c r="AT1153" s="666"/>
      <c r="AU1153" s="666"/>
    </row>
    <row r="1154" ht="15.75" customHeight="1">
      <c r="A1154" s="743"/>
      <c r="B1154" s="688"/>
      <c r="C1154" s="719"/>
      <c r="D1154" s="719"/>
      <c r="E1154" s="679"/>
      <c r="F1154" s="743"/>
      <c r="G1154" s="743"/>
      <c r="H1154" s="743"/>
      <c r="I1154" s="743"/>
      <c r="J1154" s="743"/>
      <c r="K1154" s="743"/>
      <c r="L1154" s="666"/>
      <c r="M1154" s="666"/>
      <c r="N1154" s="666"/>
      <c r="O1154" s="666"/>
      <c r="P1154" s="666"/>
      <c r="Q1154" s="666"/>
      <c r="R1154" s="666"/>
      <c r="S1154" s="666"/>
      <c r="T1154" s="666"/>
      <c r="U1154" s="666"/>
      <c r="V1154" s="666"/>
      <c r="W1154" s="666"/>
      <c r="X1154" s="666"/>
      <c r="Y1154" s="666"/>
      <c r="Z1154" s="666"/>
      <c r="AA1154" s="666"/>
      <c r="AB1154" s="666"/>
      <c r="AC1154" s="666"/>
      <c r="AD1154" s="666"/>
      <c r="AE1154" s="666"/>
      <c r="AF1154" s="666"/>
      <c r="AG1154" s="666"/>
      <c r="AH1154" s="666"/>
      <c r="AI1154" s="666"/>
      <c r="AJ1154" s="666"/>
      <c r="AK1154" s="666"/>
      <c r="AL1154" s="666"/>
      <c r="AM1154" s="666"/>
      <c r="AN1154" s="666"/>
      <c r="AO1154" s="666"/>
      <c r="AP1154" s="666"/>
      <c r="AQ1154" s="666"/>
      <c r="AR1154" s="666"/>
      <c r="AS1154" s="666"/>
      <c r="AT1154" s="666"/>
      <c r="AU1154" s="666"/>
    </row>
    <row r="1155" ht="15.75" customHeight="1">
      <c r="A1155" s="743"/>
      <c r="B1155" s="688"/>
      <c r="C1155" s="719"/>
      <c r="D1155" s="719"/>
      <c r="E1155" s="679"/>
      <c r="F1155" s="743"/>
      <c r="G1155" s="743"/>
      <c r="H1155" s="743"/>
      <c r="I1155" s="743"/>
      <c r="J1155" s="743"/>
      <c r="K1155" s="743"/>
      <c r="L1155" s="666"/>
      <c r="M1155" s="666"/>
      <c r="N1155" s="666"/>
      <c r="O1155" s="666"/>
      <c r="P1155" s="666"/>
      <c r="Q1155" s="666"/>
      <c r="R1155" s="666"/>
      <c r="S1155" s="666"/>
      <c r="T1155" s="666"/>
      <c r="U1155" s="666"/>
      <c r="V1155" s="666"/>
      <c r="W1155" s="666"/>
      <c r="X1155" s="666"/>
      <c r="Y1155" s="666"/>
      <c r="Z1155" s="666"/>
      <c r="AA1155" s="666"/>
      <c r="AB1155" s="666"/>
      <c r="AC1155" s="666"/>
      <c r="AD1155" s="666"/>
      <c r="AE1155" s="666"/>
      <c r="AF1155" s="666"/>
      <c r="AG1155" s="666"/>
      <c r="AH1155" s="666"/>
      <c r="AI1155" s="666"/>
      <c r="AJ1155" s="666"/>
      <c r="AK1155" s="666"/>
      <c r="AL1155" s="666"/>
      <c r="AM1155" s="666"/>
      <c r="AN1155" s="666"/>
      <c r="AO1155" s="666"/>
      <c r="AP1155" s="666"/>
      <c r="AQ1155" s="666"/>
      <c r="AR1155" s="666"/>
      <c r="AS1155" s="666"/>
      <c r="AT1155" s="666"/>
      <c r="AU1155" s="666"/>
    </row>
    <row r="1156" ht="15.75" customHeight="1">
      <c r="A1156" s="743"/>
      <c r="B1156" s="688"/>
      <c r="C1156" s="719"/>
      <c r="D1156" s="719"/>
      <c r="E1156" s="679"/>
      <c r="F1156" s="743"/>
      <c r="G1156" s="743"/>
      <c r="H1156" s="743"/>
      <c r="I1156" s="743"/>
      <c r="J1156" s="743"/>
      <c r="K1156" s="743"/>
      <c r="L1156" s="666"/>
      <c r="M1156" s="666"/>
      <c r="N1156" s="666"/>
      <c r="O1156" s="666"/>
      <c r="P1156" s="666"/>
      <c r="Q1156" s="666"/>
      <c r="R1156" s="666"/>
      <c r="S1156" s="666"/>
      <c r="T1156" s="666"/>
      <c r="U1156" s="666"/>
      <c r="V1156" s="666"/>
      <c r="W1156" s="666"/>
      <c r="X1156" s="666"/>
      <c r="Y1156" s="666"/>
      <c r="Z1156" s="666"/>
      <c r="AA1156" s="666"/>
      <c r="AB1156" s="666"/>
      <c r="AC1156" s="666"/>
      <c r="AD1156" s="666"/>
      <c r="AE1156" s="666"/>
      <c r="AF1156" s="666"/>
      <c r="AG1156" s="666"/>
      <c r="AH1156" s="666"/>
      <c r="AI1156" s="666"/>
      <c r="AJ1156" s="666"/>
      <c r="AK1156" s="666"/>
      <c r="AL1156" s="666"/>
      <c r="AM1156" s="666"/>
      <c r="AN1156" s="666"/>
      <c r="AO1156" s="666"/>
      <c r="AP1156" s="666"/>
      <c r="AQ1156" s="666"/>
      <c r="AR1156" s="666"/>
      <c r="AS1156" s="666"/>
      <c r="AT1156" s="666"/>
      <c r="AU1156" s="666"/>
    </row>
    <row r="1157" ht="15.75" customHeight="1">
      <c r="A1157" s="743"/>
      <c r="B1157" s="688"/>
      <c r="C1157" s="719"/>
      <c r="D1157" s="719"/>
      <c r="E1157" s="679"/>
      <c r="F1157" s="743"/>
      <c r="G1157" s="743"/>
      <c r="H1157" s="743"/>
      <c r="I1157" s="743"/>
      <c r="J1157" s="743"/>
      <c r="K1157" s="743"/>
      <c r="L1157" s="666"/>
      <c r="M1157" s="666"/>
      <c r="N1157" s="666"/>
      <c r="O1157" s="666"/>
      <c r="P1157" s="666"/>
      <c r="Q1157" s="666"/>
      <c r="R1157" s="666"/>
      <c r="S1157" s="666"/>
      <c r="T1157" s="666"/>
      <c r="U1157" s="666"/>
      <c r="V1157" s="666"/>
      <c r="W1157" s="666"/>
      <c r="X1157" s="666"/>
      <c r="Y1157" s="666"/>
      <c r="Z1157" s="666"/>
      <c r="AA1157" s="666"/>
      <c r="AB1157" s="666"/>
      <c r="AC1157" s="666"/>
      <c r="AD1157" s="666"/>
      <c r="AE1157" s="666"/>
      <c r="AF1157" s="666"/>
      <c r="AG1157" s="666"/>
      <c r="AH1157" s="666"/>
      <c r="AI1157" s="666"/>
      <c r="AJ1157" s="666"/>
      <c r="AK1157" s="666"/>
      <c r="AL1157" s="666"/>
      <c r="AM1157" s="666"/>
      <c r="AN1157" s="666"/>
      <c r="AO1157" s="666"/>
      <c r="AP1157" s="666"/>
      <c r="AQ1157" s="666"/>
      <c r="AR1157" s="666"/>
      <c r="AS1157" s="666"/>
      <c r="AT1157" s="666"/>
      <c r="AU1157" s="666"/>
    </row>
    <row r="1158" ht="15.75" customHeight="1">
      <c r="A1158" s="743"/>
      <c r="B1158" s="688"/>
      <c r="C1158" s="719"/>
      <c r="D1158" s="719"/>
      <c r="E1158" s="679"/>
      <c r="F1158" s="743"/>
      <c r="G1158" s="743"/>
      <c r="H1158" s="743"/>
      <c r="I1158" s="743"/>
      <c r="J1158" s="743"/>
      <c r="K1158" s="743"/>
      <c r="L1158" s="666"/>
      <c r="M1158" s="666"/>
      <c r="N1158" s="666"/>
      <c r="O1158" s="666"/>
      <c r="P1158" s="666"/>
      <c r="Q1158" s="666"/>
      <c r="R1158" s="666"/>
      <c r="S1158" s="666"/>
      <c r="T1158" s="666"/>
      <c r="U1158" s="666"/>
      <c r="V1158" s="666"/>
      <c r="W1158" s="666"/>
      <c r="X1158" s="666"/>
      <c r="Y1158" s="666"/>
      <c r="Z1158" s="666"/>
      <c r="AA1158" s="666"/>
      <c r="AB1158" s="666"/>
      <c r="AC1158" s="666"/>
      <c r="AD1158" s="666"/>
      <c r="AE1158" s="666"/>
      <c r="AF1158" s="666"/>
      <c r="AG1158" s="666"/>
      <c r="AH1158" s="666"/>
      <c r="AI1158" s="666"/>
      <c r="AJ1158" s="666"/>
      <c r="AK1158" s="666"/>
      <c r="AL1158" s="666"/>
      <c r="AM1158" s="666"/>
      <c r="AN1158" s="666"/>
      <c r="AO1158" s="666"/>
      <c r="AP1158" s="666"/>
      <c r="AQ1158" s="666"/>
      <c r="AR1158" s="666"/>
      <c r="AS1158" s="666"/>
      <c r="AT1158" s="666"/>
      <c r="AU1158" s="666"/>
    </row>
    <row r="1159" ht="15.75" customHeight="1">
      <c r="A1159" s="743"/>
      <c r="B1159" s="688"/>
      <c r="C1159" s="719"/>
      <c r="D1159" s="719"/>
      <c r="E1159" s="679"/>
      <c r="F1159" s="743"/>
      <c r="G1159" s="743"/>
      <c r="H1159" s="743"/>
      <c r="I1159" s="743"/>
      <c r="J1159" s="743"/>
      <c r="K1159" s="743"/>
      <c r="L1159" s="666"/>
      <c r="M1159" s="666"/>
      <c r="N1159" s="666"/>
      <c r="O1159" s="666"/>
      <c r="P1159" s="666"/>
      <c r="Q1159" s="666"/>
      <c r="R1159" s="666"/>
      <c r="S1159" s="666"/>
      <c r="T1159" s="666"/>
      <c r="U1159" s="666"/>
      <c r="V1159" s="666"/>
      <c r="W1159" s="666"/>
      <c r="X1159" s="666"/>
      <c r="Y1159" s="666"/>
      <c r="Z1159" s="666"/>
      <c r="AA1159" s="666"/>
      <c r="AB1159" s="666"/>
      <c r="AC1159" s="666"/>
      <c r="AD1159" s="666"/>
      <c r="AE1159" s="666"/>
      <c r="AF1159" s="666"/>
      <c r="AG1159" s="666"/>
      <c r="AH1159" s="666"/>
      <c r="AI1159" s="666"/>
      <c r="AJ1159" s="666"/>
      <c r="AK1159" s="666"/>
      <c r="AL1159" s="666"/>
      <c r="AM1159" s="666"/>
      <c r="AN1159" s="666"/>
      <c r="AO1159" s="666"/>
      <c r="AP1159" s="666"/>
      <c r="AQ1159" s="666"/>
      <c r="AR1159" s="666"/>
      <c r="AS1159" s="666"/>
      <c r="AT1159" s="666"/>
      <c r="AU1159" s="666"/>
    </row>
    <row r="1160" ht="15.75" customHeight="1">
      <c r="A1160" s="743"/>
      <c r="B1160" s="688"/>
      <c r="C1160" s="719"/>
      <c r="D1160" s="719"/>
      <c r="E1160" s="679"/>
      <c r="F1160" s="743"/>
      <c r="G1160" s="743"/>
      <c r="H1160" s="743"/>
      <c r="I1160" s="743"/>
      <c r="J1160" s="743"/>
      <c r="K1160" s="743"/>
      <c r="L1160" s="666"/>
      <c r="M1160" s="666"/>
      <c r="N1160" s="666"/>
      <c r="O1160" s="666"/>
      <c r="P1160" s="666"/>
      <c r="Q1160" s="666"/>
      <c r="R1160" s="666"/>
      <c r="S1160" s="666"/>
      <c r="T1160" s="666"/>
      <c r="U1160" s="666"/>
      <c r="V1160" s="666"/>
      <c r="W1160" s="666"/>
      <c r="X1160" s="666"/>
      <c r="Y1160" s="666"/>
      <c r="Z1160" s="666"/>
      <c r="AA1160" s="666"/>
      <c r="AB1160" s="666"/>
      <c r="AC1160" s="666"/>
      <c r="AD1160" s="666"/>
      <c r="AE1160" s="666"/>
      <c r="AF1160" s="666"/>
      <c r="AG1160" s="666"/>
      <c r="AH1160" s="666"/>
      <c r="AI1160" s="666"/>
      <c r="AJ1160" s="666"/>
      <c r="AK1160" s="666"/>
      <c r="AL1160" s="666"/>
      <c r="AM1160" s="666"/>
      <c r="AN1160" s="666"/>
      <c r="AO1160" s="666"/>
      <c r="AP1160" s="666"/>
      <c r="AQ1160" s="666"/>
      <c r="AR1160" s="666"/>
      <c r="AS1160" s="666"/>
      <c r="AT1160" s="666"/>
      <c r="AU1160" s="666"/>
    </row>
    <row r="1161" ht="15.75" customHeight="1">
      <c r="A1161" s="743"/>
      <c r="B1161" s="688"/>
      <c r="C1161" s="719"/>
      <c r="D1161" s="719"/>
      <c r="E1161" s="679"/>
      <c r="F1161" s="743"/>
      <c r="G1161" s="743"/>
      <c r="H1161" s="743"/>
      <c r="I1161" s="743"/>
      <c r="J1161" s="743"/>
      <c r="K1161" s="743"/>
      <c r="L1161" s="666"/>
      <c r="M1161" s="666"/>
      <c r="N1161" s="666"/>
      <c r="O1161" s="666"/>
      <c r="P1161" s="666"/>
      <c r="Q1161" s="666"/>
      <c r="R1161" s="666"/>
      <c r="S1161" s="666"/>
      <c r="T1161" s="666"/>
      <c r="U1161" s="666"/>
      <c r="V1161" s="666"/>
      <c r="W1161" s="666"/>
      <c r="X1161" s="666"/>
      <c r="Y1161" s="666"/>
      <c r="Z1161" s="666"/>
      <c r="AA1161" s="666"/>
      <c r="AB1161" s="666"/>
      <c r="AC1161" s="666"/>
      <c r="AD1161" s="666"/>
      <c r="AE1161" s="666"/>
      <c r="AF1161" s="666"/>
      <c r="AG1161" s="666"/>
      <c r="AH1161" s="666"/>
      <c r="AI1161" s="666"/>
      <c r="AJ1161" s="666"/>
      <c r="AK1161" s="666"/>
      <c r="AL1161" s="666"/>
      <c r="AM1161" s="666"/>
      <c r="AN1161" s="666"/>
      <c r="AO1161" s="666"/>
      <c r="AP1161" s="666"/>
      <c r="AQ1161" s="666"/>
      <c r="AR1161" s="666"/>
      <c r="AS1161" s="666"/>
      <c r="AT1161" s="666"/>
      <c r="AU1161" s="666"/>
    </row>
    <row r="1162" ht="15.75" customHeight="1">
      <c r="A1162" s="743"/>
      <c r="B1162" s="688"/>
      <c r="C1162" s="719"/>
      <c r="D1162" s="719"/>
      <c r="E1162" s="679"/>
      <c r="F1162" s="743"/>
      <c r="G1162" s="743"/>
      <c r="H1162" s="743"/>
      <c r="I1162" s="743"/>
      <c r="J1162" s="743"/>
      <c r="K1162" s="743"/>
      <c r="L1162" s="666"/>
      <c r="M1162" s="666"/>
      <c r="N1162" s="666"/>
      <c r="O1162" s="666"/>
      <c r="P1162" s="666"/>
      <c r="Q1162" s="666"/>
      <c r="R1162" s="666"/>
      <c r="S1162" s="666"/>
      <c r="T1162" s="666"/>
      <c r="U1162" s="666"/>
      <c r="V1162" s="666"/>
      <c r="W1162" s="666"/>
      <c r="X1162" s="666"/>
      <c r="Y1162" s="666"/>
      <c r="Z1162" s="666"/>
      <c r="AA1162" s="666"/>
      <c r="AB1162" s="666"/>
      <c r="AC1162" s="666"/>
      <c r="AD1162" s="666"/>
      <c r="AE1162" s="666"/>
      <c r="AF1162" s="666"/>
      <c r="AG1162" s="666"/>
      <c r="AH1162" s="666"/>
      <c r="AI1162" s="666"/>
      <c r="AJ1162" s="666"/>
      <c r="AK1162" s="666"/>
      <c r="AL1162" s="666"/>
      <c r="AM1162" s="666"/>
      <c r="AN1162" s="666"/>
      <c r="AO1162" s="666"/>
      <c r="AP1162" s="666"/>
      <c r="AQ1162" s="666"/>
      <c r="AR1162" s="666"/>
      <c r="AS1162" s="666"/>
      <c r="AT1162" s="666"/>
      <c r="AU1162" s="666"/>
    </row>
    <row r="1163" ht="15.75" customHeight="1">
      <c r="A1163" s="743"/>
      <c r="B1163" s="688"/>
      <c r="C1163" s="719"/>
      <c r="D1163" s="719"/>
      <c r="E1163" s="679"/>
      <c r="F1163" s="743"/>
      <c r="G1163" s="743"/>
      <c r="H1163" s="743"/>
      <c r="I1163" s="743"/>
      <c r="J1163" s="743"/>
      <c r="K1163" s="743"/>
      <c r="L1163" s="666"/>
      <c r="M1163" s="666"/>
      <c r="N1163" s="666"/>
      <c r="O1163" s="666"/>
      <c r="P1163" s="666"/>
      <c r="Q1163" s="666"/>
      <c r="R1163" s="666"/>
      <c r="S1163" s="666"/>
      <c r="T1163" s="666"/>
      <c r="U1163" s="666"/>
      <c r="V1163" s="666"/>
      <c r="W1163" s="666"/>
      <c r="X1163" s="666"/>
      <c r="Y1163" s="666"/>
      <c r="Z1163" s="666"/>
      <c r="AA1163" s="666"/>
      <c r="AB1163" s="666"/>
      <c r="AC1163" s="666"/>
      <c r="AD1163" s="666"/>
      <c r="AE1163" s="666"/>
      <c r="AF1163" s="666"/>
      <c r="AG1163" s="666"/>
      <c r="AH1163" s="666"/>
      <c r="AI1163" s="666"/>
      <c r="AJ1163" s="666"/>
      <c r="AK1163" s="666"/>
      <c r="AL1163" s="666"/>
      <c r="AM1163" s="666"/>
      <c r="AN1163" s="666"/>
      <c r="AO1163" s="666"/>
      <c r="AP1163" s="666"/>
      <c r="AQ1163" s="666"/>
      <c r="AR1163" s="666"/>
      <c r="AS1163" s="666"/>
      <c r="AT1163" s="666"/>
      <c r="AU1163" s="666"/>
    </row>
    <row r="1164" ht="15.75" customHeight="1">
      <c r="A1164" s="743"/>
      <c r="B1164" s="688"/>
      <c r="C1164" s="719"/>
      <c r="D1164" s="719"/>
      <c r="E1164" s="679"/>
      <c r="F1164" s="743"/>
      <c r="G1164" s="743"/>
      <c r="H1164" s="743"/>
      <c r="I1164" s="743"/>
      <c r="J1164" s="743"/>
      <c r="K1164" s="743"/>
      <c r="L1164" s="666"/>
      <c r="M1164" s="666"/>
      <c r="N1164" s="666"/>
      <c r="O1164" s="666"/>
      <c r="P1164" s="666"/>
      <c r="Q1164" s="666"/>
      <c r="R1164" s="666"/>
      <c r="S1164" s="666"/>
      <c r="T1164" s="666"/>
      <c r="U1164" s="666"/>
      <c r="V1164" s="666"/>
      <c r="W1164" s="666"/>
      <c r="X1164" s="666"/>
      <c r="Y1164" s="666"/>
      <c r="Z1164" s="666"/>
      <c r="AA1164" s="666"/>
      <c r="AB1164" s="666"/>
      <c r="AC1164" s="666"/>
      <c r="AD1164" s="666"/>
      <c r="AE1164" s="666"/>
      <c r="AF1164" s="666"/>
      <c r="AG1164" s="666"/>
      <c r="AH1164" s="666"/>
      <c r="AI1164" s="666"/>
      <c r="AJ1164" s="666"/>
      <c r="AK1164" s="666"/>
      <c r="AL1164" s="666"/>
      <c r="AM1164" s="666"/>
      <c r="AN1164" s="666"/>
      <c r="AO1164" s="666"/>
      <c r="AP1164" s="666"/>
      <c r="AQ1164" s="666"/>
      <c r="AR1164" s="666"/>
      <c r="AS1164" s="666"/>
      <c r="AT1164" s="666"/>
      <c r="AU1164" s="666"/>
    </row>
    <row r="1165" ht="15.75" customHeight="1">
      <c r="A1165" s="743"/>
      <c r="B1165" s="688"/>
      <c r="C1165" s="719"/>
      <c r="D1165" s="719"/>
      <c r="E1165" s="679"/>
      <c r="F1165" s="743"/>
      <c r="G1165" s="743"/>
      <c r="H1165" s="743"/>
      <c r="I1165" s="743"/>
      <c r="J1165" s="743"/>
      <c r="K1165" s="743"/>
      <c r="L1165" s="666"/>
      <c r="M1165" s="666"/>
      <c r="N1165" s="666"/>
      <c r="O1165" s="666"/>
      <c r="P1165" s="666"/>
      <c r="Q1165" s="666"/>
      <c r="R1165" s="666"/>
      <c r="S1165" s="666"/>
      <c r="T1165" s="666"/>
      <c r="U1165" s="666"/>
      <c r="V1165" s="666"/>
      <c r="W1165" s="666"/>
      <c r="X1165" s="666"/>
      <c r="Y1165" s="666"/>
      <c r="Z1165" s="666"/>
      <c r="AA1165" s="666"/>
      <c r="AB1165" s="666"/>
      <c r="AC1165" s="666"/>
      <c r="AD1165" s="666"/>
      <c r="AE1165" s="666"/>
      <c r="AF1165" s="666"/>
      <c r="AG1165" s="666"/>
      <c r="AH1165" s="666"/>
      <c r="AI1165" s="666"/>
      <c r="AJ1165" s="666"/>
      <c r="AK1165" s="666"/>
      <c r="AL1165" s="666"/>
      <c r="AM1165" s="666"/>
      <c r="AN1165" s="666"/>
      <c r="AO1165" s="666"/>
      <c r="AP1165" s="666"/>
      <c r="AQ1165" s="666"/>
      <c r="AR1165" s="666"/>
      <c r="AS1165" s="666"/>
      <c r="AT1165" s="666"/>
      <c r="AU1165" s="666"/>
    </row>
    <row r="1166" ht="15.75" customHeight="1">
      <c r="A1166" s="743"/>
      <c r="B1166" s="688"/>
      <c r="C1166" s="719"/>
      <c r="D1166" s="719"/>
      <c r="E1166" s="679"/>
      <c r="F1166" s="743"/>
      <c r="G1166" s="743"/>
      <c r="H1166" s="743"/>
      <c r="I1166" s="743"/>
      <c r="J1166" s="743"/>
      <c r="K1166" s="743"/>
      <c r="L1166" s="666"/>
      <c r="M1166" s="666"/>
      <c r="N1166" s="666"/>
      <c r="O1166" s="666"/>
      <c r="P1166" s="666"/>
      <c r="Q1166" s="666"/>
      <c r="R1166" s="666"/>
      <c r="S1166" s="666"/>
      <c r="T1166" s="666"/>
      <c r="U1166" s="666"/>
      <c r="V1166" s="666"/>
      <c r="W1166" s="666"/>
      <c r="X1166" s="666"/>
      <c r="Y1166" s="666"/>
      <c r="Z1166" s="666"/>
      <c r="AA1166" s="666"/>
      <c r="AB1166" s="666"/>
      <c r="AC1166" s="666"/>
      <c r="AD1166" s="666"/>
      <c r="AE1166" s="666"/>
      <c r="AF1166" s="666"/>
      <c r="AG1166" s="666"/>
      <c r="AH1166" s="666"/>
      <c r="AI1166" s="666"/>
      <c r="AJ1166" s="666"/>
      <c r="AK1166" s="666"/>
      <c r="AL1166" s="666"/>
      <c r="AM1166" s="666"/>
      <c r="AN1166" s="666"/>
      <c r="AO1166" s="666"/>
      <c r="AP1166" s="666"/>
      <c r="AQ1166" s="666"/>
      <c r="AR1166" s="666"/>
      <c r="AS1166" s="666"/>
      <c r="AT1166" s="666"/>
      <c r="AU1166" s="666"/>
    </row>
    <row r="1167" ht="15.75" customHeight="1">
      <c r="A1167" s="743"/>
      <c r="B1167" s="688"/>
      <c r="C1167" s="719"/>
      <c r="D1167" s="719"/>
      <c r="E1167" s="679"/>
      <c r="F1167" s="743"/>
      <c r="G1167" s="743"/>
      <c r="H1167" s="743"/>
      <c r="I1167" s="743"/>
      <c r="J1167" s="743"/>
      <c r="K1167" s="743"/>
      <c r="L1167" s="666"/>
      <c r="M1167" s="666"/>
      <c r="N1167" s="666"/>
      <c r="O1167" s="666"/>
      <c r="P1167" s="666"/>
      <c r="Q1167" s="666"/>
      <c r="R1167" s="666"/>
      <c r="S1167" s="666"/>
      <c r="T1167" s="666"/>
      <c r="U1167" s="666"/>
      <c r="V1167" s="666"/>
      <c r="W1167" s="666"/>
      <c r="X1167" s="666"/>
      <c r="Y1167" s="666"/>
      <c r="Z1167" s="666"/>
      <c r="AA1167" s="666"/>
      <c r="AB1167" s="666"/>
      <c r="AC1167" s="666"/>
      <c r="AD1167" s="666"/>
      <c r="AE1167" s="666"/>
      <c r="AF1167" s="666"/>
      <c r="AG1167" s="666"/>
      <c r="AH1167" s="666"/>
      <c r="AI1167" s="666"/>
      <c r="AJ1167" s="666"/>
      <c r="AK1167" s="666"/>
      <c r="AL1167" s="666"/>
      <c r="AM1167" s="666"/>
      <c r="AN1167" s="666"/>
      <c r="AO1167" s="666"/>
      <c r="AP1167" s="666"/>
      <c r="AQ1167" s="666"/>
      <c r="AR1167" s="666"/>
      <c r="AS1167" s="666"/>
      <c r="AT1167" s="666"/>
      <c r="AU1167" s="666"/>
    </row>
    <row r="1168" ht="15.75" customHeight="1">
      <c r="A1168" s="743"/>
      <c r="B1168" s="688"/>
      <c r="C1168" s="719"/>
      <c r="D1168" s="719"/>
      <c r="E1168" s="679"/>
      <c r="F1168" s="743"/>
      <c r="G1168" s="743"/>
      <c r="H1168" s="743"/>
      <c r="I1168" s="743"/>
      <c r="J1168" s="743"/>
      <c r="K1168" s="743"/>
      <c r="L1168" s="666"/>
      <c r="M1168" s="666"/>
      <c r="N1168" s="666"/>
      <c r="O1168" s="666"/>
      <c r="P1168" s="666"/>
      <c r="Q1168" s="666"/>
      <c r="R1168" s="666"/>
      <c r="S1168" s="666"/>
      <c r="T1168" s="666"/>
      <c r="U1168" s="666"/>
      <c r="V1168" s="666"/>
      <c r="W1168" s="666"/>
      <c r="X1168" s="666"/>
      <c r="Y1168" s="666"/>
      <c r="Z1168" s="666"/>
      <c r="AA1168" s="666"/>
      <c r="AB1168" s="666"/>
      <c r="AC1168" s="666"/>
      <c r="AD1168" s="666"/>
      <c r="AE1168" s="666"/>
      <c r="AF1168" s="666"/>
      <c r="AG1168" s="666"/>
      <c r="AH1168" s="666"/>
      <c r="AI1168" s="666"/>
      <c r="AJ1168" s="666"/>
      <c r="AK1168" s="666"/>
      <c r="AL1168" s="666"/>
      <c r="AM1168" s="666"/>
      <c r="AN1168" s="666"/>
      <c r="AO1168" s="666"/>
      <c r="AP1168" s="666"/>
      <c r="AQ1168" s="666"/>
      <c r="AR1168" s="666"/>
      <c r="AS1168" s="666"/>
      <c r="AT1168" s="666"/>
      <c r="AU1168" s="666"/>
    </row>
    <row r="1169" ht="15.75" customHeight="1">
      <c r="A1169" s="743"/>
      <c r="B1169" s="688"/>
      <c r="C1169" s="719"/>
      <c r="D1169" s="719"/>
      <c r="E1169" s="679"/>
      <c r="F1169" s="743"/>
      <c r="G1169" s="743"/>
      <c r="H1169" s="743"/>
      <c r="I1169" s="743"/>
      <c r="J1169" s="743"/>
      <c r="K1169" s="743"/>
      <c r="L1169" s="666"/>
      <c r="M1169" s="666"/>
      <c r="N1169" s="666"/>
      <c r="O1169" s="666"/>
      <c r="P1169" s="666"/>
      <c r="Q1169" s="666"/>
      <c r="R1169" s="666"/>
      <c r="S1169" s="666"/>
      <c r="T1169" s="666"/>
      <c r="U1169" s="666"/>
      <c r="V1169" s="666"/>
      <c r="W1169" s="666"/>
      <c r="X1169" s="666"/>
      <c r="Y1169" s="666"/>
      <c r="Z1169" s="666"/>
      <c r="AA1169" s="666"/>
      <c r="AB1169" s="666"/>
      <c r="AC1169" s="666"/>
      <c r="AD1169" s="666"/>
      <c r="AE1169" s="666"/>
      <c r="AF1169" s="666"/>
      <c r="AG1169" s="666"/>
      <c r="AH1169" s="666"/>
      <c r="AI1169" s="666"/>
      <c r="AJ1169" s="666"/>
      <c r="AK1169" s="666"/>
      <c r="AL1169" s="666"/>
      <c r="AM1169" s="666"/>
      <c r="AN1169" s="666"/>
      <c r="AO1169" s="666"/>
      <c r="AP1169" s="666"/>
      <c r="AQ1169" s="666"/>
      <c r="AR1169" s="666"/>
      <c r="AS1169" s="666"/>
      <c r="AT1169" s="666"/>
      <c r="AU1169" s="666"/>
    </row>
    <row r="1170" ht="15.75" customHeight="1">
      <c r="A1170" s="743"/>
      <c r="B1170" s="688"/>
      <c r="C1170" s="719"/>
      <c r="D1170" s="719"/>
      <c r="E1170" s="679"/>
      <c r="F1170" s="743"/>
      <c r="G1170" s="743"/>
      <c r="H1170" s="743"/>
      <c r="I1170" s="743"/>
      <c r="J1170" s="743"/>
      <c r="K1170" s="743"/>
      <c r="L1170" s="666"/>
      <c r="M1170" s="666"/>
      <c r="N1170" s="666"/>
      <c r="O1170" s="666"/>
      <c r="P1170" s="666"/>
      <c r="Q1170" s="666"/>
      <c r="R1170" s="666"/>
      <c r="S1170" s="666"/>
      <c r="T1170" s="666"/>
      <c r="U1170" s="666"/>
      <c r="V1170" s="666"/>
      <c r="W1170" s="666"/>
      <c r="X1170" s="666"/>
      <c r="Y1170" s="666"/>
      <c r="Z1170" s="666"/>
      <c r="AA1170" s="666"/>
      <c r="AB1170" s="666"/>
      <c r="AC1170" s="666"/>
      <c r="AD1170" s="666"/>
      <c r="AE1170" s="666"/>
      <c r="AF1170" s="666"/>
      <c r="AG1170" s="666"/>
      <c r="AH1170" s="666"/>
      <c r="AI1170" s="666"/>
      <c r="AJ1170" s="666"/>
      <c r="AK1170" s="666"/>
      <c r="AL1170" s="666"/>
      <c r="AM1170" s="666"/>
      <c r="AN1170" s="666"/>
      <c r="AO1170" s="666"/>
      <c r="AP1170" s="666"/>
      <c r="AQ1170" s="666"/>
      <c r="AR1170" s="666"/>
      <c r="AS1170" s="666"/>
      <c r="AT1170" s="666"/>
      <c r="AU1170" s="666"/>
    </row>
    <row r="1171" ht="15.75" customHeight="1">
      <c r="A1171" s="743"/>
      <c r="B1171" s="688"/>
      <c r="C1171" s="719"/>
      <c r="D1171" s="719"/>
      <c r="E1171" s="679"/>
      <c r="F1171" s="743"/>
      <c r="G1171" s="743"/>
      <c r="H1171" s="743"/>
      <c r="I1171" s="743"/>
      <c r="J1171" s="743"/>
      <c r="K1171" s="743"/>
      <c r="L1171" s="666"/>
      <c r="M1171" s="666"/>
      <c r="N1171" s="666"/>
      <c r="O1171" s="666"/>
      <c r="P1171" s="666"/>
      <c r="Q1171" s="666"/>
      <c r="R1171" s="666"/>
      <c r="S1171" s="666"/>
      <c r="T1171" s="666"/>
      <c r="U1171" s="666"/>
      <c r="V1171" s="666"/>
      <c r="W1171" s="666"/>
      <c r="X1171" s="666"/>
      <c r="Y1171" s="666"/>
      <c r="Z1171" s="666"/>
      <c r="AA1171" s="666"/>
      <c r="AB1171" s="666"/>
      <c r="AC1171" s="666"/>
      <c r="AD1171" s="666"/>
      <c r="AE1171" s="666"/>
      <c r="AF1171" s="666"/>
      <c r="AG1171" s="666"/>
      <c r="AH1171" s="666"/>
      <c r="AI1171" s="666"/>
      <c r="AJ1171" s="666"/>
      <c r="AK1171" s="666"/>
      <c r="AL1171" s="666"/>
      <c r="AM1171" s="666"/>
      <c r="AN1171" s="666"/>
      <c r="AO1171" s="666"/>
      <c r="AP1171" s="666"/>
      <c r="AQ1171" s="666"/>
      <c r="AR1171" s="666"/>
      <c r="AS1171" s="666"/>
      <c r="AT1171" s="666"/>
      <c r="AU1171" s="666"/>
    </row>
    <row r="1172" ht="15.75" customHeight="1">
      <c r="A1172" s="743"/>
      <c r="B1172" s="688"/>
      <c r="C1172" s="719"/>
      <c r="D1172" s="719"/>
      <c r="E1172" s="679"/>
      <c r="F1172" s="743"/>
      <c r="G1172" s="743"/>
      <c r="H1172" s="743"/>
      <c r="I1172" s="743"/>
      <c r="J1172" s="743"/>
      <c r="K1172" s="743"/>
      <c r="L1172" s="666"/>
      <c r="M1172" s="666"/>
      <c r="N1172" s="666"/>
      <c r="O1172" s="666"/>
      <c r="P1172" s="666"/>
      <c r="Q1172" s="666"/>
      <c r="R1172" s="666"/>
      <c r="S1172" s="666"/>
      <c r="T1172" s="666"/>
      <c r="U1172" s="666"/>
      <c r="V1172" s="666"/>
      <c r="W1172" s="666"/>
      <c r="X1172" s="666"/>
      <c r="Y1172" s="666"/>
      <c r="Z1172" s="666"/>
      <c r="AA1172" s="666"/>
      <c r="AB1172" s="666"/>
      <c r="AC1172" s="666"/>
      <c r="AD1172" s="666"/>
      <c r="AE1172" s="666"/>
      <c r="AF1172" s="666"/>
      <c r="AG1172" s="666"/>
      <c r="AH1172" s="666"/>
      <c r="AI1172" s="666"/>
      <c r="AJ1172" s="666"/>
      <c r="AK1172" s="666"/>
      <c r="AL1172" s="666"/>
      <c r="AM1172" s="666"/>
      <c r="AN1172" s="666"/>
      <c r="AO1172" s="666"/>
      <c r="AP1172" s="666"/>
      <c r="AQ1172" s="666"/>
      <c r="AR1172" s="666"/>
      <c r="AS1172" s="666"/>
      <c r="AT1172" s="666"/>
      <c r="AU1172" s="666"/>
    </row>
    <row r="1173" ht="15.75" customHeight="1">
      <c r="A1173" s="743"/>
      <c r="B1173" s="688"/>
      <c r="C1173" s="719"/>
      <c r="D1173" s="719"/>
      <c r="E1173" s="679"/>
      <c r="F1173" s="743"/>
      <c r="G1173" s="743"/>
      <c r="H1173" s="743"/>
      <c r="I1173" s="743"/>
      <c r="J1173" s="743"/>
      <c r="K1173" s="743"/>
      <c r="L1173" s="666"/>
      <c r="M1173" s="666"/>
      <c r="N1173" s="666"/>
      <c r="O1173" s="666"/>
      <c r="P1173" s="666"/>
      <c r="Q1173" s="666"/>
      <c r="R1173" s="666"/>
      <c r="S1173" s="666"/>
      <c r="T1173" s="666"/>
      <c r="U1173" s="666"/>
      <c r="V1173" s="666"/>
      <c r="W1173" s="666"/>
      <c r="X1173" s="666"/>
      <c r="Y1173" s="666"/>
      <c r="Z1173" s="666"/>
      <c r="AA1173" s="666"/>
      <c r="AB1173" s="666"/>
      <c r="AC1173" s="666"/>
      <c r="AD1173" s="666"/>
      <c r="AE1173" s="666"/>
      <c r="AF1173" s="666"/>
      <c r="AG1173" s="666"/>
      <c r="AH1173" s="666"/>
      <c r="AI1173" s="666"/>
      <c r="AJ1173" s="666"/>
      <c r="AK1173" s="666"/>
      <c r="AL1173" s="666"/>
      <c r="AM1173" s="666"/>
      <c r="AN1173" s="666"/>
      <c r="AO1173" s="666"/>
      <c r="AP1173" s="666"/>
      <c r="AQ1173" s="666"/>
      <c r="AR1173" s="666"/>
      <c r="AS1173" s="666"/>
      <c r="AT1173" s="666"/>
      <c r="AU1173" s="666"/>
    </row>
    <row r="1174" ht="15.75" customHeight="1">
      <c r="A1174" s="743"/>
      <c r="B1174" s="688"/>
      <c r="C1174" s="719"/>
      <c r="D1174" s="719"/>
      <c r="E1174" s="679"/>
      <c r="F1174" s="743"/>
      <c r="G1174" s="743"/>
      <c r="H1174" s="743"/>
      <c r="I1174" s="743"/>
      <c r="J1174" s="743"/>
      <c r="K1174" s="743"/>
      <c r="L1174" s="666"/>
      <c r="M1174" s="666"/>
      <c r="N1174" s="666"/>
      <c r="O1174" s="666"/>
      <c r="P1174" s="666"/>
      <c r="Q1174" s="666"/>
      <c r="R1174" s="666"/>
      <c r="S1174" s="666"/>
      <c r="T1174" s="666"/>
      <c r="U1174" s="666"/>
      <c r="V1174" s="666"/>
      <c r="W1174" s="666"/>
      <c r="X1174" s="666"/>
      <c r="Y1174" s="666"/>
      <c r="Z1174" s="666"/>
      <c r="AA1174" s="666"/>
      <c r="AB1174" s="666"/>
      <c r="AC1174" s="666"/>
      <c r="AD1174" s="666"/>
      <c r="AE1174" s="666"/>
      <c r="AF1174" s="666"/>
      <c r="AG1174" s="666"/>
      <c r="AH1174" s="666"/>
      <c r="AI1174" s="666"/>
      <c r="AJ1174" s="666"/>
      <c r="AK1174" s="666"/>
      <c r="AL1174" s="666"/>
      <c r="AM1174" s="666"/>
      <c r="AN1174" s="666"/>
      <c r="AO1174" s="666"/>
      <c r="AP1174" s="666"/>
      <c r="AQ1174" s="666"/>
      <c r="AR1174" s="666"/>
      <c r="AS1174" s="666"/>
      <c r="AT1174" s="666"/>
      <c r="AU1174" s="666"/>
    </row>
    <row r="1175" ht="15.75" customHeight="1">
      <c r="A1175" s="743"/>
      <c r="B1175" s="688"/>
      <c r="C1175" s="719"/>
      <c r="D1175" s="719"/>
      <c r="E1175" s="679"/>
      <c r="F1175" s="743"/>
      <c r="G1175" s="743"/>
      <c r="H1175" s="743"/>
      <c r="I1175" s="743"/>
      <c r="J1175" s="743"/>
      <c r="K1175" s="743"/>
      <c r="L1175" s="666"/>
      <c r="M1175" s="666"/>
      <c r="N1175" s="666"/>
      <c r="O1175" s="666"/>
      <c r="P1175" s="666"/>
      <c r="Q1175" s="666"/>
      <c r="R1175" s="666"/>
      <c r="S1175" s="666"/>
      <c r="T1175" s="666"/>
      <c r="U1175" s="666"/>
      <c r="V1175" s="666"/>
      <c r="W1175" s="666"/>
      <c r="X1175" s="666"/>
      <c r="Y1175" s="666"/>
      <c r="Z1175" s="666"/>
      <c r="AA1175" s="666"/>
      <c r="AB1175" s="666"/>
      <c r="AC1175" s="666"/>
      <c r="AD1175" s="666"/>
      <c r="AE1175" s="666"/>
      <c r="AF1175" s="666"/>
      <c r="AG1175" s="666"/>
      <c r="AH1175" s="666"/>
      <c r="AI1175" s="666"/>
      <c r="AJ1175" s="666"/>
      <c r="AK1175" s="666"/>
      <c r="AL1175" s="666"/>
      <c r="AM1175" s="666"/>
      <c r="AN1175" s="666"/>
      <c r="AO1175" s="666"/>
      <c r="AP1175" s="666"/>
      <c r="AQ1175" s="666"/>
      <c r="AR1175" s="666"/>
      <c r="AS1175" s="666"/>
      <c r="AT1175" s="666"/>
      <c r="AU1175" s="666"/>
    </row>
    <row r="1176" ht="15.75" customHeight="1">
      <c r="A1176" s="743"/>
      <c r="B1176" s="688"/>
      <c r="C1176" s="719"/>
      <c r="D1176" s="719"/>
      <c r="E1176" s="679"/>
      <c r="F1176" s="743"/>
      <c r="G1176" s="743"/>
      <c r="H1176" s="743"/>
      <c r="I1176" s="743"/>
      <c r="J1176" s="743"/>
      <c r="K1176" s="743"/>
      <c r="L1176" s="666"/>
      <c r="M1176" s="666"/>
      <c r="N1176" s="666"/>
      <c r="O1176" s="666"/>
      <c r="P1176" s="666"/>
      <c r="Q1176" s="666"/>
      <c r="R1176" s="666"/>
      <c r="S1176" s="666"/>
      <c r="T1176" s="666"/>
      <c r="U1176" s="666"/>
      <c r="V1176" s="666"/>
      <c r="W1176" s="666"/>
      <c r="X1176" s="666"/>
      <c r="Y1176" s="666"/>
      <c r="Z1176" s="666"/>
      <c r="AA1176" s="666"/>
      <c r="AB1176" s="666"/>
      <c r="AC1176" s="666"/>
      <c r="AD1176" s="666"/>
      <c r="AE1176" s="666"/>
      <c r="AF1176" s="666"/>
      <c r="AG1176" s="666"/>
      <c r="AH1176" s="666"/>
      <c r="AI1176" s="666"/>
      <c r="AJ1176" s="666"/>
      <c r="AK1176" s="666"/>
      <c r="AL1176" s="666"/>
      <c r="AM1176" s="666"/>
      <c r="AN1176" s="666"/>
      <c r="AO1176" s="666"/>
      <c r="AP1176" s="666"/>
      <c r="AQ1176" s="666"/>
      <c r="AR1176" s="666"/>
      <c r="AS1176" s="666"/>
      <c r="AT1176" s="666"/>
      <c r="AU1176" s="666"/>
    </row>
    <row r="1177" ht="15.75" customHeight="1">
      <c r="A1177" s="743"/>
      <c r="B1177" s="688"/>
      <c r="C1177" s="719"/>
      <c r="D1177" s="719"/>
      <c r="E1177" s="679"/>
      <c r="F1177" s="743"/>
      <c r="G1177" s="743"/>
      <c r="H1177" s="743"/>
      <c r="I1177" s="743"/>
      <c r="J1177" s="743"/>
      <c r="K1177" s="743"/>
      <c r="L1177" s="666"/>
      <c r="M1177" s="666"/>
      <c r="N1177" s="666"/>
      <c r="O1177" s="666"/>
      <c r="P1177" s="666"/>
      <c r="Q1177" s="666"/>
      <c r="R1177" s="666"/>
      <c r="S1177" s="666"/>
      <c r="T1177" s="666"/>
      <c r="U1177" s="666"/>
      <c r="V1177" s="666"/>
      <c r="W1177" s="666"/>
      <c r="X1177" s="666"/>
      <c r="Y1177" s="666"/>
      <c r="Z1177" s="666"/>
      <c r="AA1177" s="666"/>
      <c r="AB1177" s="666"/>
      <c r="AC1177" s="666"/>
      <c r="AD1177" s="666"/>
      <c r="AE1177" s="666"/>
      <c r="AF1177" s="666"/>
      <c r="AG1177" s="666"/>
      <c r="AH1177" s="666"/>
      <c r="AI1177" s="666"/>
      <c r="AJ1177" s="666"/>
      <c r="AK1177" s="666"/>
      <c r="AL1177" s="666"/>
      <c r="AM1177" s="666"/>
      <c r="AN1177" s="666"/>
      <c r="AO1177" s="666"/>
      <c r="AP1177" s="666"/>
      <c r="AQ1177" s="666"/>
      <c r="AR1177" s="666"/>
      <c r="AS1177" s="666"/>
      <c r="AT1177" s="666"/>
      <c r="AU1177" s="666"/>
    </row>
    <row r="1178" ht="15.75" customHeight="1">
      <c r="A1178" s="743"/>
      <c r="B1178" s="688"/>
      <c r="C1178" s="719"/>
      <c r="D1178" s="719"/>
      <c r="E1178" s="679"/>
      <c r="F1178" s="743"/>
      <c r="G1178" s="743"/>
      <c r="H1178" s="743"/>
      <c r="I1178" s="743"/>
      <c r="J1178" s="743"/>
      <c r="K1178" s="743"/>
      <c r="L1178" s="666"/>
      <c r="M1178" s="666"/>
      <c r="N1178" s="666"/>
      <c r="O1178" s="666"/>
      <c r="P1178" s="666"/>
      <c r="Q1178" s="666"/>
      <c r="R1178" s="666"/>
      <c r="S1178" s="666"/>
      <c r="T1178" s="666"/>
      <c r="U1178" s="666"/>
      <c r="V1178" s="666"/>
      <c r="W1178" s="666"/>
      <c r="X1178" s="666"/>
      <c r="Y1178" s="666"/>
      <c r="Z1178" s="666"/>
      <c r="AA1178" s="666"/>
      <c r="AB1178" s="666"/>
      <c r="AC1178" s="666"/>
      <c r="AD1178" s="666"/>
      <c r="AE1178" s="666"/>
      <c r="AF1178" s="666"/>
      <c r="AG1178" s="666"/>
      <c r="AH1178" s="666"/>
      <c r="AI1178" s="666"/>
      <c r="AJ1178" s="666"/>
      <c r="AK1178" s="666"/>
      <c r="AL1178" s="666"/>
      <c r="AM1178" s="666"/>
      <c r="AN1178" s="666"/>
      <c r="AO1178" s="666"/>
      <c r="AP1178" s="666"/>
      <c r="AQ1178" s="666"/>
      <c r="AR1178" s="666"/>
      <c r="AS1178" s="666"/>
      <c r="AT1178" s="666"/>
      <c r="AU1178" s="666"/>
    </row>
    <row r="1179" ht="15.75" customHeight="1">
      <c r="A1179" s="743"/>
      <c r="B1179" s="688"/>
      <c r="C1179" s="719"/>
      <c r="D1179" s="719"/>
      <c r="E1179" s="679"/>
      <c r="F1179" s="743"/>
      <c r="G1179" s="743"/>
      <c r="H1179" s="743"/>
      <c r="I1179" s="743"/>
      <c r="J1179" s="743"/>
      <c r="K1179" s="743"/>
      <c r="L1179" s="666"/>
      <c r="M1179" s="666"/>
      <c r="N1179" s="666"/>
      <c r="O1179" s="666"/>
      <c r="P1179" s="666"/>
      <c r="Q1179" s="666"/>
      <c r="R1179" s="666"/>
      <c r="S1179" s="666"/>
      <c r="T1179" s="666"/>
      <c r="U1179" s="666"/>
      <c r="V1179" s="666"/>
      <c r="W1179" s="666"/>
      <c r="X1179" s="666"/>
      <c r="Y1179" s="666"/>
      <c r="Z1179" s="666"/>
      <c r="AA1179" s="666"/>
      <c r="AB1179" s="666"/>
      <c r="AC1179" s="666"/>
      <c r="AD1179" s="666"/>
      <c r="AE1179" s="666"/>
      <c r="AF1179" s="666"/>
      <c r="AG1179" s="666"/>
      <c r="AH1179" s="666"/>
      <c r="AI1179" s="666"/>
      <c r="AJ1179" s="666"/>
      <c r="AK1179" s="666"/>
      <c r="AL1179" s="666"/>
      <c r="AM1179" s="666"/>
      <c r="AN1179" s="666"/>
      <c r="AO1179" s="666"/>
      <c r="AP1179" s="666"/>
      <c r="AQ1179" s="666"/>
      <c r="AR1179" s="666"/>
      <c r="AS1179" s="666"/>
      <c r="AT1179" s="666"/>
      <c r="AU1179" s="666"/>
    </row>
    <row r="1180" ht="15.75" customHeight="1">
      <c r="A1180" s="743"/>
      <c r="B1180" s="688"/>
      <c r="C1180" s="719"/>
      <c r="D1180" s="719"/>
      <c r="E1180" s="679"/>
      <c r="F1180" s="743"/>
      <c r="G1180" s="743"/>
      <c r="H1180" s="743"/>
      <c r="I1180" s="743"/>
      <c r="J1180" s="743"/>
      <c r="K1180" s="743"/>
      <c r="L1180" s="666"/>
      <c r="M1180" s="666"/>
      <c r="N1180" s="666"/>
      <c r="O1180" s="666"/>
      <c r="P1180" s="666"/>
      <c r="Q1180" s="666"/>
      <c r="R1180" s="666"/>
      <c r="S1180" s="666"/>
      <c r="T1180" s="666"/>
      <c r="U1180" s="666"/>
      <c r="V1180" s="666"/>
      <c r="W1180" s="666"/>
      <c r="X1180" s="666"/>
      <c r="Y1180" s="666"/>
      <c r="Z1180" s="666"/>
      <c r="AA1180" s="666"/>
      <c r="AB1180" s="666"/>
      <c r="AC1180" s="666"/>
      <c r="AD1180" s="666"/>
      <c r="AE1180" s="666"/>
      <c r="AF1180" s="666"/>
      <c r="AG1180" s="666"/>
      <c r="AH1180" s="666"/>
      <c r="AI1180" s="666"/>
      <c r="AJ1180" s="666"/>
      <c r="AK1180" s="666"/>
      <c r="AL1180" s="666"/>
      <c r="AM1180" s="666"/>
      <c r="AN1180" s="666"/>
      <c r="AO1180" s="666"/>
      <c r="AP1180" s="666"/>
      <c r="AQ1180" s="666"/>
      <c r="AR1180" s="666"/>
      <c r="AS1180" s="666"/>
      <c r="AT1180" s="666"/>
      <c r="AU1180" s="666"/>
    </row>
    <row r="1181" ht="15.75" customHeight="1">
      <c r="A1181" s="743"/>
      <c r="B1181" s="688"/>
      <c r="C1181" s="719"/>
      <c r="D1181" s="719"/>
      <c r="E1181" s="679"/>
      <c r="F1181" s="743"/>
      <c r="G1181" s="743"/>
      <c r="H1181" s="743"/>
      <c r="I1181" s="743"/>
      <c r="J1181" s="743"/>
      <c r="K1181" s="743"/>
      <c r="L1181" s="666"/>
      <c r="M1181" s="666"/>
      <c r="N1181" s="666"/>
      <c r="O1181" s="666"/>
      <c r="P1181" s="666"/>
      <c r="Q1181" s="666"/>
      <c r="R1181" s="666"/>
      <c r="S1181" s="666"/>
      <c r="T1181" s="666"/>
      <c r="U1181" s="666"/>
      <c r="V1181" s="666"/>
      <c r="W1181" s="666"/>
      <c r="X1181" s="666"/>
      <c r="Y1181" s="666"/>
      <c r="Z1181" s="666"/>
      <c r="AA1181" s="666"/>
      <c r="AB1181" s="666"/>
      <c r="AC1181" s="666"/>
      <c r="AD1181" s="666"/>
      <c r="AE1181" s="666"/>
      <c r="AF1181" s="666"/>
      <c r="AG1181" s="666"/>
      <c r="AH1181" s="666"/>
      <c r="AI1181" s="666"/>
      <c r="AJ1181" s="666"/>
      <c r="AK1181" s="666"/>
      <c r="AL1181" s="666"/>
      <c r="AM1181" s="666"/>
      <c r="AN1181" s="666"/>
      <c r="AO1181" s="666"/>
      <c r="AP1181" s="666"/>
      <c r="AQ1181" s="666"/>
      <c r="AR1181" s="666"/>
      <c r="AS1181" s="666"/>
      <c r="AT1181" s="666"/>
      <c r="AU1181" s="666"/>
    </row>
    <row r="1182" ht="15.75" customHeight="1">
      <c r="A1182" s="743"/>
      <c r="B1182" s="688"/>
      <c r="C1182" s="719"/>
      <c r="D1182" s="719"/>
      <c r="E1182" s="679"/>
      <c r="F1182" s="743"/>
      <c r="G1182" s="743"/>
      <c r="H1182" s="743"/>
      <c r="I1182" s="743"/>
      <c r="J1182" s="743"/>
      <c r="K1182" s="743"/>
      <c r="L1182" s="666"/>
      <c r="M1182" s="666"/>
      <c r="N1182" s="666"/>
      <c r="O1182" s="666"/>
      <c r="P1182" s="666"/>
      <c r="Q1182" s="666"/>
      <c r="R1182" s="666"/>
      <c r="S1182" s="666"/>
      <c r="T1182" s="666"/>
      <c r="U1182" s="666"/>
      <c r="V1182" s="666"/>
      <c r="W1182" s="666"/>
      <c r="X1182" s="666"/>
      <c r="Y1182" s="666"/>
      <c r="Z1182" s="666"/>
      <c r="AA1182" s="666"/>
      <c r="AB1182" s="666"/>
      <c r="AC1182" s="666"/>
      <c r="AD1182" s="666"/>
      <c r="AE1182" s="666"/>
      <c r="AF1182" s="666"/>
      <c r="AG1182" s="666"/>
      <c r="AH1182" s="666"/>
      <c r="AI1182" s="666"/>
      <c r="AJ1182" s="666"/>
      <c r="AK1182" s="666"/>
      <c r="AL1182" s="666"/>
      <c r="AM1182" s="666"/>
      <c r="AN1182" s="666"/>
      <c r="AO1182" s="666"/>
      <c r="AP1182" s="666"/>
      <c r="AQ1182" s="666"/>
      <c r="AR1182" s="666"/>
      <c r="AS1182" s="666"/>
      <c r="AT1182" s="666"/>
      <c r="AU1182" s="666"/>
    </row>
    <row r="1183" ht="15.75" customHeight="1">
      <c r="A1183" s="743"/>
      <c r="B1183" s="688"/>
      <c r="C1183" s="719"/>
      <c r="D1183" s="719"/>
      <c r="E1183" s="679"/>
      <c r="F1183" s="743"/>
      <c r="G1183" s="743"/>
      <c r="H1183" s="743"/>
      <c r="I1183" s="743"/>
      <c r="J1183" s="743"/>
      <c r="K1183" s="743"/>
      <c r="L1183" s="666"/>
      <c r="M1183" s="666"/>
      <c r="N1183" s="666"/>
      <c r="O1183" s="666"/>
      <c r="P1183" s="666"/>
      <c r="Q1183" s="666"/>
      <c r="R1183" s="666"/>
      <c r="S1183" s="666"/>
      <c r="T1183" s="666"/>
      <c r="U1183" s="666"/>
      <c r="V1183" s="666"/>
      <c r="W1183" s="666"/>
      <c r="X1183" s="666"/>
      <c r="Y1183" s="666"/>
      <c r="Z1183" s="666"/>
      <c r="AA1183" s="666"/>
      <c r="AB1183" s="666"/>
      <c r="AC1183" s="666"/>
      <c r="AD1183" s="666"/>
      <c r="AE1183" s="666"/>
      <c r="AF1183" s="666"/>
      <c r="AG1183" s="666"/>
      <c r="AH1183" s="666"/>
      <c r="AI1183" s="666"/>
      <c r="AJ1183" s="666"/>
      <c r="AK1183" s="666"/>
      <c r="AL1183" s="666"/>
      <c r="AM1183" s="666"/>
      <c r="AN1183" s="666"/>
      <c r="AO1183" s="666"/>
      <c r="AP1183" s="666"/>
      <c r="AQ1183" s="666"/>
      <c r="AR1183" s="666"/>
      <c r="AS1183" s="666"/>
      <c r="AT1183" s="666"/>
      <c r="AU1183" s="666"/>
    </row>
    <row r="1184" ht="15.75" customHeight="1">
      <c r="A1184" s="743"/>
      <c r="B1184" s="688"/>
      <c r="C1184" s="719"/>
      <c r="D1184" s="719"/>
      <c r="E1184" s="679"/>
      <c r="F1184" s="743"/>
      <c r="G1184" s="743"/>
      <c r="H1184" s="743"/>
      <c r="I1184" s="743"/>
      <c r="J1184" s="743"/>
      <c r="K1184" s="743"/>
      <c r="L1184" s="666"/>
      <c r="M1184" s="666"/>
      <c r="N1184" s="666"/>
      <c r="O1184" s="666"/>
      <c r="P1184" s="666"/>
      <c r="Q1184" s="666"/>
      <c r="R1184" s="666"/>
      <c r="S1184" s="666"/>
      <c r="T1184" s="666"/>
      <c r="U1184" s="666"/>
      <c r="V1184" s="666"/>
      <c r="W1184" s="666"/>
      <c r="X1184" s="666"/>
      <c r="Y1184" s="666"/>
      <c r="Z1184" s="666"/>
      <c r="AA1184" s="666"/>
      <c r="AB1184" s="666"/>
      <c r="AC1184" s="666"/>
      <c r="AD1184" s="666"/>
      <c r="AE1184" s="666"/>
      <c r="AF1184" s="666"/>
      <c r="AG1184" s="666"/>
      <c r="AH1184" s="666"/>
      <c r="AI1184" s="666"/>
      <c r="AJ1184" s="666"/>
      <c r="AK1184" s="666"/>
      <c r="AL1184" s="666"/>
      <c r="AM1184" s="666"/>
      <c r="AN1184" s="666"/>
      <c r="AO1184" s="666"/>
      <c r="AP1184" s="666"/>
      <c r="AQ1184" s="666"/>
      <c r="AR1184" s="666"/>
      <c r="AS1184" s="666"/>
      <c r="AT1184" s="666"/>
      <c r="AU1184" s="666"/>
    </row>
    <row r="1185" ht="15.75" customHeight="1">
      <c r="A1185" s="743"/>
      <c r="B1185" s="688"/>
      <c r="C1185" s="719"/>
      <c r="D1185" s="719"/>
      <c r="E1185" s="679"/>
      <c r="F1185" s="743"/>
      <c r="G1185" s="743"/>
      <c r="H1185" s="743"/>
      <c r="I1185" s="743"/>
      <c r="J1185" s="743"/>
      <c r="K1185" s="743"/>
      <c r="L1185" s="666"/>
      <c r="M1185" s="666"/>
      <c r="N1185" s="666"/>
      <c r="O1185" s="666"/>
      <c r="P1185" s="666"/>
      <c r="Q1185" s="666"/>
      <c r="R1185" s="666"/>
      <c r="S1185" s="666"/>
      <c r="T1185" s="666"/>
      <c r="U1185" s="666"/>
      <c r="V1185" s="666"/>
      <c r="W1185" s="666"/>
      <c r="X1185" s="666"/>
      <c r="Y1185" s="666"/>
      <c r="Z1185" s="666"/>
      <c r="AA1185" s="666"/>
      <c r="AB1185" s="666"/>
      <c r="AC1185" s="666"/>
      <c r="AD1185" s="666"/>
      <c r="AE1185" s="666"/>
      <c r="AF1185" s="666"/>
      <c r="AG1185" s="666"/>
      <c r="AH1185" s="666"/>
      <c r="AI1185" s="666"/>
      <c r="AJ1185" s="666"/>
      <c r="AK1185" s="666"/>
      <c r="AL1185" s="666"/>
      <c r="AM1185" s="666"/>
      <c r="AN1185" s="666"/>
      <c r="AO1185" s="666"/>
      <c r="AP1185" s="666"/>
      <c r="AQ1185" s="666"/>
      <c r="AR1185" s="666"/>
      <c r="AS1185" s="666"/>
      <c r="AT1185" s="666"/>
      <c r="AU1185" s="666"/>
    </row>
    <row r="1186" ht="15.75" customHeight="1">
      <c r="A1186" s="743"/>
      <c r="B1186" s="688"/>
      <c r="C1186" s="719"/>
      <c r="D1186" s="719"/>
      <c r="E1186" s="679"/>
      <c r="F1186" s="743"/>
      <c r="G1186" s="743"/>
      <c r="H1186" s="743"/>
      <c r="I1186" s="743"/>
      <c r="J1186" s="743"/>
      <c r="K1186" s="743"/>
      <c r="L1186" s="666"/>
      <c r="M1186" s="666"/>
      <c r="N1186" s="666"/>
      <c r="O1186" s="666"/>
      <c r="P1186" s="666"/>
      <c r="Q1186" s="666"/>
      <c r="R1186" s="666"/>
      <c r="S1186" s="666"/>
      <c r="T1186" s="666"/>
      <c r="U1186" s="666"/>
      <c r="V1186" s="666"/>
      <c r="W1186" s="666"/>
      <c r="X1186" s="666"/>
      <c r="Y1186" s="666"/>
      <c r="Z1186" s="666"/>
      <c r="AA1186" s="666"/>
      <c r="AB1186" s="666"/>
      <c r="AC1186" s="666"/>
      <c r="AD1186" s="666"/>
      <c r="AE1186" s="666"/>
      <c r="AF1186" s="666"/>
      <c r="AG1186" s="666"/>
      <c r="AH1186" s="666"/>
      <c r="AI1186" s="666"/>
      <c r="AJ1186" s="666"/>
      <c r="AK1186" s="666"/>
      <c r="AL1186" s="666"/>
      <c r="AM1186" s="666"/>
      <c r="AN1186" s="666"/>
      <c r="AO1186" s="666"/>
      <c r="AP1186" s="666"/>
      <c r="AQ1186" s="666"/>
      <c r="AR1186" s="666"/>
      <c r="AS1186" s="666"/>
      <c r="AT1186" s="666"/>
      <c r="AU1186" s="666"/>
    </row>
    <row r="1187" ht="15.75" customHeight="1">
      <c r="A1187" s="743"/>
      <c r="B1187" s="688"/>
      <c r="C1187" s="719"/>
      <c r="D1187" s="719"/>
      <c r="E1187" s="679"/>
      <c r="F1187" s="743"/>
      <c r="G1187" s="743"/>
      <c r="H1187" s="743"/>
      <c r="I1187" s="743"/>
      <c r="J1187" s="743"/>
      <c r="K1187" s="743"/>
      <c r="L1187" s="666"/>
      <c r="M1187" s="666"/>
      <c r="N1187" s="666"/>
      <c r="O1187" s="666"/>
      <c r="P1187" s="666"/>
      <c r="Q1187" s="666"/>
      <c r="R1187" s="666"/>
      <c r="S1187" s="666"/>
      <c r="T1187" s="666"/>
      <c r="U1187" s="666"/>
      <c r="V1187" s="666"/>
      <c r="W1187" s="666"/>
      <c r="X1187" s="666"/>
      <c r="Y1187" s="666"/>
      <c r="Z1187" s="666"/>
      <c r="AA1187" s="666"/>
      <c r="AB1187" s="666"/>
      <c r="AC1187" s="666"/>
      <c r="AD1187" s="666"/>
      <c r="AE1187" s="666"/>
      <c r="AF1187" s="666"/>
      <c r="AG1187" s="666"/>
      <c r="AH1187" s="666"/>
      <c r="AI1187" s="666"/>
      <c r="AJ1187" s="666"/>
      <c r="AK1187" s="666"/>
      <c r="AL1187" s="666"/>
      <c r="AM1187" s="666"/>
      <c r="AN1187" s="666"/>
      <c r="AO1187" s="666"/>
      <c r="AP1187" s="666"/>
      <c r="AQ1187" s="666"/>
      <c r="AR1187" s="666"/>
      <c r="AS1187" s="666"/>
      <c r="AT1187" s="666"/>
      <c r="AU1187" s="666"/>
    </row>
    <row r="1188" ht="15.75" customHeight="1">
      <c r="A1188" s="743"/>
      <c r="B1188" s="688"/>
      <c r="C1188" s="719"/>
      <c r="D1188" s="719"/>
      <c r="E1188" s="679"/>
      <c r="F1188" s="743"/>
      <c r="G1188" s="743"/>
      <c r="H1188" s="743"/>
      <c r="I1188" s="743"/>
      <c r="J1188" s="743"/>
      <c r="K1188" s="743"/>
      <c r="L1188" s="666"/>
      <c r="M1188" s="666"/>
      <c r="N1188" s="666"/>
      <c r="O1188" s="666"/>
      <c r="P1188" s="666"/>
      <c r="Q1188" s="666"/>
      <c r="R1188" s="666"/>
      <c r="S1188" s="666"/>
      <c r="T1188" s="666"/>
      <c r="U1188" s="666"/>
      <c r="V1188" s="666"/>
      <c r="W1188" s="666"/>
      <c r="X1188" s="666"/>
      <c r="Y1188" s="666"/>
      <c r="Z1188" s="666"/>
      <c r="AA1188" s="666"/>
      <c r="AB1188" s="666"/>
      <c r="AC1188" s="666"/>
      <c r="AD1188" s="666"/>
      <c r="AE1188" s="666"/>
      <c r="AF1188" s="666"/>
      <c r="AG1188" s="666"/>
      <c r="AH1188" s="666"/>
      <c r="AI1188" s="666"/>
      <c r="AJ1188" s="666"/>
      <c r="AK1188" s="666"/>
      <c r="AL1188" s="666"/>
      <c r="AM1188" s="666"/>
      <c r="AN1188" s="666"/>
      <c r="AO1188" s="666"/>
      <c r="AP1188" s="666"/>
      <c r="AQ1188" s="666"/>
      <c r="AR1188" s="666"/>
      <c r="AS1188" s="666"/>
      <c r="AT1188" s="666"/>
      <c r="AU1188" s="666"/>
    </row>
    <row r="1189" ht="15.75" customHeight="1">
      <c r="A1189" s="743"/>
      <c r="B1189" s="688"/>
      <c r="C1189" s="719"/>
      <c r="D1189" s="719"/>
      <c r="E1189" s="679"/>
      <c r="F1189" s="743"/>
      <c r="G1189" s="743"/>
      <c r="H1189" s="743"/>
      <c r="I1189" s="743"/>
      <c r="J1189" s="743"/>
      <c r="K1189" s="743"/>
      <c r="L1189" s="666"/>
      <c r="M1189" s="666"/>
      <c r="N1189" s="666"/>
      <c r="O1189" s="666"/>
      <c r="P1189" s="666"/>
      <c r="Q1189" s="666"/>
      <c r="R1189" s="666"/>
      <c r="S1189" s="666"/>
      <c r="T1189" s="666"/>
      <c r="U1189" s="666"/>
      <c r="V1189" s="666"/>
      <c r="W1189" s="666"/>
      <c r="X1189" s="666"/>
      <c r="Y1189" s="666"/>
      <c r="Z1189" s="666"/>
      <c r="AA1189" s="666"/>
      <c r="AB1189" s="666"/>
      <c r="AC1189" s="666"/>
      <c r="AD1189" s="666"/>
      <c r="AE1189" s="666"/>
      <c r="AF1189" s="666"/>
      <c r="AG1189" s="666"/>
      <c r="AH1189" s="666"/>
      <c r="AI1189" s="666"/>
      <c r="AJ1189" s="666"/>
      <c r="AK1189" s="666"/>
      <c r="AL1189" s="666"/>
      <c r="AM1189" s="666"/>
      <c r="AN1189" s="666"/>
      <c r="AO1189" s="666"/>
      <c r="AP1189" s="666"/>
      <c r="AQ1189" s="666"/>
      <c r="AR1189" s="666"/>
      <c r="AS1189" s="666"/>
      <c r="AT1189" s="666"/>
      <c r="AU1189" s="666"/>
    </row>
    <row r="1190" ht="15.75" customHeight="1">
      <c r="A1190" s="743"/>
      <c r="B1190" s="688"/>
      <c r="C1190" s="719"/>
      <c r="D1190" s="719"/>
      <c r="E1190" s="679"/>
      <c r="F1190" s="743"/>
      <c r="G1190" s="743"/>
      <c r="H1190" s="743"/>
      <c r="I1190" s="743"/>
      <c r="J1190" s="743"/>
      <c r="K1190" s="743"/>
      <c r="L1190" s="666"/>
      <c r="M1190" s="666"/>
      <c r="N1190" s="666"/>
      <c r="O1190" s="666"/>
      <c r="P1190" s="666"/>
      <c r="Q1190" s="666"/>
      <c r="R1190" s="666"/>
      <c r="S1190" s="666"/>
      <c r="T1190" s="666"/>
      <c r="U1190" s="666"/>
      <c r="V1190" s="666"/>
      <c r="W1190" s="666"/>
      <c r="X1190" s="666"/>
      <c r="Y1190" s="666"/>
      <c r="Z1190" s="666"/>
      <c r="AA1190" s="666"/>
      <c r="AB1190" s="666"/>
      <c r="AC1190" s="666"/>
      <c r="AD1190" s="666"/>
      <c r="AE1190" s="666"/>
      <c r="AF1190" s="666"/>
      <c r="AG1190" s="666"/>
      <c r="AH1190" s="666"/>
      <c r="AI1190" s="666"/>
      <c r="AJ1190" s="666"/>
      <c r="AK1190" s="666"/>
      <c r="AL1190" s="666"/>
      <c r="AM1190" s="666"/>
      <c r="AN1190" s="666"/>
      <c r="AO1190" s="666"/>
      <c r="AP1190" s="666"/>
      <c r="AQ1190" s="666"/>
      <c r="AR1190" s="666"/>
      <c r="AS1190" s="666"/>
      <c r="AT1190" s="666"/>
      <c r="AU1190" s="666"/>
    </row>
    <row r="1191" ht="15.75" customHeight="1">
      <c r="A1191" s="743"/>
      <c r="B1191" s="688"/>
      <c r="C1191" s="719"/>
      <c r="D1191" s="719"/>
      <c r="E1191" s="679"/>
      <c r="F1191" s="743"/>
      <c r="G1191" s="743"/>
      <c r="H1191" s="743"/>
      <c r="I1191" s="743"/>
      <c r="J1191" s="743"/>
      <c r="K1191" s="743"/>
      <c r="L1191" s="666"/>
      <c r="M1191" s="666"/>
      <c r="N1191" s="666"/>
      <c r="O1191" s="666"/>
      <c r="P1191" s="666"/>
      <c r="Q1191" s="666"/>
      <c r="R1191" s="666"/>
      <c r="S1191" s="666"/>
      <c r="T1191" s="666"/>
      <c r="U1191" s="666"/>
      <c r="V1191" s="666"/>
      <c r="W1191" s="666"/>
      <c r="X1191" s="666"/>
      <c r="Y1191" s="666"/>
      <c r="Z1191" s="666"/>
      <c r="AA1191" s="666"/>
      <c r="AB1191" s="666"/>
      <c r="AC1191" s="666"/>
      <c r="AD1191" s="666"/>
      <c r="AE1191" s="666"/>
      <c r="AF1191" s="666"/>
      <c r="AG1191" s="666"/>
      <c r="AH1191" s="666"/>
      <c r="AI1191" s="666"/>
      <c r="AJ1191" s="666"/>
      <c r="AK1191" s="666"/>
      <c r="AL1191" s="666"/>
      <c r="AM1191" s="666"/>
      <c r="AN1191" s="666"/>
      <c r="AO1191" s="666"/>
      <c r="AP1191" s="666"/>
      <c r="AQ1191" s="666"/>
      <c r="AR1191" s="666"/>
      <c r="AS1191" s="666"/>
      <c r="AT1191" s="666"/>
      <c r="AU1191" s="666"/>
    </row>
    <row r="1192" ht="15.75" customHeight="1">
      <c r="A1192" s="743"/>
      <c r="B1192" s="688"/>
      <c r="C1192" s="719"/>
      <c r="D1192" s="719"/>
      <c r="E1192" s="679"/>
      <c r="F1192" s="743"/>
      <c r="G1192" s="743"/>
      <c r="H1192" s="743"/>
      <c r="I1192" s="743"/>
      <c r="J1192" s="743"/>
      <c r="K1192" s="743"/>
      <c r="L1192" s="666"/>
      <c r="M1192" s="666"/>
      <c r="N1192" s="666"/>
      <c r="O1192" s="666"/>
      <c r="P1192" s="666"/>
      <c r="Q1192" s="666"/>
      <c r="R1192" s="666"/>
      <c r="S1192" s="666"/>
      <c r="T1192" s="666"/>
      <c r="U1192" s="666"/>
      <c r="V1192" s="666"/>
      <c r="W1192" s="666"/>
      <c r="X1192" s="666"/>
      <c r="Y1192" s="666"/>
      <c r="Z1192" s="666"/>
      <c r="AA1192" s="666"/>
      <c r="AB1192" s="666"/>
      <c r="AC1192" s="666"/>
      <c r="AD1192" s="666"/>
      <c r="AE1192" s="666"/>
      <c r="AF1192" s="666"/>
      <c r="AG1192" s="666"/>
      <c r="AH1192" s="666"/>
      <c r="AI1192" s="666"/>
      <c r="AJ1192" s="666"/>
      <c r="AK1192" s="666"/>
      <c r="AL1192" s="666"/>
      <c r="AM1192" s="666"/>
      <c r="AN1192" s="666"/>
      <c r="AO1192" s="666"/>
      <c r="AP1192" s="666"/>
      <c r="AQ1192" s="666"/>
      <c r="AR1192" s="666"/>
      <c r="AS1192" s="666"/>
      <c r="AT1192" s="666"/>
      <c r="AU1192" s="666"/>
    </row>
    <row r="1193" ht="15.75" customHeight="1">
      <c r="A1193" s="743"/>
      <c r="B1193" s="688"/>
      <c r="C1193" s="719"/>
      <c r="D1193" s="719"/>
      <c r="E1193" s="679"/>
      <c r="F1193" s="743"/>
      <c r="G1193" s="743"/>
      <c r="H1193" s="743"/>
      <c r="I1193" s="743"/>
      <c r="J1193" s="743"/>
      <c r="K1193" s="743"/>
      <c r="L1193" s="666"/>
      <c r="M1193" s="666"/>
      <c r="N1193" s="666"/>
      <c r="O1193" s="666"/>
      <c r="P1193" s="666"/>
      <c r="Q1193" s="666"/>
      <c r="R1193" s="666"/>
      <c r="S1193" s="666"/>
      <c r="T1193" s="666"/>
      <c r="U1193" s="666"/>
      <c r="V1193" s="666"/>
      <c r="W1193" s="666"/>
      <c r="X1193" s="666"/>
      <c r="Y1193" s="666"/>
      <c r="Z1193" s="666"/>
      <c r="AA1193" s="666"/>
      <c r="AB1193" s="666"/>
      <c r="AC1193" s="666"/>
      <c r="AD1193" s="666"/>
      <c r="AE1193" s="666"/>
      <c r="AF1193" s="666"/>
      <c r="AG1193" s="666"/>
      <c r="AH1193" s="666"/>
      <c r="AI1193" s="666"/>
      <c r="AJ1193" s="666"/>
      <c r="AK1193" s="666"/>
      <c r="AL1193" s="666"/>
      <c r="AM1193" s="666"/>
      <c r="AN1193" s="666"/>
      <c r="AO1193" s="666"/>
      <c r="AP1193" s="666"/>
      <c r="AQ1193" s="666"/>
      <c r="AR1193" s="666"/>
      <c r="AS1193" s="666"/>
      <c r="AT1193" s="666"/>
      <c r="AU1193" s="666"/>
    </row>
    <row r="1194" ht="15.75" customHeight="1">
      <c r="A1194" s="743"/>
      <c r="B1194" s="688"/>
      <c r="C1194" s="719"/>
      <c r="D1194" s="719"/>
      <c r="E1194" s="679"/>
      <c r="F1194" s="743"/>
      <c r="G1194" s="743"/>
      <c r="H1194" s="743"/>
      <c r="I1194" s="743"/>
      <c r="J1194" s="743"/>
      <c r="K1194" s="743"/>
      <c r="L1194" s="666"/>
      <c r="M1194" s="666"/>
      <c r="N1194" s="666"/>
      <c r="O1194" s="666"/>
      <c r="P1194" s="666"/>
      <c r="Q1194" s="666"/>
      <c r="R1194" s="666"/>
      <c r="S1194" s="666"/>
      <c r="T1194" s="666"/>
      <c r="U1194" s="666"/>
      <c r="V1194" s="666"/>
      <c r="W1194" s="666"/>
      <c r="X1194" s="666"/>
      <c r="Y1194" s="666"/>
      <c r="Z1194" s="666"/>
      <c r="AA1194" s="666"/>
      <c r="AB1194" s="666"/>
      <c r="AC1194" s="666"/>
      <c r="AD1194" s="666"/>
      <c r="AE1194" s="666"/>
      <c r="AF1194" s="666"/>
      <c r="AG1194" s="666"/>
      <c r="AH1194" s="666"/>
      <c r="AI1194" s="666"/>
      <c r="AJ1194" s="666"/>
      <c r="AK1194" s="666"/>
      <c r="AL1194" s="666"/>
      <c r="AM1194" s="666"/>
      <c r="AN1194" s="666"/>
      <c r="AO1194" s="666"/>
      <c r="AP1194" s="666"/>
      <c r="AQ1194" s="666"/>
      <c r="AR1194" s="666"/>
      <c r="AS1194" s="666"/>
      <c r="AT1194" s="666"/>
      <c r="AU1194" s="666"/>
    </row>
    <row r="1195" ht="15.75" customHeight="1">
      <c r="A1195" s="743"/>
      <c r="B1195" s="688"/>
      <c r="C1195" s="719"/>
      <c r="D1195" s="719"/>
      <c r="E1195" s="679"/>
      <c r="F1195" s="743"/>
      <c r="G1195" s="743"/>
      <c r="H1195" s="743"/>
      <c r="I1195" s="743"/>
      <c r="J1195" s="743"/>
      <c r="K1195" s="743"/>
      <c r="L1195" s="666"/>
      <c r="M1195" s="666"/>
      <c r="N1195" s="666"/>
      <c r="O1195" s="666"/>
      <c r="P1195" s="666"/>
      <c r="Q1195" s="666"/>
      <c r="R1195" s="666"/>
      <c r="S1195" s="666"/>
      <c r="T1195" s="666"/>
      <c r="U1195" s="666"/>
      <c r="V1195" s="666"/>
      <c r="W1195" s="666"/>
      <c r="X1195" s="666"/>
      <c r="Y1195" s="666"/>
      <c r="Z1195" s="666"/>
      <c r="AA1195" s="666"/>
      <c r="AB1195" s="666"/>
      <c r="AC1195" s="666"/>
      <c r="AD1195" s="666"/>
      <c r="AE1195" s="666"/>
      <c r="AF1195" s="666"/>
      <c r="AG1195" s="666"/>
      <c r="AH1195" s="666"/>
      <c r="AI1195" s="666"/>
      <c r="AJ1195" s="666"/>
      <c r="AK1195" s="666"/>
      <c r="AL1195" s="666"/>
      <c r="AM1195" s="666"/>
      <c r="AN1195" s="666"/>
      <c r="AO1195" s="666"/>
      <c r="AP1195" s="666"/>
      <c r="AQ1195" s="666"/>
      <c r="AR1195" s="666"/>
      <c r="AS1195" s="666"/>
      <c r="AT1195" s="666"/>
      <c r="AU1195" s="666"/>
    </row>
    <row r="1196" ht="15.75" customHeight="1">
      <c r="A1196" s="743"/>
      <c r="B1196" s="688"/>
      <c r="C1196" s="719"/>
      <c r="D1196" s="719"/>
      <c r="E1196" s="679"/>
      <c r="F1196" s="743"/>
      <c r="G1196" s="743"/>
      <c r="H1196" s="743"/>
      <c r="I1196" s="743"/>
      <c r="J1196" s="743"/>
      <c r="K1196" s="743"/>
      <c r="L1196" s="666"/>
      <c r="M1196" s="666"/>
      <c r="N1196" s="666"/>
      <c r="O1196" s="666"/>
      <c r="P1196" s="666"/>
      <c r="Q1196" s="666"/>
      <c r="R1196" s="666"/>
      <c r="S1196" s="666"/>
      <c r="T1196" s="666"/>
      <c r="U1196" s="666"/>
      <c r="V1196" s="666"/>
      <c r="W1196" s="666"/>
      <c r="X1196" s="666"/>
      <c r="Y1196" s="666"/>
      <c r="Z1196" s="666"/>
      <c r="AA1196" s="666"/>
      <c r="AB1196" s="666"/>
      <c r="AC1196" s="666"/>
      <c r="AD1196" s="666"/>
      <c r="AE1196" s="666"/>
      <c r="AF1196" s="666"/>
      <c r="AG1196" s="666"/>
      <c r="AH1196" s="666"/>
      <c r="AI1196" s="666"/>
      <c r="AJ1196" s="666"/>
      <c r="AK1196" s="666"/>
      <c r="AL1196" s="666"/>
      <c r="AM1196" s="666"/>
      <c r="AN1196" s="666"/>
      <c r="AO1196" s="666"/>
      <c r="AP1196" s="666"/>
      <c r="AQ1196" s="666"/>
      <c r="AR1196" s="666"/>
      <c r="AS1196" s="666"/>
      <c r="AT1196" s="666"/>
      <c r="AU1196" s="666"/>
    </row>
    <row r="1197" ht="15.75" customHeight="1">
      <c r="A1197" s="743"/>
      <c r="B1197" s="688"/>
      <c r="C1197" s="719"/>
      <c r="D1197" s="719"/>
      <c r="E1197" s="679"/>
      <c r="F1197" s="743"/>
      <c r="G1197" s="743"/>
      <c r="H1197" s="743"/>
      <c r="I1197" s="743"/>
      <c r="J1197" s="743"/>
      <c r="K1197" s="743"/>
      <c r="L1197" s="666"/>
      <c r="M1197" s="666"/>
      <c r="N1197" s="666"/>
      <c r="O1197" s="666"/>
      <c r="P1197" s="666"/>
      <c r="Q1197" s="666"/>
      <c r="R1197" s="666"/>
      <c r="S1197" s="666"/>
      <c r="T1197" s="666"/>
      <c r="U1197" s="666"/>
      <c r="V1197" s="666"/>
      <c r="W1197" s="666"/>
      <c r="X1197" s="666"/>
      <c r="Y1197" s="666"/>
      <c r="Z1197" s="666"/>
      <c r="AA1197" s="666"/>
      <c r="AB1197" s="666"/>
      <c r="AC1197" s="666"/>
      <c r="AD1197" s="666"/>
      <c r="AE1197" s="666"/>
      <c r="AF1197" s="666"/>
      <c r="AG1197" s="666"/>
      <c r="AH1197" s="666"/>
      <c r="AI1197" s="666"/>
      <c r="AJ1197" s="666"/>
      <c r="AK1197" s="666"/>
      <c r="AL1197" s="666"/>
      <c r="AM1197" s="666"/>
      <c r="AN1197" s="666"/>
      <c r="AO1197" s="666"/>
      <c r="AP1197" s="666"/>
      <c r="AQ1197" s="666"/>
      <c r="AR1197" s="666"/>
      <c r="AS1197" s="666"/>
      <c r="AT1197" s="666"/>
      <c r="AU1197" s="666"/>
    </row>
    <row r="1198" ht="15.75" customHeight="1">
      <c r="A1198" s="743"/>
      <c r="B1198" s="688"/>
      <c r="C1198" s="719"/>
      <c r="D1198" s="719"/>
      <c r="E1198" s="679"/>
      <c r="F1198" s="743"/>
      <c r="G1198" s="743"/>
      <c r="H1198" s="743"/>
      <c r="I1198" s="743"/>
      <c r="J1198" s="743"/>
      <c r="K1198" s="743"/>
      <c r="L1198" s="666"/>
      <c r="M1198" s="666"/>
      <c r="N1198" s="666"/>
      <c r="O1198" s="666"/>
      <c r="P1198" s="666"/>
      <c r="Q1198" s="666"/>
      <c r="R1198" s="666"/>
      <c r="S1198" s="666"/>
      <c r="T1198" s="666"/>
      <c r="U1198" s="666"/>
      <c r="V1198" s="666"/>
      <c r="W1198" s="666"/>
      <c r="X1198" s="666"/>
      <c r="Y1198" s="666"/>
      <c r="Z1198" s="666"/>
      <c r="AA1198" s="666"/>
      <c r="AB1198" s="666"/>
      <c r="AC1198" s="666"/>
      <c r="AD1198" s="666"/>
      <c r="AE1198" s="666"/>
      <c r="AF1198" s="666"/>
      <c r="AG1198" s="666"/>
      <c r="AH1198" s="666"/>
      <c r="AI1198" s="666"/>
      <c r="AJ1198" s="666"/>
      <c r="AK1198" s="666"/>
      <c r="AL1198" s="666"/>
      <c r="AM1198" s="666"/>
      <c r="AN1198" s="666"/>
      <c r="AO1198" s="666"/>
      <c r="AP1198" s="666"/>
      <c r="AQ1198" s="666"/>
      <c r="AR1198" s="666"/>
      <c r="AS1198" s="666"/>
      <c r="AT1198" s="666"/>
      <c r="AU1198" s="666"/>
    </row>
    <row r="1199" ht="15.75" customHeight="1">
      <c r="A1199" s="743"/>
      <c r="B1199" s="688"/>
      <c r="C1199" s="719"/>
      <c r="D1199" s="719"/>
      <c r="E1199" s="679"/>
      <c r="F1199" s="743"/>
      <c r="G1199" s="743"/>
      <c r="H1199" s="743"/>
      <c r="I1199" s="743"/>
      <c r="J1199" s="743"/>
      <c r="K1199" s="743"/>
      <c r="L1199" s="666"/>
      <c r="M1199" s="666"/>
      <c r="N1199" s="666"/>
      <c r="O1199" s="666"/>
      <c r="P1199" s="666"/>
      <c r="Q1199" s="666"/>
      <c r="R1199" s="666"/>
      <c r="S1199" s="666"/>
      <c r="T1199" s="666"/>
      <c r="U1199" s="666"/>
      <c r="V1199" s="666"/>
      <c r="W1199" s="666"/>
      <c r="X1199" s="666"/>
      <c r="Y1199" s="666"/>
      <c r="Z1199" s="666"/>
      <c r="AA1199" s="666"/>
      <c r="AB1199" s="666"/>
      <c r="AC1199" s="666"/>
      <c r="AD1199" s="666"/>
      <c r="AE1199" s="666"/>
      <c r="AF1199" s="666"/>
      <c r="AG1199" s="666"/>
      <c r="AH1199" s="666"/>
      <c r="AI1199" s="666"/>
      <c r="AJ1199" s="666"/>
      <c r="AK1199" s="666"/>
      <c r="AL1199" s="666"/>
      <c r="AM1199" s="666"/>
      <c r="AN1199" s="666"/>
      <c r="AO1199" s="666"/>
      <c r="AP1199" s="666"/>
      <c r="AQ1199" s="666"/>
      <c r="AR1199" s="666"/>
      <c r="AS1199" s="666"/>
      <c r="AT1199" s="666"/>
      <c r="AU1199" s="666"/>
    </row>
    <row r="1200" ht="15.75" customHeight="1">
      <c r="A1200" s="743"/>
      <c r="B1200" s="688"/>
      <c r="C1200" s="719"/>
      <c r="D1200" s="719"/>
      <c r="E1200" s="679"/>
      <c r="F1200" s="743"/>
      <c r="G1200" s="743"/>
      <c r="H1200" s="743"/>
      <c r="I1200" s="743"/>
      <c r="J1200" s="743"/>
      <c r="K1200" s="743"/>
      <c r="L1200" s="666"/>
      <c r="M1200" s="666"/>
      <c r="N1200" s="666"/>
      <c r="O1200" s="666"/>
      <c r="P1200" s="666"/>
      <c r="Q1200" s="666"/>
      <c r="R1200" s="666"/>
      <c r="S1200" s="666"/>
      <c r="T1200" s="666"/>
      <c r="U1200" s="666"/>
      <c r="V1200" s="666"/>
      <c r="W1200" s="666"/>
      <c r="X1200" s="666"/>
      <c r="Y1200" s="666"/>
      <c r="Z1200" s="666"/>
      <c r="AA1200" s="666"/>
      <c r="AB1200" s="666"/>
      <c r="AC1200" s="666"/>
      <c r="AD1200" s="666"/>
      <c r="AE1200" s="666"/>
      <c r="AF1200" s="666"/>
      <c r="AG1200" s="666"/>
      <c r="AH1200" s="666"/>
      <c r="AI1200" s="666"/>
      <c r="AJ1200" s="666"/>
      <c r="AK1200" s="666"/>
      <c r="AL1200" s="666"/>
      <c r="AM1200" s="666"/>
      <c r="AN1200" s="666"/>
      <c r="AO1200" s="666"/>
      <c r="AP1200" s="666"/>
      <c r="AQ1200" s="666"/>
      <c r="AR1200" s="666"/>
      <c r="AS1200" s="666"/>
      <c r="AT1200" s="666"/>
      <c r="AU1200" s="666"/>
    </row>
    <row r="1201" ht="15.75" customHeight="1">
      <c r="A1201" s="743"/>
      <c r="B1201" s="688"/>
      <c r="C1201" s="719"/>
      <c r="D1201" s="719"/>
      <c r="E1201" s="679"/>
      <c r="F1201" s="743"/>
      <c r="G1201" s="743"/>
      <c r="H1201" s="743"/>
      <c r="I1201" s="743"/>
      <c r="J1201" s="743"/>
      <c r="K1201" s="743"/>
      <c r="L1201" s="666"/>
      <c r="M1201" s="666"/>
      <c r="N1201" s="666"/>
      <c r="O1201" s="666"/>
      <c r="P1201" s="666"/>
      <c r="Q1201" s="666"/>
      <c r="R1201" s="666"/>
      <c r="S1201" s="666"/>
      <c r="T1201" s="666"/>
      <c r="U1201" s="666"/>
      <c r="V1201" s="666"/>
      <c r="W1201" s="666"/>
      <c r="X1201" s="666"/>
      <c r="Y1201" s="666"/>
      <c r="Z1201" s="666"/>
      <c r="AA1201" s="666"/>
      <c r="AB1201" s="666"/>
      <c r="AC1201" s="666"/>
      <c r="AD1201" s="666"/>
      <c r="AE1201" s="666"/>
      <c r="AF1201" s="666"/>
      <c r="AG1201" s="666"/>
      <c r="AH1201" s="666"/>
      <c r="AI1201" s="666"/>
      <c r="AJ1201" s="666"/>
      <c r="AK1201" s="666"/>
      <c r="AL1201" s="666"/>
      <c r="AM1201" s="666"/>
      <c r="AN1201" s="666"/>
      <c r="AO1201" s="666"/>
      <c r="AP1201" s="666"/>
      <c r="AQ1201" s="666"/>
      <c r="AR1201" s="666"/>
      <c r="AS1201" s="666"/>
      <c r="AT1201" s="666"/>
      <c r="AU1201" s="666"/>
    </row>
    <row r="1202" ht="15.75" customHeight="1">
      <c r="A1202" s="743"/>
      <c r="B1202" s="688"/>
      <c r="C1202" s="719"/>
      <c r="D1202" s="719"/>
      <c r="E1202" s="679"/>
      <c r="F1202" s="743"/>
      <c r="G1202" s="743"/>
      <c r="H1202" s="743"/>
      <c r="I1202" s="743"/>
      <c r="J1202" s="743"/>
      <c r="K1202" s="743"/>
      <c r="L1202" s="666"/>
      <c r="M1202" s="666"/>
      <c r="N1202" s="666"/>
      <c r="O1202" s="666"/>
      <c r="P1202" s="666"/>
      <c r="Q1202" s="666"/>
      <c r="R1202" s="666"/>
      <c r="S1202" s="666"/>
      <c r="T1202" s="666"/>
      <c r="U1202" s="666"/>
      <c r="V1202" s="666"/>
      <c r="W1202" s="666"/>
      <c r="X1202" s="666"/>
      <c r="Y1202" s="666"/>
      <c r="Z1202" s="666"/>
      <c r="AA1202" s="666"/>
      <c r="AB1202" s="666"/>
      <c r="AC1202" s="666"/>
      <c r="AD1202" s="666"/>
      <c r="AE1202" s="666"/>
      <c r="AF1202" s="666"/>
      <c r="AG1202" s="666"/>
      <c r="AH1202" s="666"/>
      <c r="AI1202" s="666"/>
      <c r="AJ1202" s="666"/>
      <c r="AK1202" s="666"/>
      <c r="AL1202" s="666"/>
      <c r="AM1202" s="666"/>
      <c r="AN1202" s="666"/>
      <c r="AO1202" s="666"/>
      <c r="AP1202" s="666"/>
      <c r="AQ1202" s="666"/>
      <c r="AR1202" s="666"/>
      <c r="AS1202" s="666"/>
      <c r="AT1202" s="666"/>
      <c r="AU1202" s="666"/>
    </row>
    <row r="1203" ht="15.75" customHeight="1">
      <c r="A1203" s="743"/>
      <c r="B1203" s="688"/>
      <c r="C1203" s="719"/>
      <c r="D1203" s="719"/>
      <c r="E1203" s="679"/>
      <c r="F1203" s="743"/>
      <c r="G1203" s="743"/>
      <c r="H1203" s="743"/>
      <c r="I1203" s="743"/>
      <c r="J1203" s="743"/>
      <c r="K1203" s="743"/>
      <c r="L1203" s="666"/>
      <c r="M1203" s="666"/>
      <c r="N1203" s="666"/>
      <c r="O1203" s="666"/>
      <c r="P1203" s="666"/>
      <c r="Q1203" s="666"/>
      <c r="R1203" s="666"/>
      <c r="S1203" s="666"/>
      <c r="T1203" s="666"/>
      <c r="U1203" s="666"/>
      <c r="V1203" s="666"/>
      <c r="W1203" s="666"/>
      <c r="X1203" s="666"/>
      <c r="Y1203" s="666"/>
      <c r="Z1203" s="666"/>
      <c r="AA1203" s="666"/>
      <c r="AB1203" s="666"/>
      <c r="AC1203" s="666"/>
      <c r="AD1203" s="666"/>
      <c r="AE1203" s="666"/>
      <c r="AF1203" s="666"/>
      <c r="AG1203" s="666"/>
      <c r="AH1203" s="666"/>
      <c r="AI1203" s="666"/>
      <c r="AJ1203" s="666"/>
      <c r="AK1203" s="666"/>
      <c r="AL1203" s="666"/>
      <c r="AM1203" s="666"/>
      <c r="AN1203" s="666"/>
      <c r="AO1203" s="666"/>
      <c r="AP1203" s="666"/>
      <c r="AQ1203" s="666"/>
      <c r="AR1203" s="666"/>
      <c r="AS1203" s="666"/>
      <c r="AT1203" s="666"/>
      <c r="AU1203" s="666"/>
    </row>
    <row r="1204" ht="15.75" customHeight="1">
      <c r="A1204" s="743"/>
      <c r="B1204" s="688"/>
      <c r="C1204" s="719"/>
      <c r="D1204" s="719"/>
      <c r="E1204" s="679"/>
      <c r="F1204" s="743"/>
      <c r="G1204" s="743"/>
      <c r="H1204" s="743"/>
      <c r="I1204" s="743"/>
      <c r="J1204" s="743"/>
      <c r="K1204" s="743"/>
      <c r="L1204" s="666"/>
      <c r="M1204" s="666"/>
      <c r="N1204" s="666"/>
      <c r="O1204" s="666"/>
      <c r="P1204" s="666"/>
      <c r="Q1204" s="666"/>
      <c r="R1204" s="666"/>
      <c r="S1204" s="666"/>
      <c r="T1204" s="666"/>
      <c r="U1204" s="666"/>
      <c r="V1204" s="666"/>
      <c r="W1204" s="666"/>
      <c r="X1204" s="666"/>
      <c r="Y1204" s="666"/>
      <c r="Z1204" s="666"/>
      <c r="AA1204" s="666"/>
      <c r="AB1204" s="666"/>
      <c r="AC1204" s="666"/>
      <c r="AD1204" s="666"/>
      <c r="AE1204" s="666"/>
      <c r="AF1204" s="666"/>
      <c r="AG1204" s="666"/>
      <c r="AH1204" s="666"/>
      <c r="AI1204" s="666"/>
      <c r="AJ1204" s="666"/>
      <c r="AK1204" s="666"/>
      <c r="AL1204" s="666"/>
      <c r="AM1204" s="666"/>
      <c r="AN1204" s="666"/>
      <c r="AO1204" s="666"/>
      <c r="AP1204" s="666"/>
      <c r="AQ1204" s="666"/>
      <c r="AR1204" s="666"/>
      <c r="AS1204" s="666"/>
      <c r="AT1204" s="666"/>
      <c r="AU1204" s="666"/>
    </row>
    <row r="1205" ht="15.75" customHeight="1">
      <c r="A1205" s="743"/>
      <c r="B1205" s="688"/>
      <c r="C1205" s="719"/>
      <c r="D1205" s="719"/>
      <c r="E1205" s="679"/>
      <c r="F1205" s="743"/>
      <c r="G1205" s="743"/>
      <c r="H1205" s="743"/>
      <c r="I1205" s="743"/>
      <c r="J1205" s="743"/>
      <c r="K1205" s="743"/>
      <c r="L1205" s="666"/>
      <c r="M1205" s="666"/>
      <c r="N1205" s="666"/>
      <c r="O1205" s="666"/>
      <c r="P1205" s="666"/>
      <c r="Q1205" s="666"/>
      <c r="R1205" s="666"/>
      <c r="S1205" s="666"/>
      <c r="T1205" s="666"/>
      <c r="U1205" s="666"/>
      <c r="V1205" s="666"/>
      <c r="W1205" s="666"/>
      <c r="X1205" s="666"/>
      <c r="Y1205" s="666"/>
      <c r="Z1205" s="666"/>
      <c r="AA1205" s="666"/>
      <c r="AB1205" s="666"/>
      <c r="AC1205" s="666"/>
      <c r="AD1205" s="666"/>
      <c r="AE1205" s="666"/>
      <c r="AF1205" s="666"/>
      <c r="AG1205" s="666"/>
      <c r="AH1205" s="666"/>
      <c r="AI1205" s="666"/>
      <c r="AJ1205" s="666"/>
      <c r="AK1205" s="666"/>
      <c r="AL1205" s="666"/>
      <c r="AM1205" s="666"/>
      <c r="AN1205" s="666"/>
      <c r="AO1205" s="666"/>
      <c r="AP1205" s="666"/>
      <c r="AQ1205" s="666"/>
      <c r="AR1205" s="666"/>
      <c r="AS1205" s="666"/>
      <c r="AT1205" s="666"/>
      <c r="AU1205" s="666"/>
    </row>
    <row r="1206" ht="15.75" customHeight="1">
      <c r="A1206" s="743"/>
      <c r="B1206" s="688"/>
      <c r="C1206" s="719"/>
      <c r="D1206" s="719"/>
      <c r="E1206" s="679"/>
      <c r="F1206" s="743"/>
      <c r="G1206" s="743"/>
      <c r="H1206" s="743"/>
      <c r="I1206" s="743"/>
      <c r="J1206" s="743"/>
      <c r="K1206" s="743"/>
      <c r="L1206" s="666"/>
      <c r="M1206" s="666"/>
      <c r="N1206" s="666"/>
      <c r="O1206" s="666"/>
      <c r="P1206" s="666"/>
      <c r="Q1206" s="666"/>
      <c r="R1206" s="666"/>
      <c r="S1206" s="666"/>
      <c r="T1206" s="666"/>
      <c r="U1206" s="666"/>
      <c r="V1206" s="666"/>
      <c r="W1206" s="666"/>
      <c r="X1206" s="666"/>
      <c r="Y1206" s="666"/>
      <c r="Z1206" s="666"/>
      <c r="AA1206" s="666"/>
      <c r="AB1206" s="666"/>
      <c r="AC1206" s="666"/>
      <c r="AD1206" s="666"/>
      <c r="AE1206" s="666"/>
      <c r="AF1206" s="666"/>
      <c r="AG1206" s="666"/>
      <c r="AH1206" s="666"/>
      <c r="AI1206" s="666"/>
      <c r="AJ1206" s="666"/>
      <c r="AK1206" s="666"/>
      <c r="AL1206" s="666"/>
      <c r="AM1206" s="666"/>
      <c r="AN1206" s="666"/>
      <c r="AO1206" s="666"/>
      <c r="AP1206" s="666"/>
      <c r="AQ1206" s="666"/>
      <c r="AR1206" s="666"/>
      <c r="AS1206" s="666"/>
      <c r="AT1206" s="666"/>
      <c r="AU1206" s="666"/>
    </row>
    <row r="1207" ht="15.75" customHeight="1">
      <c r="A1207" s="743"/>
      <c r="B1207" s="688"/>
      <c r="C1207" s="719"/>
      <c r="D1207" s="719"/>
      <c r="E1207" s="679"/>
      <c r="F1207" s="743"/>
      <c r="G1207" s="743"/>
      <c r="H1207" s="743"/>
      <c r="I1207" s="743"/>
      <c r="J1207" s="743"/>
      <c r="K1207" s="743"/>
      <c r="L1207" s="666"/>
      <c r="M1207" s="666"/>
      <c r="N1207" s="666"/>
      <c r="O1207" s="666"/>
      <c r="P1207" s="666"/>
      <c r="Q1207" s="666"/>
      <c r="R1207" s="666"/>
      <c r="S1207" s="666"/>
      <c r="T1207" s="666"/>
      <c r="U1207" s="666"/>
      <c r="V1207" s="666"/>
      <c r="W1207" s="666"/>
      <c r="X1207" s="666"/>
      <c r="Y1207" s="666"/>
      <c r="Z1207" s="666"/>
      <c r="AA1207" s="666"/>
      <c r="AB1207" s="666"/>
      <c r="AC1207" s="666"/>
      <c r="AD1207" s="666"/>
      <c r="AE1207" s="666"/>
      <c r="AF1207" s="666"/>
      <c r="AG1207" s="666"/>
      <c r="AH1207" s="666"/>
      <c r="AI1207" s="666"/>
      <c r="AJ1207" s="666"/>
      <c r="AK1207" s="666"/>
      <c r="AL1207" s="666"/>
      <c r="AM1207" s="666"/>
      <c r="AN1207" s="666"/>
      <c r="AO1207" s="666"/>
      <c r="AP1207" s="666"/>
      <c r="AQ1207" s="666"/>
      <c r="AR1207" s="666"/>
      <c r="AS1207" s="666"/>
      <c r="AT1207" s="666"/>
      <c r="AU1207" s="666"/>
    </row>
    <row r="1208" ht="15.75" customHeight="1">
      <c r="A1208" s="743"/>
      <c r="B1208" s="688"/>
      <c r="C1208" s="719"/>
      <c r="D1208" s="719"/>
      <c r="E1208" s="679"/>
      <c r="F1208" s="743"/>
      <c r="G1208" s="743"/>
      <c r="H1208" s="743"/>
      <c r="I1208" s="743"/>
      <c r="J1208" s="743"/>
      <c r="K1208" s="743"/>
      <c r="L1208" s="666"/>
      <c r="M1208" s="666"/>
      <c r="N1208" s="666"/>
      <c r="O1208" s="666"/>
      <c r="P1208" s="666"/>
      <c r="Q1208" s="666"/>
      <c r="R1208" s="666"/>
      <c r="S1208" s="666"/>
      <c r="T1208" s="666"/>
      <c r="U1208" s="666"/>
      <c r="V1208" s="666"/>
      <c r="W1208" s="666"/>
      <c r="X1208" s="666"/>
      <c r="Y1208" s="666"/>
      <c r="Z1208" s="666"/>
      <c r="AA1208" s="666"/>
      <c r="AB1208" s="666"/>
      <c r="AC1208" s="666"/>
      <c r="AD1208" s="666"/>
      <c r="AE1208" s="666"/>
      <c r="AF1208" s="666"/>
      <c r="AG1208" s="666"/>
      <c r="AH1208" s="666"/>
      <c r="AI1208" s="666"/>
      <c r="AJ1208" s="666"/>
      <c r="AK1208" s="666"/>
      <c r="AL1208" s="666"/>
      <c r="AM1208" s="666"/>
      <c r="AN1208" s="666"/>
      <c r="AO1208" s="666"/>
      <c r="AP1208" s="666"/>
      <c r="AQ1208" s="666"/>
      <c r="AR1208" s="666"/>
      <c r="AS1208" s="666"/>
      <c r="AT1208" s="666"/>
      <c r="AU1208" s="666"/>
    </row>
    <row r="1209" ht="15.75" customHeight="1">
      <c r="A1209" s="743"/>
      <c r="B1209" s="688"/>
      <c r="C1209" s="719"/>
      <c r="D1209" s="719"/>
      <c r="E1209" s="679"/>
      <c r="F1209" s="743"/>
      <c r="G1209" s="743"/>
      <c r="H1209" s="743"/>
      <c r="I1209" s="743"/>
      <c r="J1209" s="743"/>
      <c r="K1209" s="743"/>
      <c r="L1209" s="666"/>
      <c r="M1209" s="666"/>
      <c r="N1209" s="666"/>
      <c r="O1209" s="666"/>
      <c r="P1209" s="666"/>
      <c r="Q1209" s="666"/>
      <c r="R1209" s="666"/>
      <c r="S1209" s="666"/>
      <c r="T1209" s="666"/>
      <c r="U1209" s="666"/>
      <c r="V1209" s="666"/>
      <c r="W1209" s="666"/>
      <c r="X1209" s="666"/>
      <c r="Y1209" s="666"/>
      <c r="Z1209" s="666"/>
      <c r="AA1209" s="666"/>
      <c r="AB1209" s="666"/>
      <c r="AC1209" s="666"/>
      <c r="AD1209" s="666"/>
      <c r="AE1209" s="666"/>
      <c r="AF1209" s="666"/>
      <c r="AG1209" s="666"/>
      <c r="AH1209" s="666"/>
      <c r="AI1209" s="666"/>
      <c r="AJ1209" s="666"/>
      <c r="AK1209" s="666"/>
      <c r="AL1209" s="666"/>
      <c r="AM1209" s="666"/>
      <c r="AN1209" s="666"/>
      <c r="AO1209" s="666"/>
      <c r="AP1209" s="666"/>
      <c r="AQ1209" s="666"/>
      <c r="AR1209" s="666"/>
      <c r="AS1209" s="666"/>
      <c r="AT1209" s="666"/>
      <c r="AU1209" s="666"/>
    </row>
    <row r="1210" ht="15.75" customHeight="1">
      <c r="A1210" s="743"/>
      <c r="B1210" s="688"/>
      <c r="C1210" s="719"/>
      <c r="D1210" s="719"/>
      <c r="E1210" s="679"/>
      <c r="F1210" s="743"/>
      <c r="G1210" s="743"/>
      <c r="H1210" s="743"/>
      <c r="I1210" s="743"/>
      <c r="J1210" s="743"/>
      <c r="K1210" s="743"/>
      <c r="L1210" s="666"/>
      <c r="M1210" s="666"/>
      <c r="N1210" s="666"/>
      <c r="O1210" s="666"/>
      <c r="P1210" s="666"/>
      <c r="Q1210" s="666"/>
      <c r="R1210" s="666"/>
      <c r="S1210" s="666"/>
      <c r="T1210" s="666"/>
      <c r="U1210" s="666"/>
      <c r="V1210" s="666"/>
      <c r="W1210" s="666"/>
      <c r="X1210" s="666"/>
      <c r="Y1210" s="666"/>
      <c r="Z1210" s="666"/>
      <c r="AA1210" s="666"/>
      <c r="AB1210" s="666"/>
      <c r="AC1210" s="666"/>
      <c r="AD1210" s="666"/>
      <c r="AE1210" s="666"/>
      <c r="AF1210" s="666"/>
      <c r="AG1210" s="666"/>
      <c r="AH1210" s="666"/>
      <c r="AI1210" s="666"/>
      <c r="AJ1210" s="666"/>
      <c r="AK1210" s="666"/>
      <c r="AL1210" s="666"/>
      <c r="AM1210" s="666"/>
      <c r="AN1210" s="666"/>
      <c r="AO1210" s="666"/>
      <c r="AP1210" s="666"/>
      <c r="AQ1210" s="666"/>
      <c r="AR1210" s="666"/>
      <c r="AS1210" s="666"/>
      <c r="AT1210" s="666"/>
      <c r="AU1210" s="666"/>
    </row>
    <row r="1211" ht="15.75" customHeight="1">
      <c r="A1211" s="743"/>
      <c r="B1211" s="688"/>
      <c r="C1211" s="719"/>
      <c r="D1211" s="719"/>
      <c r="E1211" s="679"/>
      <c r="F1211" s="743"/>
      <c r="G1211" s="743"/>
      <c r="H1211" s="743"/>
      <c r="I1211" s="743"/>
      <c r="J1211" s="743"/>
      <c r="K1211" s="743"/>
      <c r="L1211" s="666"/>
      <c r="M1211" s="666"/>
      <c r="N1211" s="666"/>
      <c r="O1211" s="666"/>
      <c r="P1211" s="666"/>
      <c r="Q1211" s="666"/>
      <c r="R1211" s="666"/>
      <c r="S1211" s="666"/>
      <c r="T1211" s="666"/>
      <c r="U1211" s="666"/>
      <c r="V1211" s="666"/>
      <c r="W1211" s="666"/>
      <c r="X1211" s="666"/>
      <c r="Y1211" s="666"/>
      <c r="Z1211" s="666"/>
      <c r="AA1211" s="666"/>
      <c r="AB1211" s="666"/>
      <c r="AC1211" s="666"/>
      <c r="AD1211" s="666"/>
      <c r="AE1211" s="666"/>
      <c r="AF1211" s="666"/>
      <c r="AG1211" s="666"/>
      <c r="AH1211" s="666"/>
      <c r="AI1211" s="666"/>
      <c r="AJ1211" s="666"/>
      <c r="AK1211" s="666"/>
      <c r="AL1211" s="666"/>
      <c r="AM1211" s="666"/>
      <c r="AN1211" s="666"/>
      <c r="AO1211" s="666"/>
      <c r="AP1211" s="666"/>
      <c r="AQ1211" s="666"/>
      <c r="AR1211" s="666"/>
      <c r="AS1211" s="666"/>
      <c r="AT1211" s="666"/>
      <c r="AU1211" s="666"/>
    </row>
    <row r="1212" ht="15.75" customHeight="1">
      <c r="A1212" s="743"/>
      <c r="B1212" s="688"/>
      <c r="C1212" s="719"/>
      <c r="D1212" s="719"/>
      <c r="E1212" s="679"/>
      <c r="F1212" s="743"/>
      <c r="G1212" s="743"/>
      <c r="H1212" s="743"/>
      <c r="I1212" s="743"/>
      <c r="J1212" s="743"/>
      <c r="K1212" s="743"/>
      <c r="L1212" s="666"/>
      <c r="M1212" s="666"/>
      <c r="N1212" s="666"/>
      <c r="O1212" s="666"/>
      <c r="P1212" s="666"/>
      <c r="Q1212" s="666"/>
      <c r="R1212" s="666"/>
      <c r="S1212" s="666"/>
      <c r="T1212" s="666"/>
      <c r="U1212" s="666"/>
      <c r="V1212" s="666"/>
      <c r="W1212" s="666"/>
      <c r="X1212" s="666"/>
      <c r="Y1212" s="666"/>
      <c r="Z1212" s="666"/>
      <c r="AA1212" s="666"/>
      <c r="AB1212" s="666"/>
      <c r="AC1212" s="666"/>
      <c r="AD1212" s="666"/>
      <c r="AE1212" s="666"/>
      <c r="AF1212" s="666"/>
      <c r="AG1212" s="666"/>
      <c r="AH1212" s="666"/>
      <c r="AI1212" s="666"/>
      <c r="AJ1212" s="666"/>
      <c r="AK1212" s="666"/>
      <c r="AL1212" s="666"/>
      <c r="AM1212" s="666"/>
      <c r="AN1212" s="666"/>
      <c r="AO1212" s="666"/>
      <c r="AP1212" s="666"/>
      <c r="AQ1212" s="666"/>
      <c r="AR1212" s="666"/>
      <c r="AS1212" s="666"/>
      <c r="AT1212" s="666"/>
      <c r="AU1212" s="666"/>
    </row>
    <row r="1213" ht="15.75" customHeight="1">
      <c r="A1213" s="743"/>
      <c r="B1213" s="688"/>
      <c r="C1213" s="719"/>
      <c r="D1213" s="719"/>
      <c r="E1213" s="679"/>
      <c r="F1213" s="743"/>
      <c r="G1213" s="743"/>
      <c r="H1213" s="743"/>
      <c r="I1213" s="743"/>
      <c r="J1213" s="743"/>
      <c r="K1213" s="743"/>
      <c r="L1213" s="666"/>
      <c r="M1213" s="666"/>
      <c r="N1213" s="666"/>
      <c r="O1213" s="666"/>
      <c r="P1213" s="666"/>
      <c r="Q1213" s="666"/>
      <c r="R1213" s="666"/>
      <c r="S1213" s="666"/>
      <c r="T1213" s="666"/>
      <c r="U1213" s="666"/>
      <c r="V1213" s="666"/>
      <c r="W1213" s="666"/>
      <c r="X1213" s="666"/>
      <c r="Y1213" s="666"/>
      <c r="Z1213" s="666"/>
      <c r="AA1213" s="666"/>
      <c r="AB1213" s="666"/>
      <c r="AC1213" s="666"/>
      <c r="AD1213" s="666"/>
      <c r="AE1213" s="666"/>
      <c r="AF1213" s="666"/>
      <c r="AG1213" s="666"/>
      <c r="AH1213" s="666"/>
      <c r="AI1213" s="666"/>
      <c r="AJ1213" s="666"/>
      <c r="AK1213" s="666"/>
      <c r="AL1213" s="666"/>
      <c r="AM1213" s="666"/>
      <c r="AN1213" s="666"/>
      <c r="AO1213" s="666"/>
      <c r="AP1213" s="666"/>
      <c r="AQ1213" s="666"/>
      <c r="AR1213" s="666"/>
      <c r="AS1213" s="666"/>
      <c r="AT1213" s="666"/>
      <c r="AU1213" s="666"/>
    </row>
    <row r="1214" ht="15.75" customHeight="1">
      <c r="A1214" s="743"/>
      <c r="B1214" s="688"/>
      <c r="C1214" s="719"/>
      <c r="D1214" s="719"/>
      <c r="E1214" s="679"/>
      <c r="F1214" s="743"/>
      <c r="G1214" s="743"/>
      <c r="H1214" s="743"/>
      <c r="I1214" s="743"/>
      <c r="J1214" s="743"/>
      <c r="K1214" s="743"/>
      <c r="L1214" s="666"/>
      <c r="M1214" s="666"/>
      <c r="N1214" s="666"/>
      <c r="O1214" s="666"/>
      <c r="P1214" s="666"/>
      <c r="Q1214" s="666"/>
      <c r="R1214" s="666"/>
      <c r="S1214" s="666"/>
      <c r="T1214" s="666"/>
      <c r="U1214" s="666"/>
      <c r="V1214" s="666"/>
      <c r="W1214" s="666"/>
      <c r="X1214" s="666"/>
      <c r="Y1214" s="666"/>
      <c r="Z1214" s="666"/>
      <c r="AA1214" s="666"/>
      <c r="AB1214" s="666"/>
      <c r="AC1214" s="666"/>
      <c r="AD1214" s="666"/>
      <c r="AE1214" s="666"/>
      <c r="AF1214" s="666"/>
      <c r="AG1214" s="666"/>
      <c r="AH1214" s="666"/>
      <c r="AI1214" s="666"/>
      <c r="AJ1214" s="666"/>
      <c r="AK1214" s="666"/>
      <c r="AL1214" s="666"/>
      <c r="AM1214" s="666"/>
      <c r="AN1214" s="666"/>
      <c r="AO1214" s="666"/>
      <c r="AP1214" s="666"/>
      <c r="AQ1214" s="666"/>
      <c r="AR1214" s="666"/>
      <c r="AS1214" s="666"/>
      <c r="AT1214" s="666"/>
      <c r="AU1214" s="666"/>
    </row>
    <row r="1215" ht="15.75" customHeight="1">
      <c r="A1215" s="743"/>
      <c r="B1215" s="688"/>
      <c r="C1215" s="719"/>
      <c r="D1215" s="719"/>
      <c r="E1215" s="679"/>
      <c r="F1215" s="743"/>
      <c r="G1215" s="743"/>
      <c r="H1215" s="743"/>
      <c r="I1215" s="743"/>
      <c r="J1215" s="743"/>
      <c r="K1215" s="743"/>
      <c r="L1215" s="666"/>
      <c r="M1215" s="666"/>
      <c r="N1215" s="666"/>
      <c r="O1215" s="666"/>
      <c r="P1215" s="666"/>
      <c r="Q1215" s="666"/>
      <c r="R1215" s="666"/>
      <c r="S1215" s="666"/>
      <c r="T1215" s="666"/>
      <c r="U1215" s="666"/>
      <c r="V1215" s="666"/>
      <c r="W1215" s="666"/>
      <c r="X1215" s="666"/>
      <c r="Y1215" s="666"/>
      <c r="Z1215" s="666"/>
      <c r="AA1215" s="666"/>
      <c r="AB1215" s="666"/>
      <c r="AC1215" s="666"/>
      <c r="AD1215" s="666"/>
      <c r="AE1215" s="666"/>
      <c r="AF1215" s="666"/>
      <c r="AG1215" s="666"/>
      <c r="AH1215" s="666"/>
      <c r="AI1215" s="666"/>
      <c r="AJ1215" s="666"/>
      <c r="AK1215" s="666"/>
      <c r="AL1215" s="666"/>
      <c r="AM1215" s="666"/>
      <c r="AN1215" s="666"/>
      <c r="AO1215" s="666"/>
      <c r="AP1215" s="666"/>
      <c r="AQ1215" s="666"/>
      <c r="AR1215" s="666"/>
      <c r="AS1215" s="666"/>
      <c r="AT1215" s="666"/>
      <c r="AU1215" s="666"/>
    </row>
    <row r="1216" ht="15.75" customHeight="1">
      <c r="A1216" s="743"/>
      <c r="B1216" s="688"/>
      <c r="C1216" s="719"/>
      <c r="D1216" s="719"/>
      <c r="E1216" s="679"/>
      <c r="F1216" s="743"/>
      <c r="G1216" s="743"/>
      <c r="H1216" s="743"/>
      <c r="I1216" s="743"/>
      <c r="J1216" s="743"/>
      <c r="K1216" s="743"/>
      <c r="L1216" s="666"/>
      <c r="M1216" s="666"/>
      <c r="N1216" s="666"/>
      <c r="O1216" s="666"/>
      <c r="P1216" s="666"/>
      <c r="Q1216" s="666"/>
      <c r="R1216" s="666"/>
      <c r="S1216" s="666"/>
      <c r="T1216" s="666"/>
      <c r="U1216" s="666"/>
      <c r="V1216" s="666"/>
      <c r="W1216" s="666"/>
      <c r="X1216" s="666"/>
      <c r="Y1216" s="666"/>
      <c r="Z1216" s="666"/>
      <c r="AA1216" s="666"/>
      <c r="AB1216" s="666"/>
      <c r="AC1216" s="666"/>
      <c r="AD1216" s="666"/>
      <c r="AE1216" s="666"/>
      <c r="AF1216" s="666"/>
      <c r="AG1216" s="666"/>
      <c r="AH1216" s="666"/>
      <c r="AI1216" s="666"/>
      <c r="AJ1216" s="666"/>
      <c r="AK1216" s="666"/>
      <c r="AL1216" s="666"/>
      <c r="AM1216" s="666"/>
      <c r="AN1216" s="666"/>
      <c r="AO1216" s="666"/>
      <c r="AP1216" s="666"/>
      <c r="AQ1216" s="666"/>
      <c r="AR1216" s="666"/>
      <c r="AS1216" s="666"/>
      <c r="AT1216" s="666"/>
      <c r="AU1216" s="666"/>
    </row>
    <row r="1217" ht="15.75" customHeight="1">
      <c r="A1217" s="743"/>
      <c r="B1217" s="688"/>
      <c r="C1217" s="719"/>
      <c r="D1217" s="719"/>
      <c r="E1217" s="679"/>
      <c r="F1217" s="743"/>
      <c r="G1217" s="743"/>
      <c r="H1217" s="743"/>
      <c r="I1217" s="743"/>
      <c r="J1217" s="743"/>
      <c r="K1217" s="743"/>
      <c r="L1217" s="666"/>
      <c r="M1217" s="666"/>
      <c r="N1217" s="666"/>
      <c r="O1217" s="666"/>
      <c r="P1217" s="666"/>
      <c r="Q1217" s="666"/>
      <c r="R1217" s="666"/>
      <c r="S1217" s="666"/>
      <c r="T1217" s="666"/>
      <c r="U1217" s="666"/>
      <c r="V1217" s="666"/>
      <c r="W1217" s="666"/>
      <c r="X1217" s="666"/>
      <c r="Y1217" s="666"/>
      <c r="Z1217" s="666"/>
      <c r="AA1217" s="666"/>
      <c r="AB1217" s="666"/>
      <c r="AC1217" s="666"/>
      <c r="AD1217" s="666"/>
      <c r="AE1217" s="666"/>
      <c r="AF1217" s="666"/>
      <c r="AG1217" s="666"/>
      <c r="AH1217" s="666"/>
      <c r="AI1217" s="666"/>
      <c r="AJ1217" s="666"/>
      <c r="AK1217" s="666"/>
      <c r="AL1217" s="666"/>
      <c r="AM1217" s="666"/>
      <c r="AN1217" s="666"/>
      <c r="AO1217" s="666"/>
      <c r="AP1217" s="666"/>
      <c r="AQ1217" s="666"/>
      <c r="AR1217" s="666"/>
      <c r="AS1217" s="666"/>
      <c r="AT1217" s="666"/>
      <c r="AU1217" s="666"/>
    </row>
    <row r="1218" ht="15.75" customHeight="1">
      <c r="A1218" s="743"/>
      <c r="B1218" s="688"/>
      <c r="C1218" s="719"/>
      <c r="D1218" s="719"/>
      <c r="E1218" s="679"/>
      <c r="F1218" s="743"/>
      <c r="G1218" s="743"/>
      <c r="H1218" s="743"/>
      <c r="I1218" s="743"/>
      <c r="J1218" s="743"/>
      <c r="K1218" s="743"/>
      <c r="L1218" s="666"/>
      <c r="M1218" s="666"/>
      <c r="N1218" s="666"/>
      <c r="O1218" s="666"/>
      <c r="P1218" s="666"/>
      <c r="Q1218" s="666"/>
      <c r="R1218" s="666"/>
      <c r="S1218" s="666"/>
      <c r="T1218" s="666"/>
      <c r="U1218" s="666"/>
      <c r="V1218" s="666"/>
      <c r="W1218" s="666"/>
      <c r="X1218" s="666"/>
      <c r="Y1218" s="666"/>
      <c r="Z1218" s="666"/>
      <c r="AA1218" s="666"/>
      <c r="AB1218" s="666"/>
      <c r="AC1218" s="666"/>
      <c r="AD1218" s="666"/>
      <c r="AE1218" s="666"/>
      <c r="AF1218" s="666"/>
      <c r="AG1218" s="666"/>
      <c r="AH1218" s="666"/>
      <c r="AI1218" s="666"/>
      <c r="AJ1218" s="666"/>
      <c r="AK1218" s="666"/>
      <c r="AL1218" s="666"/>
      <c r="AM1218" s="666"/>
      <c r="AN1218" s="666"/>
      <c r="AO1218" s="666"/>
      <c r="AP1218" s="666"/>
      <c r="AQ1218" s="666"/>
      <c r="AR1218" s="666"/>
      <c r="AS1218" s="666"/>
      <c r="AT1218" s="666"/>
      <c r="AU1218" s="666"/>
    </row>
    <row r="1219" ht="15.75" customHeight="1">
      <c r="A1219" s="743"/>
      <c r="B1219" s="688"/>
      <c r="C1219" s="719"/>
      <c r="D1219" s="719"/>
      <c r="E1219" s="679"/>
      <c r="F1219" s="743"/>
      <c r="G1219" s="743"/>
      <c r="H1219" s="743"/>
      <c r="I1219" s="743"/>
      <c r="J1219" s="743"/>
      <c r="K1219" s="743"/>
      <c r="L1219" s="666"/>
      <c r="M1219" s="666"/>
      <c r="N1219" s="666"/>
      <c r="O1219" s="666"/>
      <c r="P1219" s="666"/>
      <c r="Q1219" s="666"/>
      <c r="R1219" s="666"/>
      <c r="S1219" s="666"/>
      <c r="T1219" s="666"/>
      <c r="U1219" s="666"/>
      <c r="V1219" s="666"/>
      <c r="W1219" s="666"/>
      <c r="X1219" s="666"/>
      <c r="Y1219" s="666"/>
      <c r="Z1219" s="666"/>
      <c r="AA1219" s="666"/>
      <c r="AB1219" s="666"/>
      <c r="AC1219" s="666"/>
      <c r="AD1219" s="666"/>
      <c r="AE1219" s="666"/>
      <c r="AF1219" s="666"/>
      <c r="AG1219" s="666"/>
      <c r="AH1219" s="666"/>
      <c r="AI1219" s="666"/>
      <c r="AJ1219" s="666"/>
      <c r="AK1219" s="666"/>
      <c r="AL1219" s="666"/>
      <c r="AM1219" s="666"/>
      <c r="AN1219" s="666"/>
      <c r="AO1219" s="666"/>
      <c r="AP1219" s="666"/>
      <c r="AQ1219" s="666"/>
      <c r="AR1219" s="666"/>
      <c r="AS1219" s="666"/>
      <c r="AT1219" s="666"/>
      <c r="AU1219" s="666"/>
    </row>
    <row r="1220" ht="15.75" customHeight="1">
      <c r="A1220" s="743"/>
      <c r="B1220" s="688"/>
      <c r="C1220" s="719"/>
      <c r="D1220" s="719"/>
      <c r="E1220" s="679"/>
      <c r="F1220" s="743"/>
      <c r="G1220" s="743"/>
      <c r="H1220" s="743"/>
      <c r="I1220" s="743"/>
      <c r="J1220" s="743"/>
      <c r="K1220" s="743"/>
      <c r="L1220" s="666"/>
      <c r="M1220" s="666"/>
      <c r="N1220" s="666"/>
      <c r="O1220" s="666"/>
      <c r="P1220" s="666"/>
      <c r="Q1220" s="666"/>
      <c r="R1220" s="666"/>
      <c r="S1220" s="666"/>
      <c r="T1220" s="666"/>
      <c r="U1220" s="666"/>
      <c r="V1220" s="666"/>
      <c r="W1220" s="666"/>
      <c r="X1220" s="666"/>
      <c r="Y1220" s="666"/>
      <c r="Z1220" s="666"/>
      <c r="AA1220" s="666"/>
      <c r="AB1220" s="666"/>
      <c r="AC1220" s="666"/>
      <c r="AD1220" s="666"/>
      <c r="AE1220" s="666"/>
      <c r="AF1220" s="666"/>
      <c r="AG1220" s="666"/>
      <c r="AH1220" s="666"/>
      <c r="AI1220" s="666"/>
      <c r="AJ1220" s="666"/>
      <c r="AK1220" s="666"/>
      <c r="AL1220" s="666"/>
      <c r="AM1220" s="666"/>
      <c r="AN1220" s="666"/>
      <c r="AO1220" s="666"/>
      <c r="AP1220" s="666"/>
      <c r="AQ1220" s="666"/>
      <c r="AR1220" s="666"/>
      <c r="AS1220" s="666"/>
      <c r="AT1220" s="666"/>
      <c r="AU1220" s="666"/>
    </row>
    <row r="1221" ht="15.75" customHeight="1">
      <c r="A1221" s="743"/>
      <c r="B1221" s="688"/>
      <c r="C1221" s="719"/>
      <c r="D1221" s="719"/>
      <c r="E1221" s="679"/>
      <c r="F1221" s="743"/>
      <c r="G1221" s="743"/>
      <c r="H1221" s="743"/>
      <c r="I1221" s="743"/>
      <c r="J1221" s="743"/>
      <c r="K1221" s="743"/>
      <c r="L1221" s="666"/>
      <c r="M1221" s="666"/>
      <c r="N1221" s="666"/>
      <c r="O1221" s="666"/>
      <c r="P1221" s="666"/>
      <c r="Q1221" s="666"/>
      <c r="R1221" s="666"/>
      <c r="S1221" s="666"/>
      <c r="T1221" s="666"/>
      <c r="U1221" s="666"/>
      <c r="V1221" s="666"/>
      <c r="W1221" s="666"/>
      <c r="X1221" s="666"/>
      <c r="Y1221" s="666"/>
      <c r="Z1221" s="666"/>
      <c r="AA1221" s="666"/>
      <c r="AB1221" s="666"/>
      <c r="AC1221" s="666"/>
      <c r="AD1221" s="666"/>
      <c r="AE1221" s="666"/>
      <c r="AF1221" s="666"/>
      <c r="AG1221" s="666"/>
      <c r="AH1221" s="666"/>
      <c r="AI1221" s="666"/>
      <c r="AJ1221" s="666"/>
      <c r="AK1221" s="666"/>
      <c r="AL1221" s="666"/>
      <c r="AM1221" s="666"/>
      <c r="AN1221" s="666"/>
      <c r="AO1221" s="666"/>
      <c r="AP1221" s="666"/>
      <c r="AQ1221" s="666"/>
      <c r="AR1221" s="666"/>
      <c r="AS1221" s="666"/>
      <c r="AT1221" s="666"/>
      <c r="AU1221" s="666"/>
    </row>
    <row r="1222" ht="15.75" customHeight="1">
      <c r="A1222" s="743"/>
      <c r="B1222" s="688"/>
      <c r="C1222" s="719"/>
      <c r="D1222" s="719"/>
      <c r="E1222" s="679"/>
      <c r="F1222" s="743"/>
      <c r="G1222" s="743"/>
      <c r="H1222" s="743"/>
      <c r="I1222" s="743"/>
      <c r="J1222" s="743"/>
      <c r="K1222" s="743"/>
      <c r="L1222" s="666"/>
      <c r="M1222" s="666"/>
      <c r="N1222" s="666"/>
      <c r="O1222" s="666"/>
      <c r="P1222" s="666"/>
      <c r="Q1222" s="666"/>
      <c r="R1222" s="666"/>
      <c r="S1222" s="666"/>
      <c r="T1222" s="666"/>
      <c r="U1222" s="666"/>
      <c r="V1222" s="666"/>
      <c r="W1222" s="666"/>
      <c r="X1222" s="666"/>
      <c r="Y1222" s="666"/>
      <c r="Z1222" s="666"/>
      <c r="AA1222" s="666"/>
      <c r="AB1222" s="666"/>
      <c r="AC1222" s="666"/>
      <c r="AD1222" s="666"/>
      <c r="AE1222" s="666"/>
      <c r="AF1222" s="666"/>
      <c r="AG1222" s="666"/>
      <c r="AH1222" s="666"/>
      <c r="AI1222" s="666"/>
      <c r="AJ1222" s="666"/>
      <c r="AK1222" s="666"/>
      <c r="AL1222" s="666"/>
      <c r="AM1222" s="666"/>
      <c r="AN1222" s="666"/>
      <c r="AO1222" s="666"/>
      <c r="AP1222" s="666"/>
      <c r="AQ1222" s="666"/>
      <c r="AR1222" s="666"/>
      <c r="AS1222" s="666"/>
      <c r="AT1222" s="666"/>
      <c r="AU1222" s="666"/>
    </row>
    <row r="1223" ht="15.75" customHeight="1">
      <c r="A1223" s="743"/>
      <c r="B1223" s="688"/>
      <c r="C1223" s="719"/>
      <c r="D1223" s="719"/>
      <c r="E1223" s="679"/>
      <c r="F1223" s="743"/>
      <c r="G1223" s="743"/>
      <c r="H1223" s="743"/>
      <c r="I1223" s="743"/>
      <c r="J1223" s="743"/>
      <c r="K1223" s="743"/>
      <c r="L1223" s="666"/>
      <c r="M1223" s="666"/>
      <c r="N1223" s="666"/>
      <c r="O1223" s="666"/>
      <c r="P1223" s="666"/>
      <c r="Q1223" s="666"/>
      <c r="R1223" s="666"/>
      <c r="S1223" s="666"/>
      <c r="T1223" s="666"/>
      <c r="U1223" s="666"/>
      <c r="V1223" s="666"/>
      <c r="W1223" s="666"/>
      <c r="X1223" s="666"/>
      <c r="Y1223" s="666"/>
      <c r="Z1223" s="666"/>
      <c r="AA1223" s="666"/>
      <c r="AB1223" s="666"/>
      <c r="AC1223" s="666"/>
      <c r="AD1223" s="666"/>
      <c r="AE1223" s="666"/>
      <c r="AF1223" s="666"/>
      <c r="AG1223" s="666"/>
      <c r="AH1223" s="666"/>
      <c r="AI1223" s="666"/>
      <c r="AJ1223" s="666"/>
      <c r="AK1223" s="666"/>
      <c r="AL1223" s="666"/>
      <c r="AM1223" s="666"/>
      <c r="AN1223" s="666"/>
      <c r="AO1223" s="666"/>
      <c r="AP1223" s="666"/>
      <c r="AQ1223" s="666"/>
      <c r="AR1223" s="666"/>
      <c r="AS1223" s="666"/>
      <c r="AT1223" s="666"/>
      <c r="AU1223" s="666"/>
    </row>
    <row r="1224" ht="15.75" customHeight="1">
      <c r="A1224" s="743"/>
      <c r="B1224" s="688"/>
      <c r="C1224" s="719"/>
      <c r="D1224" s="719"/>
      <c r="E1224" s="679"/>
      <c r="F1224" s="743"/>
      <c r="G1224" s="743"/>
      <c r="H1224" s="743"/>
      <c r="I1224" s="743"/>
      <c r="J1224" s="743"/>
      <c r="K1224" s="743"/>
      <c r="L1224" s="666"/>
      <c r="M1224" s="666"/>
      <c r="N1224" s="666"/>
      <c r="O1224" s="666"/>
      <c r="P1224" s="666"/>
      <c r="Q1224" s="666"/>
      <c r="R1224" s="666"/>
      <c r="S1224" s="666"/>
      <c r="T1224" s="666"/>
      <c r="U1224" s="666"/>
      <c r="V1224" s="666"/>
      <c r="W1224" s="666"/>
      <c r="X1224" s="666"/>
      <c r="Y1224" s="666"/>
      <c r="Z1224" s="666"/>
      <c r="AA1224" s="666"/>
      <c r="AB1224" s="666"/>
      <c r="AC1224" s="666"/>
      <c r="AD1224" s="666"/>
      <c r="AE1224" s="666"/>
      <c r="AF1224" s="666"/>
      <c r="AG1224" s="666"/>
      <c r="AH1224" s="666"/>
      <c r="AI1224" s="666"/>
      <c r="AJ1224" s="666"/>
      <c r="AK1224" s="666"/>
      <c r="AL1224" s="666"/>
      <c r="AM1224" s="666"/>
      <c r="AN1224" s="666"/>
      <c r="AO1224" s="666"/>
      <c r="AP1224" s="666"/>
      <c r="AQ1224" s="666"/>
      <c r="AR1224" s="666"/>
      <c r="AS1224" s="666"/>
      <c r="AT1224" s="666"/>
      <c r="AU1224" s="666"/>
    </row>
    <row r="1225" ht="15.75" customHeight="1">
      <c r="A1225" s="743"/>
      <c r="B1225" s="688"/>
      <c r="C1225" s="719"/>
      <c r="D1225" s="719"/>
      <c r="E1225" s="679"/>
      <c r="F1225" s="743"/>
      <c r="G1225" s="743"/>
      <c r="H1225" s="743"/>
      <c r="I1225" s="743"/>
      <c r="J1225" s="743"/>
      <c r="K1225" s="743"/>
      <c r="L1225" s="666"/>
      <c r="M1225" s="666"/>
      <c r="N1225" s="666"/>
      <c r="O1225" s="666"/>
      <c r="P1225" s="666"/>
      <c r="Q1225" s="666"/>
      <c r="R1225" s="666"/>
      <c r="S1225" s="666"/>
      <c r="T1225" s="666"/>
      <c r="U1225" s="666"/>
      <c r="V1225" s="666"/>
      <c r="W1225" s="666"/>
      <c r="X1225" s="666"/>
      <c r="Y1225" s="666"/>
      <c r="Z1225" s="666"/>
      <c r="AA1225" s="666"/>
      <c r="AB1225" s="666"/>
      <c r="AC1225" s="666"/>
      <c r="AD1225" s="666"/>
      <c r="AE1225" s="666"/>
      <c r="AF1225" s="666"/>
      <c r="AG1225" s="666"/>
      <c r="AH1225" s="666"/>
      <c r="AI1225" s="666"/>
      <c r="AJ1225" s="666"/>
      <c r="AK1225" s="666"/>
      <c r="AL1225" s="666"/>
      <c r="AM1225" s="666"/>
      <c r="AN1225" s="666"/>
      <c r="AO1225" s="666"/>
      <c r="AP1225" s="666"/>
      <c r="AQ1225" s="666"/>
      <c r="AR1225" s="666"/>
      <c r="AS1225" s="666"/>
      <c r="AT1225" s="666"/>
      <c r="AU1225" s="666"/>
    </row>
    <row r="1226" ht="15.75" customHeight="1">
      <c r="A1226" s="743"/>
      <c r="B1226" s="688"/>
      <c r="C1226" s="719"/>
      <c r="D1226" s="719"/>
      <c r="E1226" s="679"/>
      <c r="F1226" s="743"/>
      <c r="G1226" s="743"/>
      <c r="H1226" s="743"/>
      <c r="I1226" s="743"/>
      <c r="J1226" s="743"/>
      <c r="K1226" s="743"/>
      <c r="L1226" s="666"/>
      <c r="M1226" s="666"/>
      <c r="N1226" s="666"/>
      <c r="O1226" s="666"/>
      <c r="P1226" s="666"/>
      <c r="Q1226" s="666"/>
      <c r="R1226" s="666"/>
      <c r="S1226" s="666"/>
      <c r="T1226" s="666"/>
      <c r="U1226" s="666"/>
      <c r="V1226" s="666"/>
      <c r="W1226" s="666"/>
      <c r="X1226" s="666"/>
      <c r="Y1226" s="666"/>
      <c r="Z1226" s="666"/>
      <c r="AA1226" s="666"/>
      <c r="AB1226" s="666"/>
      <c r="AC1226" s="666"/>
      <c r="AD1226" s="666"/>
      <c r="AE1226" s="666"/>
      <c r="AF1226" s="666"/>
      <c r="AG1226" s="666"/>
      <c r="AH1226" s="666"/>
      <c r="AI1226" s="666"/>
      <c r="AJ1226" s="666"/>
      <c r="AK1226" s="666"/>
      <c r="AL1226" s="666"/>
      <c r="AM1226" s="666"/>
      <c r="AN1226" s="666"/>
      <c r="AO1226" s="666"/>
      <c r="AP1226" s="666"/>
      <c r="AQ1226" s="666"/>
      <c r="AR1226" s="666"/>
      <c r="AS1226" s="666"/>
      <c r="AT1226" s="666"/>
      <c r="AU1226" s="666"/>
    </row>
    <row r="1227" ht="15.75" customHeight="1">
      <c r="A1227" s="743"/>
      <c r="B1227" s="688"/>
      <c r="C1227" s="719"/>
      <c r="D1227" s="719"/>
      <c r="E1227" s="679"/>
      <c r="F1227" s="743"/>
      <c r="G1227" s="743"/>
      <c r="H1227" s="743"/>
      <c r="I1227" s="743"/>
      <c r="J1227" s="743"/>
      <c r="K1227" s="743"/>
      <c r="L1227" s="666"/>
      <c r="M1227" s="666"/>
      <c r="N1227" s="666"/>
      <c r="O1227" s="666"/>
      <c r="P1227" s="666"/>
      <c r="Q1227" s="666"/>
      <c r="R1227" s="666"/>
      <c r="S1227" s="666"/>
      <c r="T1227" s="666"/>
      <c r="U1227" s="666"/>
      <c r="V1227" s="666"/>
      <c r="W1227" s="666"/>
      <c r="X1227" s="666"/>
      <c r="Y1227" s="666"/>
      <c r="Z1227" s="666"/>
      <c r="AA1227" s="666"/>
      <c r="AB1227" s="666"/>
      <c r="AC1227" s="666"/>
      <c r="AD1227" s="666"/>
      <c r="AE1227" s="666"/>
      <c r="AF1227" s="666"/>
      <c r="AG1227" s="666"/>
      <c r="AH1227" s="666"/>
      <c r="AI1227" s="666"/>
      <c r="AJ1227" s="666"/>
      <c r="AK1227" s="666"/>
      <c r="AL1227" s="666"/>
      <c r="AM1227" s="666"/>
      <c r="AN1227" s="666"/>
      <c r="AO1227" s="666"/>
      <c r="AP1227" s="666"/>
      <c r="AQ1227" s="666"/>
      <c r="AR1227" s="666"/>
      <c r="AS1227" s="666"/>
      <c r="AT1227" s="666"/>
      <c r="AU1227" s="666"/>
    </row>
    <row r="1228" ht="15.75" customHeight="1">
      <c r="A1228" s="743"/>
      <c r="B1228" s="688"/>
      <c r="C1228" s="719"/>
      <c r="D1228" s="719"/>
      <c r="E1228" s="679"/>
      <c r="F1228" s="743"/>
      <c r="G1228" s="743"/>
      <c r="H1228" s="743"/>
      <c r="I1228" s="743"/>
      <c r="J1228" s="743"/>
      <c r="K1228" s="743"/>
      <c r="L1228" s="666"/>
      <c r="M1228" s="666"/>
      <c r="N1228" s="666"/>
      <c r="O1228" s="666"/>
      <c r="P1228" s="666"/>
      <c r="Q1228" s="666"/>
      <c r="R1228" s="666"/>
      <c r="S1228" s="666"/>
      <c r="T1228" s="666"/>
      <c r="U1228" s="666"/>
      <c r="V1228" s="666"/>
      <c r="W1228" s="666"/>
      <c r="X1228" s="666"/>
      <c r="Y1228" s="666"/>
      <c r="Z1228" s="666"/>
      <c r="AA1228" s="666"/>
      <c r="AB1228" s="666"/>
      <c r="AC1228" s="666"/>
      <c r="AD1228" s="666"/>
      <c r="AE1228" s="666"/>
      <c r="AF1228" s="666"/>
      <c r="AG1228" s="666"/>
      <c r="AH1228" s="666"/>
      <c r="AI1228" s="666"/>
      <c r="AJ1228" s="666"/>
      <c r="AK1228" s="666"/>
      <c r="AL1228" s="666"/>
      <c r="AM1228" s="666"/>
      <c r="AN1228" s="666"/>
      <c r="AO1228" s="666"/>
      <c r="AP1228" s="666"/>
      <c r="AQ1228" s="666"/>
      <c r="AR1228" s="666"/>
      <c r="AS1228" s="666"/>
      <c r="AT1228" s="666"/>
      <c r="AU1228" s="666"/>
    </row>
    <row r="1229" ht="15.75" customHeight="1">
      <c r="A1229" s="743"/>
      <c r="B1229" s="688"/>
      <c r="C1229" s="719"/>
      <c r="D1229" s="719"/>
      <c r="E1229" s="679"/>
      <c r="F1229" s="743"/>
      <c r="G1229" s="743"/>
      <c r="H1229" s="743"/>
      <c r="I1229" s="743"/>
      <c r="J1229" s="743"/>
      <c r="K1229" s="743"/>
      <c r="L1229" s="666"/>
      <c r="M1229" s="666"/>
      <c r="N1229" s="666"/>
      <c r="O1229" s="666"/>
      <c r="P1229" s="666"/>
      <c r="Q1229" s="666"/>
      <c r="R1229" s="666"/>
      <c r="S1229" s="666"/>
      <c r="T1229" s="666"/>
      <c r="U1229" s="666"/>
      <c r="V1229" s="666"/>
      <c r="W1229" s="666"/>
      <c r="X1229" s="666"/>
      <c r="Y1229" s="666"/>
      <c r="Z1229" s="666"/>
      <c r="AA1229" s="666"/>
      <c r="AB1229" s="666"/>
      <c r="AC1229" s="666"/>
      <c r="AD1229" s="666"/>
      <c r="AE1229" s="666"/>
      <c r="AF1229" s="666"/>
      <c r="AG1229" s="666"/>
      <c r="AH1229" s="666"/>
      <c r="AI1229" s="666"/>
      <c r="AJ1229" s="666"/>
      <c r="AK1229" s="666"/>
      <c r="AL1229" s="666"/>
      <c r="AM1229" s="666"/>
      <c r="AN1229" s="666"/>
      <c r="AO1229" s="666"/>
      <c r="AP1229" s="666"/>
      <c r="AQ1229" s="666"/>
      <c r="AR1229" s="666"/>
      <c r="AS1229" s="666"/>
      <c r="AT1229" s="666"/>
      <c r="AU1229" s="666"/>
    </row>
    <row r="1230" ht="15.75" customHeight="1">
      <c r="A1230" s="743"/>
      <c r="B1230" s="688"/>
      <c r="C1230" s="719"/>
      <c r="D1230" s="719"/>
      <c r="E1230" s="679"/>
      <c r="F1230" s="743"/>
      <c r="G1230" s="743"/>
      <c r="H1230" s="743"/>
      <c r="I1230" s="743"/>
      <c r="J1230" s="743"/>
      <c r="K1230" s="743"/>
      <c r="L1230" s="666"/>
      <c r="M1230" s="666"/>
      <c r="N1230" s="666"/>
      <c r="O1230" s="666"/>
      <c r="P1230" s="666"/>
      <c r="Q1230" s="666"/>
      <c r="R1230" s="666"/>
      <c r="S1230" s="666"/>
      <c r="T1230" s="666"/>
      <c r="U1230" s="666"/>
      <c r="V1230" s="666"/>
      <c r="W1230" s="666"/>
      <c r="X1230" s="666"/>
      <c r="Y1230" s="666"/>
      <c r="Z1230" s="666"/>
      <c r="AA1230" s="666"/>
      <c r="AB1230" s="666"/>
      <c r="AC1230" s="666"/>
      <c r="AD1230" s="666"/>
      <c r="AE1230" s="666"/>
      <c r="AF1230" s="666"/>
      <c r="AG1230" s="666"/>
      <c r="AH1230" s="666"/>
      <c r="AI1230" s="666"/>
      <c r="AJ1230" s="666"/>
      <c r="AK1230" s="666"/>
      <c r="AL1230" s="666"/>
      <c r="AM1230" s="666"/>
      <c r="AN1230" s="666"/>
      <c r="AO1230" s="666"/>
      <c r="AP1230" s="666"/>
      <c r="AQ1230" s="666"/>
      <c r="AR1230" s="666"/>
      <c r="AS1230" s="666"/>
      <c r="AT1230" s="666"/>
      <c r="AU1230" s="666"/>
    </row>
    <row r="1231" ht="15.75" customHeight="1">
      <c r="A1231" s="743"/>
      <c r="B1231" s="688"/>
      <c r="C1231" s="719"/>
      <c r="D1231" s="719"/>
      <c r="E1231" s="679"/>
      <c r="F1231" s="743"/>
      <c r="G1231" s="743"/>
      <c r="H1231" s="743"/>
      <c r="I1231" s="743"/>
      <c r="J1231" s="743"/>
      <c r="K1231" s="743"/>
      <c r="L1231" s="666"/>
      <c r="M1231" s="666"/>
      <c r="N1231" s="666"/>
      <c r="O1231" s="666"/>
      <c r="P1231" s="666"/>
      <c r="Q1231" s="666"/>
      <c r="R1231" s="666"/>
      <c r="S1231" s="666"/>
      <c r="T1231" s="666"/>
      <c r="U1231" s="666"/>
      <c r="V1231" s="666"/>
      <c r="W1231" s="666"/>
      <c r="X1231" s="666"/>
      <c r="Y1231" s="666"/>
      <c r="Z1231" s="666"/>
      <c r="AA1231" s="666"/>
      <c r="AB1231" s="666"/>
      <c r="AC1231" s="666"/>
      <c r="AD1231" s="666"/>
      <c r="AE1231" s="666"/>
      <c r="AF1231" s="666"/>
      <c r="AG1231" s="666"/>
      <c r="AH1231" s="666"/>
      <c r="AI1231" s="666"/>
      <c r="AJ1231" s="666"/>
      <c r="AK1231" s="666"/>
      <c r="AL1231" s="666"/>
      <c r="AM1231" s="666"/>
      <c r="AN1231" s="666"/>
      <c r="AO1231" s="666"/>
      <c r="AP1231" s="666"/>
      <c r="AQ1231" s="666"/>
      <c r="AR1231" s="666"/>
      <c r="AS1231" s="666"/>
      <c r="AT1231" s="666"/>
      <c r="AU1231" s="666"/>
    </row>
    <row r="1232" ht="15.75" customHeight="1">
      <c r="A1232" s="743"/>
      <c r="B1232" s="688"/>
      <c r="C1232" s="719"/>
      <c r="D1232" s="719"/>
      <c r="E1232" s="679"/>
      <c r="F1232" s="743"/>
      <c r="G1232" s="743"/>
      <c r="H1232" s="743"/>
      <c r="I1232" s="743"/>
      <c r="J1232" s="743"/>
      <c r="K1232" s="743"/>
      <c r="L1232" s="666"/>
      <c r="M1232" s="666"/>
      <c r="N1232" s="666"/>
      <c r="O1232" s="666"/>
      <c r="P1232" s="666"/>
      <c r="Q1232" s="666"/>
      <c r="R1232" s="666"/>
      <c r="S1232" s="666"/>
      <c r="T1232" s="666"/>
      <c r="U1232" s="666"/>
      <c r="V1232" s="666"/>
      <c r="W1232" s="666"/>
      <c r="X1232" s="666"/>
      <c r="Y1232" s="666"/>
      <c r="Z1232" s="666"/>
      <c r="AA1232" s="666"/>
      <c r="AB1232" s="666"/>
      <c r="AC1232" s="666"/>
      <c r="AD1232" s="666"/>
      <c r="AE1232" s="666"/>
      <c r="AF1232" s="666"/>
      <c r="AG1232" s="666"/>
      <c r="AH1232" s="666"/>
      <c r="AI1232" s="666"/>
      <c r="AJ1232" s="666"/>
      <c r="AK1232" s="666"/>
      <c r="AL1232" s="666"/>
      <c r="AM1232" s="666"/>
      <c r="AN1232" s="666"/>
      <c r="AO1232" s="666"/>
      <c r="AP1232" s="666"/>
      <c r="AQ1232" s="666"/>
      <c r="AR1232" s="666"/>
      <c r="AS1232" s="666"/>
      <c r="AT1232" s="666"/>
      <c r="AU1232" s="666"/>
    </row>
    <row r="1233" ht="15.75" customHeight="1">
      <c r="A1233" s="743"/>
      <c r="B1233" s="688"/>
      <c r="C1233" s="719"/>
      <c r="D1233" s="719"/>
      <c r="E1233" s="679"/>
      <c r="F1233" s="743"/>
      <c r="G1233" s="743"/>
      <c r="H1233" s="743"/>
      <c r="I1233" s="743"/>
      <c r="J1233" s="743"/>
      <c r="K1233" s="743"/>
      <c r="L1233" s="666"/>
      <c r="M1233" s="666"/>
      <c r="N1233" s="666"/>
      <c r="O1233" s="666"/>
      <c r="P1233" s="666"/>
      <c r="Q1233" s="666"/>
      <c r="R1233" s="666"/>
      <c r="S1233" s="666"/>
      <c r="T1233" s="666"/>
      <c r="U1233" s="666"/>
      <c r="V1233" s="666"/>
      <c r="W1233" s="666"/>
      <c r="X1233" s="666"/>
      <c r="Y1233" s="666"/>
      <c r="Z1233" s="666"/>
      <c r="AA1233" s="666"/>
      <c r="AB1233" s="666"/>
      <c r="AC1233" s="666"/>
      <c r="AD1233" s="666"/>
      <c r="AE1233" s="666"/>
      <c r="AF1233" s="666"/>
      <c r="AG1233" s="666"/>
      <c r="AH1233" s="666"/>
      <c r="AI1233" s="666"/>
      <c r="AJ1233" s="666"/>
      <c r="AK1233" s="666"/>
      <c r="AL1233" s="666"/>
      <c r="AM1233" s="666"/>
      <c r="AN1233" s="666"/>
      <c r="AO1233" s="666"/>
      <c r="AP1233" s="666"/>
      <c r="AQ1233" s="666"/>
      <c r="AR1233" s="666"/>
      <c r="AS1233" s="666"/>
      <c r="AT1233" s="666"/>
      <c r="AU1233" s="666"/>
    </row>
    <row r="1234" ht="15.75" customHeight="1">
      <c r="A1234" s="743"/>
      <c r="B1234" s="688"/>
      <c r="C1234" s="719"/>
      <c r="D1234" s="719"/>
      <c r="E1234" s="679"/>
      <c r="F1234" s="743"/>
      <c r="G1234" s="743"/>
      <c r="H1234" s="743"/>
      <c r="I1234" s="743"/>
      <c r="J1234" s="743"/>
      <c r="K1234" s="743"/>
      <c r="L1234" s="666"/>
      <c r="M1234" s="666"/>
      <c r="N1234" s="666"/>
      <c r="O1234" s="666"/>
      <c r="P1234" s="666"/>
      <c r="Q1234" s="666"/>
      <c r="R1234" s="666"/>
      <c r="S1234" s="666"/>
      <c r="T1234" s="666"/>
      <c r="U1234" s="666"/>
      <c r="V1234" s="666"/>
      <c r="W1234" s="666"/>
      <c r="X1234" s="666"/>
      <c r="Y1234" s="666"/>
      <c r="Z1234" s="666"/>
      <c r="AA1234" s="666"/>
      <c r="AB1234" s="666"/>
      <c r="AC1234" s="666"/>
      <c r="AD1234" s="666"/>
      <c r="AE1234" s="666"/>
      <c r="AF1234" s="666"/>
      <c r="AG1234" s="666"/>
      <c r="AH1234" s="666"/>
      <c r="AI1234" s="666"/>
      <c r="AJ1234" s="666"/>
      <c r="AK1234" s="666"/>
      <c r="AL1234" s="666"/>
      <c r="AM1234" s="666"/>
      <c r="AN1234" s="666"/>
      <c r="AO1234" s="666"/>
      <c r="AP1234" s="666"/>
      <c r="AQ1234" s="666"/>
      <c r="AR1234" s="666"/>
      <c r="AS1234" s="666"/>
      <c r="AT1234" s="666"/>
      <c r="AU1234" s="666"/>
    </row>
    <row r="1235" ht="15.75" customHeight="1">
      <c r="A1235" s="743"/>
      <c r="B1235" s="688"/>
      <c r="C1235" s="719"/>
      <c r="D1235" s="719"/>
      <c r="E1235" s="679"/>
      <c r="F1235" s="743"/>
      <c r="G1235" s="743"/>
      <c r="H1235" s="743"/>
      <c r="I1235" s="743"/>
      <c r="J1235" s="743"/>
      <c r="K1235" s="743"/>
      <c r="L1235" s="666"/>
      <c r="M1235" s="666"/>
      <c r="N1235" s="666"/>
      <c r="O1235" s="666"/>
      <c r="P1235" s="666"/>
      <c r="Q1235" s="666"/>
      <c r="R1235" s="666"/>
      <c r="S1235" s="666"/>
      <c r="T1235" s="666"/>
      <c r="U1235" s="666"/>
      <c r="V1235" s="666"/>
      <c r="W1235" s="666"/>
      <c r="X1235" s="666"/>
      <c r="Y1235" s="666"/>
      <c r="Z1235" s="666"/>
      <c r="AA1235" s="666"/>
      <c r="AB1235" s="666"/>
      <c r="AC1235" s="666"/>
      <c r="AD1235" s="666"/>
      <c r="AE1235" s="666"/>
      <c r="AF1235" s="666"/>
      <c r="AG1235" s="666"/>
      <c r="AH1235" s="666"/>
      <c r="AI1235" s="666"/>
      <c r="AJ1235" s="666"/>
      <c r="AK1235" s="666"/>
      <c r="AL1235" s="666"/>
      <c r="AM1235" s="666"/>
      <c r="AN1235" s="666"/>
      <c r="AO1235" s="666"/>
      <c r="AP1235" s="666"/>
      <c r="AQ1235" s="666"/>
      <c r="AR1235" s="666"/>
      <c r="AS1235" s="666"/>
      <c r="AT1235" s="666"/>
      <c r="AU1235" s="666"/>
    </row>
    <row r="1236" ht="15.75" customHeight="1">
      <c r="A1236" s="743"/>
      <c r="B1236" s="688"/>
      <c r="C1236" s="719"/>
      <c r="D1236" s="719"/>
      <c r="E1236" s="679"/>
      <c r="F1236" s="743"/>
      <c r="G1236" s="743"/>
      <c r="H1236" s="743"/>
      <c r="I1236" s="743"/>
      <c r="J1236" s="743"/>
      <c r="K1236" s="743"/>
      <c r="L1236" s="666"/>
      <c r="M1236" s="666"/>
      <c r="N1236" s="666"/>
      <c r="O1236" s="666"/>
      <c r="P1236" s="666"/>
      <c r="Q1236" s="666"/>
      <c r="R1236" s="666"/>
      <c r="S1236" s="666"/>
      <c r="T1236" s="666"/>
      <c r="U1236" s="666"/>
      <c r="V1236" s="666"/>
      <c r="W1236" s="666"/>
      <c r="X1236" s="666"/>
      <c r="Y1236" s="666"/>
      <c r="Z1236" s="666"/>
      <c r="AA1236" s="666"/>
      <c r="AB1236" s="666"/>
      <c r="AC1236" s="666"/>
      <c r="AD1236" s="666"/>
      <c r="AE1236" s="666"/>
      <c r="AF1236" s="666"/>
      <c r="AG1236" s="666"/>
      <c r="AH1236" s="666"/>
      <c r="AI1236" s="666"/>
      <c r="AJ1236" s="666"/>
      <c r="AK1236" s="666"/>
      <c r="AL1236" s="666"/>
      <c r="AM1236" s="666"/>
      <c r="AN1236" s="666"/>
      <c r="AO1236" s="666"/>
      <c r="AP1236" s="666"/>
      <c r="AQ1236" s="666"/>
      <c r="AR1236" s="666"/>
      <c r="AS1236" s="666"/>
      <c r="AT1236" s="666"/>
      <c r="AU1236" s="666"/>
    </row>
    <row r="1237" ht="15.75" customHeight="1">
      <c r="A1237" s="743"/>
      <c r="B1237" s="688"/>
      <c r="C1237" s="719"/>
      <c r="D1237" s="719"/>
      <c r="E1237" s="679"/>
      <c r="F1237" s="743"/>
      <c r="G1237" s="743"/>
      <c r="H1237" s="743"/>
      <c r="I1237" s="743"/>
      <c r="J1237" s="743"/>
      <c r="K1237" s="743"/>
      <c r="L1237" s="666"/>
      <c r="M1237" s="666"/>
      <c r="N1237" s="666"/>
      <c r="O1237" s="666"/>
      <c r="P1237" s="666"/>
      <c r="Q1237" s="666"/>
      <c r="R1237" s="666"/>
      <c r="S1237" s="666"/>
      <c r="T1237" s="666"/>
      <c r="U1237" s="666"/>
      <c r="V1237" s="666"/>
      <c r="W1237" s="666"/>
      <c r="X1237" s="666"/>
      <c r="Y1237" s="666"/>
      <c r="Z1237" s="666"/>
      <c r="AA1237" s="666"/>
      <c r="AB1237" s="666"/>
      <c r="AC1237" s="666"/>
      <c r="AD1237" s="666"/>
      <c r="AE1237" s="666"/>
      <c r="AF1237" s="666"/>
      <c r="AG1237" s="666"/>
      <c r="AH1237" s="666"/>
      <c r="AI1237" s="666"/>
      <c r="AJ1237" s="666"/>
      <c r="AK1237" s="666"/>
      <c r="AL1237" s="666"/>
      <c r="AM1237" s="666"/>
      <c r="AN1237" s="666"/>
      <c r="AO1237" s="666"/>
      <c r="AP1237" s="666"/>
      <c r="AQ1237" s="666"/>
      <c r="AR1237" s="666"/>
      <c r="AS1237" s="666"/>
      <c r="AT1237" s="666"/>
      <c r="AU1237" s="666"/>
    </row>
    <row r="1238" ht="15.75" customHeight="1">
      <c r="A1238" s="743"/>
      <c r="B1238" s="688"/>
      <c r="C1238" s="719"/>
      <c r="D1238" s="719"/>
      <c r="E1238" s="679"/>
      <c r="F1238" s="743"/>
      <c r="G1238" s="743"/>
      <c r="H1238" s="743"/>
      <c r="I1238" s="743"/>
      <c r="J1238" s="743"/>
      <c r="K1238" s="743"/>
      <c r="L1238" s="666"/>
      <c r="M1238" s="666"/>
      <c r="N1238" s="666"/>
      <c r="O1238" s="666"/>
      <c r="P1238" s="666"/>
      <c r="Q1238" s="666"/>
      <c r="R1238" s="666"/>
      <c r="S1238" s="666"/>
      <c r="T1238" s="666"/>
      <c r="U1238" s="666"/>
      <c r="V1238" s="666"/>
      <c r="W1238" s="666"/>
      <c r="X1238" s="666"/>
      <c r="Y1238" s="666"/>
      <c r="Z1238" s="666"/>
      <c r="AA1238" s="666"/>
      <c r="AB1238" s="666"/>
      <c r="AC1238" s="666"/>
      <c r="AD1238" s="666"/>
      <c r="AE1238" s="666"/>
      <c r="AF1238" s="666"/>
      <c r="AG1238" s="666"/>
      <c r="AH1238" s="666"/>
      <c r="AI1238" s="666"/>
      <c r="AJ1238" s="666"/>
      <c r="AK1238" s="666"/>
      <c r="AL1238" s="666"/>
      <c r="AM1238" s="666"/>
      <c r="AN1238" s="666"/>
      <c r="AO1238" s="666"/>
      <c r="AP1238" s="666"/>
      <c r="AQ1238" s="666"/>
      <c r="AR1238" s="666"/>
      <c r="AS1238" s="666"/>
      <c r="AT1238" s="666"/>
      <c r="AU1238" s="666"/>
    </row>
    <row r="1239" ht="15.75" customHeight="1">
      <c r="A1239" s="743"/>
      <c r="B1239" s="688"/>
      <c r="C1239" s="719"/>
      <c r="D1239" s="719"/>
      <c r="E1239" s="679"/>
      <c r="F1239" s="743"/>
      <c r="G1239" s="743"/>
      <c r="H1239" s="743"/>
      <c r="I1239" s="743"/>
      <c r="J1239" s="743"/>
      <c r="K1239" s="743"/>
      <c r="L1239" s="666"/>
      <c r="M1239" s="666"/>
      <c r="N1239" s="666"/>
      <c r="O1239" s="666"/>
      <c r="P1239" s="666"/>
      <c r="Q1239" s="666"/>
      <c r="R1239" s="666"/>
      <c r="S1239" s="666"/>
      <c r="T1239" s="666"/>
      <c r="U1239" s="666"/>
      <c r="V1239" s="666"/>
      <c r="W1239" s="666"/>
      <c r="X1239" s="666"/>
      <c r="Y1239" s="666"/>
      <c r="Z1239" s="666"/>
      <c r="AA1239" s="666"/>
      <c r="AB1239" s="666"/>
      <c r="AC1239" s="666"/>
      <c r="AD1239" s="666"/>
      <c r="AE1239" s="666"/>
      <c r="AF1239" s="666"/>
      <c r="AG1239" s="666"/>
      <c r="AH1239" s="666"/>
      <c r="AI1239" s="666"/>
      <c r="AJ1239" s="666"/>
      <c r="AK1239" s="666"/>
      <c r="AL1239" s="666"/>
      <c r="AM1239" s="666"/>
      <c r="AN1239" s="666"/>
      <c r="AO1239" s="666"/>
      <c r="AP1239" s="666"/>
      <c r="AQ1239" s="666"/>
      <c r="AR1239" s="666"/>
      <c r="AS1239" s="666"/>
      <c r="AT1239" s="666"/>
      <c r="AU1239" s="666"/>
    </row>
    <row r="1240" ht="15.75" customHeight="1">
      <c r="A1240" s="743"/>
      <c r="B1240" s="688"/>
      <c r="C1240" s="719"/>
      <c r="D1240" s="719"/>
      <c r="E1240" s="679"/>
      <c r="F1240" s="743"/>
      <c r="G1240" s="743"/>
      <c r="H1240" s="743"/>
      <c r="I1240" s="743"/>
      <c r="J1240" s="743"/>
      <c r="K1240" s="743"/>
      <c r="L1240" s="666"/>
      <c r="M1240" s="666"/>
      <c r="N1240" s="666"/>
      <c r="O1240" s="666"/>
      <c r="P1240" s="666"/>
      <c r="Q1240" s="666"/>
      <c r="R1240" s="666"/>
      <c r="S1240" s="666"/>
      <c r="T1240" s="666"/>
      <c r="U1240" s="666"/>
      <c r="V1240" s="666"/>
      <c r="W1240" s="666"/>
      <c r="X1240" s="666"/>
      <c r="Y1240" s="666"/>
      <c r="Z1240" s="666"/>
      <c r="AA1240" s="666"/>
      <c r="AB1240" s="666"/>
      <c r="AC1240" s="666"/>
      <c r="AD1240" s="666"/>
      <c r="AE1240" s="666"/>
      <c r="AF1240" s="666"/>
      <c r="AG1240" s="666"/>
      <c r="AH1240" s="666"/>
      <c r="AI1240" s="666"/>
      <c r="AJ1240" s="666"/>
      <c r="AK1240" s="666"/>
      <c r="AL1240" s="666"/>
      <c r="AM1240" s="666"/>
      <c r="AN1240" s="666"/>
      <c r="AO1240" s="666"/>
      <c r="AP1240" s="666"/>
      <c r="AQ1240" s="666"/>
      <c r="AR1240" s="666"/>
      <c r="AS1240" s="666"/>
      <c r="AT1240" s="666"/>
      <c r="AU1240" s="666"/>
    </row>
    <row r="1241" ht="15.75" customHeight="1">
      <c r="A1241" s="743"/>
      <c r="B1241" s="688"/>
      <c r="C1241" s="719"/>
      <c r="D1241" s="719"/>
      <c r="E1241" s="679"/>
      <c r="F1241" s="743"/>
      <c r="G1241" s="743"/>
      <c r="H1241" s="743"/>
      <c r="I1241" s="743"/>
      <c r="J1241" s="743"/>
      <c r="K1241" s="743"/>
      <c r="L1241" s="666"/>
      <c r="M1241" s="666"/>
      <c r="N1241" s="666"/>
      <c r="O1241" s="666"/>
      <c r="P1241" s="666"/>
      <c r="Q1241" s="666"/>
      <c r="R1241" s="666"/>
      <c r="S1241" s="666"/>
      <c r="T1241" s="666"/>
      <c r="U1241" s="666"/>
      <c r="V1241" s="666"/>
      <c r="W1241" s="666"/>
      <c r="X1241" s="666"/>
      <c r="Y1241" s="666"/>
      <c r="Z1241" s="666"/>
      <c r="AA1241" s="666"/>
      <c r="AB1241" s="666"/>
      <c r="AC1241" s="666"/>
      <c r="AD1241" s="666"/>
      <c r="AE1241" s="666"/>
      <c r="AF1241" s="666"/>
      <c r="AG1241" s="666"/>
      <c r="AH1241" s="666"/>
      <c r="AI1241" s="666"/>
      <c r="AJ1241" s="666"/>
      <c r="AK1241" s="666"/>
      <c r="AL1241" s="666"/>
      <c r="AM1241" s="666"/>
      <c r="AN1241" s="666"/>
      <c r="AO1241" s="666"/>
      <c r="AP1241" s="666"/>
      <c r="AQ1241" s="666"/>
      <c r="AR1241" s="666"/>
      <c r="AS1241" s="666"/>
      <c r="AT1241" s="666"/>
      <c r="AU1241" s="666"/>
    </row>
    <row r="1242" ht="15.75" customHeight="1">
      <c r="A1242" s="743"/>
      <c r="B1242" s="688"/>
      <c r="C1242" s="719"/>
      <c r="D1242" s="719"/>
      <c r="E1242" s="679"/>
      <c r="F1242" s="743"/>
      <c r="G1242" s="743"/>
      <c r="H1242" s="743"/>
      <c r="I1242" s="743"/>
      <c r="J1242" s="743"/>
      <c r="K1242" s="743"/>
      <c r="L1242" s="666"/>
      <c r="M1242" s="666"/>
      <c r="N1242" s="666"/>
      <c r="O1242" s="666"/>
      <c r="P1242" s="666"/>
      <c r="Q1242" s="666"/>
      <c r="R1242" s="666"/>
      <c r="S1242" s="666"/>
      <c r="T1242" s="666"/>
      <c r="U1242" s="666"/>
      <c r="V1242" s="666"/>
      <c r="W1242" s="666"/>
      <c r="X1242" s="666"/>
      <c r="Y1242" s="666"/>
      <c r="Z1242" s="666"/>
      <c r="AA1242" s="666"/>
      <c r="AB1242" s="666"/>
      <c r="AC1242" s="666"/>
      <c r="AD1242" s="666"/>
      <c r="AE1242" s="666"/>
      <c r="AF1242" s="666"/>
      <c r="AG1242" s="666"/>
      <c r="AH1242" s="666"/>
      <c r="AI1242" s="666"/>
      <c r="AJ1242" s="666"/>
      <c r="AK1242" s="666"/>
      <c r="AL1242" s="666"/>
      <c r="AM1242" s="666"/>
      <c r="AN1242" s="666"/>
      <c r="AO1242" s="666"/>
      <c r="AP1242" s="666"/>
      <c r="AQ1242" s="666"/>
      <c r="AR1242" s="666"/>
      <c r="AS1242" s="666"/>
      <c r="AT1242" s="666"/>
      <c r="AU1242" s="666"/>
    </row>
    <row r="1243" ht="15.75" customHeight="1">
      <c r="A1243" s="743"/>
      <c r="B1243" s="688"/>
      <c r="C1243" s="719"/>
      <c r="D1243" s="719"/>
      <c r="E1243" s="679"/>
      <c r="F1243" s="743"/>
      <c r="G1243" s="743"/>
      <c r="H1243" s="743"/>
      <c r="I1243" s="743"/>
      <c r="J1243" s="743"/>
      <c r="K1243" s="743"/>
      <c r="L1243" s="666"/>
      <c r="M1243" s="666"/>
      <c r="N1243" s="666"/>
      <c r="O1243" s="666"/>
      <c r="P1243" s="666"/>
      <c r="Q1243" s="666"/>
      <c r="R1243" s="666"/>
      <c r="S1243" s="666"/>
      <c r="T1243" s="666"/>
      <c r="U1243" s="666"/>
      <c r="V1243" s="666"/>
      <c r="W1243" s="666"/>
      <c r="X1243" s="666"/>
      <c r="Y1243" s="666"/>
      <c r="Z1243" s="666"/>
      <c r="AA1243" s="666"/>
      <c r="AB1243" s="666"/>
      <c r="AC1243" s="666"/>
      <c r="AD1243" s="666"/>
      <c r="AE1243" s="666"/>
      <c r="AF1243" s="666"/>
      <c r="AG1243" s="666"/>
      <c r="AH1243" s="666"/>
      <c r="AI1243" s="666"/>
      <c r="AJ1243" s="666"/>
      <c r="AK1243" s="666"/>
      <c r="AL1243" s="666"/>
      <c r="AM1243" s="666"/>
      <c r="AN1243" s="666"/>
      <c r="AO1243" s="666"/>
      <c r="AP1243" s="666"/>
      <c r="AQ1243" s="666"/>
      <c r="AR1243" s="666"/>
      <c r="AS1243" s="666"/>
      <c r="AT1243" s="666"/>
      <c r="AU1243" s="666"/>
    </row>
    <row r="1244" ht="15.75" customHeight="1">
      <c r="A1244" s="743"/>
      <c r="B1244" s="688"/>
      <c r="C1244" s="719"/>
      <c r="D1244" s="719"/>
      <c r="E1244" s="679"/>
      <c r="F1244" s="743"/>
      <c r="G1244" s="743"/>
      <c r="H1244" s="743"/>
      <c r="I1244" s="743"/>
      <c r="J1244" s="743"/>
      <c r="K1244" s="743"/>
      <c r="L1244" s="666"/>
      <c r="M1244" s="666"/>
      <c r="N1244" s="666"/>
      <c r="O1244" s="666"/>
      <c r="P1244" s="666"/>
      <c r="Q1244" s="666"/>
      <c r="R1244" s="666"/>
      <c r="S1244" s="666"/>
      <c r="T1244" s="666"/>
      <c r="U1244" s="666"/>
      <c r="V1244" s="666"/>
      <c r="W1244" s="666"/>
      <c r="X1244" s="666"/>
      <c r="Y1244" s="666"/>
      <c r="Z1244" s="666"/>
      <c r="AA1244" s="666"/>
      <c r="AB1244" s="666"/>
      <c r="AC1244" s="666"/>
      <c r="AD1244" s="666"/>
      <c r="AE1244" s="666"/>
      <c r="AF1244" s="666"/>
      <c r="AG1244" s="666"/>
      <c r="AH1244" s="666"/>
      <c r="AI1244" s="666"/>
      <c r="AJ1244" s="666"/>
      <c r="AK1244" s="666"/>
      <c r="AL1244" s="666"/>
      <c r="AM1244" s="666"/>
      <c r="AN1244" s="666"/>
      <c r="AO1244" s="666"/>
      <c r="AP1244" s="666"/>
      <c r="AQ1244" s="666"/>
      <c r="AR1244" s="666"/>
      <c r="AS1244" s="666"/>
      <c r="AT1244" s="666"/>
      <c r="AU1244" s="666"/>
    </row>
    <row r="1245" ht="15.75" customHeight="1">
      <c r="A1245" s="743"/>
      <c r="B1245" s="688"/>
      <c r="C1245" s="719"/>
      <c r="D1245" s="719"/>
      <c r="E1245" s="679"/>
      <c r="F1245" s="743"/>
      <c r="G1245" s="743"/>
      <c r="H1245" s="743"/>
      <c r="I1245" s="743"/>
      <c r="J1245" s="743"/>
      <c r="K1245" s="743"/>
      <c r="L1245" s="666"/>
      <c r="M1245" s="666"/>
      <c r="N1245" s="666"/>
      <c r="O1245" s="666"/>
      <c r="P1245" s="666"/>
      <c r="Q1245" s="666"/>
      <c r="R1245" s="666"/>
      <c r="S1245" s="666"/>
      <c r="T1245" s="666"/>
      <c r="U1245" s="666"/>
      <c r="V1245" s="666"/>
      <c r="W1245" s="666"/>
      <c r="X1245" s="666"/>
      <c r="Y1245" s="666"/>
      <c r="Z1245" s="666"/>
      <c r="AA1245" s="666"/>
      <c r="AB1245" s="666"/>
      <c r="AC1245" s="666"/>
      <c r="AD1245" s="666"/>
      <c r="AE1245" s="666"/>
      <c r="AF1245" s="666"/>
      <c r="AG1245" s="666"/>
      <c r="AH1245" s="666"/>
      <c r="AI1245" s="666"/>
      <c r="AJ1245" s="666"/>
      <c r="AK1245" s="666"/>
      <c r="AL1245" s="666"/>
      <c r="AM1245" s="666"/>
      <c r="AN1245" s="666"/>
      <c r="AO1245" s="666"/>
      <c r="AP1245" s="666"/>
      <c r="AQ1245" s="666"/>
      <c r="AR1245" s="666"/>
      <c r="AS1245" s="666"/>
      <c r="AT1245" s="666"/>
      <c r="AU1245" s="666"/>
    </row>
    <row r="1246" ht="15.75" customHeight="1">
      <c r="A1246" s="743"/>
      <c r="B1246" s="688"/>
      <c r="C1246" s="719"/>
      <c r="D1246" s="719"/>
      <c r="E1246" s="679"/>
      <c r="F1246" s="743"/>
      <c r="G1246" s="743"/>
      <c r="H1246" s="743"/>
      <c r="I1246" s="743"/>
      <c r="J1246" s="743"/>
      <c r="K1246" s="743"/>
      <c r="L1246" s="666"/>
      <c r="M1246" s="666"/>
      <c r="N1246" s="666"/>
      <c r="O1246" s="666"/>
      <c r="P1246" s="666"/>
      <c r="Q1246" s="666"/>
      <c r="R1246" s="666"/>
      <c r="S1246" s="666"/>
      <c r="T1246" s="666"/>
      <c r="U1246" s="666"/>
      <c r="V1246" s="666"/>
      <c r="W1246" s="666"/>
      <c r="X1246" s="666"/>
      <c r="Y1246" s="666"/>
      <c r="Z1246" s="666"/>
      <c r="AA1246" s="666"/>
      <c r="AB1246" s="666"/>
      <c r="AC1246" s="666"/>
      <c r="AD1246" s="666"/>
      <c r="AE1246" s="666"/>
      <c r="AF1246" s="666"/>
      <c r="AG1246" s="666"/>
      <c r="AH1246" s="666"/>
      <c r="AI1246" s="666"/>
      <c r="AJ1246" s="666"/>
      <c r="AK1246" s="666"/>
      <c r="AL1246" s="666"/>
      <c r="AM1246" s="666"/>
      <c r="AN1246" s="666"/>
      <c r="AO1246" s="666"/>
      <c r="AP1246" s="666"/>
      <c r="AQ1246" s="666"/>
      <c r="AR1246" s="666"/>
      <c r="AS1246" s="666"/>
      <c r="AT1246" s="666"/>
      <c r="AU1246" s="666"/>
    </row>
    <row r="1247" ht="15.75" customHeight="1">
      <c r="A1247" s="743"/>
      <c r="B1247" s="688"/>
      <c r="C1247" s="719"/>
      <c r="D1247" s="719"/>
      <c r="E1247" s="679"/>
      <c r="F1247" s="743"/>
      <c r="G1247" s="743"/>
      <c r="H1247" s="743"/>
      <c r="I1247" s="743"/>
      <c r="J1247" s="743"/>
      <c r="K1247" s="743"/>
      <c r="L1247" s="666"/>
      <c r="M1247" s="666"/>
      <c r="N1247" s="666"/>
      <c r="O1247" s="666"/>
      <c r="P1247" s="666"/>
      <c r="Q1247" s="666"/>
      <c r="R1247" s="666"/>
      <c r="S1247" s="666"/>
      <c r="T1247" s="666"/>
      <c r="U1247" s="666"/>
      <c r="V1247" s="666"/>
      <c r="W1247" s="666"/>
      <c r="X1247" s="666"/>
      <c r="Y1247" s="666"/>
      <c r="Z1247" s="666"/>
      <c r="AA1247" s="666"/>
      <c r="AB1247" s="666"/>
      <c r="AC1247" s="666"/>
      <c r="AD1247" s="666"/>
      <c r="AE1247" s="666"/>
      <c r="AF1247" s="666"/>
      <c r="AG1247" s="666"/>
      <c r="AH1247" s="666"/>
      <c r="AI1247" s="666"/>
      <c r="AJ1247" s="666"/>
      <c r="AK1247" s="666"/>
      <c r="AL1247" s="666"/>
      <c r="AM1247" s="666"/>
      <c r="AN1247" s="666"/>
      <c r="AO1247" s="666"/>
      <c r="AP1247" s="666"/>
      <c r="AQ1247" s="666"/>
      <c r="AR1247" s="666"/>
      <c r="AS1247" s="666"/>
      <c r="AT1247" s="666"/>
      <c r="AU1247" s="666"/>
    </row>
    <row r="1248" ht="15.75" customHeight="1">
      <c r="A1248" s="743"/>
      <c r="B1248" s="688"/>
      <c r="C1248" s="719"/>
      <c r="D1248" s="719"/>
      <c r="E1248" s="679"/>
      <c r="F1248" s="743"/>
      <c r="G1248" s="743"/>
      <c r="H1248" s="743"/>
      <c r="I1248" s="743"/>
      <c r="J1248" s="743"/>
      <c r="K1248" s="743"/>
      <c r="L1248" s="666"/>
      <c r="M1248" s="666"/>
      <c r="N1248" s="666"/>
      <c r="O1248" s="666"/>
      <c r="P1248" s="666"/>
      <c r="Q1248" s="666"/>
      <c r="R1248" s="666"/>
      <c r="S1248" s="666"/>
      <c r="T1248" s="666"/>
      <c r="U1248" s="666"/>
      <c r="V1248" s="666"/>
      <c r="W1248" s="666"/>
      <c r="X1248" s="666"/>
      <c r="Y1248" s="666"/>
      <c r="Z1248" s="666"/>
      <c r="AA1248" s="666"/>
      <c r="AB1248" s="666"/>
      <c r="AC1248" s="666"/>
      <c r="AD1248" s="666"/>
      <c r="AE1248" s="666"/>
      <c r="AF1248" s="666"/>
      <c r="AG1248" s="666"/>
      <c r="AH1248" s="666"/>
      <c r="AI1248" s="666"/>
      <c r="AJ1248" s="666"/>
      <c r="AK1248" s="666"/>
      <c r="AL1248" s="666"/>
      <c r="AM1248" s="666"/>
      <c r="AN1248" s="666"/>
      <c r="AO1248" s="666"/>
      <c r="AP1248" s="666"/>
      <c r="AQ1248" s="666"/>
      <c r="AR1248" s="666"/>
      <c r="AS1248" s="666"/>
      <c r="AT1248" s="666"/>
      <c r="AU1248" s="666"/>
    </row>
    <row r="1249" ht="15.75" customHeight="1">
      <c r="A1249" s="743"/>
      <c r="B1249" s="688"/>
      <c r="C1249" s="719"/>
      <c r="D1249" s="719"/>
      <c r="E1249" s="679"/>
      <c r="F1249" s="743"/>
      <c r="G1249" s="743"/>
      <c r="H1249" s="743"/>
      <c r="I1249" s="743"/>
      <c r="J1249" s="743"/>
      <c r="K1249" s="743"/>
      <c r="L1249" s="666"/>
      <c r="M1249" s="666"/>
      <c r="N1249" s="666"/>
      <c r="O1249" s="666"/>
      <c r="P1249" s="666"/>
      <c r="Q1249" s="666"/>
      <c r="R1249" s="666"/>
      <c r="S1249" s="666"/>
      <c r="T1249" s="666"/>
      <c r="U1249" s="666"/>
      <c r="V1249" s="666"/>
      <c r="W1249" s="666"/>
      <c r="X1249" s="666"/>
      <c r="Y1249" s="666"/>
      <c r="Z1249" s="666"/>
      <c r="AA1249" s="666"/>
      <c r="AB1249" s="666"/>
      <c r="AC1249" s="666"/>
      <c r="AD1249" s="666"/>
      <c r="AE1249" s="666"/>
      <c r="AF1249" s="666"/>
      <c r="AG1249" s="666"/>
      <c r="AH1249" s="666"/>
      <c r="AI1249" s="666"/>
      <c r="AJ1249" s="666"/>
      <c r="AK1249" s="666"/>
      <c r="AL1249" s="666"/>
      <c r="AM1249" s="666"/>
      <c r="AN1249" s="666"/>
      <c r="AO1249" s="666"/>
      <c r="AP1249" s="666"/>
      <c r="AQ1249" s="666"/>
      <c r="AR1249" s="666"/>
      <c r="AS1249" s="666"/>
      <c r="AT1249" s="666"/>
      <c r="AU1249" s="666"/>
    </row>
    <row r="1250" ht="15.75" customHeight="1">
      <c r="A1250" s="743"/>
      <c r="B1250" s="688"/>
      <c r="C1250" s="719"/>
      <c r="D1250" s="719"/>
      <c r="E1250" s="679"/>
      <c r="F1250" s="743"/>
      <c r="G1250" s="743"/>
      <c r="H1250" s="743"/>
      <c r="I1250" s="743"/>
      <c r="J1250" s="743"/>
      <c r="K1250" s="743"/>
      <c r="L1250" s="666"/>
      <c r="M1250" s="666"/>
      <c r="N1250" s="666"/>
      <c r="O1250" s="666"/>
      <c r="P1250" s="666"/>
      <c r="Q1250" s="666"/>
      <c r="R1250" s="666"/>
      <c r="S1250" s="666"/>
      <c r="T1250" s="666"/>
      <c r="U1250" s="666"/>
      <c r="V1250" s="666"/>
      <c r="W1250" s="666"/>
      <c r="X1250" s="666"/>
      <c r="Y1250" s="666"/>
      <c r="Z1250" s="666"/>
      <c r="AA1250" s="666"/>
      <c r="AB1250" s="666"/>
      <c r="AC1250" s="666"/>
      <c r="AD1250" s="666"/>
      <c r="AE1250" s="666"/>
      <c r="AF1250" s="666"/>
      <c r="AG1250" s="666"/>
      <c r="AH1250" s="666"/>
      <c r="AI1250" s="666"/>
      <c r="AJ1250" s="666"/>
      <c r="AK1250" s="666"/>
      <c r="AL1250" s="666"/>
      <c r="AM1250" s="666"/>
      <c r="AN1250" s="666"/>
      <c r="AO1250" s="666"/>
      <c r="AP1250" s="666"/>
      <c r="AQ1250" s="666"/>
      <c r="AR1250" s="666"/>
      <c r="AS1250" s="666"/>
      <c r="AT1250" s="666"/>
      <c r="AU1250" s="666"/>
    </row>
    <row r="1251" ht="15.75" customHeight="1">
      <c r="A1251" s="743"/>
      <c r="B1251" s="688"/>
      <c r="C1251" s="719"/>
      <c r="D1251" s="719"/>
      <c r="E1251" s="679"/>
      <c r="F1251" s="743"/>
      <c r="G1251" s="743"/>
      <c r="H1251" s="743"/>
      <c r="I1251" s="743"/>
      <c r="J1251" s="743"/>
      <c r="K1251" s="743"/>
      <c r="L1251" s="666"/>
      <c r="M1251" s="666"/>
      <c r="N1251" s="666"/>
      <c r="O1251" s="666"/>
      <c r="P1251" s="666"/>
      <c r="Q1251" s="666"/>
      <c r="R1251" s="666"/>
      <c r="S1251" s="666"/>
      <c r="T1251" s="666"/>
      <c r="U1251" s="666"/>
      <c r="V1251" s="666"/>
      <c r="W1251" s="666"/>
      <c r="X1251" s="666"/>
      <c r="Y1251" s="666"/>
      <c r="Z1251" s="666"/>
      <c r="AA1251" s="666"/>
      <c r="AB1251" s="666"/>
      <c r="AC1251" s="666"/>
      <c r="AD1251" s="666"/>
      <c r="AE1251" s="666"/>
      <c r="AF1251" s="666"/>
      <c r="AG1251" s="666"/>
      <c r="AH1251" s="666"/>
      <c r="AI1251" s="666"/>
      <c r="AJ1251" s="666"/>
      <c r="AK1251" s="666"/>
      <c r="AL1251" s="666"/>
      <c r="AM1251" s="666"/>
      <c r="AN1251" s="666"/>
      <c r="AO1251" s="666"/>
      <c r="AP1251" s="666"/>
      <c r="AQ1251" s="666"/>
      <c r="AR1251" s="666"/>
      <c r="AS1251" s="666"/>
      <c r="AT1251" s="666"/>
      <c r="AU1251" s="666"/>
    </row>
    <row r="1252" ht="15.75" customHeight="1">
      <c r="A1252" s="743"/>
      <c r="B1252" s="688"/>
      <c r="C1252" s="719"/>
      <c r="D1252" s="719"/>
      <c r="E1252" s="679"/>
      <c r="F1252" s="743"/>
      <c r="G1252" s="743"/>
      <c r="H1252" s="743"/>
      <c r="I1252" s="743"/>
      <c r="J1252" s="743"/>
      <c r="K1252" s="743"/>
      <c r="L1252" s="666"/>
      <c r="M1252" s="666"/>
      <c r="N1252" s="666"/>
      <c r="O1252" s="666"/>
      <c r="P1252" s="666"/>
      <c r="Q1252" s="666"/>
      <c r="R1252" s="666"/>
      <c r="S1252" s="666"/>
      <c r="T1252" s="666"/>
      <c r="U1252" s="666"/>
      <c r="V1252" s="666"/>
      <c r="W1252" s="666"/>
      <c r="X1252" s="666"/>
      <c r="Y1252" s="666"/>
      <c r="Z1252" s="666"/>
      <c r="AA1252" s="666"/>
      <c r="AB1252" s="666"/>
      <c r="AC1252" s="666"/>
      <c r="AD1252" s="666"/>
      <c r="AE1252" s="666"/>
      <c r="AF1252" s="666"/>
      <c r="AG1252" s="666"/>
      <c r="AH1252" s="666"/>
      <c r="AI1252" s="666"/>
      <c r="AJ1252" s="666"/>
      <c r="AK1252" s="666"/>
      <c r="AL1252" s="666"/>
      <c r="AM1252" s="666"/>
      <c r="AN1252" s="666"/>
      <c r="AO1252" s="666"/>
      <c r="AP1252" s="666"/>
      <c r="AQ1252" s="666"/>
      <c r="AR1252" s="666"/>
      <c r="AS1252" s="666"/>
      <c r="AT1252" s="666"/>
      <c r="AU1252" s="666"/>
    </row>
    <row r="1253" ht="15.75" customHeight="1">
      <c r="A1253" s="743"/>
      <c r="B1253" s="688"/>
      <c r="C1253" s="719"/>
      <c r="D1253" s="719"/>
      <c r="E1253" s="679"/>
      <c r="F1253" s="743"/>
      <c r="G1253" s="743"/>
      <c r="H1253" s="743"/>
      <c r="I1253" s="743"/>
      <c r="J1253" s="743"/>
      <c r="K1253" s="743"/>
      <c r="L1253" s="666"/>
      <c r="M1253" s="666"/>
      <c r="N1253" s="666"/>
      <c r="O1253" s="666"/>
      <c r="P1253" s="666"/>
      <c r="Q1253" s="666"/>
      <c r="R1253" s="666"/>
      <c r="S1253" s="666"/>
      <c r="T1253" s="666"/>
      <c r="U1253" s="666"/>
      <c r="V1253" s="666"/>
      <c r="W1253" s="666"/>
      <c r="X1253" s="666"/>
      <c r="Y1253" s="666"/>
      <c r="Z1253" s="666"/>
      <c r="AA1253" s="666"/>
      <c r="AB1253" s="666"/>
      <c r="AC1253" s="666"/>
      <c r="AD1253" s="666"/>
      <c r="AE1253" s="666"/>
      <c r="AF1253" s="666"/>
      <c r="AG1253" s="666"/>
      <c r="AH1253" s="666"/>
      <c r="AI1253" s="666"/>
      <c r="AJ1253" s="666"/>
      <c r="AK1253" s="666"/>
      <c r="AL1253" s="666"/>
      <c r="AM1253" s="666"/>
      <c r="AN1253" s="666"/>
      <c r="AO1253" s="666"/>
      <c r="AP1253" s="666"/>
      <c r="AQ1253" s="666"/>
      <c r="AR1253" s="666"/>
      <c r="AS1253" s="666"/>
      <c r="AT1253" s="666"/>
      <c r="AU1253" s="666"/>
    </row>
    <row r="1254" ht="15.75" customHeight="1">
      <c r="A1254" s="743"/>
      <c r="B1254" s="688"/>
      <c r="C1254" s="719"/>
      <c r="D1254" s="719"/>
      <c r="E1254" s="679"/>
      <c r="F1254" s="743"/>
      <c r="G1254" s="743"/>
      <c r="H1254" s="743"/>
      <c r="I1254" s="743"/>
      <c r="J1254" s="743"/>
      <c r="K1254" s="743"/>
      <c r="L1254" s="666"/>
      <c r="M1254" s="666"/>
      <c r="N1254" s="666"/>
      <c r="O1254" s="666"/>
      <c r="P1254" s="666"/>
      <c r="Q1254" s="666"/>
      <c r="R1254" s="666"/>
      <c r="S1254" s="666"/>
      <c r="T1254" s="666"/>
      <c r="U1254" s="666"/>
      <c r="V1254" s="666"/>
      <c r="W1254" s="666"/>
      <c r="X1254" s="666"/>
      <c r="Y1254" s="666"/>
      <c r="Z1254" s="666"/>
      <c r="AA1254" s="666"/>
      <c r="AB1254" s="666"/>
      <c r="AC1254" s="666"/>
      <c r="AD1254" s="666"/>
      <c r="AE1254" s="666"/>
      <c r="AF1254" s="666"/>
      <c r="AG1254" s="666"/>
      <c r="AH1254" s="666"/>
      <c r="AI1254" s="666"/>
      <c r="AJ1254" s="666"/>
      <c r="AK1254" s="666"/>
      <c r="AL1254" s="666"/>
      <c r="AM1254" s="666"/>
      <c r="AN1254" s="666"/>
      <c r="AO1254" s="666"/>
      <c r="AP1254" s="666"/>
      <c r="AQ1254" s="666"/>
      <c r="AR1254" s="666"/>
      <c r="AS1254" s="666"/>
      <c r="AT1254" s="666"/>
      <c r="AU1254" s="666"/>
    </row>
    <row r="1255" ht="15.75" customHeight="1">
      <c r="A1255" s="743"/>
      <c r="B1255" s="688"/>
      <c r="C1255" s="719"/>
      <c r="D1255" s="719"/>
      <c r="E1255" s="679"/>
      <c r="F1255" s="743"/>
      <c r="G1255" s="743"/>
      <c r="H1255" s="743"/>
      <c r="I1255" s="743"/>
      <c r="J1255" s="743"/>
      <c r="K1255" s="743"/>
      <c r="L1255" s="666"/>
      <c r="M1255" s="666"/>
      <c r="N1255" s="666"/>
      <c r="O1255" s="666"/>
      <c r="P1255" s="666"/>
      <c r="Q1255" s="666"/>
      <c r="R1255" s="666"/>
      <c r="S1255" s="666"/>
      <c r="T1255" s="666"/>
      <c r="U1255" s="666"/>
      <c r="V1255" s="666"/>
      <c r="W1255" s="666"/>
      <c r="X1255" s="666"/>
      <c r="Y1255" s="666"/>
      <c r="Z1255" s="666"/>
      <c r="AA1255" s="666"/>
      <c r="AB1255" s="666"/>
      <c r="AC1255" s="666"/>
      <c r="AD1255" s="666"/>
      <c r="AE1255" s="666"/>
      <c r="AF1255" s="666"/>
      <c r="AG1255" s="666"/>
      <c r="AH1255" s="666"/>
      <c r="AI1255" s="666"/>
      <c r="AJ1255" s="666"/>
      <c r="AK1255" s="666"/>
      <c r="AL1255" s="666"/>
      <c r="AM1255" s="666"/>
      <c r="AN1255" s="666"/>
      <c r="AO1255" s="666"/>
      <c r="AP1255" s="666"/>
      <c r="AQ1255" s="666"/>
      <c r="AR1255" s="666"/>
      <c r="AS1255" s="666"/>
      <c r="AT1255" s="666"/>
      <c r="AU1255" s="666"/>
    </row>
    <row r="1256" ht="15.75" customHeight="1">
      <c r="A1256" s="743"/>
      <c r="B1256" s="688"/>
      <c r="C1256" s="719"/>
      <c r="D1256" s="719"/>
      <c r="E1256" s="679"/>
      <c r="F1256" s="743"/>
      <c r="G1256" s="743"/>
      <c r="H1256" s="743"/>
      <c r="I1256" s="743"/>
      <c r="J1256" s="743"/>
      <c r="K1256" s="743"/>
      <c r="L1256" s="666"/>
      <c r="M1256" s="666"/>
      <c r="N1256" s="666"/>
      <c r="O1256" s="666"/>
      <c r="P1256" s="666"/>
      <c r="Q1256" s="666"/>
      <c r="R1256" s="666"/>
      <c r="S1256" s="666"/>
      <c r="T1256" s="666"/>
      <c r="U1256" s="666"/>
      <c r="V1256" s="666"/>
      <c r="W1256" s="666"/>
      <c r="X1256" s="666"/>
      <c r="Y1256" s="666"/>
      <c r="Z1256" s="666"/>
      <c r="AA1256" s="666"/>
      <c r="AB1256" s="666"/>
      <c r="AC1256" s="666"/>
      <c r="AD1256" s="666"/>
      <c r="AE1256" s="666"/>
      <c r="AF1256" s="666"/>
      <c r="AG1256" s="666"/>
      <c r="AH1256" s="666"/>
      <c r="AI1256" s="666"/>
      <c r="AJ1256" s="666"/>
      <c r="AK1256" s="666"/>
      <c r="AL1256" s="666"/>
      <c r="AM1256" s="666"/>
      <c r="AN1256" s="666"/>
      <c r="AO1256" s="666"/>
      <c r="AP1256" s="666"/>
      <c r="AQ1256" s="666"/>
      <c r="AR1256" s="666"/>
      <c r="AS1256" s="666"/>
      <c r="AT1256" s="666"/>
      <c r="AU1256" s="666"/>
    </row>
    <row r="1257" ht="15.75" customHeight="1">
      <c r="A1257" s="743"/>
      <c r="B1257" s="688"/>
      <c r="C1257" s="719"/>
      <c r="D1257" s="719"/>
      <c r="E1257" s="679"/>
      <c r="F1257" s="743"/>
      <c r="G1257" s="743"/>
      <c r="H1257" s="743"/>
      <c r="I1257" s="743"/>
      <c r="J1257" s="743"/>
      <c r="K1257" s="743"/>
      <c r="L1257" s="666"/>
      <c r="M1257" s="666"/>
      <c r="N1257" s="666"/>
      <c r="O1257" s="666"/>
      <c r="P1257" s="666"/>
      <c r="Q1257" s="666"/>
      <c r="R1257" s="666"/>
      <c r="S1257" s="666"/>
      <c r="T1257" s="666"/>
      <c r="U1257" s="666"/>
      <c r="V1257" s="666"/>
      <c r="W1257" s="666"/>
      <c r="X1257" s="666"/>
      <c r="Y1257" s="666"/>
      <c r="Z1257" s="666"/>
      <c r="AA1257" s="666"/>
      <c r="AB1257" s="666"/>
      <c r="AC1257" s="666"/>
      <c r="AD1257" s="666"/>
      <c r="AE1257" s="666"/>
      <c r="AF1257" s="666"/>
      <c r="AG1257" s="666"/>
      <c r="AH1257" s="666"/>
      <c r="AI1257" s="666"/>
      <c r="AJ1257" s="666"/>
      <c r="AK1257" s="666"/>
      <c r="AL1257" s="666"/>
      <c r="AM1257" s="666"/>
      <c r="AN1257" s="666"/>
      <c r="AO1257" s="666"/>
      <c r="AP1257" s="666"/>
      <c r="AQ1257" s="666"/>
      <c r="AR1257" s="666"/>
      <c r="AS1257" s="666"/>
      <c r="AT1257" s="666"/>
      <c r="AU1257" s="666"/>
    </row>
    <row r="1258" ht="15.75" customHeight="1">
      <c r="A1258" s="743"/>
      <c r="B1258" s="688"/>
      <c r="C1258" s="719"/>
      <c r="D1258" s="719"/>
      <c r="E1258" s="679"/>
      <c r="F1258" s="743"/>
      <c r="G1258" s="743"/>
      <c r="H1258" s="743"/>
      <c r="I1258" s="743"/>
      <c r="J1258" s="743"/>
      <c r="K1258" s="743"/>
      <c r="L1258" s="666"/>
      <c r="M1258" s="666"/>
      <c r="N1258" s="666"/>
      <c r="O1258" s="666"/>
      <c r="P1258" s="666"/>
      <c r="Q1258" s="666"/>
      <c r="R1258" s="666"/>
      <c r="S1258" s="666"/>
      <c r="T1258" s="666"/>
      <c r="U1258" s="666"/>
      <c r="V1258" s="666"/>
      <c r="W1258" s="666"/>
      <c r="X1258" s="666"/>
      <c r="Y1258" s="666"/>
      <c r="Z1258" s="666"/>
      <c r="AA1258" s="666"/>
      <c r="AB1258" s="666"/>
      <c r="AC1258" s="666"/>
      <c r="AD1258" s="666"/>
      <c r="AE1258" s="666"/>
      <c r="AF1258" s="666"/>
      <c r="AG1258" s="666"/>
      <c r="AH1258" s="666"/>
      <c r="AI1258" s="666"/>
      <c r="AJ1258" s="666"/>
      <c r="AK1258" s="666"/>
      <c r="AL1258" s="666"/>
      <c r="AM1258" s="666"/>
      <c r="AN1258" s="666"/>
      <c r="AO1258" s="666"/>
      <c r="AP1258" s="666"/>
      <c r="AQ1258" s="666"/>
      <c r="AR1258" s="666"/>
      <c r="AS1258" s="666"/>
      <c r="AT1258" s="666"/>
      <c r="AU1258" s="666"/>
    </row>
    <row r="1259" ht="15.75" customHeight="1">
      <c r="A1259" s="743"/>
      <c r="B1259" s="688"/>
      <c r="C1259" s="719"/>
      <c r="D1259" s="719"/>
      <c r="E1259" s="679"/>
      <c r="F1259" s="743"/>
      <c r="G1259" s="743"/>
      <c r="H1259" s="743"/>
      <c r="I1259" s="743"/>
      <c r="J1259" s="743"/>
      <c r="K1259" s="743"/>
      <c r="L1259" s="666"/>
      <c r="M1259" s="666"/>
      <c r="N1259" s="666"/>
      <c r="O1259" s="666"/>
      <c r="P1259" s="666"/>
      <c r="Q1259" s="666"/>
      <c r="R1259" s="666"/>
      <c r="S1259" s="666"/>
      <c r="T1259" s="666"/>
      <c r="U1259" s="666"/>
      <c r="V1259" s="666"/>
      <c r="W1259" s="666"/>
      <c r="X1259" s="666"/>
      <c r="Y1259" s="666"/>
      <c r="Z1259" s="666"/>
      <c r="AA1259" s="666"/>
      <c r="AB1259" s="666"/>
      <c r="AC1259" s="666"/>
      <c r="AD1259" s="666"/>
      <c r="AE1259" s="666"/>
      <c r="AF1259" s="666"/>
      <c r="AG1259" s="666"/>
      <c r="AH1259" s="666"/>
      <c r="AI1259" s="666"/>
      <c r="AJ1259" s="666"/>
      <c r="AK1259" s="666"/>
      <c r="AL1259" s="666"/>
      <c r="AM1259" s="666"/>
      <c r="AN1259" s="666"/>
      <c r="AO1259" s="666"/>
      <c r="AP1259" s="666"/>
      <c r="AQ1259" s="666"/>
      <c r="AR1259" s="666"/>
      <c r="AS1259" s="666"/>
      <c r="AT1259" s="666"/>
      <c r="AU1259" s="666"/>
    </row>
    <row r="1260" ht="15.75" customHeight="1">
      <c r="A1260" s="743"/>
      <c r="B1260" s="688"/>
      <c r="C1260" s="719"/>
      <c r="D1260" s="719"/>
      <c r="E1260" s="679"/>
      <c r="F1260" s="743"/>
      <c r="G1260" s="743"/>
      <c r="H1260" s="743"/>
      <c r="I1260" s="743"/>
      <c r="J1260" s="743"/>
      <c r="K1260" s="743"/>
      <c r="L1260" s="666"/>
      <c r="M1260" s="666"/>
      <c r="N1260" s="666"/>
      <c r="O1260" s="666"/>
      <c r="P1260" s="666"/>
      <c r="Q1260" s="666"/>
      <c r="R1260" s="666"/>
      <c r="S1260" s="666"/>
      <c r="T1260" s="666"/>
      <c r="U1260" s="666"/>
      <c r="V1260" s="666"/>
      <c r="W1260" s="666"/>
      <c r="X1260" s="666"/>
      <c r="Y1260" s="666"/>
      <c r="Z1260" s="666"/>
      <c r="AA1260" s="666"/>
      <c r="AB1260" s="666"/>
      <c r="AC1260" s="666"/>
      <c r="AD1260" s="666"/>
      <c r="AE1260" s="666"/>
      <c r="AF1260" s="666"/>
      <c r="AG1260" s="666"/>
      <c r="AH1260" s="666"/>
      <c r="AI1260" s="666"/>
      <c r="AJ1260" s="666"/>
      <c r="AK1260" s="666"/>
      <c r="AL1260" s="666"/>
      <c r="AM1260" s="666"/>
      <c r="AN1260" s="666"/>
      <c r="AO1260" s="666"/>
      <c r="AP1260" s="666"/>
      <c r="AQ1260" s="666"/>
      <c r="AR1260" s="666"/>
      <c r="AS1260" s="666"/>
      <c r="AT1260" s="666"/>
      <c r="AU1260" s="666"/>
    </row>
    <row r="1261" ht="15.75" customHeight="1">
      <c r="A1261" s="743"/>
      <c r="B1261" s="688"/>
      <c r="C1261" s="719"/>
      <c r="D1261" s="719"/>
      <c r="E1261" s="679"/>
      <c r="F1261" s="743"/>
      <c r="G1261" s="743"/>
      <c r="H1261" s="743"/>
      <c r="I1261" s="743"/>
      <c r="J1261" s="743"/>
      <c r="K1261" s="743"/>
      <c r="L1261" s="666"/>
      <c r="M1261" s="666"/>
      <c r="N1261" s="666"/>
      <c r="O1261" s="666"/>
      <c r="P1261" s="666"/>
      <c r="Q1261" s="666"/>
      <c r="R1261" s="666"/>
      <c r="S1261" s="666"/>
      <c r="T1261" s="666"/>
      <c r="U1261" s="666"/>
      <c r="V1261" s="666"/>
      <c r="W1261" s="666"/>
      <c r="X1261" s="666"/>
      <c r="Y1261" s="666"/>
      <c r="Z1261" s="666"/>
      <c r="AA1261" s="666"/>
      <c r="AB1261" s="666"/>
      <c r="AC1261" s="666"/>
      <c r="AD1261" s="666"/>
      <c r="AE1261" s="666"/>
      <c r="AF1261" s="666"/>
      <c r="AG1261" s="666"/>
      <c r="AH1261" s="666"/>
      <c r="AI1261" s="666"/>
      <c r="AJ1261" s="666"/>
      <c r="AK1261" s="666"/>
      <c r="AL1261" s="666"/>
      <c r="AM1261" s="666"/>
      <c r="AN1261" s="666"/>
      <c r="AO1261" s="666"/>
      <c r="AP1261" s="666"/>
      <c r="AQ1261" s="666"/>
      <c r="AR1261" s="666"/>
      <c r="AS1261" s="666"/>
      <c r="AT1261" s="666"/>
      <c r="AU1261" s="666"/>
    </row>
    <row r="1262" ht="15.75" customHeight="1">
      <c r="A1262" s="743"/>
      <c r="B1262" s="688"/>
      <c r="C1262" s="719"/>
      <c r="D1262" s="719"/>
      <c r="E1262" s="679"/>
      <c r="F1262" s="743"/>
      <c r="G1262" s="743"/>
      <c r="H1262" s="743"/>
      <c r="I1262" s="743"/>
      <c r="J1262" s="743"/>
      <c r="K1262" s="743"/>
      <c r="L1262" s="666"/>
      <c r="M1262" s="666"/>
      <c r="N1262" s="666"/>
      <c r="O1262" s="666"/>
      <c r="P1262" s="666"/>
      <c r="Q1262" s="666"/>
      <c r="R1262" s="666"/>
      <c r="S1262" s="666"/>
      <c r="T1262" s="666"/>
      <c r="U1262" s="666"/>
      <c r="V1262" s="666"/>
      <c r="W1262" s="666"/>
      <c r="X1262" s="666"/>
      <c r="Y1262" s="666"/>
      <c r="Z1262" s="666"/>
      <c r="AA1262" s="666"/>
      <c r="AB1262" s="666"/>
      <c r="AC1262" s="666"/>
      <c r="AD1262" s="666"/>
      <c r="AE1262" s="666"/>
      <c r="AF1262" s="666"/>
      <c r="AG1262" s="666"/>
      <c r="AH1262" s="666"/>
      <c r="AI1262" s="666"/>
      <c r="AJ1262" s="666"/>
      <c r="AK1262" s="666"/>
      <c r="AL1262" s="666"/>
      <c r="AM1262" s="666"/>
      <c r="AN1262" s="666"/>
      <c r="AO1262" s="666"/>
      <c r="AP1262" s="666"/>
      <c r="AQ1262" s="666"/>
      <c r="AR1262" s="666"/>
      <c r="AS1262" s="666"/>
      <c r="AT1262" s="666"/>
      <c r="AU1262" s="666"/>
    </row>
    <row r="1263" ht="15.75" customHeight="1">
      <c r="A1263" s="743"/>
      <c r="B1263" s="688"/>
      <c r="C1263" s="719"/>
      <c r="D1263" s="719"/>
      <c r="E1263" s="679"/>
      <c r="F1263" s="743"/>
      <c r="G1263" s="743"/>
      <c r="H1263" s="743"/>
      <c r="I1263" s="743"/>
      <c r="J1263" s="743"/>
      <c r="K1263" s="743"/>
      <c r="L1263" s="666"/>
      <c r="M1263" s="666"/>
      <c r="N1263" s="666"/>
      <c r="O1263" s="666"/>
      <c r="P1263" s="666"/>
      <c r="Q1263" s="666"/>
      <c r="R1263" s="666"/>
      <c r="S1263" s="666"/>
      <c r="T1263" s="666"/>
      <c r="U1263" s="666"/>
      <c r="V1263" s="666"/>
      <c r="W1263" s="666"/>
      <c r="X1263" s="666"/>
      <c r="Y1263" s="666"/>
      <c r="Z1263" s="666"/>
      <c r="AA1263" s="666"/>
      <c r="AB1263" s="666"/>
      <c r="AC1263" s="666"/>
      <c r="AD1263" s="666"/>
      <c r="AE1263" s="666"/>
      <c r="AF1263" s="666"/>
      <c r="AG1263" s="666"/>
      <c r="AH1263" s="666"/>
      <c r="AI1263" s="666"/>
      <c r="AJ1263" s="666"/>
      <c r="AK1263" s="666"/>
      <c r="AL1263" s="666"/>
      <c r="AM1263" s="666"/>
      <c r="AN1263" s="666"/>
      <c r="AO1263" s="666"/>
      <c r="AP1263" s="666"/>
      <c r="AQ1263" s="666"/>
      <c r="AR1263" s="666"/>
      <c r="AS1263" s="666"/>
      <c r="AT1263" s="666"/>
      <c r="AU1263" s="666"/>
    </row>
    <row r="1264" ht="15.75" customHeight="1">
      <c r="A1264" s="743"/>
      <c r="B1264" s="688"/>
      <c r="C1264" s="719"/>
      <c r="D1264" s="719"/>
      <c r="E1264" s="679"/>
      <c r="F1264" s="743"/>
      <c r="G1264" s="743"/>
      <c r="H1264" s="743"/>
      <c r="I1264" s="743"/>
      <c r="J1264" s="743"/>
      <c r="K1264" s="743"/>
      <c r="L1264" s="666"/>
      <c r="M1264" s="666"/>
      <c r="N1264" s="666"/>
      <c r="O1264" s="666"/>
      <c r="P1264" s="666"/>
      <c r="Q1264" s="666"/>
      <c r="R1264" s="666"/>
      <c r="S1264" s="666"/>
      <c r="T1264" s="666"/>
      <c r="U1264" s="666"/>
      <c r="V1264" s="666"/>
      <c r="W1264" s="666"/>
      <c r="X1264" s="666"/>
      <c r="Y1264" s="666"/>
      <c r="Z1264" s="666"/>
      <c r="AA1264" s="666"/>
      <c r="AB1264" s="666"/>
      <c r="AC1264" s="666"/>
      <c r="AD1264" s="666"/>
      <c r="AE1264" s="666"/>
      <c r="AF1264" s="666"/>
      <c r="AG1264" s="666"/>
      <c r="AH1264" s="666"/>
      <c r="AI1264" s="666"/>
      <c r="AJ1264" s="666"/>
      <c r="AK1264" s="666"/>
      <c r="AL1264" s="666"/>
      <c r="AM1264" s="666"/>
      <c r="AN1264" s="666"/>
      <c r="AO1264" s="666"/>
      <c r="AP1264" s="666"/>
      <c r="AQ1264" s="666"/>
      <c r="AR1264" s="666"/>
      <c r="AS1264" s="666"/>
      <c r="AT1264" s="666"/>
      <c r="AU1264" s="666"/>
    </row>
    <row r="1265" ht="15.75" customHeight="1">
      <c r="A1265" s="743"/>
      <c r="B1265" s="688"/>
      <c r="C1265" s="719"/>
      <c r="D1265" s="719"/>
      <c r="E1265" s="679"/>
      <c r="F1265" s="743"/>
      <c r="G1265" s="743"/>
      <c r="H1265" s="743"/>
      <c r="I1265" s="743"/>
      <c r="J1265" s="743"/>
      <c r="K1265" s="743"/>
      <c r="L1265" s="666"/>
      <c r="M1265" s="666"/>
      <c r="N1265" s="666"/>
      <c r="O1265" s="666"/>
      <c r="P1265" s="666"/>
      <c r="Q1265" s="666"/>
      <c r="R1265" s="666"/>
      <c r="S1265" s="666"/>
      <c r="T1265" s="666"/>
      <c r="U1265" s="666"/>
      <c r="V1265" s="666"/>
      <c r="W1265" s="666"/>
      <c r="X1265" s="666"/>
      <c r="Y1265" s="666"/>
      <c r="Z1265" s="666"/>
      <c r="AA1265" s="666"/>
      <c r="AB1265" s="666"/>
      <c r="AC1265" s="666"/>
      <c r="AD1265" s="666"/>
      <c r="AE1265" s="666"/>
      <c r="AF1265" s="666"/>
      <c r="AG1265" s="666"/>
      <c r="AH1265" s="666"/>
      <c r="AI1265" s="666"/>
      <c r="AJ1265" s="666"/>
      <c r="AK1265" s="666"/>
      <c r="AL1265" s="666"/>
      <c r="AM1265" s="666"/>
      <c r="AN1265" s="666"/>
      <c r="AO1265" s="666"/>
      <c r="AP1265" s="666"/>
      <c r="AQ1265" s="666"/>
      <c r="AR1265" s="666"/>
      <c r="AS1265" s="666"/>
      <c r="AT1265" s="666"/>
      <c r="AU1265" s="666"/>
    </row>
    <row r="1266" ht="15.75" customHeight="1">
      <c r="A1266" s="743"/>
      <c r="B1266" s="688"/>
      <c r="C1266" s="719"/>
      <c r="D1266" s="719"/>
      <c r="E1266" s="679"/>
      <c r="F1266" s="743"/>
      <c r="G1266" s="743"/>
      <c r="H1266" s="743"/>
      <c r="I1266" s="743"/>
      <c r="J1266" s="743"/>
      <c r="K1266" s="743"/>
      <c r="L1266" s="666"/>
      <c r="M1266" s="666"/>
      <c r="N1266" s="666"/>
      <c r="O1266" s="666"/>
      <c r="P1266" s="666"/>
      <c r="Q1266" s="666"/>
      <c r="R1266" s="666"/>
      <c r="S1266" s="666"/>
      <c r="T1266" s="666"/>
      <c r="U1266" s="666"/>
      <c r="V1266" s="666"/>
      <c r="W1266" s="666"/>
      <c r="X1266" s="666"/>
      <c r="Y1266" s="666"/>
      <c r="Z1266" s="666"/>
      <c r="AA1266" s="666"/>
      <c r="AB1266" s="666"/>
      <c r="AC1266" s="666"/>
      <c r="AD1266" s="666"/>
      <c r="AE1266" s="666"/>
      <c r="AF1266" s="666"/>
      <c r="AG1266" s="666"/>
      <c r="AH1266" s="666"/>
      <c r="AI1266" s="666"/>
      <c r="AJ1266" s="666"/>
      <c r="AK1266" s="666"/>
      <c r="AL1266" s="666"/>
      <c r="AM1266" s="666"/>
      <c r="AN1266" s="666"/>
      <c r="AO1266" s="666"/>
      <c r="AP1266" s="666"/>
      <c r="AQ1266" s="666"/>
      <c r="AR1266" s="666"/>
      <c r="AS1266" s="666"/>
      <c r="AT1266" s="666"/>
      <c r="AU1266" s="666"/>
    </row>
    <row r="1267" ht="15.75" customHeight="1">
      <c r="A1267" s="743"/>
      <c r="B1267" s="688"/>
      <c r="C1267" s="719"/>
      <c r="D1267" s="719"/>
      <c r="E1267" s="679"/>
      <c r="F1267" s="743"/>
      <c r="G1267" s="743"/>
      <c r="H1267" s="743"/>
      <c r="I1267" s="743"/>
      <c r="J1267" s="743"/>
      <c r="K1267" s="743"/>
      <c r="L1267" s="666"/>
      <c r="M1267" s="666"/>
      <c r="N1267" s="666"/>
      <c r="O1267" s="666"/>
      <c r="P1267" s="666"/>
      <c r="Q1267" s="666"/>
      <c r="R1267" s="666"/>
      <c r="S1267" s="666"/>
      <c r="T1267" s="666"/>
      <c r="U1267" s="666"/>
      <c r="V1267" s="666"/>
      <c r="W1267" s="666"/>
      <c r="X1267" s="666"/>
      <c r="Y1267" s="666"/>
      <c r="Z1267" s="666"/>
      <c r="AA1267" s="666"/>
      <c r="AB1267" s="666"/>
      <c r="AC1267" s="666"/>
      <c r="AD1267" s="666"/>
      <c r="AE1267" s="666"/>
      <c r="AF1267" s="666"/>
      <c r="AG1267" s="666"/>
      <c r="AH1267" s="666"/>
      <c r="AI1267" s="666"/>
      <c r="AJ1267" s="666"/>
      <c r="AK1267" s="666"/>
      <c r="AL1267" s="666"/>
      <c r="AM1267" s="666"/>
      <c r="AN1267" s="666"/>
      <c r="AO1267" s="666"/>
      <c r="AP1267" s="666"/>
      <c r="AQ1267" s="666"/>
      <c r="AR1267" s="666"/>
      <c r="AS1267" s="666"/>
      <c r="AT1267" s="666"/>
      <c r="AU1267" s="666"/>
    </row>
    <row r="1268" ht="15.75" customHeight="1">
      <c r="A1268" s="743"/>
      <c r="B1268" s="688"/>
      <c r="C1268" s="719"/>
      <c r="D1268" s="719"/>
      <c r="E1268" s="679"/>
      <c r="F1268" s="743"/>
      <c r="G1268" s="743"/>
      <c r="H1268" s="743"/>
      <c r="I1268" s="743"/>
      <c r="J1268" s="743"/>
      <c r="K1268" s="743"/>
      <c r="L1268" s="666"/>
      <c r="M1268" s="666"/>
      <c r="N1268" s="666"/>
      <c r="O1268" s="666"/>
      <c r="P1268" s="666"/>
      <c r="Q1268" s="666"/>
      <c r="R1268" s="666"/>
      <c r="S1268" s="666"/>
      <c r="T1268" s="666"/>
      <c r="U1268" s="666"/>
      <c r="V1268" s="666"/>
      <c r="W1268" s="666"/>
      <c r="X1268" s="666"/>
      <c r="Y1268" s="666"/>
      <c r="Z1268" s="666"/>
      <c r="AA1268" s="666"/>
      <c r="AB1268" s="666"/>
      <c r="AC1268" s="666"/>
      <c r="AD1268" s="666"/>
      <c r="AE1268" s="666"/>
      <c r="AF1268" s="666"/>
      <c r="AG1268" s="666"/>
      <c r="AH1268" s="666"/>
      <c r="AI1268" s="666"/>
      <c r="AJ1268" s="666"/>
      <c r="AK1268" s="666"/>
      <c r="AL1268" s="666"/>
      <c r="AM1268" s="666"/>
      <c r="AN1268" s="666"/>
      <c r="AO1268" s="666"/>
      <c r="AP1268" s="666"/>
      <c r="AQ1268" s="666"/>
      <c r="AR1268" s="666"/>
      <c r="AS1268" s="666"/>
      <c r="AT1268" s="666"/>
      <c r="AU1268" s="666"/>
    </row>
    <row r="1269" ht="15.75" customHeight="1">
      <c r="A1269" s="743"/>
      <c r="B1269" s="688"/>
      <c r="C1269" s="719"/>
      <c r="D1269" s="719"/>
      <c r="E1269" s="679"/>
      <c r="F1269" s="743"/>
      <c r="G1269" s="743"/>
      <c r="H1269" s="743"/>
      <c r="I1269" s="743"/>
      <c r="J1269" s="743"/>
      <c r="K1269" s="743"/>
      <c r="L1269" s="666"/>
      <c r="M1269" s="666"/>
      <c r="N1269" s="666"/>
      <c r="O1269" s="666"/>
      <c r="P1269" s="666"/>
      <c r="Q1269" s="666"/>
      <c r="R1269" s="666"/>
      <c r="S1269" s="666"/>
      <c r="T1269" s="666"/>
      <c r="U1269" s="666"/>
      <c r="V1269" s="666"/>
      <c r="W1269" s="666"/>
      <c r="X1269" s="666"/>
      <c r="Y1269" s="666"/>
      <c r="Z1269" s="666"/>
      <c r="AA1269" s="666"/>
      <c r="AB1269" s="666"/>
      <c r="AC1269" s="666"/>
      <c r="AD1269" s="666"/>
      <c r="AE1269" s="666"/>
      <c r="AF1269" s="666"/>
      <c r="AG1269" s="666"/>
      <c r="AH1269" s="666"/>
      <c r="AI1269" s="666"/>
      <c r="AJ1269" s="666"/>
      <c r="AK1269" s="666"/>
      <c r="AL1269" s="666"/>
      <c r="AM1269" s="666"/>
      <c r="AN1269" s="666"/>
      <c r="AO1269" s="666"/>
      <c r="AP1269" s="666"/>
      <c r="AQ1269" s="666"/>
      <c r="AR1269" s="666"/>
      <c r="AS1269" s="666"/>
      <c r="AT1269" s="666"/>
      <c r="AU1269" s="666"/>
    </row>
    <row r="1270" ht="15.75" customHeight="1">
      <c r="A1270" s="743"/>
      <c r="B1270" s="688"/>
      <c r="C1270" s="719"/>
      <c r="D1270" s="719"/>
      <c r="E1270" s="679"/>
      <c r="F1270" s="743"/>
      <c r="G1270" s="743"/>
      <c r="H1270" s="743"/>
      <c r="I1270" s="743"/>
      <c r="J1270" s="743"/>
      <c r="K1270" s="743"/>
      <c r="L1270" s="666"/>
      <c r="M1270" s="666"/>
      <c r="N1270" s="666"/>
      <c r="O1270" s="666"/>
      <c r="P1270" s="666"/>
      <c r="Q1270" s="666"/>
      <c r="R1270" s="666"/>
      <c r="S1270" s="666"/>
      <c r="T1270" s="666"/>
      <c r="U1270" s="666"/>
      <c r="V1270" s="666"/>
      <c r="W1270" s="666"/>
      <c r="X1270" s="666"/>
      <c r="Y1270" s="666"/>
      <c r="Z1270" s="666"/>
      <c r="AA1270" s="666"/>
      <c r="AB1270" s="666"/>
      <c r="AC1270" s="666"/>
      <c r="AD1270" s="666"/>
      <c r="AE1270" s="666"/>
      <c r="AF1270" s="666"/>
      <c r="AG1270" s="666"/>
      <c r="AH1270" s="666"/>
      <c r="AI1270" s="666"/>
      <c r="AJ1270" s="666"/>
      <c r="AK1270" s="666"/>
      <c r="AL1270" s="666"/>
      <c r="AM1270" s="666"/>
      <c r="AN1270" s="666"/>
      <c r="AO1270" s="666"/>
      <c r="AP1270" s="666"/>
      <c r="AQ1270" s="666"/>
      <c r="AR1270" s="666"/>
      <c r="AS1270" s="666"/>
      <c r="AT1270" s="666"/>
      <c r="AU1270" s="666"/>
    </row>
    <row r="1271" ht="15.75" customHeight="1">
      <c r="A1271" s="743"/>
      <c r="B1271" s="688"/>
      <c r="C1271" s="719"/>
      <c r="D1271" s="719"/>
      <c r="E1271" s="679"/>
      <c r="F1271" s="743"/>
      <c r="G1271" s="743"/>
      <c r="H1271" s="743"/>
      <c r="I1271" s="743"/>
      <c r="J1271" s="743"/>
      <c r="K1271" s="743"/>
      <c r="L1271" s="666"/>
      <c r="M1271" s="666"/>
      <c r="N1271" s="666"/>
      <c r="O1271" s="666"/>
      <c r="P1271" s="666"/>
      <c r="Q1271" s="666"/>
      <c r="R1271" s="666"/>
      <c r="S1271" s="666"/>
      <c r="T1271" s="666"/>
      <c r="U1271" s="666"/>
      <c r="V1271" s="666"/>
      <c r="W1271" s="666"/>
      <c r="X1271" s="666"/>
      <c r="Y1271" s="666"/>
      <c r="Z1271" s="666"/>
      <c r="AA1271" s="666"/>
      <c r="AB1271" s="666"/>
      <c r="AC1271" s="666"/>
      <c r="AD1271" s="666"/>
      <c r="AE1271" s="666"/>
      <c r="AF1271" s="666"/>
      <c r="AG1271" s="666"/>
      <c r="AH1271" s="666"/>
      <c r="AI1271" s="666"/>
      <c r="AJ1271" s="666"/>
      <c r="AK1271" s="666"/>
      <c r="AL1271" s="666"/>
      <c r="AM1271" s="666"/>
      <c r="AN1271" s="666"/>
      <c r="AO1271" s="666"/>
      <c r="AP1271" s="666"/>
      <c r="AQ1271" s="666"/>
      <c r="AR1271" s="666"/>
      <c r="AS1271" s="666"/>
      <c r="AT1271" s="666"/>
      <c r="AU1271" s="666"/>
    </row>
    <row r="1272" ht="15.75" customHeight="1">
      <c r="A1272" s="743"/>
      <c r="B1272" s="688"/>
      <c r="C1272" s="719"/>
      <c r="D1272" s="719"/>
      <c r="E1272" s="679"/>
      <c r="F1272" s="743"/>
      <c r="G1272" s="743"/>
      <c r="H1272" s="743"/>
      <c r="I1272" s="743"/>
      <c r="J1272" s="743"/>
      <c r="K1272" s="743"/>
      <c r="L1272" s="666"/>
      <c r="M1272" s="666"/>
      <c r="N1272" s="666"/>
      <c r="O1272" s="666"/>
      <c r="P1272" s="666"/>
      <c r="Q1272" s="666"/>
      <c r="R1272" s="666"/>
      <c r="S1272" s="666"/>
      <c r="T1272" s="666"/>
      <c r="U1272" s="666"/>
      <c r="V1272" s="666"/>
      <c r="W1272" s="666"/>
      <c r="X1272" s="666"/>
      <c r="Y1272" s="666"/>
      <c r="Z1272" s="666"/>
      <c r="AA1272" s="666"/>
      <c r="AB1272" s="666"/>
      <c r="AC1272" s="666"/>
      <c r="AD1272" s="666"/>
      <c r="AE1272" s="666"/>
      <c r="AF1272" s="666"/>
      <c r="AG1272" s="666"/>
      <c r="AH1272" s="666"/>
      <c r="AI1272" s="666"/>
      <c r="AJ1272" s="666"/>
      <c r="AK1272" s="666"/>
      <c r="AL1272" s="666"/>
      <c r="AM1272" s="666"/>
      <c r="AN1272" s="666"/>
      <c r="AO1272" s="666"/>
      <c r="AP1272" s="666"/>
      <c r="AQ1272" s="666"/>
      <c r="AR1272" s="666"/>
      <c r="AS1272" s="666"/>
      <c r="AT1272" s="666"/>
      <c r="AU1272" s="666"/>
    </row>
    <row r="1273" ht="15.75" customHeight="1">
      <c r="A1273" s="743"/>
      <c r="B1273" s="688"/>
      <c r="C1273" s="719"/>
      <c r="D1273" s="719"/>
      <c r="E1273" s="679"/>
      <c r="F1273" s="743"/>
      <c r="G1273" s="743"/>
      <c r="H1273" s="743"/>
      <c r="I1273" s="743"/>
      <c r="J1273" s="743"/>
      <c r="K1273" s="743"/>
      <c r="L1273" s="666"/>
      <c r="M1273" s="666"/>
      <c r="N1273" s="666"/>
      <c r="O1273" s="666"/>
      <c r="P1273" s="666"/>
      <c r="Q1273" s="666"/>
      <c r="R1273" s="666"/>
      <c r="S1273" s="666"/>
      <c r="T1273" s="666"/>
      <c r="U1273" s="666"/>
      <c r="V1273" s="666"/>
      <c r="W1273" s="666"/>
      <c r="X1273" s="666"/>
      <c r="Y1273" s="666"/>
      <c r="Z1273" s="666"/>
      <c r="AA1273" s="666"/>
      <c r="AB1273" s="666"/>
      <c r="AC1273" s="666"/>
      <c r="AD1273" s="666"/>
      <c r="AE1273" s="666"/>
      <c r="AF1273" s="666"/>
      <c r="AG1273" s="666"/>
      <c r="AH1273" s="666"/>
      <c r="AI1273" s="666"/>
      <c r="AJ1273" s="666"/>
      <c r="AK1273" s="666"/>
      <c r="AL1273" s="666"/>
      <c r="AM1273" s="666"/>
      <c r="AN1273" s="666"/>
      <c r="AO1273" s="666"/>
      <c r="AP1273" s="666"/>
      <c r="AQ1273" s="666"/>
      <c r="AR1273" s="666"/>
      <c r="AS1273" s="666"/>
      <c r="AT1273" s="666"/>
      <c r="AU1273" s="666"/>
    </row>
    <row r="1274" ht="15.75" customHeight="1">
      <c r="A1274" s="743"/>
      <c r="B1274" s="688"/>
      <c r="C1274" s="719"/>
      <c r="D1274" s="719"/>
      <c r="E1274" s="679"/>
      <c r="F1274" s="743"/>
      <c r="G1274" s="743"/>
      <c r="H1274" s="743"/>
      <c r="I1274" s="743"/>
      <c r="J1274" s="743"/>
      <c r="K1274" s="743"/>
      <c r="L1274" s="666"/>
      <c r="M1274" s="666"/>
      <c r="N1274" s="666"/>
      <c r="O1274" s="666"/>
      <c r="P1274" s="666"/>
      <c r="Q1274" s="666"/>
      <c r="R1274" s="666"/>
      <c r="S1274" s="666"/>
      <c r="T1274" s="666"/>
      <c r="U1274" s="666"/>
      <c r="V1274" s="666"/>
      <c r="W1274" s="666"/>
      <c r="X1274" s="666"/>
      <c r="Y1274" s="666"/>
      <c r="Z1274" s="666"/>
      <c r="AA1274" s="666"/>
      <c r="AB1274" s="666"/>
      <c r="AC1274" s="666"/>
      <c r="AD1274" s="666"/>
      <c r="AE1274" s="666"/>
      <c r="AF1274" s="666"/>
      <c r="AG1274" s="666"/>
      <c r="AH1274" s="666"/>
      <c r="AI1274" s="666"/>
      <c r="AJ1274" s="666"/>
      <c r="AK1274" s="666"/>
      <c r="AL1274" s="666"/>
      <c r="AM1274" s="666"/>
      <c r="AN1274" s="666"/>
      <c r="AO1274" s="666"/>
      <c r="AP1274" s="666"/>
      <c r="AQ1274" s="666"/>
      <c r="AR1274" s="666"/>
      <c r="AS1274" s="666"/>
      <c r="AT1274" s="666"/>
      <c r="AU1274" s="666"/>
    </row>
    <row r="1275" ht="15.75" customHeight="1">
      <c r="A1275" s="743"/>
      <c r="B1275" s="688"/>
      <c r="C1275" s="719"/>
      <c r="D1275" s="719"/>
      <c r="E1275" s="679"/>
      <c r="F1275" s="743"/>
      <c r="G1275" s="743"/>
      <c r="H1275" s="743"/>
      <c r="I1275" s="743"/>
      <c r="J1275" s="743"/>
      <c r="K1275" s="743"/>
      <c r="L1275" s="666"/>
      <c r="M1275" s="666"/>
      <c r="N1275" s="666"/>
      <c r="O1275" s="666"/>
      <c r="P1275" s="666"/>
      <c r="Q1275" s="666"/>
      <c r="R1275" s="666"/>
      <c r="S1275" s="666"/>
      <c r="T1275" s="666"/>
      <c r="U1275" s="666"/>
      <c r="V1275" s="666"/>
      <c r="W1275" s="666"/>
      <c r="X1275" s="666"/>
      <c r="Y1275" s="666"/>
      <c r="Z1275" s="666"/>
      <c r="AA1275" s="666"/>
      <c r="AB1275" s="666"/>
      <c r="AC1275" s="666"/>
      <c r="AD1275" s="666"/>
      <c r="AE1275" s="666"/>
      <c r="AF1275" s="666"/>
      <c r="AG1275" s="666"/>
      <c r="AH1275" s="666"/>
      <c r="AI1275" s="666"/>
      <c r="AJ1275" s="666"/>
      <c r="AK1275" s="666"/>
      <c r="AL1275" s="666"/>
      <c r="AM1275" s="666"/>
      <c r="AN1275" s="666"/>
      <c r="AO1275" s="666"/>
      <c r="AP1275" s="666"/>
      <c r="AQ1275" s="666"/>
      <c r="AR1275" s="666"/>
      <c r="AS1275" s="666"/>
      <c r="AT1275" s="666"/>
      <c r="AU1275" s="666"/>
    </row>
    <row r="1276" ht="15.75" customHeight="1">
      <c r="A1276" s="743"/>
      <c r="B1276" s="688"/>
      <c r="C1276" s="719"/>
      <c r="D1276" s="719"/>
      <c r="E1276" s="679"/>
      <c r="F1276" s="743"/>
      <c r="G1276" s="743"/>
      <c r="H1276" s="743"/>
      <c r="I1276" s="743"/>
      <c r="J1276" s="743"/>
      <c r="K1276" s="743"/>
      <c r="L1276" s="666"/>
      <c r="M1276" s="666"/>
      <c r="N1276" s="666"/>
      <c r="O1276" s="666"/>
      <c r="P1276" s="666"/>
      <c r="Q1276" s="666"/>
      <c r="R1276" s="666"/>
      <c r="S1276" s="666"/>
      <c r="T1276" s="666"/>
      <c r="U1276" s="666"/>
      <c r="V1276" s="666"/>
      <c r="W1276" s="666"/>
      <c r="X1276" s="666"/>
      <c r="Y1276" s="666"/>
      <c r="Z1276" s="666"/>
      <c r="AA1276" s="666"/>
      <c r="AB1276" s="666"/>
      <c r="AC1276" s="666"/>
      <c r="AD1276" s="666"/>
      <c r="AE1276" s="666"/>
      <c r="AF1276" s="666"/>
      <c r="AG1276" s="666"/>
      <c r="AH1276" s="666"/>
      <c r="AI1276" s="666"/>
      <c r="AJ1276" s="666"/>
      <c r="AK1276" s="666"/>
      <c r="AL1276" s="666"/>
      <c r="AM1276" s="666"/>
      <c r="AN1276" s="666"/>
      <c r="AO1276" s="666"/>
      <c r="AP1276" s="666"/>
      <c r="AQ1276" s="666"/>
      <c r="AR1276" s="666"/>
      <c r="AS1276" s="666"/>
      <c r="AT1276" s="666"/>
      <c r="AU1276" s="666"/>
    </row>
    <row r="1277" ht="15.75" customHeight="1">
      <c r="A1277" s="743"/>
      <c r="B1277" s="688"/>
      <c r="C1277" s="719"/>
      <c r="D1277" s="719"/>
      <c r="E1277" s="679"/>
      <c r="F1277" s="743"/>
      <c r="G1277" s="743"/>
      <c r="H1277" s="743"/>
      <c r="I1277" s="743"/>
      <c r="J1277" s="743"/>
      <c r="K1277" s="743"/>
      <c r="L1277" s="666"/>
      <c r="M1277" s="666"/>
      <c r="N1277" s="666"/>
      <c r="O1277" s="666"/>
      <c r="P1277" s="666"/>
      <c r="Q1277" s="666"/>
      <c r="R1277" s="666"/>
      <c r="S1277" s="666"/>
      <c r="T1277" s="666"/>
      <c r="U1277" s="666"/>
      <c r="V1277" s="666"/>
      <c r="W1277" s="666"/>
      <c r="X1277" s="666"/>
      <c r="Y1277" s="666"/>
      <c r="Z1277" s="666"/>
      <c r="AA1277" s="666"/>
      <c r="AB1277" s="666"/>
      <c r="AC1277" s="666"/>
      <c r="AD1277" s="666"/>
      <c r="AE1277" s="666"/>
      <c r="AF1277" s="666"/>
      <c r="AG1277" s="666"/>
      <c r="AH1277" s="666"/>
      <c r="AI1277" s="666"/>
      <c r="AJ1277" s="666"/>
      <c r="AK1277" s="666"/>
      <c r="AL1277" s="666"/>
      <c r="AM1277" s="666"/>
      <c r="AN1277" s="666"/>
      <c r="AO1277" s="666"/>
      <c r="AP1277" s="666"/>
      <c r="AQ1277" s="666"/>
      <c r="AR1277" s="666"/>
      <c r="AS1277" s="666"/>
      <c r="AT1277" s="666"/>
      <c r="AU1277" s="666"/>
    </row>
    <row r="1278" ht="15.75" customHeight="1">
      <c r="A1278" s="743"/>
      <c r="B1278" s="688"/>
      <c r="C1278" s="719"/>
      <c r="D1278" s="719"/>
      <c r="E1278" s="679"/>
      <c r="F1278" s="743"/>
      <c r="G1278" s="743"/>
      <c r="H1278" s="743"/>
      <c r="I1278" s="743"/>
      <c r="J1278" s="743"/>
      <c r="K1278" s="743"/>
      <c r="L1278" s="666"/>
      <c r="M1278" s="666"/>
      <c r="N1278" s="666"/>
      <c r="O1278" s="666"/>
      <c r="P1278" s="666"/>
      <c r="Q1278" s="666"/>
      <c r="R1278" s="666"/>
      <c r="S1278" s="666"/>
      <c r="T1278" s="666"/>
      <c r="U1278" s="666"/>
      <c r="V1278" s="666"/>
      <c r="W1278" s="666"/>
      <c r="X1278" s="666"/>
      <c r="Y1278" s="666"/>
      <c r="Z1278" s="666"/>
      <c r="AA1278" s="666"/>
      <c r="AB1278" s="666"/>
      <c r="AC1278" s="666"/>
      <c r="AD1278" s="666"/>
      <c r="AE1278" s="666"/>
      <c r="AF1278" s="666"/>
      <c r="AG1278" s="666"/>
      <c r="AH1278" s="666"/>
      <c r="AI1278" s="666"/>
      <c r="AJ1278" s="666"/>
      <c r="AK1278" s="666"/>
      <c r="AL1278" s="666"/>
      <c r="AM1278" s="666"/>
      <c r="AN1278" s="666"/>
      <c r="AO1278" s="666"/>
      <c r="AP1278" s="666"/>
      <c r="AQ1278" s="666"/>
      <c r="AR1278" s="666"/>
      <c r="AS1278" s="666"/>
      <c r="AT1278" s="666"/>
      <c r="AU1278" s="666"/>
    </row>
    <row r="1279" ht="15.75" customHeight="1">
      <c r="A1279" s="743"/>
      <c r="B1279" s="688"/>
      <c r="C1279" s="719"/>
      <c r="D1279" s="719"/>
      <c r="E1279" s="679"/>
      <c r="F1279" s="743"/>
      <c r="G1279" s="743"/>
      <c r="H1279" s="743"/>
      <c r="I1279" s="743"/>
      <c r="J1279" s="743"/>
      <c r="K1279" s="743"/>
      <c r="L1279" s="666"/>
      <c r="M1279" s="666"/>
      <c r="N1279" s="666"/>
      <c r="O1279" s="666"/>
      <c r="P1279" s="666"/>
      <c r="Q1279" s="666"/>
      <c r="R1279" s="666"/>
      <c r="S1279" s="666"/>
      <c r="T1279" s="666"/>
      <c r="U1279" s="666"/>
      <c r="V1279" s="666"/>
      <c r="W1279" s="666"/>
      <c r="X1279" s="666"/>
      <c r="Y1279" s="666"/>
      <c r="Z1279" s="666"/>
      <c r="AA1279" s="666"/>
      <c r="AB1279" s="666"/>
      <c r="AC1279" s="666"/>
      <c r="AD1279" s="666"/>
      <c r="AE1279" s="666"/>
      <c r="AF1279" s="666"/>
      <c r="AG1279" s="666"/>
      <c r="AH1279" s="666"/>
      <c r="AI1279" s="666"/>
      <c r="AJ1279" s="666"/>
      <c r="AK1279" s="666"/>
      <c r="AL1279" s="666"/>
      <c r="AM1279" s="666"/>
      <c r="AN1279" s="666"/>
      <c r="AO1279" s="666"/>
      <c r="AP1279" s="666"/>
      <c r="AQ1279" s="666"/>
      <c r="AR1279" s="666"/>
      <c r="AS1279" s="666"/>
      <c r="AT1279" s="666"/>
      <c r="AU1279" s="666"/>
    </row>
    <row r="1280" ht="15.75" customHeight="1">
      <c r="A1280" s="743"/>
      <c r="B1280" s="688"/>
      <c r="C1280" s="719"/>
      <c r="D1280" s="719"/>
      <c r="E1280" s="679"/>
      <c r="F1280" s="743"/>
      <c r="G1280" s="743"/>
      <c r="H1280" s="743"/>
      <c r="I1280" s="743"/>
      <c r="J1280" s="743"/>
      <c r="K1280" s="743"/>
      <c r="L1280" s="666"/>
      <c r="M1280" s="666"/>
      <c r="N1280" s="666"/>
      <c r="O1280" s="666"/>
      <c r="P1280" s="666"/>
      <c r="Q1280" s="666"/>
      <c r="R1280" s="666"/>
      <c r="S1280" s="666"/>
      <c r="T1280" s="666"/>
      <c r="U1280" s="666"/>
      <c r="V1280" s="666"/>
      <c r="W1280" s="666"/>
      <c r="X1280" s="666"/>
      <c r="Y1280" s="666"/>
      <c r="Z1280" s="666"/>
      <c r="AA1280" s="666"/>
      <c r="AB1280" s="666"/>
      <c r="AC1280" s="666"/>
      <c r="AD1280" s="666"/>
      <c r="AE1280" s="666"/>
      <c r="AF1280" s="666"/>
      <c r="AG1280" s="666"/>
      <c r="AH1280" s="666"/>
      <c r="AI1280" s="666"/>
      <c r="AJ1280" s="666"/>
      <c r="AK1280" s="666"/>
      <c r="AL1280" s="666"/>
      <c r="AM1280" s="666"/>
      <c r="AN1280" s="666"/>
      <c r="AO1280" s="666"/>
      <c r="AP1280" s="666"/>
      <c r="AQ1280" s="666"/>
      <c r="AR1280" s="666"/>
      <c r="AS1280" s="666"/>
      <c r="AT1280" s="666"/>
      <c r="AU1280" s="666"/>
    </row>
    <row r="1281" ht="15.75" customHeight="1">
      <c r="A1281" s="743"/>
      <c r="B1281" s="688"/>
      <c r="C1281" s="719"/>
      <c r="D1281" s="719"/>
      <c r="E1281" s="679"/>
      <c r="F1281" s="743"/>
      <c r="G1281" s="743"/>
      <c r="H1281" s="743"/>
      <c r="I1281" s="743"/>
      <c r="J1281" s="743"/>
      <c r="K1281" s="743"/>
      <c r="L1281" s="666"/>
      <c r="M1281" s="666"/>
      <c r="N1281" s="666"/>
      <c r="O1281" s="666"/>
      <c r="P1281" s="666"/>
      <c r="Q1281" s="666"/>
      <c r="R1281" s="666"/>
      <c r="S1281" s="666"/>
      <c r="T1281" s="666"/>
      <c r="U1281" s="666"/>
      <c r="V1281" s="666"/>
      <c r="W1281" s="666"/>
      <c r="X1281" s="666"/>
      <c r="Y1281" s="666"/>
      <c r="Z1281" s="666"/>
      <c r="AA1281" s="666"/>
      <c r="AB1281" s="666"/>
      <c r="AC1281" s="666"/>
      <c r="AD1281" s="666"/>
      <c r="AE1281" s="666"/>
      <c r="AF1281" s="666"/>
      <c r="AG1281" s="666"/>
      <c r="AH1281" s="666"/>
      <c r="AI1281" s="666"/>
      <c r="AJ1281" s="666"/>
      <c r="AK1281" s="666"/>
      <c r="AL1281" s="666"/>
      <c r="AM1281" s="666"/>
      <c r="AN1281" s="666"/>
      <c r="AO1281" s="666"/>
      <c r="AP1281" s="666"/>
      <c r="AQ1281" s="666"/>
      <c r="AR1281" s="666"/>
      <c r="AS1281" s="666"/>
      <c r="AT1281" s="666"/>
      <c r="AU1281" s="666"/>
    </row>
    <row r="1282" ht="15.75" customHeight="1">
      <c r="A1282" s="743"/>
      <c r="B1282" s="688"/>
      <c r="C1282" s="719"/>
      <c r="D1282" s="719"/>
      <c r="E1282" s="679"/>
      <c r="F1282" s="743"/>
      <c r="G1282" s="743"/>
      <c r="H1282" s="743"/>
      <c r="I1282" s="743"/>
      <c r="J1282" s="743"/>
      <c r="K1282" s="743"/>
      <c r="L1282" s="666"/>
      <c r="M1282" s="666"/>
      <c r="N1282" s="666"/>
      <c r="O1282" s="666"/>
      <c r="P1282" s="666"/>
      <c r="Q1282" s="666"/>
      <c r="R1282" s="666"/>
      <c r="S1282" s="666"/>
      <c r="T1282" s="666"/>
      <c r="U1282" s="666"/>
      <c r="V1282" s="666"/>
      <c r="W1282" s="666"/>
      <c r="X1282" s="666"/>
      <c r="Y1282" s="666"/>
      <c r="Z1282" s="666"/>
      <c r="AA1282" s="666"/>
      <c r="AB1282" s="666"/>
      <c r="AC1282" s="666"/>
      <c r="AD1282" s="666"/>
      <c r="AE1282" s="666"/>
      <c r="AF1282" s="666"/>
      <c r="AG1282" s="666"/>
      <c r="AH1282" s="666"/>
      <c r="AI1282" s="666"/>
      <c r="AJ1282" s="666"/>
      <c r="AK1282" s="666"/>
      <c r="AL1282" s="666"/>
      <c r="AM1282" s="666"/>
      <c r="AN1282" s="666"/>
      <c r="AO1282" s="666"/>
      <c r="AP1282" s="666"/>
      <c r="AQ1282" s="666"/>
      <c r="AR1282" s="666"/>
      <c r="AS1282" s="666"/>
      <c r="AT1282" s="666"/>
      <c r="AU1282" s="666"/>
    </row>
    <row r="1283" ht="15.75" customHeight="1">
      <c r="A1283" s="743"/>
      <c r="B1283" s="688"/>
      <c r="C1283" s="719"/>
      <c r="D1283" s="719"/>
      <c r="E1283" s="679"/>
      <c r="F1283" s="743"/>
      <c r="G1283" s="743"/>
      <c r="H1283" s="743"/>
      <c r="I1283" s="743"/>
      <c r="J1283" s="743"/>
      <c r="K1283" s="743"/>
      <c r="L1283" s="666"/>
      <c r="M1283" s="666"/>
      <c r="N1283" s="666"/>
      <c r="O1283" s="666"/>
      <c r="P1283" s="666"/>
      <c r="Q1283" s="666"/>
      <c r="R1283" s="666"/>
      <c r="S1283" s="666"/>
      <c r="T1283" s="666"/>
      <c r="U1283" s="666"/>
      <c r="V1283" s="666"/>
      <c r="W1283" s="666"/>
      <c r="X1283" s="666"/>
      <c r="Y1283" s="666"/>
      <c r="Z1283" s="666"/>
      <c r="AA1283" s="666"/>
      <c r="AB1283" s="666"/>
      <c r="AC1283" s="666"/>
      <c r="AD1283" s="666"/>
      <c r="AE1283" s="666"/>
      <c r="AF1283" s="666"/>
      <c r="AG1283" s="666"/>
      <c r="AH1283" s="666"/>
      <c r="AI1283" s="666"/>
      <c r="AJ1283" s="666"/>
      <c r="AK1283" s="666"/>
      <c r="AL1283" s="666"/>
      <c r="AM1283" s="666"/>
      <c r="AN1283" s="666"/>
      <c r="AO1283" s="666"/>
      <c r="AP1283" s="666"/>
      <c r="AQ1283" s="666"/>
      <c r="AR1283" s="666"/>
      <c r="AS1283" s="666"/>
      <c r="AT1283" s="666"/>
      <c r="AU1283" s="666"/>
    </row>
    <row r="1284" ht="15.75" customHeight="1">
      <c r="A1284" s="743"/>
      <c r="B1284" s="688"/>
      <c r="C1284" s="719"/>
      <c r="D1284" s="719"/>
      <c r="E1284" s="679"/>
      <c r="F1284" s="743"/>
      <c r="G1284" s="743"/>
      <c r="H1284" s="743"/>
      <c r="I1284" s="743"/>
      <c r="J1284" s="743"/>
      <c r="K1284" s="743"/>
      <c r="L1284" s="666"/>
      <c r="M1284" s="666"/>
      <c r="N1284" s="666"/>
      <c r="O1284" s="666"/>
      <c r="P1284" s="666"/>
      <c r="Q1284" s="666"/>
      <c r="R1284" s="666"/>
      <c r="S1284" s="666"/>
      <c r="T1284" s="666"/>
      <c r="U1284" s="666"/>
      <c r="V1284" s="666"/>
      <c r="W1284" s="666"/>
      <c r="X1284" s="666"/>
      <c r="Y1284" s="666"/>
      <c r="Z1284" s="666"/>
      <c r="AA1284" s="666"/>
      <c r="AB1284" s="666"/>
      <c r="AC1284" s="666"/>
      <c r="AD1284" s="666"/>
      <c r="AE1284" s="666"/>
      <c r="AF1284" s="666"/>
      <c r="AG1284" s="666"/>
      <c r="AH1284" s="666"/>
      <c r="AI1284" s="666"/>
      <c r="AJ1284" s="666"/>
      <c r="AK1284" s="666"/>
      <c r="AL1284" s="666"/>
      <c r="AM1284" s="666"/>
      <c r="AN1284" s="666"/>
      <c r="AO1284" s="666"/>
      <c r="AP1284" s="666"/>
      <c r="AQ1284" s="666"/>
      <c r="AR1284" s="666"/>
      <c r="AS1284" s="666"/>
      <c r="AT1284" s="666"/>
      <c r="AU1284" s="666"/>
    </row>
    <row r="1285" ht="15.75" customHeight="1">
      <c r="A1285" s="743"/>
      <c r="B1285" s="688"/>
      <c r="C1285" s="719"/>
      <c r="D1285" s="719"/>
      <c r="E1285" s="679"/>
      <c r="F1285" s="743"/>
      <c r="G1285" s="743"/>
      <c r="H1285" s="743"/>
      <c r="I1285" s="743"/>
      <c r="J1285" s="743"/>
      <c r="K1285" s="743"/>
      <c r="L1285" s="666"/>
      <c r="M1285" s="666"/>
      <c r="N1285" s="666"/>
      <c r="O1285" s="666"/>
      <c r="P1285" s="666"/>
      <c r="Q1285" s="666"/>
      <c r="R1285" s="666"/>
      <c r="S1285" s="666"/>
      <c r="T1285" s="666"/>
      <c r="U1285" s="666"/>
      <c r="V1285" s="666"/>
      <c r="W1285" s="666"/>
      <c r="X1285" s="666"/>
      <c r="Y1285" s="666"/>
      <c r="Z1285" s="666"/>
      <c r="AA1285" s="666"/>
      <c r="AB1285" s="666"/>
      <c r="AC1285" s="666"/>
      <c r="AD1285" s="666"/>
      <c r="AE1285" s="666"/>
      <c r="AF1285" s="666"/>
      <c r="AG1285" s="666"/>
      <c r="AH1285" s="666"/>
      <c r="AI1285" s="666"/>
      <c r="AJ1285" s="666"/>
      <c r="AK1285" s="666"/>
      <c r="AL1285" s="666"/>
      <c r="AM1285" s="666"/>
      <c r="AN1285" s="666"/>
      <c r="AO1285" s="666"/>
      <c r="AP1285" s="666"/>
      <c r="AQ1285" s="666"/>
      <c r="AR1285" s="666"/>
      <c r="AS1285" s="666"/>
      <c r="AT1285" s="666"/>
      <c r="AU1285" s="666"/>
    </row>
    <row r="1286" ht="15.75" customHeight="1">
      <c r="A1286" s="743"/>
      <c r="B1286" s="688"/>
      <c r="C1286" s="719"/>
      <c r="D1286" s="719"/>
      <c r="E1286" s="679"/>
      <c r="F1286" s="743"/>
      <c r="G1286" s="743"/>
      <c r="H1286" s="743"/>
      <c r="I1286" s="743"/>
      <c r="J1286" s="743"/>
      <c r="K1286" s="743"/>
      <c r="L1286" s="666"/>
      <c r="M1286" s="666"/>
      <c r="N1286" s="666"/>
      <c r="O1286" s="666"/>
      <c r="P1286" s="666"/>
      <c r="Q1286" s="666"/>
      <c r="R1286" s="666"/>
      <c r="S1286" s="666"/>
      <c r="T1286" s="666"/>
      <c r="U1286" s="666"/>
      <c r="V1286" s="666"/>
      <c r="W1286" s="666"/>
      <c r="X1286" s="666"/>
      <c r="Y1286" s="666"/>
      <c r="Z1286" s="666"/>
      <c r="AA1286" s="666"/>
      <c r="AB1286" s="666"/>
      <c r="AC1286" s="666"/>
      <c r="AD1286" s="666"/>
      <c r="AE1286" s="666"/>
      <c r="AF1286" s="666"/>
      <c r="AG1286" s="666"/>
      <c r="AH1286" s="666"/>
      <c r="AI1286" s="666"/>
      <c r="AJ1286" s="666"/>
      <c r="AK1286" s="666"/>
      <c r="AL1286" s="666"/>
      <c r="AM1286" s="666"/>
      <c r="AN1286" s="666"/>
      <c r="AO1286" s="666"/>
      <c r="AP1286" s="666"/>
      <c r="AQ1286" s="666"/>
      <c r="AR1286" s="666"/>
      <c r="AS1286" s="666"/>
      <c r="AT1286" s="666"/>
      <c r="AU1286" s="666"/>
    </row>
    <row r="1287" ht="15.75" customHeight="1">
      <c r="A1287" s="743"/>
      <c r="B1287" s="688"/>
      <c r="C1287" s="719"/>
      <c r="D1287" s="719"/>
      <c r="E1287" s="679"/>
      <c r="F1287" s="743"/>
      <c r="G1287" s="743"/>
      <c r="H1287" s="743"/>
      <c r="I1287" s="743"/>
      <c r="J1287" s="743"/>
      <c r="K1287" s="743"/>
      <c r="L1287" s="666"/>
      <c r="M1287" s="666"/>
      <c r="N1287" s="666"/>
      <c r="O1287" s="666"/>
      <c r="P1287" s="666"/>
      <c r="Q1287" s="666"/>
      <c r="R1287" s="666"/>
      <c r="S1287" s="666"/>
      <c r="T1287" s="666"/>
      <c r="U1287" s="666"/>
      <c r="V1287" s="666"/>
      <c r="W1287" s="666"/>
      <c r="X1287" s="666"/>
      <c r="Y1287" s="666"/>
      <c r="Z1287" s="666"/>
      <c r="AA1287" s="666"/>
      <c r="AB1287" s="666"/>
      <c r="AC1287" s="666"/>
      <c r="AD1287" s="666"/>
      <c r="AE1287" s="666"/>
      <c r="AF1287" s="666"/>
      <c r="AG1287" s="666"/>
      <c r="AH1287" s="666"/>
      <c r="AI1287" s="666"/>
      <c r="AJ1287" s="666"/>
      <c r="AK1287" s="666"/>
      <c r="AL1287" s="666"/>
      <c r="AM1287" s="666"/>
      <c r="AN1287" s="666"/>
      <c r="AO1287" s="666"/>
      <c r="AP1287" s="666"/>
      <c r="AQ1287" s="666"/>
      <c r="AR1287" s="666"/>
      <c r="AS1287" s="666"/>
      <c r="AT1287" s="666"/>
      <c r="AU1287" s="666"/>
    </row>
    <row r="1288" ht="15.75" customHeight="1">
      <c r="A1288" s="743"/>
      <c r="B1288" s="688"/>
      <c r="C1288" s="719"/>
      <c r="D1288" s="719"/>
      <c r="E1288" s="679"/>
      <c r="F1288" s="743"/>
      <c r="G1288" s="743"/>
      <c r="H1288" s="743"/>
      <c r="I1288" s="743"/>
      <c r="J1288" s="743"/>
      <c r="K1288" s="743"/>
      <c r="L1288" s="666"/>
      <c r="M1288" s="666"/>
      <c r="N1288" s="666"/>
      <c r="O1288" s="666"/>
      <c r="P1288" s="666"/>
      <c r="Q1288" s="666"/>
      <c r="R1288" s="666"/>
      <c r="S1288" s="666"/>
      <c r="T1288" s="666"/>
      <c r="U1288" s="666"/>
      <c r="V1288" s="666"/>
      <c r="W1288" s="666"/>
      <c r="X1288" s="666"/>
      <c r="Y1288" s="666"/>
      <c r="Z1288" s="666"/>
      <c r="AA1288" s="666"/>
      <c r="AB1288" s="666"/>
      <c r="AC1288" s="666"/>
      <c r="AD1288" s="666"/>
      <c r="AE1288" s="666"/>
      <c r="AF1288" s="666"/>
      <c r="AG1288" s="666"/>
      <c r="AH1288" s="666"/>
      <c r="AI1288" s="666"/>
      <c r="AJ1288" s="666"/>
      <c r="AK1288" s="666"/>
      <c r="AL1288" s="666"/>
      <c r="AM1288" s="666"/>
      <c r="AN1288" s="666"/>
      <c r="AO1288" s="666"/>
      <c r="AP1288" s="666"/>
      <c r="AQ1288" s="666"/>
      <c r="AR1288" s="666"/>
      <c r="AS1288" s="666"/>
      <c r="AT1288" s="666"/>
      <c r="AU1288" s="666"/>
    </row>
    <row r="1289" ht="15.75" customHeight="1">
      <c r="A1289" s="743"/>
      <c r="B1289" s="688"/>
      <c r="C1289" s="719"/>
      <c r="D1289" s="719"/>
      <c r="E1289" s="679"/>
      <c r="F1289" s="743"/>
      <c r="G1289" s="743"/>
      <c r="H1289" s="743"/>
      <c r="I1289" s="743"/>
      <c r="J1289" s="743"/>
      <c r="K1289" s="743"/>
      <c r="L1289" s="666"/>
      <c r="M1289" s="666"/>
      <c r="N1289" s="666"/>
      <c r="O1289" s="666"/>
      <c r="P1289" s="666"/>
      <c r="Q1289" s="666"/>
      <c r="R1289" s="666"/>
      <c r="S1289" s="666"/>
      <c r="T1289" s="666"/>
      <c r="U1289" s="666"/>
      <c r="V1289" s="666"/>
      <c r="W1289" s="666"/>
      <c r="X1289" s="666"/>
      <c r="Y1289" s="666"/>
      <c r="Z1289" s="666"/>
      <c r="AA1289" s="666"/>
      <c r="AB1289" s="666"/>
      <c r="AC1289" s="666"/>
      <c r="AD1289" s="666"/>
      <c r="AE1289" s="666"/>
      <c r="AF1289" s="666"/>
      <c r="AG1289" s="666"/>
      <c r="AH1289" s="666"/>
      <c r="AI1289" s="666"/>
      <c r="AJ1289" s="666"/>
      <c r="AK1289" s="666"/>
      <c r="AL1289" s="666"/>
      <c r="AM1289" s="666"/>
      <c r="AN1289" s="666"/>
      <c r="AO1289" s="666"/>
      <c r="AP1289" s="666"/>
      <c r="AQ1289" s="666"/>
      <c r="AR1289" s="666"/>
      <c r="AS1289" s="666"/>
      <c r="AT1289" s="666"/>
      <c r="AU1289" s="666"/>
    </row>
    <row r="1290" ht="15.75" customHeight="1">
      <c r="A1290" s="743"/>
      <c r="B1290" s="688"/>
      <c r="C1290" s="719"/>
      <c r="D1290" s="719"/>
      <c r="E1290" s="679"/>
      <c r="F1290" s="743"/>
      <c r="G1290" s="743"/>
      <c r="H1290" s="743"/>
      <c r="I1290" s="743"/>
      <c r="J1290" s="743"/>
      <c r="K1290" s="743"/>
      <c r="L1290" s="666"/>
      <c r="M1290" s="666"/>
      <c r="N1290" s="666"/>
      <c r="O1290" s="666"/>
      <c r="P1290" s="666"/>
      <c r="Q1290" s="666"/>
      <c r="R1290" s="666"/>
      <c r="S1290" s="666"/>
      <c r="T1290" s="666"/>
      <c r="U1290" s="666"/>
      <c r="V1290" s="666"/>
      <c r="W1290" s="666"/>
      <c r="X1290" s="666"/>
      <c r="Y1290" s="666"/>
      <c r="Z1290" s="666"/>
      <c r="AA1290" s="666"/>
      <c r="AB1290" s="666"/>
      <c r="AC1290" s="666"/>
      <c r="AD1290" s="666"/>
      <c r="AE1290" s="666"/>
      <c r="AF1290" s="666"/>
      <c r="AG1290" s="666"/>
      <c r="AH1290" s="666"/>
      <c r="AI1290" s="666"/>
      <c r="AJ1290" s="666"/>
      <c r="AK1290" s="666"/>
      <c r="AL1290" s="666"/>
      <c r="AM1290" s="666"/>
      <c r="AN1290" s="666"/>
      <c r="AO1290" s="666"/>
      <c r="AP1290" s="666"/>
      <c r="AQ1290" s="666"/>
      <c r="AR1290" s="666"/>
      <c r="AS1290" s="666"/>
      <c r="AT1290" s="666"/>
      <c r="AU1290" s="666"/>
    </row>
    <row r="1291" ht="15.75" customHeight="1">
      <c r="A1291" s="743"/>
      <c r="B1291" s="688"/>
      <c r="C1291" s="719"/>
      <c r="D1291" s="719"/>
      <c r="E1291" s="679"/>
      <c r="F1291" s="743"/>
      <c r="G1291" s="743"/>
      <c r="H1291" s="743"/>
      <c r="I1291" s="743"/>
      <c r="J1291" s="743"/>
      <c r="K1291" s="743"/>
      <c r="L1291" s="666"/>
      <c r="M1291" s="666"/>
      <c r="N1291" s="666"/>
      <c r="O1291" s="666"/>
      <c r="P1291" s="666"/>
      <c r="Q1291" s="666"/>
      <c r="R1291" s="666"/>
      <c r="S1291" s="666"/>
      <c r="T1291" s="666"/>
      <c r="U1291" s="666"/>
      <c r="V1291" s="666"/>
      <c r="W1291" s="666"/>
      <c r="X1291" s="666"/>
      <c r="Y1291" s="666"/>
      <c r="Z1291" s="666"/>
      <c r="AA1291" s="666"/>
      <c r="AB1291" s="666"/>
      <c r="AC1291" s="666"/>
      <c r="AD1291" s="666"/>
      <c r="AE1291" s="666"/>
      <c r="AF1291" s="666"/>
      <c r="AG1291" s="666"/>
      <c r="AH1291" s="666"/>
      <c r="AI1291" s="666"/>
      <c r="AJ1291" s="666"/>
      <c r="AK1291" s="666"/>
      <c r="AL1291" s="666"/>
      <c r="AM1291" s="666"/>
      <c r="AN1291" s="666"/>
      <c r="AO1291" s="666"/>
      <c r="AP1291" s="666"/>
      <c r="AQ1291" s="666"/>
      <c r="AR1291" s="666"/>
      <c r="AS1291" s="666"/>
      <c r="AT1291" s="666"/>
      <c r="AU1291" s="666"/>
    </row>
    <row r="1292" ht="15.75" customHeight="1">
      <c r="A1292" s="743"/>
      <c r="B1292" s="688"/>
      <c r="C1292" s="719"/>
      <c r="D1292" s="719"/>
      <c r="E1292" s="679"/>
      <c r="F1292" s="743"/>
      <c r="G1292" s="743"/>
      <c r="H1292" s="743"/>
      <c r="I1292" s="743"/>
      <c r="J1292" s="743"/>
      <c r="K1292" s="743"/>
      <c r="L1292" s="666"/>
      <c r="M1292" s="666"/>
      <c r="N1292" s="666"/>
      <c r="O1292" s="666"/>
      <c r="P1292" s="666"/>
      <c r="Q1292" s="666"/>
      <c r="R1292" s="666"/>
      <c r="S1292" s="666"/>
      <c r="T1292" s="666"/>
      <c r="U1292" s="666"/>
      <c r="V1292" s="666"/>
      <c r="W1292" s="666"/>
      <c r="X1292" s="666"/>
      <c r="Y1292" s="666"/>
      <c r="Z1292" s="666"/>
      <c r="AA1292" s="666"/>
      <c r="AB1292" s="666"/>
      <c r="AC1292" s="666"/>
      <c r="AD1292" s="666"/>
      <c r="AE1292" s="666"/>
      <c r="AF1292" s="666"/>
      <c r="AG1292" s="666"/>
      <c r="AH1292" s="666"/>
      <c r="AI1292" s="666"/>
      <c r="AJ1292" s="666"/>
      <c r="AK1292" s="666"/>
      <c r="AL1292" s="666"/>
      <c r="AM1292" s="666"/>
      <c r="AN1292" s="666"/>
      <c r="AO1292" s="666"/>
      <c r="AP1292" s="666"/>
      <c r="AQ1292" s="666"/>
      <c r="AR1292" s="666"/>
      <c r="AS1292" s="666"/>
      <c r="AT1292" s="666"/>
      <c r="AU1292" s="666"/>
    </row>
    <row r="1293" ht="15.75" customHeight="1">
      <c r="A1293" s="743"/>
      <c r="B1293" s="688"/>
      <c r="C1293" s="719"/>
      <c r="D1293" s="719"/>
      <c r="E1293" s="679"/>
      <c r="F1293" s="743"/>
      <c r="G1293" s="743"/>
      <c r="H1293" s="743"/>
      <c r="I1293" s="743"/>
      <c r="J1293" s="743"/>
      <c r="K1293" s="743"/>
      <c r="L1293" s="666"/>
      <c r="M1293" s="666"/>
      <c r="N1293" s="666"/>
      <c r="O1293" s="666"/>
      <c r="P1293" s="666"/>
      <c r="Q1293" s="666"/>
      <c r="R1293" s="666"/>
      <c r="S1293" s="666"/>
      <c r="T1293" s="666"/>
      <c r="U1293" s="666"/>
      <c r="V1293" s="666"/>
      <c r="W1293" s="666"/>
      <c r="X1293" s="666"/>
      <c r="Y1293" s="666"/>
      <c r="Z1293" s="666"/>
      <c r="AA1293" s="666"/>
      <c r="AB1293" s="666"/>
      <c r="AC1293" s="666"/>
      <c r="AD1293" s="666"/>
      <c r="AE1293" s="666"/>
      <c r="AF1293" s="666"/>
      <c r="AG1293" s="666"/>
      <c r="AH1293" s="666"/>
      <c r="AI1293" s="666"/>
      <c r="AJ1293" s="666"/>
      <c r="AK1293" s="666"/>
      <c r="AL1293" s="666"/>
      <c r="AM1293" s="666"/>
      <c r="AN1293" s="666"/>
      <c r="AO1293" s="666"/>
      <c r="AP1293" s="666"/>
      <c r="AQ1293" s="666"/>
      <c r="AR1293" s="666"/>
      <c r="AS1293" s="666"/>
      <c r="AT1293" s="666"/>
      <c r="AU1293" s="666"/>
    </row>
    <row r="1294" ht="15.75" customHeight="1">
      <c r="A1294" s="743"/>
      <c r="B1294" s="688"/>
      <c r="C1294" s="719"/>
      <c r="D1294" s="719"/>
      <c r="E1294" s="679"/>
      <c r="F1294" s="743"/>
      <c r="G1294" s="743"/>
      <c r="H1294" s="743"/>
      <c r="I1294" s="743"/>
      <c r="J1294" s="743"/>
      <c r="K1294" s="743"/>
      <c r="L1294" s="666"/>
      <c r="M1294" s="666"/>
      <c r="N1294" s="666"/>
      <c r="O1294" s="666"/>
      <c r="P1294" s="666"/>
      <c r="Q1294" s="666"/>
      <c r="R1294" s="666"/>
      <c r="S1294" s="666"/>
      <c r="T1294" s="666"/>
      <c r="U1294" s="666"/>
      <c r="V1294" s="666"/>
      <c r="W1294" s="666"/>
      <c r="X1294" s="666"/>
      <c r="Y1294" s="666"/>
      <c r="Z1294" s="666"/>
      <c r="AA1294" s="666"/>
      <c r="AB1294" s="666"/>
      <c r="AC1294" s="666"/>
      <c r="AD1294" s="666"/>
      <c r="AE1294" s="666"/>
      <c r="AF1294" s="666"/>
      <c r="AG1294" s="666"/>
      <c r="AH1294" s="666"/>
      <c r="AI1294" s="666"/>
      <c r="AJ1294" s="666"/>
      <c r="AK1294" s="666"/>
      <c r="AL1294" s="666"/>
      <c r="AM1294" s="666"/>
      <c r="AN1294" s="666"/>
      <c r="AO1294" s="666"/>
      <c r="AP1294" s="666"/>
      <c r="AQ1294" s="666"/>
      <c r="AR1294" s="666"/>
      <c r="AS1294" s="666"/>
      <c r="AT1294" s="666"/>
      <c r="AU1294" s="666"/>
    </row>
    <row r="1295" ht="15.75" customHeight="1">
      <c r="A1295" s="743"/>
      <c r="B1295" s="688"/>
      <c r="C1295" s="719"/>
      <c r="D1295" s="719"/>
      <c r="E1295" s="679"/>
      <c r="F1295" s="743"/>
      <c r="G1295" s="743"/>
      <c r="H1295" s="743"/>
      <c r="I1295" s="743"/>
      <c r="J1295" s="743"/>
      <c r="K1295" s="743"/>
      <c r="L1295" s="666"/>
      <c r="M1295" s="666"/>
      <c r="N1295" s="666"/>
      <c r="O1295" s="666"/>
      <c r="P1295" s="666"/>
      <c r="Q1295" s="666"/>
      <c r="R1295" s="666"/>
      <c r="S1295" s="666"/>
      <c r="T1295" s="666"/>
      <c r="U1295" s="666"/>
      <c r="V1295" s="666"/>
      <c r="W1295" s="666"/>
      <c r="X1295" s="666"/>
      <c r="Y1295" s="666"/>
      <c r="Z1295" s="666"/>
      <c r="AA1295" s="666"/>
      <c r="AB1295" s="666"/>
      <c r="AC1295" s="666"/>
      <c r="AD1295" s="666"/>
      <c r="AE1295" s="666"/>
      <c r="AF1295" s="666"/>
      <c r="AG1295" s="666"/>
      <c r="AH1295" s="666"/>
      <c r="AI1295" s="666"/>
      <c r="AJ1295" s="666"/>
      <c r="AK1295" s="666"/>
      <c r="AL1295" s="666"/>
      <c r="AM1295" s="666"/>
      <c r="AN1295" s="666"/>
      <c r="AO1295" s="666"/>
      <c r="AP1295" s="666"/>
      <c r="AQ1295" s="666"/>
      <c r="AR1295" s="666"/>
      <c r="AS1295" s="666"/>
      <c r="AT1295" s="666"/>
      <c r="AU1295" s="666"/>
    </row>
    <row r="1296" ht="15.75" customHeight="1">
      <c r="A1296" s="743"/>
      <c r="B1296" s="688"/>
      <c r="C1296" s="719"/>
      <c r="D1296" s="719"/>
      <c r="E1296" s="679"/>
      <c r="F1296" s="743"/>
      <c r="G1296" s="743"/>
      <c r="H1296" s="743"/>
      <c r="I1296" s="743"/>
      <c r="J1296" s="743"/>
      <c r="K1296" s="743"/>
      <c r="L1296" s="666"/>
      <c r="M1296" s="666"/>
      <c r="N1296" s="666"/>
      <c r="O1296" s="666"/>
      <c r="P1296" s="666"/>
      <c r="Q1296" s="666"/>
      <c r="R1296" s="666"/>
      <c r="S1296" s="666"/>
      <c r="T1296" s="666"/>
      <c r="U1296" s="666"/>
      <c r="V1296" s="666"/>
      <c r="W1296" s="666"/>
      <c r="X1296" s="666"/>
      <c r="Y1296" s="666"/>
      <c r="Z1296" s="666"/>
      <c r="AA1296" s="666"/>
      <c r="AB1296" s="666"/>
      <c r="AC1296" s="666"/>
      <c r="AD1296" s="666"/>
      <c r="AE1296" s="666"/>
      <c r="AF1296" s="666"/>
      <c r="AG1296" s="666"/>
      <c r="AH1296" s="666"/>
      <c r="AI1296" s="666"/>
      <c r="AJ1296" s="666"/>
      <c r="AK1296" s="666"/>
      <c r="AL1296" s="666"/>
      <c r="AM1296" s="666"/>
      <c r="AN1296" s="666"/>
      <c r="AO1296" s="666"/>
      <c r="AP1296" s="666"/>
      <c r="AQ1296" s="666"/>
      <c r="AR1296" s="666"/>
      <c r="AS1296" s="666"/>
      <c r="AT1296" s="666"/>
      <c r="AU1296" s="666"/>
    </row>
    <row r="1297" ht="15.75" customHeight="1">
      <c r="A1297" s="743"/>
      <c r="B1297" s="688"/>
      <c r="C1297" s="719"/>
      <c r="D1297" s="719"/>
      <c r="E1297" s="679"/>
      <c r="F1297" s="743"/>
      <c r="G1297" s="743"/>
      <c r="H1297" s="743"/>
      <c r="I1297" s="743"/>
      <c r="J1297" s="743"/>
      <c r="K1297" s="743"/>
      <c r="L1297" s="666"/>
      <c r="M1297" s="666"/>
      <c r="N1297" s="666"/>
      <c r="O1297" s="666"/>
      <c r="P1297" s="666"/>
      <c r="Q1297" s="666"/>
      <c r="R1297" s="666"/>
      <c r="S1297" s="666"/>
      <c r="T1297" s="666"/>
      <c r="U1297" s="666"/>
      <c r="V1297" s="666"/>
      <c r="W1297" s="666"/>
      <c r="X1297" s="666"/>
      <c r="Y1297" s="666"/>
      <c r="Z1297" s="666"/>
      <c r="AA1297" s="666"/>
      <c r="AB1297" s="666"/>
      <c r="AC1297" s="666"/>
      <c r="AD1297" s="666"/>
      <c r="AE1297" s="666"/>
      <c r="AF1297" s="666"/>
      <c r="AG1297" s="666"/>
      <c r="AH1297" s="666"/>
      <c r="AI1297" s="666"/>
      <c r="AJ1297" s="666"/>
      <c r="AK1297" s="666"/>
      <c r="AL1297" s="666"/>
      <c r="AM1297" s="666"/>
      <c r="AN1297" s="666"/>
      <c r="AO1297" s="666"/>
      <c r="AP1297" s="666"/>
      <c r="AQ1297" s="666"/>
      <c r="AR1297" s="666"/>
      <c r="AS1297" s="666"/>
      <c r="AT1297" s="666"/>
      <c r="AU1297" s="666"/>
    </row>
    <row r="1298" ht="15.75" customHeight="1">
      <c r="A1298" s="743"/>
      <c r="B1298" s="688"/>
      <c r="C1298" s="719"/>
      <c r="D1298" s="719"/>
      <c r="E1298" s="679"/>
      <c r="F1298" s="743"/>
      <c r="G1298" s="743"/>
      <c r="H1298" s="743"/>
      <c r="I1298" s="743"/>
      <c r="J1298" s="743"/>
      <c r="K1298" s="743"/>
      <c r="L1298" s="666"/>
      <c r="M1298" s="666"/>
      <c r="N1298" s="666"/>
      <c r="O1298" s="666"/>
      <c r="P1298" s="666"/>
      <c r="Q1298" s="666"/>
      <c r="R1298" s="666"/>
      <c r="S1298" s="666"/>
      <c r="T1298" s="666"/>
      <c r="U1298" s="666"/>
      <c r="V1298" s="666"/>
      <c r="W1298" s="666"/>
      <c r="X1298" s="666"/>
      <c r="Y1298" s="666"/>
      <c r="Z1298" s="666"/>
      <c r="AA1298" s="666"/>
      <c r="AB1298" s="666"/>
      <c r="AC1298" s="666"/>
      <c r="AD1298" s="666"/>
      <c r="AE1298" s="666"/>
      <c r="AF1298" s="666"/>
      <c r="AG1298" s="666"/>
      <c r="AH1298" s="666"/>
      <c r="AI1298" s="666"/>
      <c r="AJ1298" s="666"/>
      <c r="AK1298" s="666"/>
      <c r="AL1298" s="666"/>
      <c r="AM1298" s="666"/>
      <c r="AN1298" s="666"/>
      <c r="AO1298" s="666"/>
      <c r="AP1298" s="666"/>
      <c r="AQ1298" s="666"/>
      <c r="AR1298" s="666"/>
      <c r="AS1298" s="666"/>
      <c r="AT1298" s="666"/>
      <c r="AU1298" s="666"/>
    </row>
    <row r="1299" ht="15.75" customHeight="1">
      <c r="A1299" s="743"/>
      <c r="B1299" s="688"/>
      <c r="C1299" s="719"/>
      <c r="D1299" s="719"/>
      <c r="E1299" s="679"/>
      <c r="F1299" s="743"/>
      <c r="G1299" s="743"/>
      <c r="H1299" s="743"/>
      <c r="I1299" s="743"/>
      <c r="J1299" s="743"/>
      <c r="K1299" s="743"/>
      <c r="L1299" s="666"/>
      <c r="M1299" s="666"/>
      <c r="N1299" s="666"/>
      <c r="O1299" s="666"/>
      <c r="P1299" s="666"/>
      <c r="Q1299" s="666"/>
      <c r="R1299" s="666"/>
      <c r="S1299" s="666"/>
      <c r="T1299" s="666"/>
      <c r="U1299" s="666"/>
      <c r="V1299" s="666"/>
      <c r="W1299" s="666"/>
      <c r="X1299" s="666"/>
      <c r="Y1299" s="666"/>
      <c r="Z1299" s="666"/>
      <c r="AA1299" s="666"/>
      <c r="AB1299" s="666"/>
      <c r="AC1299" s="666"/>
      <c r="AD1299" s="666"/>
      <c r="AE1299" s="666"/>
      <c r="AF1299" s="666"/>
      <c r="AG1299" s="666"/>
      <c r="AH1299" s="666"/>
      <c r="AI1299" s="666"/>
      <c r="AJ1299" s="666"/>
      <c r="AK1299" s="666"/>
      <c r="AL1299" s="666"/>
      <c r="AM1299" s="666"/>
      <c r="AN1299" s="666"/>
      <c r="AO1299" s="666"/>
      <c r="AP1299" s="666"/>
      <c r="AQ1299" s="666"/>
      <c r="AR1299" s="666"/>
      <c r="AS1299" s="666"/>
      <c r="AT1299" s="666"/>
      <c r="AU1299" s="666"/>
    </row>
    <row r="1300" ht="15.75" customHeight="1">
      <c r="A1300" s="743"/>
      <c r="B1300" s="688"/>
      <c r="C1300" s="719"/>
      <c r="D1300" s="719"/>
      <c r="E1300" s="679"/>
      <c r="F1300" s="743"/>
      <c r="G1300" s="743"/>
      <c r="H1300" s="743"/>
      <c r="I1300" s="743"/>
      <c r="J1300" s="743"/>
      <c r="K1300" s="743"/>
      <c r="L1300" s="666"/>
      <c r="M1300" s="666"/>
      <c r="N1300" s="666"/>
      <c r="O1300" s="666"/>
      <c r="P1300" s="666"/>
      <c r="Q1300" s="666"/>
      <c r="R1300" s="666"/>
      <c r="S1300" s="666"/>
      <c r="T1300" s="666"/>
      <c r="U1300" s="666"/>
      <c r="V1300" s="666"/>
      <c r="W1300" s="666"/>
      <c r="X1300" s="666"/>
      <c r="Y1300" s="666"/>
      <c r="Z1300" s="666"/>
      <c r="AA1300" s="666"/>
      <c r="AB1300" s="666"/>
      <c r="AC1300" s="666"/>
      <c r="AD1300" s="666"/>
      <c r="AE1300" s="666"/>
      <c r="AF1300" s="666"/>
      <c r="AG1300" s="666"/>
      <c r="AH1300" s="666"/>
      <c r="AI1300" s="666"/>
      <c r="AJ1300" s="666"/>
      <c r="AK1300" s="666"/>
      <c r="AL1300" s="666"/>
      <c r="AM1300" s="666"/>
      <c r="AN1300" s="666"/>
      <c r="AO1300" s="666"/>
      <c r="AP1300" s="666"/>
      <c r="AQ1300" s="666"/>
      <c r="AR1300" s="666"/>
      <c r="AS1300" s="666"/>
      <c r="AT1300" s="666"/>
      <c r="AU1300" s="666"/>
    </row>
  </sheetData>
  <customSheetViews>
    <customSheetView guid="{A214FC91-2926-4021-8CFF-EA2F61021101}" filter="1" showAutoFilter="1">
      <autoFilter ref="$A$2:$K$798">
        <filterColumn colId="5">
          <filters blank="1">
            <filter val="Luis José Maranhão Neto"/>
            <filter val="Vertice Design Eireli"/>
            <filter val="Patricia da Conceicao Alves Mendes"/>
            <filter val="Márcia Coelho"/>
            <filter val="Bruno Silva de Medeiros"/>
            <filter val="Raphael Steckelberg"/>
            <filter val="Gustavo Branco"/>
            <filter val="Eduardo Amorim de Lemos"/>
            <filter val="Washington José Lima Candido"/>
            <filter val="Jorge Gomes de Araujo"/>
            <filter val="Marcelo Franco Paes Leme"/>
            <filter val="Rejane Maria Dantas Maia"/>
            <filter val="Rossana de Miranda Almeida"/>
            <filter val="Matheus Herthel Souza Belo"/>
            <filter val="Odil Garrido Campos de Andrade"/>
            <filter val="Andre Luis Fernandes Gouveia"/>
            <filter val="Raphael Pereira Hablitzel"/>
            <filter val="Marcelle Passarinho Maia"/>
            <filter val="Gustavo Dauster Vivacqua e Silva"/>
            <filter val="Daniela de Martins Souza"/>
            <filter val="Barbara Mitchele Martins Leão"/>
            <filter val="Caio Cesar Boschi"/>
            <filter val="Ciria Coelho Ribeiro"/>
            <filter val="Graziela Monaco Biavati"/>
            <filter val="Vértice Design Eireli"/>
            <filter val="Leonardo Leal Leite"/>
            <filter val="Adriana Laus de Aquino"/>
            <filter val="Marcelo Botton Piccin"/>
            <filter val="Gabriel de Oliveira"/>
            <filter val="Silvia Carla Galli Leyser"/>
            <filter val="Adriana Ferrari Pimentel"/>
            <filter val="Carlos Alberto Cardozo"/>
            <filter val="Silvia Ruth Penaloza Diez"/>
            <filter val="João Beze Sobrinho"/>
            <filter val="Eduardo Maia Magalhães"/>
            <filter val="Roberto Alexandre Neves Fernandes Filho"/>
            <filter val="Débora Inhaquite Bolfoni da Cunha"/>
            <filter val="Ariosvaldo Ferreira Nunes"/>
            <filter val="Daniel Esteves Fonseca Franco"/>
            <filter val="Laurindo Aelsom Teixeira Costa"/>
            <filter val="Rodrigo Barros Mendonça"/>
            <filter val="Clisia Mara Carreira"/>
            <filter val="Hernane da Silva Ribeiro"/>
            <filter val="Nathalia Alcantara de Albuquerque"/>
            <filter val="Luciana Navarro de Oliveira Santos"/>
            <filter val="Matthew Paz Carvalho"/>
            <filter val="Andre Luiz Souza da Silveira"/>
            <filter val="Eduardo Soares do Couto Filho"/>
            <filter val="Vera Regina Mazzini Braga Coimbra"/>
            <filter val="Renato Sendin"/>
            <filter val="Sandra Maria de Albuquerque Costa"/>
            <filter val="Jorge Augusto Laburu"/>
            <filter val="Débora Maçaneiro Vieira"/>
            <filter val="Denise Maria Ventura de Alcântara"/>
            <filter val="GHD Empreendimentos Imobiliarios LTDA"/>
            <filter val="Sergio Luz de Souza"/>
            <filter val="Bertha Lins Pellegrino"/>
            <filter val="Aldo Aguirre Aristimunho"/>
            <filter val="Ricardo Gomes de Queiroz"/>
            <filter val="Ricardo Marinho dos Santos"/>
            <filter val="Raquel Valadares Von Glehn Ribeiro"/>
            <filter val="Guilherme Nogueira Bassi"/>
            <filter val="Marcio Lopes Siqueira"/>
            <filter val="Glauber Oliveira Silva"/>
            <filter val="Moderada"/>
            <filter val="Atilio Rulli"/>
            <filter val="Renata Freitas Chamarelli"/>
            <filter val="José Guilherme Maia"/>
            <filter val="Zenilda Clea de Paula"/>
            <filter val="Leonardo Peleja Vizeu Lima"/>
          </filters>
        </filterColumn>
        <filterColumn colId="1">
          <filters>
            <filter val="1922798"/>
            <filter val="2218857"/>
            <filter val="5709377"/>
            <filter val="4330899"/>
            <filter val="4577878"/>
            <filter val="4510498"/>
            <filter val="384071"/>
            <filter val="3712007"/>
            <filter val="4455683"/>
            <filter val="2612786"/>
            <filter val="385035"/>
            <filter val="5772979"/>
            <filter val="4784067"/>
            <filter val="2702114"/>
            <filter val="349853"/>
            <filter val="891801"/>
            <filter val="2850040"/>
            <filter val="340481"/>
            <filter val="4528354"/>
            <filter val="6549214"/>
            <filter val="378853"/>
            <filter val="4343397"/>
            <filter val="4465816"/>
            <filter val="362841"/>
            <filter val="4242922"/>
            <filter val="1822017"/>
            <filter val="2591878"/>
            <filter val="348997"/>
            <filter val="458601"/>
            <filter val="1884055"/>
            <filter val="321150"/>
            <filter val="2672622"/>
            <filter val="4481625"/>
            <filter val="2698656"/>
            <filter val="4859807"/>
            <filter val="749509"/>
            <filter val="846458"/>
            <filter val="320731"/>
            <filter val="4639067"/>
            <filter val="492516"/>
            <filter val="4398585"/>
            <filter val="4651873"/>
            <filter val="4332042"/>
            <filter val="4495588"/>
            <filter val="331865"/>
            <filter val="3713246"/>
            <filter val="4487607"/>
            <filter val="4645750"/>
            <filter val="486192"/>
            <filter val="4783402"/>
            <filter val="363716"/>
            <filter val="2445589"/>
            <filter val="4248009"/>
            <filter val="4569204"/>
            <filter val="882640"/>
            <filter val="4488255"/>
            <filter val="4447856"/>
            <filter val="798500"/>
            <filter val="2961934"/>
            <filter val="3263443"/>
            <filter val="4243120"/>
            <filter val="4397276"/>
            <filter val="804151"/>
            <filter val="4672277"/>
            <filter val="323684"/>
            <filter val="4466421"/>
            <filter val="5842390"/>
            <filter val="4468963"/>
            <filter val="4696470"/>
            <filter val="4662174"/>
            <filter val="4461414"/>
            <filter val="4732393"/>
            <filter val="5792082"/>
            <filter val="2865175"/>
            <filter val="332802"/>
            <filter val="4572882"/>
            <filter val="3774100"/>
            <filter val="4534168"/>
            <filter val="4400781"/>
            <filter val="4422652"/>
            <filter val="4550654"/>
            <filter val="807649"/>
            <filter val="4399473"/>
            <filter val="2534866"/>
            <filter val="789373"/>
            <filter val="5773924"/>
            <filter val="5828311"/>
            <filter val="4696943"/>
            <filter val="3445098"/>
            <filter val="4438673"/>
            <filter val="480283"/>
            <filter val="1586968"/>
            <filter val="2245369"/>
            <filter val="5799044"/>
            <filter val="5759182"/>
            <filter val="343804"/>
            <filter val="4386181"/>
            <filter val="5762906"/>
            <filter val="3518710"/>
            <filter val="4722266"/>
            <filter val="4617147"/>
            <filter val="5842853"/>
            <filter val="3615656"/>
            <filter val="3257117"/>
            <filter val="2645505"/>
            <filter val="2965891"/>
            <filter val="5759476"/>
            <filter val="4017894"/>
            <filter val="4729728"/>
            <filter val="6245088"/>
            <filter val="4215372"/>
            <filter val="5752960"/>
            <filter val="250289"/>
            <filter val="4217316"/>
            <filter val="480281"/>
            <filter val="320910"/>
            <filter val="323625"/>
            <filter val="5773304"/>
            <filter val="772942"/>
            <filter val="860566"/>
            <filter val="5774998"/>
            <filter val="515215"/>
            <filter val="4611223"/>
            <filter val="395136"/>
            <filter val="4442638"/>
            <filter val="3384356"/>
            <filter val="4402972"/>
            <filter val="2847489"/>
            <filter val="4461608"/>
            <filter val="2894145"/>
            <filter val="4375396"/>
            <filter val="322548"/>
            <filter val="5809120"/>
            <filter val="2661302"/>
            <filter val="2699490"/>
            <filter val="343227"/>
            <filter val="1832250"/>
            <filter val="2066065"/>
            <filter val="4404701"/>
            <filter val="330028"/>
            <filter val="4618682"/>
            <filter val="4756217"/>
            <filter val="4627802"/>
            <filter val="431690"/>
            <filter val="865134"/>
            <filter val="2956150"/>
            <filter val="2902059"/>
            <filter val="4675489"/>
            <filter val="4522420"/>
            <filter val="4761482"/>
            <filter val="4674830"/>
            <filter val="4680045"/>
            <filter val="3384259"/>
            <filter val="4349786"/>
            <filter val="367916"/>
            <filter val="4345500"/>
            <filter val="2591134"/>
            <filter val="3412436"/>
            <filter val="2352697"/>
            <filter val="4280220"/>
            <filter val="343685"/>
            <filter val="321312"/>
            <filter val="5776702"/>
            <filter val="4474939"/>
            <filter val="5763015"/>
            <filter val="4218282"/>
            <filter val="433129"/>
            <filter val="4663677"/>
            <filter val="5808809"/>
            <filter val="4241586"/>
            <filter val="475794"/>
            <filter val="328970"/>
            <filter val="4384867"/>
            <filter val="3383740"/>
            <filter val="4387335"/>
            <filter val="4412801"/>
            <filter val="5842438"/>
            <filter val="4460288"/>
            <filter val="322505"/>
            <filter val="4568576"/>
            <filter val="2701746"/>
            <filter val="4502541"/>
            <filter val="2730754"/>
            <filter val="369455"/>
            <filter val="2864258"/>
            <filter val="2694253"/>
            <filter val="4327504"/>
            <filter val="2466854"/>
            <filter val="383873"/>
            <filter val="4351136"/>
            <filter val="317927"/>
            <filter val="528568"/>
            <filter val="804771"/>
            <filter val="4247347"/>
            <filter val="4355972"/>
            <filter val="2721127"/>
            <filter val="3520517"/>
            <filter val="341356"/>
            <filter val="2218849"/>
            <filter val="5789898"/>
            <filter val="4836917"/>
            <filter val="319563"/>
            <filter val="431754"/>
            <filter val="347451"/>
            <filter val="334813"/>
            <filter val="464776"/>
            <filter val="2658077"/>
            <filter val="5745998"/>
            <filter val="2738224"/>
            <filter val="359301"/>
            <filter val="826678"/>
            <filter val="356272"/>
            <filter val="846385"/>
            <filter val="3274844"/>
            <filter val="2310651"/>
            <filter val="4478934"/>
            <filter val="3203106"/>
            <filter val="2405046"/>
            <filter val="4674881"/>
            <filter val="3384291"/>
            <filter val="5757724"/>
            <filter val="479226"/>
          </filters>
        </filterColumn>
      </autoFilter>
    </customSheetView>
  </customSheetViews>
  <conditionalFormatting sqref="H898:H899 H915:H917 H919:H923 H925:H927 H929:H935 H937:H939 H1089 H1102:H1103 I802 I827 I1095">
    <cfRule type="cellIs" dxfId="1" priority="1" operator="equal">
      <formula>"Conquest"</formula>
    </cfRule>
  </conditionalFormatting>
  <conditionalFormatting sqref="H898:H899 H915:H917 H919:H923 H925:H927 H929:H935 H937:H939 H1089 H1102:H1103 I802 I827 I1095">
    <cfRule type="cellIs" dxfId="2" priority="2" operator="equal">
      <formula>"Voga"</formula>
    </cfRule>
  </conditionalFormatting>
  <conditionalFormatting sqref="I799:I803 I809:I818 I828 I898:I899 I902:I923 I925:I927 I929:I935 I937:I939 I1076:I1077 I1089 I1095 I1102:I1103">
    <cfRule type="cellIs" dxfId="3" priority="3" operator="equal">
      <formula>"Bluemetrix"</formula>
    </cfRule>
  </conditionalFormatting>
  <dataValidations>
    <dataValidation type="list" allowBlank="1" showErrorMessage="1" sqref="D2:D1300">
      <formula1>$AA:$AA</formula1>
    </dataValidation>
  </dataValidations>
  <drawing r:id="rId1"/>
</worksheet>
</file>